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REVISÃO\Concessionárias de Distribuição\2022\07 - D47 - Eletrocar\Versão Final 1\Estrutura\"/>
    </mc:Choice>
  </mc:AlternateContent>
  <xr:revisionPtr revIDLastSave="0" documentId="13_ncr:1_{3599048D-D075-49EF-9F5D-0D502796F0A7}" xr6:coauthVersionLast="47" xr6:coauthVersionMax="47" xr10:uidLastSave="{00000000-0000-0000-0000-000000000000}"/>
  <bookViews>
    <workbookView xWindow="-120" yWindow="-120" windowWidth="29040" windowHeight="15840" tabRatio="835" firstSheet="5" activeTab="15" xr2:uid="{B1EE022F-5823-4C3C-B778-1B42DAA9C5EC}"/>
  </bookViews>
  <sheets>
    <sheet name="Mercado_Receita" sheetId="1" r:id="rId1"/>
    <sheet name="EVENTOS" sheetId="2" r:id="rId2"/>
    <sheet name="TAR FIN" sheetId="86" r:id="rId3"/>
    <sheet name="MERCADO TUSD" sheetId="3" r:id="rId4"/>
    <sheet name="MERCADO TE" sheetId="4" r:id="rId5"/>
    <sheet name="CUSTOS" sheetId="5" r:id="rId6"/>
    <sheet name="TRANSICAO" sheetId="85" r:id="rId7"/>
    <sheet name="TR TUSD" sheetId="77" r:id="rId8"/>
    <sheet name="TUSD BE" sheetId="78" r:id="rId9"/>
    <sheet name="TUSD BF" sheetId="79" r:id="rId10"/>
    <sheet name="TUSD CVA" sheetId="80" r:id="rId11"/>
    <sheet name="TR TE" sheetId="81" r:id="rId12"/>
    <sheet name="TE BE" sheetId="82" r:id="rId13"/>
    <sheet name="TE BF" sheetId="83" r:id="rId14"/>
    <sheet name="TE CVA" sheetId="84" r:id="rId15"/>
    <sheet name="EFEITO" sheetId="87" r:id="rId16"/>
    <sheet name="SUBSIDIO" sheetId="88" r:id="rId17"/>
    <sheet name="TabDinEfeito" sheetId="89" r:id="rId18"/>
    <sheet name="TabDinSubsidio" sheetId="90" r:id="rId19"/>
    <sheet name="TABELAS REH" sheetId="107" r:id="rId20"/>
    <sheet name="CONSISTENCIA" sheetId="91" r:id="rId21"/>
    <sheet name="TUSD" sheetId="97" r:id="rId22"/>
    <sheet name="TE" sheetId="98" r:id="rId23"/>
    <sheet name="RESUMO TUSD" sheetId="99" r:id="rId24"/>
    <sheet name="RESUMO TE" sheetId="100" r:id="rId25"/>
    <sheet name="TUSD BF_350" sheetId="93" r:id="rId26"/>
    <sheet name="TE BF_350" sheetId="94" r:id="rId27"/>
    <sheet name="EFEITO_350" sheetId="95" r:id="rId28"/>
    <sheet name="TarifaMedia" sheetId="92" r:id="rId29"/>
    <sheet name="Descontos" sheetId="20" r:id="rId30"/>
    <sheet name="ERD" sheetId="106" r:id="rId31"/>
    <sheet name="TA - Aplicação" sheetId="108" r:id="rId32"/>
    <sheet name="TA - BE" sheetId="109" r:id="rId33"/>
    <sheet name="TA - CVA" sheetId="110" r:id="rId34"/>
  </sheets>
  <definedNames>
    <definedName name="DadosExternos_1" localSheetId="31" hidden="1">'TA - Aplicação'!$B$3:$AR$51</definedName>
    <definedName name="DadosExternos_1" localSheetId="32" hidden="1">'TA - BE'!$B$3:$AR$51</definedName>
    <definedName name="DadosExternos_1" localSheetId="33" hidden="1">'TA - CVA'!$B$3:$AR$51</definedName>
  </definedNames>
  <calcPr calcId="191029" iterate="1"/>
  <pivotCaches>
    <pivotCache cacheId="17" r:id="rId35"/>
    <pivotCache cacheId="28" r:id="rId3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4" i="107" l="1"/>
  <c r="W35" i="107"/>
  <c r="V33" i="107" l="1"/>
  <c r="V32" i="107"/>
  <c r="V31" i="107"/>
  <c r="V30" i="107"/>
  <c r="V29" i="107"/>
  <c r="V28" i="107"/>
  <c r="V27" i="107"/>
  <c r="V26" i="107"/>
  <c r="V21" i="107"/>
  <c r="V16" i="107"/>
  <c r="V25" i="107"/>
  <c r="V20" i="107"/>
  <c r="V15" i="107"/>
  <c r="V24" i="107"/>
  <c r="V23" i="107"/>
  <c r="V22" i="107"/>
  <c r="V19" i="107"/>
  <c r="V18" i="107"/>
  <c r="V17" i="107"/>
  <c r="V14" i="107"/>
  <c r="V13" i="107"/>
  <c r="V12" i="107"/>
  <c r="V11" i="107"/>
  <c r="V9" i="107"/>
  <c r="V10" i="107"/>
  <c r="V8" i="107"/>
  <c r="V7" i="107"/>
  <c r="V6" i="107"/>
  <c r="V5" i="107"/>
  <c r="J12" i="107"/>
  <c r="J11" i="107"/>
  <c r="J7" i="107"/>
  <c r="J6" i="107"/>
  <c r="H5" i="107"/>
  <c r="I3" i="106"/>
  <c r="B2" i="106"/>
  <c r="C2" i="106"/>
  <c r="D2" i="106"/>
  <c r="E2" i="106"/>
  <c r="F2" i="106"/>
  <c r="G2" i="106"/>
  <c r="H2" i="106"/>
  <c r="I2" i="106"/>
  <c r="J2" i="106"/>
  <c r="K2" i="106"/>
  <c r="L2" i="106"/>
  <c r="B11" i="106"/>
  <c r="L5" i="100" l="1"/>
  <c r="K5" i="100"/>
  <c r="J5" i="100"/>
  <c r="I5" i="100"/>
  <c r="H5" i="100"/>
  <c r="G5" i="100"/>
  <c r="F5" i="100"/>
  <c r="E5" i="100"/>
  <c r="D5" i="100"/>
  <c r="C5" i="100"/>
  <c r="B5" i="100"/>
  <c r="I2" i="100"/>
  <c r="W5" i="99"/>
  <c r="V5" i="99"/>
  <c r="U5" i="99"/>
  <c r="T5" i="99"/>
  <c r="S5" i="99"/>
  <c r="R5" i="99"/>
  <c r="Q5" i="99"/>
  <c r="P5" i="99"/>
  <c r="O5" i="99"/>
  <c r="N5" i="99"/>
  <c r="M5" i="99"/>
  <c r="L5" i="99"/>
  <c r="K5" i="99"/>
  <c r="J5" i="99"/>
  <c r="I5" i="99"/>
  <c r="H5" i="99"/>
  <c r="G5" i="99"/>
  <c r="F5" i="99"/>
  <c r="E5" i="99"/>
  <c r="D5" i="99"/>
  <c r="C5" i="99"/>
  <c r="B5" i="99"/>
  <c r="I2" i="99"/>
  <c r="AE921" i="95"/>
  <c r="X921" i="95"/>
  <c r="AD921" i="95" s="1"/>
  <c r="W921" i="95"/>
  <c r="AC921" i="95" s="1"/>
  <c r="V921" i="95"/>
  <c r="AB921" i="95" s="1"/>
  <c r="AE920" i="95"/>
  <c r="X920" i="95"/>
  <c r="AD920" i="95" s="1"/>
  <c r="W920" i="95"/>
  <c r="AC920" i="95" s="1"/>
  <c r="V920" i="95"/>
  <c r="AB920" i="95" s="1"/>
  <c r="AE919" i="95"/>
  <c r="X919" i="95"/>
  <c r="AD919" i="95" s="1"/>
  <c r="W919" i="95"/>
  <c r="AC919" i="95" s="1"/>
  <c r="V919" i="95"/>
  <c r="AB919" i="95" s="1"/>
  <c r="AE918" i="95"/>
  <c r="X918" i="95"/>
  <c r="AD918" i="95" s="1"/>
  <c r="W918" i="95"/>
  <c r="AC918" i="95" s="1"/>
  <c r="V918" i="95"/>
  <c r="AB918" i="95" s="1"/>
  <c r="AE917" i="95"/>
  <c r="X917" i="95"/>
  <c r="AD917" i="95" s="1"/>
  <c r="W917" i="95"/>
  <c r="AC917" i="95" s="1"/>
  <c r="V917" i="95"/>
  <c r="AB917" i="95" s="1"/>
  <c r="AE916" i="95"/>
  <c r="X916" i="95"/>
  <c r="AD916" i="95" s="1"/>
  <c r="W916" i="95"/>
  <c r="AC916" i="95" s="1"/>
  <c r="V916" i="95"/>
  <c r="AB916" i="95" s="1"/>
  <c r="AE915" i="95"/>
  <c r="X915" i="95"/>
  <c r="AD915" i="95" s="1"/>
  <c r="W915" i="95"/>
  <c r="AC915" i="95" s="1"/>
  <c r="V915" i="95"/>
  <c r="AB915" i="95" s="1"/>
  <c r="AE914" i="95"/>
  <c r="X914" i="95"/>
  <c r="AD914" i="95" s="1"/>
  <c r="W914" i="95"/>
  <c r="AC914" i="95" s="1"/>
  <c r="V914" i="95"/>
  <c r="AB914" i="95" s="1"/>
  <c r="AE913" i="95"/>
  <c r="X913" i="95"/>
  <c r="AD913" i="95" s="1"/>
  <c r="W913" i="95"/>
  <c r="AC913" i="95" s="1"/>
  <c r="V913" i="95"/>
  <c r="AB913" i="95" s="1"/>
  <c r="AE912" i="95"/>
  <c r="X912" i="95"/>
  <c r="AD912" i="95" s="1"/>
  <c r="W912" i="95"/>
  <c r="AC912" i="95" s="1"/>
  <c r="V912" i="95"/>
  <c r="AB912" i="95" s="1"/>
  <c r="AE911" i="95"/>
  <c r="X911" i="95"/>
  <c r="AD911" i="95" s="1"/>
  <c r="W911" i="95"/>
  <c r="AC911" i="95" s="1"/>
  <c r="V911" i="95"/>
  <c r="AB911" i="95" s="1"/>
  <c r="AE910" i="95"/>
  <c r="X910" i="95"/>
  <c r="AD910" i="95" s="1"/>
  <c r="W910" i="95"/>
  <c r="AC910" i="95" s="1"/>
  <c r="V910" i="95"/>
  <c r="AB910" i="95" s="1"/>
  <c r="AE909" i="95"/>
  <c r="X909" i="95"/>
  <c r="AD909" i="95" s="1"/>
  <c r="W909" i="95"/>
  <c r="AC909" i="95" s="1"/>
  <c r="V909" i="95"/>
  <c r="AB909" i="95" s="1"/>
  <c r="AE908" i="95"/>
  <c r="X908" i="95"/>
  <c r="AD908" i="95" s="1"/>
  <c r="W908" i="95"/>
  <c r="AC908" i="95" s="1"/>
  <c r="V908" i="95"/>
  <c r="AB908" i="95" s="1"/>
  <c r="AE907" i="95"/>
  <c r="X907" i="95"/>
  <c r="AD907" i="95" s="1"/>
  <c r="W907" i="95"/>
  <c r="AC907" i="95" s="1"/>
  <c r="V907" i="95"/>
  <c r="AB907" i="95" s="1"/>
  <c r="AE906" i="95"/>
  <c r="X906" i="95"/>
  <c r="AD906" i="95" s="1"/>
  <c r="W906" i="95"/>
  <c r="AC906" i="95" s="1"/>
  <c r="V906" i="95"/>
  <c r="AB906" i="95" s="1"/>
  <c r="AE905" i="95"/>
  <c r="X905" i="95"/>
  <c r="AD905" i="95" s="1"/>
  <c r="W905" i="95"/>
  <c r="AC905" i="95" s="1"/>
  <c r="V905" i="95"/>
  <c r="AB905" i="95" s="1"/>
  <c r="AE904" i="95"/>
  <c r="AB904" i="95"/>
  <c r="X904" i="95"/>
  <c r="AD904" i="95" s="1"/>
  <c r="W904" i="95"/>
  <c r="AC904" i="95" s="1"/>
  <c r="V904" i="95"/>
  <c r="AE903" i="95"/>
  <c r="X903" i="95"/>
  <c r="AD903" i="95" s="1"/>
  <c r="W903" i="95"/>
  <c r="AC903" i="95" s="1"/>
  <c r="V903" i="95"/>
  <c r="AB903" i="95" s="1"/>
  <c r="AE902" i="95"/>
  <c r="X902" i="95"/>
  <c r="AD902" i="95" s="1"/>
  <c r="W902" i="95"/>
  <c r="AC902" i="95" s="1"/>
  <c r="V902" i="95"/>
  <c r="AB902" i="95" s="1"/>
  <c r="AE901" i="95"/>
  <c r="X901" i="95"/>
  <c r="AD901" i="95" s="1"/>
  <c r="W901" i="95"/>
  <c r="AC901" i="95" s="1"/>
  <c r="V901" i="95"/>
  <c r="AB901" i="95" s="1"/>
  <c r="AE900" i="95"/>
  <c r="X900" i="95"/>
  <c r="AD900" i="95" s="1"/>
  <c r="W900" i="95"/>
  <c r="AC900" i="95" s="1"/>
  <c r="V900" i="95"/>
  <c r="AB900" i="95" s="1"/>
  <c r="AE899" i="95"/>
  <c r="X899" i="95"/>
  <c r="AD899" i="95" s="1"/>
  <c r="W899" i="95"/>
  <c r="AC899" i="95" s="1"/>
  <c r="V899" i="95"/>
  <c r="AB899" i="95" s="1"/>
  <c r="AE898" i="95"/>
  <c r="X898" i="95"/>
  <c r="AD898" i="95" s="1"/>
  <c r="W898" i="95"/>
  <c r="AC898" i="95" s="1"/>
  <c r="V898" i="95"/>
  <c r="AB898" i="95" s="1"/>
  <c r="AE897" i="95"/>
  <c r="AB897" i="95"/>
  <c r="X897" i="95"/>
  <c r="AD897" i="95" s="1"/>
  <c r="W897" i="95"/>
  <c r="AC897" i="95" s="1"/>
  <c r="V897" i="95"/>
  <c r="AE896" i="95"/>
  <c r="X896" i="95"/>
  <c r="AD896" i="95" s="1"/>
  <c r="W896" i="95"/>
  <c r="AC896" i="95" s="1"/>
  <c r="V896" i="95"/>
  <c r="AB896" i="95" s="1"/>
  <c r="AE895" i="95"/>
  <c r="X895" i="95"/>
  <c r="AD895" i="95" s="1"/>
  <c r="W895" i="95"/>
  <c r="AC895" i="95" s="1"/>
  <c r="V895" i="95"/>
  <c r="AB895" i="95" s="1"/>
  <c r="AE894" i="95"/>
  <c r="X894" i="95"/>
  <c r="AD894" i="95" s="1"/>
  <c r="W894" i="95"/>
  <c r="AC894" i="95" s="1"/>
  <c r="V894" i="95"/>
  <c r="AB894" i="95" s="1"/>
  <c r="AE893" i="95"/>
  <c r="AB893" i="95"/>
  <c r="X893" i="95"/>
  <c r="AD893" i="95" s="1"/>
  <c r="W893" i="95"/>
  <c r="AC893" i="95" s="1"/>
  <c r="V893" i="95"/>
  <c r="AE892" i="95"/>
  <c r="X892" i="95"/>
  <c r="AD892" i="95" s="1"/>
  <c r="W892" i="95"/>
  <c r="AC892" i="95" s="1"/>
  <c r="V892" i="95"/>
  <c r="AB892" i="95" s="1"/>
  <c r="AE891" i="95"/>
  <c r="X891" i="95"/>
  <c r="AD891" i="95" s="1"/>
  <c r="W891" i="95"/>
  <c r="AC891" i="95" s="1"/>
  <c r="V891" i="95"/>
  <c r="AB891" i="95" s="1"/>
  <c r="AE890" i="95"/>
  <c r="X890" i="95"/>
  <c r="AD890" i="95" s="1"/>
  <c r="W890" i="95"/>
  <c r="AC890" i="95" s="1"/>
  <c r="V890" i="95"/>
  <c r="AB890" i="95" s="1"/>
  <c r="AE889" i="95"/>
  <c r="X889" i="95"/>
  <c r="AD889" i="95" s="1"/>
  <c r="W889" i="95"/>
  <c r="AC889" i="95" s="1"/>
  <c r="V889" i="95"/>
  <c r="AB889" i="95" s="1"/>
  <c r="AE888" i="95"/>
  <c r="X888" i="95"/>
  <c r="AD888" i="95" s="1"/>
  <c r="W888" i="95"/>
  <c r="AC888" i="95" s="1"/>
  <c r="V888" i="95"/>
  <c r="AB888" i="95" s="1"/>
  <c r="AE887" i="95"/>
  <c r="X887" i="95"/>
  <c r="AD887" i="95" s="1"/>
  <c r="W887" i="95"/>
  <c r="AC887" i="95" s="1"/>
  <c r="V887" i="95"/>
  <c r="AB887" i="95" s="1"/>
  <c r="AE886" i="95"/>
  <c r="AB886" i="95"/>
  <c r="X886" i="95"/>
  <c r="AD886" i="95" s="1"/>
  <c r="W886" i="95"/>
  <c r="AC886" i="95" s="1"/>
  <c r="V886" i="95"/>
  <c r="AE885" i="95"/>
  <c r="X885" i="95"/>
  <c r="AD885" i="95" s="1"/>
  <c r="W885" i="95"/>
  <c r="AC885" i="95" s="1"/>
  <c r="V885" i="95"/>
  <c r="AB885" i="95" s="1"/>
  <c r="AE884" i="95"/>
  <c r="X884" i="95"/>
  <c r="AD884" i="95" s="1"/>
  <c r="W884" i="95"/>
  <c r="AC884" i="95" s="1"/>
  <c r="V884" i="95"/>
  <c r="AB884" i="95" s="1"/>
  <c r="AE883" i="95"/>
  <c r="X883" i="95"/>
  <c r="AD883" i="95" s="1"/>
  <c r="W883" i="95"/>
  <c r="AC883" i="95" s="1"/>
  <c r="V883" i="95"/>
  <c r="AB883" i="95" s="1"/>
  <c r="AE882" i="95"/>
  <c r="X882" i="95"/>
  <c r="AD882" i="95" s="1"/>
  <c r="W882" i="95"/>
  <c r="AC882" i="95" s="1"/>
  <c r="V882" i="95"/>
  <c r="AB882" i="95" s="1"/>
  <c r="AE881" i="95"/>
  <c r="X881" i="95"/>
  <c r="AD881" i="95" s="1"/>
  <c r="W881" i="95"/>
  <c r="AC881" i="95" s="1"/>
  <c r="V881" i="95"/>
  <c r="AB881" i="95" s="1"/>
  <c r="AE880" i="95"/>
  <c r="X880" i="95"/>
  <c r="AD880" i="95" s="1"/>
  <c r="W880" i="95"/>
  <c r="AC880" i="95" s="1"/>
  <c r="V880" i="95"/>
  <c r="AB880" i="95" s="1"/>
  <c r="AE879" i="95"/>
  <c r="X879" i="95"/>
  <c r="AD879" i="95" s="1"/>
  <c r="W879" i="95"/>
  <c r="AC879" i="95" s="1"/>
  <c r="V879" i="95"/>
  <c r="AB879" i="95" s="1"/>
  <c r="AE878" i="95"/>
  <c r="AB878" i="95"/>
  <c r="X878" i="95"/>
  <c r="AD878" i="95" s="1"/>
  <c r="W878" i="95"/>
  <c r="AC878" i="95" s="1"/>
  <c r="V878" i="95"/>
  <c r="AE877" i="95"/>
  <c r="X877" i="95"/>
  <c r="AD877" i="95" s="1"/>
  <c r="W877" i="95"/>
  <c r="AC877" i="95" s="1"/>
  <c r="V877" i="95"/>
  <c r="AB877" i="95" s="1"/>
  <c r="AE876" i="95"/>
  <c r="X876" i="95"/>
  <c r="AD876" i="95" s="1"/>
  <c r="W876" i="95"/>
  <c r="AC876" i="95" s="1"/>
  <c r="V876" i="95"/>
  <c r="AB876" i="95" s="1"/>
  <c r="AE875" i="95"/>
  <c r="X875" i="95"/>
  <c r="AD875" i="95" s="1"/>
  <c r="W875" i="95"/>
  <c r="AC875" i="95" s="1"/>
  <c r="V875" i="95"/>
  <c r="AB875" i="95" s="1"/>
  <c r="AE874" i="95"/>
  <c r="X874" i="95"/>
  <c r="AD874" i="95" s="1"/>
  <c r="W874" i="95"/>
  <c r="AC874" i="95" s="1"/>
  <c r="V874" i="95"/>
  <c r="AB874" i="95" s="1"/>
  <c r="AE873" i="95"/>
  <c r="X873" i="95"/>
  <c r="AD873" i="95" s="1"/>
  <c r="W873" i="95"/>
  <c r="AC873" i="95" s="1"/>
  <c r="V873" i="95"/>
  <c r="AB873" i="95" s="1"/>
  <c r="AE872" i="95"/>
  <c r="X872" i="95"/>
  <c r="AD872" i="95" s="1"/>
  <c r="W872" i="95"/>
  <c r="AC872" i="95" s="1"/>
  <c r="V872" i="95"/>
  <c r="AB872" i="95" s="1"/>
  <c r="AE871" i="95"/>
  <c r="X871" i="95"/>
  <c r="AD871" i="95" s="1"/>
  <c r="W871" i="95"/>
  <c r="AC871" i="95" s="1"/>
  <c r="V871" i="95"/>
  <c r="AB871" i="95" s="1"/>
  <c r="AE870" i="95"/>
  <c r="X870" i="95"/>
  <c r="AD870" i="95" s="1"/>
  <c r="W870" i="95"/>
  <c r="AC870" i="95" s="1"/>
  <c r="V870" i="95"/>
  <c r="AB870" i="95" s="1"/>
  <c r="AE869" i="95"/>
  <c r="AB869" i="95"/>
  <c r="X869" i="95"/>
  <c r="AD869" i="95" s="1"/>
  <c r="W869" i="95"/>
  <c r="AC869" i="95" s="1"/>
  <c r="V869" i="95"/>
  <c r="AE868" i="95"/>
  <c r="AB868" i="95"/>
  <c r="X868" i="95"/>
  <c r="AD868" i="95" s="1"/>
  <c r="W868" i="95"/>
  <c r="AC868" i="95" s="1"/>
  <c r="V868" i="95"/>
  <c r="AE867" i="95"/>
  <c r="X867" i="95"/>
  <c r="AD867" i="95" s="1"/>
  <c r="W867" i="95"/>
  <c r="AC867" i="95" s="1"/>
  <c r="V867" i="95"/>
  <c r="AB867" i="95" s="1"/>
  <c r="AE866" i="95"/>
  <c r="X866" i="95"/>
  <c r="AD866" i="95" s="1"/>
  <c r="W866" i="95"/>
  <c r="AC866" i="95" s="1"/>
  <c r="V866" i="95"/>
  <c r="AB866" i="95" s="1"/>
  <c r="AE865" i="95"/>
  <c r="X865" i="95"/>
  <c r="AD865" i="95" s="1"/>
  <c r="W865" i="95"/>
  <c r="AC865" i="95" s="1"/>
  <c r="V865" i="95"/>
  <c r="AB865" i="95" s="1"/>
  <c r="AE864" i="95"/>
  <c r="X864" i="95"/>
  <c r="AD864" i="95" s="1"/>
  <c r="W864" i="95"/>
  <c r="AC864" i="95" s="1"/>
  <c r="V864" i="95"/>
  <c r="AB864" i="95" s="1"/>
  <c r="AE863" i="95"/>
  <c r="X863" i="95"/>
  <c r="AD863" i="95" s="1"/>
  <c r="W863" i="95"/>
  <c r="AC863" i="95" s="1"/>
  <c r="V863" i="95"/>
  <c r="AB863" i="95" s="1"/>
  <c r="AE862" i="95"/>
  <c r="X862" i="95"/>
  <c r="AD862" i="95" s="1"/>
  <c r="W862" i="95"/>
  <c r="AC862" i="95" s="1"/>
  <c r="V862" i="95"/>
  <c r="AB862" i="95" s="1"/>
  <c r="AE861" i="95"/>
  <c r="X861" i="95"/>
  <c r="AD861" i="95" s="1"/>
  <c r="W861" i="95"/>
  <c r="AC861" i="95" s="1"/>
  <c r="V861" i="95"/>
  <c r="AB861" i="95" s="1"/>
  <c r="AE860" i="95"/>
  <c r="AB860" i="95"/>
  <c r="X860" i="95"/>
  <c r="AD860" i="95" s="1"/>
  <c r="W860" i="95"/>
  <c r="AC860" i="95" s="1"/>
  <c r="V860" i="95"/>
  <c r="AE859" i="95"/>
  <c r="X859" i="95"/>
  <c r="AD859" i="95" s="1"/>
  <c r="W859" i="95"/>
  <c r="AC859" i="95" s="1"/>
  <c r="V859" i="95"/>
  <c r="AB859" i="95" s="1"/>
  <c r="AE858" i="95"/>
  <c r="X858" i="95"/>
  <c r="AD858" i="95" s="1"/>
  <c r="W858" i="95"/>
  <c r="AC858" i="95" s="1"/>
  <c r="V858" i="95"/>
  <c r="AB858" i="95" s="1"/>
  <c r="AE857" i="95"/>
  <c r="X857" i="95"/>
  <c r="AD857" i="95" s="1"/>
  <c r="W857" i="95"/>
  <c r="AC857" i="95" s="1"/>
  <c r="V857" i="95"/>
  <c r="AB857" i="95" s="1"/>
  <c r="AE856" i="95"/>
  <c r="AB856" i="95"/>
  <c r="X856" i="95"/>
  <c r="AD856" i="95" s="1"/>
  <c r="W856" i="95"/>
  <c r="AC856" i="95" s="1"/>
  <c r="V856" i="95"/>
  <c r="AE855" i="95"/>
  <c r="X855" i="95"/>
  <c r="AD855" i="95" s="1"/>
  <c r="W855" i="95"/>
  <c r="AC855" i="95" s="1"/>
  <c r="V855" i="95"/>
  <c r="AB855" i="95" s="1"/>
  <c r="AE854" i="95"/>
  <c r="X854" i="95"/>
  <c r="AD854" i="95" s="1"/>
  <c r="W854" i="95"/>
  <c r="AC854" i="95" s="1"/>
  <c r="V854" i="95"/>
  <c r="AB854" i="95" s="1"/>
  <c r="AE853" i="95"/>
  <c r="X853" i="95"/>
  <c r="AD853" i="95" s="1"/>
  <c r="W853" i="95"/>
  <c r="AC853" i="95" s="1"/>
  <c r="V853" i="95"/>
  <c r="AB853" i="95" s="1"/>
  <c r="AE852" i="95"/>
  <c r="X852" i="95"/>
  <c r="AD852" i="95" s="1"/>
  <c r="W852" i="95"/>
  <c r="AC852" i="95" s="1"/>
  <c r="V852" i="95"/>
  <c r="AB852" i="95" s="1"/>
  <c r="AE851" i="95"/>
  <c r="X851" i="95"/>
  <c r="AD851" i="95" s="1"/>
  <c r="W851" i="95"/>
  <c r="AC851" i="95" s="1"/>
  <c r="V851" i="95"/>
  <c r="AB851" i="95" s="1"/>
  <c r="AE850" i="95"/>
  <c r="X850" i="95"/>
  <c r="AD850" i="95" s="1"/>
  <c r="W850" i="95"/>
  <c r="AC850" i="95" s="1"/>
  <c r="V850" i="95"/>
  <c r="AB850" i="95" s="1"/>
  <c r="AE849" i="95"/>
  <c r="X849" i="95"/>
  <c r="AD849" i="95" s="1"/>
  <c r="W849" i="95"/>
  <c r="AC849" i="95" s="1"/>
  <c r="V849" i="95"/>
  <c r="AB849" i="95" s="1"/>
  <c r="AE848" i="95"/>
  <c r="X848" i="95"/>
  <c r="AD848" i="95" s="1"/>
  <c r="W848" i="95"/>
  <c r="AC848" i="95" s="1"/>
  <c r="V848" i="95"/>
  <c r="AB848" i="95" s="1"/>
  <c r="AE847" i="95"/>
  <c r="X847" i="95"/>
  <c r="AD847" i="95" s="1"/>
  <c r="W847" i="95"/>
  <c r="AC847" i="95" s="1"/>
  <c r="V847" i="95"/>
  <c r="AB847" i="95" s="1"/>
  <c r="AE846" i="95"/>
  <c r="X846" i="95"/>
  <c r="AD846" i="95" s="1"/>
  <c r="W846" i="95"/>
  <c r="AC846" i="95" s="1"/>
  <c r="V846" i="95"/>
  <c r="AB846" i="95" s="1"/>
  <c r="AE845" i="95"/>
  <c r="X845" i="95"/>
  <c r="AD845" i="95" s="1"/>
  <c r="W845" i="95"/>
  <c r="AC845" i="95" s="1"/>
  <c r="V845" i="95"/>
  <c r="AB845" i="95" s="1"/>
  <c r="AE844" i="95"/>
  <c r="X844" i="95"/>
  <c r="AD844" i="95" s="1"/>
  <c r="W844" i="95"/>
  <c r="AC844" i="95" s="1"/>
  <c r="V844" i="95"/>
  <c r="AB844" i="95" s="1"/>
  <c r="AE843" i="95"/>
  <c r="X843" i="95"/>
  <c r="AD843" i="95" s="1"/>
  <c r="W843" i="95"/>
  <c r="AC843" i="95" s="1"/>
  <c r="V843" i="95"/>
  <c r="AB843" i="95" s="1"/>
  <c r="AE842" i="95"/>
  <c r="X842" i="95"/>
  <c r="AD842" i="95" s="1"/>
  <c r="W842" i="95"/>
  <c r="AC842" i="95" s="1"/>
  <c r="V842" i="95"/>
  <c r="AB842" i="95" s="1"/>
  <c r="AE841" i="95"/>
  <c r="X841" i="95"/>
  <c r="AD841" i="95" s="1"/>
  <c r="W841" i="95"/>
  <c r="AC841" i="95" s="1"/>
  <c r="V841" i="95"/>
  <c r="AB841" i="95" s="1"/>
  <c r="AE840" i="95"/>
  <c r="AB840" i="95"/>
  <c r="X840" i="95"/>
  <c r="AD840" i="95" s="1"/>
  <c r="W840" i="95"/>
  <c r="AC840" i="95" s="1"/>
  <c r="V840" i="95"/>
  <c r="AE839" i="95"/>
  <c r="X839" i="95"/>
  <c r="AD839" i="95" s="1"/>
  <c r="W839" i="95"/>
  <c r="AC839" i="95" s="1"/>
  <c r="V839" i="95"/>
  <c r="AB839" i="95" s="1"/>
  <c r="AE838" i="95"/>
  <c r="X838" i="95"/>
  <c r="AD838" i="95" s="1"/>
  <c r="W838" i="95"/>
  <c r="AC838" i="95" s="1"/>
  <c r="V838" i="95"/>
  <c r="AB838" i="95" s="1"/>
  <c r="AE837" i="95"/>
  <c r="X837" i="95"/>
  <c r="AD837" i="95" s="1"/>
  <c r="W837" i="95"/>
  <c r="AC837" i="95" s="1"/>
  <c r="V837" i="95"/>
  <c r="AB837" i="95" s="1"/>
  <c r="AE836" i="95"/>
  <c r="X836" i="95"/>
  <c r="AD836" i="95" s="1"/>
  <c r="W836" i="95"/>
  <c r="AC836" i="95" s="1"/>
  <c r="V836" i="95"/>
  <c r="AB836" i="95" s="1"/>
  <c r="AE835" i="95"/>
  <c r="X835" i="95"/>
  <c r="AD835" i="95" s="1"/>
  <c r="W835" i="95"/>
  <c r="AC835" i="95" s="1"/>
  <c r="V835" i="95"/>
  <c r="AB835" i="95" s="1"/>
  <c r="AE834" i="95"/>
  <c r="X834" i="95"/>
  <c r="AD834" i="95" s="1"/>
  <c r="W834" i="95"/>
  <c r="AC834" i="95" s="1"/>
  <c r="V834" i="95"/>
  <c r="AB834" i="95" s="1"/>
  <c r="AE833" i="95"/>
  <c r="X833" i="95"/>
  <c r="AD833" i="95" s="1"/>
  <c r="W833" i="95"/>
  <c r="AC833" i="95" s="1"/>
  <c r="V833" i="95"/>
  <c r="AB833" i="95" s="1"/>
  <c r="AE832" i="95"/>
  <c r="X832" i="95"/>
  <c r="AD832" i="95" s="1"/>
  <c r="W832" i="95"/>
  <c r="AC832" i="95" s="1"/>
  <c r="V832" i="95"/>
  <c r="AB832" i="95" s="1"/>
  <c r="AE831" i="95"/>
  <c r="X831" i="95"/>
  <c r="AD831" i="95" s="1"/>
  <c r="W831" i="95"/>
  <c r="AC831" i="95" s="1"/>
  <c r="V831" i="95"/>
  <c r="AB831" i="95" s="1"/>
  <c r="AE830" i="95"/>
  <c r="X830" i="95"/>
  <c r="AD830" i="95" s="1"/>
  <c r="W830" i="95"/>
  <c r="AC830" i="95" s="1"/>
  <c r="V830" i="95"/>
  <c r="AB830" i="95" s="1"/>
  <c r="AE829" i="95"/>
  <c r="X829" i="95"/>
  <c r="AD829" i="95" s="1"/>
  <c r="W829" i="95"/>
  <c r="AC829" i="95" s="1"/>
  <c r="V829" i="95"/>
  <c r="AB829" i="95" s="1"/>
  <c r="AE828" i="95"/>
  <c r="AB828" i="95"/>
  <c r="X828" i="95"/>
  <c r="AD828" i="95" s="1"/>
  <c r="W828" i="95"/>
  <c r="AC828" i="95" s="1"/>
  <c r="V828" i="95"/>
  <c r="AE827" i="95"/>
  <c r="AC827" i="95"/>
  <c r="X827" i="95"/>
  <c r="AD827" i="95" s="1"/>
  <c r="W827" i="95"/>
  <c r="V827" i="95"/>
  <c r="AB827" i="95" s="1"/>
  <c r="AE826" i="95"/>
  <c r="X826" i="95"/>
  <c r="AD826" i="95" s="1"/>
  <c r="W826" i="95"/>
  <c r="AC826" i="95" s="1"/>
  <c r="V826" i="95"/>
  <c r="AB826" i="95" s="1"/>
  <c r="AE825" i="95"/>
  <c r="X825" i="95"/>
  <c r="AD825" i="95" s="1"/>
  <c r="W825" i="95"/>
  <c r="AC825" i="95" s="1"/>
  <c r="V825" i="95"/>
  <c r="AB825" i="95" s="1"/>
  <c r="AE824" i="95"/>
  <c r="X824" i="95"/>
  <c r="AD824" i="95" s="1"/>
  <c r="W824" i="95"/>
  <c r="AC824" i="95" s="1"/>
  <c r="V824" i="95"/>
  <c r="AB824" i="95" s="1"/>
  <c r="AE823" i="95"/>
  <c r="X823" i="95"/>
  <c r="AD823" i="95" s="1"/>
  <c r="W823" i="95"/>
  <c r="AC823" i="95" s="1"/>
  <c r="V823" i="95"/>
  <c r="AB823" i="95" s="1"/>
  <c r="AE822" i="95"/>
  <c r="X822" i="95"/>
  <c r="AD822" i="95" s="1"/>
  <c r="W822" i="95"/>
  <c r="AC822" i="95" s="1"/>
  <c r="V822" i="95"/>
  <c r="AB822" i="95" s="1"/>
  <c r="AE821" i="95"/>
  <c r="X821" i="95"/>
  <c r="AD821" i="95" s="1"/>
  <c r="W821" i="95"/>
  <c r="AC821" i="95" s="1"/>
  <c r="V821" i="95"/>
  <c r="AB821" i="95" s="1"/>
  <c r="AE820" i="95"/>
  <c r="X820" i="95"/>
  <c r="AD820" i="95" s="1"/>
  <c r="W820" i="95"/>
  <c r="AC820" i="95" s="1"/>
  <c r="V820" i="95"/>
  <c r="AB820" i="95" s="1"/>
  <c r="AE819" i="95"/>
  <c r="X819" i="95"/>
  <c r="AD819" i="95" s="1"/>
  <c r="W819" i="95"/>
  <c r="AC819" i="95" s="1"/>
  <c r="V819" i="95"/>
  <c r="AB819" i="95" s="1"/>
  <c r="AE818" i="95"/>
  <c r="AD818" i="95"/>
  <c r="X818" i="95"/>
  <c r="W818" i="95"/>
  <c r="AC818" i="95" s="1"/>
  <c r="V818" i="95"/>
  <c r="AB818" i="95" s="1"/>
  <c r="AE817" i="95"/>
  <c r="X817" i="95"/>
  <c r="AD817" i="95" s="1"/>
  <c r="W817" i="95"/>
  <c r="AC817" i="95" s="1"/>
  <c r="V817" i="95"/>
  <c r="AB817" i="95" s="1"/>
  <c r="AE816" i="95"/>
  <c r="X816" i="95"/>
  <c r="AD816" i="95" s="1"/>
  <c r="W816" i="95"/>
  <c r="AC816" i="95" s="1"/>
  <c r="V816" i="95"/>
  <c r="AB816" i="95" s="1"/>
  <c r="AE815" i="95"/>
  <c r="X815" i="95"/>
  <c r="AD815" i="95" s="1"/>
  <c r="W815" i="95"/>
  <c r="AC815" i="95" s="1"/>
  <c r="V815" i="95"/>
  <c r="AB815" i="95" s="1"/>
  <c r="AE814" i="95"/>
  <c r="AD814" i="95"/>
  <c r="X814" i="95"/>
  <c r="W814" i="95"/>
  <c r="AC814" i="95" s="1"/>
  <c r="V814" i="95"/>
  <c r="AB814" i="95" s="1"/>
  <c r="AE813" i="95"/>
  <c r="X813" i="95"/>
  <c r="AD813" i="95" s="1"/>
  <c r="W813" i="95"/>
  <c r="AC813" i="95" s="1"/>
  <c r="V813" i="95"/>
  <c r="AB813" i="95" s="1"/>
  <c r="AE812" i="95"/>
  <c r="X812" i="95"/>
  <c r="AD812" i="95" s="1"/>
  <c r="W812" i="95"/>
  <c r="AC812" i="95" s="1"/>
  <c r="V812" i="95"/>
  <c r="AB812" i="95" s="1"/>
  <c r="AE811" i="95"/>
  <c r="X811" i="95"/>
  <c r="AD811" i="95" s="1"/>
  <c r="W811" i="95"/>
  <c r="AC811" i="95" s="1"/>
  <c r="V811" i="95"/>
  <c r="AB811" i="95" s="1"/>
  <c r="AE810" i="95"/>
  <c r="X810" i="95"/>
  <c r="AD810" i="95" s="1"/>
  <c r="W810" i="95"/>
  <c r="AC810" i="95" s="1"/>
  <c r="V810" i="95"/>
  <c r="AB810" i="95" s="1"/>
  <c r="AE809" i="95"/>
  <c r="X809" i="95"/>
  <c r="AD809" i="95" s="1"/>
  <c r="W809" i="95"/>
  <c r="AC809" i="95" s="1"/>
  <c r="V809" i="95"/>
  <c r="AB809" i="95" s="1"/>
  <c r="AE808" i="95"/>
  <c r="X808" i="95"/>
  <c r="AD808" i="95" s="1"/>
  <c r="W808" i="95"/>
  <c r="AC808" i="95" s="1"/>
  <c r="V808" i="95"/>
  <c r="AB808" i="95" s="1"/>
  <c r="AE807" i="95"/>
  <c r="X807" i="95"/>
  <c r="AD807" i="95" s="1"/>
  <c r="W807" i="95"/>
  <c r="AC807" i="95" s="1"/>
  <c r="V807" i="95"/>
  <c r="AB807" i="95" s="1"/>
  <c r="AE806" i="95"/>
  <c r="X806" i="95"/>
  <c r="AD806" i="95" s="1"/>
  <c r="W806" i="95"/>
  <c r="AC806" i="95" s="1"/>
  <c r="V806" i="95"/>
  <c r="AB806" i="95" s="1"/>
  <c r="AE805" i="95"/>
  <c r="AB805" i="95"/>
  <c r="X805" i="95"/>
  <c r="AD805" i="95" s="1"/>
  <c r="W805" i="95"/>
  <c r="AC805" i="95" s="1"/>
  <c r="V805" i="95"/>
  <c r="AE804" i="95"/>
  <c r="X804" i="95"/>
  <c r="AD804" i="95" s="1"/>
  <c r="W804" i="95"/>
  <c r="AC804" i="95" s="1"/>
  <c r="V804" i="95"/>
  <c r="AB804" i="95" s="1"/>
  <c r="AE803" i="95"/>
  <c r="AD803" i="95"/>
  <c r="X803" i="95"/>
  <c r="W803" i="95"/>
  <c r="AC803" i="95" s="1"/>
  <c r="V803" i="95"/>
  <c r="AB803" i="95" s="1"/>
  <c r="AE802" i="95"/>
  <c r="X802" i="95"/>
  <c r="AD802" i="95" s="1"/>
  <c r="W802" i="95"/>
  <c r="AC802" i="95" s="1"/>
  <c r="V802" i="95"/>
  <c r="AB802" i="95" s="1"/>
  <c r="AE801" i="95"/>
  <c r="X801" i="95"/>
  <c r="AD801" i="95" s="1"/>
  <c r="W801" i="95"/>
  <c r="AC801" i="95" s="1"/>
  <c r="V801" i="95"/>
  <c r="AB801" i="95" s="1"/>
  <c r="AE800" i="95"/>
  <c r="X800" i="95"/>
  <c r="AD800" i="95" s="1"/>
  <c r="W800" i="95"/>
  <c r="AC800" i="95" s="1"/>
  <c r="V800" i="95"/>
  <c r="AB800" i="95" s="1"/>
  <c r="AE799" i="95"/>
  <c r="AD799" i="95"/>
  <c r="X799" i="95"/>
  <c r="W799" i="95"/>
  <c r="AC799" i="95" s="1"/>
  <c r="V799" i="95"/>
  <c r="AB799" i="95" s="1"/>
  <c r="AE798" i="95"/>
  <c r="X798" i="95"/>
  <c r="AD798" i="95" s="1"/>
  <c r="W798" i="95"/>
  <c r="AC798" i="95" s="1"/>
  <c r="V798" i="95"/>
  <c r="AB798" i="95" s="1"/>
  <c r="AE797" i="95"/>
  <c r="X797" i="95"/>
  <c r="AD797" i="95" s="1"/>
  <c r="W797" i="95"/>
  <c r="AC797" i="95" s="1"/>
  <c r="V797" i="95"/>
  <c r="AB797" i="95" s="1"/>
  <c r="AE796" i="95"/>
  <c r="X796" i="95"/>
  <c r="AD796" i="95" s="1"/>
  <c r="W796" i="95"/>
  <c r="AC796" i="95" s="1"/>
  <c r="V796" i="95"/>
  <c r="AB796" i="95" s="1"/>
  <c r="AE795" i="95"/>
  <c r="X795" i="95"/>
  <c r="AD795" i="95" s="1"/>
  <c r="W795" i="95"/>
  <c r="AC795" i="95" s="1"/>
  <c r="V795" i="95"/>
  <c r="AB795" i="95" s="1"/>
  <c r="AE794" i="95"/>
  <c r="X794" i="95"/>
  <c r="AD794" i="95" s="1"/>
  <c r="W794" i="95"/>
  <c r="AC794" i="95" s="1"/>
  <c r="V794" i="95"/>
  <c r="AB794" i="95" s="1"/>
  <c r="AE793" i="95"/>
  <c r="AD793" i="95"/>
  <c r="X793" i="95"/>
  <c r="W793" i="95"/>
  <c r="AC793" i="95" s="1"/>
  <c r="V793" i="95"/>
  <c r="AB793" i="95" s="1"/>
  <c r="AE792" i="95"/>
  <c r="X792" i="95"/>
  <c r="AD792" i="95" s="1"/>
  <c r="W792" i="95"/>
  <c r="AC792" i="95" s="1"/>
  <c r="V792" i="95"/>
  <c r="AB792" i="95" s="1"/>
  <c r="AE791" i="95"/>
  <c r="AD791" i="95"/>
  <c r="X791" i="95"/>
  <c r="W791" i="95"/>
  <c r="AC791" i="95" s="1"/>
  <c r="V791" i="95"/>
  <c r="AB791" i="95" s="1"/>
  <c r="AE790" i="95"/>
  <c r="X790" i="95"/>
  <c r="AD790" i="95" s="1"/>
  <c r="W790" i="95"/>
  <c r="AC790" i="95" s="1"/>
  <c r="V790" i="95"/>
  <c r="AB790" i="95" s="1"/>
  <c r="AE789" i="95"/>
  <c r="X789" i="95"/>
  <c r="AD789" i="95" s="1"/>
  <c r="W789" i="95"/>
  <c r="AC789" i="95" s="1"/>
  <c r="V789" i="95"/>
  <c r="AB789" i="95" s="1"/>
  <c r="AE788" i="95"/>
  <c r="X788" i="95"/>
  <c r="AD788" i="95" s="1"/>
  <c r="W788" i="95"/>
  <c r="AC788" i="95" s="1"/>
  <c r="V788" i="95"/>
  <c r="AB788" i="95" s="1"/>
  <c r="AE787" i="95"/>
  <c r="X787" i="95"/>
  <c r="AD787" i="95" s="1"/>
  <c r="W787" i="95"/>
  <c r="AC787" i="95" s="1"/>
  <c r="V787" i="95"/>
  <c r="AB787" i="95" s="1"/>
  <c r="AE786" i="95"/>
  <c r="X786" i="95"/>
  <c r="AD786" i="95" s="1"/>
  <c r="W786" i="95"/>
  <c r="AC786" i="95" s="1"/>
  <c r="V786" i="95"/>
  <c r="AB786" i="95" s="1"/>
  <c r="AE785" i="95"/>
  <c r="AB785" i="95"/>
  <c r="X785" i="95"/>
  <c r="AD785" i="95" s="1"/>
  <c r="W785" i="95"/>
  <c r="AC785" i="95" s="1"/>
  <c r="V785" i="95"/>
  <c r="AE784" i="95"/>
  <c r="AC784" i="95"/>
  <c r="X784" i="95"/>
  <c r="AD784" i="95" s="1"/>
  <c r="W784" i="95"/>
  <c r="V784" i="95"/>
  <c r="AB784" i="95" s="1"/>
  <c r="AE783" i="95"/>
  <c r="X783" i="95"/>
  <c r="AD783" i="95" s="1"/>
  <c r="W783" i="95"/>
  <c r="AC783" i="95" s="1"/>
  <c r="V783" i="95"/>
  <c r="AB783" i="95" s="1"/>
  <c r="AE782" i="95"/>
  <c r="X782" i="95"/>
  <c r="AD782" i="95" s="1"/>
  <c r="W782" i="95"/>
  <c r="AC782" i="95" s="1"/>
  <c r="V782" i="95"/>
  <c r="AB782" i="95" s="1"/>
  <c r="AE781" i="95"/>
  <c r="X781" i="95"/>
  <c r="AD781" i="95" s="1"/>
  <c r="W781" i="95"/>
  <c r="AC781" i="95" s="1"/>
  <c r="V781" i="95"/>
  <c r="AB781" i="95" s="1"/>
  <c r="AE780" i="95"/>
  <c r="AC780" i="95"/>
  <c r="X780" i="95"/>
  <c r="AD780" i="95" s="1"/>
  <c r="W780" i="95"/>
  <c r="V780" i="95"/>
  <c r="AB780" i="95" s="1"/>
  <c r="AE779" i="95"/>
  <c r="AD779" i="95"/>
  <c r="X779" i="95"/>
  <c r="W779" i="95"/>
  <c r="AC779" i="95" s="1"/>
  <c r="V779" i="95"/>
  <c r="AB779" i="95" s="1"/>
  <c r="AE778" i="95"/>
  <c r="X778" i="95"/>
  <c r="AD778" i="95" s="1"/>
  <c r="W778" i="95"/>
  <c r="AC778" i="95" s="1"/>
  <c r="V778" i="95"/>
  <c r="AB778" i="95" s="1"/>
  <c r="AE777" i="95"/>
  <c r="X777" i="95"/>
  <c r="AD777" i="95" s="1"/>
  <c r="W777" i="95"/>
  <c r="AC777" i="95" s="1"/>
  <c r="V777" i="95"/>
  <c r="AB777" i="95" s="1"/>
  <c r="AE776" i="95"/>
  <c r="X776" i="95"/>
  <c r="AD776" i="95" s="1"/>
  <c r="W776" i="95"/>
  <c r="AC776" i="95" s="1"/>
  <c r="V776" i="95"/>
  <c r="AB776" i="95" s="1"/>
  <c r="AE775" i="95"/>
  <c r="X775" i="95"/>
  <c r="AD775" i="95" s="1"/>
  <c r="W775" i="95"/>
  <c r="AC775" i="95" s="1"/>
  <c r="V775" i="95"/>
  <c r="AB775" i="95" s="1"/>
  <c r="AE774" i="95"/>
  <c r="AC774" i="95"/>
  <c r="X774" i="95"/>
  <c r="AD774" i="95" s="1"/>
  <c r="W774" i="95"/>
  <c r="V774" i="95"/>
  <c r="AB774" i="95" s="1"/>
  <c r="AE773" i="95"/>
  <c r="X773" i="95"/>
  <c r="AD773" i="95" s="1"/>
  <c r="W773" i="95"/>
  <c r="AC773" i="95" s="1"/>
  <c r="V773" i="95"/>
  <c r="AB773" i="95" s="1"/>
  <c r="AE772" i="95"/>
  <c r="X772" i="95"/>
  <c r="AD772" i="95" s="1"/>
  <c r="W772" i="95"/>
  <c r="AC772" i="95" s="1"/>
  <c r="V772" i="95"/>
  <c r="AB772" i="95" s="1"/>
  <c r="AE771" i="95"/>
  <c r="X771" i="95"/>
  <c r="AD771" i="95" s="1"/>
  <c r="W771" i="95"/>
  <c r="AC771" i="95" s="1"/>
  <c r="V771" i="95"/>
  <c r="AB771" i="95" s="1"/>
  <c r="AE770" i="95"/>
  <c r="X770" i="95"/>
  <c r="AD770" i="95" s="1"/>
  <c r="W770" i="95"/>
  <c r="AC770" i="95" s="1"/>
  <c r="V770" i="95"/>
  <c r="AB770" i="95" s="1"/>
  <c r="AE769" i="95"/>
  <c r="X769" i="95"/>
  <c r="AD769" i="95" s="1"/>
  <c r="W769" i="95"/>
  <c r="AC769" i="95" s="1"/>
  <c r="V769" i="95"/>
  <c r="AB769" i="95" s="1"/>
  <c r="AE768" i="95"/>
  <c r="X768" i="95"/>
  <c r="AD768" i="95" s="1"/>
  <c r="W768" i="95"/>
  <c r="AC768" i="95" s="1"/>
  <c r="V768" i="95"/>
  <c r="AB768" i="95" s="1"/>
  <c r="AE767" i="95"/>
  <c r="AB767" i="95"/>
  <c r="X767" i="95"/>
  <c r="AD767" i="95" s="1"/>
  <c r="W767" i="95"/>
  <c r="AC767" i="95" s="1"/>
  <c r="V767" i="95"/>
  <c r="AE766" i="95"/>
  <c r="AC766" i="95"/>
  <c r="X766" i="95"/>
  <c r="AD766" i="95" s="1"/>
  <c r="W766" i="95"/>
  <c r="V766" i="95"/>
  <c r="AB766" i="95" s="1"/>
  <c r="AE765" i="95"/>
  <c r="X765" i="95"/>
  <c r="AD765" i="95" s="1"/>
  <c r="W765" i="95"/>
  <c r="AC765" i="95" s="1"/>
  <c r="V765" i="95"/>
  <c r="AB765" i="95" s="1"/>
  <c r="AE764" i="95"/>
  <c r="X764" i="95"/>
  <c r="AD764" i="95" s="1"/>
  <c r="W764" i="95"/>
  <c r="AC764" i="95" s="1"/>
  <c r="V764" i="95"/>
  <c r="AB764" i="95" s="1"/>
  <c r="AE763" i="95"/>
  <c r="AB763" i="95"/>
  <c r="X763" i="95"/>
  <c r="AD763" i="95" s="1"/>
  <c r="W763" i="95"/>
  <c r="AC763" i="95" s="1"/>
  <c r="V763" i="95"/>
  <c r="AE762" i="95"/>
  <c r="X762" i="95"/>
  <c r="AD762" i="95" s="1"/>
  <c r="W762" i="95"/>
  <c r="AC762" i="95" s="1"/>
  <c r="V762" i="95"/>
  <c r="AB762" i="95" s="1"/>
  <c r="AE761" i="95"/>
  <c r="X761" i="95"/>
  <c r="AD761" i="95" s="1"/>
  <c r="W761" i="95"/>
  <c r="AC761" i="95" s="1"/>
  <c r="V761" i="95"/>
  <c r="AB761" i="95" s="1"/>
  <c r="AE760" i="95"/>
  <c r="X760" i="95"/>
  <c r="AD760" i="95" s="1"/>
  <c r="W760" i="95"/>
  <c r="AC760" i="95" s="1"/>
  <c r="V760" i="95"/>
  <c r="AB760" i="95" s="1"/>
  <c r="AE759" i="95"/>
  <c r="X759" i="95"/>
  <c r="AD759" i="95" s="1"/>
  <c r="W759" i="95"/>
  <c r="AC759" i="95" s="1"/>
  <c r="V759" i="95"/>
  <c r="AB759" i="95" s="1"/>
  <c r="AE758" i="95"/>
  <c r="X758" i="95"/>
  <c r="AD758" i="95" s="1"/>
  <c r="W758" i="95"/>
  <c r="AC758" i="95" s="1"/>
  <c r="V758" i="95"/>
  <c r="AB758" i="95" s="1"/>
  <c r="AE757" i="95"/>
  <c r="X757" i="95"/>
  <c r="AD757" i="95" s="1"/>
  <c r="W757" i="95"/>
  <c r="AC757" i="95" s="1"/>
  <c r="V757" i="95"/>
  <c r="AB757" i="95" s="1"/>
  <c r="AE756" i="95"/>
  <c r="AC756" i="95"/>
  <c r="X756" i="95"/>
  <c r="AD756" i="95" s="1"/>
  <c r="W756" i="95"/>
  <c r="V756" i="95"/>
  <c r="AB756" i="95" s="1"/>
  <c r="AE755" i="95"/>
  <c r="X755" i="95"/>
  <c r="AD755" i="95" s="1"/>
  <c r="W755" i="95"/>
  <c r="AC755" i="95" s="1"/>
  <c r="V755" i="95"/>
  <c r="AB755" i="95" s="1"/>
  <c r="AE754" i="95"/>
  <c r="X754" i="95"/>
  <c r="AD754" i="95" s="1"/>
  <c r="W754" i="95"/>
  <c r="AC754" i="95" s="1"/>
  <c r="V754" i="95"/>
  <c r="AB754" i="95" s="1"/>
  <c r="AE753" i="95"/>
  <c r="X753" i="95"/>
  <c r="AD753" i="95" s="1"/>
  <c r="W753" i="95"/>
  <c r="AC753" i="95" s="1"/>
  <c r="V753" i="95"/>
  <c r="AB753" i="95" s="1"/>
  <c r="AE752" i="95"/>
  <c r="X752" i="95"/>
  <c r="AD752" i="95" s="1"/>
  <c r="W752" i="95"/>
  <c r="AC752" i="95" s="1"/>
  <c r="V752" i="95"/>
  <c r="AB752" i="95" s="1"/>
  <c r="AE751" i="95"/>
  <c r="AD751" i="95"/>
  <c r="X751" i="95"/>
  <c r="W751" i="95"/>
  <c r="AC751" i="95" s="1"/>
  <c r="V751" i="95"/>
  <c r="AB751" i="95" s="1"/>
  <c r="AE750" i="95"/>
  <c r="X750" i="95"/>
  <c r="AD750" i="95" s="1"/>
  <c r="W750" i="95"/>
  <c r="AC750" i="95" s="1"/>
  <c r="V750" i="95"/>
  <c r="AB750" i="95" s="1"/>
  <c r="AE749" i="95"/>
  <c r="X749" i="95"/>
  <c r="AD749" i="95" s="1"/>
  <c r="W749" i="95"/>
  <c r="AC749" i="95" s="1"/>
  <c r="V749" i="95"/>
  <c r="AB749" i="95" s="1"/>
  <c r="AE748" i="95"/>
  <c r="AC748" i="95"/>
  <c r="X748" i="95"/>
  <c r="AD748" i="95" s="1"/>
  <c r="W748" i="95"/>
  <c r="V748" i="95"/>
  <c r="AB748" i="95" s="1"/>
  <c r="AE747" i="95"/>
  <c r="AD747" i="95"/>
  <c r="X747" i="95"/>
  <c r="W747" i="95"/>
  <c r="AC747" i="95" s="1"/>
  <c r="V747" i="95"/>
  <c r="AB747" i="95" s="1"/>
  <c r="AE746" i="95"/>
  <c r="X746" i="95"/>
  <c r="AD746" i="95" s="1"/>
  <c r="W746" i="95"/>
  <c r="AC746" i="95" s="1"/>
  <c r="V746" i="95"/>
  <c r="AB746" i="95" s="1"/>
  <c r="AE745" i="95"/>
  <c r="X745" i="95"/>
  <c r="AD745" i="95" s="1"/>
  <c r="W745" i="95"/>
  <c r="AC745" i="95" s="1"/>
  <c r="V745" i="95"/>
  <c r="AB745" i="95" s="1"/>
  <c r="AE744" i="95"/>
  <c r="X744" i="95"/>
  <c r="AD744" i="95" s="1"/>
  <c r="W744" i="95"/>
  <c r="AC744" i="95" s="1"/>
  <c r="V744" i="95"/>
  <c r="AB744" i="95" s="1"/>
  <c r="AE743" i="95"/>
  <c r="AB743" i="95"/>
  <c r="X743" i="95"/>
  <c r="AD743" i="95" s="1"/>
  <c r="W743" i="95"/>
  <c r="AC743" i="95" s="1"/>
  <c r="V743" i="95"/>
  <c r="AE742" i="95"/>
  <c r="X742" i="95"/>
  <c r="AD742" i="95" s="1"/>
  <c r="W742" i="95"/>
  <c r="AC742" i="95" s="1"/>
  <c r="V742" i="95"/>
  <c r="AB742" i="95" s="1"/>
  <c r="AE741" i="95"/>
  <c r="X741" i="95"/>
  <c r="AD741" i="95" s="1"/>
  <c r="W741" i="95"/>
  <c r="AC741" i="95" s="1"/>
  <c r="V741" i="95"/>
  <c r="AB741" i="95" s="1"/>
  <c r="AE740" i="95"/>
  <c r="X740" i="95"/>
  <c r="AD740" i="95" s="1"/>
  <c r="W740" i="95"/>
  <c r="AC740" i="95" s="1"/>
  <c r="V740" i="95"/>
  <c r="AB740" i="95" s="1"/>
  <c r="AE739" i="95"/>
  <c r="AD739" i="95"/>
  <c r="X739" i="95"/>
  <c r="W739" i="95"/>
  <c r="AC739" i="95" s="1"/>
  <c r="V739" i="95"/>
  <c r="AB739" i="95" s="1"/>
  <c r="AE738" i="95"/>
  <c r="X738" i="95"/>
  <c r="AD738" i="95" s="1"/>
  <c r="W738" i="95"/>
  <c r="AC738" i="95" s="1"/>
  <c r="V738" i="95"/>
  <c r="AB738" i="95" s="1"/>
  <c r="AE737" i="95"/>
  <c r="X737" i="95"/>
  <c r="AD737" i="95" s="1"/>
  <c r="W737" i="95"/>
  <c r="AC737" i="95" s="1"/>
  <c r="V737" i="95"/>
  <c r="AB737" i="95" s="1"/>
  <c r="AE736" i="95"/>
  <c r="X736" i="95"/>
  <c r="AD736" i="95" s="1"/>
  <c r="W736" i="95"/>
  <c r="AC736" i="95" s="1"/>
  <c r="V736" i="95"/>
  <c r="AB736" i="95" s="1"/>
  <c r="AE735" i="95"/>
  <c r="AD735" i="95"/>
  <c r="X735" i="95"/>
  <c r="W735" i="95"/>
  <c r="AC735" i="95" s="1"/>
  <c r="V735" i="95"/>
  <c r="AB735" i="95" s="1"/>
  <c r="AE734" i="95"/>
  <c r="X734" i="95"/>
  <c r="AD734" i="95" s="1"/>
  <c r="W734" i="95"/>
  <c r="AC734" i="95" s="1"/>
  <c r="V734" i="95"/>
  <c r="AB734" i="95" s="1"/>
  <c r="AE733" i="95"/>
  <c r="X733" i="95"/>
  <c r="AD733" i="95" s="1"/>
  <c r="W733" i="95"/>
  <c r="AC733" i="95" s="1"/>
  <c r="V733" i="95"/>
  <c r="AB733" i="95" s="1"/>
  <c r="AE732" i="95"/>
  <c r="X732" i="95"/>
  <c r="AD732" i="95" s="1"/>
  <c r="W732" i="95"/>
  <c r="AC732" i="95" s="1"/>
  <c r="V732" i="95"/>
  <c r="AB732" i="95" s="1"/>
  <c r="AE731" i="95"/>
  <c r="X731" i="95"/>
  <c r="AD731" i="95" s="1"/>
  <c r="W731" i="95"/>
  <c r="AC731" i="95" s="1"/>
  <c r="V731" i="95"/>
  <c r="AB731" i="95" s="1"/>
  <c r="AE730" i="95"/>
  <c r="X730" i="95"/>
  <c r="AD730" i="95" s="1"/>
  <c r="W730" i="95"/>
  <c r="AC730" i="95" s="1"/>
  <c r="V730" i="95"/>
  <c r="AB730" i="95" s="1"/>
  <c r="AE729" i="95"/>
  <c r="X729" i="95"/>
  <c r="AD729" i="95" s="1"/>
  <c r="W729" i="95"/>
  <c r="AC729" i="95" s="1"/>
  <c r="V729" i="95"/>
  <c r="AB729" i="95" s="1"/>
  <c r="AE728" i="95"/>
  <c r="X728" i="95"/>
  <c r="AD728" i="95" s="1"/>
  <c r="W728" i="95"/>
  <c r="AC728" i="95" s="1"/>
  <c r="V728" i="95"/>
  <c r="AB728" i="95" s="1"/>
  <c r="AE727" i="95"/>
  <c r="X727" i="95"/>
  <c r="AD727" i="95" s="1"/>
  <c r="W727" i="95"/>
  <c r="AC727" i="95" s="1"/>
  <c r="V727" i="95"/>
  <c r="AB727" i="95" s="1"/>
  <c r="AE726" i="95"/>
  <c r="X726" i="95"/>
  <c r="AD726" i="95" s="1"/>
  <c r="W726" i="95"/>
  <c r="AC726" i="95" s="1"/>
  <c r="V726" i="95"/>
  <c r="AB726" i="95" s="1"/>
  <c r="AE725" i="95"/>
  <c r="AB725" i="95"/>
  <c r="X725" i="95"/>
  <c r="AD725" i="95" s="1"/>
  <c r="W725" i="95"/>
  <c r="AC725" i="95" s="1"/>
  <c r="V725" i="95"/>
  <c r="AE724" i="95"/>
  <c r="X724" i="95"/>
  <c r="AD724" i="95" s="1"/>
  <c r="W724" i="95"/>
  <c r="AC724" i="95" s="1"/>
  <c r="V724" i="95"/>
  <c r="AB724" i="95" s="1"/>
  <c r="AE723" i="95"/>
  <c r="X723" i="95"/>
  <c r="AD723" i="95" s="1"/>
  <c r="W723" i="95"/>
  <c r="AC723" i="95" s="1"/>
  <c r="V723" i="95"/>
  <c r="AB723" i="95" s="1"/>
  <c r="AE722" i="95"/>
  <c r="X722" i="95"/>
  <c r="AD722" i="95" s="1"/>
  <c r="W722" i="95"/>
  <c r="AC722" i="95" s="1"/>
  <c r="V722" i="95"/>
  <c r="AB722" i="95" s="1"/>
  <c r="AE721" i="95"/>
  <c r="X721" i="95"/>
  <c r="AD721" i="95" s="1"/>
  <c r="W721" i="95"/>
  <c r="AC721" i="95" s="1"/>
  <c r="V721" i="95"/>
  <c r="AB721" i="95" s="1"/>
  <c r="AE720" i="95"/>
  <c r="X720" i="95"/>
  <c r="AD720" i="95" s="1"/>
  <c r="W720" i="95"/>
  <c r="AC720" i="95" s="1"/>
  <c r="V720" i="95"/>
  <c r="AB720" i="95" s="1"/>
  <c r="AE719" i="95"/>
  <c r="X719" i="95"/>
  <c r="AD719" i="95" s="1"/>
  <c r="W719" i="95"/>
  <c r="AC719" i="95" s="1"/>
  <c r="V719" i="95"/>
  <c r="AB719" i="95" s="1"/>
  <c r="AE718" i="95"/>
  <c r="X718" i="95"/>
  <c r="AD718" i="95" s="1"/>
  <c r="W718" i="95"/>
  <c r="AC718" i="95" s="1"/>
  <c r="V718" i="95"/>
  <c r="AB718" i="95" s="1"/>
  <c r="AE717" i="95"/>
  <c r="X717" i="95"/>
  <c r="AD717" i="95" s="1"/>
  <c r="W717" i="95"/>
  <c r="AC717" i="95" s="1"/>
  <c r="V717" i="95"/>
  <c r="AB717" i="95" s="1"/>
  <c r="AE716" i="95"/>
  <c r="AC716" i="95"/>
  <c r="X716" i="95"/>
  <c r="AD716" i="95" s="1"/>
  <c r="W716" i="95"/>
  <c r="V716" i="95"/>
  <c r="AB716" i="95" s="1"/>
  <c r="AE715" i="95"/>
  <c r="AD715" i="95"/>
  <c r="X715" i="95"/>
  <c r="W715" i="95"/>
  <c r="AC715" i="95" s="1"/>
  <c r="V715" i="95"/>
  <c r="AB715" i="95" s="1"/>
  <c r="AE714" i="95"/>
  <c r="X714" i="95"/>
  <c r="AD714" i="95" s="1"/>
  <c r="W714" i="95"/>
  <c r="AC714" i="95" s="1"/>
  <c r="V714" i="95"/>
  <c r="AB714" i="95" s="1"/>
  <c r="AE713" i="95"/>
  <c r="X713" i="95"/>
  <c r="AD713" i="95" s="1"/>
  <c r="W713" i="95"/>
  <c r="AC713" i="95" s="1"/>
  <c r="V713" i="95"/>
  <c r="AB713" i="95" s="1"/>
  <c r="AE712" i="95"/>
  <c r="X712" i="95"/>
  <c r="AD712" i="95" s="1"/>
  <c r="W712" i="95"/>
  <c r="AC712" i="95" s="1"/>
  <c r="V712" i="95"/>
  <c r="AB712" i="95" s="1"/>
  <c r="AE711" i="95"/>
  <c r="X711" i="95"/>
  <c r="AD711" i="95" s="1"/>
  <c r="W711" i="95"/>
  <c r="AC711" i="95" s="1"/>
  <c r="V711" i="95"/>
  <c r="AB711" i="95" s="1"/>
  <c r="AE710" i="95"/>
  <c r="X710" i="95"/>
  <c r="AD710" i="95" s="1"/>
  <c r="W710" i="95"/>
  <c r="AC710" i="95" s="1"/>
  <c r="V710" i="95"/>
  <c r="AB710" i="95" s="1"/>
  <c r="AE709" i="95"/>
  <c r="AB709" i="95"/>
  <c r="X709" i="95"/>
  <c r="AD709" i="95" s="1"/>
  <c r="W709" i="95"/>
  <c r="AC709" i="95" s="1"/>
  <c r="V709" i="95"/>
  <c r="AE708" i="95"/>
  <c r="AC708" i="95"/>
  <c r="X708" i="95"/>
  <c r="AD708" i="95" s="1"/>
  <c r="W708" i="95"/>
  <c r="V708" i="95"/>
  <c r="AB708" i="95" s="1"/>
  <c r="AE707" i="95"/>
  <c r="AD707" i="95"/>
  <c r="X707" i="95"/>
  <c r="W707" i="95"/>
  <c r="AC707" i="95" s="1"/>
  <c r="V707" i="95"/>
  <c r="AB707" i="95" s="1"/>
  <c r="AE706" i="95"/>
  <c r="X706" i="95"/>
  <c r="AD706" i="95" s="1"/>
  <c r="W706" i="95"/>
  <c r="AC706" i="95" s="1"/>
  <c r="V706" i="95"/>
  <c r="AB706" i="95" s="1"/>
  <c r="AE705" i="95"/>
  <c r="X705" i="95"/>
  <c r="AD705" i="95" s="1"/>
  <c r="W705" i="95"/>
  <c r="AC705" i="95" s="1"/>
  <c r="V705" i="95"/>
  <c r="AB705" i="95" s="1"/>
  <c r="AE704" i="95"/>
  <c r="X704" i="95"/>
  <c r="AD704" i="95" s="1"/>
  <c r="W704" i="95"/>
  <c r="AC704" i="95" s="1"/>
  <c r="V704" i="95"/>
  <c r="AB704" i="95" s="1"/>
  <c r="AE703" i="95"/>
  <c r="X703" i="95"/>
  <c r="AD703" i="95" s="1"/>
  <c r="W703" i="95"/>
  <c r="AC703" i="95" s="1"/>
  <c r="V703" i="95"/>
  <c r="AB703" i="95" s="1"/>
  <c r="AE702" i="95"/>
  <c r="X702" i="95"/>
  <c r="AD702" i="95" s="1"/>
  <c r="W702" i="95"/>
  <c r="AC702" i="95" s="1"/>
  <c r="V702" i="95"/>
  <c r="AB702" i="95" s="1"/>
  <c r="AE701" i="95"/>
  <c r="X701" i="95"/>
  <c r="AD701" i="95" s="1"/>
  <c r="W701" i="95"/>
  <c r="AC701" i="95" s="1"/>
  <c r="V701" i="95"/>
  <c r="AB701" i="95" s="1"/>
  <c r="AE700" i="95"/>
  <c r="X700" i="95"/>
  <c r="AD700" i="95" s="1"/>
  <c r="W700" i="95"/>
  <c r="AC700" i="95" s="1"/>
  <c r="V700" i="95"/>
  <c r="AB700" i="95" s="1"/>
  <c r="AE699" i="95"/>
  <c r="X699" i="95"/>
  <c r="AD699" i="95" s="1"/>
  <c r="W699" i="95"/>
  <c r="AC699" i="95" s="1"/>
  <c r="V699" i="95"/>
  <c r="AB699" i="95" s="1"/>
  <c r="AE698" i="95"/>
  <c r="AB698" i="95"/>
  <c r="X698" i="95"/>
  <c r="AD698" i="95" s="1"/>
  <c r="W698" i="95"/>
  <c r="AC698" i="95" s="1"/>
  <c r="V698" i="95"/>
  <c r="AE697" i="95"/>
  <c r="X697" i="95"/>
  <c r="AD697" i="95" s="1"/>
  <c r="W697" i="95"/>
  <c r="AC697" i="95" s="1"/>
  <c r="V697" i="95"/>
  <c r="AB697" i="95" s="1"/>
  <c r="AE696" i="95"/>
  <c r="X696" i="95"/>
  <c r="AD696" i="95" s="1"/>
  <c r="W696" i="95"/>
  <c r="AC696" i="95" s="1"/>
  <c r="V696" i="95"/>
  <c r="AB696" i="95" s="1"/>
  <c r="AE695" i="95"/>
  <c r="X695" i="95"/>
  <c r="AD695" i="95" s="1"/>
  <c r="W695" i="95"/>
  <c r="AC695" i="95" s="1"/>
  <c r="V695" i="95"/>
  <c r="AB695" i="95" s="1"/>
  <c r="AE694" i="95"/>
  <c r="X694" i="95"/>
  <c r="AD694" i="95" s="1"/>
  <c r="W694" i="95"/>
  <c r="AC694" i="95" s="1"/>
  <c r="V694" i="95"/>
  <c r="AB694" i="95" s="1"/>
  <c r="AE693" i="95"/>
  <c r="X693" i="95"/>
  <c r="AD693" i="95" s="1"/>
  <c r="W693" i="95"/>
  <c r="AC693" i="95" s="1"/>
  <c r="V693" i="95"/>
  <c r="AB693" i="95" s="1"/>
  <c r="AE692" i="95"/>
  <c r="X692" i="95"/>
  <c r="AD692" i="95" s="1"/>
  <c r="W692" i="95"/>
  <c r="AC692" i="95" s="1"/>
  <c r="V692" i="95"/>
  <c r="AB692" i="95" s="1"/>
  <c r="AE691" i="95"/>
  <c r="X691" i="95"/>
  <c r="AD691" i="95" s="1"/>
  <c r="W691" i="95"/>
  <c r="AC691" i="95" s="1"/>
  <c r="V691" i="95"/>
  <c r="AB691" i="95" s="1"/>
  <c r="AE690" i="95"/>
  <c r="X690" i="95"/>
  <c r="AD690" i="95" s="1"/>
  <c r="W690" i="95"/>
  <c r="AC690" i="95" s="1"/>
  <c r="V690" i="95"/>
  <c r="AB690" i="95" s="1"/>
  <c r="AE689" i="95"/>
  <c r="X689" i="95"/>
  <c r="AD689" i="95" s="1"/>
  <c r="W689" i="95"/>
  <c r="AC689" i="95" s="1"/>
  <c r="V689" i="95"/>
  <c r="AB689" i="95" s="1"/>
  <c r="AE688" i="95"/>
  <c r="X688" i="95"/>
  <c r="AD688" i="95" s="1"/>
  <c r="W688" i="95"/>
  <c r="AC688" i="95" s="1"/>
  <c r="V688" i="95"/>
  <c r="AB688" i="95" s="1"/>
  <c r="AE687" i="95"/>
  <c r="X687" i="95"/>
  <c r="AD687" i="95" s="1"/>
  <c r="W687" i="95"/>
  <c r="AC687" i="95" s="1"/>
  <c r="V687" i="95"/>
  <c r="AB687" i="95" s="1"/>
  <c r="AE686" i="95"/>
  <c r="AB686" i="95"/>
  <c r="X686" i="95"/>
  <c r="AD686" i="95" s="1"/>
  <c r="W686" i="95"/>
  <c r="AC686" i="95" s="1"/>
  <c r="V686" i="95"/>
  <c r="AE685" i="95"/>
  <c r="X685" i="95"/>
  <c r="AD685" i="95" s="1"/>
  <c r="W685" i="95"/>
  <c r="AC685" i="95" s="1"/>
  <c r="V685" i="95"/>
  <c r="AB685" i="95" s="1"/>
  <c r="AE684" i="95"/>
  <c r="X684" i="95"/>
  <c r="AD684" i="95" s="1"/>
  <c r="W684" i="95"/>
  <c r="AC684" i="95" s="1"/>
  <c r="V684" i="95"/>
  <c r="AB684" i="95" s="1"/>
  <c r="AE683" i="95"/>
  <c r="X683" i="95"/>
  <c r="AD683" i="95" s="1"/>
  <c r="W683" i="95"/>
  <c r="AC683" i="95" s="1"/>
  <c r="V683" i="95"/>
  <c r="AB683" i="95" s="1"/>
  <c r="AE682" i="95"/>
  <c r="X682" i="95"/>
  <c r="AD682" i="95" s="1"/>
  <c r="W682" i="95"/>
  <c r="AC682" i="95" s="1"/>
  <c r="V682" i="95"/>
  <c r="AB682" i="95" s="1"/>
  <c r="AE681" i="95"/>
  <c r="X681" i="95"/>
  <c r="AD681" i="95" s="1"/>
  <c r="W681" i="95"/>
  <c r="AC681" i="95" s="1"/>
  <c r="V681" i="95"/>
  <c r="AB681" i="95" s="1"/>
  <c r="AE680" i="95"/>
  <c r="X680" i="95"/>
  <c r="AD680" i="95" s="1"/>
  <c r="W680" i="95"/>
  <c r="AC680" i="95" s="1"/>
  <c r="V680" i="95"/>
  <c r="AB680" i="95" s="1"/>
  <c r="AE679" i="95"/>
  <c r="X679" i="95"/>
  <c r="AD679" i="95" s="1"/>
  <c r="W679" i="95"/>
  <c r="AC679" i="95" s="1"/>
  <c r="V679" i="95"/>
  <c r="AB679" i="95" s="1"/>
  <c r="AE678" i="95"/>
  <c r="X678" i="95"/>
  <c r="AD678" i="95" s="1"/>
  <c r="W678" i="95"/>
  <c r="AC678" i="95" s="1"/>
  <c r="V678" i="95"/>
  <c r="AB678" i="95" s="1"/>
  <c r="AE677" i="95"/>
  <c r="X677" i="95"/>
  <c r="AD677" i="95" s="1"/>
  <c r="W677" i="95"/>
  <c r="AC677" i="95" s="1"/>
  <c r="V677" i="95"/>
  <c r="AB677" i="95" s="1"/>
  <c r="AE676" i="95"/>
  <c r="X676" i="95"/>
  <c r="AD676" i="95" s="1"/>
  <c r="W676" i="95"/>
  <c r="AC676" i="95" s="1"/>
  <c r="V676" i="95"/>
  <c r="AB676" i="95" s="1"/>
  <c r="AE675" i="95"/>
  <c r="X675" i="95"/>
  <c r="AD675" i="95" s="1"/>
  <c r="W675" i="95"/>
  <c r="AC675" i="95" s="1"/>
  <c r="V675" i="95"/>
  <c r="AB675" i="95" s="1"/>
  <c r="AE674" i="95"/>
  <c r="AB674" i="95"/>
  <c r="X674" i="95"/>
  <c r="AD674" i="95" s="1"/>
  <c r="W674" i="95"/>
  <c r="AC674" i="95" s="1"/>
  <c r="V674" i="95"/>
  <c r="AE673" i="95"/>
  <c r="X673" i="95"/>
  <c r="AD673" i="95" s="1"/>
  <c r="W673" i="95"/>
  <c r="AC673" i="95" s="1"/>
  <c r="V673" i="95"/>
  <c r="AB673" i="95" s="1"/>
  <c r="AE672" i="95"/>
  <c r="X672" i="95"/>
  <c r="AD672" i="95" s="1"/>
  <c r="W672" i="95"/>
  <c r="AC672" i="95" s="1"/>
  <c r="V672" i="95"/>
  <c r="AB672" i="95" s="1"/>
  <c r="AE671" i="95"/>
  <c r="X671" i="95"/>
  <c r="AD671" i="95" s="1"/>
  <c r="W671" i="95"/>
  <c r="AC671" i="95" s="1"/>
  <c r="V671" i="95"/>
  <c r="AB671" i="95" s="1"/>
  <c r="AE670" i="95"/>
  <c r="X670" i="95"/>
  <c r="AD670" i="95" s="1"/>
  <c r="W670" i="95"/>
  <c r="AC670" i="95" s="1"/>
  <c r="V670" i="95"/>
  <c r="AB670" i="95" s="1"/>
  <c r="AE669" i="95"/>
  <c r="AB669" i="95"/>
  <c r="X669" i="95"/>
  <c r="AD669" i="95" s="1"/>
  <c r="W669" i="95"/>
  <c r="AC669" i="95" s="1"/>
  <c r="V669" i="95"/>
  <c r="AE668" i="95"/>
  <c r="AC668" i="95"/>
  <c r="X668" i="95"/>
  <c r="AD668" i="95" s="1"/>
  <c r="W668" i="95"/>
  <c r="V668" i="95"/>
  <c r="AB668" i="95" s="1"/>
  <c r="AE667" i="95"/>
  <c r="X667" i="95"/>
  <c r="AD667" i="95" s="1"/>
  <c r="W667" i="95"/>
  <c r="AC667" i="95" s="1"/>
  <c r="V667" i="95"/>
  <c r="AB667" i="95" s="1"/>
  <c r="AE666" i="95"/>
  <c r="X666" i="95"/>
  <c r="AD666" i="95" s="1"/>
  <c r="W666" i="95"/>
  <c r="AC666" i="95" s="1"/>
  <c r="V666" i="95"/>
  <c r="AB666" i="95" s="1"/>
  <c r="AE665" i="95"/>
  <c r="X665" i="95"/>
  <c r="AD665" i="95" s="1"/>
  <c r="W665" i="95"/>
  <c r="AC665" i="95" s="1"/>
  <c r="V665" i="95"/>
  <c r="AB665" i="95" s="1"/>
  <c r="AE664" i="95"/>
  <c r="X664" i="95"/>
  <c r="AD664" i="95" s="1"/>
  <c r="W664" i="95"/>
  <c r="AC664" i="95" s="1"/>
  <c r="V664" i="95"/>
  <c r="AB664" i="95" s="1"/>
  <c r="AE663" i="95"/>
  <c r="X663" i="95"/>
  <c r="AD663" i="95" s="1"/>
  <c r="W663" i="95"/>
  <c r="AC663" i="95" s="1"/>
  <c r="V663" i="95"/>
  <c r="AB663" i="95" s="1"/>
  <c r="AE662" i="95"/>
  <c r="AB662" i="95"/>
  <c r="X662" i="95"/>
  <c r="AD662" i="95" s="1"/>
  <c r="W662" i="95"/>
  <c r="AC662" i="95" s="1"/>
  <c r="V662" i="95"/>
  <c r="AE661" i="95"/>
  <c r="AC661" i="95"/>
  <c r="X661" i="95"/>
  <c r="AD661" i="95" s="1"/>
  <c r="W661" i="95"/>
  <c r="V661" i="95"/>
  <c r="AB661" i="95" s="1"/>
  <c r="AE660" i="95"/>
  <c r="AD660" i="95"/>
  <c r="X660" i="95"/>
  <c r="W660" i="95"/>
  <c r="AC660" i="95" s="1"/>
  <c r="V660" i="95"/>
  <c r="AB660" i="95" s="1"/>
  <c r="AE659" i="95"/>
  <c r="X659" i="95"/>
  <c r="AD659" i="95" s="1"/>
  <c r="W659" i="95"/>
  <c r="AC659" i="95" s="1"/>
  <c r="V659" i="95"/>
  <c r="AB659" i="95" s="1"/>
  <c r="AE658" i="95"/>
  <c r="X658" i="95"/>
  <c r="AD658" i="95" s="1"/>
  <c r="W658" i="95"/>
  <c r="AC658" i="95" s="1"/>
  <c r="V658" i="95"/>
  <c r="AB658" i="95" s="1"/>
  <c r="AE657" i="95"/>
  <c r="X657" i="95"/>
  <c r="AD657" i="95" s="1"/>
  <c r="W657" i="95"/>
  <c r="AC657" i="95" s="1"/>
  <c r="V657" i="95"/>
  <c r="AB657" i="95" s="1"/>
  <c r="AE656" i="95"/>
  <c r="AB656" i="95"/>
  <c r="X656" i="95"/>
  <c r="AD656" i="95" s="1"/>
  <c r="W656" i="95"/>
  <c r="AC656" i="95" s="1"/>
  <c r="V656" i="95"/>
  <c r="AE655" i="95"/>
  <c r="AC655" i="95"/>
  <c r="X655" i="95"/>
  <c r="AD655" i="95" s="1"/>
  <c r="W655" i="95"/>
  <c r="V655" i="95"/>
  <c r="AB655" i="95" s="1"/>
  <c r="AE654" i="95"/>
  <c r="X654" i="95"/>
  <c r="AD654" i="95" s="1"/>
  <c r="W654" i="95"/>
  <c r="AC654" i="95" s="1"/>
  <c r="V654" i="95"/>
  <c r="AB654" i="95" s="1"/>
  <c r="AE653" i="95"/>
  <c r="X653" i="95"/>
  <c r="AD653" i="95" s="1"/>
  <c r="W653" i="95"/>
  <c r="AC653" i="95" s="1"/>
  <c r="V653" i="95"/>
  <c r="AB653" i="95" s="1"/>
  <c r="AE652" i="95"/>
  <c r="AD652" i="95"/>
  <c r="X652" i="95"/>
  <c r="W652" i="95"/>
  <c r="AC652" i="95" s="1"/>
  <c r="V652" i="95"/>
  <c r="AB652" i="95" s="1"/>
  <c r="AE651" i="95"/>
  <c r="X651" i="95"/>
  <c r="AD651" i="95" s="1"/>
  <c r="W651" i="95"/>
  <c r="AC651" i="95" s="1"/>
  <c r="V651" i="95"/>
  <c r="AB651" i="95" s="1"/>
  <c r="AE650" i="95"/>
  <c r="AD650" i="95"/>
  <c r="X650" i="95"/>
  <c r="W650" i="95"/>
  <c r="AC650" i="95" s="1"/>
  <c r="V650" i="95"/>
  <c r="AB650" i="95" s="1"/>
  <c r="AE649" i="95"/>
  <c r="X649" i="95"/>
  <c r="AD649" i="95" s="1"/>
  <c r="W649" i="95"/>
  <c r="AC649" i="95" s="1"/>
  <c r="V649" i="95"/>
  <c r="AB649" i="95" s="1"/>
  <c r="AE648" i="95"/>
  <c r="X648" i="95"/>
  <c r="AD648" i="95" s="1"/>
  <c r="W648" i="95"/>
  <c r="AC648" i="95" s="1"/>
  <c r="V648" i="95"/>
  <c r="AB648" i="95" s="1"/>
  <c r="AE647" i="95"/>
  <c r="AC647" i="95"/>
  <c r="X647" i="95"/>
  <c r="AD647" i="95" s="1"/>
  <c r="W647" i="95"/>
  <c r="V647" i="95"/>
  <c r="AB647" i="95" s="1"/>
  <c r="AE646" i="95"/>
  <c r="X646" i="95"/>
  <c r="AD646" i="95" s="1"/>
  <c r="W646" i="95"/>
  <c r="AC646" i="95" s="1"/>
  <c r="V646" i="95"/>
  <c r="AB646" i="95" s="1"/>
  <c r="AE645" i="95"/>
  <c r="X645" i="95"/>
  <c r="AD645" i="95" s="1"/>
  <c r="W645" i="95"/>
  <c r="AC645" i="95" s="1"/>
  <c r="V645" i="95"/>
  <c r="AB645" i="95" s="1"/>
  <c r="AE644" i="95"/>
  <c r="X644" i="95"/>
  <c r="AD644" i="95" s="1"/>
  <c r="W644" i="95"/>
  <c r="AC644" i="95" s="1"/>
  <c r="V644" i="95"/>
  <c r="AB644" i="95" s="1"/>
  <c r="AE643" i="95"/>
  <c r="X643" i="95"/>
  <c r="AD643" i="95" s="1"/>
  <c r="W643" i="95"/>
  <c r="AC643" i="95" s="1"/>
  <c r="V643" i="95"/>
  <c r="AB643" i="95" s="1"/>
  <c r="AE642" i="95"/>
  <c r="AD642" i="95"/>
  <c r="X642" i="95"/>
  <c r="W642" i="95"/>
  <c r="AC642" i="95" s="1"/>
  <c r="V642" i="95"/>
  <c r="AB642" i="95" s="1"/>
  <c r="AE641" i="95"/>
  <c r="X641" i="95"/>
  <c r="AD641" i="95" s="1"/>
  <c r="W641" i="95"/>
  <c r="AC641" i="95" s="1"/>
  <c r="V641" i="95"/>
  <c r="AB641" i="95" s="1"/>
  <c r="AE640" i="95"/>
  <c r="X640" i="95"/>
  <c r="AD640" i="95" s="1"/>
  <c r="W640" i="95"/>
  <c r="AC640" i="95" s="1"/>
  <c r="V640" i="95"/>
  <c r="AB640" i="95" s="1"/>
  <c r="AE639" i="95"/>
  <c r="X639" i="95"/>
  <c r="AD639" i="95" s="1"/>
  <c r="W639" i="95"/>
  <c r="AC639" i="95" s="1"/>
  <c r="V639" i="95"/>
  <c r="AB639" i="95" s="1"/>
  <c r="AE638" i="95"/>
  <c r="AB638" i="95"/>
  <c r="X638" i="95"/>
  <c r="AD638" i="95" s="1"/>
  <c r="W638" i="95"/>
  <c r="AC638" i="95" s="1"/>
  <c r="V638" i="95"/>
  <c r="AE637" i="95"/>
  <c r="AC637" i="95"/>
  <c r="X637" i="95"/>
  <c r="AD637" i="95" s="1"/>
  <c r="W637" i="95"/>
  <c r="V637" i="95"/>
  <c r="AB637" i="95" s="1"/>
  <c r="AE636" i="95"/>
  <c r="AD636" i="95"/>
  <c r="X636" i="95"/>
  <c r="W636" i="95"/>
  <c r="AC636" i="95" s="1"/>
  <c r="V636" i="95"/>
  <c r="AB636" i="95" s="1"/>
  <c r="AE635" i="95"/>
  <c r="X635" i="95"/>
  <c r="AD635" i="95" s="1"/>
  <c r="W635" i="95"/>
  <c r="AC635" i="95" s="1"/>
  <c r="V635" i="95"/>
  <c r="AB635" i="95" s="1"/>
  <c r="AE634" i="95"/>
  <c r="X634" i="95"/>
  <c r="AD634" i="95" s="1"/>
  <c r="W634" i="95"/>
  <c r="AC634" i="95" s="1"/>
  <c r="V634" i="95"/>
  <c r="AB634" i="95" s="1"/>
  <c r="AE633" i="95"/>
  <c r="X633" i="95"/>
  <c r="AD633" i="95" s="1"/>
  <c r="W633" i="95"/>
  <c r="AC633" i="95" s="1"/>
  <c r="V633" i="95"/>
  <c r="AB633" i="95" s="1"/>
  <c r="AE632" i="95"/>
  <c r="AB632" i="95"/>
  <c r="X632" i="95"/>
  <c r="AD632" i="95" s="1"/>
  <c r="W632" i="95"/>
  <c r="AC632" i="95" s="1"/>
  <c r="V632" i="95"/>
  <c r="AE631" i="95"/>
  <c r="AC631" i="95"/>
  <c r="X631" i="95"/>
  <c r="AD631" i="95" s="1"/>
  <c r="W631" i="95"/>
  <c r="V631" i="95"/>
  <c r="AB631" i="95" s="1"/>
  <c r="AE630" i="95"/>
  <c r="X630" i="95"/>
  <c r="AD630" i="95" s="1"/>
  <c r="W630" i="95"/>
  <c r="AC630" i="95" s="1"/>
  <c r="V630" i="95"/>
  <c r="AB630" i="95" s="1"/>
  <c r="AE629" i="95"/>
  <c r="X629" i="95"/>
  <c r="AD629" i="95" s="1"/>
  <c r="W629" i="95"/>
  <c r="AC629" i="95" s="1"/>
  <c r="V629" i="95"/>
  <c r="AB629" i="95" s="1"/>
  <c r="AE628" i="95"/>
  <c r="AD628" i="95"/>
  <c r="X628" i="95"/>
  <c r="W628" i="95"/>
  <c r="AC628" i="95" s="1"/>
  <c r="V628" i="95"/>
  <c r="AB628" i="95" s="1"/>
  <c r="AE627" i="95"/>
  <c r="X627" i="95"/>
  <c r="AD627" i="95" s="1"/>
  <c r="W627" i="95"/>
  <c r="AC627" i="95" s="1"/>
  <c r="V627" i="95"/>
  <c r="AB627" i="95" s="1"/>
  <c r="AE626" i="95"/>
  <c r="AD626" i="95"/>
  <c r="X626" i="95"/>
  <c r="W626" i="95"/>
  <c r="AC626" i="95" s="1"/>
  <c r="V626" i="95"/>
  <c r="AB626" i="95" s="1"/>
  <c r="AE625" i="95"/>
  <c r="X625" i="95"/>
  <c r="AD625" i="95" s="1"/>
  <c r="W625" i="95"/>
  <c r="AC625" i="95" s="1"/>
  <c r="V625" i="95"/>
  <c r="AB625" i="95" s="1"/>
  <c r="AE624" i="95"/>
  <c r="X624" i="95"/>
  <c r="AD624" i="95" s="1"/>
  <c r="W624" i="95"/>
  <c r="AC624" i="95" s="1"/>
  <c r="V624" i="95"/>
  <c r="AB624" i="95" s="1"/>
  <c r="AE623" i="95"/>
  <c r="X623" i="95"/>
  <c r="AD623" i="95" s="1"/>
  <c r="W623" i="95"/>
  <c r="AC623" i="95" s="1"/>
  <c r="V623" i="95"/>
  <c r="AB623" i="95" s="1"/>
  <c r="AE622" i="95"/>
  <c r="AB622" i="95"/>
  <c r="X622" i="95"/>
  <c r="AD622" i="95" s="1"/>
  <c r="W622" i="95"/>
  <c r="AC622" i="95" s="1"/>
  <c r="V622" i="95"/>
  <c r="AE621" i="95"/>
  <c r="AC621" i="95"/>
  <c r="X621" i="95"/>
  <c r="AD621" i="95" s="1"/>
  <c r="W621" i="95"/>
  <c r="V621" i="95"/>
  <c r="AB621" i="95" s="1"/>
  <c r="AE620" i="95"/>
  <c r="AD620" i="95"/>
  <c r="X620" i="95"/>
  <c r="W620" i="95"/>
  <c r="AC620" i="95" s="1"/>
  <c r="V620" i="95"/>
  <c r="AB620" i="95" s="1"/>
  <c r="AE619" i="95"/>
  <c r="X619" i="95"/>
  <c r="AD619" i="95" s="1"/>
  <c r="W619" i="95"/>
  <c r="AC619" i="95" s="1"/>
  <c r="V619" i="95"/>
  <c r="AB619" i="95" s="1"/>
  <c r="AE618" i="95"/>
  <c r="X618" i="95"/>
  <c r="AD618" i="95" s="1"/>
  <c r="W618" i="95"/>
  <c r="AC618" i="95" s="1"/>
  <c r="V618" i="95"/>
  <c r="AB618" i="95" s="1"/>
  <c r="AE617" i="95"/>
  <c r="X617" i="95"/>
  <c r="AD617" i="95" s="1"/>
  <c r="W617" i="95"/>
  <c r="AC617" i="95" s="1"/>
  <c r="V617" i="95"/>
  <c r="AB617" i="95" s="1"/>
  <c r="AE616" i="95"/>
  <c r="AB616" i="95"/>
  <c r="X616" i="95"/>
  <c r="AD616" i="95" s="1"/>
  <c r="W616" i="95"/>
  <c r="AC616" i="95" s="1"/>
  <c r="V616" i="95"/>
  <c r="AE615" i="95"/>
  <c r="AC615" i="95"/>
  <c r="X615" i="95"/>
  <c r="AD615" i="95" s="1"/>
  <c r="W615" i="95"/>
  <c r="V615" i="95"/>
  <c r="AB615" i="95" s="1"/>
  <c r="AE614" i="95"/>
  <c r="X614" i="95"/>
  <c r="AD614" i="95" s="1"/>
  <c r="W614" i="95"/>
  <c r="AC614" i="95" s="1"/>
  <c r="V614" i="95"/>
  <c r="AB614" i="95" s="1"/>
  <c r="AE613" i="95"/>
  <c r="X613" i="95"/>
  <c r="AD613" i="95" s="1"/>
  <c r="W613" i="95"/>
  <c r="AC613" i="95" s="1"/>
  <c r="V613" i="95"/>
  <c r="AB613" i="95" s="1"/>
  <c r="AE612" i="95"/>
  <c r="AD612" i="95"/>
  <c r="X612" i="95"/>
  <c r="W612" i="95"/>
  <c r="AC612" i="95" s="1"/>
  <c r="V612" i="95"/>
  <c r="AB612" i="95" s="1"/>
  <c r="AE611" i="95"/>
  <c r="X611" i="95"/>
  <c r="AD611" i="95" s="1"/>
  <c r="W611" i="95"/>
  <c r="AC611" i="95" s="1"/>
  <c r="V611" i="95"/>
  <c r="AB611" i="95" s="1"/>
  <c r="AE610" i="95"/>
  <c r="AD610" i="95"/>
  <c r="X610" i="95"/>
  <c r="W610" i="95"/>
  <c r="AC610" i="95" s="1"/>
  <c r="V610" i="95"/>
  <c r="AB610" i="95" s="1"/>
  <c r="AE609" i="95"/>
  <c r="X609" i="95"/>
  <c r="AD609" i="95" s="1"/>
  <c r="W609" i="95"/>
  <c r="AC609" i="95" s="1"/>
  <c r="V609" i="95"/>
  <c r="AB609" i="95" s="1"/>
  <c r="AE608" i="95"/>
  <c r="X608" i="95"/>
  <c r="AD608" i="95" s="1"/>
  <c r="W608" i="95"/>
  <c r="AC608" i="95" s="1"/>
  <c r="V608" i="95"/>
  <c r="AB608" i="95" s="1"/>
  <c r="AE607" i="95"/>
  <c r="AC607" i="95"/>
  <c r="X607" i="95"/>
  <c r="AD607" i="95" s="1"/>
  <c r="W607" i="95"/>
  <c r="V607" i="95"/>
  <c r="AB607" i="95" s="1"/>
  <c r="AE606" i="95"/>
  <c r="X606" i="95"/>
  <c r="AD606" i="95" s="1"/>
  <c r="W606" i="95"/>
  <c r="AC606" i="95" s="1"/>
  <c r="V606" i="95"/>
  <c r="AB606" i="95" s="1"/>
  <c r="AE605" i="95"/>
  <c r="X605" i="95"/>
  <c r="AD605" i="95" s="1"/>
  <c r="W605" i="95"/>
  <c r="AC605" i="95" s="1"/>
  <c r="V605" i="95"/>
  <c r="AB605" i="95" s="1"/>
  <c r="AE604" i="95"/>
  <c r="X604" i="95"/>
  <c r="AD604" i="95" s="1"/>
  <c r="W604" i="95"/>
  <c r="AC604" i="95" s="1"/>
  <c r="V604" i="95"/>
  <c r="AB604" i="95" s="1"/>
  <c r="AE603" i="95"/>
  <c r="X603" i="95"/>
  <c r="AD603" i="95" s="1"/>
  <c r="W603" i="95"/>
  <c r="AC603" i="95" s="1"/>
  <c r="V603" i="95"/>
  <c r="AB603" i="95" s="1"/>
  <c r="AE602" i="95"/>
  <c r="AD602" i="95"/>
  <c r="X602" i="95"/>
  <c r="W602" i="95"/>
  <c r="AC602" i="95" s="1"/>
  <c r="V602" i="95"/>
  <c r="AB602" i="95" s="1"/>
  <c r="AE601" i="95"/>
  <c r="X601" i="95"/>
  <c r="AD601" i="95" s="1"/>
  <c r="W601" i="95"/>
  <c r="AC601" i="95" s="1"/>
  <c r="V601" i="95"/>
  <c r="AB601" i="95" s="1"/>
  <c r="AE600" i="95"/>
  <c r="X600" i="95"/>
  <c r="AD600" i="95" s="1"/>
  <c r="W600" i="95"/>
  <c r="AC600" i="95" s="1"/>
  <c r="V600" i="95"/>
  <c r="AB600" i="95" s="1"/>
  <c r="AE599" i="95"/>
  <c r="X599" i="95"/>
  <c r="AD599" i="95" s="1"/>
  <c r="W599" i="95"/>
  <c r="AC599" i="95" s="1"/>
  <c r="V599" i="95"/>
  <c r="AB599" i="95" s="1"/>
  <c r="AE598" i="95"/>
  <c r="X598" i="95"/>
  <c r="AD598" i="95" s="1"/>
  <c r="W598" i="95"/>
  <c r="AC598" i="95" s="1"/>
  <c r="V598" i="95"/>
  <c r="AB598" i="95" s="1"/>
  <c r="AE597" i="95"/>
  <c r="AC597" i="95"/>
  <c r="X597" i="95"/>
  <c r="AD597" i="95" s="1"/>
  <c r="W597" i="95"/>
  <c r="V597" i="95"/>
  <c r="AB597" i="95" s="1"/>
  <c r="AE596" i="95"/>
  <c r="AD596" i="95"/>
  <c r="X596" i="95"/>
  <c r="W596" i="95"/>
  <c r="AC596" i="95" s="1"/>
  <c r="V596" i="95"/>
  <c r="AB596" i="95" s="1"/>
  <c r="AE595" i="95"/>
  <c r="X595" i="95"/>
  <c r="AD595" i="95" s="1"/>
  <c r="W595" i="95"/>
  <c r="AC595" i="95" s="1"/>
  <c r="V595" i="95"/>
  <c r="AB595" i="95" s="1"/>
  <c r="AE594" i="95"/>
  <c r="AD594" i="95"/>
  <c r="X594" i="95"/>
  <c r="W594" i="95"/>
  <c r="AC594" i="95" s="1"/>
  <c r="V594" i="95"/>
  <c r="AB594" i="95" s="1"/>
  <c r="AE593" i="95"/>
  <c r="X593" i="95"/>
  <c r="AD593" i="95" s="1"/>
  <c r="W593" i="95"/>
  <c r="AC593" i="95" s="1"/>
  <c r="V593" i="95"/>
  <c r="AB593" i="95" s="1"/>
  <c r="AE592" i="95"/>
  <c r="X592" i="95"/>
  <c r="AD592" i="95" s="1"/>
  <c r="W592" i="95"/>
  <c r="AC592" i="95" s="1"/>
  <c r="V592" i="95"/>
  <c r="AB592" i="95" s="1"/>
  <c r="AE591" i="95"/>
  <c r="AC591" i="95"/>
  <c r="X591" i="95"/>
  <c r="AD591" i="95" s="1"/>
  <c r="W591" i="95"/>
  <c r="V591" i="95"/>
  <c r="AB591" i="95" s="1"/>
  <c r="AE590" i="95"/>
  <c r="X590" i="95"/>
  <c r="AD590" i="95" s="1"/>
  <c r="W590" i="95"/>
  <c r="AC590" i="95" s="1"/>
  <c r="V590" i="95"/>
  <c r="AB590" i="95" s="1"/>
  <c r="AE589" i="95"/>
  <c r="X589" i="95"/>
  <c r="AD589" i="95" s="1"/>
  <c r="W589" i="95"/>
  <c r="AC589" i="95" s="1"/>
  <c r="V589" i="95"/>
  <c r="AB589" i="95" s="1"/>
  <c r="AE588" i="95"/>
  <c r="X588" i="95"/>
  <c r="AD588" i="95" s="1"/>
  <c r="W588" i="95"/>
  <c r="AC588" i="95" s="1"/>
  <c r="V588" i="95"/>
  <c r="AB588" i="95" s="1"/>
  <c r="AE587" i="95"/>
  <c r="X587" i="95"/>
  <c r="AD587" i="95" s="1"/>
  <c r="W587" i="95"/>
  <c r="AC587" i="95" s="1"/>
  <c r="V587" i="95"/>
  <c r="AB587" i="95" s="1"/>
  <c r="AE586" i="95"/>
  <c r="AD586" i="95"/>
  <c r="X586" i="95"/>
  <c r="W586" i="95"/>
  <c r="AC586" i="95" s="1"/>
  <c r="V586" i="95"/>
  <c r="AB586" i="95" s="1"/>
  <c r="AE585" i="95"/>
  <c r="X585" i="95"/>
  <c r="AD585" i="95" s="1"/>
  <c r="W585" i="95"/>
  <c r="AC585" i="95" s="1"/>
  <c r="V585" i="95"/>
  <c r="AB585" i="95" s="1"/>
  <c r="AE584" i="95"/>
  <c r="X584" i="95"/>
  <c r="AD584" i="95" s="1"/>
  <c r="W584" i="95"/>
  <c r="AC584" i="95" s="1"/>
  <c r="V584" i="95"/>
  <c r="AB584" i="95" s="1"/>
  <c r="AE583" i="95"/>
  <c r="X583" i="95"/>
  <c r="AD583" i="95" s="1"/>
  <c r="W583" i="95"/>
  <c r="AC583" i="95" s="1"/>
  <c r="V583" i="95"/>
  <c r="AB583" i="95" s="1"/>
  <c r="AE582" i="95"/>
  <c r="AB582" i="95"/>
  <c r="X582" i="95"/>
  <c r="AD582" i="95" s="1"/>
  <c r="W582" i="95"/>
  <c r="AC582" i="95" s="1"/>
  <c r="V582" i="95"/>
  <c r="AE581" i="95"/>
  <c r="AC581" i="95"/>
  <c r="X581" i="95"/>
  <c r="AD581" i="95" s="1"/>
  <c r="W581" i="95"/>
  <c r="V581" i="95"/>
  <c r="AB581" i="95" s="1"/>
  <c r="AE580" i="95"/>
  <c r="AD580" i="95"/>
  <c r="X580" i="95"/>
  <c r="W580" i="95"/>
  <c r="AC580" i="95" s="1"/>
  <c r="V580" i="95"/>
  <c r="AB580" i="95" s="1"/>
  <c r="AE579" i="95"/>
  <c r="X579" i="95"/>
  <c r="AD579" i="95" s="1"/>
  <c r="W579" i="95"/>
  <c r="AC579" i="95" s="1"/>
  <c r="V579" i="95"/>
  <c r="AB579" i="95" s="1"/>
  <c r="AE578" i="95"/>
  <c r="AB578" i="95"/>
  <c r="X578" i="95"/>
  <c r="AD578" i="95" s="1"/>
  <c r="W578" i="95"/>
  <c r="AC578" i="95" s="1"/>
  <c r="V578" i="95"/>
  <c r="AE577" i="95"/>
  <c r="X577" i="95"/>
  <c r="AD577" i="95" s="1"/>
  <c r="W577" i="95"/>
  <c r="AC577" i="95" s="1"/>
  <c r="V577" i="95"/>
  <c r="AB577" i="95" s="1"/>
  <c r="AE576" i="95"/>
  <c r="X576" i="95"/>
  <c r="AD576" i="95" s="1"/>
  <c r="W576" i="95"/>
  <c r="AC576" i="95" s="1"/>
  <c r="V576" i="95"/>
  <c r="AB576" i="95" s="1"/>
  <c r="AE575" i="95"/>
  <c r="X575" i="95"/>
  <c r="AD575" i="95" s="1"/>
  <c r="W575" i="95"/>
  <c r="AC575" i="95" s="1"/>
  <c r="V575" i="95"/>
  <c r="AB575" i="95" s="1"/>
  <c r="AE574" i="95"/>
  <c r="X574" i="95"/>
  <c r="AD574" i="95" s="1"/>
  <c r="W574" i="95"/>
  <c r="AC574" i="95" s="1"/>
  <c r="V574" i="95"/>
  <c r="AB574" i="95" s="1"/>
  <c r="AE573" i="95"/>
  <c r="AC573" i="95"/>
  <c r="X573" i="95"/>
  <c r="AD573" i="95" s="1"/>
  <c r="W573" i="95"/>
  <c r="V573" i="95"/>
  <c r="AB573" i="95" s="1"/>
  <c r="AE572" i="95"/>
  <c r="AD572" i="95"/>
  <c r="X572" i="95"/>
  <c r="W572" i="95"/>
  <c r="AC572" i="95" s="1"/>
  <c r="V572" i="95"/>
  <c r="AB572" i="95" s="1"/>
  <c r="AE571" i="95"/>
  <c r="X571" i="95"/>
  <c r="AD571" i="95" s="1"/>
  <c r="W571" i="95"/>
  <c r="AC571" i="95" s="1"/>
  <c r="V571" i="95"/>
  <c r="AB571" i="95" s="1"/>
  <c r="AE570" i="95"/>
  <c r="AD570" i="95"/>
  <c r="X570" i="95"/>
  <c r="W570" i="95"/>
  <c r="AC570" i="95" s="1"/>
  <c r="V570" i="95"/>
  <c r="AB570" i="95" s="1"/>
  <c r="AE569" i="95"/>
  <c r="X569" i="95"/>
  <c r="AD569" i="95" s="1"/>
  <c r="W569" i="95"/>
  <c r="AC569" i="95" s="1"/>
  <c r="V569" i="95"/>
  <c r="AB569" i="95" s="1"/>
  <c r="AE568" i="95"/>
  <c r="X568" i="95"/>
  <c r="AD568" i="95" s="1"/>
  <c r="W568" i="95"/>
  <c r="AC568" i="95" s="1"/>
  <c r="V568" i="95"/>
  <c r="AB568" i="95" s="1"/>
  <c r="AE567" i="95"/>
  <c r="AC567" i="95"/>
  <c r="X567" i="95"/>
  <c r="AD567" i="95" s="1"/>
  <c r="W567" i="95"/>
  <c r="V567" i="95"/>
  <c r="AB567" i="95" s="1"/>
  <c r="AE566" i="95"/>
  <c r="X566" i="95"/>
  <c r="AD566" i="95" s="1"/>
  <c r="W566" i="95"/>
  <c r="AC566" i="95" s="1"/>
  <c r="V566" i="95"/>
  <c r="AB566" i="95" s="1"/>
  <c r="AE565" i="95"/>
  <c r="X565" i="95"/>
  <c r="AD565" i="95" s="1"/>
  <c r="W565" i="95"/>
  <c r="AC565" i="95" s="1"/>
  <c r="V565" i="95"/>
  <c r="AB565" i="95" s="1"/>
  <c r="AE564" i="95"/>
  <c r="X564" i="95"/>
  <c r="AD564" i="95" s="1"/>
  <c r="W564" i="95"/>
  <c r="AC564" i="95" s="1"/>
  <c r="V564" i="95"/>
  <c r="AB564" i="95" s="1"/>
  <c r="AE563" i="95"/>
  <c r="X563" i="95"/>
  <c r="AD563" i="95" s="1"/>
  <c r="W563" i="95"/>
  <c r="AC563" i="95" s="1"/>
  <c r="V563" i="95"/>
  <c r="AB563" i="95" s="1"/>
  <c r="AE562" i="95"/>
  <c r="AD562" i="95"/>
  <c r="X562" i="95"/>
  <c r="W562" i="95"/>
  <c r="AC562" i="95" s="1"/>
  <c r="V562" i="95"/>
  <c r="AB562" i="95" s="1"/>
  <c r="AE561" i="95"/>
  <c r="X561" i="95"/>
  <c r="AD561" i="95" s="1"/>
  <c r="W561" i="95"/>
  <c r="AC561" i="95" s="1"/>
  <c r="V561" i="95"/>
  <c r="AB561" i="95" s="1"/>
  <c r="AE560" i="95"/>
  <c r="X560" i="95"/>
  <c r="AD560" i="95" s="1"/>
  <c r="W560" i="95"/>
  <c r="AC560" i="95" s="1"/>
  <c r="V560" i="95"/>
  <c r="AB560" i="95" s="1"/>
  <c r="AE559" i="95"/>
  <c r="X559" i="95"/>
  <c r="AD559" i="95" s="1"/>
  <c r="W559" i="95"/>
  <c r="AC559" i="95" s="1"/>
  <c r="V559" i="95"/>
  <c r="AB559" i="95" s="1"/>
  <c r="AE558" i="95"/>
  <c r="X558" i="95"/>
  <c r="AD558" i="95" s="1"/>
  <c r="W558" i="95"/>
  <c r="AC558" i="95" s="1"/>
  <c r="V558" i="95"/>
  <c r="AB558" i="95" s="1"/>
  <c r="AE557" i="95"/>
  <c r="AC557" i="95"/>
  <c r="X557" i="95"/>
  <c r="AD557" i="95" s="1"/>
  <c r="W557" i="95"/>
  <c r="V557" i="95"/>
  <c r="AB557" i="95" s="1"/>
  <c r="AE556" i="95"/>
  <c r="AD556" i="95"/>
  <c r="X556" i="95"/>
  <c r="W556" i="95"/>
  <c r="AC556" i="95" s="1"/>
  <c r="V556" i="95"/>
  <c r="AB556" i="95" s="1"/>
  <c r="AE555" i="95"/>
  <c r="X555" i="95"/>
  <c r="AD555" i="95" s="1"/>
  <c r="W555" i="95"/>
  <c r="AC555" i="95" s="1"/>
  <c r="V555" i="95"/>
  <c r="AB555" i="95" s="1"/>
  <c r="AE554" i="95"/>
  <c r="AD554" i="95"/>
  <c r="X554" i="95"/>
  <c r="W554" i="95"/>
  <c r="AC554" i="95" s="1"/>
  <c r="V554" i="95"/>
  <c r="AB554" i="95" s="1"/>
  <c r="AE553" i="95"/>
  <c r="X553" i="95"/>
  <c r="AD553" i="95" s="1"/>
  <c r="W553" i="95"/>
  <c r="AC553" i="95" s="1"/>
  <c r="V553" i="95"/>
  <c r="AB553" i="95" s="1"/>
  <c r="AE552" i="95"/>
  <c r="X552" i="95"/>
  <c r="AD552" i="95" s="1"/>
  <c r="W552" i="95"/>
  <c r="AC552" i="95" s="1"/>
  <c r="V552" i="95"/>
  <c r="AB552" i="95" s="1"/>
  <c r="AE551" i="95"/>
  <c r="AC551" i="95"/>
  <c r="X551" i="95"/>
  <c r="AD551" i="95" s="1"/>
  <c r="W551" i="95"/>
  <c r="V551" i="95"/>
  <c r="AB551" i="95" s="1"/>
  <c r="AE550" i="95"/>
  <c r="X550" i="95"/>
  <c r="AD550" i="95" s="1"/>
  <c r="W550" i="95"/>
  <c r="AC550" i="95" s="1"/>
  <c r="V550" i="95"/>
  <c r="AB550" i="95" s="1"/>
  <c r="AE549" i="95"/>
  <c r="X549" i="95"/>
  <c r="AD549" i="95" s="1"/>
  <c r="W549" i="95"/>
  <c r="AC549" i="95" s="1"/>
  <c r="V549" i="95"/>
  <c r="AB549" i="95" s="1"/>
  <c r="AE548" i="95"/>
  <c r="X548" i="95"/>
  <c r="AD548" i="95" s="1"/>
  <c r="W548" i="95"/>
  <c r="AC548" i="95" s="1"/>
  <c r="V548" i="95"/>
  <c r="AB548" i="95" s="1"/>
  <c r="AE547" i="95"/>
  <c r="X547" i="95"/>
  <c r="AD547" i="95" s="1"/>
  <c r="W547" i="95"/>
  <c r="AC547" i="95" s="1"/>
  <c r="V547" i="95"/>
  <c r="AB547" i="95" s="1"/>
  <c r="AE546" i="95"/>
  <c r="AD546" i="95"/>
  <c r="X546" i="95"/>
  <c r="W546" i="95"/>
  <c r="AC546" i="95" s="1"/>
  <c r="V546" i="95"/>
  <c r="AB546" i="95" s="1"/>
  <c r="AE545" i="95"/>
  <c r="X545" i="95"/>
  <c r="AD545" i="95" s="1"/>
  <c r="W545" i="95"/>
  <c r="AC545" i="95" s="1"/>
  <c r="V545" i="95"/>
  <c r="AB545" i="95" s="1"/>
  <c r="AE544" i="95"/>
  <c r="X544" i="95"/>
  <c r="AD544" i="95" s="1"/>
  <c r="W544" i="95"/>
  <c r="AC544" i="95" s="1"/>
  <c r="V544" i="95"/>
  <c r="AB544" i="95" s="1"/>
  <c r="AE543" i="95"/>
  <c r="X543" i="95"/>
  <c r="AD543" i="95" s="1"/>
  <c r="W543" i="95"/>
  <c r="AC543" i="95" s="1"/>
  <c r="V543" i="95"/>
  <c r="AB543" i="95" s="1"/>
  <c r="AE542" i="95"/>
  <c r="AB542" i="95"/>
  <c r="X542" i="95"/>
  <c r="AD542" i="95" s="1"/>
  <c r="W542" i="95"/>
  <c r="AC542" i="95" s="1"/>
  <c r="V542" i="95"/>
  <c r="AE541" i="95"/>
  <c r="AC541" i="95"/>
  <c r="X541" i="95"/>
  <c r="AD541" i="95" s="1"/>
  <c r="W541" i="95"/>
  <c r="V541" i="95"/>
  <c r="AB541" i="95" s="1"/>
  <c r="AE540" i="95"/>
  <c r="AD540" i="95"/>
  <c r="X540" i="95"/>
  <c r="W540" i="95"/>
  <c r="AC540" i="95" s="1"/>
  <c r="V540" i="95"/>
  <c r="AB540" i="95" s="1"/>
  <c r="AE539" i="95"/>
  <c r="X539" i="95"/>
  <c r="AD539" i="95" s="1"/>
  <c r="W539" i="95"/>
  <c r="AC539" i="95" s="1"/>
  <c r="V539" i="95"/>
  <c r="AB539" i="95" s="1"/>
  <c r="AE538" i="95"/>
  <c r="X538" i="95"/>
  <c r="AD538" i="95" s="1"/>
  <c r="W538" i="95"/>
  <c r="AC538" i="95" s="1"/>
  <c r="V538" i="95"/>
  <c r="AB538" i="95" s="1"/>
  <c r="AE537" i="95"/>
  <c r="X537" i="95"/>
  <c r="AD537" i="95" s="1"/>
  <c r="W537" i="95"/>
  <c r="AC537" i="95" s="1"/>
  <c r="V537" i="95"/>
  <c r="AB537" i="95" s="1"/>
  <c r="AE536" i="95"/>
  <c r="AB536" i="95"/>
  <c r="X536" i="95"/>
  <c r="AD536" i="95" s="1"/>
  <c r="W536" i="95"/>
  <c r="AC536" i="95" s="1"/>
  <c r="V536" i="95"/>
  <c r="AE535" i="95"/>
  <c r="AC535" i="95"/>
  <c r="X535" i="95"/>
  <c r="AD535" i="95" s="1"/>
  <c r="W535" i="95"/>
  <c r="V535" i="95"/>
  <c r="AB535" i="95" s="1"/>
  <c r="AE534" i="95"/>
  <c r="X534" i="95"/>
  <c r="AD534" i="95" s="1"/>
  <c r="W534" i="95"/>
  <c r="AC534" i="95" s="1"/>
  <c r="V534" i="95"/>
  <c r="AB534" i="95" s="1"/>
  <c r="AE533" i="95"/>
  <c r="X533" i="95"/>
  <c r="AD533" i="95" s="1"/>
  <c r="W533" i="95"/>
  <c r="AC533" i="95" s="1"/>
  <c r="V533" i="95"/>
  <c r="AB533" i="95" s="1"/>
  <c r="AE532" i="95"/>
  <c r="AD532" i="95"/>
  <c r="X532" i="95"/>
  <c r="W532" i="95"/>
  <c r="AC532" i="95" s="1"/>
  <c r="V532" i="95"/>
  <c r="AB532" i="95" s="1"/>
  <c r="AE531" i="95"/>
  <c r="X531" i="95"/>
  <c r="AD531" i="95" s="1"/>
  <c r="W531" i="95"/>
  <c r="AC531" i="95" s="1"/>
  <c r="V531" i="95"/>
  <c r="AB531" i="95" s="1"/>
  <c r="AE530" i="95"/>
  <c r="AD530" i="95"/>
  <c r="X530" i="95"/>
  <c r="W530" i="95"/>
  <c r="AC530" i="95" s="1"/>
  <c r="V530" i="95"/>
  <c r="AB530" i="95" s="1"/>
  <c r="AE529" i="95"/>
  <c r="X529" i="95"/>
  <c r="AD529" i="95" s="1"/>
  <c r="W529" i="95"/>
  <c r="AC529" i="95" s="1"/>
  <c r="V529" i="95"/>
  <c r="AB529" i="95" s="1"/>
  <c r="AE528" i="95"/>
  <c r="X528" i="95"/>
  <c r="AD528" i="95" s="1"/>
  <c r="W528" i="95"/>
  <c r="AC528" i="95" s="1"/>
  <c r="V528" i="95"/>
  <c r="AB528" i="95" s="1"/>
  <c r="AE527" i="95"/>
  <c r="X527" i="95"/>
  <c r="AD527" i="95" s="1"/>
  <c r="W527" i="95"/>
  <c r="AC527" i="95" s="1"/>
  <c r="V527" i="95"/>
  <c r="AB527" i="95" s="1"/>
  <c r="AE526" i="95"/>
  <c r="AB526" i="95"/>
  <c r="X526" i="95"/>
  <c r="AD526" i="95" s="1"/>
  <c r="W526" i="95"/>
  <c r="AC526" i="95" s="1"/>
  <c r="V526" i="95"/>
  <c r="AE525" i="95"/>
  <c r="AC525" i="95"/>
  <c r="X525" i="95"/>
  <c r="AD525" i="95" s="1"/>
  <c r="W525" i="95"/>
  <c r="V525" i="95"/>
  <c r="AB525" i="95" s="1"/>
  <c r="AE524" i="95"/>
  <c r="AD524" i="95"/>
  <c r="X524" i="95"/>
  <c r="W524" i="95"/>
  <c r="AC524" i="95" s="1"/>
  <c r="V524" i="95"/>
  <c r="AB524" i="95" s="1"/>
  <c r="AE523" i="95"/>
  <c r="X523" i="95"/>
  <c r="AD523" i="95" s="1"/>
  <c r="W523" i="95"/>
  <c r="AC523" i="95" s="1"/>
  <c r="V523" i="95"/>
  <c r="AB523" i="95" s="1"/>
  <c r="AE522" i="95"/>
  <c r="X522" i="95"/>
  <c r="AD522" i="95" s="1"/>
  <c r="W522" i="95"/>
  <c r="AC522" i="95" s="1"/>
  <c r="V522" i="95"/>
  <c r="AB522" i="95" s="1"/>
  <c r="AE521" i="95"/>
  <c r="X521" i="95"/>
  <c r="AD521" i="95" s="1"/>
  <c r="W521" i="95"/>
  <c r="AC521" i="95" s="1"/>
  <c r="V521" i="95"/>
  <c r="AB521" i="95" s="1"/>
  <c r="AE520" i="95"/>
  <c r="AB520" i="95"/>
  <c r="X520" i="95"/>
  <c r="AD520" i="95" s="1"/>
  <c r="W520" i="95"/>
  <c r="AC520" i="95" s="1"/>
  <c r="V520" i="95"/>
  <c r="AE519" i="95"/>
  <c r="AC519" i="95"/>
  <c r="X519" i="95"/>
  <c r="AD519" i="95" s="1"/>
  <c r="W519" i="95"/>
  <c r="V519" i="95"/>
  <c r="AB519" i="95" s="1"/>
  <c r="AE518" i="95"/>
  <c r="X518" i="95"/>
  <c r="AD518" i="95" s="1"/>
  <c r="W518" i="95"/>
  <c r="AC518" i="95" s="1"/>
  <c r="V518" i="95"/>
  <c r="AB518" i="95" s="1"/>
  <c r="AE517" i="95"/>
  <c r="X517" i="95"/>
  <c r="AD517" i="95" s="1"/>
  <c r="W517" i="95"/>
  <c r="AC517" i="95" s="1"/>
  <c r="V517" i="95"/>
  <c r="AB517" i="95" s="1"/>
  <c r="AE516" i="95"/>
  <c r="AD516" i="95"/>
  <c r="X516" i="95"/>
  <c r="W516" i="95"/>
  <c r="AC516" i="95" s="1"/>
  <c r="V516" i="95"/>
  <c r="AB516" i="95" s="1"/>
  <c r="AE515" i="95"/>
  <c r="X515" i="95"/>
  <c r="AD515" i="95" s="1"/>
  <c r="W515" i="95"/>
  <c r="AC515" i="95" s="1"/>
  <c r="V515" i="95"/>
  <c r="AB515" i="95" s="1"/>
  <c r="AE514" i="95"/>
  <c r="AD514" i="95"/>
  <c r="X514" i="95"/>
  <c r="W514" i="95"/>
  <c r="AC514" i="95" s="1"/>
  <c r="V514" i="95"/>
  <c r="AB514" i="95" s="1"/>
  <c r="AE513" i="95"/>
  <c r="X513" i="95"/>
  <c r="AD513" i="95" s="1"/>
  <c r="W513" i="95"/>
  <c r="AC513" i="95" s="1"/>
  <c r="V513" i="95"/>
  <c r="AB513" i="95" s="1"/>
  <c r="AE512" i="95"/>
  <c r="X512" i="95"/>
  <c r="AD512" i="95" s="1"/>
  <c r="W512" i="95"/>
  <c r="AC512" i="95" s="1"/>
  <c r="V512" i="95"/>
  <c r="AB512" i="95" s="1"/>
  <c r="AE511" i="95"/>
  <c r="AC511" i="95"/>
  <c r="X511" i="95"/>
  <c r="AD511" i="95" s="1"/>
  <c r="W511" i="95"/>
  <c r="V511" i="95"/>
  <c r="AB511" i="95" s="1"/>
  <c r="AE510" i="95"/>
  <c r="X510" i="95"/>
  <c r="AD510" i="95" s="1"/>
  <c r="W510" i="95"/>
  <c r="AC510" i="95" s="1"/>
  <c r="V510" i="95"/>
  <c r="AB510" i="95" s="1"/>
  <c r="AE509" i="95"/>
  <c r="X509" i="95"/>
  <c r="AD509" i="95" s="1"/>
  <c r="W509" i="95"/>
  <c r="AC509" i="95" s="1"/>
  <c r="V509" i="95"/>
  <c r="AB509" i="95" s="1"/>
  <c r="AE508" i="95"/>
  <c r="X508" i="95"/>
  <c r="AD508" i="95" s="1"/>
  <c r="W508" i="95"/>
  <c r="AC508" i="95" s="1"/>
  <c r="V508" i="95"/>
  <c r="AB508" i="95" s="1"/>
  <c r="AE507" i="95"/>
  <c r="X507" i="95"/>
  <c r="AD507" i="95" s="1"/>
  <c r="W507" i="95"/>
  <c r="AC507" i="95" s="1"/>
  <c r="V507" i="95"/>
  <c r="AB507" i="95" s="1"/>
  <c r="AE506" i="95"/>
  <c r="AD506" i="95"/>
  <c r="X506" i="95"/>
  <c r="W506" i="95"/>
  <c r="AC506" i="95" s="1"/>
  <c r="V506" i="95"/>
  <c r="AB506" i="95" s="1"/>
  <c r="AE505" i="95"/>
  <c r="X505" i="95"/>
  <c r="AD505" i="95" s="1"/>
  <c r="W505" i="95"/>
  <c r="AC505" i="95" s="1"/>
  <c r="V505" i="95"/>
  <c r="AB505" i="95" s="1"/>
  <c r="AE504" i="95"/>
  <c r="X504" i="95"/>
  <c r="AD504" i="95" s="1"/>
  <c r="W504" i="95"/>
  <c r="AC504" i="95" s="1"/>
  <c r="V504" i="95"/>
  <c r="AB504" i="95" s="1"/>
  <c r="AE503" i="95"/>
  <c r="X503" i="95"/>
  <c r="AD503" i="95" s="1"/>
  <c r="W503" i="95"/>
  <c r="AC503" i="95" s="1"/>
  <c r="V503" i="95"/>
  <c r="AB503" i="95" s="1"/>
  <c r="AE502" i="95"/>
  <c r="X502" i="95"/>
  <c r="AD502" i="95" s="1"/>
  <c r="W502" i="95"/>
  <c r="AC502" i="95" s="1"/>
  <c r="V502" i="95"/>
  <c r="AB502" i="95" s="1"/>
  <c r="AE501" i="95"/>
  <c r="AC501" i="95"/>
  <c r="X501" i="95"/>
  <c r="AD501" i="95" s="1"/>
  <c r="W501" i="95"/>
  <c r="V501" i="95"/>
  <c r="AB501" i="95" s="1"/>
  <c r="AE500" i="95"/>
  <c r="AD500" i="95"/>
  <c r="X500" i="95"/>
  <c r="W500" i="95"/>
  <c r="AC500" i="95" s="1"/>
  <c r="V500" i="95"/>
  <c r="AB500" i="95" s="1"/>
  <c r="AE499" i="95"/>
  <c r="X499" i="95"/>
  <c r="AD499" i="95" s="1"/>
  <c r="W499" i="95"/>
  <c r="AC499" i="95" s="1"/>
  <c r="V499" i="95"/>
  <c r="AB499" i="95" s="1"/>
  <c r="AE498" i="95"/>
  <c r="AD498" i="95"/>
  <c r="X498" i="95"/>
  <c r="W498" i="95"/>
  <c r="AC498" i="95" s="1"/>
  <c r="V498" i="95"/>
  <c r="AB498" i="95" s="1"/>
  <c r="AE497" i="95"/>
  <c r="X497" i="95"/>
  <c r="AD497" i="95" s="1"/>
  <c r="W497" i="95"/>
  <c r="AC497" i="95" s="1"/>
  <c r="V497" i="95"/>
  <c r="AB497" i="95" s="1"/>
  <c r="AE496" i="95"/>
  <c r="X496" i="95"/>
  <c r="AD496" i="95" s="1"/>
  <c r="W496" i="95"/>
  <c r="AC496" i="95" s="1"/>
  <c r="V496" i="95"/>
  <c r="AB496" i="95" s="1"/>
  <c r="AE495" i="95"/>
  <c r="AC495" i="95"/>
  <c r="X495" i="95"/>
  <c r="AD495" i="95" s="1"/>
  <c r="W495" i="95"/>
  <c r="V495" i="95"/>
  <c r="AB495" i="95" s="1"/>
  <c r="AE494" i="95"/>
  <c r="X494" i="95"/>
  <c r="AD494" i="95" s="1"/>
  <c r="W494" i="95"/>
  <c r="AC494" i="95" s="1"/>
  <c r="V494" i="95"/>
  <c r="AB494" i="95" s="1"/>
  <c r="AE493" i="95"/>
  <c r="X493" i="95"/>
  <c r="AD493" i="95" s="1"/>
  <c r="W493" i="95"/>
  <c r="AC493" i="95" s="1"/>
  <c r="V493" i="95"/>
  <c r="AB493" i="95" s="1"/>
  <c r="AE492" i="95"/>
  <c r="X492" i="95"/>
  <c r="AD492" i="95" s="1"/>
  <c r="W492" i="95"/>
  <c r="AC492" i="95" s="1"/>
  <c r="V492" i="95"/>
  <c r="AB492" i="95" s="1"/>
  <c r="AG491" i="95"/>
  <c r="AF491" i="95"/>
  <c r="AC491" i="95"/>
  <c r="X491" i="95"/>
  <c r="AD491" i="95" s="1"/>
  <c r="W491" i="95"/>
  <c r="V491" i="95"/>
  <c r="AB491" i="95" s="1"/>
  <c r="AG490" i="95"/>
  <c r="AF490" i="95"/>
  <c r="X490" i="95"/>
  <c r="AD490" i="95" s="1"/>
  <c r="W490" i="95"/>
  <c r="AC490" i="95" s="1"/>
  <c r="V490" i="95"/>
  <c r="AB490" i="95" s="1"/>
  <c r="AG489" i="95"/>
  <c r="AF489" i="95"/>
  <c r="AC489" i="95"/>
  <c r="X489" i="95"/>
  <c r="AD489" i="95" s="1"/>
  <c r="W489" i="95"/>
  <c r="V489" i="95"/>
  <c r="AB489" i="95" s="1"/>
  <c r="AG488" i="95"/>
  <c r="AF488" i="95"/>
  <c r="X488" i="95"/>
  <c r="AD488" i="95" s="1"/>
  <c r="W488" i="95"/>
  <c r="AC488" i="95" s="1"/>
  <c r="V488" i="95"/>
  <c r="AB488" i="95" s="1"/>
  <c r="AG487" i="95"/>
  <c r="AF487" i="95"/>
  <c r="X487" i="95"/>
  <c r="AD487" i="95" s="1"/>
  <c r="W487" i="95"/>
  <c r="AC487" i="95" s="1"/>
  <c r="V487" i="95"/>
  <c r="AB487" i="95" s="1"/>
  <c r="AG486" i="95"/>
  <c r="AF486" i="95"/>
  <c r="AD486" i="95"/>
  <c r="X486" i="95"/>
  <c r="W486" i="95"/>
  <c r="AC486" i="95" s="1"/>
  <c r="V486" i="95"/>
  <c r="AB486" i="95" s="1"/>
  <c r="AG485" i="95"/>
  <c r="AF485" i="95"/>
  <c r="X485" i="95"/>
  <c r="AD485" i="95" s="1"/>
  <c r="W485" i="95"/>
  <c r="AC485" i="95" s="1"/>
  <c r="V485" i="95"/>
  <c r="AB485" i="95" s="1"/>
  <c r="AG484" i="95"/>
  <c r="AF484" i="95"/>
  <c r="AD484" i="95"/>
  <c r="X484" i="95"/>
  <c r="W484" i="95"/>
  <c r="AC484" i="95" s="1"/>
  <c r="V484" i="95"/>
  <c r="AB484" i="95" s="1"/>
  <c r="AG483" i="95"/>
  <c r="AF483" i="95"/>
  <c r="X483" i="95"/>
  <c r="AD483" i="95" s="1"/>
  <c r="W483" i="95"/>
  <c r="AC483" i="95" s="1"/>
  <c r="V483" i="95"/>
  <c r="AB483" i="95" s="1"/>
  <c r="AG482" i="95"/>
  <c r="AF482" i="95"/>
  <c r="X482" i="95"/>
  <c r="AD482" i="95" s="1"/>
  <c r="W482" i="95"/>
  <c r="AC482" i="95" s="1"/>
  <c r="V482" i="95"/>
  <c r="AB482" i="95" s="1"/>
  <c r="AG481" i="95"/>
  <c r="AF481" i="95"/>
  <c r="X481" i="95"/>
  <c r="AD481" i="95" s="1"/>
  <c r="W481" i="95"/>
  <c r="AC481" i="95" s="1"/>
  <c r="V481" i="95"/>
  <c r="AB481" i="95" s="1"/>
  <c r="AG480" i="95"/>
  <c r="AF480" i="95"/>
  <c r="X480" i="95"/>
  <c r="AD480" i="95" s="1"/>
  <c r="W480" i="95"/>
  <c r="AC480" i="95" s="1"/>
  <c r="V480" i="95"/>
  <c r="AB480" i="95" s="1"/>
  <c r="AG479" i="95"/>
  <c r="AF479" i="95"/>
  <c r="X479" i="95"/>
  <c r="AD479" i="95" s="1"/>
  <c r="W479" i="95"/>
  <c r="AC479" i="95" s="1"/>
  <c r="V479" i="95"/>
  <c r="AB479" i="95" s="1"/>
  <c r="AE478" i="95"/>
  <c r="X478" i="95"/>
  <c r="AD478" i="95" s="1"/>
  <c r="W478" i="95"/>
  <c r="AC478" i="95" s="1"/>
  <c r="V478" i="95"/>
  <c r="AB478" i="95" s="1"/>
  <c r="AE477" i="95"/>
  <c r="AC477" i="95"/>
  <c r="X477" i="95"/>
  <c r="AD477" i="95" s="1"/>
  <c r="W477" i="95"/>
  <c r="V477" i="95"/>
  <c r="AB477" i="95" s="1"/>
  <c r="AE476" i="95"/>
  <c r="X476" i="95"/>
  <c r="AD476" i="95" s="1"/>
  <c r="W476" i="95"/>
  <c r="AC476" i="95" s="1"/>
  <c r="V476" i="95"/>
  <c r="AB476" i="95" s="1"/>
  <c r="AE475" i="95"/>
  <c r="X475" i="95"/>
  <c r="AD475" i="95" s="1"/>
  <c r="W475" i="95"/>
  <c r="AC475" i="95" s="1"/>
  <c r="V475" i="95"/>
  <c r="AB475" i="95" s="1"/>
  <c r="AE474" i="95"/>
  <c r="AD474" i="95"/>
  <c r="X474" i="95"/>
  <c r="W474" i="95"/>
  <c r="AC474" i="95" s="1"/>
  <c r="V474" i="95"/>
  <c r="AB474" i="95" s="1"/>
  <c r="AE473" i="95"/>
  <c r="X473" i="95"/>
  <c r="AD473" i="95" s="1"/>
  <c r="W473" i="95"/>
  <c r="AC473" i="95" s="1"/>
  <c r="V473" i="95"/>
  <c r="AB473" i="95" s="1"/>
  <c r="AE472" i="95"/>
  <c r="X472" i="95"/>
  <c r="AD472" i="95" s="1"/>
  <c r="W472" i="95"/>
  <c r="AC472" i="95" s="1"/>
  <c r="V472" i="95"/>
  <c r="AB472" i="95" s="1"/>
  <c r="AE471" i="95"/>
  <c r="X471" i="95"/>
  <c r="AD471" i="95" s="1"/>
  <c r="W471" i="95"/>
  <c r="AC471" i="95" s="1"/>
  <c r="V471" i="95"/>
  <c r="AB471" i="95" s="1"/>
  <c r="AE470" i="95"/>
  <c r="AD470" i="95"/>
  <c r="X470" i="95"/>
  <c r="W470" i="95"/>
  <c r="AC470" i="95" s="1"/>
  <c r="V470" i="95"/>
  <c r="AB470" i="95" s="1"/>
  <c r="AE469" i="95"/>
  <c r="X469" i="95"/>
  <c r="AD469" i="95" s="1"/>
  <c r="W469" i="95"/>
  <c r="AC469" i="95" s="1"/>
  <c r="V469" i="95"/>
  <c r="AB469" i="95" s="1"/>
  <c r="AE468" i="95"/>
  <c r="X468" i="95"/>
  <c r="AD468" i="95" s="1"/>
  <c r="W468" i="95"/>
  <c r="AC468" i="95" s="1"/>
  <c r="V468" i="95"/>
  <c r="AB468" i="95" s="1"/>
  <c r="AE467" i="95"/>
  <c r="X467" i="95"/>
  <c r="AD467" i="95" s="1"/>
  <c r="W467" i="95"/>
  <c r="AC467" i="95" s="1"/>
  <c r="V467" i="95"/>
  <c r="AB467" i="95" s="1"/>
  <c r="AE466" i="95"/>
  <c r="X466" i="95"/>
  <c r="AD466" i="95" s="1"/>
  <c r="W466" i="95"/>
  <c r="AC466" i="95" s="1"/>
  <c r="V466" i="95"/>
  <c r="AB466" i="95" s="1"/>
  <c r="AE465" i="95"/>
  <c r="X465" i="95"/>
  <c r="AD465" i="95" s="1"/>
  <c r="W465" i="95"/>
  <c r="AC465" i="95" s="1"/>
  <c r="V465" i="95"/>
  <c r="AB465" i="95" s="1"/>
  <c r="AE464" i="95"/>
  <c r="AB464" i="95"/>
  <c r="X464" i="95"/>
  <c r="AD464" i="95" s="1"/>
  <c r="W464" i="95"/>
  <c r="AC464" i="95" s="1"/>
  <c r="V464" i="95"/>
  <c r="AE463" i="95"/>
  <c r="AC463" i="95"/>
  <c r="X463" i="95"/>
  <c r="AD463" i="95" s="1"/>
  <c r="W463" i="95"/>
  <c r="V463" i="95"/>
  <c r="AB463" i="95" s="1"/>
  <c r="AE462" i="95"/>
  <c r="X462" i="95"/>
  <c r="AD462" i="95" s="1"/>
  <c r="W462" i="95"/>
  <c r="AC462" i="95" s="1"/>
  <c r="V462" i="95"/>
  <c r="AB462" i="95" s="1"/>
  <c r="AE461" i="95"/>
  <c r="X461" i="95"/>
  <c r="AD461" i="95" s="1"/>
  <c r="W461" i="95"/>
  <c r="AC461" i="95" s="1"/>
  <c r="V461" i="95"/>
  <c r="AB461" i="95" s="1"/>
  <c r="AE460" i="95"/>
  <c r="X460" i="95"/>
  <c r="AD460" i="95" s="1"/>
  <c r="W460" i="95"/>
  <c r="AC460" i="95" s="1"/>
  <c r="V460" i="95"/>
  <c r="AB460" i="95" s="1"/>
  <c r="AE459" i="95"/>
  <c r="AC459" i="95"/>
  <c r="X459" i="95"/>
  <c r="AD459" i="95" s="1"/>
  <c r="W459" i="95"/>
  <c r="V459" i="95"/>
  <c r="AB459" i="95" s="1"/>
  <c r="AE458" i="95"/>
  <c r="X458" i="95"/>
  <c r="AD458" i="95" s="1"/>
  <c r="W458" i="95"/>
  <c r="AC458" i="95" s="1"/>
  <c r="V458" i="95"/>
  <c r="AB458" i="95" s="1"/>
  <c r="AE457" i="95"/>
  <c r="X457" i="95"/>
  <c r="AD457" i="95" s="1"/>
  <c r="W457" i="95"/>
  <c r="AC457" i="95" s="1"/>
  <c r="V457" i="95"/>
  <c r="AB457" i="95" s="1"/>
  <c r="AE456" i="95"/>
  <c r="X456" i="95"/>
  <c r="AD456" i="95" s="1"/>
  <c r="W456" i="95"/>
  <c r="AC456" i="95" s="1"/>
  <c r="V456" i="95"/>
  <c r="AB456" i="95" s="1"/>
  <c r="AE455" i="95"/>
  <c r="X455" i="95"/>
  <c r="AD455" i="95" s="1"/>
  <c r="W455" i="95"/>
  <c r="AC455" i="95" s="1"/>
  <c r="V455" i="95"/>
  <c r="AB455" i="95" s="1"/>
  <c r="AE454" i="95"/>
  <c r="X454" i="95"/>
  <c r="AD454" i="95" s="1"/>
  <c r="W454" i="95"/>
  <c r="AC454" i="95" s="1"/>
  <c r="V454" i="95"/>
  <c r="AB454" i="95" s="1"/>
  <c r="AE453" i="95"/>
  <c r="X453" i="95"/>
  <c r="AD453" i="95" s="1"/>
  <c r="W453" i="95"/>
  <c r="AC453" i="95" s="1"/>
  <c r="V453" i="95"/>
  <c r="AB453" i="95" s="1"/>
  <c r="AE452" i="95"/>
  <c r="AB452" i="95"/>
  <c r="X452" i="95"/>
  <c r="AD452" i="95" s="1"/>
  <c r="W452" i="95"/>
  <c r="AC452" i="95" s="1"/>
  <c r="V452" i="95"/>
  <c r="AE451" i="95"/>
  <c r="AC451" i="95"/>
  <c r="X451" i="95"/>
  <c r="AD451" i="95" s="1"/>
  <c r="W451" i="95"/>
  <c r="V451" i="95"/>
  <c r="AB451" i="95" s="1"/>
  <c r="AE450" i="95"/>
  <c r="X450" i="95"/>
  <c r="AD450" i="95" s="1"/>
  <c r="W450" i="95"/>
  <c r="AC450" i="95" s="1"/>
  <c r="V450" i="95"/>
  <c r="AB450" i="95" s="1"/>
  <c r="AE449" i="95"/>
  <c r="X449" i="95"/>
  <c r="AD449" i="95" s="1"/>
  <c r="W449" i="95"/>
  <c r="AC449" i="95" s="1"/>
  <c r="V449" i="95"/>
  <c r="AB449" i="95" s="1"/>
  <c r="AE448" i="95"/>
  <c r="X448" i="95"/>
  <c r="AD448" i="95" s="1"/>
  <c r="W448" i="95"/>
  <c r="AC448" i="95" s="1"/>
  <c r="V448" i="95"/>
  <c r="AB448" i="95" s="1"/>
  <c r="AE447" i="95"/>
  <c r="X447" i="95"/>
  <c r="AD447" i="95" s="1"/>
  <c r="W447" i="95"/>
  <c r="AC447" i="95" s="1"/>
  <c r="V447" i="95"/>
  <c r="AB447" i="95" s="1"/>
  <c r="AE446" i="95"/>
  <c r="X446" i="95"/>
  <c r="AD446" i="95" s="1"/>
  <c r="W446" i="95"/>
  <c r="AC446" i="95" s="1"/>
  <c r="V446" i="95"/>
  <c r="AB446" i="95" s="1"/>
  <c r="AE445" i="95"/>
  <c r="X445" i="95"/>
  <c r="AD445" i="95" s="1"/>
  <c r="W445" i="95"/>
  <c r="AC445" i="95" s="1"/>
  <c r="V445" i="95"/>
  <c r="AB445" i="95" s="1"/>
  <c r="AE444" i="95"/>
  <c r="AB444" i="95"/>
  <c r="X444" i="95"/>
  <c r="AD444" i="95" s="1"/>
  <c r="W444" i="95"/>
  <c r="AC444" i="95" s="1"/>
  <c r="V444" i="95"/>
  <c r="AE443" i="95"/>
  <c r="AC443" i="95"/>
  <c r="X443" i="95"/>
  <c r="AD443" i="95" s="1"/>
  <c r="W443" i="95"/>
  <c r="V443" i="95"/>
  <c r="AB443" i="95" s="1"/>
  <c r="AG442" i="95"/>
  <c r="AF442" i="95"/>
  <c r="X442" i="95"/>
  <c r="AD442" i="95" s="1"/>
  <c r="W442" i="95"/>
  <c r="AC442" i="95" s="1"/>
  <c r="V442" i="95"/>
  <c r="AB442" i="95" s="1"/>
  <c r="AG441" i="95"/>
  <c r="AF441" i="95"/>
  <c r="X441" i="95"/>
  <c r="AD441" i="95" s="1"/>
  <c r="W441" i="95"/>
  <c r="AC441" i="95" s="1"/>
  <c r="V441" i="95"/>
  <c r="AB441" i="95" s="1"/>
  <c r="AG440" i="95"/>
  <c r="AF440" i="95"/>
  <c r="X440" i="95"/>
  <c r="AD440" i="95" s="1"/>
  <c r="W440" i="95"/>
  <c r="AC440" i="95" s="1"/>
  <c r="V440" i="95"/>
  <c r="AB440" i="95" s="1"/>
  <c r="AG439" i="95"/>
  <c r="AF439" i="95"/>
  <c r="X439" i="95"/>
  <c r="AD439" i="95" s="1"/>
  <c r="W439" i="95"/>
  <c r="AC439" i="95" s="1"/>
  <c r="V439" i="95"/>
  <c r="AB439" i="95" s="1"/>
  <c r="AG438" i="95"/>
  <c r="AF438" i="95"/>
  <c r="X438" i="95"/>
  <c r="AD438" i="95" s="1"/>
  <c r="W438" i="95"/>
  <c r="AC438" i="95" s="1"/>
  <c r="V438" i="95"/>
  <c r="AB438" i="95" s="1"/>
  <c r="AG437" i="95"/>
  <c r="AF437" i="95"/>
  <c r="X437" i="95"/>
  <c r="AD437" i="95" s="1"/>
  <c r="W437" i="95"/>
  <c r="AC437" i="95" s="1"/>
  <c r="V437" i="95"/>
  <c r="AB437" i="95" s="1"/>
  <c r="AG436" i="95"/>
  <c r="AF436" i="95"/>
  <c r="X436" i="95"/>
  <c r="AD436" i="95" s="1"/>
  <c r="W436" i="95"/>
  <c r="AC436" i="95" s="1"/>
  <c r="V436" i="95"/>
  <c r="AB436" i="95" s="1"/>
  <c r="AG435" i="95"/>
  <c r="AF435" i="95"/>
  <c r="AC435" i="95"/>
  <c r="X435" i="95"/>
  <c r="AD435" i="95" s="1"/>
  <c r="W435" i="95"/>
  <c r="V435" i="95"/>
  <c r="AB435" i="95" s="1"/>
  <c r="AG434" i="95"/>
  <c r="AF434" i="95"/>
  <c r="X434" i="95"/>
  <c r="AD434" i="95" s="1"/>
  <c r="W434" i="95"/>
  <c r="AC434" i="95" s="1"/>
  <c r="V434" i="95"/>
  <c r="AB434" i="95" s="1"/>
  <c r="AG433" i="95"/>
  <c r="AF433" i="95"/>
  <c r="X433" i="95"/>
  <c r="AD433" i="95" s="1"/>
  <c r="W433" i="95"/>
  <c r="AC433" i="95" s="1"/>
  <c r="V433" i="95"/>
  <c r="AB433" i="95" s="1"/>
  <c r="AG432" i="95"/>
  <c r="AF432" i="95"/>
  <c r="X432" i="95"/>
  <c r="AD432" i="95" s="1"/>
  <c r="W432" i="95"/>
  <c r="AC432" i="95" s="1"/>
  <c r="V432" i="95"/>
  <c r="AB432" i="95" s="1"/>
  <c r="AG431" i="95"/>
  <c r="AF431" i="95"/>
  <c r="X431" i="95"/>
  <c r="AD431" i="95" s="1"/>
  <c r="W431" i="95"/>
  <c r="AC431" i="95" s="1"/>
  <c r="V431" i="95"/>
  <c r="AB431" i="95" s="1"/>
  <c r="AG430" i="95"/>
  <c r="AF430" i="95"/>
  <c r="X430" i="95"/>
  <c r="AD430" i="95" s="1"/>
  <c r="W430" i="95"/>
  <c r="AC430" i="95" s="1"/>
  <c r="V430" i="95"/>
  <c r="AB430" i="95" s="1"/>
  <c r="AG429" i="95"/>
  <c r="AF429" i="95"/>
  <c r="X429" i="95"/>
  <c r="AD429" i="95" s="1"/>
  <c r="W429" i="95"/>
  <c r="AC429" i="95" s="1"/>
  <c r="V429" i="95"/>
  <c r="AB429" i="95" s="1"/>
  <c r="AG428" i="95"/>
  <c r="AF428" i="95"/>
  <c r="X428" i="95"/>
  <c r="AD428" i="95" s="1"/>
  <c r="W428" i="95"/>
  <c r="AC428" i="95" s="1"/>
  <c r="V428" i="95"/>
  <c r="AB428" i="95" s="1"/>
  <c r="AG427" i="95"/>
  <c r="AF427" i="95"/>
  <c r="AC427" i="95"/>
  <c r="X427" i="95"/>
  <c r="AD427" i="95" s="1"/>
  <c r="W427" i="95"/>
  <c r="V427" i="95"/>
  <c r="AB427" i="95" s="1"/>
  <c r="AG426" i="95"/>
  <c r="AF426" i="95"/>
  <c r="X426" i="95"/>
  <c r="AD426" i="95" s="1"/>
  <c r="W426" i="95"/>
  <c r="AC426" i="95" s="1"/>
  <c r="V426" i="95"/>
  <c r="AB426" i="95" s="1"/>
  <c r="AG425" i="95"/>
  <c r="AF425" i="95"/>
  <c r="X425" i="95"/>
  <c r="AD425" i="95" s="1"/>
  <c r="W425" i="95"/>
  <c r="AC425" i="95" s="1"/>
  <c r="V425" i="95"/>
  <c r="AB425" i="95" s="1"/>
  <c r="AG424" i="95"/>
  <c r="AF424" i="95"/>
  <c r="X424" i="95"/>
  <c r="AD424" i="95" s="1"/>
  <c r="W424" i="95"/>
  <c r="AC424" i="95" s="1"/>
  <c r="V424" i="95"/>
  <c r="AB424" i="95" s="1"/>
  <c r="AG423" i="95"/>
  <c r="AF423" i="95"/>
  <c r="X423" i="95"/>
  <c r="AD423" i="95" s="1"/>
  <c r="W423" i="95"/>
  <c r="AC423" i="95" s="1"/>
  <c r="V423" i="95"/>
  <c r="AB423" i="95" s="1"/>
  <c r="AG422" i="95"/>
  <c r="AF422" i="95"/>
  <c r="X422" i="95"/>
  <c r="AD422" i="95" s="1"/>
  <c r="W422" i="95"/>
  <c r="AC422" i="95" s="1"/>
  <c r="V422" i="95"/>
  <c r="AB422" i="95" s="1"/>
  <c r="AG421" i="95"/>
  <c r="AF421" i="95"/>
  <c r="X421" i="95"/>
  <c r="AD421" i="95" s="1"/>
  <c r="W421" i="95"/>
  <c r="AC421" i="95" s="1"/>
  <c r="V421" i="95"/>
  <c r="AB421" i="95" s="1"/>
  <c r="AG420" i="95"/>
  <c r="AF420" i="95"/>
  <c r="X420" i="95"/>
  <c r="AD420" i="95" s="1"/>
  <c r="W420" i="95"/>
  <c r="AC420" i="95" s="1"/>
  <c r="V420" i="95"/>
  <c r="AB420" i="95" s="1"/>
  <c r="AE419" i="95"/>
  <c r="AC419" i="95"/>
  <c r="X419" i="95"/>
  <c r="AD419" i="95" s="1"/>
  <c r="W419" i="95"/>
  <c r="V419" i="95"/>
  <c r="AB419" i="95" s="1"/>
  <c r="AE418" i="95"/>
  <c r="AD418" i="95"/>
  <c r="X418" i="95"/>
  <c r="W418" i="95"/>
  <c r="AC418" i="95" s="1"/>
  <c r="V418" i="95"/>
  <c r="AB418" i="95" s="1"/>
  <c r="AE417" i="95"/>
  <c r="X417" i="95"/>
  <c r="AD417" i="95" s="1"/>
  <c r="W417" i="95"/>
  <c r="AC417" i="95" s="1"/>
  <c r="V417" i="95"/>
  <c r="AB417" i="95" s="1"/>
  <c r="AE416" i="95"/>
  <c r="X416" i="95"/>
  <c r="AD416" i="95" s="1"/>
  <c r="W416" i="95"/>
  <c r="AC416" i="95" s="1"/>
  <c r="V416" i="95"/>
  <c r="AB416" i="95" s="1"/>
  <c r="AE415" i="95"/>
  <c r="X415" i="95"/>
  <c r="AD415" i="95" s="1"/>
  <c r="W415" i="95"/>
  <c r="AC415" i="95" s="1"/>
  <c r="V415" i="95"/>
  <c r="AB415" i="95" s="1"/>
  <c r="AE414" i="95"/>
  <c r="X414" i="95"/>
  <c r="AD414" i="95" s="1"/>
  <c r="W414" i="95"/>
  <c r="AC414" i="95" s="1"/>
  <c r="V414" i="95"/>
  <c r="AB414" i="95" s="1"/>
  <c r="AE413" i="95"/>
  <c r="AC413" i="95"/>
  <c r="X413" i="95"/>
  <c r="AD413" i="95" s="1"/>
  <c r="W413" i="95"/>
  <c r="V413" i="95"/>
  <c r="AB413" i="95" s="1"/>
  <c r="AE412" i="95"/>
  <c r="X412" i="95"/>
  <c r="AD412" i="95" s="1"/>
  <c r="W412" i="95"/>
  <c r="AC412" i="95" s="1"/>
  <c r="V412" i="95"/>
  <c r="AB412" i="95" s="1"/>
  <c r="AE411" i="95"/>
  <c r="X411" i="95"/>
  <c r="AD411" i="95" s="1"/>
  <c r="W411" i="95"/>
  <c r="AC411" i="95" s="1"/>
  <c r="V411" i="95"/>
  <c r="AB411" i="95" s="1"/>
  <c r="AE410" i="95"/>
  <c r="X410" i="95"/>
  <c r="AD410" i="95" s="1"/>
  <c r="W410" i="95"/>
  <c r="AC410" i="95" s="1"/>
  <c r="V410" i="95"/>
  <c r="AB410" i="95" s="1"/>
  <c r="AE409" i="95"/>
  <c r="X409" i="95"/>
  <c r="AD409" i="95" s="1"/>
  <c r="W409" i="95"/>
  <c r="AC409" i="95" s="1"/>
  <c r="V409" i="95"/>
  <c r="AB409" i="95" s="1"/>
  <c r="AE408" i="95"/>
  <c r="X408" i="95"/>
  <c r="AD408" i="95" s="1"/>
  <c r="W408" i="95"/>
  <c r="AC408" i="95" s="1"/>
  <c r="V408" i="95"/>
  <c r="AB408" i="95" s="1"/>
  <c r="AE407" i="95"/>
  <c r="X407" i="95"/>
  <c r="AD407" i="95" s="1"/>
  <c r="W407" i="95"/>
  <c r="AC407" i="95" s="1"/>
  <c r="V407" i="95"/>
  <c r="AB407" i="95" s="1"/>
  <c r="AE406" i="95"/>
  <c r="X406" i="95"/>
  <c r="AD406" i="95" s="1"/>
  <c r="W406" i="95"/>
  <c r="AC406" i="95" s="1"/>
  <c r="V406" i="95"/>
  <c r="AB406" i="95" s="1"/>
  <c r="AE405" i="95"/>
  <c r="X405" i="95"/>
  <c r="AD405" i="95" s="1"/>
  <c r="W405" i="95"/>
  <c r="AC405" i="95" s="1"/>
  <c r="V405" i="95"/>
  <c r="AB405" i="95" s="1"/>
  <c r="AE404" i="95"/>
  <c r="X404" i="95"/>
  <c r="AD404" i="95" s="1"/>
  <c r="W404" i="95"/>
  <c r="AC404" i="95" s="1"/>
  <c r="V404" i="95"/>
  <c r="AB404" i="95" s="1"/>
  <c r="AE403" i="95"/>
  <c r="X403" i="95"/>
  <c r="AD403" i="95" s="1"/>
  <c r="W403" i="95"/>
  <c r="AC403" i="95" s="1"/>
  <c r="V403" i="95"/>
  <c r="AB403" i="95" s="1"/>
  <c r="AE402" i="95"/>
  <c r="AD402" i="95"/>
  <c r="X402" i="95"/>
  <c r="W402" i="95"/>
  <c r="AC402" i="95" s="1"/>
  <c r="V402" i="95"/>
  <c r="AB402" i="95" s="1"/>
  <c r="AE401" i="95"/>
  <c r="X401" i="95"/>
  <c r="AD401" i="95" s="1"/>
  <c r="W401" i="95"/>
  <c r="AC401" i="95" s="1"/>
  <c r="V401" i="95"/>
  <c r="AB401" i="95" s="1"/>
  <c r="AE400" i="95"/>
  <c r="X400" i="95"/>
  <c r="AD400" i="95" s="1"/>
  <c r="W400" i="95"/>
  <c r="AC400" i="95" s="1"/>
  <c r="V400" i="95"/>
  <c r="AB400" i="95" s="1"/>
  <c r="AE399" i="95"/>
  <c r="X399" i="95"/>
  <c r="AD399" i="95" s="1"/>
  <c r="W399" i="95"/>
  <c r="AC399" i="95" s="1"/>
  <c r="V399" i="95"/>
  <c r="AB399" i="95" s="1"/>
  <c r="AE398" i="95"/>
  <c r="AD398" i="95"/>
  <c r="X398" i="95"/>
  <c r="W398" i="95"/>
  <c r="AC398" i="95" s="1"/>
  <c r="V398" i="95"/>
  <c r="AB398" i="95" s="1"/>
  <c r="AE397" i="95"/>
  <c r="X397" i="95"/>
  <c r="AD397" i="95" s="1"/>
  <c r="W397" i="95"/>
  <c r="AC397" i="95" s="1"/>
  <c r="V397" i="95"/>
  <c r="AB397" i="95" s="1"/>
  <c r="AE396" i="95"/>
  <c r="X396" i="95"/>
  <c r="AD396" i="95" s="1"/>
  <c r="W396" i="95"/>
  <c r="AC396" i="95" s="1"/>
  <c r="V396" i="95"/>
  <c r="AB396" i="95" s="1"/>
  <c r="AE395" i="95"/>
  <c r="X395" i="95"/>
  <c r="AD395" i="95" s="1"/>
  <c r="W395" i="95"/>
  <c r="AC395" i="95" s="1"/>
  <c r="V395" i="95"/>
  <c r="AB395" i="95" s="1"/>
  <c r="AE394" i="95"/>
  <c r="AD394" i="95"/>
  <c r="X394" i="95"/>
  <c r="W394" i="95"/>
  <c r="AC394" i="95" s="1"/>
  <c r="V394" i="95"/>
  <c r="AB394" i="95" s="1"/>
  <c r="AE393" i="95"/>
  <c r="X393" i="95"/>
  <c r="AD393" i="95" s="1"/>
  <c r="W393" i="95"/>
  <c r="AC393" i="95" s="1"/>
  <c r="V393" i="95"/>
  <c r="AB393" i="95" s="1"/>
  <c r="AE392" i="95"/>
  <c r="X392" i="95"/>
  <c r="AD392" i="95" s="1"/>
  <c r="W392" i="95"/>
  <c r="AC392" i="95" s="1"/>
  <c r="V392" i="95"/>
  <c r="AB392" i="95" s="1"/>
  <c r="AE391" i="95"/>
  <c r="X391" i="95"/>
  <c r="AD391" i="95" s="1"/>
  <c r="W391" i="95"/>
  <c r="AC391" i="95" s="1"/>
  <c r="V391" i="95"/>
  <c r="AB391" i="95" s="1"/>
  <c r="AE390" i="95"/>
  <c r="X390" i="95"/>
  <c r="AD390" i="95" s="1"/>
  <c r="W390" i="95"/>
  <c r="AC390" i="95" s="1"/>
  <c r="V390" i="95"/>
  <c r="AB390" i="95" s="1"/>
  <c r="AE389" i="95"/>
  <c r="X389" i="95"/>
  <c r="AD389" i="95" s="1"/>
  <c r="W389" i="95"/>
  <c r="AC389" i="95" s="1"/>
  <c r="V389" i="95"/>
  <c r="AB389" i="95" s="1"/>
  <c r="AE388" i="95"/>
  <c r="X388" i="95"/>
  <c r="AD388" i="95" s="1"/>
  <c r="W388" i="95"/>
  <c r="AC388" i="95" s="1"/>
  <c r="V388" i="95"/>
  <c r="AB388" i="95" s="1"/>
  <c r="AE387" i="95"/>
  <c r="X387" i="95"/>
  <c r="AD387" i="95" s="1"/>
  <c r="W387" i="95"/>
  <c r="AC387" i="95" s="1"/>
  <c r="V387" i="95"/>
  <c r="AB387" i="95" s="1"/>
  <c r="AE386" i="95"/>
  <c r="AD386" i="95"/>
  <c r="AC386" i="95"/>
  <c r="X386" i="95"/>
  <c r="W386" i="95"/>
  <c r="V386" i="95"/>
  <c r="AB386" i="95" s="1"/>
  <c r="AE385" i="95"/>
  <c r="X385" i="95"/>
  <c r="AD385" i="95" s="1"/>
  <c r="W385" i="95"/>
  <c r="AC385" i="95" s="1"/>
  <c r="V385" i="95"/>
  <c r="AB385" i="95" s="1"/>
  <c r="AE384" i="95"/>
  <c r="AD384" i="95"/>
  <c r="X384" i="95"/>
  <c r="W384" i="95"/>
  <c r="AC384" i="95" s="1"/>
  <c r="V384" i="95"/>
  <c r="AB384" i="95" s="1"/>
  <c r="AE383" i="95"/>
  <c r="X383" i="95"/>
  <c r="AD383" i="95" s="1"/>
  <c r="W383" i="95"/>
  <c r="AC383" i="95" s="1"/>
  <c r="V383" i="95"/>
  <c r="AB383" i="95" s="1"/>
  <c r="AE382" i="95"/>
  <c r="AC382" i="95"/>
  <c r="X382" i="95"/>
  <c r="AD382" i="95" s="1"/>
  <c r="W382" i="95"/>
  <c r="V382" i="95"/>
  <c r="AB382" i="95" s="1"/>
  <c r="AE381" i="95"/>
  <c r="AC381" i="95"/>
  <c r="X381" i="95"/>
  <c r="AD381" i="95" s="1"/>
  <c r="W381" i="95"/>
  <c r="V381" i="95"/>
  <c r="AB381" i="95" s="1"/>
  <c r="AE380" i="95"/>
  <c r="AD380" i="95"/>
  <c r="X380" i="95"/>
  <c r="W380" i="95"/>
  <c r="AC380" i="95" s="1"/>
  <c r="V380" i="95"/>
  <c r="AB380" i="95" s="1"/>
  <c r="AE379" i="95"/>
  <c r="X379" i="95"/>
  <c r="AD379" i="95" s="1"/>
  <c r="W379" i="95"/>
  <c r="AC379" i="95" s="1"/>
  <c r="V379" i="95"/>
  <c r="AB379" i="95" s="1"/>
  <c r="AE378" i="95"/>
  <c r="X378" i="95"/>
  <c r="AD378" i="95" s="1"/>
  <c r="W378" i="95"/>
  <c r="AC378" i="95" s="1"/>
  <c r="V378" i="95"/>
  <c r="AB378" i="95" s="1"/>
  <c r="AE377" i="95"/>
  <c r="AD377" i="95"/>
  <c r="X377" i="95"/>
  <c r="W377" i="95"/>
  <c r="AC377" i="95" s="1"/>
  <c r="V377" i="95"/>
  <c r="AB377" i="95" s="1"/>
  <c r="AE376" i="95"/>
  <c r="X376" i="95"/>
  <c r="AD376" i="95" s="1"/>
  <c r="W376" i="95"/>
  <c r="AC376" i="95" s="1"/>
  <c r="V376" i="95"/>
  <c r="AB376" i="95" s="1"/>
  <c r="AE375" i="95"/>
  <c r="AB375" i="95"/>
  <c r="X375" i="95"/>
  <c r="AD375" i="95" s="1"/>
  <c r="W375" i="95"/>
  <c r="AC375" i="95" s="1"/>
  <c r="V375" i="95"/>
  <c r="AE374" i="95"/>
  <c r="X374" i="95"/>
  <c r="AD374" i="95" s="1"/>
  <c r="W374" i="95"/>
  <c r="AC374" i="95" s="1"/>
  <c r="V374" i="95"/>
  <c r="AB374" i="95" s="1"/>
  <c r="AE373" i="95"/>
  <c r="AD373" i="95"/>
  <c r="X373" i="95"/>
  <c r="W373" i="95"/>
  <c r="AC373" i="95" s="1"/>
  <c r="V373" i="95"/>
  <c r="AB373" i="95" s="1"/>
  <c r="AG372" i="95"/>
  <c r="AF372" i="95"/>
  <c r="AD372" i="95"/>
  <c r="X372" i="95"/>
  <c r="W372" i="95"/>
  <c r="AC372" i="95" s="1"/>
  <c r="V372" i="95"/>
  <c r="AB372" i="95" s="1"/>
  <c r="AG371" i="95"/>
  <c r="AF371" i="95"/>
  <c r="X371" i="95"/>
  <c r="AD371" i="95" s="1"/>
  <c r="W371" i="95"/>
  <c r="AC371" i="95" s="1"/>
  <c r="V371" i="95"/>
  <c r="AB371" i="95" s="1"/>
  <c r="AG370" i="95"/>
  <c r="AF370" i="95"/>
  <c r="AB370" i="95"/>
  <c r="X370" i="95"/>
  <c r="AD370" i="95" s="1"/>
  <c r="W370" i="95"/>
  <c r="AC370" i="95" s="1"/>
  <c r="V370" i="95"/>
  <c r="AG369" i="95"/>
  <c r="AF369" i="95"/>
  <c r="X369" i="95"/>
  <c r="AD369" i="95" s="1"/>
  <c r="W369" i="95"/>
  <c r="AC369" i="95" s="1"/>
  <c r="V369" i="95"/>
  <c r="AB369" i="95" s="1"/>
  <c r="AG368" i="95"/>
  <c r="AF368" i="95"/>
  <c r="X368" i="95"/>
  <c r="AD368" i="95" s="1"/>
  <c r="W368" i="95"/>
  <c r="AC368" i="95" s="1"/>
  <c r="V368" i="95"/>
  <c r="AB368" i="95" s="1"/>
  <c r="AG367" i="95"/>
  <c r="AF367" i="95"/>
  <c r="AC367" i="95"/>
  <c r="X367" i="95"/>
  <c r="AD367" i="95" s="1"/>
  <c r="W367" i="95"/>
  <c r="V367" i="95"/>
  <c r="AB367" i="95" s="1"/>
  <c r="AG366" i="95"/>
  <c r="AF366" i="95"/>
  <c r="AC366" i="95"/>
  <c r="X366" i="95"/>
  <c r="AD366" i="95" s="1"/>
  <c r="W366" i="95"/>
  <c r="V366" i="95"/>
  <c r="AB366" i="95" s="1"/>
  <c r="AG365" i="95"/>
  <c r="AF365" i="95"/>
  <c r="X365" i="95"/>
  <c r="AD365" i="95" s="1"/>
  <c r="W365" i="95"/>
  <c r="AC365" i="95" s="1"/>
  <c r="V365" i="95"/>
  <c r="AB365" i="95" s="1"/>
  <c r="AG364" i="95"/>
  <c r="AF364" i="95"/>
  <c r="X364" i="95"/>
  <c r="AD364" i="95" s="1"/>
  <c r="W364" i="95"/>
  <c r="AC364" i="95" s="1"/>
  <c r="V364" i="95"/>
  <c r="AB364" i="95" s="1"/>
  <c r="AG363" i="95"/>
  <c r="AF363" i="95"/>
  <c r="X363" i="95"/>
  <c r="AD363" i="95" s="1"/>
  <c r="W363" i="95"/>
  <c r="AC363" i="95" s="1"/>
  <c r="V363" i="95"/>
  <c r="AB363" i="95" s="1"/>
  <c r="AG362" i="95"/>
  <c r="AF362" i="95"/>
  <c r="X362" i="95"/>
  <c r="AD362" i="95" s="1"/>
  <c r="W362" i="95"/>
  <c r="AC362" i="95" s="1"/>
  <c r="V362" i="95"/>
  <c r="AB362" i="95" s="1"/>
  <c r="AG361" i="95"/>
  <c r="AF361" i="95"/>
  <c r="X361" i="95"/>
  <c r="AD361" i="95" s="1"/>
  <c r="W361" i="95"/>
  <c r="AC361" i="95" s="1"/>
  <c r="V361" i="95"/>
  <c r="AB361" i="95" s="1"/>
  <c r="AE360" i="95"/>
  <c r="X360" i="95"/>
  <c r="AD360" i="95" s="1"/>
  <c r="W360" i="95"/>
  <c r="AC360" i="95" s="1"/>
  <c r="V360" i="95"/>
  <c r="AB360" i="95" s="1"/>
  <c r="AE359" i="95"/>
  <c r="X359" i="95"/>
  <c r="AD359" i="95" s="1"/>
  <c r="W359" i="95"/>
  <c r="AC359" i="95" s="1"/>
  <c r="V359" i="95"/>
  <c r="AB359" i="95" s="1"/>
  <c r="AE358" i="95"/>
  <c r="X358" i="95"/>
  <c r="AD358" i="95" s="1"/>
  <c r="W358" i="95"/>
  <c r="AC358" i="95" s="1"/>
  <c r="V358" i="95"/>
  <c r="AB358" i="95" s="1"/>
  <c r="AE357" i="95"/>
  <c r="X357" i="95"/>
  <c r="AD357" i="95" s="1"/>
  <c r="W357" i="95"/>
  <c r="AC357" i="95" s="1"/>
  <c r="V357" i="95"/>
  <c r="AB357" i="95" s="1"/>
  <c r="AE356" i="95"/>
  <c r="X356" i="95"/>
  <c r="AD356" i="95" s="1"/>
  <c r="W356" i="95"/>
  <c r="AC356" i="95" s="1"/>
  <c r="V356" i="95"/>
  <c r="AB356" i="95" s="1"/>
  <c r="AE355" i="95"/>
  <c r="X355" i="95"/>
  <c r="AD355" i="95" s="1"/>
  <c r="W355" i="95"/>
  <c r="AC355" i="95" s="1"/>
  <c r="V355" i="95"/>
  <c r="AB355" i="95" s="1"/>
  <c r="AE354" i="95"/>
  <c r="X354" i="95"/>
  <c r="AD354" i="95" s="1"/>
  <c r="W354" i="95"/>
  <c r="AC354" i="95" s="1"/>
  <c r="V354" i="95"/>
  <c r="AB354" i="95" s="1"/>
  <c r="AE353" i="95"/>
  <c r="X353" i="95"/>
  <c r="AD353" i="95" s="1"/>
  <c r="W353" i="95"/>
  <c r="AC353" i="95" s="1"/>
  <c r="V353" i="95"/>
  <c r="AB353" i="95" s="1"/>
  <c r="AE352" i="95"/>
  <c r="X352" i="95"/>
  <c r="AD352" i="95" s="1"/>
  <c r="W352" i="95"/>
  <c r="AC352" i="95" s="1"/>
  <c r="V352" i="95"/>
  <c r="AB352" i="95" s="1"/>
  <c r="AE351" i="95"/>
  <c r="X351" i="95"/>
  <c r="AD351" i="95" s="1"/>
  <c r="W351" i="95"/>
  <c r="AC351" i="95" s="1"/>
  <c r="V351" i="95"/>
  <c r="AB351" i="95" s="1"/>
  <c r="AE350" i="95"/>
  <c r="X350" i="95"/>
  <c r="AD350" i="95" s="1"/>
  <c r="W350" i="95"/>
  <c r="AC350" i="95" s="1"/>
  <c r="V350" i="95"/>
  <c r="AB350" i="95" s="1"/>
  <c r="AE349" i="95"/>
  <c r="X349" i="95"/>
  <c r="AD349" i="95" s="1"/>
  <c r="W349" i="95"/>
  <c r="AC349" i="95" s="1"/>
  <c r="V349" i="95"/>
  <c r="AB349" i="95" s="1"/>
  <c r="AE348" i="95"/>
  <c r="X348" i="95"/>
  <c r="AD348" i="95" s="1"/>
  <c r="W348" i="95"/>
  <c r="AC348" i="95" s="1"/>
  <c r="V348" i="95"/>
  <c r="AB348" i="95" s="1"/>
  <c r="AE347" i="95"/>
  <c r="AB347" i="95"/>
  <c r="X347" i="95"/>
  <c r="AD347" i="95" s="1"/>
  <c r="W347" i="95"/>
  <c r="AC347" i="95" s="1"/>
  <c r="V347" i="95"/>
  <c r="AE346" i="95"/>
  <c r="X346" i="95"/>
  <c r="AD346" i="95" s="1"/>
  <c r="W346" i="95"/>
  <c r="AC346" i="95" s="1"/>
  <c r="V346" i="95"/>
  <c r="AB346" i="95" s="1"/>
  <c r="AE345" i="95"/>
  <c r="X345" i="95"/>
  <c r="AD345" i="95" s="1"/>
  <c r="W345" i="95"/>
  <c r="AC345" i="95" s="1"/>
  <c r="V345" i="95"/>
  <c r="AB345" i="95" s="1"/>
  <c r="AE344" i="95"/>
  <c r="X344" i="95"/>
  <c r="AD344" i="95" s="1"/>
  <c r="W344" i="95"/>
  <c r="AC344" i="95" s="1"/>
  <c r="V344" i="95"/>
  <c r="AB344" i="95" s="1"/>
  <c r="AE343" i="95"/>
  <c r="X343" i="95"/>
  <c r="AD343" i="95" s="1"/>
  <c r="W343" i="95"/>
  <c r="AC343" i="95" s="1"/>
  <c r="V343" i="95"/>
  <c r="AB343" i="95" s="1"/>
  <c r="AE342" i="95"/>
  <c r="AB342" i="95"/>
  <c r="X342" i="95"/>
  <c r="AD342" i="95" s="1"/>
  <c r="W342" i="95"/>
  <c r="AC342" i="95" s="1"/>
  <c r="V342" i="95"/>
  <c r="AE341" i="95"/>
  <c r="X341" i="95"/>
  <c r="AD341" i="95" s="1"/>
  <c r="W341" i="95"/>
  <c r="AC341" i="95" s="1"/>
  <c r="V341" i="95"/>
  <c r="AB341" i="95" s="1"/>
  <c r="AE340" i="95"/>
  <c r="X340" i="95"/>
  <c r="AD340" i="95" s="1"/>
  <c r="W340" i="95"/>
  <c r="AC340" i="95" s="1"/>
  <c r="V340" i="95"/>
  <c r="AB340" i="95" s="1"/>
  <c r="AE339" i="95"/>
  <c r="X339" i="95"/>
  <c r="AD339" i="95" s="1"/>
  <c r="W339" i="95"/>
  <c r="AC339" i="95" s="1"/>
  <c r="V339" i="95"/>
  <c r="AB339" i="95" s="1"/>
  <c r="AE338" i="95"/>
  <c r="X338" i="95"/>
  <c r="AD338" i="95" s="1"/>
  <c r="W338" i="95"/>
  <c r="AC338" i="95" s="1"/>
  <c r="V338" i="95"/>
  <c r="AB338" i="95" s="1"/>
  <c r="AE337" i="95"/>
  <c r="X337" i="95"/>
  <c r="AD337" i="95" s="1"/>
  <c r="W337" i="95"/>
  <c r="AC337" i="95" s="1"/>
  <c r="V337" i="95"/>
  <c r="AB337" i="95" s="1"/>
  <c r="AE336" i="95"/>
  <c r="X336" i="95"/>
  <c r="AD336" i="95" s="1"/>
  <c r="W336" i="95"/>
  <c r="AC336" i="95" s="1"/>
  <c r="V336" i="95"/>
  <c r="AB336" i="95" s="1"/>
  <c r="AE335" i="95"/>
  <c r="X335" i="95"/>
  <c r="AD335" i="95" s="1"/>
  <c r="W335" i="95"/>
  <c r="AC335" i="95" s="1"/>
  <c r="V335" i="95"/>
  <c r="AB335" i="95" s="1"/>
  <c r="AE334" i="95"/>
  <c r="X334" i="95"/>
  <c r="AD334" i="95" s="1"/>
  <c r="W334" i="95"/>
  <c r="AC334" i="95" s="1"/>
  <c r="V334" i="95"/>
  <c r="AB334" i="95" s="1"/>
  <c r="AE333" i="95"/>
  <c r="X333" i="95"/>
  <c r="AD333" i="95" s="1"/>
  <c r="W333" i="95"/>
  <c r="AC333" i="95" s="1"/>
  <c r="V333" i="95"/>
  <c r="AB333" i="95" s="1"/>
  <c r="AE332" i="95"/>
  <c r="X332" i="95"/>
  <c r="AD332" i="95" s="1"/>
  <c r="W332" i="95"/>
  <c r="AC332" i="95" s="1"/>
  <c r="V332" i="95"/>
  <c r="AB332" i="95" s="1"/>
  <c r="AE331" i="95"/>
  <c r="X331" i="95"/>
  <c r="AD331" i="95" s="1"/>
  <c r="W331" i="95"/>
  <c r="AC331" i="95" s="1"/>
  <c r="V331" i="95"/>
  <c r="AB331" i="95" s="1"/>
  <c r="AE330" i="95"/>
  <c r="X330" i="95"/>
  <c r="AD330" i="95" s="1"/>
  <c r="W330" i="95"/>
  <c r="AC330" i="95" s="1"/>
  <c r="V330" i="95"/>
  <c r="AB330" i="95" s="1"/>
  <c r="AE329" i="95"/>
  <c r="X329" i="95"/>
  <c r="AD329" i="95" s="1"/>
  <c r="W329" i="95"/>
  <c r="AC329" i="95" s="1"/>
  <c r="V329" i="95"/>
  <c r="AB329" i="95" s="1"/>
  <c r="AE328" i="95"/>
  <c r="X328" i="95"/>
  <c r="AD328" i="95" s="1"/>
  <c r="W328" i="95"/>
  <c r="AC328" i="95" s="1"/>
  <c r="V328" i="95"/>
  <c r="AB328" i="95" s="1"/>
  <c r="AE327" i="95"/>
  <c r="X327" i="95"/>
  <c r="AD327" i="95" s="1"/>
  <c r="W327" i="95"/>
  <c r="AC327" i="95" s="1"/>
  <c r="V327" i="95"/>
  <c r="AB327" i="95" s="1"/>
  <c r="AE326" i="95"/>
  <c r="X326" i="95"/>
  <c r="AD326" i="95" s="1"/>
  <c r="W326" i="95"/>
  <c r="AC326" i="95" s="1"/>
  <c r="V326" i="95"/>
  <c r="AB326" i="95" s="1"/>
  <c r="AG325" i="95"/>
  <c r="AF325" i="95"/>
  <c r="X325" i="95"/>
  <c r="AD325" i="95" s="1"/>
  <c r="W325" i="95"/>
  <c r="AC325" i="95" s="1"/>
  <c r="V325" i="95"/>
  <c r="AB325" i="95" s="1"/>
  <c r="AG324" i="95"/>
  <c r="AF324" i="95"/>
  <c r="AD324" i="95"/>
  <c r="X324" i="95"/>
  <c r="W324" i="95"/>
  <c r="AC324" i="95" s="1"/>
  <c r="V324" i="95"/>
  <c r="AB324" i="95" s="1"/>
  <c r="AG323" i="95"/>
  <c r="AF323" i="95"/>
  <c r="X323" i="95"/>
  <c r="AD323" i="95" s="1"/>
  <c r="W323" i="95"/>
  <c r="AC323" i="95" s="1"/>
  <c r="V323" i="95"/>
  <c r="AB323" i="95" s="1"/>
  <c r="AG322" i="95"/>
  <c r="AF322" i="95"/>
  <c r="X322" i="95"/>
  <c r="AD322" i="95" s="1"/>
  <c r="W322" i="95"/>
  <c r="AC322" i="95" s="1"/>
  <c r="V322" i="95"/>
  <c r="AB322" i="95" s="1"/>
  <c r="AG321" i="95"/>
  <c r="AF321" i="95"/>
  <c r="X321" i="95"/>
  <c r="AD321" i="95" s="1"/>
  <c r="W321" i="95"/>
  <c r="AC321" i="95" s="1"/>
  <c r="V321" i="95"/>
  <c r="AB321" i="95" s="1"/>
  <c r="AG320" i="95"/>
  <c r="AF320" i="95"/>
  <c r="X320" i="95"/>
  <c r="AD320" i="95" s="1"/>
  <c r="W320" i="95"/>
  <c r="AC320" i="95" s="1"/>
  <c r="V320" i="95"/>
  <c r="AB320" i="95" s="1"/>
  <c r="AG319" i="95"/>
  <c r="AF319" i="95"/>
  <c r="X319" i="95"/>
  <c r="AD319" i="95" s="1"/>
  <c r="W319" i="95"/>
  <c r="AC319" i="95" s="1"/>
  <c r="V319" i="95"/>
  <c r="AB319" i="95" s="1"/>
  <c r="AG318" i="95"/>
  <c r="AF318" i="95"/>
  <c r="X318" i="95"/>
  <c r="AD318" i="95" s="1"/>
  <c r="W318" i="95"/>
  <c r="AC318" i="95" s="1"/>
  <c r="V318" i="95"/>
  <c r="AB318" i="95" s="1"/>
  <c r="AG317" i="95"/>
  <c r="AF317" i="95"/>
  <c r="X317" i="95"/>
  <c r="AD317" i="95" s="1"/>
  <c r="W317" i="95"/>
  <c r="AC317" i="95" s="1"/>
  <c r="V317" i="95"/>
  <c r="AB317" i="95" s="1"/>
  <c r="AG316" i="95"/>
  <c r="AF316" i="95"/>
  <c r="X316" i="95"/>
  <c r="AD316" i="95" s="1"/>
  <c r="W316" i="95"/>
  <c r="AC316" i="95" s="1"/>
  <c r="V316" i="95"/>
  <c r="AB316" i="95" s="1"/>
  <c r="AG315" i="95"/>
  <c r="AF315" i="95"/>
  <c r="X315" i="95"/>
  <c r="AD315" i="95" s="1"/>
  <c r="W315" i="95"/>
  <c r="AC315" i="95" s="1"/>
  <c r="V315" i="95"/>
  <c r="AB315" i="95" s="1"/>
  <c r="AG314" i="95"/>
  <c r="AF314" i="95"/>
  <c r="X314" i="95"/>
  <c r="AD314" i="95" s="1"/>
  <c r="W314" i="95"/>
  <c r="AC314" i="95" s="1"/>
  <c r="V314" i="95"/>
  <c r="AB314" i="95" s="1"/>
  <c r="AG313" i="95"/>
  <c r="AF313" i="95"/>
  <c r="X313" i="95"/>
  <c r="AD313" i="95" s="1"/>
  <c r="W313" i="95"/>
  <c r="AC313" i="95" s="1"/>
  <c r="V313" i="95"/>
  <c r="AB313" i="95" s="1"/>
  <c r="AG312" i="95"/>
  <c r="AF312" i="95"/>
  <c r="AD312" i="95"/>
  <c r="X312" i="95"/>
  <c r="W312" i="95"/>
  <c r="AC312" i="95" s="1"/>
  <c r="V312" i="95"/>
  <c r="AB312" i="95" s="1"/>
  <c r="AG311" i="95"/>
  <c r="AF311" i="95"/>
  <c r="X311" i="95"/>
  <c r="AD311" i="95" s="1"/>
  <c r="W311" i="95"/>
  <c r="AC311" i="95" s="1"/>
  <c r="V311" i="95"/>
  <c r="AB311" i="95" s="1"/>
  <c r="AG310" i="95"/>
  <c r="AF310" i="95"/>
  <c r="X310" i="95"/>
  <c r="AD310" i="95" s="1"/>
  <c r="W310" i="95"/>
  <c r="AC310" i="95" s="1"/>
  <c r="V310" i="95"/>
  <c r="AB310" i="95" s="1"/>
  <c r="AG309" i="95"/>
  <c r="AF309" i="95"/>
  <c r="X309" i="95"/>
  <c r="AD309" i="95" s="1"/>
  <c r="W309" i="95"/>
  <c r="AC309" i="95" s="1"/>
  <c r="V309" i="95"/>
  <c r="AB309" i="95" s="1"/>
  <c r="AG308" i="95"/>
  <c r="AF308" i="95"/>
  <c r="X308" i="95"/>
  <c r="AD308" i="95" s="1"/>
  <c r="W308" i="95"/>
  <c r="AC308" i="95" s="1"/>
  <c r="V308" i="95"/>
  <c r="AB308" i="95" s="1"/>
  <c r="AG307" i="95"/>
  <c r="AF307" i="95"/>
  <c r="X307" i="95"/>
  <c r="AD307" i="95" s="1"/>
  <c r="W307" i="95"/>
  <c r="AC307" i="95" s="1"/>
  <c r="V307" i="95"/>
  <c r="AB307" i="95" s="1"/>
  <c r="AG306" i="95"/>
  <c r="AF306" i="95"/>
  <c r="X306" i="95"/>
  <c r="AD306" i="95" s="1"/>
  <c r="W306" i="95"/>
  <c r="AC306" i="95" s="1"/>
  <c r="V306" i="95"/>
  <c r="AB306" i="95" s="1"/>
  <c r="AG305" i="95"/>
  <c r="AF305" i="95"/>
  <c r="X305" i="95"/>
  <c r="AD305" i="95" s="1"/>
  <c r="W305" i="95"/>
  <c r="AC305" i="95" s="1"/>
  <c r="V305" i="95"/>
  <c r="AB305" i="95" s="1"/>
  <c r="AG304" i="95"/>
  <c r="AF304" i="95"/>
  <c r="X304" i="95"/>
  <c r="AD304" i="95" s="1"/>
  <c r="W304" i="95"/>
  <c r="AC304" i="95" s="1"/>
  <c r="V304" i="95"/>
  <c r="AB304" i="95" s="1"/>
  <c r="AG303" i="95"/>
  <c r="AF303" i="95"/>
  <c r="X303" i="95"/>
  <c r="AD303" i="95" s="1"/>
  <c r="W303" i="95"/>
  <c r="AC303" i="95" s="1"/>
  <c r="V303" i="95"/>
  <c r="AB303" i="95" s="1"/>
  <c r="AG302" i="95"/>
  <c r="AF302" i="95"/>
  <c r="X302" i="95"/>
  <c r="AD302" i="95" s="1"/>
  <c r="W302" i="95"/>
  <c r="AC302" i="95" s="1"/>
  <c r="V302" i="95"/>
  <c r="AB302" i="95" s="1"/>
  <c r="AE301" i="95"/>
  <c r="X301" i="95"/>
  <c r="AD301" i="95" s="1"/>
  <c r="W301" i="95"/>
  <c r="AC301" i="95" s="1"/>
  <c r="V301" i="95"/>
  <c r="AB301" i="95" s="1"/>
  <c r="AE300" i="95"/>
  <c r="X300" i="95"/>
  <c r="AD300" i="95" s="1"/>
  <c r="W300" i="95"/>
  <c r="AC300" i="95" s="1"/>
  <c r="V300" i="95"/>
  <c r="AB300" i="95" s="1"/>
  <c r="AE299" i="95"/>
  <c r="X299" i="95"/>
  <c r="AD299" i="95" s="1"/>
  <c r="W299" i="95"/>
  <c r="AC299" i="95" s="1"/>
  <c r="V299" i="95"/>
  <c r="AB299" i="95" s="1"/>
  <c r="AE298" i="95"/>
  <c r="X298" i="95"/>
  <c r="AD298" i="95" s="1"/>
  <c r="W298" i="95"/>
  <c r="AC298" i="95" s="1"/>
  <c r="V298" i="95"/>
  <c r="AB298" i="95" s="1"/>
  <c r="AE297" i="95"/>
  <c r="X297" i="95"/>
  <c r="AD297" i="95" s="1"/>
  <c r="W297" i="95"/>
  <c r="AC297" i="95" s="1"/>
  <c r="V297" i="95"/>
  <c r="AB297" i="95" s="1"/>
  <c r="AE296" i="95"/>
  <c r="X296" i="95"/>
  <c r="AD296" i="95" s="1"/>
  <c r="W296" i="95"/>
  <c r="AC296" i="95" s="1"/>
  <c r="V296" i="95"/>
  <c r="AB296" i="95" s="1"/>
  <c r="AE295" i="95"/>
  <c r="X295" i="95"/>
  <c r="AD295" i="95" s="1"/>
  <c r="W295" i="95"/>
  <c r="AC295" i="95" s="1"/>
  <c r="V295" i="95"/>
  <c r="AB295" i="95" s="1"/>
  <c r="AE294" i="95"/>
  <c r="AB294" i="95"/>
  <c r="X294" i="95"/>
  <c r="AD294" i="95" s="1"/>
  <c r="W294" i="95"/>
  <c r="AC294" i="95" s="1"/>
  <c r="V294" i="95"/>
  <c r="AE293" i="95"/>
  <c r="X293" i="95"/>
  <c r="AD293" i="95" s="1"/>
  <c r="W293" i="95"/>
  <c r="AC293" i="95" s="1"/>
  <c r="V293" i="95"/>
  <c r="AB293" i="95" s="1"/>
  <c r="AE292" i="95"/>
  <c r="X292" i="95"/>
  <c r="AD292" i="95" s="1"/>
  <c r="W292" i="95"/>
  <c r="AC292" i="95" s="1"/>
  <c r="V292" i="95"/>
  <c r="AB292" i="95" s="1"/>
  <c r="AE291" i="95"/>
  <c r="X291" i="95"/>
  <c r="AD291" i="95" s="1"/>
  <c r="W291" i="95"/>
  <c r="AC291" i="95" s="1"/>
  <c r="V291" i="95"/>
  <c r="AB291" i="95" s="1"/>
  <c r="AE290" i="95"/>
  <c r="X290" i="95"/>
  <c r="AD290" i="95" s="1"/>
  <c r="W290" i="95"/>
  <c r="AC290" i="95" s="1"/>
  <c r="V290" i="95"/>
  <c r="AB290" i="95" s="1"/>
  <c r="AE289" i="95"/>
  <c r="X289" i="95"/>
  <c r="AD289" i="95" s="1"/>
  <c r="W289" i="95"/>
  <c r="AC289" i="95" s="1"/>
  <c r="V289" i="95"/>
  <c r="AB289" i="95" s="1"/>
  <c r="AE288" i="95"/>
  <c r="X288" i="95"/>
  <c r="AD288" i="95" s="1"/>
  <c r="W288" i="95"/>
  <c r="AC288" i="95" s="1"/>
  <c r="V288" i="95"/>
  <c r="AB288" i="95" s="1"/>
  <c r="AE287" i="95"/>
  <c r="X287" i="95"/>
  <c r="AD287" i="95" s="1"/>
  <c r="W287" i="95"/>
  <c r="AC287" i="95" s="1"/>
  <c r="V287" i="95"/>
  <c r="AB287" i="95" s="1"/>
  <c r="AE286" i="95"/>
  <c r="X286" i="95"/>
  <c r="AD286" i="95" s="1"/>
  <c r="W286" i="95"/>
  <c r="AC286" i="95" s="1"/>
  <c r="V286" i="95"/>
  <c r="AB286" i="95" s="1"/>
  <c r="AE285" i="95"/>
  <c r="X285" i="95"/>
  <c r="AD285" i="95" s="1"/>
  <c r="W285" i="95"/>
  <c r="AC285" i="95" s="1"/>
  <c r="V285" i="95"/>
  <c r="AB285" i="95" s="1"/>
  <c r="AE284" i="95"/>
  <c r="X284" i="95"/>
  <c r="AD284" i="95" s="1"/>
  <c r="W284" i="95"/>
  <c r="AC284" i="95" s="1"/>
  <c r="V284" i="95"/>
  <c r="AB284" i="95" s="1"/>
  <c r="AE283" i="95"/>
  <c r="X283" i="95"/>
  <c r="AD283" i="95" s="1"/>
  <c r="W283" i="95"/>
  <c r="AC283" i="95" s="1"/>
  <c r="V283" i="95"/>
  <c r="AB283" i="95" s="1"/>
  <c r="AE282" i="95"/>
  <c r="X282" i="95"/>
  <c r="AD282" i="95" s="1"/>
  <c r="W282" i="95"/>
  <c r="AC282" i="95" s="1"/>
  <c r="V282" i="95"/>
  <c r="AB282" i="95" s="1"/>
  <c r="AE281" i="95"/>
  <c r="X281" i="95"/>
  <c r="AD281" i="95" s="1"/>
  <c r="W281" i="95"/>
  <c r="AC281" i="95" s="1"/>
  <c r="V281" i="95"/>
  <c r="AB281" i="95" s="1"/>
  <c r="AE280" i="95"/>
  <c r="X280" i="95"/>
  <c r="AD280" i="95" s="1"/>
  <c r="W280" i="95"/>
  <c r="AC280" i="95" s="1"/>
  <c r="V280" i="95"/>
  <c r="AB280" i="95" s="1"/>
  <c r="AE279" i="95"/>
  <c r="X279" i="95"/>
  <c r="AD279" i="95" s="1"/>
  <c r="W279" i="95"/>
  <c r="AC279" i="95" s="1"/>
  <c r="V279" i="95"/>
  <c r="AB279" i="95" s="1"/>
  <c r="AG278" i="95"/>
  <c r="AE278" i="95"/>
  <c r="X278" i="95"/>
  <c r="AD278" i="95" s="1"/>
  <c r="W278" i="95"/>
  <c r="AC278" i="95" s="1"/>
  <c r="V278" i="95"/>
  <c r="AB278" i="95" s="1"/>
  <c r="AG277" i="95"/>
  <c r="AE277" i="95"/>
  <c r="X277" i="95"/>
  <c r="AD277" i="95" s="1"/>
  <c r="W277" i="95"/>
  <c r="AC277" i="95" s="1"/>
  <c r="V277" i="95"/>
  <c r="AB277" i="95" s="1"/>
  <c r="AG276" i="95"/>
  <c r="AE276" i="95"/>
  <c r="X276" i="95"/>
  <c r="AD276" i="95" s="1"/>
  <c r="W276" i="95"/>
  <c r="AC276" i="95" s="1"/>
  <c r="V276" i="95"/>
  <c r="AB276" i="95" s="1"/>
  <c r="AG275" i="95"/>
  <c r="AE275" i="95"/>
  <c r="X275" i="95"/>
  <c r="AD275" i="95" s="1"/>
  <c r="W275" i="95"/>
  <c r="AC275" i="95" s="1"/>
  <c r="V275" i="95"/>
  <c r="AB275" i="95" s="1"/>
  <c r="AG274" i="95"/>
  <c r="AE274" i="95"/>
  <c r="X274" i="95"/>
  <c r="AD274" i="95" s="1"/>
  <c r="W274" i="95"/>
  <c r="AC274" i="95" s="1"/>
  <c r="V274" i="95"/>
  <c r="AB274" i="95" s="1"/>
  <c r="AG273" i="95"/>
  <c r="AE273" i="95"/>
  <c r="X273" i="95"/>
  <c r="AD273" i="95" s="1"/>
  <c r="W273" i="95"/>
  <c r="AC273" i="95" s="1"/>
  <c r="V273" i="95"/>
  <c r="AB273" i="95" s="1"/>
  <c r="AG272" i="95"/>
  <c r="AE272" i="95"/>
  <c r="X272" i="95"/>
  <c r="AD272" i="95" s="1"/>
  <c r="W272" i="95"/>
  <c r="AC272" i="95" s="1"/>
  <c r="V272" i="95"/>
  <c r="AB272" i="95" s="1"/>
  <c r="AG271" i="95"/>
  <c r="AE271" i="95"/>
  <c r="X271" i="95"/>
  <c r="AD271" i="95" s="1"/>
  <c r="W271" i="95"/>
  <c r="AC271" i="95" s="1"/>
  <c r="V271" i="95"/>
  <c r="AB271" i="95" s="1"/>
  <c r="AG270" i="95"/>
  <c r="AE270" i="95"/>
  <c r="X270" i="95"/>
  <c r="AD270" i="95" s="1"/>
  <c r="W270" i="95"/>
  <c r="AC270" i="95" s="1"/>
  <c r="V270" i="95"/>
  <c r="AB270" i="95" s="1"/>
  <c r="AG269" i="95"/>
  <c r="AE269" i="95"/>
  <c r="X269" i="95"/>
  <c r="AD269" i="95" s="1"/>
  <c r="W269" i="95"/>
  <c r="AC269" i="95" s="1"/>
  <c r="V269" i="95"/>
  <c r="AB269" i="95" s="1"/>
  <c r="AG268" i="95"/>
  <c r="AE268" i="95"/>
  <c r="X268" i="95"/>
  <c r="AD268" i="95" s="1"/>
  <c r="W268" i="95"/>
  <c r="AC268" i="95" s="1"/>
  <c r="V268" i="95"/>
  <c r="AB268" i="95" s="1"/>
  <c r="AG267" i="95"/>
  <c r="AE267" i="95"/>
  <c r="X267" i="95"/>
  <c r="AD267" i="95" s="1"/>
  <c r="W267" i="95"/>
  <c r="AC267" i="95" s="1"/>
  <c r="V267" i="95"/>
  <c r="AB267" i="95" s="1"/>
  <c r="AG266" i="95"/>
  <c r="AF266" i="95"/>
  <c r="X266" i="95"/>
  <c r="AD266" i="95" s="1"/>
  <c r="W266" i="95"/>
  <c r="AC266" i="95" s="1"/>
  <c r="V266" i="95"/>
  <c r="AB266" i="95" s="1"/>
  <c r="AG265" i="95"/>
  <c r="AF265" i="95"/>
  <c r="X265" i="95"/>
  <c r="AD265" i="95" s="1"/>
  <c r="W265" i="95"/>
  <c r="AC265" i="95" s="1"/>
  <c r="V265" i="95"/>
  <c r="AB265" i="95" s="1"/>
  <c r="AG264" i="95"/>
  <c r="AF264" i="95"/>
  <c r="X264" i="95"/>
  <c r="AD264" i="95" s="1"/>
  <c r="W264" i="95"/>
  <c r="AC264" i="95" s="1"/>
  <c r="V264" i="95"/>
  <c r="AB264" i="95" s="1"/>
  <c r="AG263" i="95"/>
  <c r="AF263" i="95"/>
  <c r="X263" i="95"/>
  <c r="AD263" i="95" s="1"/>
  <c r="W263" i="95"/>
  <c r="AC263" i="95" s="1"/>
  <c r="V263" i="95"/>
  <c r="AB263" i="95" s="1"/>
  <c r="AG262" i="95"/>
  <c r="AF262" i="95"/>
  <c r="X262" i="95"/>
  <c r="AD262" i="95" s="1"/>
  <c r="W262" i="95"/>
  <c r="AC262" i="95" s="1"/>
  <c r="V262" i="95"/>
  <c r="AB262" i="95" s="1"/>
  <c r="AG261" i="95"/>
  <c r="AF261" i="95"/>
  <c r="X261" i="95"/>
  <c r="AD261" i="95" s="1"/>
  <c r="W261" i="95"/>
  <c r="AC261" i="95" s="1"/>
  <c r="V261" i="95"/>
  <c r="AB261" i="95" s="1"/>
  <c r="AG260" i="95"/>
  <c r="AF260" i="95"/>
  <c r="X260" i="95"/>
  <c r="AD260" i="95" s="1"/>
  <c r="W260" i="95"/>
  <c r="AC260" i="95" s="1"/>
  <c r="V260" i="95"/>
  <c r="AB260" i="95" s="1"/>
  <c r="AG259" i="95"/>
  <c r="AF259" i="95"/>
  <c r="X259" i="95"/>
  <c r="AD259" i="95" s="1"/>
  <c r="W259" i="95"/>
  <c r="AC259" i="95" s="1"/>
  <c r="V259" i="95"/>
  <c r="AB259" i="95" s="1"/>
  <c r="AG258" i="95"/>
  <c r="AF258" i="95"/>
  <c r="X258" i="95"/>
  <c r="AD258" i="95" s="1"/>
  <c r="W258" i="95"/>
  <c r="AC258" i="95" s="1"/>
  <c r="V258" i="95"/>
  <c r="AB258" i="95" s="1"/>
  <c r="AG257" i="95"/>
  <c r="AF257" i="95"/>
  <c r="X257" i="95"/>
  <c r="AD257" i="95" s="1"/>
  <c r="W257" i="95"/>
  <c r="AC257" i="95" s="1"/>
  <c r="V257" i="95"/>
  <c r="AB257" i="95" s="1"/>
  <c r="AG256" i="95"/>
  <c r="AF256" i="95"/>
  <c r="X256" i="95"/>
  <c r="AD256" i="95" s="1"/>
  <c r="W256" i="95"/>
  <c r="AC256" i="95" s="1"/>
  <c r="V256" i="95"/>
  <c r="AB256" i="95" s="1"/>
  <c r="AG255" i="95"/>
  <c r="AF255" i="95"/>
  <c r="X255" i="95"/>
  <c r="AD255" i="95" s="1"/>
  <c r="W255" i="95"/>
  <c r="AC255" i="95" s="1"/>
  <c r="V255" i="95"/>
  <c r="AB255" i="95" s="1"/>
  <c r="AG254" i="95"/>
  <c r="AE254" i="95"/>
  <c r="X254" i="95"/>
  <c r="AD254" i="95" s="1"/>
  <c r="W254" i="95"/>
  <c r="AC254" i="95" s="1"/>
  <c r="V254" i="95"/>
  <c r="AB254" i="95" s="1"/>
  <c r="AG253" i="95"/>
  <c r="AE253" i="95"/>
  <c r="X253" i="95"/>
  <c r="AD253" i="95" s="1"/>
  <c r="W253" i="95"/>
  <c r="AC253" i="95" s="1"/>
  <c r="V253" i="95"/>
  <c r="AB253" i="95" s="1"/>
  <c r="AG252" i="95"/>
  <c r="AE252" i="95"/>
  <c r="X252" i="95"/>
  <c r="AD252" i="95" s="1"/>
  <c r="W252" i="95"/>
  <c r="AC252" i="95" s="1"/>
  <c r="V252" i="95"/>
  <c r="AB252" i="95" s="1"/>
  <c r="AG251" i="95"/>
  <c r="AE251" i="95"/>
  <c r="X251" i="95"/>
  <c r="AD251" i="95" s="1"/>
  <c r="W251" i="95"/>
  <c r="AC251" i="95" s="1"/>
  <c r="V251" i="95"/>
  <c r="AB251" i="95" s="1"/>
  <c r="AG250" i="95"/>
  <c r="AE250" i="95"/>
  <c r="X250" i="95"/>
  <c r="AD250" i="95" s="1"/>
  <c r="W250" i="95"/>
  <c r="AC250" i="95" s="1"/>
  <c r="V250" i="95"/>
  <c r="AB250" i="95" s="1"/>
  <c r="AG249" i="95"/>
  <c r="AE249" i="95"/>
  <c r="X249" i="95"/>
  <c r="AD249" i="95" s="1"/>
  <c r="W249" i="95"/>
  <c r="AC249" i="95" s="1"/>
  <c r="V249" i="95"/>
  <c r="AB249" i="95" s="1"/>
  <c r="AG248" i="95"/>
  <c r="AE248" i="95"/>
  <c r="X248" i="95"/>
  <c r="AD248" i="95" s="1"/>
  <c r="W248" i="95"/>
  <c r="AC248" i="95" s="1"/>
  <c r="V248" i="95"/>
  <c r="AB248" i="95" s="1"/>
  <c r="AG247" i="95"/>
  <c r="AE247" i="95"/>
  <c r="X247" i="95"/>
  <c r="AD247" i="95" s="1"/>
  <c r="W247" i="95"/>
  <c r="AC247" i="95" s="1"/>
  <c r="V247" i="95"/>
  <c r="AB247" i="95" s="1"/>
  <c r="AG246" i="95"/>
  <c r="AE246" i="95"/>
  <c r="X246" i="95"/>
  <c r="AD246" i="95" s="1"/>
  <c r="W246" i="95"/>
  <c r="AC246" i="95" s="1"/>
  <c r="V246" i="95"/>
  <c r="AB246" i="95" s="1"/>
  <c r="AG245" i="95"/>
  <c r="AE245" i="95"/>
  <c r="X245" i="95"/>
  <c r="AD245" i="95" s="1"/>
  <c r="W245" i="95"/>
  <c r="AC245" i="95" s="1"/>
  <c r="V245" i="95"/>
  <c r="AB245" i="95" s="1"/>
  <c r="AG244" i="95"/>
  <c r="AE244" i="95"/>
  <c r="X244" i="95"/>
  <c r="AD244" i="95" s="1"/>
  <c r="W244" i="95"/>
  <c r="AC244" i="95" s="1"/>
  <c r="V244" i="95"/>
  <c r="AB244" i="95" s="1"/>
  <c r="AG243" i="95"/>
  <c r="AE243" i="95"/>
  <c r="X243" i="95"/>
  <c r="AD243" i="95" s="1"/>
  <c r="W243" i="95"/>
  <c r="AC243" i="95" s="1"/>
  <c r="V243" i="95"/>
  <c r="AB243" i="95" s="1"/>
  <c r="AE242" i="95"/>
  <c r="X242" i="95"/>
  <c r="AD242" i="95" s="1"/>
  <c r="W242" i="95"/>
  <c r="AC242" i="95" s="1"/>
  <c r="V242" i="95"/>
  <c r="AB242" i="95" s="1"/>
  <c r="AE241" i="95"/>
  <c r="X241" i="95"/>
  <c r="AD241" i="95" s="1"/>
  <c r="W241" i="95"/>
  <c r="AC241" i="95" s="1"/>
  <c r="V241" i="95"/>
  <c r="AB241" i="95" s="1"/>
  <c r="AE240" i="95"/>
  <c r="X240" i="95"/>
  <c r="AD240" i="95" s="1"/>
  <c r="W240" i="95"/>
  <c r="AC240" i="95" s="1"/>
  <c r="V240" i="95"/>
  <c r="AB240" i="95" s="1"/>
  <c r="AE239" i="95"/>
  <c r="X239" i="95"/>
  <c r="AD239" i="95" s="1"/>
  <c r="W239" i="95"/>
  <c r="AC239" i="95" s="1"/>
  <c r="V239" i="95"/>
  <c r="AB239" i="95" s="1"/>
  <c r="AE238" i="95"/>
  <c r="X238" i="95"/>
  <c r="AD238" i="95" s="1"/>
  <c r="W238" i="95"/>
  <c r="AC238" i="95" s="1"/>
  <c r="V238" i="95"/>
  <c r="AB238" i="95" s="1"/>
  <c r="AE237" i="95"/>
  <c r="X237" i="95"/>
  <c r="AD237" i="95" s="1"/>
  <c r="W237" i="95"/>
  <c r="AC237" i="95" s="1"/>
  <c r="V237" i="95"/>
  <c r="AB237" i="95" s="1"/>
  <c r="AE236" i="95"/>
  <c r="X236" i="95"/>
  <c r="AD236" i="95" s="1"/>
  <c r="W236" i="95"/>
  <c r="AC236" i="95" s="1"/>
  <c r="V236" i="95"/>
  <c r="AB236" i="95" s="1"/>
  <c r="AE235" i="95"/>
  <c r="X235" i="95"/>
  <c r="AD235" i="95" s="1"/>
  <c r="W235" i="95"/>
  <c r="AC235" i="95" s="1"/>
  <c r="V235" i="95"/>
  <c r="AB235" i="95" s="1"/>
  <c r="AE234" i="95"/>
  <c r="X234" i="95"/>
  <c r="AD234" i="95" s="1"/>
  <c r="W234" i="95"/>
  <c r="AC234" i="95" s="1"/>
  <c r="V234" i="95"/>
  <c r="AB234" i="95" s="1"/>
  <c r="AE233" i="95"/>
  <c r="X233" i="95"/>
  <c r="AD233" i="95" s="1"/>
  <c r="W233" i="95"/>
  <c r="AC233" i="95" s="1"/>
  <c r="V233" i="95"/>
  <c r="AB233" i="95" s="1"/>
  <c r="AE232" i="95"/>
  <c r="X232" i="95"/>
  <c r="AD232" i="95" s="1"/>
  <c r="W232" i="95"/>
  <c r="AC232" i="95" s="1"/>
  <c r="V232" i="95"/>
  <c r="AB232" i="95" s="1"/>
  <c r="AE231" i="95"/>
  <c r="X231" i="95"/>
  <c r="AD231" i="95" s="1"/>
  <c r="W231" i="95"/>
  <c r="AC231" i="95" s="1"/>
  <c r="V231" i="95"/>
  <c r="AB231" i="95" s="1"/>
  <c r="AG230" i="95"/>
  <c r="AF230" i="95"/>
  <c r="X230" i="95"/>
  <c r="AD230" i="95" s="1"/>
  <c r="W230" i="95"/>
  <c r="AC230" i="95" s="1"/>
  <c r="V230" i="95"/>
  <c r="AB230" i="95" s="1"/>
  <c r="AG229" i="95"/>
  <c r="AF229" i="95"/>
  <c r="X229" i="95"/>
  <c r="AD229" i="95" s="1"/>
  <c r="W229" i="95"/>
  <c r="AC229" i="95" s="1"/>
  <c r="V229" i="95"/>
  <c r="AB229" i="95" s="1"/>
  <c r="AG228" i="95"/>
  <c r="AF228" i="95"/>
  <c r="X228" i="95"/>
  <c r="AD228" i="95" s="1"/>
  <c r="W228" i="95"/>
  <c r="AC228" i="95" s="1"/>
  <c r="V228" i="95"/>
  <c r="AB228" i="95" s="1"/>
  <c r="AG227" i="95"/>
  <c r="AF227" i="95"/>
  <c r="AB227" i="95"/>
  <c r="X227" i="95"/>
  <c r="AD227" i="95" s="1"/>
  <c r="W227" i="95"/>
  <c r="AC227" i="95" s="1"/>
  <c r="V227" i="95"/>
  <c r="AG226" i="95"/>
  <c r="AF226" i="95"/>
  <c r="X226" i="95"/>
  <c r="AD226" i="95" s="1"/>
  <c r="W226" i="95"/>
  <c r="AC226" i="95" s="1"/>
  <c r="V226" i="95"/>
  <c r="AB226" i="95" s="1"/>
  <c r="AG225" i="95"/>
  <c r="AF225" i="95"/>
  <c r="X225" i="95"/>
  <c r="AD225" i="95" s="1"/>
  <c r="W225" i="95"/>
  <c r="AC225" i="95" s="1"/>
  <c r="V225" i="95"/>
  <c r="AB225" i="95" s="1"/>
  <c r="AG224" i="95"/>
  <c r="AF224" i="95"/>
  <c r="X224" i="95"/>
  <c r="AD224" i="95" s="1"/>
  <c r="W224" i="95"/>
  <c r="AC224" i="95" s="1"/>
  <c r="V224" i="95"/>
  <c r="AB224" i="95" s="1"/>
  <c r="AG223" i="95"/>
  <c r="AF223" i="95"/>
  <c r="X223" i="95"/>
  <c r="AD223" i="95" s="1"/>
  <c r="W223" i="95"/>
  <c r="AC223" i="95" s="1"/>
  <c r="V223" i="95"/>
  <c r="AB223" i="95" s="1"/>
  <c r="AG222" i="95"/>
  <c r="AF222" i="95"/>
  <c r="X222" i="95"/>
  <c r="AD222" i="95" s="1"/>
  <c r="W222" i="95"/>
  <c r="AC222" i="95" s="1"/>
  <c r="V222" i="95"/>
  <c r="AB222" i="95" s="1"/>
  <c r="AG221" i="95"/>
  <c r="AF221" i="95"/>
  <c r="X221" i="95"/>
  <c r="AD221" i="95" s="1"/>
  <c r="W221" i="95"/>
  <c r="AC221" i="95" s="1"/>
  <c r="V221" i="95"/>
  <c r="AB221" i="95" s="1"/>
  <c r="AG220" i="95"/>
  <c r="AF220" i="95"/>
  <c r="X220" i="95"/>
  <c r="AD220" i="95" s="1"/>
  <c r="W220" i="95"/>
  <c r="AC220" i="95" s="1"/>
  <c r="V220" i="95"/>
  <c r="AB220" i="95" s="1"/>
  <c r="AG219" i="95"/>
  <c r="AF219" i="95"/>
  <c r="X219" i="95"/>
  <c r="AD219" i="95" s="1"/>
  <c r="W219" i="95"/>
  <c r="AC219" i="95" s="1"/>
  <c r="V219" i="95"/>
  <c r="AB219" i="95" s="1"/>
  <c r="AE218" i="95"/>
  <c r="X218" i="95"/>
  <c r="AD218" i="95" s="1"/>
  <c r="W218" i="95"/>
  <c r="AC218" i="95" s="1"/>
  <c r="V218" i="95"/>
  <c r="AB218" i="95" s="1"/>
  <c r="AE217" i="95"/>
  <c r="X217" i="95"/>
  <c r="AD217" i="95" s="1"/>
  <c r="W217" i="95"/>
  <c r="AC217" i="95" s="1"/>
  <c r="V217" i="95"/>
  <c r="AB217" i="95" s="1"/>
  <c r="AE216" i="95"/>
  <c r="X216" i="95"/>
  <c r="AD216" i="95" s="1"/>
  <c r="W216" i="95"/>
  <c r="AC216" i="95" s="1"/>
  <c r="V216" i="95"/>
  <c r="AB216" i="95" s="1"/>
  <c r="AE215" i="95"/>
  <c r="X215" i="95"/>
  <c r="AD215" i="95" s="1"/>
  <c r="W215" i="95"/>
  <c r="AC215" i="95" s="1"/>
  <c r="V215" i="95"/>
  <c r="AB215" i="95" s="1"/>
  <c r="AE214" i="95"/>
  <c r="X214" i="95"/>
  <c r="AD214" i="95" s="1"/>
  <c r="W214" i="95"/>
  <c r="AC214" i="95" s="1"/>
  <c r="V214" i="95"/>
  <c r="AB214" i="95" s="1"/>
  <c r="AE213" i="95"/>
  <c r="X213" i="95"/>
  <c r="AD213" i="95" s="1"/>
  <c r="W213" i="95"/>
  <c r="AC213" i="95" s="1"/>
  <c r="V213" i="95"/>
  <c r="AB213" i="95" s="1"/>
  <c r="AE212" i="95"/>
  <c r="X212" i="95"/>
  <c r="AD212" i="95" s="1"/>
  <c r="W212" i="95"/>
  <c r="AC212" i="95" s="1"/>
  <c r="V212" i="95"/>
  <c r="AB212" i="95" s="1"/>
  <c r="AE211" i="95"/>
  <c r="AB211" i="95"/>
  <c r="X211" i="95"/>
  <c r="AD211" i="95" s="1"/>
  <c r="W211" i="95"/>
  <c r="AC211" i="95" s="1"/>
  <c r="V211" i="95"/>
  <c r="AE210" i="95"/>
  <c r="X210" i="95"/>
  <c r="AD210" i="95" s="1"/>
  <c r="W210" i="95"/>
  <c r="AC210" i="95" s="1"/>
  <c r="V210" i="95"/>
  <c r="AB210" i="95" s="1"/>
  <c r="AE209" i="95"/>
  <c r="X209" i="95"/>
  <c r="AD209" i="95" s="1"/>
  <c r="W209" i="95"/>
  <c r="AC209" i="95" s="1"/>
  <c r="V209" i="95"/>
  <c r="AB209" i="95" s="1"/>
  <c r="AE208" i="95"/>
  <c r="X208" i="95"/>
  <c r="AD208" i="95" s="1"/>
  <c r="W208" i="95"/>
  <c r="AC208" i="95" s="1"/>
  <c r="V208" i="95"/>
  <c r="AB208" i="95" s="1"/>
  <c r="AE207" i="95"/>
  <c r="X207" i="95"/>
  <c r="AD207" i="95" s="1"/>
  <c r="W207" i="95"/>
  <c r="AC207" i="95" s="1"/>
  <c r="V207" i="95"/>
  <c r="AB207" i="95" s="1"/>
  <c r="AE206" i="95"/>
  <c r="X206" i="95"/>
  <c r="AD206" i="95" s="1"/>
  <c r="W206" i="95"/>
  <c r="AC206" i="95" s="1"/>
  <c r="V206" i="95"/>
  <c r="AB206" i="95" s="1"/>
  <c r="AE205" i="95"/>
  <c r="X205" i="95"/>
  <c r="AD205" i="95" s="1"/>
  <c r="W205" i="95"/>
  <c r="AC205" i="95" s="1"/>
  <c r="V205" i="95"/>
  <c r="AB205" i="95" s="1"/>
  <c r="AE204" i="95"/>
  <c r="X204" i="95"/>
  <c r="AD204" i="95" s="1"/>
  <c r="W204" i="95"/>
  <c r="AC204" i="95" s="1"/>
  <c r="V204" i="95"/>
  <c r="AB204" i="95" s="1"/>
  <c r="AE203" i="95"/>
  <c r="X203" i="95"/>
  <c r="AD203" i="95" s="1"/>
  <c r="W203" i="95"/>
  <c r="AC203" i="95" s="1"/>
  <c r="V203" i="95"/>
  <c r="AB203" i="95" s="1"/>
  <c r="AE202" i="95"/>
  <c r="X202" i="95"/>
  <c r="AD202" i="95" s="1"/>
  <c r="W202" i="95"/>
  <c r="AC202" i="95" s="1"/>
  <c r="V202" i="95"/>
  <c r="AB202" i="95" s="1"/>
  <c r="AE201" i="95"/>
  <c r="X201" i="95"/>
  <c r="AD201" i="95" s="1"/>
  <c r="W201" i="95"/>
  <c r="AC201" i="95" s="1"/>
  <c r="V201" i="95"/>
  <c r="AB201" i="95" s="1"/>
  <c r="AE200" i="95"/>
  <c r="X200" i="95"/>
  <c r="AD200" i="95" s="1"/>
  <c r="W200" i="95"/>
  <c r="AC200" i="95" s="1"/>
  <c r="V200" i="95"/>
  <c r="AB200" i="95" s="1"/>
  <c r="AE199" i="95"/>
  <c r="X199" i="95"/>
  <c r="AD199" i="95" s="1"/>
  <c r="W199" i="95"/>
  <c r="AC199" i="95" s="1"/>
  <c r="V199" i="95"/>
  <c r="AB199" i="95" s="1"/>
  <c r="AE198" i="95"/>
  <c r="X198" i="95"/>
  <c r="AD198" i="95" s="1"/>
  <c r="W198" i="95"/>
  <c r="AC198" i="95" s="1"/>
  <c r="V198" i="95"/>
  <c r="AB198" i="95" s="1"/>
  <c r="AE197" i="95"/>
  <c r="X197" i="95"/>
  <c r="AD197" i="95" s="1"/>
  <c r="W197" i="95"/>
  <c r="AC197" i="95" s="1"/>
  <c r="V197" i="95"/>
  <c r="AB197" i="95" s="1"/>
  <c r="AE196" i="95"/>
  <c r="X196" i="95"/>
  <c r="AD196" i="95" s="1"/>
  <c r="W196" i="95"/>
  <c r="AC196" i="95" s="1"/>
  <c r="V196" i="95"/>
  <c r="AB196" i="95" s="1"/>
  <c r="AE195" i="95"/>
  <c r="AB195" i="95"/>
  <c r="X195" i="95"/>
  <c r="AD195" i="95" s="1"/>
  <c r="W195" i="95"/>
  <c r="AC195" i="95" s="1"/>
  <c r="V195" i="95"/>
  <c r="AE194" i="95"/>
  <c r="X194" i="95"/>
  <c r="AD194" i="95" s="1"/>
  <c r="W194" i="95"/>
  <c r="AC194" i="95" s="1"/>
  <c r="V194" i="95"/>
  <c r="AB194" i="95" s="1"/>
  <c r="AE193" i="95"/>
  <c r="X193" i="95"/>
  <c r="AD193" i="95" s="1"/>
  <c r="W193" i="95"/>
  <c r="AC193" i="95" s="1"/>
  <c r="V193" i="95"/>
  <c r="AB193" i="95" s="1"/>
  <c r="AE192" i="95"/>
  <c r="X192" i="95"/>
  <c r="AD192" i="95" s="1"/>
  <c r="W192" i="95"/>
  <c r="AC192" i="95" s="1"/>
  <c r="V192" i="95"/>
  <c r="AB192" i="95" s="1"/>
  <c r="AE191" i="95"/>
  <c r="X191" i="95"/>
  <c r="AD191" i="95" s="1"/>
  <c r="W191" i="95"/>
  <c r="AC191" i="95" s="1"/>
  <c r="V191" i="95"/>
  <c r="AB191" i="95" s="1"/>
  <c r="AE190" i="95"/>
  <c r="X190" i="95"/>
  <c r="AD190" i="95" s="1"/>
  <c r="W190" i="95"/>
  <c r="AC190" i="95" s="1"/>
  <c r="V190" i="95"/>
  <c r="AB190" i="95" s="1"/>
  <c r="AE189" i="95"/>
  <c r="X189" i="95"/>
  <c r="AD189" i="95" s="1"/>
  <c r="W189" i="95"/>
  <c r="AC189" i="95" s="1"/>
  <c r="V189" i="95"/>
  <c r="AB189" i="95" s="1"/>
  <c r="AE188" i="95"/>
  <c r="X188" i="95"/>
  <c r="AD188" i="95" s="1"/>
  <c r="W188" i="95"/>
  <c r="AC188" i="95" s="1"/>
  <c r="V188" i="95"/>
  <c r="AB188" i="95" s="1"/>
  <c r="AG187" i="95"/>
  <c r="AF187" i="95"/>
  <c r="X187" i="95"/>
  <c r="AD187" i="95" s="1"/>
  <c r="W187" i="95"/>
  <c r="AC187" i="95" s="1"/>
  <c r="V187" i="95"/>
  <c r="AB187" i="95" s="1"/>
  <c r="AG186" i="95"/>
  <c r="AF186" i="95"/>
  <c r="X186" i="95"/>
  <c r="AD186" i="95" s="1"/>
  <c r="W186" i="95"/>
  <c r="AC186" i="95" s="1"/>
  <c r="V186" i="95"/>
  <c r="AB186" i="95" s="1"/>
  <c r="AG185" i="95"/>
  <c r="AF185" i="95"/>
  <c r="X185" i="95"/>
  <c r="AD185" i="95" s="1"/>
  <c r="W185" i="95"/>
  <c r="AC185" i="95" s="1"/>
  <c r="V185" i="95"/>
  <c r="AB185" i="95" s="1"/>
  <c r="AG184" i="95"/>
  <c r="AF184" i="95"/>
  <c r="X184" i="95"/>
  <c r="AD184" i="95" s="1"/>
  <c r="W184" i="95"/>
  <c r="AC184" i="95" s="1"/>
  <c r="V184" i="95"/>
  <c r="AB184" i="95" s="1"/>
  <c r="AG183" i="95"/>
  <c r="AF183" i="95"/>
  <c r="X183" i="95"/>
  <c r="AD183" i="95" s="1"/>
  <c r="W183" i="95"/>
  <c r="AC183" i="95" s="1"/>
  <c r="V183" i="95"/>
  <c r="AB183" i="95" s="1"/>
  <c r="AG182" i="95"/>
  <c r="AF182" i="95"/>
  <c r="X182" i="95"/>
  <c r="AD182" i="95" s="1"/>
  <c r="W182" i="95"/>
  <c r="AC182" i="95" s="1"/>
  <c r="V182" i="95"/>
  <c r="AB182" i="95" s="1"/>
  <c r="AG181" i="95"/>
  <c r="AF181" i="95"/>
  <c r="X181" i="95"/>
  <c r="AD181" i="95" s="1"/>
  <c r="W181" i="95"/>
  <c r="AC181" i="95" s="1"/>
  <c r="V181" i="95"/>
  <c r="AB181" i="95" s="1"/>
  <c r="AG180" i="95"/>
  <c r="AF180" i="95"/>
  <c r="X180" i="95"/>
  <c r="AD180" i="95" s="1"/>
  <c r="W180" i="95"/>
  <c r="AC180" i="95" s="1"/>
  <c r="V180" i="95"/>
  <c r="AB180" i="95" s="1"/>
  <c r="AG179" i="95"/>
  <c r="AF179" i="95"/>
  <c r="AB179" i="95"/>
  <c r="X179" i="95"/>
  <c r="AD179" i="95" s="1"/>
  <c r="W179" i="95"/>
  <c r="AC179" i="95" s="1"/>
  <c r="V179" i="95"/>
  <c r="AG178" i="95"/>
  <c r="AF178" i="95"/>
  <c r="X178" i="95"/>
  <c r="AD178" i="95" s="1"/>
  <c r="W178" i="95"/>
  <c r="AC178" i="95" s="1"/>
  <c r="V178" i="95"/>
  <c r="AB178" i="95" s="1"/>
  <c r="AG177" i="95"/>
  <c r="AF177" i="95"/>
  <c r="X177" i="95"/>
  <c r="AD177" i="95" s="1"/>
  <c r="W177" i="95"/>
  <c r="AC177" i="95" s="1"/>
  <c r="V177" i="95"/>
  <c r="AB177" i="95" s="1"/>
  <c r="AG176" i="95"/>
  <c r="AF176" i="95"/>
  <c r="X176" i="95"/>
  <c r="AD176" i="95" s="1"/>
  <c r="W176" i="95"/>
  <c r="AC176" i="95" s="1"/>
  <c r="V176" i="95"/>
  <c r="AB176" i="95" s="1"/>
  <c r="AG175" i="95"/>
  <c r="AF175" i="95"/>
  <c r="X175" i="95"/>
  <c r="AD175" i="95" s="1"/>
  <c r="W175" i="95"/>
  <c r="AC175" i="95" s="1"/>
  <c r="V175" i="95"/>
  <c r="AB175" i="95" s="1"/>
  <c r="AG174" i="95"/>
  <c r="AF174" i="95"/>
  <c r="X174" i="95"/>
  <c r="AD174" i="95" s="1"/>
  <c r="W174" i="95"/>
  <c r="AC174" i="95" s="1"/>
  <c r="V174" i="95"/>
  <c r="AB174" i="95" s="1"/>
  <c r="AG173" i="95"/>
  <c r="AF173" i="95"/>
  <c r="X173" i="95"/>
  <c r="AD173" i="95" s="1"/>
  <c r="W173" i="95"/>
  <c r="AC173" i="95" s="1"/>
  <c r="V173" i="95"/>
  <c r="AB173" i="95" s="1"/>
  <c r="AG172" i="95"/>
  <c r="AF172" i="95"/>
  <c r="X172" i="95"/>
  <c r="AD172" i="95" s="1"/>
  <c r="W172" i="95"/>
  <c r="AC172" i="95" s="1"/>
  <c r="V172" i="95"/>
  <c r="AB172" i="95" s="1"/>
  <c r="AG171" i="95"/>
  <c r="AF171" i="95"/>
  <c r="X171" i="95"/>
  <c r="AD171" i="95" s="1"/>
  <c r="W171" i="95"/>
  <c r="AC171" i="95" s="1"/>
  <c r="V171" i="95"/>
  <c r="AB171" i="95" s="1"/>
  <c r="AG170" i="95"/>
  <c r="AF170" i="95"/>
  <c r="X170" i="95"/>
  <c r="AD170" i="95" s="1"/>
  <c r="W170" i="95"/>
  <c r="AC170" i="95" s="1"/>
  <c r="V170" i="95"/>
  <c r="AB170" i="95" s="1"/>
  <c r="AG169" i="95"/>
  <c r="AF169" i="95"/>
  <c r="AB169" i="95"/>
  <c r="X169" i="95"/>
  <c r="AD169" i="95" s="1"/>
  <c r="W169" i="95"/>
  <c r="AC169" i="95" s="1"/>
  <c r="V169" i="95"/>
  <c r="AG168" i="95"/>
  <c r="AF168" i="95"/>
  <c r="X168" i="95"/>
  <c r="AD168" i="95" s="1"/>
  <c r="W168" i="95"/>
  <c r="AC168" i="95" s="1"/>
  <c r="V168" i="95"/>
  <c r="AB168" i="95" s="1"/>
  <c r="AG167" i="95"/>
  <c r="AF167" i="95"/>
  <c r="X167" i="95"/>
  <c r="AD167" i="95" s="1"/>
  <c r="W167" i="95"/>
  <c r="AC167" i="95" s="1"/>
  <c r="V167" i="95"/>
  <c r="AB167" i="95" s="1"/>
  <c r="AG166" i="95"/>
  <c r="AF166" i="95"/>
  <c r="X166" i="95"/>
  <c r="AD166" i="95" s="1"/>
  <c r="W166" i="95"/>
  <c r="AC166" i="95" s="1"/>
  <c r="V166" i="95"/>
  <c r="AB166" i="95" s="1"/>
  <c r="AE165" i="95"/>
  <c r="AB165" i="95"/>
  <c r="X165" i="95"/>
  <c r="AD165" i="95" s="1"/>
  <c r="W165" i="95"/>
  <c r="AC165" i="95" s="1"/>
  <c r="V165" i="95"/>
  <c r="AE164" i="95"/>
  <c r="X164" i="95"/>
  <c r="AD164" i="95" s="1"/>
  <c r="W164" i="95"/>
  <c r="AC164" i="95" s="1"/>
  <c r="V164" i="95"/>
  <c r="AB164" i="95" s="1"/>
  <c r="AE163" i="95"/>
  <c r="X163" i="95"/>
  <c r="AD163" i="95" s="1"/>
  <c r="W163" i="95"/>
  <c r="AC163" i="95" s="1"/>
  <c r="V163" i="95"/>
  <c r="AB163" i="95" s="1"/>
  <c r="AE162" i="95"/>
  <c r="X162" i="95"/>
  <c r="AD162" i="95" s="1"/>
  <c r="W162" i="95"/>
  <c r="AC162" i="95" s="1"/>
  <c r="V162" i="95"/>
  <c r="AB162" i="95" s="1"/>
  <c r="AE161" i="95"/>
  <c r="X161" i="95"/>
  <c r="AD161" i="95" s="1"/>
  <c r="W161" i="95"/>
  <c r="AC161" i="95" s="1"/>
  <c r="V161" i="95"/>
  <c r="AB161" i="95" s="1"/>
  <c r="AE160" i="95"/>
  <c r="X160" i="95"/>
  <c r="AD160" i="95" s="1"/>
  <c r="W160" i="95"/>
  <c r="AC160" i="95" s="1"/>
  <c r="V160" i="95"/>
  <c r="AB160" i="95" s="1"/>
  <c r="AE159" i="95"/>
  <c r="X159" i="95"/>
  <c r="AD159" i="95" s="1"/>
  <c r="W159" i="95"/>
  <c r="AC159" i="95" s="1"/>
  <c r="V159" i="95"/>
  <c r="AB159" i="95" s="1"/>
  <c r="AE158" i="95"/>
  <c r="X158" i="95"/>
  <c r="AD158" i="95" s="1"/>
  <c r="W158" i="95"/>
  <c r="AC158" i="95" s="1"/>
  <c r="V158" i="95"/>
  <c r="AB158" i="95" s="1"/>
  <c r="AE157" i="95"/>
  <c r="X157" i="95"/>
  <c r="AD157" i="95" s="1"/>
  <c r="W157" i="95"/>
  <c r="AC157" i="95" s="1"/>
  <c r="V157" i="95"/>
  <c r="AB157" i="95" s="1"/>
  <c r="AE156" i="95"/>
  <c r="X156" i="95"/>
  <c r="AD156" i="95" s="1"/>
  <c r="W156" i="95"/>
  <c r="AC156" i="95" s="1"/>
  <c r="V156" i="95"/>
  <c r="AB156" i="95" s="1"/>
  <c r="AE155" i="95"/>
  <c r="X155" i="95"/>
  <c r="AD155" i="95" s="1"/>
  <c r="W155" i="95"/>
  <c r="AC155" i="95" s="1"/>
  <c r="V155" i="95"/>
  <c r="AB155" i="95" s="1"/>
  <c r="AE154" i="95"/>
  <c r="X154" i="95"/>
  <c r="AD154" i="95" s="1"/>
  <c r="W154" i="95"/>
  <c r="AC154" i="95" s="1"/>
  <c r="V154" i="95"/>
  <c r="AB154" i="95" s="1"/>
  <c r="AE153" i="95"/>
  <c r="X153" i="95"/>
  <c r="AD153" i="95" s="1"/>
  <c r="W153" i="95"/>
  <c r="AC153" i="95" s="1"/>
  <c r="V153" i="95"/>
  <c r="AB153" i="95" s="1"/>
  <c r="AE152" i="95"/>
  <c r="X152" i="95"/>
  <c r="AD152" i="95" s="1"/>
  <c r="W152" i="95"/>
  <c r="AC152" i="95" s="1"/>
  <c r="V152" i="95"/>
  <c r="AB152" i="95" s="1"/>
  <c r="AE151" i="95"/>
  <c r="X151" i="95"/>
  <c r="AD151" i="95" s="1"/>
  <c r="W151" i="95"/>
  <c r="AC151" i="95" s="1"/>
  <c r="V151" i="95"/>
  <c r="AB151" i="95" s="1"/>
  <c r="AE150" i="95"/>
  <c r="X150" i="95"/>
  <c r="AD150" i="95" s="1"/>
  <c r="W150" i="95"/>
  <c r="AC150" i="95" s="1"/>
  <c r="V150" i="95"/>
  <c r="AB150" i="95" s="1"/>
  <c r="AE149" i="95"/>
  <c r="X149" i="95"/>
  <c r="AD149" i="95" s="1"/>
  <c r="W149" i="95"/>
  <c r="AC149" i="95" s="1"/>
  <c r="V149" i="95"/>
  <c r="AB149" i="95" s="1"/>
  <c r="AE148" i="95"/>
  <c r="X148" i="95"/>
  <c r="AD148" i="95" s="1"/>
  <c r="W148" i="95"/>
  <c r="AC148" i="95" s="1"/>
  <c r="V148" i="95"/>
  <c r="AB148" i="95" s="1"/>
  <c r="AE147" i="95"/>
  <c r="X147" i="95"/>
  <c r="AD147" i="95" s="1"/>
  <c r="W147" i="95"/>
  <c r="AC147" i="95" s="1"/>
  <c r="V147" i="95"/>
  <c r="AB147" i="95" s="1"/>
  <c r="AE146" i="95"/>
  <c r="X146" i="95"/>
  <c r="AD146" i="95" s="1"/>
  <c r="W146" i="95"/>
  <c r="AC146" i="95" s="1"/>
  <c r="V146" i="95"/>
  <c r="AB146" i="95" s="1"/>
  <c r="AG145" i="95"/>
  <c r="AF145" i="95"/>
  <c r="X145" i="95"/>
  <c r="AD145" i="95" s="1"/>
  <c r="W145" i="95"/>
  <c r="AC145" i="95" s="1"/>
  <c r="V145" i="95"/>
  <c r="AB145" i="95" s="1"/>
  <c r="AG144" i="95"/>
  <c r="AF144" i="95"/>
  <c r="X144" i="95"/>
  <c r="AD144" i="95" s="1"/>
  <c r="W144" i="95"/>
  <c r="AC144" i="95" s="1"/>
  <c r="V144" i="95"/>
  <c r="AB144" i="95" s="1"/>
  <c r="AG143" i="95"/>
  <c r="AF143" i="95"/>
  <c r="AB143" i="95"/>
  <c r="X143" i="95"/>
  <c r="AD143" i="95" s="1"/>
  <c r="W143" i="95"/>
  <c r="AC143" i="95" s="1"/>
  <c r="V143" i="95"/>
  <c r="AG142" i="95"/>
  <c r="AF142" i="95"/>
  <c r="X142" i="95"/>
  <c r="AD142" i="95" s="1"/>
  <c r="W142" i="95"/>
  <c r="AC142" i="95" s="1"/>
  <c r="V142" i="95"/>
  <c r="AB142" i="95" s="1"/>
  <c r="AG141" i="95"/>
  <c r="AF141" i="95"/>
  <c r="X141" i="95"/>
  <c r="AD141" i="95" s="1"/>
  <c r="W141" i="95"/>
  <c r="AC141" i="95" s="1"/>
  <c r="V141" i="95"/>
  <c r="AB141" i="95" s="1"/>
  <c r="AG140" i="95"/>
  <c r="AF140" i="95"/>
  <c r="X140" i="95"/>
  <c r="AD140" i="95" s="1"/>
  <c r="W140" i="95"/>
  <c r="AC140" i="95" s="1"/>
  <c r="V140" i="95"/>
  <c r="AB140" i="95" s="1"/>
  <c r="AG139" i="95"/>
  <c r="AF139" i="95"/>
  <c r="X139" i="95"/>
  <c r="AD139" i="95" s="1"/>
  <c r="W139" i="95"/>
  <c r="AC139" i="95" s="1"/>
  <c r="V139" i="95"/>
  <c r="AB139" i="95" s="1"/>
  <c r="AG138" i="95"/>
  <c r="AF138" i="95"/>
  <c r="X138" i="95"/>
  <c r="AD138" i="95" s="1"/>
  <c r="W138" i="95"/>
  <c r="AC138" i="95" s="1"/>
  <c r="V138" i="95"/>
  <c r="AB138" i="95" s="1"/>
  <c r="AG137" i="95"/>
  <c r="AF137" i="95"/>
  <c r="X137" i="95"/>
  <c r="AD137" i="95" s="1"/>
  <c r="W137" i="95"/>
  <c r="AC137" i="95" s="1"/>
  <c r="V137" i="95"/>
  <c r="AB137" i="95" s="1"/>
  <c r="AG136" i="95"/>
  <c r="AF136" i="95"/>
  <c r="X136" i="95"/>
  <c r="AD136" i="95" s="1"/>
  <c r="W136" i="95"/>
  <c r="AC136" i="95" s="1"/>
  <c r="V136" i="95"/>
  <c r="AB136" i="95" s="1"/>
  <c r="AG135" i="95"/>
  <c r="AF135" i="95"/>
  <c r="X135" i="95"/>
  <c r="AD135" i="95" s="1"/>
  <c r="W135" i="95"/>
  <c r="AC135" i="95" s="1"/>
  <c r="V135" i="95"/>
  <c r="AB135" i="95" s="1"/>
  <c r="AG134" i="95"/>
  <c r="AF134" i="95"/>
  <c r="X134" i="95"/>
  <c r="AD134" i="95" s="1"/>
  <c r="W134" i="95"/>
  <c r="AC134" i="95" s="1"/>
  <c r="V134" i="95"/>
  <c r="AB134" i="95" s="1"/>
  <c r="AG133" i="95"/>
  <c r="AF133" i="95"/>
  <c r="X133" i="95"/>
  <c r="AD133" i="95" s="1"/>
  <c r="W133" i="95"/>
  <c r="AC133" i="95" s="1"/>
  <c r="V133" i="95"/>
  <c r="AB133" i="95" s="1"/>
  <c r="AG132" i="95"/>
  <c r="AF132" i="95"/>
  <c r="X132" i="95"/>
  <c r="AD132" i="95" s="1"/>
  <c r="W132" i="95"/>
  <c r="AC132" i="95" s="1"/>
  <c r="V132" i="95"/>
  <c r="AB132" i="95" s="1"/>
  <c r="AG131" i="95"/>
  <c r="AF131" i="95"/>
  <c r="X131" i="95"/>
  <c r="AD131" i="95" s="1"/>
  <c r="W131" i="95"/>
  <c r="AC131" i="95" s="1"/>
  <c r="V131" i="95"/>
  <c r="AB131" i="95" s="1"/>
  <c r="AG130" i="95"/>
  <c r="AF130" i="95"/>
  <c r="X130" i="95"/>
  <c r="AD130" i="95" s="1"/>
  <c r="W130" i="95"/>
  <c r="AC130" i="95" s="1"/>
  <c r="V130" i="95"/>
  <c r="AB130" i="95" s="1"/>
  <c r="AG129" i="95"/>
  <c r="AF129" i="95"/>
  <c r="AB129" i="95"/>
  <c r="X129" i="95"/>
  <c r="AD129" i="95" s="1"/>
  <c r="W129" i="95"/>
  <c r="AC129" i="95" s="1"/>
  <c r="V129" i="95"/>
  <c r="AG128" i="95"/>
  <c r="AF128" i="95"/>
  <c r="X128" i="95"/>
  <c r="AD128" i="95" s="1"/>
  <c r="W128" i="95"/>
  <c r="AC128" i="95" s="1"/>
  <c r="V128" i="95"/>
  <c r="AB128" i="95" s="1"/>
  <c r="AG127" i="95"/>
  <c r="AF127" i="95"/>
  <c r="X127" i="95"/>
  <c r="AD127" i="95" s="1"/>
  <c r="W127" i="95"/>
  <c r="AC127" i="95" s="1"/>
  <c r="V127" i="95"/>
  <c r="AB127" i="95" s="1"/>
  <c r="AG126" i="95"/>
  <c r="AF126" i="95"/>
  <c r="X126" i="95"/>
  <c r="AD126" i="95" s="1"/>
  <c r="W126" i="95"/>
  <c r="AC126" i="95" s="1"/>
  <c r="V126" i="95"/>
  <c r="AB126" i="95" s="1"/>
  <c r="AG125" i="95"/>
  <c r="AF125" i="95"/>
  <c r="X125" i="95"/>
  <c r="AD125" i="95" s="1"/>
  <c r="W125" i="95"/>
  <c r="AC125" i="95" s="1"/>
  <c r="V125" i="95"/>
  <c r="AB125" i="95" s="1"/>
  <c r="AG124" i="95"/>
  <c r="AF124" i="95"/>
  <c r="X124" i="95"/>
  <c r="AD124" i="95" s="1"/>
  <c r="W124" i="95"/>
  <c r="AC124" i="95" s="1"/>
  <c r="V124" i="95"/>
  <c r="AB124" i="95" s="1"/>
  <c r="AG123" i="95"/>
  <c r="AF123" i="95"/>
  <c r="X123" i="95"/>
  <c r="AD123" i="95" s="1"/>
  <c r="W123" i="95"/>
  <c r="AC123" i="95" s="1"/>
  <c r="V123" i="95"/>
  <c r="AB123" i="95" s="1"/>
  <c r="AG122" i="95"/>
  <c r="AF122" i="95"/>
  <c r="X122" i="95"/>
  <c r="AD122" i="95" s="1"/>
  <c r="W122" i="95"/>
  <c r="AC122" i="95" s="1"/>
  <c r="V122" i="95"/>
  <c r="AB122" i="95" s="1"/>
  <c r="X121" i="95"/>
  <c r="AD121" i="95" s="1"/>
  <c r="W121" i="95"/>
  <c r="AC121" i="95" s="1"/>
  <c r="V121" i="95"/>
  <c r="AB121" i="95" s="1"/>
  <c r="X120" i="95"/>
  <c r="AD120" i="95" s="1"/>
  <c r="W120" i="95"/>
  <c r="AC120" i="95" s="1"/>
  <c r="V120" i="95"/>
  <c r="AB120" i="95" s="1"/>
  <c r="X119" i="95"/>
  <c r="AD119" i="95" s="1"/>
  <c r="W119" i="95"/>
  <c r="AC119" i="95" s="1"/>
  <c r="V119" i="95"/>
  <c r="AB119" i="95" s="1"/>
  <c r="X118" i="95"/>
  <c r="AD118" i="95" s="1"/>
  <c r="W118" i="95"/>
  <c r="AC118" i="95" s="1"/>
  <c r="V118" i="95"/>
  <c r="AB118" i="95" s="1"/>
  <c r="AB117" i="95"/>
  <c r="X117" i="95"/>
  <c r="AD117" i="95" s="1"/>
  <c r="W117" i="95"/>
  <c r="AC117" i="95" s="1"/>
  <c r="V117" i="95"/>
  <c r="X116" i="95"/>
  <c r="AD116" i="95" s="1"/>
  <c r="W116" i="95"/>
  <c r="AC116" i="95" s="1"/>
  <c r="V116" i="95"/>
  <c r="AB116" i="95" s="1"/>
  <c r="X115" i="95"/>
  <c r="AD115" i="95" s="1"/>
  <c r="W115" i="95"/>
  <c r="AC115" i="95" s="1"/>
  <c r="V115" i="95"/>
  <c r="AB115" i="95" s="1"/>
  <c r="X114" i="95"/>
  <c r="AD114" i="95" s="1"/>
  <c r="W114" i="95"/>
  <c r="AC114" i="95" s="1"/>
  <c r="V114" i="95"/>
  <c r="AB114" i="95" s="1"/>
  <c r="X113" i="95"/>
  <c r="AD113" i="95" s="1"/>
  <c r="W113" i="95"/>
  <c r="AC113" i="95" s="1"/>
  <c r="V113" i="95"/>
  <c r="AB113" i="95" s="1"/>
  <c r="X112" i="95"/>
  <c r="AD112" i="95" s="1"/>
  <c r="W112" i="95"/>
  <c r="AC112" i="95" s="1"/>
  <c r="V112" i="95"/>
  <c r="AB112" i="95" s="1"/>
  <c r="X111" i="95"/>
  <c r="AD111" i="95" s="1"/>
  <c r="W111" i="95"/>
  <c r="AC111" i="95" s="1"/>
  <c r="V111" i="95"/>
  <c r="AB111" i="95" s="1"/>
  <c r="X110" i="95"/>
  <c r="AD110" i="95" s="1"/>
  <c r="W110" i="95"/>
  <c r="AC110" i="95" s="1"/>
  <c r="V110" i="95"/>
  <c r="AB110" i="95" s="1"/>
  <c r="X109" i="95"/>
  <c r="AD109" i="95" s="1"/>
  <c r="W109" i="95"/>
  <c r="AC109" i="95" s="1"/>
  <c r="V109" i="95"/>
  <c r="AB109" i="95" s="1"/>
  <c r="X108" i="95"/>
  <c r="AD108" i="95" s="1"/>
  <c r="W108" i="95"/>
  <c r="AC108" i="95" s="1"/>
  <c r="V108" i="95"/>
  <c r="AB108" i="95" s="1"/>
  <c r="X107" i="95"/>
  <c r="AD107" i="95" s="1"/>
  <c r="W107" i="95"/>
  <c r="AC107" i="95" s="1"/>
  <c r="V107" i="95"/>
  <c r="AB107" i="95" s="1"/>
  <c r="X106" i="95"/>
  <c r="AD106" i="95" s="1"/>
  <c r="W106" i="95"/>
  <c r="AC106" i="95" s="1"/>
  <c r="V106" i="95"/>
  <c r="AB106" i="95" s="1"/>
  <c r="X105" i="95"/>
  <c r="AD105" i="95" s="1"/>
  <c r="W105" i="95"/>
  <c r="AC105" i="95" s="1"/>
  <c r="V105" i="95"/>
  <c r="AB105" i="95" s="1"/>
  <c r="X104" i="95"/>
  <c r="AD104" i="95" s="1"/>
  <c r="W104" i="95"/>
  <c r="AC104" i="95" s="1"/>
  <c r="V104" i="95"/>
  <c r="AB104" i="95" s="1"/>
  <c r="X103" i="95"/>
  <c r="AD103" i="95" s="1"/>
  <c r="W103" i="95"/>
  <c r="AC103" i="95" s="1"/>
  <c r="V103" i="95"/>
  <c r="AB103" i="95" s="1"/>
  <c r="X102" i="95"/>
  <c r="AD102" i="95" s="1"/>
  <c r="W102" i="95"/>
  <c r="AC102" i="95" s="1"/>
  <c r="V102" i="95"/>
  <c r="AB102" i="95" s="1"/>
  <c r="AB101" i="95"/>
  <c r="X101" i="95"/>
  <c r="AD101" i="95" s="1"/>
  <c r="W101" i="95"/>
  <c r="AC101" i="95" s="1"/>
  <c r="V101" i="95"/>
  <c r="X100" i="95"/>
  <c r="AD100" i="95" s="1"/>
  <c r="W100" i="95"/>
  <c r="AC100" i="95" s="1"/>
  <c r="V100" i="95"/>
  <c r="AB100" i="95" s="1"/>
  <c r="X99" i="95"/>
  <c r="AD99" i="95" s="1"/>
  <c r="W99" i="95"/>
  <c r="AC99" i="95" s="1"/>
  <c r="V99" i="95"/>
  <c r="AB99" i="95" s="1"/>
  <c r="X98" i="95"/>
  <c r="AD98" i="95" s="1"/>
  <c r="W98" i="95"/>
  <c r="AC98" i="95" s="1"/>
  <c r="V98" i="95"/>
  <c r="AB98" i="95" s="1"/>
  <c r="X97" i="95"/>
  <c r="AD97" i="95" s="1"/>
  <c r="W97" i="95"/>
  <c r="AC97" i="95" s="1"/>
  <c r="V97" i="95"/>
  <c r="AB97" i="95" s="1"/>
  <c r="X96" i="95"/>
  <c r="AD96" i="95" s="1"/>
  <c r="W96" i="95"/>
  <c r="AC96" i="95" s="1"/>
  <c r="V96" i="95"/>
  <c r="AB96" i="95" s="1"/>
  <c r="X95" i="95"/>
  <c r="AD95" i="95" s="1"/>
  <c r="W95" i="95"/>
  <c r="AC95" i="95" s="1"/>
  <c r="V95" i="95"/>
  <c r="AB95" i="95" s="1"/>
  <c r="X94" i="95"/>
  <c r="AD94" i="95" s="1"/>
  <c r="W94" i="95"/>
  <c r="AC94" i="95" s="1"/>
  <c r="V94" i="95"/>
  <c r="AB94" i="95" s="1"/>
  <c r="AB93" i="95"/>
  <c r="X93" i="95"/>
  <c r="AD93" i="95" s="1"/>
  <c r="W93" i="95"/>
  <c r="AC93" i="95" s="1"/>
  <c r="V93" i="95"/>
  <c r="X92" i="95"/>
  <c r="AD92" i="95" s="1"/>
  <c r="W92" i="95"/>
  <c r="AC92" i="95" s="1"/>
  <c r="V92" i="95"/>
  <c r="AB92" i="95" s="1"/>
  <c r="X91" i="95"/>
  <c r="AD91" i="95" s="1"/>
  <c r="W91" i="95"/>
  <c r="AC91" i="95" s="1"/>
  <c r="V91" i="95"/>
  <c r="AB91" i="95" s="1"/>
  <c r="X90" i="95"/>
  <c r="AD90" i="95" s="1"/>
  <c r="W90" i="95"/>
  <c r="AC90" i="95" s="1"/>
  <c r="V90" i="95"/>
  <c r="AB90" i="95" s="1"/>
  <c r="X89" i="95"/>
  <c r="AD89" i="95" s="1"/>
  <c r="W89" i="95"/>
  <c r="AC89" i="95" s="1"/>
  <c r="V89" i="95"/>
  <c r="AB89" i="95" s="1"/>
  <c r="X88" i="95"/>
  <c r="AD88" i="95" s="1"/>
  <c r="W88" i="95"/>
  <c r="AC88" i="95" s="1"/>
  <c r="V88" i="95"/>
  <c r="AB88" i="95" s="1"/>
  <c r="X87" i="95"/>
  <c r="AD87" i="95" s="1"/>
  <c r="W87" i="95"/>
  <c r="AC87" i="95" s="1"/>
  <c r="V87" i="95"/>
  <c r="AB87" i="95" s="1"/>
  <c r="X86" i="95"/>
  <c r="AD86" i="95" s="1"/>
  <c r="W86" i="95"/>
  <c r="AC86" i="95" s="1"/>
  <c r="V86" i="95"/>
  <c r="AB86" i="95" s="1"/>
  <c r="X85" i="95"/>
  <c r="AD85" i="95" s="1"/>
  <c r="W85" i="95"/>
  <c r="AC85" i="95" s="1"/>
  <c r="V85" i="95"/>
  <c r="AB85" i="95" s="1"/>
  <c r="X84" i="95"/>
  <c r="AD84" i="95" s="1"/>
  <c r="W84" i="95"/>
  <c r="AC84" i="95" s="1"/>
  <c r="V84" i="95"/>
  <c r="AB84" i="95" s="1"/>
  <c r="X83" i="95"/>
  <c r="AD83" i="95" s="1"/>
  <c r="W83" i="95"/>
  <c r="AC83" i="95" s="1"/>
  <c r="V83" i="95"/>
  <c r="AB83" i="95" s="1"/>
  <c r="X82" i="95"/>
  <c r="AD82" i="95" s="1"/>
  <c r="W82" i="95"/>
  <c r="AC82" i="95" s="1"/>
  <c r="V82" i="95"/>
  <c r="AB82" i="95" s="1"/>
  <c r="X81" i="95"/>
  <c r="AD81" i="95" s="1"/>
  <c r="W81" i="95"/>
  <c r="AC81" i="95" s="1"/>
  <c r="V81" i="95"/>
  <c r="AB81" i="95" s="1"/>
  <c r="AB80" i="95"/>
  <c r="X80" i="95"/>
  <c r="AD80" i="95" s="1"/>
  <c r="W80" i="95"/>
  <c r="AC80" i="95" s="1"/>
  <c r="V80" i="95"/>
  <c r="X79" i="95"/>
  <c r="AD79" i="95" s="1"/>
  <c r="W79" i="95"/>
  <c r="AC79" i="95" s="1"/>
  <c r="V79" i="95"/>
  <c r="AB79" i="95" s="1"/>
  <c r="X78" i="95"/>
  <c r="AD78" i="95" s="1"/>
  <c r="W78" i="95"/>
  <c r="AC78" i="95" s="1"/>
  <c r="V78" i="95"/>
  <c r="AB78" i="95" s="1"/>
  <c r="AB77" i="95"/>
  <c r="X77" i="95"/>
  <c r="AD77" i="95" s="1"/>
  <c r="W77" i="95"/>
  <c r="AC77" i="95" s="1"/>
  <c r="V77" i="95"/>
  <c r="AC76" i="95"/>
  <c r="X76" i="95"/>
  <c r="AD76" i="95" s="1"/>
  <c r="W76" i="95"/>
  <c r="V76" i="95"/>
  <c r="AB76" i="95" s="1"/>
  <c r="AB75" i="95"/>
  <c r="X75" i="95"/>
  <c r="AD75" i="95" s="1"/>
  <c r="W75" i="95"/>
  <c r="AC75" i="95" s="1"/>
  <c r="V75" i="95"/>
  <c r="AD74" i="95"/>
  <c r="AC74" i="95"/>
  <c r="X74" i="95"/>
  <c r="W74" i="95"/>
  <c r="V74" i="95"/>
  <c r="AB74" i="95" s="1"/>
  <c r="AG73" i="95"/>
  <c r="X73" i="95"/>
  <c r="AD73" i="95" s="1"/>
  <c r="W73" i="95"/>
  <c r="AC73" i="95" s="1"/>
  <c r="V73" i="95"/>
  <c r="AB73" i="95" s="1"/>
  <c r="AG72" i="95"/>
  <c r="AC72" i="95"/>
  <c r="X72" i="95"/>
  <c r="AD72" i="95" s="1"/>
  <c r="W72" i="95"/>
  <c r="V72" i="95"/>
  <c r="AB72" i="95" s="1"/>
  <c r="AG71" i="95"/>
  <c r="AB71" i="95"/>
  <c r="X71" i="95"/>
  <c r="AD71" i="95" s="1"/>
  <c r="W71" i="95"/>
  <c r="AC71" i="95" s="1"/>
  <c r="V71" i="95"/>
  <c r="AG70" i="95"/>
  <c r="AC70" i="95"/>
  <c r="X70" i="95"/>
  <c r="AD70" i="95" s="1"/>
  <c r="W70" i="95"/>
  <c r="V70" i="95"/>
  <c r="AB70" i="95" s="1"/>
  <c r="AG69" i="95"/>
  <c r="X69" i="95"/>
  <c r="AD69" i="95" s="1"/>
  <c r="W69" i="95"/>
  <c r="AC69" i="95" s="1"/>
  <c r="V69" i="95"/>
  <c r="AB69" i="95" s="1"/>
  <c r="AG68" i="95"/>
  <c r="AC68" i="95"/>
  <c r="X68" i="95"/>
  <c r="AD68" i="95" s="1"/>
  <c r="W68" i="95"/>
  <c r="V68" i="95"/>
  <c r="AB68" i="95" s="1"/>
  <c r="AG67" i="95"/>
  <c r="X67" i="95"/>
  <c r="AD67" i="95" s="1"/>
  <c r="W67" i="95"/>
  <c r="AC67" i="95" s="1"/>
  <c r="V67" i="95"/>
  <c r="AB67" i="95" s="1"/>
  <c r="AG66" i="95"/>
  <c r="AC66" i="95"/>
  <c r="X66" i="95"/>
  <c r="AD66" i="95" s="1"/>
  <c r="W66" i="95"/>
  <c r="V66" i="95"/>
  <c r="AB66" i="95" s="1"/>
  <c r="AG65" i="95"/>
  <c r="X65" i="95"/>
  <c r="AD65" i="95" s="1"/>
  <c r="W65" i="95"/>
  <c r="AC65" i="95" s="1"/>
  <c r="V65" i="95"/>
  <c r="AB65" i="95" s="1"/>
  <c r="AG64" i="95"/>
  <c r="AB64" i="95"/>
  <c r="X64" i="95"/>
  <c r="AD64" i="95" s="1"/>
  <c r="W64" i="95"/>
  <c r="AC64" i="95" s="1"/>
  <c r="V64" i="95"/>
  <c r="AG63" i="95"/>
  <c r="X63" i="95"/>
  <c r="AD63" i="95" s="1"/>
  <c r="W63" i="95"/>
  <c r="AC63" i="95" s="1"/>
  <c r="V63" i="95"/>
  <c r="AB63" i="95" s="1"/>
  <c r="AG62" i="95"/>
  <c r="X62" i="95"/>
  <c r="AD62" i="95" s="1"/>
  <c r="W62" i="95"/>
  <c r="AC62" i="95" s="1"/>
  <c r="V62" i="95"/>
  <c r="AB62" i="95" s="1"/>
  <c r="AG61" i="95"/>
  <c r="AE61" i="95"/>
  <c r="X61" i="95"/>
  <c r="AD61" i="95" s="1"/>
  <c r="W61" i="95"/>
  <c r="AC61" i="95" s="1"/>
  <c r="V61" i="95"/>
  <c r="AB61" i="95" s="1"/>
  <c r="AG60" i="95"/>
  <c r="AE60" i="95"/>
  <c r="AB60" i="95"/>
  <c r="X60" i="95"/>
  <c r="AD60" i="95" s="1"/>
  <c r="W60" i="95"/>
  <c r="AC60" i="95" s="1"/>
  <c r="V60" i="95"/>
  <c r="AG59" i="95"/>
  <c r="AE59" i="95"/>
  <c r="AB59" i="95"/>
  <c r="X59" i="95"/>
  <c r="AD59" i="95" s="1"/>
  <c r="W59" i="95"/>
  <c r="AC59" i="95" s="1"/>
  <c r="V59" i="95"/>
  <c r="AG58" i="95"/>
  <c r="AE58" i="95"/>
  <c r="X58" i="95"/>
  <c r="AD58" i="95" s="1"/>
  <c r="W58" i="95"/>
  <c r="AC58" i="95" s="1"/>
  <c r="V58" i="95"/>
  <c r="AB58" i="95" s="1"/>
  <c r="AG57" i="95"/>
  <c r="AE57" i="95"/>
  <c r="X57" i="95"/>
  <c r="AD57" i="95" s="1"/>
  <c r="W57" i="95"/>
  <c r="AC57" i="95" s="1"/>
  <c r="V57" i="95"/>
  <c r="AB57" i="95" s="1"/>
  <c r="AG56" i="95"/>
  <c r="AE56" i="95"/>
  <c r="X56" i="95"/>
  <c r="AD56" i="95" s="1"/>
  <c r="W56" i="95"/>
  <c r="AC56" i="95" s="1"/>
  <c r="V56" i="95"/>
  <c r="AB56" i="95" s="1"/>
  <c r="AG55" i="95"/>
  <c r="AE55" i="95"/>
  <c r="AD55" i="95"/>
  <c r="X55" i="95"/>
  <c r="W55" i="95"/>
  <c r="AC55" i="95" s="1"/>
  <c r="V55" i="95"/>
  <c r="AB55" i="95" s="1"/>
  <c r="AG54" i="95"/>
  <c r="AE54" i="95"/>
  <c r="X54" i="95"/>
  <c r="AD54" i="95" s="1"/>
  <c r="W54" i="95"/>
  <c r="AC54" i="95" s="1"/>
  <c r="V54" i="95"/>
  <c r="AB54" i="95" s="1"/>
  <c r="AG53" i="95"/>
  <c r="AE53" i="95"/>
  <c r="X53" i="95"/>
  <c r="AD53" i="95" s="1"/>
  <c r="W53" i="95"/>
  <c r="AC53" i="95" s="1"/>
  <c r="V53" i="95"/>
  <c r="AB53" i="95" s="1"/>
  <c r="AG52" i="95"/>
  <c r="AE52" i="95"/>
  <c r="AC52" i="95"/>
  <c r="X52" i="95"/>
  <c r="AD52" i="95" s="1"/>
  <c r="W52" i="95"/>
  <c r="V52" i="95"/>
  <c r="AB52" i="95" s="1"/>
  <c r="AG51" i="95"/>
  <c r="AE51" i="95"/>
  <c r="X51" i="95"/>
  <c r="AD51" i="95" s="1"/>
  <c r="W51" i="95"/>
  <c r="AC51" i="95" s="1"/>
  <c r="V51" i="95"/>
  <c r="AB51" i="95" s="1"/>
  <c r="AG50" i="95"/>
  <c r="AE50" i="95"/>
  <c r="X50" i="95"/>
  <c r="AD50" i="95" s="1"/>
  <c r="W50" i="95"/>
  <c r="AC50" i="95" s="1"/>
  <c r="V50" i="95"/>
  <c r="AB50" i="95" s="1"/>
  <c r="AG49" i="95"/>
  <c r="X49" i="95"/>
  <c r="AD49" i="95" s="1"/>
  <c r="W49" i="95"/>
  <c r="AC49" i="95" s="1"/>
  <c r="V49" i="95"/>
  <c r="AB49" i="95" s="1"/>
  <c r="AG48" i="95"/>
  <c r="X48" i="95"/>
  <c r="AD48" i="95" s="1"/>
  <c r="W48" i="95"/>
  <c r="AC48" i="95" s="1"/>
  <c r="V48" i="95"/>
  <c r="AB48" i="95" s="1"/>
  <c r="AG47" i="95"/>
  <c r="X47" i="95"/>
  <c r="AD47" i="95" s="1"/>
  <c r="W47" i="95"/>
  <c r="AC47" i="95" s="1"/>
  <c r="V47" i="95"/>
  <c r="AB47" i="95" s="1"/>
  <c r="AG46" i="95"/>
  <c r="X46" i="95"/>
  <c r="AD46" i="95" s="1"/>
  <c r="W46" i="95"/>
  <c r="AC46" i="95" s="1"/>
  <c r="V46" i="95"/>
  <c r="AB46" i="95" s="1"/>
  <c r="AG45" i="95"/>
  <c r="AD45" i="95"/>
  <c r="X45" i="95"/>
  <c r="W45" i="95"/>
  <c r="AC45" i="95" s="1"/>
  <c r="V45" i="95"/>
  <c r="AB45" i="95" s="1"/>
  <c r="AG44" i="95"/>
  <c r="X44" i="95"/>
  <c r="AD44" i="95" s="1"/>
  <c r="W44" i="95"/>
  <c r="AC44" i="95" s="1"/>
  <c r="V44" i="95"/>
  <c r="AB44" i="95" s="1"/>
  <c r="AG43" i="95"/>
  <c r="AB43" i="95"/>
  <c r="X43" i="95"/>
  <c r="AD43" i="95" s="1"/>
  <c r="W43" i="95"/>
  <c r="AC43" i="95" s="1"/>
  <c r="V43" i="95"/>
  <c r="AG42" i="95"/>
  <c r="X42" i="95"/>
  <c r="AD42" i="95" s="1"/>
  <c r="W42" i="95"/>
  <c r="AC42" i="95" s="1"/>
  <c r="V42" i="95"/>
  <c r="AB42" i="95" s="1"/>
  <c r="AG41" i="95"/>
  <c r="X41" i="95"/>
  <c r="AD41" i="95" s="1"/>
  <c r="W41" i="95"/>
  <c r="AC41" i="95" s="1"/>
  <c r="V41" i="95"/>
  <c r="AB41" i="95" s="1"/>
  <c r="AG40" i="95"/>
  <c r="AC40" i="95"/>
  <c r="X40" i="95"/>
  <c r="AD40" i="95" s="1"/>
  <c r="W40" i="95"/>
  <c r="V40" i="95"/>
  <c r="AB40" i="95" s="1"/>
  <c r="AG39" i="95"/>
  <c r="X39" i="95"/>
  <c r="AD39" i="95" s="1"/>
  <c r="W39" i="95"/>
  <c r="AC39" i="95" s="1"/>
  <c r="V39" i="95"/>
  <c r="AB39" i="95" s="1"/>
  <c r="AG38" i="95"/>
  <c r="AC38" i="95"/>
  <c r="X38" i="95"/>
  <c r="AD38" i="95" s="1"/>
  <c r="W38" i="95"/>
  <c r="V38" i="95"/>
  <c r="AB38" i="95" s="1"/>
  <c r="AB37" i="95"/>
  <c r="X37" i="95"/>
  <c r="AD37" i="95" s="1"/>
  <c r="W37" i="95"/>
  <c r="AC37" i="95" s="1"/>
  <c r="V37" i="95"/>
  <c r="X36" i="95"/>
  <c r="AD36" i="95" s="1"/>
  <c r="W36" i="95"/>
  <c r="AC36" i="95" s="1"/>
  <c r="V36" i="95"/>
  <c r="AB36" i="95" s="1"/>
  <c r="X35" i="95"/>
  <c r="AD35" i="95" s="1"/>
  <c r="W35" i="95"/>
  <c r="AC35" i="95" s="1"/>
  <c r="V35" i="95"/>
  <c r="AB35" i="95" s="1"/>
  <c r="X34" i="95"/>
  <c r="AD34" i="95" s="1"/>
  <c r="W34" i="95"/>
  <c r="AC34" i="95" s="1"/>
  <c r="V34" i="95"/>
  <c r="AB34" i="95" s="1"/>
  <c r="AB33" i="95"/>
  <c r="X33" i="95"/>
  <c r="AD33" i="95" s="1"/>
  <c r="W33" i="95"/>
  <c r="AC33" i="95" s="1"/>
  <c r="V33" i="95"/>
  <c r="AC32" i="95"/>
  <c r="X32" i="95"/>
  <c r="AD32" i="95" s="1"/>
  <c r="W32" i="95"/>
  <c r="V32" i="95"/>
  <c r="AB32" i="95" s="1"/>
  <c r="AD31" i="95"/>
  <c r="X31" i="95"/>
  <c r="W31" i="95"/>
  <c r="AC31" i="95" s="1"/>
  <c r="V31" i="95"/>
  <c r="AB31" i="95" s="1"/>
  <c r="X30" i="95"/>
  <c r="AD30" i="95" s="1"/>
  <c r="W30" i="95"/>
  <c r="AC30" i="95" s="1"/>
  <c r="V30" i="95"/>
  <c r="AB30" i="95" s="1"/>
  <c r="X29" i="95"/>
  <c r="AD29" i="95" s="1"/>
  <c r="W29" i="95"/>
  <c r="AC29" i="95" s="1"/>
  <c r="V29" i="95"/>
  <c r="AB29" i="95" s="1"/>
  <c r="X28" i="95"/>
  <c r="AD28" i="95" s="1"/>
  <c r="W28" i="95"/>
  <c r="AC28" i="95" s="1"/>
  <c r="V28" i="95"/>
  <c r="AB28" i="95" s="1"/>
  <c r="X27" i="95"/>
  <c r="AD27" i="95" s="1"/>
  <c r="W27" i="95"/>
  <c r="AC27" i="95" s="1"/>
  <c r="V27" i="95"/>
  <c r="AB27" i="95" s="1"/>
  <c r="X26" i="95"/>
  <c r="AD26" i="95" s="1"/>
  <c r="W26" i="95"/>
  <c r="AC26" i="95" s="1"/>
  <c r="V26" i="95"/>
  <c r="AB26" i="95" s="1"/>
  <c r="X25" i="95"/>
  <c r="AD25" i="95" s="1"/>
  <c r="W25" i="95"/>
  <c r="AC25" i="95" s="1"/>
  <c r="V25" i="95"/>
  <c r="AB25" i="95" s="1"/>
  <c r="X24" i="95"/>
  <c r="AD24" i="95" s="1"/>
  <c r="W24" i="95"/>
  <c r="AC24" i="95" s="1"/>
  <c r="V24" i="95"/>
  <c r="AB24" i="95" s="1"/>
  <c r="X23" i="95"/>
  <c r="AD23" i="95" s="1"/>
  <c r="W23" i="95"/>
  <c r="AC23" i="95" s="1"/>
  <c r="V23" i="95"/>
  <c r="AB23" i="95" s="1"/>
  <c r="X22" i="95"/>
  <c r="AD22" i="95" s="1"/>
  <c r="W22" i="95"/>
  <c r="AC22" i="95" s="1"/>
  <c r="V22" i="95"/>
  <c r="AB22" i="95" s="1"/>
  <c r="AB21" i="95"/>
  <c r="X21" i="95"/>
  <c r="AD21" i="95" s="1"/>
  <c r="W21" i="95"/>
  <c r="AC21" i="95" s="1"/>
  <c r="V21" i="95"/>
  <c r="X20" i="95"/>
  <c r="AD20" i="95" s="1"/>
  <c r="W20" i="95"/>
  <c r="AC20" i="95" s="1"/>
  <c r="V20" i="95"/>
  <c r="AB20" i="95" s="1"/>
  <c r="AB19" i="95"/>
  <c r="X19" i="95"/>
  <c r="AD19" i="95" s="1"/>
  <c r="W19" i="95"/>
  <c r="AC19" i="95" s="1"/>
  <c r="V19" i="95"/>
  <c r="AC18" i="95"/>
  <c r="X18" i="95"/>
  <c r="AD18" i="95" s="1"/>
  <c r="W18" i="95"/>
  <c r="V18" i="95"/>
  <c r="AB18" i="95" s="1"/>
  <c r="AD17" i="95"/>
  <c r="X17" i="95"/>
  <c r="W17" i="95"/>
  <c r="AC17" i="95" s="1"/>
  <c r="V17" i="95"/>
  <c r="AB17" i="95" s="1"/>
  <c r="X16" i="95"/>
  <c r="AD16" i="95" s="1"/>
  <c r="W16" i="95"/>
  <c r="AC16" i="95" s="1"/>
  <c r="V16" i="95"/>
  <c r="AB16" i="95" s="1"/>
  <c r="X15" i="95"/>
  <c r="AD15" i="95" s="1"/>
  <c r="W15" i="95"/>
  <c r="AC15" i="95" s="1"/>
  <c r="V15" i="95"/>
  <c r="AB15" i="95" s="1"/>
  <c r="X14" i="95"/>
  <c r="AD14" i="95" s="1"/>
  <c r="W14" i="95"/>
  <c r="AC14" i="95" s="1"/>
  <c r="V14" i="95"/>
  <c r="AB14" i="95" s="1"/>
  <c r="AG13" i="95"/>
  <c r="AF13" i="95"/>
  <c r="X13" i="95"/>
  <c r="AD13" i="95" s="1"/>
  <c r="W13" i="95"/>
  <c r="AC13" i="95" s="1"/>
  <c r="V13" i="95"/>
  <c r="AB13" i="95" s="1"/>
  <c r="AG12" i="95"/>
  <c r="AF12" i="95"/>
  <c r="AC12" i="95"/>
  <c r="X12" i="95"/>
  <c r="AD12" i="95" s="1"/>
  <c r="W12" i="95"/>
  <c r="V12" i="95"/>
  <c r="AB12" i="95" s="1"/>
  <c r="AG11" i="95"/>
  <c r="AF11" i="95"/>
  <c r="X11" i="95"/>
  <c r="AD11" i="95" s="1"/>
  <c r="W11" i="95"/>
  <c r="AC11" i="95" s="1"/>
  <c r="V11" i="95"/>
  <c r="AB11" i="95" s="1"/>
  <c r="AG10" i="95"/>
  <c r="AF10" i="95"/>
  <c r="AD10" i="95"/>
  <c r="X10" i="95"/>
  <c r="W10" i="95"/>
  <c r="AC10" i="95" s="1"/>
  <c r="V10" i="95"/>
  <c r="AB10" i="95" s="1"/>
  <c r="AG9" i="95"/>
  <c r="AF9" i="95"/>
  <c r="X9" i="95"/>
  <c r="AD9" i="95" s="1"/>
  <c r="W9" i="95"/>
  <c r="AC9" i="95" s="1"/>
  <c r="V9" i="95"/>
  <c r="AB9" i="95" s="1"/>
  <c r="AG8" i="95"/>
  <c r="AF8" i="95"/>
  <c r="AB8" i="95"/>
  <c r="X8" i="95"/>
  <c r="AD8" i="95" s="1"/>
  <c r="W8" i="95"/>
  <c r="AC8" i="95" s="1"/>
  <c r="V8" i="95"/>
  <c r="AT7" i="95"/>
  <c r="AO7" i="95"/>
  <c r="AJ7" i="95"/>
  <c r="AG7" i="95"/>
  <c r="AF7" i="95"/>
  <c r="X7" i="95"/>
  <c r="AD7" i="95" s="1"/>
  <c r="W7" i="95"/>
  <c r="AC7" i="95" s="1"/>
  <c r="V7" i="95"/>
  <c r="AB7" i="95" s="1"/>
  <c r="AG6" i="95"/>
  <c r="AF6" i="95"/>
  <c r="X6" i="95"/>
  <c r="AD6" i="95" s="1"/>
  <c r="W6" i="95"/>
  <c r="AC6" i="95" s="1"/>
  <c r="V6" i="95"/>
  <c r="AB6" i="95" s="1"/>
  <c r="AG5" i="95"/>
  <c r="AF5" i="95"/>
  <c r="X5" i="95"/>
  <c r="AD5" i="95" s="1"/>
  <c r="W5" i="95"/>
  <c r="AC5" i="95" s="1"/>
  <c r="V5" i="95"/>
  <c r="AB5" i="95" s="1"/>
  <c r="AG4" i="95"/>
  <c r="AF4" i="95"/>
  <c r="X4" i="95"/>
  <c r="AD4" i="95" s="1"/>
  <c r="W4" i="95"/>
  <c r="AC4" i="95" s="1"/>
  <c r="V4" i="95"/>
  <c r="AB4" i="95" s="1"/>
  <c r="AG3" i="95"/>
  <c r="AF3" i="95"/>
  <c r="X3" i="95"/>
  <c r="AD3" i="95" s="1"/>
  <c r="W3" i="95"/>
  <c r="AC3" i="95" s="1"/>
  <c r="V3" i="95"/>
  <c r="AB3" i="95" s="1"/>
  <c r="AG2" i="95"/>
  <c r="AF2" i="95"/>
  <c r="X2" i="95"/>
  <c r="AD2" i="95" s="1"/>
  <c r="W2" i="95"/>
  <c r="AC2" i="95" s="1"/>
  <c r="V2" i="95"/>
  <c r="AB2" i="95" s="1"/>
  <c r="AG42" i="94"/>
  <c r="AF42" i="94"/>
  <c r="AG41" i="94"/>
  <c r="AF41" i="94"/>
  <c r="AE41" i="94"/>
  <c r="AE42" i="94" s="1"/>
  <c r="AD41" i="94"/>
  <c r="AD42" i="94" s="1"/>
  <c r="AC41" i="94"/>
  <c r="AC42" i="94" s="1"/>
  <c r="AG40" i="94"/>
  <c r="AF40" i="94"/>
  <c r="AE40" i="94"/>
  <c r="AD40" i="94"/>
  <c r="AG39" i="94"/>
  <c r="AF39" i="94"/>
  <c r="AE39" i="94"/>
  <c r="AD39" i="94"/>
  <c r="AG36" i="94"/>
  <c r="AG37" i="94" s="1"/>
  <c r="AG38" i="94" s="1"/>
  <c r="AF36" i="94"/>
  <c r="AF37" i="94" s="1"/>
  <c r="AF38" i="94" s="1"/>
  <c r="AE36" i="94"/>
  <c r="AE37" i="94" s="1"/>
  <c r="AE38" i="94" s="1"/>
  <c r="AD36" i="94"/>
  <c r="AD37" i="94" s="1"/>
  <c r="AD38" i="94" s="1"/>
  <c r="AC36" i="94"/>
  <c r="AC37" i="94" s="1"/>
  <c r="AC38" i="94" s="1"/>
  <c r="AC39" i="94" s="1"/>
  <c r="AC40" i="94" s="1"/>
  <c r="AG35" i="94"/>
  <c r="AF35" i="94"/>
  <c r="AG34" i="94"/>
  <c r="AF34" i="94"/>
  <c r="AG33" i="94"/>
  <c r="AF33" i="94"/>
  <c r="AE33" i="94"/>
  <c r="AE34" i="94" s="1"/>
  <c r="AE35" i="94" s="1"/>
  <c r="AD33" i="94"/>
  <c r="AD34" i="94" s="1"/>
  <c r="AD35" i="94" s="1"/>
  <c r="AG32" i="94"/>
  <c r="AF32" i="94"/>
  <c r="AE32" i="94"/>
  <c r="AD32" i="94"/>
  <c r="AG29" i="94"/>
  <c r="AG30" i="94" s="1"/>
  <c r="AG31" i="94" s="1"/>
  <c r="AF29" i="94"/>
  <c r="AF30" i="94" s="1"/>
  <c r="AF31" i="94" s="1"/>
  <c r="AE29" i="94"/>
  <c r="AE30" i="94" s="1"/>
  <c r="AE31" i="94" s="1"/>
  <c r="AD29" i="94"/>
  <c r="AD30" i="94" s="1"/>
  <c r="AD31" i="94" s="1"/>
  <c r="AG28" i="94"/>
  <c r="AF28" i="94"/>
  <c r="AE28" i="94"/>
  <c r="AD28" i="94"/>
  <c r="AG25" i="94"/>
  <c r="AG26" i="94" s="1"/>
  <c r="AG27" i="94" s="1"/>
  <c r="AF25" i="94"/>
  <c r="AF26" i="94" s="1"/>
  <c r="AF27" i="94" s="1"/>
  <c r="AE25" i="94"/>
  <c r="AE26" i="94" s="1"/>
  <c r="AE27" i="94" s="1"/>
  <c r="AD25" i="94"/>
  <c r="AD26" i="94" s="1"/>
  <c r="AD27" i="94" s="1"/>
  <c r="AG24" i="94"/>
  <c r="AF24" i="94"/>
  <c r="AE24" i="94"/>
  <c r="AD24" i="94"/>
  <c r="AG21" i="94"/>
  <c r="AG22" i="94" s="1"/>
  <c r="AG23" i="94" s="1"/>
  <c r="AF21" i="94"/>
  <c r="AF22" i="94" s="1"/>
  <c r="AF23" i="94" s="1"/>
  <c r="AE21" i="94"/>
  <c r="AE22" i="94" s="1"/>
  <c r="AE23" i="94" s="1"/>
  <c r="AD21" i="94"/>
  <c r="AD22" i="94" s="1"/>
  <c r="AD23" i="94" s="1"/>
  <c r="AC21" i="94"/>
  <c r="AC22" i="94" s="1"/>
  <c r="AC23" i="94" s="1"/>
  <c r="AC24" i="94" s="1"/>
  <c r="AC25" i="94" s="1"/>
  <c r="AC26" i="94" s="1"/>
  <c r="AC27" i="94" s="1"/>
  <c r="AC28" i="94" s="1"/>
  <c r="AC29" i="94" s="1"/>
  <c r="AC30" i="94" s="1"/>
  <c r="AC31" i="94" s="1"/>
  <c r="AC32" i="94" s="1"/>
  <c r="AC33" i="94" s="1"/>
  <c r="AC34" i="94" s="1"/>
  <c r="AC35" i="94" s="1"/>
  <c r="AG20" i="94"/>
  <c r="AF20" i="94"/>
  <c r="AG19" i="94"/>
  <c r="AF19" i="94"/>
  <c r="AG18" i="94"/>
  <c r="AF18" i="94"/>
  <c r="AG17" i="94"/>
  <c r="AF17" i="94"/>
  <c r="AE17" i="94"/>
  <c r="AE18" i="94" s="1"/>
  <c r="AE19" i="94" s="1"/>
  <c r="AE20" i="94" s="1"/>
  <c r="AG16" i="94"/>
  <c r="AF16" i="94"/>
  <c r="AE16" i="94"/>
  <c r="AD16" i="94"/>
  <c r="AD17" i="94" s="1"/>
  <c r="AD18" i="94" s="1"/>
  <c r="AD19" i="94" s="1"/>
  <c r="AD20" i="94" s="1"/>
  <c r="AG15" i="94"/>
  <c r="AF15" i="94"/>
  <c r="AG14" i="94"/>
  <c r="AF14" i="94"/>
  <c r="AG13" i="94"/>
  <c r="AF13" i="94"/>
  <c r="AG12" i="94"/>
  <c r="AF12" i="94"/>
  <c r="AG11" i="94"/>
  <c r="AF11" i="94"/>
  <c r="AE11" i="94"/>
  <c r="AE12" i="94" s="1"/>
  <c r="AE13" i="94" s="1"/>
  <c r="AE14" i="94" s="1"/>
  <c r="AE15" i="94" s="1"/>
  <c r="AD11" i="94"/>
  <c r="AD12" i="94" s="1"/>
  <c r="AD13" i="94" s="1"/>
  <c r="AD14" i="94" s="1"/>
  <c r="AD15" i="94" s="1"/>
  <c r="AG8" i="94"/>
  <c r="AG9" i="94" s="1"/>
  <c r="AG10" i="94" s="1"/>
  <c r="AF8" i="94"/>
  <c r="AF9" i="94" s="1"/>
  <c r="AF10" i="94" s="1"/>
  <c r="AE8" i="94"/>
  <c r="AE9" i="94" s="1"/>
  <c r="AE10" i="94" s="1"/>
  <c r="AD8" i="94"/>
  <c r="AD9" i="94" s="1"/>
  <c r="AD10" i="94" s="1"/>
  <c r="AC8" i="94"/>
  <c r="AC9" i="94" s="1"/>
  <c r="AC10" i="94" s="1"/>
  <c r="AC11" i="94" s="1"/>
  <c r="AC12" i="94" s="1"/>
  <c r="AC13" i="94" s="1"/>
  <c r="AC14" i="94" s="1"/>
  <c r="AC15" i="94" s="1"/>
  <c r="AC16" i="94" s="1"/>
  <c r="AC17" i="94" s="1"/>
  <c r="AC18" i="94" s="1"/>
  <c r="AC19" i="94" s="1"/>
  <c r="AC20" i="94" s="1"/>
  <c r="AG7" i="94"/>
  <c r="AF7" i="94"/>
  <c r="AE7" i="94"/>
  <c r="AD7" i="94"/>
  <c r="AG5" i="94"/>
  <c r="AG6" i="94" s="1"/>
  <c r="AF5" i="94"/>
  <c r="AF6" i="94" s="1"/>
  <c r="AE5" i="94"/>
  <c r="AE6" i="94" s="1"/>
  <c r="AD5" i="94"/>
  <c r="AD6" i="94" s="1"/>
  <c r="AC5" i="94"/>
  <c r="AC6" i="94" s="1"/>
  <c r="X47" i="94"/>
  <c r="V47" i="94"/>
  <c r="T47" i="94"/>
  <c r="P47" i="94"/>
  <c r="O47" i="94"/>
  <c r="N47" i="94"/>
  <c r="M47" i="94"/>
  <c r="V46" i="94"/>
  <c r="U46" i="94"/>
  <c r="T46" i="94"/>
  <c r="P46" i="94"/>
  <c r="O46" i="94"/>
  <c r="N46" i="94"/>
  <c r="M46" i="94"/>
  <c r="X45" i="94"/>
  <c r="V45" i="94"/>
  <c r="V49" i="94" s="1"/>
  <c r="U45" i="94"/>
  <c r="T45" i="94"/>
  <c r="P45" i="94"/>
  <c r="O45" i="94"/>
  <c r="O49" i="94" s="1"/>
  <c r="N45" i="94"/>
  <c r="N49" i="94" s="1"/>
  <c r="M45" i="94"/>
  <c r="AU52" i="93"/>
  <c r="AT52" i="93"/>
  <c r="AU51" i="93"/>
  <c r="AT51" i="93"/>
  <c r="AS51" i="93"/>
  <c r="AS52" i="93" s="1"/>
  <c r="AR51" i="93"/>
  <c r="AV51" i="93" s="1"/>
  <c r="AQ51" i="93"/>
  <c r="AQ52" i="93" s="1"/>
  <c r="AU50" i="93"/>
  <c r="AT50" i="93"/>
  <c r="AS50" i="93"/>
  <c r="AR50" i="93"/>
  <c r="AV50" i="93" s="1"/>
  <c r="AU49" i="93"/>
  <c r="AT49" i="93"/>
  <c r="AS49" i="93"/>
  <c r="AR49" i="93"/>
  <c r="AV49" i="93" s="1"/>
  <c r="AU46" i="93"/>
  <c r="AU47" i="93" s="1"/>
  <c r="AU48" i="93" s="1"/>
  <c r="AT46" i="93"/>
  <c r="AT47" i="93" s="1"/>
  <c r="AT48" i="93" s="1"/>
  <c r="AS46" i="93"/>
  <c r="AS47" i="93" s="1"/>
  <c r="AS48" i="93" s="1"/>
  <c r="AR46" i="93"/>
  <c r="AV46" i="93" s="1"/>
  <c r="AQ46" i="93"/>
  <c r="AQ47" i="93" s="1"/>
  <c r="AQ48" i="93" s="1"/>
  <c r="AQ49" i="93" s="1"/>
  <c r="AQ50" i="93" s="1"/>
  <c r="AU45" i="93"/>
  <c r="AT45" i="93"/>
  <c r="AU44" i="93"/>
  <c r="AT44" i="93"/>
  <c r="AU43" i="93"/>
  <c r="AT43" i="93"/>
  <c r="AS43" i="93"/>
  <c r="AS44" i="93" s="1"/>
  <c r="AS45" i="93" s="1"/>
  <c r="AR43" i="93"/>
  <c r="AV43" i="93" s="1"/>
  <c r="AU42" i="93"/>
  <c r="AT42" i="93"/>
  <c r="AS42" i="93"/>
  <c r="AR42" i="93"/>
  <c r="AV42" i="93" s="1"/>
  <c r="AT40" i="93"/>
  <c r="AT41" i="93" s="1"/>
  <c r="AU39" i="93"/>
  <c r="AU40" i="93" s="1"/>
  <c r="AU41" i="93" s="1"/>
  <c r="AT39" i="93"/>
  <c r="AS39" i="93"/>
  <c r="AS40" i="93" s="1"/>
  <c r="AS41" i="93" s="1"/>
  <c r="AR39" i="93"/>
  <c r="AV39" i="93" s="1"/>
  <c r="AU38" i="93"/>
  <c r="AT38" i="93"/>
  <c r="AS38" i="93"/>
  <c r="AR38" i="93"/>
  <c r="AV38" i="93" s="1"/>
  <c r="AU35" i="93"/>
  <c r="AU36" i="93" s="1"/>
  <c r="AU37" i="93" s="1"/>
  <c r="AT35" i="93"/>
  <c r="AT36" i="93" s="1"/>
  <c r="AT37" i="93" s="1"/>
  <c r="AS35" i="93"/>
  <c r="AS36" i="93" s="1"/>
  <c r="AS37" i="93" s="1"/>
  <c r="AR35" i="93"/>
  <c r="AR36" i="93" s="1"/>
  <c r="AU34" i="93"/>
  <c r="AT34" i="93"/>
  <c r="AS34" i="93"/>
  <c r="AR34" i="93"/>
  <c r="AV34" i="93" s="1"/>
  <c r="AU31" i="93"/>
  <c r="AU32" i="93" s="1"/>
  <c r="AU33" i="93" s="1"/>
  <c r="AT31" i="93"/>
  <c r="AT32" i="93" s="1"/>
  <c r="AT33" i="93" s="1"/>
  <c r="AS31" i="93"/>
  <c r="AS32" i="93" s="1"/>
  <c r="AS33" i="93" s="1"/>
  <c r="AR31" i="93"/>
  <c r="AV31" i="93" s="1"/>
  <c r="AQ31" i="93"/>
  <c r="AQ32" i="93" s="1"/>
  <c r="AQ33" i="93" s="1"/>
  <c r="AQ34" i="93" s="1"/>
  <c r="AQ35" i="93" s="1"/>
  <c r="AQ36" i="93" s="1"/>
  <c r="AQ37" i="93" s="1"/>
  <c r="AQ38" i="93" s="1"/>
  <c r="AQ39" i="93" s="1"/>
  <c r="AQ40" i="93" s="1"/>
  <c r="AQ41" i="93" s="1"/>
  <c r="AQ42" i="93" s="1"/>
  <c r="AQ43" i="93" s="1"/>
  <c r="AQ44" i="93" s="1"/>
  <c r="AQ45" i="93" s="1"/>
  <c r="AU30" i="93"/>
  <c r="AT30" i="93"/>
  <c r="AU29" i="93"/>
  <c r="AT29" i="93"/>
  <c r="AU28" i="93"/>
  <c r="AT28" i="93"/>
  <c r="AU27" i="93"/>
  <c r="AT27" i="93"/>
  <c r="AU26" i="93"/>
  <c r="AT26" i="93"/>
  <c r="AS26" i="93"/>
  <c r="AS27" i="93" s="1"/>
  <c r="AS28" i="93" s="1"/>
  <c r="AS29" i="93" s="1"/>
  <c r="AS30" i="93" s="1"/>
  <c r="AR26" i="93"/>
  <c r="AV26" i="93" s="1"/>
  <c r="AU25" i="93"/>
  <c r="AT25" i="93"/>
  <c r="AU24" i="93"/>
  <c r="AT24" i="93"/>
  <c r="AU23" i="93"/>
  <c r="AT23" i="93"/>
  <c r="AU22" i="93"/>
  <c r="AT22" i="93"/>
  <c r="AU21" i="93"/>
  <c r="AT21" i="93"/>
  <c r="AS21" i="93"/>
  <c r="AS22" i="93" s="1"/>
  <c r="AS23" i="93" s="1"/>
  <c r="AS24" i="93" s="1"/>
  <c r="AS25" i="93" s="1"/>
  <c r="AR21" i="93"/>
  <c r="AR22" i="93" s="1"/>
  <c r="AQ21" i="93"/>
  <c r="AQ22" i="93" s="1"/>
  <c r="AQ23" i="93" s="1"/>
  <c r="AQ24" i="93" s="1"/>
  <c r="AQ25" i="93" s="1"/>
  <c r="AQ26" i="93" s="1"/>
  <c r="AQ27" i="93" s="1"/>
  <c r="AQ28" i="93" s="1"/>
  <c r="AQ29" i="93" s="1"/>
  <c r="AQ30" i="93" s="1"/>
  <c r="AU18" i="93"/>
  <c r="AU19" i="93" s="1"/>
  <c r="AU20" i="93" s="1"/>
  <c r="AT18" i="93"/>
  <c r="AT19" i="93" s="1"/>
  <c r="AT20" i="93" s="1"/>
  <c r="AS18" i="93"/>
  <c r="AS19" i="93" s="1"/>
  <c r="AS20" i="93" s="1"/>
  <c r="AR18" i="93"/>
  <c r="AV18" i="93" s="1"/>
  <c r="AQ18" i="93"/>
  <c r="AQ19" i="93" s="1"/>
  <c r="AQ20" i="93" s="1"/>
  <c r="AU17" i="93"/>
  <c r="AQ17" i="93"/>
  <c r="AU16" i="93"/>
  <c r="AT16" i="93"/>
  <c r="AT17" i="93" s="1"/>
  <c r="AS16" i="93"/>
  <c r="AS17" i="93" s="1"/>
  <c r="AR16" i="93"/>
  <c r="AV16" i="93" s="1"/>
  <c r="AQ16" i="93"/>
  <c r="AU14" i="93"/>
  <c r="AU15" i="93" s="1"/>
  <c r="AU11" i="93"/>
  <c r="AU12" i="93" s="1"/>
  <c r="AU13" i="93" s="1"/>
  <c r="AT11" i="93"/>
  <c r="AT12" i="93" s="1"/>
  <c r="AT13" i="93" s="1"/>
  <c r="AT14" i="93" s="1"/>
  <c r="AT15" i="93" s="1"/>
  <c r="AS11" i="93"/>
  <c r="AS12" i="93" s="1"/>
  <c r="AS13" i="93" s="1"/>
  <c r="AS14" i="93" s="1"/>
  <c r="AS15" i="93" s="1"/>
  <c r="AR11" i="93"/>
  <c r="AR12" i="93" s="1"/>
  <c r="AU10" i="93"/>
  <c r="AT10" i="93"/>
  <c r="AS10" i="93"/>
  <c r="AR10" i="93"/>
  <c r="AV10" i="93" s="1"/>
  <c r="AU9" i="93"/>
  <c r="AS8" i="93"/>
  <c r="AS9" i="93" s="1"/>
  <c r="AU6" i="93"/>
  <c r="AU7" i="93" s="1"/>
  <c r="AU8" i="93" s="1"/>
  <c r="AT6" i="93"/>
  <c r="AT7" i="93" s="1"/>
  <c r="AT8" i="93" s="1"/>
  <c r="AT9" i="93" s="1"/>
  <c r="AS6" i="93"/>
  <c r="AS7" i="93" s="1"/>
  <c r="AR6" i="93"/>
  <c r="AV6" i="93" s="1"/>
  <c r="AQ6" i="93"/>
  <c r="AQ7" i="93" s="1"/>
  <c r="AU5" i="93"/>
  <c r="AT5" i="93"/>
  <c r="AS5" i="93"/>
  <c r="AR5" i="93"/>
  <c r="AV5" i="93" s="1"/>
  <c r="AQ5" i="93"/>
  <c r="AW5" i="93" s="1"/>
  <c r="AL58" i="93"/>
  <c r="AG58" i="93"/>
  <c r="AD58" i="93"/>
  <c r="AB58" i="93"/>
  <c r="T58" i="93"/>
  <c r="AK57" i="93"/>
  <c r="AF57" i="93"/>
  <c r="AE57" i="93"/>
  <c r="AC57" i="93"/>
  <c r="Y57" i="93"/>
  <c r="X57" i="93"/>
  <c r="W57" i="93"/>
  <c r="S57" i="93"/>
  <c r="R57" i="93"/>
  <c r="Q57" i="93"/>
  <c r="P57" i="93"/>
  <c r="O57" i="93"/>
  <c r="M57" i="93"/>
  <c r="L57" i="93"/>
  <c r="AK56" i="93"/>
  <c r="AF56" i="93"/>
  <c r="AP55" i="93" s="1"/>
  <c r="AC56" i="93"/>
  <c r="AA56" i="93"/>
  <c r="Z56" i="93"/>
  <c r="Y56" i="93"/>
  <c r="X56" i="93"/>
  <c r="W56" i="93"/>
  <c r="V56" i="93"/>
  <c r="U56" i="93"/>
  <c r="S56" i="93"/>
  <c r="R56" i="93"/>
  <c r="Q56" i="93"/>
  <c r="P56" i="93"/>
  <c r="O56" i="93"/>
  <c r="M56" i="93"/>
  <c r="L56" i="93"/>
  <c r="F14" i="92"/>
  <c r="J14" i="92" s="1"/>
  <c r="F13" i="92"/>
  <c r="J13" i="92" s="1"/>
  <c r="F12" i="92"/>
  <c r="J12" i="92" s="1"/>
  <c r="F11" i="92"/>
  <c r="J11" i="92" s="1"/>
  <c r="F10" i="92"/>
  <c r="J10" i="92" s="1"/>
  <c r="F9" i="92"/>
  <c r="J9" i="92" s="1"/>
  <c r="F8" i="92"/>
  <c r="J8" i="92" s="1"/>
  <c r="F7" i="92"/>
  <c r="J7" i="92" s="1"/>
  <c r="F6" i="92"/>
  <c r="J6" i="92" s="1"/>
  <c r="F5" i="92"/>
  <c r="J5" i="92" s="1"/>
  <c r="AE13" i="91"/>
  <c r="AD13" i="91"/>
  <c r="AC13" i="91"/>
  <c r="AB13" i="91"/>
  <c r="AA13" i="91"/>
  <c r="W13" i="91"/>
  <c r="V13" i="91"/>
  <c r="U13" i="91"/>
  <c r="AI13" i="91" s="1"/>
  <c r="T13" i="91"/>
  <c r="S13" i="91"/>
  <c r="R13" i="91"/>
  <c r="X13" i="91" s="1"/>
  <c r="AF13" i="91" s="1"/>
  <c r="AE12" i="91"/>
  <c r="AD12" i="91"/>
  <c r="AE8" i="91"/>
  <c r="AD8" i="91"/>
  <c r="AC8" i="91"/>
  <c r="AB8" i="91"/>
  <c r="AA8" i="91"/>
  <c r="W8" i="91"/>
  <c r="V8" i="91"/>
  <c r="U8" i="91"/>
  <c r="AI8" i="91" s="1"/>
  <c r="T8" i="91"/>
  <c r="S8" i="91"/>
  <c r="R8" i="91"/>
  <c r="X8" i="91" s="1"/>
  <c r="AE6" i="91"/>
  <c r="AD6" i="91"/>
  <c r="AC6" i="91"/>
  <c r="AB6" i="91"/>
  <c r="AA6" i="91"/>
  <c r="W6" i="91"/>
  <c r="V6" i="91"/>
  <c r="U6" i="91"/>
  <c r="T6" i="91"/>
  <c r="S6" i="91"/>
  <c r="R6" i="91"/>
  <c r="AE4" i="91"/>
  <c r="AD4" i="91"/>
  <c r="AI4" i="91" s="1"/>
  <c r="AC4" i="91"/>
  <c r="AB4" i="91"/>
  <c r="AA4" i="91"/>
  <c r="W4" i="91"/>
  <c r="V4" i="91"/>
  <c r="U4" i="91"/>
  <c r="T4" i="91"/>
  <c r="S4" i="91"/>
  <c r="R4" i="91"/>
  <c r="X4" i="91" s="1"/>
  <c r="AE3" i="91"/>
  <c r="AD3" i="91"/>
  <c r="AC3" i="91"/>
  <c r="AB3" i="91"/>
  <c r="AA3" i="91"/>
  <c r="W3" i="91"/>
  <c r="V3" i="91"/>
  <c r="U3" i="91"/>
  <c r="T3" i="91"/>
  <c r="S3" i="91"/>
  <c r="R3" i="91"/>
  <c r="J909" i="91"/>
  <c r="M909" i="91" s="1"/>
  <c r="J908" i="91"/>
  <c r="J907" i="91"/>
  <c r="M907" i="91" s="1"/>
  <c r="J906" i="91"/>
  <c r="M906" i="91" s="1"/>
  <c r="J905" i="91"/>
  <c r="M905" i="91" s="1"/>
  <c r="J904" i="91"/>
  <c r="J903" i="91"/>
  <c r="J902" i="91"/>
  <c r="M902" i="91" s="1"/>
  <c r="J901" i="91"/>
  <c r="M901" i="91" s="1"/>
  <c r="J900" i="91"/>
  <c r="J899" i="91"/>
  <c r="M899" i="91" s="1"/>
  <c r="J898" i="91"/>
  <c r="M898" i="91" s="1"/>
  <c r="J504" i="91"/>
  <c r="M504" i="91" s="1"/>
  <c r="J503" i="91"/>
  <c r="J502" i="91"/>
  <c r="J501" i="91"/>
  <c r="M501" i="91" s="1"/>
  <c r="J500" i="91"/>
  <c r="M500" i="91" s="1"/>
  <c r="J499" i="91"/>
  <c r="J498" i="91"/>
  <c r="M498" i="91" s="1"/>
  <c r="J497" i="91"/>
  <c r="M497" i="91" s="1"/>
  <c r="J496" i="91"/>
  <c r="M496" i="91" s="1"/>
  <c r="J495" i="91"/>
  <c r="J494" i="91"/>
  <c r="J493" i="91"/>
  <c r="M493" i="91" s="1"/>
  <c r="J492" i="91"/>
  <c r="M492" i="91" s="1"/>
  <c r="L491" i="91"/>
  <c r="K491" i="91"/>
  <c r="N491" i="91" s="1"/>
  <c r="L490" i="91"/>
  <c r="O490" i="91" s="1"/>
  <c r="K490" i="91"/>
  <c r="N490" i="91" s="1"/>
  <c r="L489" i="91"/>
  <c r="K489" i="91"/>
  <c r="L488" i="91"/>
  <c r="O488" i="91" s="1"/>
  <c r="K488" i="91"/>
  <c r="N488" i="91" s="1"/>
  <c r="L487" i="91"/>
  <c r="K487" i="91"/>
  <c r="N487" i="91" s="1"/>
  <c r="L486" i="91"/>
  <c r="O486" i="91" s="1"/>
  <c r="K486" i="91"/>
  <c r="N486" i="91" s="1"/>
  <c r="L485" i="91"/>
  <c r="K485" i="91"/>
  <c r="L484" i="91"/>
  <c r="O484" i="91" s="1"/>
  <c r="K484" i="91"/>
  <c r="N484" i="91" s="1"/>
  <c r="L483" i="91"/>
  <c r="K483" i="91"/>
  <c r="N483" i="91" s="1"/>
  <c r="L482" i="91"/>
  <c r="O482" i="91" s="1"/>
  <c r="K482" i="91"/>
  <c r="N482" i="91" s="1"/>
  <c r="L481" i="91"/>
  <c r="K481" i="91"/>
  <c r="L480" i="91"/>
  <c r="O480" i="91" s="1"/>
  <c r="K480" i="91"/>
  <c r="N480" i="91" s="1"/>
  <c r="L479" i="91"/>
  <c r="K479" i="91"/>
  <c r="N479" i="91" s="1"/>
  <c r="J478" i="91"/>
  <c r="M478" i="91" s="1"/>
  <c r="J477" i="91"/>
  <c r="M477" i="91" s="1"/>
  <c r="J476" i="91"/>
  <c r="J475" i="91"/>
  <c r="J474" i="91"/>
  <c r="M474" i="91" s="1"/>
  <c r="J473" i="91"/>
  <c r="M473" i="91" s="1"/>
  <c r="J472" i="91"/>
  <c r="J471" i="91"/>
  <c r="M471" i="91" s="1"/>
  <c r="J470" i="91"/>
  <c r="M470" i="91" s="1"/>
  <c r="J469" i="91"/>
  <c r="M469" i="91" s="1"/>
  <c r="J468" i="91"/>
  <c r="J467" i="91"/>
  <c r="J466" i="91"/>
  <c r="M466" i="91" s="1"/>
  <c r="J465" i="91"/>
  <c r="M465" i="91" s="1"/>
  <c r="J464" i="91"/>
  <c r="J463" i="91"/>
  <c r="M463" i="91" s="1"/>
  <c r="J462" i="91"/>
  <c r="M462" i="91" s="1"/>
  <c r="J461" i="91"/>
  <c r="M461" i="91" s="1"/>
  <c r="J460" i="91"/>
  <c r="J459" i="91"/>
  <c r="J458" i="91"/>
  <c r="M458" i="91" s="1"/>
  <c r="J457" i="91"/>
  <c r="M457" i="91" s="1"/>
  <c r="J456" i="91"/>
  <c r="J455" i="91"/>
  <c r="M455" i="91" s="1"/>
  <c r="J454" i="91"/>
  <c r="M454" i="91" s="1"/>
  <c r="J453" i="91"/>
  <c r="M453" i="91" s="1"/>
  <c r="J452" i="91"/>
  <c r="J451" i="91"/>
  <c r="J450" i="91"/>
  <c r="M450" i="91" s="1"/>
  <c r="J449" i="91"/>
  <c r="M449" i="91" s="1"/>
  <c r="J448" i="91"/>
  <c r="J447" i="91"/>
  <c r="M447" i="91" s="1"/>
  <c r="J446" i="91"/>
  <c r="M446" i="91" s="1"/>
  <c r="J445" i="91"/>
  <c r="M445" i="91" s="1"/>
  <c r="J444" i="91"/>
  <c r="J443" i="91"/>
  <c r="L442" i="91"/>
  <c r="O442" i="91" s="1"/>
  <c r="K442" i="91"/>
  <c r="N442" i="91" s="1"/>
  <c r="L441" i="91"/>
  <c r="K441" i="91"/>
  <c r="N441" i="91" s="1"/>
  <c r="L440" i="91"/>
  <c r="O440" i="91" s="1"/>
  <c r="K440" i="91"/>
  <c r="N440" i="91" s="1"/>
  <c r="L439" i="91"/>
  <c r="K439" i="91"/>
  <c r="L438" i="91"/>
  <c r="O438" i="91" s="1"/>
  <c r="K438" i="91"/>
  <c r="N438" i="91" s="1"/>
  <c r="L437" i="91"/>
  <c r="K437" i="91"/>
  <c r="L436" i="91"/>
  <c r="O436" i="91" s="1"/>
  <c r="K436" i="91"/>
  <c r="N436" i="91" s="1"/>
  <c r="L435" i="91"/>
  <c r="K435" i="91"/>
  <c r="L434" i="91"/>
  <c r="O434" i="91" s="1"/>
  <c r="K434" i="91"/>
  <c r="N434" i="91" s="1"/>
  <c r="L433" i="91"/>
  <c r="K433" i="91"/>
  <c r="L432" i="91"/>
  <c r="O432" i="91" s="1"/>
  <c r="K432" i="91"/>
  <c r="N432" i="91" s="1"/>
  <c r="L431" i="91"/>
  <c r="K431" i="91"/>
  <c r="L430" i="91"/>
  <c r="O430" i="91" s="1"/>
  <c r="K430" i="91"/>
  <c r="N430" i="91" s="1"/>
  <c r="L429" i="91"/>
  <c r="K429" i="91"/>
  <c r="L428" i="91"/>
  <c r="O428" i="91" s="1"/>
  <c r="K428" i="91"/>
  <c r="N428" i="91" s="1"/>
  <c r="L427" i="91"/>
  <c r="K427" i="91"/>
  <c r="L426" i="91"/>
  <c r="O426" i="91" s="1"/>
  <c r="K426" i="91"/>
  <c r="N426" i="91" s="1"/>
  <c r="L425" i="91"/>
  <c r="K425" i="91"/>
  <c r="L424" i="91"/>
  <c r="O424" i="91" s="1"/>
  <c r="K424" i="91"/>
  <c r="N424" i="91" s="1"/>
  <c r="L423" i="91"/>
  <c r="K423" i="91"/>
  <c r="L422" i="91"/>
  <c r="O422" i="91" s="1"/>
  <c r="K422" i="91"/>
  <c r="N422" i="91" s="1"/>
  <c r="L421" i="91"/>
  <c r="K421" i="91"/>
  <c r="L420" i="91"/>
  <c r="O420" i="91" s="1"/>
  <c r="K420" i="91"/>
  <c r="N420" i="91" s="1"/>
  <c r="J419" i="91"/>
  <c r="J418" i="91"/>
  <c r="J417" i="91"/>
  <c r="M417" i="91" s="1"/>
  <c r="J416" i="91"/>
  <c r="M416" i="91" s="1"/>
  <c r="J415" i="91"/>
  <c r="J414" i="91"/>
  <c r="J413" i="91"/>
  <c r="M413" i="91" s="1"/>
  <c r="J412" i="91"/>
  <c r="M412" i="91" s="1"/>
  <c r="J411" i="91"/>
  <c r="J410" i="91"/>
  <c r="J409" i="91"/>
  <c r="M409" i="91" s="1"/>
  <c r="J408" i="91"/>
  <c r="M408" i="91" s="1"/>
  <c r="J407" i="91"/>
  <c r="J406" i="91"/>
  <c r="J405" i="91"/>
  <c r="M405" i="91" s="1"/>
  <c r="J404" i="91"/>
  <c r="M404" i="91" s="1"/>
  <c r="J403" i="91"/>
  <c r="J402" i="91"/>
  <c r="J401" i="91"/>
  <c r="M401" i="91" s="1"/>
  <c r="J400" i="91"/>
  <c r="M400" i="91" s="1"/>
  <c r="J399" i="91"/>
  <c r="J398" i="91"/>
  <c r="J397" i="91"/>
  <c r="M397" i="91" s="1"/>
  <c r="J396" i="91"/>
  <c r="M396" i="91" s="1"/>
  <c r="J395" i="91"/>
  <c r="J394" i="91"/>
  <c r="J393" i="91"/>
  <c r="M393" i="91" s="1"/>
  <c r="J392" i="91"/>
  <c r="M392" i="91" s="1"/>
  <c r="J391" i="91"/>
  <c r="J390" i="91"/>
  <c r="J389" i="91"/>
  <c r="M389" i="91" s="1"/>
  <c r="J388" i="91"/>
  <c r="M388" i="91" s="1"/>
  <c r="J387" i="91"/>
  <c r="J386" i="91"/>
  <c r="J385" i="91"/>
  <c r="M385" i="91" s="1"/>
  <c r="J921" i="91"/>
  <c r="M921" i="91" s="1"/>
  <c r="J920" i="91"/>
  <c r="M920" i="91" s="1"/>
  <c r="J919" i="91"/>
  <c r="M919" i="91" s="1"/>
  <c r="J918" i="91"/>
  <c r="M918" i="91" s="1"/>
  <c r="J917" i="91"/>
  <c r="M917" i="91" s="1"/>
  <c r="J916" i="91"/>
  <c r="M916" i="91" s="1"/>
  <c r="J915" i="91"/>
  <c r="M915" i="91" s="1"/>
  <c r="M914" i="91"/>
  <c r="J914" i="91"/>
  <c r="J913" i="91"/>
  <c r="M913" i="91" s="1"/>
  <c r="J912" i="91"/>
  <c r="M912" i="91" s="1"/>
  <c r="J911" i="91"/>
  <c r="M911" i="91" s="1"/>
  <c r="J910" i="91"/>
  <c r="M910" i="91" s="1"/>
  <c r="M908" i="91"/>
  <c r="M904" i="91"/>
  <c r="M903" i="91"/>
  <c r="M900" i="91"/>
  <c r="J897" i="91"/>
  <c r="M897" i="91" s="1"/>
  <c r="M896" i="91"/>
  <c r="J896" i="91"/>
  <c r="J895" i="91"/>
  <c r="M895" i="91" s="1"/>
  <c r="J894" i="91"/>
  <c r="M894" i="91" s="1"/>
  <c r="M893" i="91"/>
  <c r="J893" i="91"/>
  <c r="J892" i="91"/>
  <c r="M892" i="91" s="1"/>
  <c r="M891" i="91"/>
  <c r="J891" i="91"/>
  <c r="J890" i="91"/>
  <c r="M890" i="91" s="1"/>
  <c r="J889" i="91"/>
  <c r="M889" i="91" s="1"/>
  <c r="J888" i="91"/>
  <c r="M888" i="91" s="1"/>
  <c r="J887" i="91"/>
  <c r="M887" i="91" s="1"/>
  <c r="J886" i="91"/>
  <c r="M886" i="91" s="1"/>
  <c r="M885" i="91"/>
  <c r="J885" i="91"/>
  <c r="J884" i="91"/>
  <c r="M884" i="91" s="1"/>
  <c r="M883" i="91"/>
  <c r="J883" i="91"/>
  <c r="J882" i="91"/>
  <c r="M882" i="91" s="1"/>
  <c r="J881" i="91"/>
  <c r="M881" i="91" s="1"/>
  <c r="M880" i="91"/>
  <c r="J880" i="91"/>
  <c r="J879" i="91"/>
  <c r="M879" i="91" s="1"/>
  <c r="J878" i="91"/>
  <c r="M878" i="91" s="1"/>
  <c r="M877" i="91"/>
  <c r="J877" i="91"/>
  <c r="J876" i="91"/>
  <c r="M876" i="91" s="1"/>
  <c r="J875" i="91"/>
  <c r="M875" i="91" s="1"/>
  <c r="J874" i="91"/>
  <c r="M874" i="91" s="1"/>
  <c r="J873" i="91"/>
  <c r="M873" i="91" s="1"/>
  <c r="J872" i="91"/>
  <c r="M872" i="91" s="1"/>
  <c r="J871" i="91"/>
  <c r="M871" i="91" s="1"/>
  <c r="J870" i="91"/>
  <c r="M870" i="91" s="1"/>
  <c r="M869" i="91"/>
  <c r="J869" i="91"/>
  <c r="M868" i="91"/>
  <c r="J868" i="91"/>
  <c r="M867" i="91"/>
  <c r="J867" i="91"/>
  <c r="J866" i="91"/>
  <c r="M866" i="91" s="1"/>
  <c r="J865" i="91"/>
  <c r="M865" i="91" s="1"/>
  <c r="M864" i="91"/>
  <c r="J864" i="91"/>
  <c r="J863" i="91"/>
  <c r="M863" i="91" s="1"/>
  <c r="J862" i="91"/>
  <c r="M862" i="91" s="1"/>
  <c r="J861" i="91"/>
  <c r="M861" i="91" s="1"/>
  <c r="J860" i="91"/>
  <c r="M860" i="91" s="1"/>
  <c r="J859" i="91"/>
  <c r="M859" i="91" s="1"/>
  <c r="J858" i="91"/>
  <c r="M858" i="91" s="1"/>
  <c r="J857" i="91"/>
  <c r="M857" i="91" s="1"/>
  <c r="J856" i="91"/>
  <c r="M856" i="91" s="1"/>
  <c r="J855" i="91"/>
  <c r="M855" i="91" s="1"/>
  <c r="J854" i="91"/>
  <c r="M854" i="91" s="1"/>
  <c r="J853" i="91"/>
  <c r="M853" i="91" s="1"/>
  <c r="J852" i="91"/>
  <c r="M852" i="91" s="1"/>
  <c r="J851" i="91"/>
  <c r="M851" i="91" s="1"/>
  <c r="J850" i="91"/>
  <c r="M850" i="91" s="1"/>
  <c r="J849" i="91"/>
  <c r="M849" i="91" s="1"/>
  <c r="J848" i="91"/>
  <c r="M848" i="91" s="1"/>
  <c r="J847" i="91"/>
  <c r="M847" i="91" s="1"/>
  <c r="J846" i="91"/>
  <c r="M846" i="91" s="1"/>
  <c r="J845" i="91"/>
  <c r="M845" i="91" s="1"/>
  <c r="J844" i="91"/>
  <c r="M844" i="91" s="1"/>
  <c r="J843" i="91"/>
  <c r="M843" i="91" s="1"/>
  <c r="J842" i="91"/>
  <c r="M842" i="91" s="1"/>
  <c r="J841" i="91"/>
  <c r="M841" i="91" s="1"/>
  <c r="J840" i="91"/>
  <c r="M840" i="91" s="1"/>
  <c r="J839" i="91"/>
  <c r="M839" i="91" s="1"/>
  <c r="J838" i="91"/>
  <c r="M838" i="91" s="1"/>
  <c r="J837" i="91"/>
  <c r="M837" i="91" s="1"/>
  <c r="J836" i="91"/>
  <c r="M836" i="91" s="1"/>
  <c r="J835" i="91"/>
  <c r="M835" i="91" s="1"/>
  <c r="J834" i="91"/>
  <c r="M834" i="91" s="1"/>
  <c r="J833" i="91"/>
  <c r="M833" i="91" s="1"/>
  <c r="J832" i="91"/>
  <c r="M832" i="91" s="1"/>
  <c r="J831" i="91"/>
  <c r="M831" i="91" s="1"/>
  <c r="J830" i="91"/>
  <c r="M830" i="91" s="1"/>
  <c r="J829" i="91"/>
  <c r="M829" i="91" s="1"/>
  <c r="J828" i="91"/>
  <c r="M828" i="91" s="1"/>
  <c r="J827" i="91"/>
  <c r="M827" i="91" s="1"/>
  <c r="J826" i="91"/>
  <c r="M826" i="91" s="1"/>
  <c r="J825" i="91"/>
  <c r="M825" i="91" s="1"/>
  <c r="J824" i="91"/>
  <c r="M824" i="91" s="1"/>
  <c r="J823" i="91"/>
  <c r="M823" i="91" s="1"/>
  <c r="J822" i="91"/>
  <c r="M822" i="91" s="1"/>
  <c r="J821" i="91"/>
  <c r="M821" i="91" s="1"/>
  <c r="J820" i="91"/>
  <c r="M820" i="91" s="1"/>
  <c r="J819" i="91"/>
  <c r="M819" i="91" s="1"/>
  <c r="J818" i="91"/>
  <c r="M818" i="91" s="1"/>
  <c r="J817" i="91"/>
  <c r="M817" i="91" s="1"/>
  <c r="J816" i="91"/>
  <c r="M816" i="91" s="1"/>
  <c r="J815" i="91"/>
  <c r="M815" i="91" s="1"/>
  <c r="J814" i="91"/>
  <c r="M814" i="91" s="1"/>
  <c r="J813" i="91"/>
  <c r="M813" i="91" s="1"/>
  <c r="J812" i="91"/>
  <c r="M812" i="91" s="1"/>
  <c r="J811" i="91"/>
  <c r="M811" i="91" s="1"/>
  <c r="J810" i="91"/>
  <c r="M810" i="91" s="1"/>
  <c r="J809" i="91"/>
  <c r="M809" i="91" s="1"/>
  <c r="J808" i="91"/>
  <c r="M808" i="91" s="1"/>
  <c r="J807" i="91"/>
  <c r="M807" i="91" s="1"/>
  <c r="J806" i="91"/>
  <c r="M806" i="91" s="1"/>
  <c r="J805" i="91"/>
  <c r="M805" i="91" s="1"/>
  <c r="J804" i="91"/>
  <c r="M804" i="91" s="1"/>
  <c r="J803" i="91"/>
  <c r="M803" i="91" s="1"/>
  <c r="J802" i="91"/>
  <c r="M802" i="91" s="1"/>
  <c r="J801" i="91"/>
  <c r="M801" i="91" s="1"/>
  <c r="J800" i="91"/>
  <c r="M800" i="91" s="1"/>
  <c r="J799" i="91"/>
  <c r="M799" i="91" s="1"/>
  <c r="J798" i="91"/>
  <c r="M798" i="91" s="1"/>
  <c r="J797" i="91"/>
  <c r="M797" i="91" s="1"/>
  <c r="J796" i="91"/>
  <c r="M796" i="91" s="1"/>
  <c r="J795" i="91"/>
  <c r="M795" i="91" s="1"/>
  <c r="J794" i="91"/>
  <c r="M794" i="91" s="1"/>
  <c r="J793" i="91"/>
  <c r="M793" i="91" s="1"/>
  <c r="J792" i="91"/>
  <c r="M792" i="91" s="1"/>
  <c r="J791" i="91"/>
  <c r="M791" i="91" s="1"/>
  <c r="J790" i="91"/>
  <c r="M790" i="91" s="1"/>
  <c r="J789" i="91"/>
  <c r="M789" i="91" s="1"/>
  <c r="J788" i="91"/>
  <c r="M788" i="91" s="1"/>
  <c r="J787" i="91"/>
  <c r="M787" i="91" s="1"/>
  <c r="J786" i="91"/>
  <c r="M786" i="91" s="1"/>
  <c r="J785" i="91"/>
  <c r="M785" i="91" s="1"/>
  <c r="J784" i="91"/>
  <c r="M784" i="91" s="1"/>
  <c r="J783" i="91"/>
  <c r="M783" i="91" s="1"/>
  <c r="J782" i="91"/>
  <c r="M782" i="91" s="1"/>
  <c r="J781" i="91"/>
  <c r="M781" i="91" s="1"/>
  <c r="M780" i="91"/>
  <c r="J780" i="91"/>
  <c r="J779" i="91"/>
  <c r="M779" i="91" s="1"/>
  <c r="J778" i="91"/>
  <c r="M778" i="91" s="1"/>
  <c r="J777" i="91"/>
  <c r="M777" i="91" s="1"/>
  <c r="M776" i="91"/>
  <c r="J776" i="91"/>
  <c r="J775" i="91"/>
  <c r="M775" i="91" s="1"/>
  <c r="M774" i="91"/>
  <c r="J774" i="91"/>
  <c r="J773" i="91"/>
  <c r="M773" i="91" s="1"/>
  <c r="M772" i="91"/>
  <c r="J772" i="91"/>
  <c r="J771" i="91"/>
  <c r="J770" i="91"/>
  <c r="M770" i="91" s="1"/>
  <c r="J769" i="91"/>
  <c r="M769" i="91" s="1"/>
  <c r="M768" i="91"/>
  <c r="J768" i="91"/>
  <c r="J767" i="91"/>
  <c r="M767" i="91" s="1"/>
  <c r="M766" i="91"/>
  <c r="J766" i="91"/>
  <c r="J765" i="91"/>
  <c r="M765" i="91" s="1"/>
  <c r="J764" i="91"/>
  <c r="M764" i="91" s="1"/>
  <c r="J763" i="91"/>
  <c r="M763" i="91" s="1"/>
  <c r="J762" i="91"/>
  <c r="M762" i="91" s="1"/>
  <c r="J761" i="91"/>
  <c r="M761" i="91" s="1"/>
  <c r="M760" i="91"/>
  <c r="J760" i="91"/>
  <c r="J759" i="91"/>
  <c r="M759" i="91" s="1"/>
  <c r="J758" i="91"/>
  <c r="M758" i="91" s="1"/>
  <c r="J757" i="91"/>
  <c r="M757" i="91" s="1"/>
  <c r="J756" i="91"/>
  <c r="M756" i="91" s="1"/>
  <c r="J755" i="91"/>
  <c r="M755" i="91" s="1"/>
  <c r="J754" i="91"/>
  <c r="M754" i="91" s="1"/>
  <c r="J753" i="91"/>
  <c r="M753" i="91" s="1"/>
  <c r="M752" i="91"/>
  <c r="J752" i="91"/>
  <c r="J751" i="91"/>
  <c r="M751" i="91" s="1"/>
  <c r="J750" i="91"/>
  <c r="M750" i="91" s="1"/>
  <c r="J749" i="91"/>
  <c r="M749" i="91" s="1"/>
  <c r="M748" i="91"/>
  <c r="J748" i="91"/>
  <c r="J747" i="91"/>
  <c r="M747" i="91" s="1"/>
  <c r="J746" i="91"/>
  <c r="M746" i="91" s="1"/>
  <c r="J745" i="91"/>
  <c r="M745" i="91" s="1"/>
  <c r="M744" i="91"/>
  <c r="J744" i="91"/>
  <c r="J743" i="91"/>
  <c r="M743" i="91" s="1"/>
  <c r="M742" i="91"/>
  <c r="J742" i="91"/>
  <c r="J741" i="91"/>
  <c r="M741" i="91" s="1"/>
  <c r="M740" i="91"/>
  <c r="J740" i="91"/>
  <c r="J739" i="91"/>
  <c r="M739" i="91" s="1"/>
  <c r="J738" i="91"/>
  <c r="M738" i="91" s="1"/>
  <c r="J737" i="91"/>
  <c r="M737" i="91" s="1"/>
  <c r="M736" i="91"/>
  <c r="J736" i="91"/>
  <c r="J735" i="91"/>
  <c r="M735" i="91" s="1"/>
  <c r="M734" i="91"/>
  <c r="J734" i="91"/>
  <c r="J733" i="91"/>
  <c r="M733" i="91" s="1"/>
  <c r="J732" i="91"/>
  <c r="M732" i="91" s="1"/>
  <c r="J731" i="91"/>
  <c r="M731" i="91" s="1"/>
  <c r="J730" i="91"/>
  <c r="M730" i="91" s="1"/>
  <c r="J729" i="91"/>
  <c r="M729" i="91" s="1"/>
  <c r="M728" i="91"/>
  <c r="J728" i="91"/>
  <c r="J727" i="91"/>
  <c r="M727" i="91" s="1"/>
  <c r="J726" i="91"/>
  <c r="M726" i="91" s="1"/>
  <c r="J725" i="91"/>
  <c r="M725" i="91" s="1"/>
  <c r="J724" i="91"/>
  <c r="M724" i="91" s="1"/>
  <c r="J723" i="91"/>
  <c r="M723" i="91" s="1"/>
  <c r="J722" i="91"/>
  <c r="M722" i="91" s="1"/>
  <c r="J721" i="91"/>
  <c r="M721" i="91" s="1"/>
  <c r="M720" i="91"/>
  <c r="J720" i="91"/>
  <c r="J719" i="91"/>
  <c r="M719" i="91" s="1"/>
  <c r="J718" i="91"/>
  <c r="M718" i="91" s="1"/>
  <c r="J717" i="91"/>
  <c r="M717" i="91" s="1"/>
  <c r="M716" i="91"/>
  <c r="J716" i="91"/>
  <c r="J715" i="91"/>
  <c r="M715" i="91" s="1"/>
  <c r="J714" i="91"/>
  <c r="M714" i="91" s="1"/>
  <c r="J713" i="91"/>
  <c r="M713" i="91" s="1"/>
  <c r="M712" i="91"/>
  <c r="J712" i="91"/>
  <c r="J711" i="91"/>
  <c r="M711" i="91" s="1"/>
  <c r="M710" i="91"/>
  <c r="J710" i="91"/>
  <c r="J709" i="91"/>
  <c r="M709" i="91" s="1"/>
  <c r="M708" i="91"/>
  <c r="J708" i="91"/>
  <c r="J707" i="91"/>
  <c r="M707" i="91" s="1"/>
  <c r="J706" i="91"/>
  <c r="M706" i="91" s="1"/>
  <c r="J705" i="91"/>
  <c r="M705" i="91" s="1"/>
  <c r="M704" i="91"/>
  <c r="J704" i="91"/>
  <c r="J703" i="91"/>
  <c r="M703" i="91" s="1"/>
  <c r="M702" i="91"/>
  <c r="J702" i="91"/>
  <c r="J701" i="91"/>
  <c r="M701" i="91" s="1"/>
  <c r="J700" i="91"/>
  <c r="M700" i="91" s="1"/>
  <c r="J699" i="91"/>
  <c r="M699" i="91" s="1"/>
  <c r="J698" i="91"/>
  <c r="M698" i="91" s="1"/>
  <c r="J697" i="91"/>
  <c r="M697" i="91" s="1"/>
  <c r="M696" i="91"/>
  <c r="J696" i="91"/>
  <c r="J695" i="91"/>
  <c r="M695" i="91" s="1"/>
  <c r="J694" i="91"/>
  <c r="M694" i="91" s="1"/>
  <c r="J693" i="91"/>
  <c r="M693" i="91" s="1"/>
  <c r="J692" i="91"/>
  <c r="M692" i="91" s="1"/>
  <c r="J691" i="91"/>
  <c r="M691" i="91" s="1"/>
  <c r="J690" i="91"/>
  <c r="M690" i="91" s="1"/>
  <c r="J689" i="91"/>
  <c r="M689" i="91" s="1"/>
  <c r="M688" i="91"/>
  <c r="J688" i="91"/>
  <c r="J687" i="91"/>
  <c r="M687" i="91" s="1"/>
  <c r="J686" i="91"/>
  <c r="M686" i="91" s="1"/>
  <c r="J685" i="91"/>
  <c r="M685" i="91" s="1"/>
  <c r="J684" i="91"/>
  <c r="M684" i="91" s="1"/>
  <c r="J683" i="91"/>
  <c r="M683" i="91" s="1"/>
  <c r="J682" i="91"/>
  <c r="M682" i="91" s="1"/>
  <c r="J681" i="91"/>
  <c r="M681" i="91" s="1"/>
  <c r="M680" i="91"/>
  <c r="J680" i="91"/>
  <c r="J679" i="91"/>
  <c r="M679" i="91" s="1"/>
  <c r="M678" i="91"/>
  <c r="J678" i="91"/>
  <c r="J677" i="91"/>
  <c r="M677" i="91" s="1"/>
  <c r="M676" i="91"/>
  <c r="J676" i="91"/>
  <c r="J675" i="91"/>
  <c r="M675" i="91" s="1"/>
  <c r="J674" i="91"/>
  <c r="M674" i="91" s="1"/>
  <c r="J673" i="91"/>
  <c r="M673" i="91" s="1"/>
  <c r="M672" i="91"/>
  <c r="J672" i="91"/>
  <c r="J671" i="91"/>
  <c r="M671" i="91" s="1"/>
  <c r="M670" i="91"/>
  <c r="J670" i="91"/>
  <c r="J669" i="91"/>
  <c r="M669" i="91" s="1"/>
  <c r="J668" i="91"/>
  <c r="M668" i="91" s="1"/>
  <c r="J667" i="91"/>
  <c r="M667" i="91" s="1"/>
  <c r="J666" i="91"/>
  <c r="M666" i="91" s="1"/>
  <c r="J665" i="91"/>
  <c r="M665" i="91" s="1"/>
  <c r="M664" i="91"/>
  <c r="J664" i="91"/>
  <c r="J663" i="91"/>
  <c r="M663" i="91" s="1"/>
  <c r="J662" i="91"/>
  <c r="M662" i="91" s="1"/>
  <c r="J661" i="91"/>
  <c r="M661" i="91" s="1"/>
  <c r="J660" i="91"/>
  <c r="M660" i="91" s="1"/>
  <c r="J659" i="91"/>
  <c r="M659" i="91" s="1"/>
  <c r="J658" i="91"/>
  <c r="M658" i="91" s="1"/>
  <c r="J657" i="91"/>
  <c r="M657" i="91" s="1"/>
  <c r="M656" i="91"/>
  <c r="J656" i="91"/>
  <c r="J655" i="91"/>
  <c r="M655" i="91" s="1"/>
  <c r="J654" i="91"/>
  <c r="M654" i="91" s="1"/>
  <c r="J653" i="91"/>
  <c r="M653" i="91" s="1"/>
  <c r="M652" i="91"/>
  <c r="J652" i="91"/>
  <c r="J651" i="91"/>
  <c r="M651" i="91" s="1"/>
  <c r="J650" i="91"/>
  <c r="M650" i="91" s="1"/>
  <c r="J649" i="91"/>
  <c r="M649" i="91" s="1"/>
  <c r="M648" i="91"/>
  <c r="J648" i="91"/>
  <c r="J647" i="91"/>
  <c r="M647" i="91" s="1"/>
  <c r="M646" i="91"/>
  <c r="J646" i="91"/>
  <c r="J645" i="91"/>
  <c r="M645" i="91" s="1"/>
  <c r="M644" i="91"/>
  <c r="J644" i="91"/>
  <c r="J643" i="91"/>
  <c r="M643" i="91" s="1"/>
  <c r="J642" i="91"/>
  <c r="M642" i="91" s="1"/>
  <c r="J641" i="91"/>
  <c r="M641" i="91" s="1"/>
  <c r="M640" i="91"/>
  <c r="J640" i="91"/>
  <c r="J639" i="91"/>
  <c r="M639" i="91" s="1"/>
  <c r="M638" i="91"/>
  <c r="J638" i="91"/>
  <c r="J637" i="91"/>
  <c r="M637" i="91" s="1"/>
  <c r="J636" i="91"/>
  <c r="M636" i="91" s="1"/>
  <c r="J635" i="91"/>
  <c r="M635" i="91" s="1"/>
  <c r="J634" i="91"/>
  <c r="M634" i="91" s="1"/>
  <c r="J633" i="91"/>
  <c r="M633" i="91" s="1"/>
  <c r="M632" i="91"/>
  <c r="J632" i="91"/>
  <c r="J631" i="91"/>
  <c r="M631" i="91" s="1"/>
  <c r="J630" i="91"/>
  <c r="M630" i="91" s="1"/>
  <c r="J629" i="91"/>
  <c r="M629" i="91" s="1"/>
  <c r="J628" i="91"/>
  <c r="M628" i="91" s="1"/>
  <c r="J627" i="91"/>
  <c r="M627" i="91" s="1"/>
  <c r="J626" i="91"/>
  <c r="M626" i="91" s="1"/>
  <c r="J625" i="91"/>
  <c r="M625" i="91" s="1"/>
  <c r="M624" i="91"/>
  <c r="J624" i="91"/>
  <c r="J623" i="91"/>
  <c r="M623" i="91" s="1"/>
  <c r="J622" i="91"/>
  <c r="M622" i="91" s="1"/>
  <c r="J621" i="91"/>
  <c r="M621" i="91" s="1"/>
  <c r="M620" i="91"/>
  <c r="J620" i="91"/>
  <c r="J619" i="91"/>
  <c r="M619" i="91" s="1"/>
  <c r="J618" i="91"/>
  <c r="M618" i="91" s="1"/>
  <c r="J617" i="91"/>
  <c r="M617" i="91" s="1"/>
  <c r="J616" i="91"/>
  <c r="M616" i="91" s="1"/>
  <c r="J615" i="91"/>
  <c r="M615" i="91" s="1"/>
  <c r="J614" i="91"/>
  <c r="M614" i="91" s="1"/>
  <c r="M613" i="91"/>
  <c r="J613" i="91"/>
  <c r="J612" i="91"/>
  <c r="M612" i="91" s="1"/>
  <c r="M611" i="91"/>
  <c r="J611" i="91"/>
  <c r="J610" i="91"/>
  <c r="M610" i="91" s="1"/>
  <c r="J609" i="91"/>
  <c r="M609" i="91" s="1"/>
  <c r="J608" i="91"/>
  <c r="M608" i="91" s="1"/>
  <c r="M607" i="91"/>
  <c r="J607" i="91"/>
  <c r="J606" i="91"/>
  <c r="M606" i="91" s="1"/>
  <c r="M605" i="91"/>
  <c r="J605" i="91"/>
  <c r="J604" i="91"/>
  <c r="M604" i="91" s="1"/>
  <c r="J603" i="91"/>
  <c r="M603" i="91" s="1"/>
  <c r="J602" i="91"/>
  <c r="M602" i="91" s="1"/>
  <c r="J601" i="91"/>
  <c r="M601" i="91" s="1"/>
  <c r="J600" i="91"/>
  <c r="M600" i="91" s="1"/>
  <c r="M599" i="91"/>
  <c r="J599" i="91"/>
  <c r="J598" i="91"/>
  <c r="M598" i="91" s="1"/>
  <c r="J597" i="91"/>
  <c r="M597" i="91" s="1"/>
  <c r="J596" i="91"/>
  <c r="M596" i="91" s="1"/>
  <c r="J595" i="91"/>
  <c r="M595" i="91" s="1"/>
  <c r="J594" i="91"/>
  <c r="M594" i="91" s="1"/>
  <c r="J593" i="91"/>
  <c r="M593" i="91" s="1"/>
  <c r="J592" i="91"/>
  <c r="M592" i="91" s="1"/>
  <c r="J591" i="91"/>
  <c r="M591" i="91" s="1"/>
  <c r="J590" i="91"/>
  <c r="M590" i="91" s="1"/>
  <c r="M589" i="91"/>
  <c r="J589" i="91"/>
  <c r="J588" i="91"/>
  <c r="M588" i="91" s="1"/>
  <c r="J587" i="91"/>
  <c r="M587" i="91" s="1"/>
  <c r="J586" i="91"/>
  <c r="M586" i="91" s="1"/>
  <c r="J585" i="91"/>
  <c r="M585" i="91" s="1"/>
  <c r="J584" i="91"/>
  <c r="M584" i="91" s="1"/>
  <c r="M583" i="91"/>
  <c r="J583" i="91"/>
  <c r="J582" i="91"/>
  <c r="M582" i="91" s="1"/>
  <c r="J581" i="91"/>
  <c r="M581" i="91" s="1"/>
  <c r="J580" i="91"/>
  <c r="M580" i="91" s="1"/>
  <c r="J579" i="91"/>
  <c r="M579" i="91" s="1"/>
  <c r="J578" i="91"/>
  <c r="M578" i="91" s="1"/>
  <c r="J577" i="91"/>
  <c r="M577" i="91" s="1"/>
  <c r="J576" i="91"/>
  <c r="M576" i="91" s="1"/>
  <c r="J575" i="91"/>
  <c r="M575" i="91" s="1"/>
  <c r="J574" i="91"/>
  <c r="M574" i="91" s="1"/>
  <c r="J573" i="91"/>
  <c r="M573" i="91" s="1"/>
  <c r="J572" i="91"/>
  <c r="M572" i="91" s="1"/>
  <c r="J571" i="91"/>
  <c r="M571" i="91" s="1"/>
  <c r="J570" i="91"/>
  <c r="M570" i="91" s="1"/>
  <c r="M569" i="91"/>
  <c r="J569" i="91"/>
  <c r="J568" i="91"/>
  <c r="M568" i="91" s="1"/>
  <c r="J567" i="91"/>
  <c r="M567" i="91" s="1"/>
  <c r="J566" i="91"/>
  <c r="M566" i="91" s="1"/>
  <c r="M565" i="91"/>
  <c r="J565" i="91"/>
  <c r="J564" i="91"/>
  <c r="M564" i="91" s="1"/>
  <c r="J563" i="91"/>
  <c r="M563" i="91" s="1"/>
  <c r="J562" i="91"/>
  <c r="M562" i="91" s="1"/>
  <c r="M561" i="91"/>
  <c r="J561" i="91"/>
  <c r="J560" i="91"/>
  <c r="M560" i="91" s="1"/>
  <c r="M559" i="91"/>
  <c r="J559" i="91"/>
  <c r="J558" i="91"/>
  <c r="M558" i="91" s="1"/>
  <c r="M557" i="91"/>
  <c r="J557" i="91"/>
  <c r="J556" i="91"/>
  <c r="M556" i="91" s="1"/>
  <c r="J555" i="91"/>
  <c r="M555" i="91" s="1"/>
  <c r="J554" i="91"/>
  <c r="M554" i="91" s="1"/>
  <c r="M553" i="91"/>
  <c r="J553" i="91"/>
  <c r="J552" i="91"/>
  <c r="M552" i="91" s="1"/>
  <c r="M551" i="91"/>
  <c r="J551" i="91"/>
  <c r="J550" i="91"/>
  <c r="M550" i="91" s="1"/>
  <c r="J549" i="91"/>
  <c r="M549" i="91" s="1"/>
  <c r="J548" i="91"/>
  <c r="M548" i="91" s="1"/>
  <c r="J547" i="91"/>
  <c r="M547" i="91" s="1"/>
  <c r="J546" i="91"/>
  <c r="M546" i="91" s="1"/>
  <c r="M545" i="91"/>
  <c r="J545" i="91"/>
  <c r="J544" i="91"/>
  <c r="M544" i="91" s="1"/>
  <c r="J543" i="91"/>
  <c r="M543" i="91" s="1"/>
  <c r="J542" i="91"/>
  <c r="M542" i="91" s="1"/>
  <c r="J541" i="91"/>
  <c r="M541" i="91" s="1"/>
  <c r="J540" i="91"/>
  <c r="M540" i="91" s="1"/>
  <c r="J539" i="91"/>
  <c r="M539" i="91" s="1"/>
  <c r="J538" i="91"/>
  <c r="M538" i="91" s="1"/>
  <c r="M537" i="91"/>
  <c r="J537" i="91"/>
  <c r="J536" i="91"/>
  <c r="M536" i="91" s="1"/>
  <c r="J535" i="91"/>
  <c r="M535" i="91" s="1"/>
  <c r="J534" i="91"/>
  <c r="M534" i="91" s="1"/>
  <c r="J533" i="91"/>
  <c r="M533" i="91" s="1"/>
  <c r="J532" i="91"/>
  <c r="M532" i="91" s="1"/>
  <c r="J531" i="91"/>
  <c r="M531" i="91" s="1"/>
  <c r="J530" i="91"/>
  <c r="M530" i="91" s="1"/>
  <c r="M529" i="91"/>
  <c r="J529" i="91"/>
  <c r="J528" i="91"/>
  <c r="M528" i="91" s="1"/>
  <c r="J527" i="91"/>
  <c r="M527" i="91" s="1"/>
  <c r="J526" i="91"/>
  <c r="M526" i="91" s="1"/>
  <c r="M525" i="91"/>
  <c r="J525" i="91"/>
  <c r="J524" i="91"/>
  <c r="M524" i="91" s="1"/>
  <c r="J523" i="91"/>
  <c r="M523" i="91" s="1"/>
  <c r="J522" i="91"/>
  <c r="M522" i="91" s="1"/>
  <c r="M521" i="91"/>
  <c r="J521" i="91"/>
  <c r="J520" i="91"/>
  <c r="M520" i="91" s="1"/>
  <c r="M519" i="91"/>
  <c r="J519" i="91"/>
  <c r="J518" i="91"/>
  <c r="M518" i="91" s="1"/>
  <c r="J517" i="91"/>
  <c r="M517" i="91" s="1"/>
  <c r="J516" i="91"/>
  <c r="M516" i="91" s="1"/>
  <c r="J515" i="91"/>
  <c r="M515" i="91" s="1"/>
  <c r="J514" i="91"/>
  <c r="M514" i="91" s="1"/>
  <c r="M513" i="91"/>
  <c r="J513" i="91"/>
  <c r="J512" i="91"/>
  <c r="M512" i="91" s="1"/>
  <c r="J511" i="91"/>
  <c r="M511" i="91" s="1"/>
  <c r="J510" i="91"/>
  <c r="M510" i="91" s="1"/>
  <c r="J509" i="91"/>
  <c r="M509" i="91" s="1"/>
  <c r="J508" i="91"/>
  <c r="M508" i="91" s="1"/>
  <c r="J507" i="91"/>
  <c r="M507" i="91" s="1"/>
  <c r="J506" i="91"/>
  <c r="M506" i="91" s="1"/>
  <c r="M505" i="91"/>
  <c r="J505" i="91"/>
  <c r="M503" i="91"/>
  <c r="M502" i="91"/>
  <c r="M499" i="91"/>
  <c r="M495" i="91"/>
  <c r="M494" i="91"/>
  <c r="O491" i="91"/>
  <c r="O489" i="91"/>
  <c r="N489" i="91"/>
  <c r="O487" i="91"/>
  <c r="O485" i="91"/>
  <c r="N485" i="91"/>
  <c r="O483" i="91"/>
  <c r="O481" i="91"/>
  <c r="N481" i="91"/>
  <c r="O479" i="91"/>
  <c r="M476" i="91"/>
  <c r="M475" i="91"/>
  <c r="M472" i="91"/>
  <c r="M468" i="91"/>
  <c r="M467" i="91"/>
  <c r="M464" i="91"/>
  <c r="M460" i="91"/>
  <c r="M459" i="91"/>
  <c r="M456" i="91"/>
  <c r="M452" i="91"/>
  <c r="M451" i="91"/>
  <c r="M448" i="91"/>
  <c r="M444" i="91"/>
  <c r="M443" i="91"/>
  <c r="O441" i="91"/>
  <c r="O439" i="91"/>
  <c r="N439" i="91"/>
  <c r="O437" i="91"/>
  <c r="N437" i="91"/>
  <c r="O435" i="91"/>
  <c r="N435" i="91"/>
  <c r="O433" i="91"/>
  <c r="N433" i="91"/>
  <c r="O431" i="91"/>
  <c r="N431" i="91"/>
  <c r="O429" i="91"/>
  <c r="N429" i="91"/>
  <c r="O427" i="91"/>
  <c r="N427" i="91"/>
  <c r="O425" i="91"/>
  <c r="N425" i="91"/>
  <c r="O423" i="91"/>
  <c r="N423" i="91"/>
  <c r="O421" i="91"/>
  <c r="N421" i="91"/>
  <c r="M419" i="91"/>
  <c r="M418" i="91"/>
  <c r="M415" i="91"/>
  <c r="M414" i="91"/>
  <c r="M411" i="91"/>
  <c r="M410" i="91"/>
  <c r="M407" i="91"/>
  <c r="M406" i="91"/>
  <c r="M403" i="91"/>
  <c r="M402" i="91"/>
  <c r="M399" i="91"/>
  <c r="M398" i="91"/>
  <c r="M395" i="91"/>
  <c r="M394" i="91"/>
  <c r="M391" i="91"/>
  <c r="M390" i="91"/>
  <c r="M387" i="91"/>
  <c r="M386" i="91"/>
  <c r="J384" i="91"/>
  <c r="M384" i="91" s="1"/>
  <c r="J383" i="91"/>
  <c r="M383" i="91" s="1"/>
  <c r="J382" i="91"/>
  <c r="M382" i="91" s="1"/>
  <c r="J381" i="91"/>
  <c r="M381" i="91" s="1"/>
  <c r="J380" i="91"/>
  <c r="M380" i="91" s="1"/>
  <c r="M379" i="91"/>
  <c r="J379" i="91"/>
  <c r="J378" i="91"/>
  <c r="M378" i="91" s="1"/>
  <c r="J377" i="91"/>
  <c r="M377" i="91" s="1"/>
  <c r="J376" i="91"/>
  <c r="M376" i="91" s="1"/>
  <c r="J375" i="91"/>
  <c r="M375" i="91" s="1"/>
  <c r="J374" i="91"/>
  <c r="M374" i="91" s="1"/>
  <c r="J373" i="91"/>
  <c r="M373" i="91" s="1"/>
  <c r="L372" i="91"/>
  <c r="O372" i="91" s="1"/>
  <c r="K372" i="91"/>
  <c r="N372" i="91" s="1"/>
  <c r="L371" i="91"/>
  <c r="O371" i="91" s="1"/>
  <c r="K371" i="91"/>
  <c r="N371" i="91" s="1"/>
  <c r="L370" i="91"/>
  <c r="O370" i="91" s="1"/>
  <c r="K370" i="91"/>
  <c r="N370" i="91" s="1"/>
  <c r="L369" i="91"/>
  <c r="O369" i="91" s="1"/>
  <c r="K369" i="91"/>
  <c r="N369" i="91" s="1"/>
  <c r="L368" i="91"/>
  <c r="O368" i="91" s="1"/>
  <c r="K368" i="91"/>
  <c r="N368" i="91" s="1"/>
  <c r="O367" i="91"/>
  <c r="L367" i="91"/>
  <c r="K367" i="91"/>
  <c r="N367" i="91" s="1"/>
  <c r="L366" i="91"/>
  <c r="O366" i="91" s="1"/>
  <c r="K366" i="91"/>
  <c r="N366" i="91" s="1"/>
  <c r="L365" i="91"/>
  <c r="O365" i="91" s="1"/>
  <c r="K365" i="91"/>
  <c r="N365" i="91" s="1"/>
  <c r="L364" i="91"/>
  <c r="O364" i="91" s="1"/>
  <c r="K364" i="91"/>
  <c r="N364" i="91" s="1"/>
  <c r="L363" i="91"/>
  <c r="O363" i="91" s="1"/>
  <c r="K363" i="91"/>
  <c r="N363" i="91" s="1"/>
  <c r="L362" i="91"/>
  <c r="O362" i="91" s="1"/>
  <c r="K362" i="91"/>
  <c r="N362" i="91" s="1"/>
  <c r="O361" i="91"/>
  <c r="L361" i="91"/>
  <c r="K361" i="91"/>
  <c r="N361" i="91" s="1"/>
  <c r="J360" i="91"/>
  <c r="M360" i="91" s="1"/>
  <c r="J359" i="91"/>
  <c r="M359" i="91" s="1"/>
  <c r="J358" i="91"/>
  <c r="M358" i="91" s="1"/>
  <c r="J357" i="91"/>
  <c r="M357" i="91" s="1"/>
  <c r="J356" i="91"/>
  <c r="M356" i="91" s="1"/>
  <c r="J355" i="91"/>
  <c r="M355" i="91" s="1"/>
  <c r="M354" i="91"/>
  <c r="J354" i="91"/>
  <c r="J353" i="91"/>
  <c r="M353" i="91" s="1"/>
  <c r="J352" i="91"/>
  <c r="M352" i="91" s="1"/>
  <c r="J351" i="91"/>
  <c r="M351" i="91" s="1"/>
  <c r="J350" i="91"/>
  <c r="M350" i="91" s="1"/>
  <c r="M349" i="91"/>
  <c r="J349" i="91"/>
  <c r="J348" i="91"/>
  <c r="M348" i="91" s="1"/>
  <c r="J347" i="91"/>
  <c r="M347" i="91" s="1"/>
  <c r="J346" i="91"/>
  <c r="M346" i="91" s="1"/>
  <c r="J345" i="91"/>
  <c r="M345" i="91" s="1"/>
  <c r="J344" i="91"/>
  <c r="M344" i="91" s="1"/>
  <c r="J343" i="91"/>
  <c r="M343" i="91" s="1"/>
  <c r="J342" i="91"/>
  <c r="M342" i="91" s="1"/>
  <c r="M341" i="91"/>
  <c r="J341" i="91"/>
  <c r="J340" i="91"/>
  <c r="M340" i="91" s="1"/>
  <c r="J339" i="91"/>
  <c r="M339" i="91" s="1"/>
  <c r="M338" i="91"/>
  <c r="J338" i="91"/>
  <c r="J337" i="91"/>
  <c r="M337" i="91" s="1"/>
  <c r="M336" i="91"/>
  <c r="J336" i="91"/>
  <c r="J335" i="91"/>
  <c r="M335" i="91" s="1"/>
  <c r="J334" i="91"/>
  <c r="M334" i="91" s="1"/>
  <c r="M333" i="91"/>
  <c r="J333" i="91"/>
  <c r="J332" i="91"/>
  <c r="M332" i="91" s="1"/>
  <c r="J331" i="91"/>
  <c r="M331" i="91" s="1"/>
  <c r="J330" i="91"/>
  <c r="M330" i="91" s="1"/>
  <c r="J329" i="91"/>
  <c r="M329" i="91" s="1"/>
  <c r="J328" i="91"/>
  <c r="M328" i="91" s="1"/>
  <c r="J327" i="91"/>
  <c r="M327" i="91" s="1"/>
  <c r="J326" i="91"/>
  <c r="M326" i="91" s="1"/>
  <c r="L325" i="91"/>
  <c r="O325" i="91" s="1"/>
  <c r="K325" i="91"/>
  <c r="N325" i="91" s="1"/>
  <c r="L324" i="91"/>
  <c r="O324" i="91" s="1"/>
  <c r="K324" i="91"/>
  <c r="N324" i="91" s="1"/>
  <c r="O323" i="91"/>
  <c r="L323" i="91"/>
  <c r="K323" i="91"/>
  <c r="N323" i="91" s="1"/>
  <c r="L322" i="91"/>
  <c r="O322" i="91" s="1"/>
  <c r="K322" i="91"/>
  <c r="N322" i="91" s="1"/>
  <c r="L321" i="91"/>
  <c r="O321" i="91" s="1"/>
  <c r="K321" i="91"/>
  <c r="N321" i="91" s="1"/>
  <c r="L320" i="91"/>
  <c r="O320" i="91" s="1"/>
  <c r="K320" i="91"/>
  <c r="N320" i="91" s="1"/>
  <c r="L319" i="91"/>
  <c r="O319" i="91" s="1"/>
  <c r="K319" i="91"/>
  <c r="N319" i="91" s="1"/>
  <c r="O318" i="91"/>
  <c r="L318" i="91"/>
  <c r="K318" i="91"/>
  <c r="N318" i="91" s="1"/>
  <c r="L317" i="91"/>
  <c r="O317" i="91" s="1"/>
  <c r="K317" i="91"/>
  <c r="N317" i="91" s="1"/>
  <c r="L316" i="91"/>
  <c r="O316" i="91" s="1"/>
  <c r="K316" i="91"/>
  <c r="N316" i="91" s="1"/>
  <c r="L315" i="91"/>
  <c r="O315" i="91" s="1"/>
  <c r="K315" i="91"/>
  <c r="N315" i="91" s="1"/>
  <c r="L314" i="91"/>
  <c r="O314" i="91" s="1"/>
  <c r="K314" i="91"/>
  <c r="N314" i="91" s="1"/>
  <c r="L313" i="91"/>
  <c r="O313" i="91" s="1"/>
  <c r="K313" i="91"/>
  <c r="N313" i="91" s="1"/>
  <c r="L312" i="91"/>
  <c r="O312" i="91" s="1"/>
  <c r="K312" i="91"/>
  <c r="N312" i="91" s="1"/>
  <c r="L311" i="91"/>
  <c r="O311" i="91" s="1"/>
  <c r="K311" i="91"/>
  <c r="N311" i="91" s="1"/>
  <c r="L310" i="91"/>
  <c r="O310" i="91" s="1"/>
  <c r="K310" i="91"/>
  <c r="N310" i="91" s="1"/>
  <c r="L309" i="91"/>
  <c r="O309" i="91" s="1"/>
  <c r="K309" i="91"/>
  <c r="N309" i="91" s="1"/>
  <c r="L308" i="91"/>
  <c r="O308" i="91" s="1"/>
  <c r="K308" i="91"/>
  <c r="N308" i="91" s="1"/>
  <c r="L307" i="91"/>
  <c r="O307" i="91" s="1"/>
  <c r="K307" i="91"/>
  <c r="N307" i="91" s="1"/>
  <c r="L306" i="91"/>
  <c r="O306" i="91" s="1"/>
  <c r="K306" i="91"/>
  <c r="N306" i="91" s="1"/>
  <c r="L305" i="91"/>
  <c r="O305" i="91" s="1"/>
  <c r="K305" i="91"/>
  <c r="N305" i="91" s="1"/>
  <c r="O304" i="91"/>
  <c r="L304" i="91"/>
  <c r="K304" i="91"/>
  <c r="N304" i="91" s="1"/>
  <c r="L303" i="91"/>
  <c r="O303" i="91" s="1"/>
  <c r="K303" i="91"/>
  <c r="N303" i="91" s="1"/>
  <c r="L302" i="91"/>
  <c r="O302" i="91" s="1"/>
  <c r="K302" i="91"/>
  <c r="N302" i="91" s="1"/>
  <c r="M301" i="91"/>
  <c r="J301" i="91"/>
  <c r="J300" i="91"/>
  <c r="M300" i="91" s="1"/>
  <c r="J299" i="91"/>
  <c r="M299" i="91" s="1"/>
  <c r="J298" i="91"/>
  <c r="M298" i="91" s="1"/>
  <c r="J297" i="91"/>
  <c r="M297" i="91" s="1"/>
  <c r="J296" i="91"/>
  <c r="M296" i="91" s="1"/>
  <c r="M295" i="91"/>
  <c r="J295" i="91"/>
  <c r="J294" i="91"/>
  <c r="M294" i="91" s="1"/>
  <c r="J293" i="91"/>
  <c r="M293" i="91" s="1"/>
  <c r="J292" i="91"/>
  <c r="M292" i="91" s="1"/>
  <c r="J291" i="91"/>
  <c r="M291" i="91" s="1"/>
  <c r="J290" i="91"/>
  <c r="M290" i="91" s="1"/>
  <c r="J289" i="91"/>
  <c r="M289" i="91" s="1"/>
  <c r="J288" i="91"/>
  <c r="M288" i="91" s="1"/>
  <c r="J287" i="91"/>
  <c r="M287" i="91" s="1"/>
  <c r="J286" i="91"/>
  <c r="M286" i="91" s="1"/>
  <c r="J285" i="91"/>
  <c r="M285" i="91" s="1"/>
  <c r="J284" i="91"/>
  <c r="M284" i="91" s="1"/>
  <c r="J283" i="91"/>
  <c r="M283" i="91" s="1"/>
  <c r="J282" i="91"/>
  <c r="M282" i="91" s="1"/>
  <c r="J281" i="91"/>
  <c r="M281" i="91" s="1"/>
  <c r="J280" i="91"/>
  <c r="M280" i="91" s="1"/>
  <c r="J279" i="91"/>
  <c r="M279" i="91" s="1"/>
  <c r="L278" i="91"/>
  <c r="O278" i="91" s="1"/>
  <c r="J278" i="91"/>
  <c r="M278" i="91" s="1"/>
  <c r="L277" i="91"/>
  <c r="O277" i="91" s="1"/>
  <c r="J277" i="91"/>
  <c r="M277" i="91" s="1"/>
  <c r="L276" i="91"/>
  <c r="O276" i="91" s="1"/>
  <c r="J276" i="91"/>
  <c r="M276" i="91" s="1"/>
  <c r="L275" i="91"/>
  <c r="O275" i="91" s="1"/>
  <c r="J275" i="91"/>
  <c r="M275" i="91" s="1"/>
  <c r="L274" i="91"/>
  <c r="O274" i="91" s="1"/>
  <c r="J274" i="91"/>
  <c r="M274" i="91" s="1"/>
  <c r="L273" i="91"/>
  <c r="O273" i="91" s="1"/>
  <c r="J273" i="91"/>
  <c r="M273" i="91" s="1"/>
  <c r="L272" i="91"/>
  <c r="O272" i="91" s="1"/>
  <c r="J272" i="91"/>
  <c r="M272" i="91" s="1"/>
  <c r="L271" i="91"/>
  <c r="O271" i="91" s="1"/>
  <c r="J271" i="91"/>
  <c r="M271" i="91" s="1"/>
  <c r="O270" i="91"/>
  <c r="L270" i="91"/>
  <c r="J270" i="91"/>
  <c r="M270" i="91" s="1"/>
  <c r="L269" i="91"/>
  <c r="O269" i="91" s="1"/>
  <c r="J269" i="91"/>
  <c r="M269" i="91" s="1"/>
  <c r="L268" i="91"/>
  <c r="O268" i="91" s="1"/>
  <c r="J268" i="91"/>
  <c r="M268" i="91" s="1"/>
  <c r="M267" i="91"/>
  <c r="L267" i="91"/>
  <c r="O267" i="91" s="1"/>
  <c r="J267" i="91"/>
  <c r="L266" i="91"/>
  <c r="O266" i="91" s="1"/>
  <c r="K266" i="91"/>
  <c r="N266" i="91" s="1"/>
  <c r="L265" i="91"/>
  <c r="O265" i="91" s="1"/>
  <c r="K265" i="91"/>
  <c r="N265" i="91" s="1"/>
  <c r="O264" i="91"/>
  <c r="L264" i="91"/>
  <c r="K264" i="91"/>
  <c r="N264" i="91" s="1"/>
  <c r="N263" i="91"/>
  <c r="L263" i="91"/>
  <c r="O263" i="91" s="1"/>
  <c r="K263" i="91"/>
  <c r="L262" i="91"/>
  <c r="O262" i="91" s="1"/>
  <c r="K262" i="91"/>
  <c r="N262" i="91" s="1"/>
  <c r="L261" i="91"/>
  <c r="O261" i="91" s="1"/>
  <c r="K261" i="91"/>
  <c r="N261" i="91" s="1"/>
  <c r="L260" i="91"/>
  <c r="O260" i="91" s="1"/>
  <c r="K260" i="91"/>
  <c r="N260" i="91" s="1"/>
  <c r="L259" i="91"/>
  <c r="O259" i="91" s="1"/>
  <c r="K259" i="91"/>
  <c r="N259" i="91" s="1"/>
  <c r="O258" i="91"/>
  <c r="L258" i="91"/>
  <c r="K258" i="91"/>
  <c r="N258" i="91" s="1"/>
  <c r="L257" i="91"/>
  <c r="O257" i="91" s="1"/>
  <c r="K257" i="91"/>
  <c r="N257" i="91" s="1"/>
  <c r="L256" i="91"/>
  <c r="O256" i="91" s="1"/>
  <c r="K256" i="91"/>
  <c r="N256" i="91" s="1"/>
  <c r="N255" i="91"/>
  <c r="L255" i="91"/>
  <c r="O255" i="91" s="1"/>
  <c r="K255" i="91"/>
  <c r="L254" i="91"/>
  <c r="O254" i="91" s="1"/>
  <c r="J254" i="91"/>
  <c r="M254" i="91" s="1"/>
  <c r="L253" i="91"/>
  <c r="O253" i="91" s="1"/>
  <c r="J253" i="91"/>
  <c r="M253" i="91" s="1"/>
  <c r="O252" i="91"/>
  <c r="L252" i="91"/>
  <c r="J252" i="91"/>
  <c r="M252" i="91" s="1"/>
  <c r="M251" i="91"/>
  <c r="L251" i="91"/>
  <c r="O251" i="91" s="1"/>
  <c r="J251" i="91"/>
  <c r="L250" i="91"/>
  <c r="O250" i="91" s="1"/>
  <c r="J250" i="91"/>
  <c r="M250" i="91" s="1"/>
  <c r="L249" i="91"/>
  <c r="O249" i="91" s="1"/>
  <c r="J249" i="91"/>
  <c r="M249" i="91" s="1"/>
  <c r="L248" i="91"/>
  <c r="O248" i="91" s="1"/>
  <c r="J248" i="91"/>
  <c r="M248" i="91" s="1"/>
  <c r="L247" i="91"/>
  <c r="O247" i="91" s="1"/>
  <c r="J247" i="91"/>
  <c r="M247" i="91" s="1"/>
  <c r="L246" i="91"/>
  <c r="O246" i="91" s="1"/>
  <c r="J246" i="91"/>
  <c r="M246" i="91" s="1"/>
  <c r="L245" i="91"/>
  <c r="O245" i="91" s="1"/>
  <c r="J245" i="91"/>
  <c r="M245" i="91" s="1"/>
  <c r="O244" i="91"/>
  <c r="L244" i="91"/>
  <c r="J244" i="91"/>
  <c r="M244" i="91" s="1"/>
  <c r="M243" i="91"/>
  <c r="L243" i="91"/>
  <c r="O243" i="91" s="1"/>
  <c r="J243" i="91"/>
  <c r="J242" i="91"/>
  <c r="M242" i="91" s="1"/>
  <c r="J241" i="91"/>
  <c r="M241" i="91" s="1"/>
  <c r="J240" i="91"/>
  <c r="M240" i="91" s="1"/>
  <c r="J239" i="91"/>
  <c r="M239" i="91" s="1"/>
  <c r="J238" i="91"/>
  <c r="M238" i="91" s="1"/>
  <c r="J237" i="91"/>
  <c r="M237" i="91" s="1"/>
  <c r="J236" i="91"/>
  <c r="M236" i="91" s="1"/>
  <c r="J235" i="91"/>
  <c r="M235" i="91" s="1"/>
  <c r="J234" i="91"/>
  <c r="M234" i="91" s="1"/>
  <c r="J233" i="91"/>
  <c r="M233" i="91" s="1"/>
  <c r="J232" i="91"/>
  <c r="M232" i="91" s="1"/>
  <c r="J231" i="91"/>
  <c r="M231" i="91" s="1"/>
  <c r="L230" i="91"/>
  <c r="O230" i="91" s="1"/>
  <c r="K230" i="91"/>
  <c r="N230" i="91" s="1"/>
  <c r="L229" i="91"/>
  <c r="O229" i="91" s="1"/>
  <c r="K229" i="91"/>
  <c r="N229" i="91" s="1"/>
  <c r="L228" i="91"/>
  <c r="O228" i="91" s="1"/>
  <c r="K228" i="91"/>
  <c r="N228" i="91" s="1"/>
  <c r="L227" i="91"/>
  <c r="O227" i="91" s="1"/>
  <c r="K227" i="91"/>
  <c r="N227" i="91" s="1"/>
  <c r="L226" i="91"/>
  <c r="O226" i="91" s="1"/>
  <c r="K226" i="91"/>
  <c r="N226" i="91" s="1"/>
  <c r="L225" i="91"/>
  <c r="O225" i="91" s="1"/>
  <c r="K225" i="91"/>
  <c r="N225" i="91" s="1"/>
  <c r="L224" i="91"/>
  <c r="O224" i="91" s="1"/>
  <c r="K224" i="91"/>
  <c r="N224" i="91" s="1"/>
  <c r="L223" i="91"/>
  <c r="O223" i="91" s="1"/>
  <c r="K223" i="91"/>
  <c r="N223" i="91" s="1"/>
  <c r="O222" i="91"/>
  <c r="L222" i="91"/>
  <c r="K222" i="91"/>
  <c r="N222" i="91" s="1"/>
  <c r="N221" i="91"/>
  <c r="L221" i="91"/>
  <c r="O221" i="91" s="1"/>
  <c r="K221" i="91"/>
  <c r="L220" i="91"/>
  <c r="O220" i="91" s="1"/>
  <c r="K220" i="91"/>
  <c r="N220" i="91" s="1"/>
  <c r="L219" i="91"/>
  <c r="O219" i="91" s="1"/>
  <c r="K219" i="91"/>
  <c r="N219" i="91" s="1"/>
  <c r="J218" i="91"/>
  <c r="M218" i="91" s="1"/>
  <c r="J217" i="91"/>
  <c r="M217" i="91" s="1"/>
  <c r="J216" i="91"/>
  <c r="M216" i="91" s="1"/>
  <c r="J215" i="91"/>
  <c r="M215" i="91" s="1"/>
  <c r="J214" i="91"/>
  <c r="M214" i="91" s="1"/>
  <c r="M213" i="91"/>
  <c r="J213" i="91"/>
  <c r="J212" i="91"/>
  <c r="M212" i="91" s="1"/>
  <c r="J211" i="91"/>
  <c r="M211" i="91" s="1"/>
  <c r="J210" i="91"/>
  <c r="M210" i="91" s="1"/>
  <c r="J209" i="91"/>
  <c r="M209" i="91" s="1"/>
  <c r="J208" i="91"/>
  <c r="M208" i="91" s="1"/>
  <c r="M207" i="91"/>
  <c r="J207" i="91"/>
  <c r="J206" i="91"/>
  <c r="M206" i="91" s="1"/>
  <c r="J205" i="91"/>
  <c r="M205" i="91" s="1"/>
  <c r="J204" i="91"/>
  <c r="M204" i="91" s="1"/>
  <c r="J203" i="91"/>
  <c r="M203" i="91" s="1"/>
  <c r="J202" i="91"/>
  <c r="M202" i="91" s="1"/>
  <c r="J201" i="91"/>
  <c r="M201" i="91" s="1"/>
  <c r="J200" i="91"/>
  <c r="M200" i="91" s="1"/>
  <c r="J199" i="91"/>
  <c r="M199" i="91" s="1"/>
  <c r="J198" i="91"/>
  <c r="M198" i="91" s="1"/>
  <c r="J197" i="91"/>
  <c r="M197" i="91" s="1"/>
  <c r="J196" i="91"/>
  <c r="M196" i="91" s="1"/>
  <c r="J195" i="91"/>
  <c r="M195" i="91" s="1"/>
  <c r="J194" i="91"/>
  <c r="M194" i="91" s="1"/>
  <c r="J193" i="91"/>
  <c r="M193" i="91" s="1"/>
  <c r="J192" i="91"/>
  <c r="M192" i="91" s="1"/>
  <c r="M191" i="91"/>
  <c r="J191" i="91"/>
  <c r="J190" i="91"/>
  <c r="M190" i="91" s="1"/>
  <c r="J189" i="91"/>
  <c r="M189" i="91" s="1"/>
  <c r="J188" i="91"/>
  <c r="M188" i="91" s="1"/>
  <c r="L187" i="91"/>
  <c r="O187" i="91" s="1"/>
  <c r="K187" i="91"/>
  <c r="N187" i="91" s="1"/>
  <c r="L186" i="91"/>
  <c r="O186" i="91" s="1"/>
  <c r="K186" i="91"/>
  <c r="N186" i="91" s="1"/>
  <c r="L185" i="91"/>
  <c r="O185" i="91" s="1"/>
  <c r="K185" i="91"/>
  <c r="N185" i="91" s="1"/>
  <c r="L184" i="91"/>
  <c r="O184" i="91" s="1"/>
  <c r="K184" i="91"/>
  <c r="N184" i="91" s="1"/>
  <c r="N183" i="91"/>
  <c r="L183" i="91"/>
  <c r="O183" i="91" s="1"/>
  <c r="K183" i="91"/>
  <c r="L182" i="91"/>
  <c r="O182" i="91" s="1"/>
  <c r="K182" i="91"/>
  <c r="N182" i="91" s="1"/>
  <c r="L181" i="91"/>
  <c r="O181" i="91" s="1"/>
  <c r="K181" i="91"/>
  <c r="N181" i="91" s="1"/>
  <c r="L180" i="91"/>
  <c r="O180" i="91" s="1"/>
  <c r="K180" i="91"/>
  <c r="N180" i="91" s="1"/>
  <c r="L179" i="91"/>
  <c r="O179" i="91" s="1"/>
  <c r="K179" i="91"/>
  <c r="N179" i="91" s="1"/>
  <c r="L178" i="91"/>
  <c r="O178" i="91" s="1"/>
  <c r="K178" i="91"/>
  <c r="N178" i="91" s="1"/>
  <c r="L177" i="91"/>
  <c r="O177" i="91" s="1"/>
  <c r="K177" i="91"/>
  <c r="N177" i="91" s="1"/>
  <c r="L176" i="91"/>
  <c r="O176" i="91" s="1"/>
  <c r="K176" i="91"/>
  <c r="N176" i="91" s="1"/>
  <c r="N175" i="91"/>
  <c r="L175" i="91"/>
  <c r="O175" i="91" s="1"/>
  <c r="K175" i="91"/>
  <c r="L174" i="91"/>
  <c r="O174" i="91" s="1"/>
  <c r="K174" i="91"/>
  <c r="N174" i="91" s="1"/>
  <c r="L173" i="91"/>
  <c r="O173" i="91" s="1"/>
  <c r="K173" i="91"/>
  <c r="N173" i="91" s="1"/>
  <c r="L172" i="91"/>
  <c r="O172" i="91" s="1"/>
  <c r="K172" i="91"/>
  <c r="N172" i="91" s="1"/>
  <c r="L171" i="91"/>
  <c r="O171" i="91" s="1"/>
  <c r="K171" i="91"/>
  <c r="N171" i="91" s="1"/>
  <c r="L170" i="91"/>
  <c r="O170" i="91" s="1"/>
  <c r="K170" i="91"/>
  <c r="N170" i="91" s="1"/>
  <c r="L169" i="91"/>
  <c r="O169" i="91" s="1"/>
  <c r="K169" i="91"/>
  <c r="N169" i="91" s="1"/>
  <c r="L168" i="91"/>
  <c r="O168" i="91" s="1"/>
  <c r="K168" i="91"/>
  <c r="N168" i="91" s="1"/>
  <c r="N167" i="91"/>
  <c r="L167" i="91"/>
  <c r="O167" i="91" s="1"/>
  <c r="K167" i="91"/>
  <c r="L166" i="91"/>
  <c r="O166" i="91" s="1"/>
  <c r="K166" i="91"/>
  <c r="N166" i="91" s="1"/>
  <c r="J165" i="91"/>
  <c r="M165" i="91" s="1"/>
  <c r="J164" i="91"/>
  <c r="M164" i="91" s="1"/>
  <c r="J163" i="91"/>
  <c r="M163" i="91" s="1"/>
  <c r="J162" i="91"/>
  <c r="M162" i="91" s="1"/>
  <c r="J161" i="91"/>
  <c r="M161" i="91" s="1"/>
  <c r="J160" i="91"/>
  <c r="M160" i="91" s="1"/>
  <c r="M159" i="91"/>
  <c r="J159" i="91"/>
  <c r="J158" i="91"/>
  <c r="M158" i="91" s="1"/>
  <c r="J157" i="91"/>
  <c r="M157" i="91" s="1"/>
  <c r="J156" i="91"/>
  <c r="M156" i="91" s="1"/>
  <c r="J155" i="91"/>
  <c r="M155" i="91" s="1"/>
  <c r="J154" i="91"/>
  <c r="M154" i="91" s="1"/>
  <c r="J153" i="91"/>
  <c r="M153" i="91" s="1"/>
  <c r="J152" i="91"/>
  <c r="M152" i="91" s="1"/>
  <c r="J151" i="91"/>
  <c r="M151" i="91" s="1"/>
  <c r="J150" i="91"/>
  <c r="M150" i="91" s="1"/>
  <c r="J149" i="91"/>
  <c r="M149" i="91" s="1"/>
  <c r="J148" i="91"/>
  <c r="M148" i="91" s="1"/>
  <c r="J147" i="91"/>
  <c r="M147" i="91" s="1"/>
  <c r="J146" i="91"/>
  <c r="M146" i="91" s="1"/>
  <c r="L145" i="91"/>
  <c r="O145" i="91" s="1"/>
  <c r="K145" i="91"/>
  <c r="N145" i="91" s="1"/>
  <c r="L144" i="91"/>
  <c r="O144" i="91" s="1"/>
  <c r="K144" i="91"/>
  <c r="N144" i="91" s="1"/>
  <c r="L143" i="91"/>
  <c r="O143" i="91" s="1"/>
  <c r="K143" i="91"/>
  <c r="N143" i="91" s="1"/>
  <c r="O142" i="91"/>
  <c r="N142" i="91"/>
  <c r="L142" i="91"/>
  <c r="K142" i="91"/>
  <c r="L141" i="91"/>
  <c r="O141" i="91" s="1"/>
  <c r="K141" i="91"/>
  <c r="N141" i="91" s="1"/>
  <c r="L140" i="91"/>
  <c r="O140" i="91" s="1"/>
  <c r="K140" i="91"/>
  <c r="N140" i="91" s="1"/>
  <c r="L139" i="91"/>
  <c r="O139" i="91" s="1"/>
  <c r="K139" i="91"/>
  <c r="N139" i="91" s="1"/>
  <c r="L138" i="91"/>
  <c r="O138" i="91" s="1"/>
  <c r="K138" i="91"/>
  <c r="N138" i="91" s="1"/>
  <c r="L137" i="91"/>
  <c r="O137" i="91" s="1"/>
  <c r="K137" i="91"/>
  <c r="N137" i="91" s="1"/>
  <c r="L136" i="91"/>
  <c r="O136" i="91" s="1"/>
  <c r="K136" i="91"/>
  <c r="N136" i="91" s="1"/>
  <c r="L135" i="91"/>
  <c r="O135" i="91" s="1"/>
  <c r="K135" i="91"/>
  <c r="N135" i="91" s="1"/>
  <c r="O134" i="91"/>
  <c r="N134" i="91"/>
  <c r="L134" i="91"/>
  <c r="K134" i="91"/>
  <c r="L133" i="91"/>
  <c r="O133" i="91" s="1"/>
  <c r="K133" i="91"/>
  <c r="N133" i="91" s="1"/>
  <c r="L132" i="91"/>
  <c r="O132" i="91" s="1"/>
  <c r="K132" i="91"/>
  <c r="N132" i="91" s="1"/>
  <c r="L131" i="91"/>
  <c r="O131" i="91" s="1"/>
  <c r="K131" i="91"/>
  <c r="N131" i="91" s="1"/>
  <c r="L130" i="91"/>
  <c r="O130" i="91" s="1"/>
  <c r="K130" i="91"/>
  <c r="N130" i="91" s="1"/>
  <c r="L129" i="91"/>
  <c r="O129" i="91" s="1"/>
  <c r="K129" i="91"/>
  <c r="N129" i="91" s="1"/>
  <c r="L128" i="91"/>
  <c r="O128" i="91" s="1"/>
  <c r="K128" i="91"/>
  <c r="N128" i="91" s="1"/>
  <c r="L127" i="91"/>
  <c r="O127" i="91" s="1"/>
  <c r="K127" i="91"/>
  <c r="N127" i="91" s="1"/>
  <c r="O126" i="91"/>
  <c r="N126" i="91"/>
  <c r="L126" i="91"/>
  <c r="K126" i="91"/>
  <c r="L125" i="91"/>
  <c r="O125" i="91" s="1"/>
  <c r="K125" i="91"/>
  <c r="N125" i="91" s="1"/>
  <c r="L124" i="91"/>
  <c r="O124" i="91" s="1"/>
  <c r="K124" i="91"/>
  <c r="N124" i="91" s="1"/>
  <c r="L123" i="91"/>
  <c r="O123" i="91" s="1"/>
  <c r="K123" i="91"/>
  <c r="N123" i="91" s="1"/>
  <c r="L122" i="91"/>
  <c r="O122" i="91" s="1"/>
  <c r="K122" i="91"/>
  <c r="N122" i="91" s="1"/>
  <c r="L73" i="91"/>
  <c r="O73" i="91" s="1"/>
  <c r="L72" i="91"/>
  <c r="O72" i="91" s="1"/>
  <c r="L71" i="91"/>
  <c r="O71" i="91" s="1"/>
  <c r="L70" i="91"/>
  <c r="O70" i="91" s="1"/>
  <c r="L69" i="91"/>
  <c r="O69" i="91" s="1"/>
  <c r="L68" i="91"/>
  <c r="O68" i="91" s="1"/>
  <c r="L67" i="91"/>
  <c r="O67" i="91" s="1"/>
  <c r="L66" i="91"/>
  <c r="O66" i="91" s="1"/>
  <c r="L65" i="91"/>
  <c r="O65" i="91" s="1"/>
  <c r="L64" i="91"/>
  <c r="O64" i="91" s="1"/>
  <c r="L63" i="91"/>
  <c r="O63" i="91" s="1"/>
  <c r="O62" i="91"/>
  <c r="L62" i="91"/>
  <c r="L61" i="91"/>
  <c r="O61" i="91" s="1"/>
  <c r="J61" i="91"/>
  <c r="M61" i="91" s="1"/>
  <c r="O60" i="91"/>
  <c r="L60" i="91"/>
  <c r="J60" i="91"/>
  <c r="M60" i="91" s="1"/>
  <c r="M59" i="91"/>
  <c r="L59" i="91"/>
  <c r="O59" i="91" s="1"/>
  <c r="J59" i="91"/>
  <c r="L58" i="91"/>
  <c r="O58" i="91" s="1"/>
  <c r="J58" i="91"/>
  <c r="M58" i="91" s="1"/>
  <c r="L57" i="91"/>
  <c r="O57" i="91" s="1"/>
  <c r="J57" i="91"/>
  <c r="M57" i="91" s="1"/>
  <c r="L56" i="91"/>
  <c r="O56" i="91" s="1"/>
  <c r="J56" i="91"/>
  <c r="M56" i="91" s="1"/>
  <c r="L55" i="91"/>
  <c r="O55" i="91" s="1"/>
  <c r="J55" i="91"/>
  <c r="M55" i="91" s="1"/>
  <c r="L54" i="91"/>
  <c r="O54" i="91" s="1"/>
  <c r="J54" i="91"/>
  <c r="M54" i="91" s="1"/>
  <c r="L53" i="91"/>
  <c r="O53" i="91" s="1"/>
  <c r="J53" i="91"/>
  <c r="M53" i="91" s="1"/>
  <c r="O52" i="91"/>
  <c r="L52" i="91"/>
  <c r="J52" i="91"/>
  <c r="M52" i="91" s="1"/>
  <c r="M51" i="91"/>
  <c r="L51" i="91"/>
  <c r="O51" i="91" s="1"/>
  <c r="J51" i="91"/>
  <c r="L50" i="91"/>
  <c r="O50" i="91" s="1"/>
  <c r="J50" i="91"/>
  <c r="M50" i="91" s="1"/>
  <c r="L49" i="91"/>
  <c r="O49" i="91" s="1"/>
  <c r="L48" i="91"/>
  <c r="O48" i="91" s="1"/>
  <c r="L47" i="91"/>
  <c r="O47" i="91" s="1"/>
  <c r="L46" i="91"/>
  <c r="O46" i="91" s="1"/>
  <c r="L45" i="91"/>
  <c r="O45" i="91" s="1"/>
  <c r="L44" i="91"/>
  <c r="O44" i="91" s="1"/>
  <c r="L43" i="91"/>
  <c r="O43" i="91" s="1"/>
  <c r="L42" i="91"/>
  <c r="O42" i="91" s="1"/>
  <c r="L41" i="91"/>
  <c r="O41" i="91" s="1"/>
  <c r="L40" i="91"/>
  <c r="O40" i="91" s="1"/>
  <c r="L39" i="91"/>
  <c r="O39" i="91" s="1"/>
  <c r="L38" i="91"/>
  <c r="O38" i="91" s="1"/>
  <c r="N13" i="91"/>
  <c r="L13" i="91"/>
  <c r="O13" i="91" s="1"/>
  <c r="K13" i="91"/>
  <c r="L12" i="91"/>
  <c r="O12" i="91" s="1"/>
  <c r="K12" i="91"/>
  <c r="N12" i="91" s="1"/>
  <c r="L11" i="91"/>
  <c r="O11" i="91" s="1"/>
  <c r="K11" i="91"/>
  <c r="N11" i="91" s="1"/>
  <c r="N10" i="91"/>
  <c r="L10" i="91"/>
  <c r="O10" i="91" s="1"/>
  <c r="K10" i="91"/>
  <c r="L9" i="91"/>
  <c r="O9" i="91" s="1"/>
  <c r="K9" i="91"/>
  <c r="N9" i="91" s="1"/>
  <c r="L8" i="91"/>
  <c r="O8" i="91" s="1"/>
  <c r="K8" i="91"/>
  <c r="N8" i="91" s="1"/>
  <c r="L7" i="91"/>
  <c r="O7" i="91" s="1"/>
  <c r="K7" i="91"/>
  <c r="N7" i="91" s="1"/>
  <c r="L6" i="91"/>
  <c r="O6" i="91" s="1"/>
  <c r="K6" i="91"/>
  <c r="N6" i="91" s="1"/>
  <c r="N5" i="91"/>
  <c r="L5" i="91"/>
  <c r="O5" i="91" s="1"/>
  <c r="K5" i="91"/>
  <c r="L4" i="91"/>
  <c r="O4" i="91" s="1"/>
  <c r="K4" i="91"/>
  <c r="N4" i="91" s="1"/>
  <c r="L3" i="91"/>
  <c r="O3" i="91" s="1"/>
  <c r="K3" i="91"/>
  <c r="N3" i="91" s="1"/>
  <c r="N2" i="91"/>
  <c r="L2" i="91"/>
  <c r="K2" i="91"/>
  <c r="X909" i="87"/>
  <c r="W909" i="87"/>
  <c r="AC909" i="87" s="1"/>
  <c r="X908" i="87"/>
  <c r="W908" i="87"/>
  <c r="X907" i="87"/>
  <c r="W907" i="87"/>
  <c r="AC907" i="87" s="1"/>
  <c r="X906" i="87"/>
  <c r="W906" i="87"/>
  <c r="X905" i="87"/>
  <c r="W905" i="87"/>
  <c r="AC905" i="87" s="1"/>
  <c r="X904" i="87"/>
  <c r="W904" i="87"/>
  <c r="X903" i="87"/>
  <c r="W903" i="87"/>
  <c r="AC903" i="87" s="1"/>
  <c r="X902" i="87"/>
  <c r="W902" i="87"/>
  <c r="X901" i="87"/>
  <c r="W901" i="87"/>
  <c r="AC901" i="87" s="1"/>
  <c r="X900" i="87"/>
  <c r="W900" i="87"/>
  <c r="X899" i="87"/>
  <c r="W899" i="87"/>
  <c r="X898" i="87"/>
  <c r="W898" i="87"/>
  <c r="X504" i="87"/>
  <c r="W504" i="87"/>
  <c r="X503" i="87"/>
  <c r="W503" i="87"/>
  <c r="X502" i="87"/>
  <c r="W502" i="87"/>
  <c r="AC502" i="87" s="1"/>
  <c r="X501" i="87"/>
  <c r="W501" i="87"/>
  <c r="X500" i="87"/>
  <c r="W500" i="87"/>
  <c r="X499" i="87"/>
  <c r="W499" i="87"/>
  <c r="X498" i="87"/>
  <c r="W498" i="87"/>
  <c r="AC498" i="87" s="1"/>
  <c r="X497" i="87"/>
  <c r="W497" i="87"/>
  <c r="X496" i="87"/>
  <c r="W496" i="87"/>
  <c r="X495" i="87"/>
  <c r="W495" i="87"/>
  <c r="X494" i="87"/>
  <c r="W494" i="87"/>
  <c r="AC494" i="87" s="1"/>
  <c r="X493" i="87"/>
  <c r="W493" i="87"/>
  <c r="X492" i="87"/>
  <c r="W492" i="87"/>
  <c r="V491" i="87"/>
  <c r="V490" i="87"/>
  <c r="V489" i="87"/>
  <c r="V488" i="87"/>
  <c r="AB488" i="87" s="1"/>
  <c r="V487" i="87"/>
  <c r="V486" i="87"/>
  <c r="V485" i="87"/>
  <c r="V484" i="87"/>
  <c r="AB484" i="87" s="1"/>
  <c r="V483" i="87"/>
  <c r="V482" i="87"/>
  <c r="V481" i="87"/>
  <c r="V480" i="87"/>
  <c r="AB480" i="87" s="1"/>
  <c r="V479" i="87"/>
  <c r="X478" i="87"/>
  <c r="W478" i="87"/>
  <c r="X477" i="87"/>
  <c r="AD477" i="87" s="1"/>
  <c r="W477" i="87"/>
  <c r="X476" i="87"/>
  <c r="W476" i="87"/>
  <c r="X475" i="87"/>
  <c r="W475" i="87"/>
  <c r="X474" i="87"/>
  <c r="W474" i="87"/>
  <c r="X473" i="87"/>
  <c r="AD473" i="87" s="1"/>
  <c r="W473" i="87"/>
  <c r="X472" i="87"/>
  <c r="W472" i="87"/>
  <c r="X471" i="87"/>
  <c r="W471" i="87"/>
  <c r="X470" i="87"/>
  <c r="W470" i="87"/>
  <c r="X469" i="87"/>
  <c r="AD469" i="87" s="1"/>
  <c r="W469" i="87"/>
  <c r="X468" i="87"/>
  <c r="W468" i="87"/>
  <c r="X467" i="87"/>
  <c r="W467" i="87"/>
  <c r="X466" i="87"/>
  <c r="W466" i="87"/>
  <c r="X465" i="87"/>
  <c r="AD465" i="87" s="1"/>
  <c r="W465" i="87"/>
  <c r="X464" i="87"/>
  <c r="W464" i="87"/>
  <c r="X463" i="87"/>
  <c r="W463" i="87"/>
  <c r="X462" i="87"/>
  <c r="W462" i="87"/>
  <c r="X461" i="87"/>
  <c r="AD461" i="87" s="1"/>
  <c r="W461" i="87"/>
  <c r="X460" i="87"/>
  <c r="W460" i="87"/>
  <c r="X459" i="87"/>
  <c r="W459" i="87"/>
  <c r="X458" i="87"/>
  <c r="W458" i="87"/>
  <c r="AD457" i="88"/>
  <c r="X457" i="88"/>
  <c r="W457" i="88"/>
  <c r="X457" i="87"/>
  <c r="W457" i="87"/>
  <c r="AD456" i="88"/>
  <c r="X456" i="88"/>
  <c r="W456" i="88"/>
  <c r="X456" i="87"/>
  <c r="W456" i="87"/>
  <c r="AD455" i="88"/>
  <c r="X455" i="88"/>
  <c r="W455" i="88"/>
  <c r="AC455" i="88" s="1"/>
  <c r="X455" i="87"/>
  <c r="W455" i="87"/>
  <c r="AD454" i="88"/>
  <c r="X454" i="88"/>
  <c r="W454" i="88"/>
  <c r="X454" i="87"/>
  <c r="W454" i="87"/>
  <c r="AC454" i="87" s="1"/>
  <c r="AD453" i="88"/>
  <c r="X453" i="88"/>
  <c r="W453" i="88"/>
  <c r="AC453" i="88" s="1"/>
  <c r="X453" i="87"/>
  <c r="W453" i="87"/>
  <c r="AD452" i="88"/>
  <c r="X452" i="88"/>
  <c r="W452" i="88"/>
  <c r="X452" i="87"/>
  <c r="W452" i="87"/>
  <c r="AC452" i="87" s="1"/>
  <c r="AD451" i="88"/>
  <c r="X451" i="88"/>
  <c r="W451" i="88"/>
  <c r="AC451" i="88" s="1"/>
  <c r="X451" i="87"/>
  <c r="AD451" i="87" s="1"/>
  <c r="W451" i="87"/>
  <c r="AD450" i="88"/>
  <c r="X450" i="88"/>
  <c r="W450" i="88"/>
  <c r="X450" i="87"/>
  <c r="W450" i="87"/>
  <c r="AD449" i="88"/>
  <c r="X449" i="88"/>
  <c r="W449" i="88"/>
  <c r="AC449" i="88" s="1"/>
  <c r="X449" i="87"/>
  <c r="W449" i="87"/>
  <c r="AD448" i="88"/>
  <c r="X448" i="88"/>
  <c r="W448" i="88"/>
  <c r="X448" i="87"/>
  <c r="W448" i="87"/>
  <c r="AD447" i="88"/>
  <c r="X447" i="88"/>
  <c r="W447" i="88"/>
  <c r="X447" i="87"/>
  <c r="W447" i="87"/>
  <c r="AD446" i="88"/>
  <c r="AD11" i="91" s="1"/>
  <c r="X446" i="88"/>
  <c r="W446" i="88"/>
  <c r="X446" i="87"/>
  <c r="W446" i="87"/>
  <c r="AC446" i="87" s="1"/>
  <c r="X445" i="87"/>
  <c r="W445" i="87"/>
  <c r="X444" i="87"/>
  <c r="W444" i="87"/>
  <c r="AC444" i="87" s="1"/>
  <c r="X443" i="87"/>
  <c r="W443" i="87"/>
  <c r="V442" i="87"/>
  <c r="V441" i="87"/>
  <c r="V440" i="87"/>
  <c r="V439" i="87"/>
  <c r="V438" i="87"/>
  <c r="V437" i="87"/>
  <c r="V436" i="87"/>
  <c r="V435" i="87"/>
  <c r="V434" i="87"/>
  <c r="V433" i="87"/>
  <c r="V432" i="87"/>
  <c r="V431" i="87"/>
  <c r="V430" i="87"/>
  <c r="V429" i="87"/>
  <c r="V428" i="87"/>
  <c r="V427" i="87"/>
  <c r="V426" i="87"/>
  <c r="V425" i="87"/>
  <c r="V424" i="87"/>
  <c r="V423" i="87"/>
  <c r="V422" i="87"/>
  <c r="V421" i="87"/>
  <c r="V420" i="87"/>
  <c r="X419" i="87"/>
  <c r="W419" i="87"/>
  <c r="X418" i="87"/>
  <c r="AD418" i="87" s="1"/>
  <c r="W418" i="87"/>
  <c r="X417" i="87"/>
  <c r="W417" i="87"/>
  <c r="X416" i="87"/>
  <c r="W416" i="87"/>
  <c r="X415" i="87"/>
  <c r="W415" i="87"/>
  <c r="X414" i="87"/>
  <c r="AD414" i="87" s="1"/>
  <c r="W414" i="87"/>
  <c r="X413" i="87"/>
  <c r="W413" i="87"/>
  <c r="X412" i="87"/>
  <c r="W412" i="87"/>
  <c r="X411" i="87"/>
  <c r="W411" i="87"/>
  <c r="X410" i="87"/>
  <c r="AD410" i="87" s="1"/>
  <c r="W410" i="87"/>
  <c r="X409" i="87"/>
  <c r="W409" i="87"/>
  <c r="X408" i="87"/>
  <c r="W408" i="87"/>
  <c r="X407" i="87"/>
  <c r="W407" i="87"/>
  <c r="X406" i="87"/>
  <c r="AD406" i="87" s="1"/>
  <c r="W406" i="87"/>
  <c r="X405" i="87"/>
  <c r="W405" i="87"/>
  <c r="X404" i="87"/>
  <c r="W404" i="87"/>
  <c r="X403" i="87"/>
  <c r="W403" i="87"/>
  <c r="X402" i="87"/>
  <c r="AD402" i="87" s="1"/>
  <c r="W402" i="87"/>
  <c r="X401" i="87"/>
  <c r="W401" i="87"/>
  <c r="X400" i="87"/>
  <c r="W400" i="87"/>
  <c r="X399" i="87"/>
  <c r="W399" i="87"/>
  <c r="X398" i="87"/>
  <c r="AD398" i="87" s="1"/>
  <c r="W398" i="87"/>
  <c r="X397" i="87"/>
  <c r="W397" i="87"/>
  <c r="AD253" i="88"/>
  <c r="X253" i="88"/>
  <c r="W253" i="88"/>
  <c r="AD252" i="88"/>
  <c r="X252" i="88"/>
  <c r="W252" i="88"/>
  <c r="AD251" i="88"/>
  <c r="X251" i="88"/>
  <c r="W251" i="88"/>
  <c r="AD250" i="88"/>
  <c r="X250" i="88"/>
  <c r="W250" i="88"/>
  <c r="AD249" i="88"/>
  <c r="X249" i="88"/>
  <c r="W249" i="88"/>
  <c r="AD248" i="88"/>
  <c r="X248" i="88"/>
  <c r="W248" i="88"/>
  <c r="AD247" i="88"/>
  <c r="X247" i="88"/>
  <c r="W247" i="88"/>
  <c r="AD246" i="88"/>
  <c r="X246" i="88"/>
  <c r="W246" i="88"/>
  <c r="AD245" i="88"/>
  <c r="X245" i="88"/>
  <c r="W245" i="88"/>
  <c r="AD244" i="88"/>
  <c r="X244" i="88"/>
  <c r="W244" i="88"/>
  <c r="AD243" i="88"/>
  <c r="X243" i="88"/>
  <c r="W243" i="88"/>
  <c r="AD242" i="88"/>
  <c r="X242" i="88"/>
  <c r="W242" i="88"/>
  <c r="AD241" i="88"/>
  <c r="X241" i="88"/>
  <c r="W241" i="88"/>
  <c r="AE240" i="88"/>
  <c r="V240" i="88"/>
  <c r="AB240" i="88" s="1"/>
  <c r="AE239" i="88"/>
  <c r="V239" i="88"/>
  <c r="AB239" i="88" s="1"/>
  <c r="AE238" i="88"/>
  <c r="V238" i="88"/>
  <c r="AB238" i="88" s="1"/>
  <c r="AE237" i="88"/>
  <c r="V237" i="88"/>
  <c r="AB237" i="88" s="1"/>
  <c r="AE236" i="88"/>
  <c r="V236" i="88"/>
  <c r="AB236" i="88" s="1"/>
  <c r="AE235" i="88"/>
  <c r="V235" i="88"/>
  <c r="AB235" i="88" s="1"/>
  <c r="AE234" i="88"/>
  <c r="V234" i="88"/>
  <c r="AB234" i="88" s="1"/>
  <c r="AE233" i="88"/>
  <c r="V233" i="88"/>
  <c r="AB233" i="88" s="1"/>
  <c r="AE232" i="88"/>
  <c r="V232" i="88"/>
  <c r="AB232" i="88" s="1"/>
  <c r="AE231" i="88"/>
  <c r="V231" i="88"/>
  <c r="AB231" i="88" s="1"/>
  <c r="AE230" i="88"/>
  <c r="V230" i="88"/>
  <c r="AB230" i="88" s="1"/>
  <c r="AE229" i="88"/>
  <c r="V229" i="88"/>
  <c r="AB229" i="88" s="1"/>
  <c r="AE228" i="88"/>
  <c r="V228" i="88"/>
  <c r="AB228" i="88" s="1"/>
  <c r="AD227" i="88"/>
  <c r="X227" i="88"/>
  <c r="W227" i="88"/>
  <c r="AD226" i="88"/>
  <c r="X226" i="88"/>
  <c r="W226" i="88"/>
  <c r="AD225" i="88"/>
  <c r="X225" i="88"/>
  <c r="W225" i="88"/>
  <c r="AD224" i="88"/>
  <c r="X224" i="88"/>
  <c r="W224" i="88"/>
  <c r="AD223" i="88"/>
  <c r="X223" i="88"/>
  <c r="W223" i="88"/>
  <c r="AD222" i="88"/>
  <c r="X222" i="88"/>
  <c r="W222" i="88"/>
  <c r="AD221" i="88"/>
  <c r="X221" i="88"/>
  <c r="W221" i="88"/>
  <c r="AD220" i="88"/>
  <c r="X220" i="88"/>
  <c r="W220" i="88"/>
  <c r="AD219" i="88"/>
  <c r="X219" i="88"/>
  <c r="W219" i="88"/>
  <c r="AD218" i="88"/>
  <c r="X218" i="88"/>
  <c r="W218" i="88"/>
  <c r="AD217" i="88"/>
  <c r="X217" i="88"/>
  <c r="W217" i="88"/>
  <c r="AD216" i="88"/>
  <c r="X216" i="88"/>
  <c r="W216" i="88"/>
  <c r="AD215" i="88"/>
  <c r="X215" i="88"/>
  <c r="W215" i="88"/>
  <c r="AD214" i="88"/>
  <c r="X214" i="88"/>
  <c r="W214" i="88"/>
  <c r="AD213" i="88"/>
  <c r="X213" i="88"/>
  <c r="W213" i="88"/>
  <c r="AD212" i="88"/>
  <c r="X212" i="88"/>
  <c r="W212" i="88"/>
  <c r="AD211" i="88"/>
  <c r="X211" i="88"/>
  <c r="W211" i="88"/>
  <c r="AD210" i="88"/>
  <c r="X210" i="88"/>
  <c r="W210" i="88"/>
  <c r="AD209" i="88"/>
  <c r="X209" i="88"/>
  <c r="W209" i="88"/>
  <c r="AD208" i="88"/>
  <c r="X208" i="88"/>
  <c r="W208" i="88"/>
  <c r="AD207" i="88"/>
  <c r="X207" i="88"/>
  <c r="W207" i="88"/>
  <c r="AD206" i="88"/>
  <c r="X206" i="88"/>
  <c r="W206" i="88"/>
  <c r="AD205" i="88"/>
  <c r="X205" i="88"/>
  <c r="W205" i="88"/>
  <c r="AD204" i="88"/>
  <c r="X204" i="88"/>
  <c r="W204" i="88"/>
  <c r="AD203" i="88"/>
  <c r="X203" i="88"/>
  <c r="W203" i="88"/>
  <c r="AD202" i="88"/>
  <c r="X202" i="88"/>
  <c r="W202" i="88"/>
  <c r="AD201" i="88"/>
  <c r="X201" i="88"/>
  <c r="W201" i="88"/>
  <c r="AD200" i="88"/>
  <c r="X200" i="88"/>
  <c r="W200" i="88"/>
  <c r="AD199" i="88"/>
  <c r="X199" i="88"/>
  <c r="W199" i="88"/>
  <c r="AD198" i="88"/>
  <c r="X198" i="88"/>
  <c r="W198" i="88"/>
  <c r="AD197" i="88"/>
  <c r="X197" i="88"/>
  <c r="W197" i="88"/>
  <c r="AD196" i="88"/>
  <c r="X196" i="88"/>
  <c r="W196" i="88"/>
  <c r="AD195" i="88"/>
  <c r="X195" i="88"/>
  <c r="W195" i="88"/>
  <c r="AD194" i="88"/>
  <c r="X194" i="88"/>
  <c r="W194" i="88"/>
  <c r="AD193" i="88"/>
  <c r="X193" i="88"/>
  <c r="W193" i="88"/>
  <c r="AD192" i="88"/>
  <c r="X192" i="88"/>
  <c r="W192" i="88"/>
  <c r="AE191" i="88"/>
  <c r="V191" i="88"/>
  <c r="AB191" i="88" s="1"/>
  <c r="AE190" i="88"/>
  <c r="V190" i="88"/>
  <c r="AB190" i="88" s="1"/>
  <c r="AE189" i="88"/>
  <c r="V189" i="88"/>
  <c r="AB189" i="88" s="1"/>
  <c r="AE188" i="88"/>
  <c r="V188" i="88"/>
  <c r="AB188" i="88" s="1"/>
  <c r="AE187" i="88"/>
  <c r="V187" i="88"/>
  <c r="AB187" i="88" s="1"/>
  <c r="AE186" i="88"/>
  <c r="V186" i="88"/>
  <c r="AB186" i="88" s="1"/>
  <c r="AE185" i="88"/>
  <c r="V185" i="88"/>
  <c r="AB185" i="88" s="1"/>
  <c r="AE184" i="88"/>
  <c r="V184" i="88"/>
  <c r="AB184" i="88" s="1"/>
  <c r="AE183" i="88"/>
  <c r="V183" i="88"/>
  <c r="AB183" i="88" s="1"/>
  <c r="AE182" i="88"/>
  <c r="V182" i="88"/>
  <c r="AB182" i="88" s="1"/>
  <c r="AE181" i="88"/>
  <c r="V181" i="88"/>
  <c r="AB181" i="88" s="1"/>
  <c r="AE180" i="88"/>
  <c r="V180" i="88"/>
  <c r="AB180" i="88" s="1"/>
  <c r="AE179" i="88"/>
  <c r="V179" i="88"/>
  <c r="AB179" i="88" s="1"/>
  <c r="AE178" i="88"/>
  <c r="V178" i="88"/>
  <c r="AB178" i="88" s="1"/>
  <c r="AE177" i="88"/>
  <c r="V177" i="88"/>
  <c r="AB177" i="88" s="1"/>
  <c r="AE176" i="88"/>
  <c r="V176" i="88"/>
  <c r="AB176" i="88" s="1"/>
  <c r="AE175" i="88"/>
  <c r="V175" i="88"/>
  <c r="AB175" i="88" s="1"/>
  <c r="AE174" i="88"/>
  <c r="AB174" i="88"/>
  <c r="V174" i="88"/>
  <c r="AE173" i="88"/>
  <c r="V173" i="88"/>
  <c r="AB173" i="88" s="1"/>
  <c r="AE172" i="88"/>
  <c r="V172" i="88"/>
  <c r="AB172" i="88" s="1"/>
  <c r="AE171" i="88"/>
  <c r="V171" i="88"/>
  <c r="AB171" i="88" s="1"/>
  <c r="AE170" i="88"/>
  <c r="V170" i="88"/>
  <c r="AB170" i="88" s="1"/>
  <c r="AE169" i="88"/>
  <c r="V169" i="88"/>
  <c r="AB169" i="88" s="1"/>
  <c r="AD168" i="88"/>
  <c r="X168" i="88"/>
  <c r="W168" i="88"/>
  <c r="AD167" i="88"/>
  <c r="X167" i="88"/>
  <c r="W167" i="88"/>
  <c r="AD166" i="88"/>
  <c r="X166" i="88"/>
  <c r="W166" i="88"/>
  <c r="AD165" i="88"/>
  <c r="X165" i="88"/>
  <c r="W165" i="88"/>
  <c r="AD164" i="88"/>
  <c r="X164" i="88"/>
  <c r="W164" i="88"/>
  <c r="AD163" i="88"/>
  <c r="X163" i="88"/>
  <c r="W163" i="88"/>
  <c r="AD162" i="88"/>
  <c r="X162" i="88"/>
  <c r="W162" i="88"/>
  <c r="AD161" i="88"/>
  <c r="X161" i="88"/>
  <c r="W161" i="88"/>
  <c r="AD160" i="88"/>
  <c r="X160" i="88"/>
  <c r="W160" i="88"/>
  <c r="AD159" i="88"/>
  <c r="X159" i="88"/>
  <c r="W159" i="88"/>
  <c r="AD158" i="88"/>
  <c r="X158" i="88"/>
  <c r="W158" i="88"/>
  <c r="AD157" i="88"/>
  <c r="X157" i="88"/>
  <c r="W157" i="88"/>
  <c r="AD156" i="88"/>
  <c r="X156" i="88"/>
  <c r="W156" i="88"/>
  <c r="AD155" i="88"/>
  <c r="X155" i="88"/>
  <c r="W155" i="88"/>
  <c r="AD154" i="88"/>
  <c r="X154" i="88"/>
  <c r="W154" i="88"/>
  <c r="AD153" i="88"/>
  <c r="X153" i="88"/>
  <c r="W153" i="88"/>
  <c r="AD152" i="88"/>
  <c r="X152" i="88"/>
  <c r="W152" i="88"/>
  <c r="AD151" i="88"/>
  <c r="X151" i="88"/>
  <c r="W151" i="88"/>
  <c r="AD150" i="88"/>
  <c r="X150" i="88"/>
  <c r="W150" i="88"/>
  <c r="AD149" i="88"/>
  <c r="X149" i="88"/>
  <c r="W149" i="88"/>
  <c r="AD148" i="88"/>
  <c r="X148" i="88"/>
  <c r="W148" i="88"/>
  <c r="AD147" i="88"/>
  <c r="X147" i="88"/>
  <c r="W147" i="88"/>
  <c r="AD146" i="88"/>
  <c r="X146" i="88"/>
  <c r="W146" i="88"/>
  <c r="X121" i="87"/>
  <c r="W121" i="87"/>
  <c r="AC121" i="87" s="1"/>
  <c r="V121" i="87"/>
  <c r="X120" i="87"/>
  <c r="W120" i="87"/>
  <c r="V120" i="87"/>
  <c r="AB120" i="87" s="1"/>
  <c r="X119" i="87"/>
  <c r="W119" i="87"/>
  <c r="V119" i="87"/>
  <c r="X118" i="87"/>
  <c r="AD118" i="87" s="1"/>
  <c r="W118" i="87"/>
  <c r="V118" i="87"/>
  <c r="X117" i="87"/>
  <c r="W117" i="87"/>
  <c r="AC117" i="87" s="1"/>
  <c r="V117" i="87"/>
  <c r="X116" i="87"/>
  <c r="W116" i="87"/>
  <c r="V116" i="87"/>
  <c r="AB116" i="87" s="1"/>
  <c r="X115" i="87"/>
  <c r="W115" i="87"/>
  <c r="V115" i="87"/>
  <c r="X114" i="87"/>
  <c r="AD114" i="87" s="1"/>
  <c r="W114" i="87"/>
  <c r="V114" i="87"/>
  <c r="X113" i="87"/>
  <c r="W113" i="87"/>
  <c r="AC113" i="87" s="1"/>
  <c r="V113" i="87"/>
  <c r="X112" i="87"/>
  <c r="W112" i="87"/>
  <c r="V112" i="87"/>
  <c r="AB112" i="87" s="1"/>
  <c r="X111" i="87"/>
  <c r="W111" i="87"/>
  <c r="V111" i="87"/>
  <c r="X110" i="87"/>
  <c r="AD110" i="87" s="1"/>
  <c r="W110" i="87"/>
  <c r="V110" i="87"/>
  <c r="X109" i="87"/>
  <c r="W109" i="87"/>
  <c r="AC109" i="87" s="1"/>
  <c r="V109" i="87"/>
  <c r="X108" i="87"/>
  <c r="W108" i="87"/>
  <c r="V108" i="87"/>
  <c r="AB108" i="87" s="1"/>
  <c r="X107" i="87"/>
  <c r="W107" i="87"/>
  <c r="V107" i="87"/>
  <c r="X106" i="87"/>
  <c r="AD106" i="87" s="1"/>
  <c r="W106" i="87"/>
  <c r="V106" i="87"/>
  <c r="X105" i="87"/>
  <c r="W105" i="87"/>
  <c r="AC105" i="87" s="1"/>
  <c r="V105" i="87"/>
  <c r="X104" i="87"/>
  <c r="W104" i="87"/>
  <c r="V104" i="87"/>
  <c r="AB104" i="87" s="1"/>
  <c r="X103" i="87"/>
  <c r="W103" i="87"/>
  <c r="V103" i="87"/>
  <c r="X102" i="87"/>
  <c r="AD102" i="87" s="1"/>
  <c r="W102" i="87"/>
  <c r="V102" i="87"/>
  <c r="X101" i="87"/>
  <c r="W101" i="87"/>
  <c r="AC101" i="87" s="1"/>
  <c r="V101" i="87"/>
  <c r="X100" i="87"/>
  <c r="W100" i="87"/>
  <c r="V100" i="87"/>
  <c r="AB100" i="87" s="1"/>
  <c r="X99" i="87"/>
  <c r="W99" i="87"/>
  <c r="V99" i="87"/>
  <c r="X98" i="87"/>
  <c r="AD98" i="87" s="1"/>
  <c r="W98" i="87"/>
  <c r="V98" i="87"/>
  <c r="X73" i="88"/>
  <c r="W73" i="88"/>
  <c r="V73" i="88"/>
  <c r="AB73" i="88" s="1"/>
  <c r="X72" i="88"/>
  <c r="W72" i="88"/>
  <c r="V72" i="88"/>
  <c r="AB72" i="88" s="1"/>
  <c r="X71" i="88"/>
  <c r="W71" i="88"/>
  <c r="AC71" i="88" s="1"/>
  <c r="V71" i="88"/>
  <c r="AB71" i="88" s="1"/>
  <c r="X70" i="88"/>
  <c r="W70" i="88"/>
  <c r="AC70" i="88" s="1"/>
  <c r="V70" i="88"/>
  <c r="AB70" i="88" s="1"/>
  <c r="X69" i="88"/>
  <c r="W69" i="88"/>
  <c r="V69" i="88"/>
  <c r="AB69" i="88" s="1"/>
  <c r="AC68" i="88"/>
  <c r="X68" i="88"/>
  <c r="W68" i="88"/>
  <c r="V68" i="88"/>
  <c r="AB68" i="88" s="1"/>
  <c r="X67" i="88"/>
  <c r="W67" i="88"/>
  <c r="V67" i="88"/>
  <c r="AB67" i="88" s="1"/>
  <c r="X66" i="88"/>
  <c r="W66" i="88"/>
  <c r="V66" i="88"/>
  <c r="AB66" i="88" s="1"/>
  <c r="X65" i="88"/>
  <c r="W65" i="88"/>
  <c r="AC65" i="88" s="1"/>
  <c r="V65" i="88"/>
  <c r="AB65" i="88" s="1"/>
  <c r="X64" i="88"/>
  <c r="W64" i="88"/>
  <c r="V64" i="88"/>
  <c r="AB64" i="88" s="1"/>
  <c r="X63" i="88"/>
  <c r="W63" i="88"/>
  <c r="V63" i="88"/>
  <c r="AB63" i="88" s="1"/>
  <c r="X62" i="88"/>
  <c r="W62" i="88"/>
  <c r="V62" i="88"/>
  <c r="AB62" i="88" s="1"/>
  <c r="X61" i="88"/>
  <c r="W61" i="88"/>
  <c r="AC61" i="88" s="1"/>
  <c r="V61" i="88"/>
  <c r="AB61" i="88" s="1"/>
  <c r="X60" i="88"/>
  <c r="W60" i="88"/>
  <c r="V60" i="88"/>
  <c r="AB60" i="88" s="1"/>
  <c r="X59" i="88"/>
  <c r="W59" i="88"/>
  <c r="V59" i="88"/>
  <c r="AB59" i="88" s="1"/>
  <c r="AB58" i="88"/>
  <c r="X58" i="88"/>
  <c r="W58" i="88"/>
  <c r="V58" i="88"/>
  <c r="X57" i="88"/>
  <c r="W57" i="88"/>
  <c r="V57" i="88"/>
  <c r="AB57" i="88" s="1"/>
  <c r="X56" i="88"/>
  <c r="W56" i="88"/>
  <c r="AC56" i="88" s="1"/>
  <c r="V56" i="88"/>
  <c r="AB56" i="88" s="1"/>
  <c r="X55" i="88"/>
  <c r="W55" i="88"/>
  <c r="V55" i="88"/>
  <c r="AB55" i="88" s="1"/>
  <c r="X54" i="88"/>
  <c r="W54" i="88"/>
  <c r="V54" i="88"/>
  <c r="AB54" i="88" s="1"/>
  <c r="X53" i="88"/>
  <c r="W53" i="88"/>
  <c r="V53" i="88"/>
  <c r="AB53" i="88" s="1"/>
  <c r="X52" i="88"/>
  <c r="W52" i="88"/>
  <c r="AC52" i="88" s="1"/>
  <c r="V52" i="88"/>
  <c r="AB52" i="88" s="1"/>
  <c r="X51" i="88"/>
  <c r="W51" i="88"/>
  <c r="V51" i="88"/>
  <c r="AB51" i="88" s="1"/>
  <c r="X50" i="88"/>
  <c r="W50" i="88"/>
  <c r="V50" i="88"/>
  <c r="AB50" i="88" s="1"/>
  <c r="M40" i="5"/>
  <c r="M39" i="5"/>
  <c r="M38" i="5"/>
  <c r="AJ9" i="88"/>
  <c r="AI9" i="88"/>
  <c r="AJ4" i="88"/>
  <c r="AI4" i="88"/>
  <c r="AD445" i="88"/>
  <c r="AD444" i="88"/>
  <c r="AD443" i="88"/>
  <c r="AD442" i="88"/>
  <c r="AD441" i="88"/>
  <c r="AD440" i="88"/>
  <c r="AD439" i="88"/>
  <c r="AD438" i="88"/>
  <c r="AD437" i="88"/>
  <c r="AD436" i="88"/>
  <c r="AD435" i="88"/>
  <c r="AD434" i="88"/>
  <c r="AD433" i="88"/>
  <c r="AD432" i="88"/>
  <c r="AD431" i="88"/>
  <c r="AD430" i="88"/>
  <c r="AD429" i="88"/>
  <c r="AD428" i="88"/>
  <c r="AD427" i="88"/>
  <c r="AD426" i="88"/>
  <c r="AD425" i="88"/>
  <c r="AD424" i="88"/>
  <c r="AD423" i="88"/>
  <c r="AD422" i="88"/>
  <c r="AD421" i="88"/>
  <c r="AD420" i="88"/>
  <c r="AD419" i="88"/>
  <c r="AD418" i="88"/>
  <c r="AD417" i="88"/>
  <c r="AD416" i="88"/>
  <c r="AD415" i="88"/>
  <c r="AD414" i="88"/>
  <c r="AD413" i="88"/>
  <c r="AD412" i="88"/>
  <c r="AD411" i="88"/>
  <c r="AD410" i="88"/>
  <c r="AD409" i="88"/>
  <c r="AD408" i="88"/>
  <c r="AD407" i="88"/>
  <c r="AD406" i="88"/>
  <c r="AD405" i="88"/>
  <c r="AD404" i="88"/>
  <c r="AD403" i="88"/>
  <c r="AD402" i="88"/>
  <c r="AD401" i="88"/>
  <c r="AD400" i="88"/>
  <c r="AD399" i="88"/>
  <c r="AD398" i="88"/>
  <c r="AD397" i="88"/>
  <c r="AD396" i="88"/>
  <c r="AD395" i="88"/>
  <c r="AD394" i="88"/>
  <c r="AD393" i="88"/>
  <c r="AD392" i="88"/>
  <c r="AD391" i="88"/>
  <c r="AD390" i="88"/>
  <c r="AD389" i="88"/>
  <c r="AD388" i="88"/>
  <c r="AD387" i="88"/>
  <c r="AD386" i="88"/>
  <c r="AD385" i="88"/>
  <c r="AD384" i="88"/>
  <c r="AD383" i="88"/>
  <c r="AD382" i="88"/>
  <c r="AD381" i="88"/>
  <c r="AD380" i="88"/>
  <c r="AD379" i="88"/>
  <c r="AD378" i="88"/>
  <c r="AD377" i="88"/>
  <c r="AD376" i="88"/>
  <c r="AD375" i="88"/>
  <c r="AD374" i="88"/>
  <c r="AD373" i="88"/>
  <c r="AD372" i="88"/>
  <c r="AD371" i="88"/>
  <c r="AD370" i="88"/>
  <c r="AD369" i="88"/>
  <c r="AD368" i="88"/>
  <c r="AD367" i="88"/>
  <c r="AD366" i="88"/>
  <c r="AD365" i="88"/>
  <c r="AD364" i="88"/>
  <c r="AD363" i="88"/>
  <c r="AD362" i="88"/>
  <c r="AD361" i="88"/>
  <c r="AD360" i="88"/>
  <c r="AD359" i="88"/>
  <c r="AD358" i="88"/>
  <c r="AD357" i="88"/>
  <c r="AD356" i="88"/>
  <c r="AD355" i="88"/>
  <c r="AD354" i="88"/>
  <c r="AD353" i="88"/>
  <c r="AD352" i="88"/>
  <c r="AD351" i="88"/>
  <c r="AD350" i="88"/>
  <c r="AD349" i="88"/>
  <c r="AD348" i="88"/>
  <c r="AD347" i="88"/>
  <c r="AD346" i="88"/>
  <c r="AD345" i="88"/>
  <c r="AD344" i="88"/>
  <c r="AD343" i="88"/>
  <c r="AD342" i="88"/>
  <c r="AD341" i="88"/>
  <c r="AD340" i="88"/>
  <c r="AD339" i="88"/>
  <c r="AD338" i="88"/>
  <c r="AD337" i="88"/>
  <c r="AD336" i="88"/>
  <c r="AD335" i="88"/>
  <c r="AD334" i="88"/>
  <c r="AD333" i="88"/>
  <c r="AD332" i="88"/>
  <c r="AD331" i="88"/>
  <c r="AD330" i="88"/>
  <c r="AD329" i="88"/>
  <c r="AD328" i="88"/>
  <c r="AD327" i="88"/>
  <c r="AD326" i="88"/>
  <c r="AD325" i="88"/>
  <c r="AD324" i="88"/>
  <c r="AD323" i="88"/>
  <c r="AD322" i="88"/>
  <c r="AD321" i="88"/>
  <c r="AD320" i="88"/>
  <c r="AD319" i="88"/>
  <c r="AD318" i="88"/>
  <c r="AD317" i="88"/>
  <c r="AD316" i="88"/>
  <c r="AD315" i="88"/>
  <c r="AD10" i="91" s="1"/>
  <c r="AD314" i="88"/>
  <c r="AD313" i="88"/>
  <c r="AD312" i="88"/>
  <c r="AD311" i="88"/>
  <c r="AD310" i="88"/>
  <c r="AD309" i="88"/>
  <c r="AD308" i="88"/>
  <c r="AD307" i="88"/>
  <c r="AD306" i="88"/>
  <c r="AD305" i="88"/>
  <c r="AD304" i="88"/>
  <c r="AD303" i="88"/>
  <c r="AD302" i="88"/>
  <c r="AD301" i="88"/>
  <c r="AD300" i="88"/>
  <c r="AD299" i="88"/>
  <c r="AD298" i="88"/>
  <c r="AD297" i="88"/>
  <c r="AD296" i="88"/>
  <c r="AD295" i="88"/>
  <c r="AD294" i="88"/>
  <c r="AD293" i="88"/>
  <c r="AD292" i="88"/>
  <c r="AD291" i="88"/>
  <c r="AD290" i="88"/>
  <c r="AD289" i="88"/>
  <c r="AD288" i="88"/>
  <c r="AD287" i="88"/>
  <c r="AD286" i="88"/>
  <c r="AD285" i="88"/>
  <c r="AD284" i="88"/>
  <c r="AD283" i="88"/>
  <c r="AD282" i="88"/>
  <c r="AD281" i="88"/>
  <c r="AD280" i="88"/>
  <c r="AD279" i="88"/>
  <c r="AD278" i="88"/>
  <c r="AD277" i="88"/>
  <c r="AD276" i="88"/>
  <c r="AD275" i="88"/>
  <c r="AD274" i="88"/>
  <c r="AD273" i="88"/>
  <c r="AD272" i="88"/>
  <c r="AD271" i="88"/>
  <c r="AD270" i="88"/>
  <c r="AD269" i="88"/>
  <c r="AD268" i="88"/>
  <c r="AD267" i="88"/>
  <c r="AD266" i="88"/>
  <c r="AD265" i="88"/>
  <c r="AD264" i="88"/>
  <c r="AD263" i="88"/>
  <c r="AD262" i="88"/>
  <c r="AD261" i="88"/>
  <c r="AD260" i="88"/>
  <c r="AD259" i="88"/>
  <c r="AD258" i="88"/>
  <c r="AD257" i="88"/>
  <c r="AD256" i="88"/>
  <c r="AD255" i="88"/>
  <c r="AD9" i="91" s="1"/>
  <c r="AD254" i="88"/>
  <c r="AD145" i="88"/>
  <c r="AD144" i="88"/>
  <c r="AD143" i="88"/>
  <c r="AD142" i="88"/>
  <c r="AD141" i="88"/>
  <c r="AD140" i="88"/>
  <c r="AD139" i="88"/>
  <c r="AD138" i="88"/>
  <c r="AD137" i="88"/>
  <c r="AD136" i="88"/>
  <c r="AD135" i="88"/>
  <c r="AD134" i="88"/>
  <c r="AD133" i="88"/>
  <c r="AD132" i="88"/>
  <c r="AD131" i="88"/>
  <c r="AD130" i="88"/>
  <c r="AD129" i="88"/>
  <c r="AD128" i="88"/>
  <c r="AD127" i="88"/>
  <c r="AD126" i="88"/>
  <c r="AD125" i="88"/>
  <c r="AD124" i="88"/>
  <c r="AD123" i="88"/>
  <c r="AD122" i="88"/>
  <c r="AE121" i="88"/>
  <c r="AE120" i="88"/>
  <c r="AE119" i="88"/>
  <c r="AE118" i="88"/>
  <c r="AE117" i="88"/>
  <c r="AE116" i="88"/>
  <c r="AE115" i="88"/>
  <c r="AE114" i="88"/>
  <c r="AE113" i="88"/>
  <c r="AE112" i="88"/>
  <c r="AE111" i="88"/>
  <c r="AE110" i="88"/>
  <c r="AD109" i="88"/>
  <c r="AD108" i="88"/>
  <c r="AD107" i="88"/>
  <c r="AD106" i="88"/>
  <c r="AD105" i="88"/>
  <c r="AD104" i="88"/>
  <c r="AD103" i="88"/>
  <c r="AD102" i="88"/>
  <c r="AD101" i="88"/>
  <c r="AD100" i="88"/>
  <c r="AD99" i="88"/>
  <c r="AD98" i="88"/>
  <c r="AE97" i="88"/>
  <c r="AE96" i="88"/>
  <c r="AE95" i="88"/>
  <c r="AE94" i="88"/>
  <c r="AE93" i="88"/>
  <c r="AE92" i="88"/>
  <c r="AE91" i="88"/>
  <c r="AE90" i="88"/>
  <c r="AE89" i="88"/>
  <c r="AE88" i="88"/>
  <c r="AE87" i="88"/>
  <c r="AE86" i="88"/>
  <c r="AE85" i="88"/>
  <c r="AE84" i="88"/>
  <c r="AE83" i="88"/>
  <c r="AE82" i="88"/>
  <c r="AE81" i="88"/>
  <c r="AE80" i="88"/>
  <c r="AE79" i="88"/>
  <c r="AE78" i="88"/>
  <c r="AE77" i="88"/>
  <c r="AE76" i="88"/>
  <c r="AE75" i="88"/>
  <c r="AE74" i="88"/>
  <c r="AD37" i="88"/>
  <c r="AD36" i="88"/>
  <c r="AD35" i="88"/>
  <c r="AD34" i="88"/>
  <c r="AD33" i="88"/>
  <c r="AD32" i="88"/>
  <c r="AD31" i="88"/>
  <c r="AD30" i="88"/>
  <c r="AD29" i="88"/>
  <c r="AD28" i="88"/>
  <c r="AD27" i="88"/>
  <c r="AD26" i="88"/>
  <c r="AE13" i="88"/>
  <c r="AE12" i="88"/>
  <c r="AE11" i="88"/>
  <c r="AE10" i="88"/>
  <c r="AE9" i="88"/>
  <c r="AE8" i="88"/>
  <c r="AE7" i="88"/>
  <c r="AE6" i="88"/>
  <c r="AE5" i="88"/>
  <c r="AE4" i="88"/>
  <c r="AE3" i="88"/>
  <c r="AE5" i="91" s="1"/>
  <c r="AE2" i="88"/>
  <c r="V457" i="88"/>
  <c r="AB457" i="88" s="1"/>
  <c r="V456" i="88"/>
  <c r="AB456" i="88" s="1"/>
  <c r="V455" i="88"/>
  <c r="AB455" i="88" s="1"/>
  <c r="V454" i="88"/>
  <c r="AB454" i="88" s="1"/>
  <c r="V453" i="88"/>
  <c r="AB453" i="88" s="1"/>
  <c r="V452" i="88"/>
  <c r="AB452" i="88" s="1"/>
  <c r="V451" i="88"/>
  <c r="AB451" i="88" s="1"/>
  <c r="V450" i="88"/>
  <c r="AB450" i="88" s="1"/>
  <c r="V449" i="88"/>
  <c r="AB449" i="88" s="1"/>
  <c r="V448" i="88"/>
  <c r="AB448" i="88" s="1"/>
  <c r="V447" i="88"/>
  <c r="AB447" i="88" s="1"/>
  <c r="V446" i="88"/>
  <c r="AB446" i="88" s="1"/>
  <c r="X445" i="88"/>
  <c r="W445" i="88"/>
  <c r="V445" i="88"/>
  <c r="AB445" i="88" s="1"/>
  <c r="X444" i="88"/>
  <c r="W444" i="88"/>
  <c r="V444" i="88"/>
  <c r="AB444" i="88" s="1"/>
  <c r="X443" i="88"/>
  <c r="W443" i="88"/>
  <c r="V443" i="88"/>
  <c r="AB443" i="88" s="1"/>
  <c r="X442" i="88"/>
  <c r="W442" i="88"/>
  <c r="V442" i="88"/>
  <c r="AB442" i="88" s="1"/>
  <c r="X441" i="88"/>
  <c r="W441" i="88"/>
  <c r="V441" i="88"/>
  <c r="AB441" i="88" s="1"/>
  <c r="X440" i="88"/>
  <c r="W440" i="88"/>
  <c r="V440" i="88"/>
  <c r="AB440" i="88" s="1"/>
  <c r="X439" i="88"/>
  <c r="W439" i="88"/>
  <c r="V439" i="88"/>
  <c r="AB439" i="88" s="1"/>
  <c r="X438" i="88"/>
  <c r="W438" i="88"/>
  <c r="V438" i="88"/>
  <c r="AB438" i="88" s="1"/>
  <c r="X437" i="88"/>
  <c r="W437" i="88"/>
  <c r="V437" i="88"/>
  <c r="AB437" i="88" s="1"/>
  <c r="X436" i="88"/>
  <c r="W436" i="88"/>
  <c r="V436" i="88"/>
  <c r="AB436" i="88" s="1"/>
  <c r="X435" i="88"/>
  <c r="W435" i="88"/>
  <c r="V435" i="88"/>
  <c r="AB435" i="88" s="1"/>
  <c r="X434" i="88"/>
  <c r="W434" i="88"/>
  <c r="V434" i="88"/>
  <c r="AB434" i="88" s="1"/>
  <c r="X433" i="88"/>
  <c r="W433" i="88"/>
  <c r="V433" i="88"/>
  <c r="AB433" i="88" s="1"/>
  <c r="X432" i="88"/>
  <c r="W432" i="88"/>
  <c r="V432" i="88"/>
  <c r="AB432" i="88" s="1"/>
  <c r="X431" i="88"/>
  <c r="W431" i="88"/>
  <c r="V431" i="88"/>
  <c r="AB431" i="88" s="1"/>
  <c r="X430" i="88"/>
  <c r="W430" i="88"/>
  <c r="V430" i="88"/>
  <c r="AB430" i="88" s="1"/>
  <c r="X429" i="88"/>
  <c r="W429" i="88"/>
  <c r="V429" i="88"/>
  <c r="AB429" i="88" s="1"/>
  <c r="X428" i="88"/>
  <c r="W428" i="88"/>
  <c r="V428" i="88"/>
  <c r="AB428" i="88" s="1"/>
  <c r="X427" i="88"/>
  <c r="W427" i="88"/>
  <c r="V427" i="88"/>
  <c r="AB427" i="88" s="1"/>
  <c r="X426" i="88"/>
  <c r="W426" i="88"/>
  <c r="V426" i="88"/>
  <c r="AB426" i="88" s="1"/>
  <c r="X425" i="88"/>
  <c r="W425" i="88"/>
  <c r="V425" i="88"/>
  <c r="AB425" i="88" s="1"/>
  <c r="X424" i="88"/>
  <c r="W424" i="88"/>
  <c r="V424" i="88"/>
  <c r="AB424" i="88" s="1"/>
  <c r="X423" i="88"/>
  <c r="W423" i="88"/>
  <c r="V423" i="88"/>
  <c r="AB423" i="88" s="1"/>
  <c r="X422" i="88"/>
  <c r="W422" i="88"/>
  <c r="V422" i="88"/>
  <c r="AB422" i="88" s="1"/>
  <c r="X421" i="88"/>
  <c r="W421" i="88"/>
  <c r="V421" i="88"/>
  <c r="AB421" i="88" s="1"/>
  <c r="X420" i="88"/>
  <c r="W420" i="88"/>
  <c r="V420" i="88"/>
  <c r="AB420" i="88" s="1"/>
  <c r="X419" i="88"/>
  <c r="W419" i="88"/>
  <c r="V419" i="88"/>
  <c r="AB419" i="88" s="1"/>
  <c r="X418" i="88"/>
  <c r="W418" i="88"/>
  <c r="V418" i="88"/>
  <c r="AB418" i="88" s="1"/>
  <c r="X417" i="88"/>
  <c r="W417" i="88"/>
  <c r="V417" i="88"/>
  <c r="AB417" i="88" s="1"/>
  <c r="X416" i="88"/>
  <c r="W416" i="88"/>
  <c r="V416" i="88"/>
  <c r="AB416" i="88" s="1"/>
  <c r="X415" i="88"/>
  <c r="W415" i="88"/>
  <c r="V415" i="88"/>
  <c r="AB415" i="88" s="1"/>
  <c r="X414" i="88"/>
  <c r="W414" i="88"/>
  <c r="V414" i="88"/>
  <c r="AB414" i="88" s="1"/>
  <c r="X413" i="88"/>
  <c r="W413" i="88"/>
  <c r="V413" i="88"/>
  <c r="AB413" i="88" s="1"/>
  <c r="X412" i="88"/>
  <c r="W412" i="88"/>
  <c r="V412" i="88"/>
  <c r="AB412" i="88" s="1"/>
  <c r="X411" i="88"/>
  <c r="W411" i="88"/>
  <c r="V411" i="88"/>
  <c r="AB411" i="88" s="1"/>
  <c r="X410" i="88"/>
  <c r="W410" i="88"/>
  <c r="V410" i="88"/>
  <c r="AB410" i="88" s="1"/>
  <c r="X409" i="88"/>
  <c r="W409" i="88"/>
  <c r="V409" i="88"/>
  <c r="AB409" i="88" s="1"/>
  <c r="X408" i="88"/>
  <c r="W408" i="88"/>
  <c r="V408" i="88"/>
  <c r="AB408" i="88" s="1"/>
  <c r="X407" i="88"/>
  <c r="W407" i="88"/>
  <c r="V407" i="88"/>
  <c r="AB407" i="88" s="1"/>
  <c r="X406" i="88"/>
  <c r="W406" i="88"/>
  <c r="V406" i="88"/>
  <c r="AB406" i="88" s="1"/>
  <c r="X405" i="88"/>
  <c r="W405" i="88"/>
  <c r="V405" i="88"/>
  <c r="AB405" i="88" s="1"/>
  <c r="X404" i="88"/>
  <c r="W404" i="88"/>
  <c r="V404" i="88"/>
  <c r="AB404" i="88" s="1"/>
  <c r="X403" i="88"/>
  <c r="W403" i="88"/>
  <c r="V403" i="88"/>
  <c r="AB403" i="88" s="1"/>
  <c r="X402" i="88"/>
  <c r="W402" i="88"/>
  <c r="V402" i="88"/>
  <c r="AB402" i="88" s="1"/>
  <c r="X401" i="88"/>
  <c r="W401" i="88"/>
  <c r="V401" i="88"/>
  <c r="AB401" i="88" s="1"/>
  <c r="X400" i="88"/>
  <c r="W400" i="88"/>
  <c r="V400" i="88"/>
  <c r="AB400" i="88" s="1"/>
  <c r="X399" i="88"/>
  <c r="W399" i="88"/>
  <c r="V399" i="88"/>
  <c r="AB399" i="88" s="1"/>
  <c r="X398" i="88"/>
  <c r="W398" i="88"/>
  <c r="V398" i="88"/>
  <c r="AB398" i="88" s="1"/>
  <c r="X397" i="88"/>
  <c r="W397" i="88"/>
  <c r="V397" i="88"/>
  <c r="AB397" i="88" s="1"/>
  <c r="X396" i="88"/>
  <c r="W396" i="88"/>
  <c r="V396" i="88"/>
  <c r="AB396" i="88" s="1"/>
  <c r="X395" i="88"/>
  <c r="W395" i="88"/>
  <c r="V395" i="88"/>
  <c r="AB395" i="88" s="1"/>
  <c r="X394" i="88"/>
  <c r="W394" i="88"/>
  <c r="V394" i="88"/>
  <c r="AB394" i="88" s="1"/>
  <c r="X393" i="88"/>
  <c r="W393" i="88"/>
  <c r="V393" i="88"/>
  <c r="AB393" i="88" s="1"/>
  <c r="X392" i="88"/>
  <c r="W392" i="88"/>
  <c r="V392" i="88"/>
  <c r="AB392" i="88" s="1"/>
  <c r="X391" i="88"/>
  <c r="W391" i="88"/>
  <c r="V391" i="88"/>
  <c r="AB391" i="88" s="1"/>
  <c r="X390" i="88"/>
  <c r="W390" i="88"/>
  <c r="V390" i="88"/>
  <c r="AB390" i="88" s="1"/>
  <c r="X389" i="88"/>
  <c r="W389" i="88"/>
  <c r="V389" i="88"/>
  <c r="AB389" i="88" s="1"/>
  <c r="X388" i="88"/>
  <c r="W388" i="88"/>
  <c r="V388" i="88"/>
  <c r="AB388" i="88" s="1"/>
  <c r="X387" i="88"/>
  <c r="W387" i="88"/>
  <c r="V387" i="88"/>
  <c r="AB387" i="88" s="1"/>
  <c r="X386" i="88"/>
  <c r="W386" i="88"/>
  <c r="V386" i="88"/>
  <c r="AB386" i="88" s="1"/>
  <c r="X385" i="88"/>
  <c r="W385" i="88"/>
  <c r="V385" i="88"/>
  <c r="AB385" i="88" s="1"/>
  <c r="X384" i="88"/>
  <c r="W384" i="88"/>
  <c r="V384" i="88"/>
  <c r="AB384" i="88" s="1"/>
  <c r="X383" i="88"/>
  <c r="W383" i="88"/>
  <c r="V383" i="88"/>
  <c r="AB383" i="88" s="1"/>
  <c r="X382" i="88"/>
  <c r="W382" i="88"/>
  <c r="V382" i="88"/>
  <c r="AB382" i="88" s="1"/>
  <c r="X381" i="88"/>
  <c r="W381" i="88"/>
  <c r="V381" i="88"/>
  <c r="AB381" i="88" s="1"/>
  <c r="X380" i="88"/>
  <c r="W380" i="88"/>
  <c r="V380" i="88"/>
  <c r="AB380" i="88" s="1"/>
  <c r="X379" i="88"/>
  <c r="W379" i="88"/>
  <c r="V379" i="88"/>
  <c r="AB379" i="88" s="1"/>
  <c r="X378" i="88"/>
  <c r="W378" i="88"/>
  <c r="V378" i="88"/>
  <c r="AB378" i="88" s="1"/>
  <c r="X377" i="88"/>
  <c r="W377" i="88"/>
  <c r="V377" i="88"/>
  <c r="AB377" i="88" s="1"/>
  <c r="X376" i="88"/>
  <c r="W376" i="88"/>
  <c r="V376" i="88"/>
  <c r="AB376" i="88" s="1"/>
  <c r="X375" i="88"/>
  <c r="W375" i="88"/>
  <c r="V375" i="88"/>
  <c r="AB375" i="88" s="1"/>
  <c r="X374" i="88"/>
  <c r="W374" i="88"/>
  <c r="V374" i="88"/>
  <c r="AB374" i="88" s="1"/>
  <c r="X373" i="88"/>
  <c r="W373" i="88"/>
  <c r="V373" i="88"/>
  <c r="AB373" i="88" s="1"/>
  <c r="X372" i="88"/>
  <c r="W372" i="88"/>
  <c r="V372" i="88"/>
  <c r="AB372" i="88" s="1"/>
  <c r="X371" i="88"/>
  <c r="W371" i="88"/>
  <c r="V371" i="88"/>
  <c r="AB371" i="88" s="1"/>
  <c r="X370" i="88"/>
  <c r="W370" i="88"/>
  <c r="V370" i="88"/>
  <c r="AB370" i="88" s="1"/>
  <c r="X369" i="88"/>
  <c r="W369" i="88"/>
  <c r="V369" i="88"/>
  <c r="AB369" i="88" s="1"/>
  <c r="X368" i="88"/>
  <c r="W368" i="88"/>
  <c r="V368" i="88"/>
  <c r="AB368" i="88" s="1"/>
  <c r="X367" i="88"/>
  <c r="W367" i="88"/>
  <c r="V367" i="88"/>
  <c r="AB367" i="88" s="1"/>
  <c r="X366" i="88"/>
  <c r="W366" i="88"/>
  <c r="V366" i="88"/>
  <c r="AB366" i="88" s="1"/>
  <c r="X365" i="88"/>
  <c r="W365" i="88"/>
  <c r="V365" i="88"/>
  <c r="AB365" i="88" s="1"/>
  <c r="X364" i="88"/>
  <c r="W364" i="88"/>
  <c r="V364" i="88"/>
  <c r="AB364" i="88" s="1"/>
  <c r="X363" i="88"/>
  <c r="W363" i="88"/>
  <c r="V363" i="88"/>
  <c r="AB363" i="88" s="1"/>
  <c r="X362" i="88"/>
  <c r="W362" i="88"/>
  <c r="V362" i="88"/>
  <c r="AB362" i="88" s="1"/>
  <c r="X361" i="88"/>
  <c r="W361" i="88"/>
  <c r="V361" i="88"/>
  <c r="AB361" i="88" s="1"/>
  <c r="X360" i="88"/>
  <c r="W360" i="88"/>
  <c r="V360" i="88"/>
  <c r="AB360" i="88" s="1"/>
  <c r="X359" i="88"/>
  <c r="W359" i="88"/>
  <c r="V359" i="88"/>
  <c r="AB359" i="88" s="1"/>
  <c r="X358" i="88"/>
  <c r="W358" i="88"/>
  <c r="V358" i="88"/>
  <c r="AB358" i="88" s="1"/>
  <c r="X357" i="88"/>
  <c r="W357" i="88"/>
  <c r="V357" i="88"/>
  <c r="AB357" i="88" s="1"/>
  <c r="X356" i="88"/>
  <c r="W356" i="88"/>
  <c r="V356" i="88"/>
  <c r="AB356" i="88" s="1"/>
  <c r="X355" i="88"/>
  <c r="W355" i="88"/>
  <c r="V355" i="88"/>
  <c r="AB355" i="88" s="1"/>
  <c r="X354" i="88"/>
  <c r="W354" i="88"/>
  <c r="V354" i="88"/>
  <c r="AB354" i="88" s="1"/>
  <c r="X353" i="88"/>
  <c r="W353" i="88"/>
  <c r="V353" i="88"/>
  <c r="AB353" i="88" s="1"/>
  <c r="X352" i="88"/>
  <c r="W352" i="88"/>
  <c r="V352" i="88"/>
  <c r="AB352" i="88" s="1"/>
  <c r="X351" i="88"/>
  <c r="W351" i="88"/>
  <c r="V351" i="88"/>
  <c r="AB351" i="88" s="1"/>
  <c r="X350" i="88"/>
  <c r="W350" i="88"/>
  <c r="V350" i="88"/>
  <c r="AB350" i="88" s="1"/>
  <c r="X349" i="88"/>
  <c r="W349" i="88"/>
  <c r="V349" i="88"/>
  <c r="AB349" i="88" s="1"/>
  <c r="X348" i="88"/>
  <c r="W348" i="88"/>
  <c r="V348" i="88"/>
  <c r="AB348" i="88" s="1"/>
  <c r="X347" i="88"/>
  <c r="W347" i="88"/>
  <c r="V347" i="88"/>
  <c r="AB347" i="88" s="1"/>
  <c r="X346" i="88"/>
  <c r="W346" i="88"/>
  <c r="V346" i="88"/>
  <c r="AB346" i="88" s="1"/>
  <c r="X345" i="88"/>
  <c r="W345" i="88"/>
  <c r="V345" i="88"/>
  <c r="AB345" i="88" s="1"/>
  <c r="X344" i="88"/>
  <c r="W344" i="88"/>
  <c r="V344" i="88"/>
  <c r="AB344" i="88" s="1"/>
  <c r="X343" i="88"/>
  <c r="W343" i="88"/>
  <c r="V343" i="88"/>
  <c r="AB343" i="88" s="1"/>
  <c r="X342" i="88"/>
  <c r="W342" i="88"/>
  <c r="V342" i="88"/>
  <c r="AB342" i="88" s="1"/>
  <c r="X341" i="88"/>
  <c r="W341" i="88"/>
  <c r="V341" i="88"/>
  <c r="AB341" i="88" s="1"/>
  <c r="X340" i="88"/>
  <c r="W340" i="88"/>
  <c r="V340" i="88"/>
  <c r="AB340" i="88" s="1"/>
  <c r="X339" i="88"/>
  <c r="W339" i="88"/>
  <c r="V339" i="88"/>
  <c r="AB339" i="88" s="1"/>
  <c r="X338" i="88"/>
  <c r="W338" i="88"/>
  <c r="V338" i="88"/>
  <c r="AB338" i="88" s="1"/>
  <c r="X337" i="88"/>
  <c r="W337" i="88"/>
  <c r="V337" i="88"/>
  <c r="AB337" i="88" s="1"/>
  <c r="X336" i="88"/>
  <c r="W336" i="88"/>
  <c r="V336" i="88"/>
  <c r="AB336" i="88" s="1"/>
  <c r="X335" i="88"/>
  <c r="W335" i="88"/>
  <c r="V335" i="88"/>
  <c r="AB335" i="88" s="1"/>
  <c r="X334" i="88"/>
  <c r="W334" i="88"/>
  <c r="V334" i="88"/>
  <c r="AB334" i="88" s="1"/>
  <c r="X333" i="88"/>
  <c r="W333" i="88"/>
  <c r="V333" i="88"/>
  <c r="AB333" i="88" s="1"/>
  <c r="X332" i="88"/>
  <c r="W332" i="88"/>
  <c r="V332" i="88"/>
  <c r="AB332" i="88" s="1"/>
  <c r="X331" i="88"/>
  <c r="W331" i="88"/>
  <c r="V331" i="88"/>
  <c r="AB331" i="88" s="1"/>
  <c r="X330" i="88"/>
  <c r="W330" i="88"/>
  <c r="V330" i="88"/>
  <c r="AB330" i="88" s="1"/>
  <c r="X329" i="88"/>
  <c r="W329" i="88"/>
  <c r="V329" i="88"/>
  <c r="AB329" i="88" s="1"/>
  <c r="X328" i="88"/>
  <c r="W328" i="88"/>
  <c r="V328" i="88"/>
  <c r="AB328" i="88" s="1"/>
  <c r="X327" i="88"/>
  <c r="W327" i="88"/>
  <c r="V327" i="88"/>
  <c r="AB327" i="88" s="1"/>
  <c r="X326" i="88"/>
  <c r="W326" i="88"/>
  <c r="V326" i="88"/>
  <c r="AB326" i="88" s="1"/>
  <c r="X325" i="88"/>
  <c r="W325" i="88"/>
  <c r="V325" i="88"/>
  <c r="AB325" i="88" s="1"/>
  <c r="X324" i="88"/>
  <c r="W324" i="88"/>
  <c r="V324" i="88"/>
  <c r="AB324" i="88" s="1"/>
  <c r="X323" i="88"/>
  <c r="W323" i="88"/>
  <c r="V323" i="88"/>
  <c r="AB323" i="88" s="1"/>
  <c r="X322" i="88"/>
  <c r="W322" i="88"/>
  <c r="V322" i="88"/>
  <c r="AB322" i="88" s="1"/>
  <c r="X321" i="88"/>
  <c r="W321" i="88"/>
  <c r="V321" i="88"/>
  <c r="AB321" i="88" s="1"/>
  <c r="X320" i="88"/>
  <c r="W320" i="88"/>
  <c r="V320" i="88"/>
  <c r="AB320" i="88" s="1"/>
  <c r="X319" i="88"/>
  <c r="W319" i="88"/>
  <c r="V319" i="88"/>
  <c r="AB319" i="88" s="1"/>
  <c r="X318" i="88"/>
  <c r="W318" i="88"/>
  <c r="V318" i="88"/>
  <c r="AB318" i="88" s="1"/>
  <c r="X317" i="88"/>
  <c r="W317" i="88"/>
  <c r="V317" i="88"/>
  <c r="AB317" i="88" s="1"/>
  <c r="X316" i="88"/>
  <c r="W316" i="88"/>
  <c r="V316" i="88"/>
  <c r="AB316" i="88" s="1"/>
  <c r="X315" i="88"/>
  <c r="W315" i="88"/>
  <c r="V315" i="88"/>
  <c r="AB315" i="88" s="1"/>
  <c r="X314" i="88"/>
  <c r="W314" i="88"/>
  <c r="V314" i="88"/>
  <c r="AB314" i="88" s="1"/>
  <c r="X313" i="88"/>
  <c r="W313" i="88"/>
  <c r="V313" i="88"/>
  <c r="AB313" i="88" s="1"/>
  <c r="X312" i="88"/>
  <c r="W312" i="88"/>
  <c r="V312" i="88"/>
  <c r="AB312" i="88" s="1"/>
  <c r="X311" i="88"/>
  <c r="W311" i="88"/>
  <c r="V311" i="88"/>
  <c r="AB311" i="88" s="1"/>
  <c r="X310" i="88"/>
  <c r="W310" i="88"/>
  <c r="V310" i="88"/>
  <c r="AB310" i="88" s="1"/>
  <c r="X309" i="88"/>
  <c r="W309" i="88"/>
  <c r="V309" i="88"/>
  <c r="AB309" i="88" s="1"/>
  <c r="X308" i="88"/>
  <c r="W308" i="88"/>
  <c r="V308" i="88"/>
  <c r="AB308" i="88" s="1"/>
  <c r="X307" i="88"/>
  <c r="W307" i="88"/>
  <c r="V307" i="88"/>
  <c r="AB307" i="88" s="1"/>
  <c r="X306" i="88"/>
  <c r="W306" i="88"/>
  <c r="V306" i="88"/>
  <c r="AB306" i="88" s="1"/>
  <c r="X305" i="88"/>
  <c r="W305" i="88"/>
  <c r="V305" i="88"/>
  <c r="AB305" i="88" s="1"/>
  <c r="X304" i="88"/>
  <c r="W304" i="88"/>
  <c r="V304" i="88"/>
  <c r="AB304" i="88" s="1"/>
  <c r="X303" i="88"/>
  <c r="W303" i="88"/>
  <c r="V303" i="88"/>
  <c r="AB303" i="88" s="1"/>
  <c r="X302" i="88"/>
  <c r="W302" i="88"/>
  <c r="V302" i="88"/>
  <c r="AB302" i="88" s="1"/>
  <c r="X301" i="88"/>
  <c r="W301" i="88"/>
  <c r="V301" i="88"/>
  <c r="AB301" i="88" s="1"/>
  <c r="X300" i="88"/>
  <c r="W300" i="88"/>
  <c r="V300" i="88"/>
  <c r="AB300" i="88" s="1"/>
  <c r="X299" i="88"/>
  <c r="W299" i="88"/>
  <c r="V299" i="88"/>
  <c r="AB299" i="88" s="1"/>
  <c r="X298" i="88"/>
  <c r="W298" i="88"/>
  <c r="V298" i="88"/>
  <c r="AB298" i="88" s="1"/>
  <c r="X297" i="88"/>
  <c r="W297" i="88"/>
  <c r="V297" i="88"/>
  <c r="AB297" i="88" s="1"/>
  <c r="X296" i="88"/>
  <c r="W296" i="88"/>
  <c r="V296" i="88"/>
  <c r="AB296" i="88" s="1"/>
  <c r="X295" i="88"/>
  <c r="W295" i="88"/>
  <c r="V295" i="88"/>
  <c r="AB295" i="88" s="1"/>
  <c r="X294" i="88"/>
  <c r="W294" i="88"/>
  <c r="V294" i="88"/>
  <c r="AB294" i="88" s="1"/>
  <c r="X293" i="88"/>
  <c r="W293" i="88"/>
  <c r="V293" i="88"/>
  <c r="AB293" i="88" s="1"/>
  <c r="X292" i="88"/>
  <c r="W292" i="88"/>
  <c r="V292" i="88"/>
  <c r="AB292" i="88" s="1"/>
  <c r="X291" i="88"/>
  <c r="W291" i="88"/>
  <c r="V291" i="88"/>
  <c r="AB291" i="88" s="1"/>
  <c r="X290" i="88"/>
  <c r="W290" i="88"/>
  <c r="V290" i="88"/>
  <c r="AB290" i="88" s="1"/>
  <c r="X289" i="88"/>
  <c r="W289" i="88"/>
  <c r="V289" i="88"/>
  <c r="AB289" i="88" s="1"/>
  <c r="X288" i="88"/>
  <c r="W288" i="88"/>
  <c r="V288" i="88"/>
  <c r="AB288" i="88" s="1"/>
  <c r="X287" i="88"/>
  <c r="W287" i="88"/>
  <c r="V287" i="88"/>
  <c r="AB287" i="88" s="1"/>
  <c r="X286" i="88"/>
  <c r="W286" i="88"/>
  <c r="V286" i="88"/>
  <c r="AB286" i="88" s="1"/>
  <c r="X285" i="88"/>
  <c r="W285" i="88"/>
  <c r="V285" i="88"/>
  <c r="AB285" i="88" s="1"/>
  <c r="X284" i="88"/>
  <c r="W284" i="88"/>
  <c r="V284" i="88"/>
  <c r="AB284" i="88" s="1"/>
  <c r="X283" i="88"/>
  <c r="W283" i="88"/>
  <c r="V283" i="88"/>
  <c r="AB283" i="88" s="1"/>
  <c r="X282" i="88"/>
  <c r="W282" i="88"/>
  <c r="V282" i="88"/>
  <c r="AB282" i="88" s="1"/>
  <c r="X281" i="88"/>
  <c r="W281" i="88"/>
  <c r="V281" i="88"/>
  <c r="AB281" i="88" s="1"/>
  <c r="X280" i="88"/>
  <c r="W280" i="88"/>
  <c r="V280" i="88"/>
  <c r="AB280" i="88" s="1"/>
  <c r="X279" i="88"/>
  <c r="W279" i="88"/>
  <c r="V279" i="88"/>
  <c r="AB279" i="88" s="1"/>
  <c r="X278" i="88"/>
  <c r="W278" i="88"/>
  <c r="V278" i="88"/>
  <c r="AB278" i="88" s="1"/>
  <c r="X277" i="88"/>
  <c r="W277" i="88"/>
  <c r="V277" i="88"/>
  <c r="AB277" i="88" s="1"/>
  <c r="X276" i="88"/>
  <c r="W276" i="88"/>
  <c r="V276" i="88"/>
  <c r="AB276" i="88" s="1"/>
  <c r="X275" i="88"/>
  <c r="W275" i="88"/>
  <c r="V275" i="88"/>
  <c r="AB275" i="88" s="1"/>
  <c r="X274" i="88"/>
  <c r="W274" i="88"/>
  <c r="V274" i="88"/>
  <c r="AB274" i="88" s="1"/>
  <c r="X273" i="88"/>
  <c r="W273" i="88"/>
  <c r="V273" i="88"/>
  <c r="AB273" i="88" s="1"/>
  <c r="X272" i="88"/>
  <c r="W272" i="88"/>
  <c r="V272" i="88"/>
  <c r="AB272" i="88" s="1"/>
  <c r="X271" i="88"/>
  <c r="W271" i="88"/>
  <c r="V271" i="88"/>
  <c r="AB271" i="88" s="1"/>
  <c r="X270" i="88"/>
  <c r="W270" i="88"/>
  <c r="V270" i="88"/>
  <c r="AB270" i="88" s="1"/>
  <c r="X269" i="88"/>
  <c r="W269" i="88"/>
  <c r="V269" i="88"/>
  <c r="AB269" i="88" s="1"/>
  <c r="X268" i="88"/>
  <c r="W268" i="88"/>
  <c r="V268" i="88"/>
  <c r="AB268" i="88" s="1"/>
  <c r="X267" i="88"/>
  <c r="W267" i="88"/>
  <c r="V267" i="88"/>
  <c r="AB267" i="88" s="1"/>
  <c r="X266" i="88"/>
  <c r="W266" i="88"/>
  <c r="V266" i="88"/>
  <c r="AB266" i="88" s="1"/>
  <c r="X265" i="88"/>
  <c r="W265" i="88"/>
  <c r="V265" i="88"/>
  <c r="AB265" i="88" s="1"/>
  <c r="X264" i="88"/>
  <c r="W264" i="88"/>
  <c r="V264" i="88"/>
  <c r="AB264" i="88" s="1"/>
  <c r="X263" i="88"/>
  <c r="W263" i="88"/>
  <c r="V263" i="88"/>
  <c r="AB263" i="88" s="1"/>
  <c r="X262" i="88"/>
  <c r="W262" i="88"/>
  <c r="V262" i="88"/>
  <c r="AB262" i="88" s="1"/>
  <c r="X261" i="88"/>
  <c r="W261" i="88"/>
  <c r="V261" i="88"/>
  <c r="AB261" i="88" s="1"/>
  <c r="X260" i="88"/>
  <c r="W260" i="88"/>
  <c r="V260" i="88"/>
  <c r="AB260" i="88" s="1"/>
  <c r="X259" i="88"/>
  <c r="W259" i="88"/>
  <c r="V259" i="88"/>
  <c r="AB259" i="88" s="1"/>
  <c r="X258" i="88"/>
  <c r="W258" i="88"/>
  <c r="V258" i="88"/>
  <c r="AB258" i="88" s="1"/>
  <c r="X257" i="88"/>
  <c r="W257" i="88"/>
  <c r="V257" i="88"/>
  <c r="AB257" i="88" s="1"/>
  <c r="X256" i="88"/>
  <c r="W256" i="88"/>
  <c r="V256" i="88"/>
  <c r="AB256" i="88" s="1"/>
  <c r="X255" i="88"/>
  <c r="W255" i="88"/>
  <c r="V255" i="88"/>
  <c r="AB255" i="88" s="1"/>
  <c r="X254" i="88"/>
  <c r="W254" i="88"/>
  <c r="V254" i="88"/>
  <c r="AB254" i="88" s="1"/>
  <c r="V253" i="88"/>
  <c r="AB253" i="88" s="1"/>
  <c r="V252" i="88"/>
  <c r="AB252" i="88" s="1"/>
  <c r="V251" i="88"/>
  <c r="AB251" i="88" s="1"/>
  <c r="V250" i="88"/>
  <c r="AB250" i="88" s="1"/>
  <c r="V249" i="88"/>
  <c r="AB249" i="88" s="1"/>
  <c r="V248" i="88"/>
  <c r="AB248" i="88" s="1"/>
  <c r="V247" i="88"/>
  <c r="AB247" i="88" s="1"/>
  <c r="V246" i="88"/>
  <c r="AB246" i="88" s="1"/>
  <c r="V245" i="88"/>
  <c r="AB245" i="88" s="1"/>
  <c r="V244" i="88"/>
  <c r="AB244" i="88" s="1"/>
  <c r="V243" i="88"/>
  <c r="AB243" i="88" s="1"/>
  <c r="V242" i="88"/>
  <c r="AB242" i="88" s="1"/>
  <c r="V241" i="88"/>
  <c r="AB241" i="88" s="1"/>
  <c r="X240" i="88"/>
  <c r="W240" i="88"/>
  <c r="X239" i="88"/>
  <c r="W239" i="88"/>
  <c r="AC239" i="88" s="1"/>
  <c r="X238" i="88"/>
  <c r="W238" i="88"/>
  <c r="X237" i="88"/>
  <c r="W237" i="88"/>
  <c r="AC237" i="88" s="1"/>
  <c r="X236" i="88"/>
  <c r="W236" i="88"/>
  <c r="X235" i="88"/>
  <c r="W235" i="88"/>
  <c r="AC235" i="88" s="1"/>
  <c r="X234" i="88"/>
  <c r="W234" i="88"/>
  <c r="X233" i="88"/>
  <c r="W233" i="88"/>
  <c r="AC233" i="88" s="1"/>
  <c r="X232" i="88"/>
  <c r="W232" i="88"/>
  <c r="X231" i="88"/>
  <c r="W231" i="88"/>
  <c r="AC231" i="88" s="1"/>
  <c r="X230" i="88"/>
  <c r="W230" i="88"/>
  <c r="X229" i="88"/>
  <c r="W229" i="88"/>
  <c r="AC229" i="88" s="1"/>
  <c r="X228" i="88"/>
  <c r="W228" i="88"/>
  <c r="V227" i="88"/>
  <c r="AB227" i="88" s="1"/>
  <c r="V226" i="88"/>
  <c r="AB226" i="88" s="1"/>
  <c r="V225" i="88"/>
  <c r="AB225" i="88" s="1"/>
  <c r="V224" i="88"/>
  <c r="AB224" i="88" s="1"/>
  <c r="V223" i="88"/>
  <c r="AB223" i="88" s="1"/>
  <c r="V222" i="88"/>
  <c r="AB222" i="88" s="1"/>
  <c r="V221" i="88"/>
  <c r="AB221" i="88" s="1"/>
  <c r="V220" i="88"/>
  <c r="AB220" i="88" s="1"/>
  <c r="V219" i="88"/>
  <c r="AB219" i="88" s="1"/>
  <c r="V218" i="88"/>
  <c r="AB218" i="88" s="1"/>
  <c r="V217" i="88"/>
  <c r="AB217" i="88" s="1"/>
  <c r="V216" i="88"/>
  <c r="AB216" i="88" s="1"/>
  <c r="V215" i="88"/>
  <c r="AB215" i="88" s="1"/>
  <c r="V214" i="88"/>
  <c r="AB214" i="88" s="1"/>
  <c r="V213" i="88"/>
  <c r="AB213" i="88" s="1"/>
  <c r="V212" i="88"/>
  <c r="AB212" i="88" s="1"/>
  <c r="V211" i="88"/>
  <c r="AB211" i="88" s="1"/>
  <c r="V210" i="88"/>
  <c r="AB210" i="88" s="1"/>
  <c r="V209" i="88"/>
  <c r="AB209" i="88" s="1"/>
  <c r="V208" i="88"/>
  <c r="AB208" i="88" s="1"/>
  <c r="V207" i="88"/>
  <c r="AB207" i="88" s="1"/>
  <c r="V206" i="88"/>
  <c r="AB206" i="88" s="1"/>
  <c r="V205" i="88"/>
  <c r="AB205" i="88" s="1"/>
  <c r="V204" i="88"/>
  <c r="AB204" i="88" s="1"/>
  <c r="V203" i="88"/>
  <c r="AB203" i="88" s="1"/>
  <c r="V202" i="88"/>
  <c r="AB202" i="88" s="1"/>
  <c r="V201" i="88"/>
  <c r="AB201" i="88" s="1"/>
  <c r="V200" i="88"/>
  <c r="AB200" i="88" s="1"/>
  <c r="V199" i="88"/>
  <c r="AB199" i="88" s="1"/>
  <c r="V198" i="88"/>
  <c r="AB198" i="88" s="1"/>
  <c r="V197" i="88"/>
  <c r="AB197" i="88" s="1"/>
  <c r="V196" i="88"/>
  <c r="AB196" i="88" s="1"/>
  <c r="V195" i="88"/>
  <c r="AB195" i="88" s="1"/>
  <c r="V194" i="88"/>
  <c r="AB194" i="88" s="1"/>
  <c r="V193" i="88"/>
  <c r="AB193" i="88" s="1"/>
  <c r="V192" i="88"/>
  <c r="AB192" i="88" s="1"/>
  <c r="X191" i="88"/>
  <c r="W191" i="88"/>
  <c r="AC191" i="88" s="1"/>
  <c r="X190" i="88"/>
  <c r="W190" i="88"/>
  <c r="X189" i="88"/>
  <c r="W189" i="88"/>
  <c r="AC189" i="88" s="1"/>
  <c r="X188" i="88"/>
  <c r="W188" i="88"/>
  <c r="X187" i="88"/>
  <c r="W187" i="88"/>
  <c r="AC187" i="88" s="1"/>
  <c r="X186" i="88"/>
  <c r="W186" i="88"/>
  <c r="X185" i="88"/>
  <c r="W185" i="88"/>
  <c r="AC185" i="88" s="1"/>
  <c r="X184" i="88"/>
  <c r="W184" i="88"/>
  <c r="X183" i="88"/>
  <c r="W183" i="88"/>
  <c r="AC183" i="88" s="1"/>
  <c r="X182" i="88"/>
  <c r="W182" i="88"/>
  <c r="X181" i="88"/>
  <c r="W181" i="88"/>
  <c r="AC181" i="88" s="1"/>
  <c r="X180" i="88"/>
  <c r="W180" i="88"/>
  <c r="X179" i="88"/>
  <c r="W179" i="88"/>
  <c r="AC179" i="88" s="1"/>
  <c r="X178" i="88"/>
  <c r="W178" i="88"/>
  <c r="X177" i="88"/>
  <c r="W177" i="88"/>
  <c r="AC177" i="88" s="1"/>
  <c r="X176" i="88"/>
  <c r="W176" i="88"/>
  <c r="X175" i="88"/>
  <c r="W175" i="88"/>
  <c r="AC175" i="88" s="1"/>
  <c r="X174" i="88"/>
  <c r="W174" i="88"/>
  <c r="X173" i="88"/>
  <c r="W173" i="88"/>
  <c r="AC173" i="88" s="1"/>
  <c r="X172" i="88"/>
  <c r="W172" i="88"/>
  <c r="X171" i="88"/>
  <c r="W171" i="88"/>
  <c r="AC171" i="88" s="1"/>
  <c r="X170" i="88"/>
  <c r="W170" i="88"/>
  <c r="X169" i="88"/>
  <c r="W169" i="88"/>
  <c r="AC169" i="88" s="1"/>
  <c r="V168" i="88"/>
  <c r="AB168" i="88" s="1"/>
  <c r="V167" i="88"/>
  <c r="AB167" i="88" s="1"/>
  <c r="V166" i="88"/>
  <c r="AB166" i="88" s="1"/>
  <c r="V165" i="88"/>
  <c r="AB165" i="88" s="1"/>
  <c r="V164" i="88"/>
  <c r="AB164" i="88" s="1"/>
  <c r="V163" i="88"/>
  <c r="AB163" i="88" s="1"/>
  <c r="V162" i="88"/>
  <c r="AB162" i="88" s="1"/>
  <c r="V161" i="88"/>
  <c r="AB161" i="88" s="1"/>
  <c r="V160" i="88"/>
  <c r="AB160" i="88" s="1"/>
  <c r="V159" i="88"/>
  <c r="AB159" i="88" s="1"/>
  <c r="V158" i="88"/>
  <c r="AB158" i="88" s="1"/>
  <c r="V157" i="88"/>
  <c r="AB157" i="88" s="1"/>
  <c r="V156" i="88"/>
  <c r="AB156" i="88" s="1"/>
  <c r="V155" i="88"/>
  <c r="AB155" i="88" s="1"/>
  <c r="V154" i="88"/>
  <c r="AB154" i="88" s="1"/>
  <c r="V153" i="88"/>
  <c r="AB153" i="88" s="1"/>
  <c r="V152" i="88"/>
  <c r="AB152" i="88" s="1"/>
  <c r="V151" i="88"/>
  <c r="AB151" i="88" s="1"/>
  <c r="V150" i="88"/>
  <c r="AB150" i="88" s="1"/>
  <c r="V149" i="88"/>
  <c r="AB149" i="88" s="1"/>
  <c r="V148" i="88"/>
  <c r="AB148" i="88" s="1"/>
  <c r="V147" i="88"/>
  <c r="AB147" i="88" s="1"/>
  <c r="V146" i="88"/>
  <c r="AB146" i="88" s="1"/>
  <c r="X145" i="88"/>
  <c r="W145" i="88"/>
  <c r="V145" i="88"/>
  <c r="AB145" i="88" s="1"/>
  <c r="X144" i="88"/>
  <c r="W144" i="88"/>
  <c r="V144" i="88"/>
  <c r="AB144" i="88" s="1"/>
  <c r="X143" i="88"/>
  <c r="W143" i="88"/>
  <c r="V143" i="88"/>
  <c r="AB143" i="88" s="1"/>
  <c r="X142" i="88"/>
  <c r="W142" i="88"/>
  <c r="V142" i="88"/>
  <c r="AB142" i="88" s="1"/>
  <c r="X141" i="88"/>
  <c r="W141" i="88"/>
  <c r="V141" i="88"/>
  <c r="AB141" i="88" s="1"/>
  <c r="X140" i="88"/>
  <c r="W140" i="88"/>
  <c r="V140" i="88"/>
  <c r="AB140" i="88" s="1"/>
  <c r="X139" i="88"/>
  <c r="W139" i="88"/>
  <c r="V139" i="88"/>
  <c r="AB139" i="88" s="1"/>
  <c r="X138" i="88"/>
  <c r="W138" i="88"/>
  <c r="V138" i="88"/>
  <c r="AB138" i="88" s="1"/>
  <c r="X137" i="88"/>
  <c r="W137" i="88"/>
  <c r="V137" i="88"/>
  <c r="AB137" i="88" s="1"/>
  <c r="X136" i="88"/>
  <c r="W136" i="88"/>
  <c r="V136" i="88"/>
  <c r="AB136" i="88" s="1"/>
  <c r="X135" i="88"/>
  <c r="W135" i="88"/>
  <c r="V135" i="88"/>
  <c r="AB135" i="88" s="1"/>
  <c r="X134" i="88"/>
  <c r="W134" i="88"/>
  <c r="V134" i="88"/>
  <c r="AB134" i="88" s="1"/>
  <c r="X133" i="88"/>
  <c r="W133" i="88"/>
  <c r="V133" i="88"/>
  <c r="AB133" i="88" s="1"/>
  <c r="X132" i="88"/>
  <c r="W132" i="88"/>
  <c r="AC132" i="88" s="1"/>
  <c r="V132" i="88"/>
  <c r="AB132" i="88" s="1"/>
  <c r="X131" i="88"/>
  <c r="W131" i="88"/>
  <c r="V131" i="88"/>
  <c r="AB131" i="88" s="1"/>
  <c r="X130" i="88"/>
  <c r="W130" i="88"/>
  <c r="V130" i="88"/>
  <c r="AB130" i="88" s="1"/>
  <c r="X129" i="88"/>
  <c r="W129" i="88"/>
  <c r="V129" i="88"/>
  <c r="AB129" i="88" s="1"/>
  <c r="X128" i="88"/>
  <c r="W128" i="88"/>
  <c r="AC128" i="88" s="1"/>
  <c r="V128" i="88"/>
  <c r="AB128" i="88" s="1"/>
  <c r="X127" i="88"/>
  <c r="W127" i="88"/>
  <c r="V127" i="88"/>
  <c r="AB127" i="88" s="1"/>
  <c r="X126" i="88"/>
  <c r="W126" i="88"/>
  <c r="V126" i="88"/>
  <c r="AB126" i="88" s="1"/>
  <c r="X125" i="88"/>
  <c r="W125" i="88"/>
  <c r="V125" i="88"/>
  <c r="AB125" i="88" s="1"/>
  <c r="X124" i="88"/>
  <c r="W124" i="88"/>
  <c r="AC124" i="88" s="1"/>
  <c r="V124" i="88"/>
  <c r="AB124" i="88" s="1"/>
  <c r="X123" i="88"/>
  <c r="W123" i="88"/>
  <c r="V123" i="88"/>
  <c r="AB123" i="88" s="1"/>
  <c r="X122" i="88"/>
  <c r="W122" i="88"/>
  <c r="V122" i="88"/>
  <c r="AB122" i="88" s="1"/>
  <c r="X121" i="88"/>
  <c r="W121" i="88"/>
  <c r="V121" i="88"/>
  <c r="AB121" i="88" s="1"/>
  <c r="X120" i="88"/>
  <c r="W120" i="88"/>
  <c r="AC120" i="88" s="1"/>
  <c r="V120" i="88"/>
  <c r="AB120" i="88" s="1"/>
  <c r="X119" i="88"/>
  <c r="W119" i="88"/>
  <c r="V119" i="88"/>
  <c r="AB119" i="88" s="1"/>
  <c r="X118" i="88"/>
  <c r="W118" i="88"/>
  <c r="V118" i="88"/>
  <c r="AB118" i="88" s="1"/>
  <c r="X117" i="88"/>
  <c r="W117" i="88"/>
  <c r="V117" i="88"/>
  <c r="AB117" i="88" s="1"/>
  <c r="X116" i="88"/>
  <c r="W116" i="88"/>
  <c r="AC116" i="88" s="1"/>
  <c r="V116" i="88"/>
  <c r="AB116" i="88" s="1"/>
  <c r="X115" i="88"/>
  <c r="W115" i="88"/>
  <c r="V115" i="88"/>
  <c r="AB115" i="88" s="1"/>
  <c r="X114" i="88"/>
  <c r="W114" i="88"/>
  <c r="V114" i="88"/>
  <c r="AB114" i="88" s="1"/>
  <c r="X113" i="88"/>
  <c r="W113" i="88"/>
  <c r="V113" i="88"/>
  <c r="AB113" i="88" s="1"/>
  <c r="X112" i="88"/>
  <c r="W112" i="88"/>
  <c r="AC112" i="88" s="1"/>
  <c r="V112" i="88"/>
  <c r="AB112" i="88" s="1"/>
  <c r="X111" i="88"/>
  <c r="W111" i="88"/>
  <c r="V111" i="88"/>
  <c r="AB111" i="88" s="1"/>
  <c r="X110" i="88"/>
  <c r="W110" i="88"/>
  <c r="V110" i="88"/>
  <c r="AB110" i="88" s="1"/>
  <c r="X109" i="88"/>
  <c r="W109" i="88"/>
  <c r="V109" i="88"/>
  <c r="AB109" i="88" s="1"/>
  <c r="X108" i="88"/>
  <c r="W108" i="88"/>
  <c r="AC108" i="88" s="1"/>
  <c r="V108" i="88"/>
  <c r="AB108" i="88" s="1"/>
  <c r="X107" i="88"/>
  <c r="W107" i="88"/>
  <c r="V107" i="88"/>
  <c r="AB107" i="88" s="1"/>
  <c r="X106" i="88"/>
  <c r="W106" i="88"/>
  <c r="V106" i="88"/>
  <c r="AB106" i="88" s="1"/>
  <c r="X105" i="88"/>
  <c r="W105" i="88"/>
  <c r="V105" i="88"/>
  <c r="AB105" i="88" s="1"/>
  <c r="X104" i="88"/>
  <c r="W104" i="88"/>
  <c r="AC104" i="88" s="1"/>
  <c r="V104" i="88"/>
  <c r="AB104" i="88" s="1"/>
  <c r="X103" i="88"/>
  <c r="W103" i="88"/>
  <c r="V103" i="88"/>
  <c r="AB103" i="88" s="1"/>
  <c r="X102" i="88"/>
  <c r="W102" i="88"/>
  <c r="V102" i="88"/>
  <c r="AB102" i="88" s="1"/>
  <c r="X101" i="88"/>
  <c r="W101" i="88"/>
  <c r="V101" i="88"/>
  <c r="AB101" i="88" s="1"/>
  <c r="X100" i="88"/>
  <c r="W100" i="88"/>
  <c r="AC100" i="88" s="1"/>
  <c r="V100" i="88"/>
  <c r="AB100" i="88" s="1"/>
  <c r="X99" i="88"/>
  <c r="W99" i="88"/>
  <c r="V99" i="88"/>
  <c r="AB99" i="88" s="1"/>
  <c r="X98" i="88"/>
  <c r="W98" i="88"/>
  <c r="V98" i="88"/>
  <c r="AB98" i="88" s="1"/>
  <c r="X97" i="88"/>
  <c r="W97" i="88"/>
  <c r="V97" i="88"/>
  <c r="AB97" i="88" s="1"/>
  <c r="X96" i="88"/>
  <c r="W96" i="88"/>
  <c r="AC96" i="88" s="1"/>
  <c r="V96" i="88"/>
  <c r="AB96" i="88" s="1"/>
  <c r="X95" i="88"/>
  <c r="W95" i="88"/>
  <c r="V95" i="88"/>
  <c r="AB95" i="88" s="1"/>
  <c r="X94" i="88"/>
  <c r="W94" i="88"/>
  <c r="V94" i="88"/>
  <c r="AB94" i="88" s="1"/>
  <c r="X93" i="88"/>
  <c r="W93" i="88"/>
  <c r="V93" i="88"/>
  <c r="AB93" i="88" s="1"/>
  <c r="X92" i="88"/>
  <c r="W92" i="88"/>
  <c r="AC92" i="88" s="1"/>
  <c r="V92" i="88"/>
  <c r="AB92" i="88" s="1"/>
  <c r="X91" i="88"/>
  <c r="W91" i="88"/>
  <c r="V91" i="88"/>
  <c r="AB91" i="88" s="1"/>
  <c r="X90" i="88"/>
  <c r="W90" i="88"/>
  <c r="V90" i="88"/>
  <c r="AB90" i="88" s="1"/>
  <c r="X89" i="88"/>
  <c r="W89" i="88"/>
  <c r="V89" i="88"/>
  <c r="AB89" i="88" s="1"/>
  <c r="X88" i="88"/>
  <c r="W88" i="88"/>
  <c r="AC88" i="88" s="1"/>
  <c r="V88" i="88"/>
  <c r="AB88" i="88" s="1"/>
  <c r="X87" i="88"/>
  <c r="W87" i="88"/>
  <c r="V87" i="88"/>
  <c r="AB87" i="88" s="1"/>
  <c r="X86" i="88"/>
  <c r="W86" i="88"/>
  <c r="V86" i="88"/>
  <c r="AB86" i="88" s="1"/>
  <c r="X85" i="88"/>
  <c r="W85" i="88"/>
  <c r="V85" i="88"/>
  <c r="AB85" i="88" s="1"/>
  <c r="X84" i="88"/>
  <c r="W84" i="88"/>
  <c r="AC84" i="88" s="1"/>
  <c r="V84" i="88"/>
  <c r="AB84" i="88" s="1"/>
  <c r="X83" i="88"/>
  <c r="W83" i="88"/>
  <c r="V83" i="88"/>
  <c r="AB83" i="88" s="1"/>
  <c r="X82" i="88"/>
  <c r="W82" i="88"/>
  <c r="V82" i="88"/>
  <c r="AB82" i="88" s="1"/>
  <c r="X81" i="88"/>
  <c r="W81" i="88"/>
  <c r="V81" i="88"/>
  <c r="AB81" i="88" s="1"/>
  <c r="X80" i="88"/>
  <c r="W80" i="88"/>
  <c r="AC80" i="88" s="1"/>
  <c r="V80" i="88"/>
  <c r="AB80" i="88" s="1"/>
  <c r="X79" i="88"/>
  <c r="W79" i="88"/>
  <c r="V79" i="88"/>
  <c r="AB79" i="88" s="1"/>
  <c r="X78" i="88"/>
  <c r="W78" i="88"/>
  <c r="V78" i="88"/>
  <c r="AB78" i="88" s="1"/>
  <c r="X77" i="88"/>
  <c r="W77" i="88"/>
  <c r="V77" i="88"/>
  <c r="AB77" i="88" s="1"/>
  <c r="X76" i="88"/>
  <c r="W76" i="88"/>
  <c r="AC76" i="88" s="1"/>
  <c r="V76" i="88"/>
  <c r="AB76" i="88" s="1"/>
  <c r="X75" i="88"/>
  <c r="W75" i="88"/>
  <c r="V75" i="88"/>
  <c r="AB75" i="88" s="1"/>
  <c r="X74" i="88"/>
  <c r="W74" i="88"/>
  <c r="V74" i="88"/>
  <c r="AB74" i="88" s="1"/>
  <c r="X49" i="88"/>
  <c r="W49" i="88"/>
  <c r="V49" i="88"/>
  <c r="AB49" i="88" s="1"/>
  <c r="X48" i="88"/>
  <c r="W48" i="88"/>
  <c r="V48" i="88"/>
  <c r="AB48" i="88" s="1"/>
  <c r="X47" i="88"/>
  <c r="W47" i="88"/>
  <c r="V47" i="88"/>
  <c r="AB47" i="88" s="1"/>
  <c r="X46" i="88"/>
  <c r="W46" i="88"/>
  <c r="V46" i="88"/>
  <c r="AB46" i="88" s="1"/>
  <c r="X45" i="88"/>
  <c r="W45" i="88"/>
  <c r="V45" i="88"/>
  <c r="AB45" i="88" s="1"/>
  <c r="X44" i="88"/>
  <c r="W44" i="88"/>
  <c r="V44" i="88"/>
  <c r="AB44" i="88" s="1"/>
  <c r="X43" i="88"/>
  <c r="W43" i="88"/>
  <c r="V43" i="88"/>
  <c r="AB43" i="88" s="1"/>
  <c r="X42" i="88"/>
  <c r="W42" i="88"/>
  <c r="V42" i="88"/>
  <c r="AB42" i="88" s="1"/>
  <c r="X41" i="88"/>
  <c r="W41" i="88"/>
  <c r="V41" i="88"/>
  <c r="AB41" i="88" s="1"/>
  <c r="X40" i="88"/>
  <c r="W40" i="88"/>
  <c r="V40" i="88"/>
  <c r="AB40" i="88" s="1"/>
  <c r="X39" i="88"/>
  <c r="W39" i="88"/>
  <c r="V39" i="88"/>
  <c r="AB39" i="88" s="1"/>
  <c r="X38" i="88"/>
  <c r="W38" i="88"/>
  <c r="V38" i="88"/>
  <c r="AB38" i="88" s="1"/>
  <c r="X37" i="88"/>
  <c r="W37" i="88"/>
  <c r="V37" i="88"/>
  <c r="AB37" i="88" s="1"/>
  <c r="X36" i="88"/>
  <c r="W36" i="88"/>
  <c r="AC36" i="88" s="1"/>
  <c r="V36" i="88"/>
  <c r="AB36" i="88" s="1"/>
  <c r="X35" i="88"/>
  <c r="W35" i="88"/>
  <c r="V35" i="88"/>
  <c r="AB35" i="88" s="1"/>
  <c r="X34" i="88"/>
  <c r="W34" i="88"/>
  <c r="V34" i="88"/>
  <c r="AB34" i="88" s="1"/>
  <c r="X33" i="88"/>
  <c r="W33" i="88"/>
  <c r="V33" i="88"/>
  <c r="AB33" i="88" s="1"/>
  <c r="X32" i="88"/>
  <c r="W32" i="88"/>
  <c r="AC32" i="88" s="1"/>
  <c r="V32" i="88"/>
  <c r="AB32" i="88" s="1"/>
  <c r="X31" i="88"/>
  <c r="W31" i="88"/>
  <c r="V31" i="88"/>
  <c r="AB31" i="88" s="1"/>
  <c r="X30" i="88"/>
  <c r="W30" i="88"/>
  <c r="V30" i="88"/>
  <c r="AB30" i="88" s="1"/>
  <c r="X29" i="88"/>
  <c r="W29" i="88"/>
  <c r="V29" i="88"/>
  <c r="AB29" i="88" s="1"/>
  <c r="X28" i="88"/>
  <c r="W28" i="88"/>
  <c r="AC28" i="88" s="1"/>
  <c r="V28" i="88"/>
  <c r="AB28" i="88" s="1"/>
  <c r="X27" i="88"/>
  <c r="W27" i="88"/>
  <c r="V27" i="88"/>
  <c r="AB27" i="88" s="1"/>
  <c r="X26" i="88"/>
  <c r="W26" i="88"/>
  <c r="V26" i="88"/>
  <c r="AB26" i="88" s="1"/>
  <c r="X25" i="88"/>
  <c r="W25" i="88"/>
  <c r="V25" i="88"/>
  <c r="AB25" i="88" s="1"/>
  <c r="X24" i="88"/>
  <c r="W24" i="88"/>
  <c r="V24" i="88"/>
  <c r="AB24" i="88" s="1"/>
  <c r="X23" i="88"/>
  <c r="W23" i="88"/>
  <c r="V23" i="88"/>
  <c r="AB23" i="88" s="1"/>
  <c r="X22" i="88"/>
  <c r="W22" i="88"/>
  <c r="V22" i="88"/>
  <c r="AB22" i="88" s="1"/>
  <c r="X21" i="88"/>
  <c r="W21" i="88"/>
  <c r="V21" i="88"/>
  <c r="AB21" i="88" s="1"/>
  <c r="X20" i="88"/>
  <c r="W20" i="88"/>
  <c r="V20" i="88"/>
  <c r="AB20" i="88" s="1"/>
  <c r="X19" i="88"/>
  <c r="W19" i="88"/>
  <c r="V19" i="88"/>
  <c r="AB19" i="88" s="1"/>
  <c r="X18" i="88"/>
  <c r="W18" i="88"/>
  <c r="V18" i="88"/>
  <c r="AB18" i="88" s="1"/>
  <c r="X17" i="88"/>
  <c r="W17" i="88"/>
  <c r="V17" i="88"/>
  <c r="AB17" i="88" s="1"/>
  <c r="X16" i="88"/>
  <c r="W16" i="88"/>
  <c r="V16" i="88"/>
  <c r="AB16" i="88" s="1"/>
  <c r="X15" i="88"/>
  <c r="W15" i="88"/>
  <c r="V15" i="88"/>
  <c r="AB15" i="88" s="1"/>
  <c r="X14" i="88"/>
  <c r="W14" i="88"/>
  <c r="V14" i="88"/>
  <c r="AB14" i="88" s="1"/>
  <c r="X13" i="88"/>
  <c r="W13" i="88"/>
  <c r="V13" i="88"/>
  <c r="AB13" i="88" s="1"/>
  <c r="X12" i="88"/>
  <c r="W12" i="88"/>
  <c r="AC12" i="88" s="1"/>
  <c r="V12" i="88"/>
  <c r="AB12" i="88" s="1"/>
  <c r="X11" i="88"/>
  <c r="W11" i="88"/>
  <c r="V11" i="88"/>
  <c r="AB11" i="88" s="1"/>
  <c r="X10" i="88"/>
  <c r="W10" i="88"/>
  <c r="V10" i="88"/>
  <c r="AB10" i="88" s="1"/>
  <c r="X9" i="88"/>
  <c r="W9" i="88"/>
  <c r="V9" i="88"/>
  <c r="AB9" i="88" s="1"/>
  <c r="X8" i="88"/>
  <c r="W8" i="88"/>
  <c r="AC8" i="88" s="1"/>
  <c r="V8" i="88"/>
  <c r="AB8" i="88" s="1"/>
  <c r="X7" i="88"/>
  <c r="W7" i="88"/>
  <c r="V7" i="88"/>
  <c r="AB7" i="88" s="1"/>
  <c r="X6" i="88"/>
  <c r="W6" i="88"/>
  <c r="V6" i="88"/>
  <c r="AB6" i="88" s="1"/>
  <c r="X5" i="88"/>
  <c r="W5" i="88"/>
  <c r="V5" i="88"/>
  <c r="AB5" i="88" s="1"/>
  <c r="X4" i="88"/>
  <c r="W4" i="88"/>
  <c r="AC4" i="88" s="1"/>
  <c r="V4" i="88"/>
  <c r="AB4" i="88" s="1"/>
  <c r="X3" i="88"/>
  <c r="W3" i="88"/>
  <c r="V3" i="88"/>
  <c r="AB3" i="88" s="1"/>
  <c r="X2" i="88"/>
  <c r="W2" i="88"/>
  <c r="V2" i="88"/>
  <c r="AB2" i="88" s="1"/>
  <c r="AE921" i="87"/>
  <c r="AE920" i="87"/>
  <c r="AE919" i="87"/>
  <c r="AE918" i="87"/>
  <c r="AE917" i="87"/>
  <c r="AE916" i="87"/>
  <c r="AE915" i="87"/>
  <c r="AE914" i="87"/>
  <c r="AE913" i="87"/>
  <c r="AE912" i="87"/>
  <c r="AE911" i="87"/>
  <c r="AE910" i="87"/>
  <c r="AE909" i="87"/>
  <c r="AD909" i="87"/>
  <c r="AE908" i="87"/>
  <c r="AD908" i="87"/>
  <c r="AC908" i="87"/>
  <c r="AE907" i="87"/>
  <c r="AD907" i="87"/>
  <c r="AE906" i="87"/>
  <c r="AD906" i="87"/>
  <c r="AC906" i="87"/>
  <c r="AE905" i="87"/>
  <c r="AD905" i="87"/>
  <c r="AE904" i="87"/>
  <c r="AD904" i="87"/>
  <c r="AC904" i="87"/>
  <c r="AE903" i="87"/>
  <c r="AD903" i="87"/>
  <c r="AE902" i="87"/>
  <c r="AD902" i="87"/>
  <c r="AC902" i="87"/>
  <c r="AE901" i="87"/>
  <c r="AD901" i="87"/>
  <c r="AE900" i="87"/>
  <c r="AD900" i="87"/>
  <c r="AC900" i="87"/>
  <c r="AE899" i="87"/>
  <c r="AD899" i="87"/>
  <c r="AC899" i="87"/>
  <c r="AE898" i="87"/>
  <c r="AD898" i="87"/>
  <c r="AC898" i="87"/>
  <c r="AE897" i="87"/>
  <c r="AE896" i="87"/>
  <c r="AE895" i="87"/>
  <c r="AE894" i="87"/>
  <c r="AE893" i="87"/>
  <c r="AE892" i="87"/>
  <c r="AE891" i="87"/>
  <c r="AE890" i="87"/>
  <c r="AE889" i="87"/>
  <c r="AE888" i="87"/>
  <c r="AE887" i="87"/>
  <c r="AE886" i="87"/>
  <c r="AE885" i="87"/>
  <c r="AE884" i="87"/>
  <c r="AE883" i="87"/>
  <c r="AE882" i="87"/>
  <c r="AE881" i="87"/>
  <c r="AE880" i="87"/>
  <c r="AE879" i="87"/>
  <c r="AE878" i="87"/>
  <c r="AE877" i="87"/>
  <c r="AE876" i="87"/>
  <c r="AE875" i="87"/>
  <c r="AE874" i="87"/>
  <c r="AE873" i="87"/>
  <c r="AE872" i="87"/>
  <c r="AE871" i="87"/>
  <c r="AE870" i="87"/>
  <c r="AE869" i="87"/>
  <c r="AE868" i="87"/>
  <c r="AE867" i="87"/>
  <c r="AE866" i="87"/>
  <c r="AE865" i="87"/>
  <c r="AE864" i="87"/>
  <c r="AE863" i="87"/>
  <c r="AE862" i="87"/>
  <c r="AE861" i="87"/>
  <c r="AE860" i="87"/>
  <c r="AE859" i="87"/>
  <c r="AE858" i="87"/>
  <c r="AE857" i="87"/>
  <c r="AE856" i="87"/>
  <c r="AE855" i="87"/>
  <c r="AE854" i="87"/>
  <c r="AE853" i="87"/>
  <c r="AE852" i="87"/>
  <c r="AE851" i="87"/>
  <c r="AE850" i="87"/>
  <c r="AE849" i="87"/>
  <c r="AE848" i="87"/>
  <c r="AE847" i="87"/>
  <c r="AE846" i="87"/>
  <c r="AE845" i="87"/>
  <c r="AE844" i="87"/>
  <c r="AE843" i="87"/>
  <c r="AE842" i="87"/>
  <c r="AE841" i="87"/>
  <c r="AE840" i="87"/>
  <c r="AE839" i="87"/>
  <c r="AE838" i="87"/>
  <c r="AE837" i="87"/>
  <c r="AE836" i="87"/>
  <c r="AE835" i="87"/>
  <c r="AE834" i="87"/>
  <c r="AE833" i="87"/>
  <c r="AE832" i="87"/>
  <c r="AE831" i="87"/>
  <c r="AE830" i="87"/>
  <c r="AE829" i="87"/>
  <c r="AE828" i="87"/>
  <c r="AE827" i="87"/>
  <c r="AE826" i="87"/>
  <c r="AE825" i="87"/>
  <c r="AE824" i="87"/>
  <c r="AE823" i="87"/>
  <c r="AE822" i="87"/>
  <c r="AE821" i="87"/>
  <c r="AE820" i="87"/>
  <c r="AE819" i="87"/>
  <c r="AE818" i="87"/>
  <c r="AE817" i="87"/>
  <c r="AE816" i="87"/>
  <c r="AE815" i="87"/>
  <c r="AE814" i="87"/>
  <c r="AE813" i="87"/>
  <c r="AE812" i="87"/>
  <c r="AE811" i="87"/>
  <c r="AE810" i="87"/>
  <c r="AE809" i="87"/>
  <c r="AE808" i="87"/>
  <c r="AE807" i="87"/>
  <c r="AE806" i="87"/>
  <c r="AE805" i="87"/>
  <c r="AE804" i="87"/>
  <c r="AE803" i="87"/>
  <c r="AE802" i="87"/>
  <c r="AE801" i="87"/>
  <c r="AE800" i="87"/>
  <c r="AE799" i="87"/>
  <c r="AE798" i="87"/>
  <c r="AE797" i="87"/>
  <c r="AE796" i="87"/>
  <c r="AE795" i="87"/>
  <c r="AE794" i="87"/>
  <c r="AE793" i="87"/>
  <c r="AE792" i="87"/>
  <c r="AE791" i="87"/>
  <c r="AE790" i="87"/>
  <c r="AE789" i="87"/>
  <c r="AE788" i="87"/>
  <c r="AE787" i="87"/>
  <c r="AE786" i="87"/>
  <c r="AE785" i="87"/>
  <c r="AE784" i="87"/>
  <c r="AE783" i="87"/>
  <c r="AE782" i="87"/>
  <c r="AE781" i="87"/>
  <c r="AE780" i="87"/>
  <c r="AE779" i="87"/>
  <c r="AE778" i="87"/>
  <c r="AE777" i="87"/>
  <c r="AE776" i="87"/>
  <c r="AE775" i="87"/>
  <c r="AE774" i="87"/>
  <c r="AE773" i="87"/>
  <c r="AE772" i="87"/>
  <c r="AE771" i="87"/>
  <c r="AE770" i="87"/>
  <c r="AE769" i="87"/>
  <c r="AE768" i="87"/>
  <c r="AE767" i="87"/>
  <c r="AE766" i="87"/>
  <c r="AE765" i="87"/>
  <c r="AE764" i="87"/>
  <c r="AE763" i="87"/>
  <c r="AE762" i="87"/>
  <c r="AE761" i="87"/>
  <c r="AE760" i="87"/>
  <c r="AE759" i="87"/>
  <c r="AE758" i="87"/>
  <c r="AE757" i="87"/>
  <c r="AE756" i="87"/>
  <c r="AE755" i="87"/>
  <c r="AE754" i="87"/>
  <c r="AE753" i="87"/>
  <c r="AE752" i="87"/>
  <c r="AE751" i="87"/>
  <c r="AE750" i="87"/>
  <c r="AE749" i="87"/>
  <c r="AE748" i="87"/>
  <c r="AE747" i="87"/>
  <c r="AE746" i="87"/>
  <c r="AE745" i="87"/>
  <c r="AE744" i="87"/>
  <c r="AE743" i="87"/>
  <c r="AE742" i="87"/>
  <c r="AE741" i="87"/>
  <c r="AE740" i="87"/>
  <c r="AE739" i="87"/>
  <c r="AE738" i="87"/>
  <c r="AE737" i="87"/>
  <c r="AE736" i="87"/>
  <c r="AE735" i="87"/>
  <c r="AE734" i="87"/>
  <c r="AE733" i="87"/>
  <c r="AE732" i="87"/>
  <c r="AE731" i="87"/>
  <c r="AE730" i="87"/>
  <c r="AE729" i="87"/>
  <c r="AE728" i="87"/>
  <c r="AE727" i="87"/>
  <c r="AE726" i="87"/>
  <c r="AE725" i="87"/>
  <c r="AE724" i="87"/>
  <c r="AE723" i="87"/>
  <c r="AE722" i="87"/>
  <c r="AE721" i="87"/>
  <c r="AE720" i="87"/>
  <c r="AE719" i="87"/>
  <c r="AE718" i="87"/>
  <c r="AE717" i="87"/>
  <c r="AE716" i="87"/>
  <c r="AE715" i="87"/>
  <c r="AE714" i="87"/>
  <c r="AE713" i="87"/>
  <c r="AE712" i="87"/>
  <c r="AE711" i="87"/>
  <c r="AE710" i="87"/>
  <c r="AE709" i="87"/>
  <c r="AE708" i="87"/>
  <c r="AE707" i="87"/>
  <c r="AE706" i="87"/>
  <c r="AE705" i="87"/>
  <c r="AE704" i="87"/>
  <c r="AE703" i="87"/>
  <c r="AE702" i="87"/>
  <c r="AE701" i="87"/>
  <c r="AE700" i="87"/>
  <c r="AE699" i="87"/>
  <c r="AE698" i="87"/>
  <c r="AE697" i="87"/>
  <c r="AE696" i="87"/>
  <c r="AE695" i="87"/>
  <c r="AE694" i="87"/>
  <c r="AE693" i="87"/>
  <c r="AE692" i="87"/>
  <c r="AE691" i="87"/>
  <c r="AE690" i="87"/>
  <c r="AE689" i="87"/>
  <c r="AE688" i="87"/>
  <c r="AE687" i="87"/>
  <c r="AE686" i="87"/>
  <c r="AE685" i="87"/>
  <c r="AE684" i="87"/>
  <c r="AE683" i="87"/>
  <c r="AE682" i="87"/>
  <c r="AE681" i="87"/>
  <c r="AE680" i="87"/>
  <c r="AE679" i="87"/>
  <c r="AE678" i="87"/>
  <c r="AE677" i="87"/>
  <c r="AE676" i="87"/>
  <c r="AE675" i="87"/>
  <c r="AE674" i="87"/>
  <c r="AE673" i="87"/>
  <c r="AE672" i="87"/>
  <c r="AE671" i="87"/>
  <c r="AE670" i="87"/>
  <c r="AE669" i="87"/>
  <c r="AE668" i="87"/>
  <c r="AE667" i="87"/>
  <c r="AE666" i="87"/>
  <c r="AE665" i="87"/>
  <c r="AE664" i="87"/>
  <c r="AE663" i="87"/>
  <c r="AE662" i="87"/>
  <c r="AE661" i="87"/>
  <c r="AE660" i="87"/>
  <c r="AE659" i="87"/>
  <c r="AE658" i="87"/>
  <c r="AE657" i="87"/>
  <c r="AE656" i="87"/>
  <c r="AE655" i="87"/>
  <c r="AE654" i="87"/>
  <c r="AE653" i="87"/>
  <c r="AE652" i="87"/>
  <c r="AE651" i="87"/>
  <c r="AE650" i="87"/>
  <c r="AE649" i="87"/>
  <c r="AE648" i="87"/>
  <c r="AE647" i="87"/>
  <c r="AE646" i="87"/>
  <c r="AE645" i="87"/>
  <c r="AE644" i="87"/>
  <c r="AE643" i="87"/>
  <c r="AE642" i="87"/>
  <c r="AE641" i="87"/>
  <c r="AE640" i="87"/>
  <c r="AA10" i="91" s="1"/>
  <c r="AE639" i="87"/>
  <c r="AE638" i="87"/>
  <c r="AE637" i="87"/>
  <c r="AE636" i="87"/>
  <c r="AE635" i="87"/>
  <c r="AE634" i="87"/>
  <c r="AE633" i="87"/>
  <c r="AE632" i="87"/>
  <c r="AE631" i="87"/>
  <c r="AE630" i="87"/>
  <c r="AE629" i="87"/>
  <c r="AE628" i="87"/>
  <c r="AE627" i="87"/>
  <c r="AE626" i="87"/>
  <c r="AE625" i="87"/>
  <c r="AE624" i="87"/>
  <c r="AE623" i="87"/>
  <c r="AE622" i="87"/>
  <c r="AE621" i="87"/>
  <c r="AE620" i="87"/>
  <c r="AE619" i="87"/>
  <c r="AE618" i="87"/>
  <c r="AE617" i="87"/>
  <c r="AE616" i="87"/>
  <c r="AE615" i="87"/>
  <c r="AE614" i="87"/>
  <c r="AE613" i="87"/>
  <c r="AE612" i="87"/>
  <c r="AE611" i="87"/>
  <c r="AE610" i="87"/>
  <c r="AE609" i="87"/>
  <c r="AE608" i="87"/>
  <c r="AE607" i="87"/>
  <c r="AE606" i="87"/>
  <c r="AE605" i="87"/>
  <c r="AE604" i="87"/>
  <c r="AE603" i="87"/>
  <c r="AE602" i="87"/>
  <c r="AE601" i="87"/>
  <c r="AE600" i="87"/>
  <c r="AE599" i="87"/>
  <c r="AE598" i="87"/>
  <c r="AE597" i="87"/>
  <c r="AE596" i="87"/>
  <c r="AE595" i="87"/>
  <c r="AE594" i="87"/>
  <c r="AE593" i="87"/>
  <c r="AE592" i="87"/>
  <c r="AE591" i="87"/>
  <c r="AE590" i="87"/>
  <c r="AE589" i="87"/>
  <c r="AE588" i="87"/>
  <c r="AE587" i="87"/>
  <c r="AE586" i="87"/>
  <c r="AE585" i="87"/>
  <c r="AE584" i="87"/>
  <c r="AE583" i="87"/>
  <c r="AE582" i="87"/>
  <c r="AE581" i="87"/>
  <c r="AE580" i="87"/>
  <c r="AE579" i="87"/>
  <c r="AE578" i="87"/>
  <c r="AE577" i="87"/>
  <c r="AE576" i="87"/>
  <c r="AE575" i="87"/>
  <c r="AE574" i="87"/>
  <c r="AE573" i="87"/>
  <c r="AE572" i="87"/>
  <c r="AE571" i="87"/>
  <c r="AE570" i="87"/>
  <c r="AE569" i="87"/>
  <c r="AE568" i="87"/>
  <c r="AE567" i="87"/>
  <c r="AE566" i="87"/>
  <c r="AE565" i="87"/>
  <c r="AE564" i="87"/>
  <c r="AE563" i="87"/>
  <c r="AE562" i="87"/>
  <c r="AE561" i="87"/>
  <c r="AE560" i="87"/>
  <c r="AE559" i="87"/>
  <c r="AE558" i="87"/>
  <c r="AE557" i="87"/>
  <c r="AE556" i="87"/>
  <c r="AE555" i="87"/>
  <c r="AE554" i="87"/>
  <c r="AE553" i="87"/>
  <c r="AE552" i="87"/>
  <c r="AE551" i="87"/>
  <c r="AE550" i="87"/>
  <c r="AE549" i="87"/>
  <c r="AE548" i="87"/>
  <c r="AE547" i="87"/>
  <c r="AE546" i="87"/>
  <c r="AE545" i="87"/>
  <c r="AE544" i="87"/>
  <c r="AE543" i="87"/>
  <c r="AE542" i="87"/>
  <c r="AE541" i="87"/>
  <c r="AE540" i="87"/>
  <c r="AE539" i="87"/>
  <c r="AE538" i="87"/>
  <c r="AE537" i="87"/>
  <c r="AE536" i="87"/>
  <c r="AE535" i="87"/>
  <c r="AE534" i="87"/>
  <c r="AE533" i="87"/>
  <c r="AE532" i="87"/>
  <c r="AE531" i="87"/>
  <c r="AE530" i="87"/>
  <c r="AE529" i="87"/>
  <c r="AE528" i="87"/>
  <c r="AE527" i="87"/>
  <c r="AE526" i="87"/>
  <c r="AE525" i="87"/>
  <c r="AE524" i="87"/>
  <c r="AE523" i="87"/>
  <c r="AE522" i="87"/>
  <c r="AE521" i="87"/>
  <c r="AE520" i="87"/>
  <c r="AE519" i="87"/>
  <c r="AE518" i="87"/>
  <c r="AE517" i="87"/>
  <c r="AE516" i="87"/>
  <c r="AE515" i="87"/>
  <c r="AE514" i="87"/>
  <c r="AE513" i="87"/>
  <c r="AE512" i="87"/>
  <c r="AE511" i="87"/>
  <c r="AE510" i="87"/>
  <c r="AE509" i="87"/>
  <c r="AE508" i="87"/>
  <c r="AE507" i="87"/>
  <c r="AE506" i="87"/>
  <c r="AE505" i="87"/>
  <c r="AA9" i="91" s="1"/>
  <c r="AE504" i="87"/>
  <c r="AD504" i="87"/>
  <c r="AC504" i="87"/>
  <c r="AE503" i="87"/>
  <c r="AD503" i="87"/>
  <c r="AC503" i="87"/>
  <c r="AE502" i="87"/>
  <c r="AD502" i="87"/>
  <c r="AE501" i="87"/>
  <c r="AD501" i="87"/>
  <c r="AC501" i="87"/>
  <c r="AE500" i="87"/>
  <c r="AD500" i="87"/>
  <c r="AC500" i="87"/>
  <c r="AE499" i="87"/>
  <c r="AD499" i="87"/>
  <c r="AC499" i="87"/>
  <c r="AE498" i="87"/>
  <c r="AD498" i="87"/>
  <c r="AE497" i="87"/>
  <c r="AD497" i="87"/>
  <c r="AC497" i="87"/>
  <c r="AE496" i="87"/>
  <c r="AD496" i="87"/>
  <c r="AC496" i="87"/>
  <c r="AE495" i="87"/>
  <c r="AD495" i="87"/>
  <c r="AC495" i="87"/>
  <c r="AE494" i="87"/>
  <c r="AD494" i="87"/>
  <c r="AE493" i="87"/>
  <c r="AD493" i="87"/>
  <c r="AC493" i="87"/>
  <c r="AE492" i="87"/>
  <c r="AD492" i="87"/>
  <c r="AC492" i="87"/>
  <c r="AG491" i="87"/>
  <c r="AF491" i="87"/>
  <c r="AB491" i="87"/>
  <c r="AG490" i="87"/>
  <c r="AF490" i="87"/>
  <c r="AB490" i="87"/>
  <c r="AG489" i="87"/>
  <c r="AF489" i="87"/>
  <c r="AB489" i="87"/>
  <c r="AG488" i="87"/>
  <c r="AF488" i="87"/>
  <c r="AG487" i="87"/>
  <c r="AF487" i="87"/>
  <c r="AB487" i="87"/>
  <c r="AG486" i="87"/>
  <c r="AF486" i="87"/>
  <c r="AB486" i="87"/>
  <c r="AG485" i="87"/>
  <c r="AF485" i="87"/>
  <c r="AB485" i="87"/>
  <c r="AG484" i="87"/>
  <c r="AF484" i="87"/>
  <c r="AG483" i="87"/>
  <c r="AF483" i="87"/>
  <c r="AB483" i="87"/>
  <c r="AG482" i="87"/>
  <c r="AF482" i="87"/>
  <c r="AB482" i="87"/>
  <c r="AG481" i="87"/>
  <c r="AF481" i="87"/>
  <c r="AB481" i="87"/>
  <c r="AG480" i="87"/>
  <c r="AF480" i="87"/>
  <c r="AG479" i="87"/>
  <c r="AF479" i="87"/>
  <c r="AB479" i="87"/>
  <c r="AE478" i="87"/>
  <c r="AD478" i="87"/>
  <c r="AC478" i="87"/>
  <c r="AE477" i="87"/>
  <c r="AC477" i="87"/>
  <c r="AE476" i="87"/>
  <c r="AD476" i="87"/>
  <c r="AC476" i="87"/>
  <c r="AE475" i="87"/>
  <c r="AD475" i="87"/>
  <c r="AC475" i="87"/>
  <c r="AE474" i="87"/>
  <c r="AD474" i="87"/>
  <c r="AC474" i="87"/>
  <c r="AE473" i="87"/>
  <c r="AC473" i="87"/>
  <c r="AE472" i="87"/>
  <c r="AD472" i="87"/>
  <c r="AC472" i="87"/>
  <c r="AE471" i="87"/>
  <c r="AD471" i="87"/>
  <c r="AC471" i="87"/>
  <c r="AE470" i="87"/>
  <c r="AD470" i="87"/>
  <c r="AC470" i="87"/>
  <c r="AE469" i="87"/>
  <c r="AC469" i="87"/>
  <c r="AE468" i="87"/>
  <c r="AD468" i="87"/>
  <c r="AC468" i="87"/>
  <c r="AE467" i="87"/>
  <c r="AD467" i="87"/>
  <c r="AC467" i="87"/>
  <c r="AE466" i="87"/>
  <c r="AD466" i="87"/>
  <c r="AC466" i="87"/>
  <c r="AE465" i="87"/>
  <c r="AC465" i="87"/>
  <c r="AE464" i="87"/>
  <c r="AD464" i="87"/>
  <c r="AC464" i="87"/>
  <c r="AE463" i="87"/>
  <c r="AD463" i="87"/>
  <c r="AC463" i="87"/>
  <c r="AE462" i="87"/>
  <c r="AD462" i="87"/>
  <c r="AC462" i="87"/>
  <c r="AE461" i="87"/>
  <c r="AC461" i="87"/>
  <c r="AE460" i="87"/>
  <c r="AD460" i="87"/>
  <c r="AC460" i="87"/>
  <c r="AE459" i="87"/>
  <c r="AD459" i="87"/>
  <c r="AC459" i="87"/>
  <c r="AE458" i="87"/>
  <c r="AD458" i="87"/>
  <c r="AC458" i="87"/>
  <c r="AE457" i="87"/>
  <c r="AD457" i="87"/>
  <c r="AC457" i="87"/>
  <c r="AE456" i="87"/>
  <c r="AD456" i="87"/>
  <c r="AC456" i="87"/>
  <c r="AE455" i="87"/>
  <c r="AD455" i="87"/>
  <c r="AC455" i="87"/>
  <c r="AE454" i="87"/>
  <c r="AD454" i="87"/>
  <c r="AE453" i="87"/>
  <c r="AD453" i="87"/>
  <c r="AC453" i="87"/>
  <c r="AE452" i="87"/>
  <c r="AD452" i="87"/>
  <c r="AE451" i="87"/>
  <c r="AC451" i="87"/>
  <c r="AE450" i="87"/>
  <c r="AD450" i="87"/>
  <c r="AC450" i="87"/>
  <c r="AE449" i="87"/>
  <c r="AD449" i="87"/>
  <c r="AC449" i="87"/>
  <c r="AE448" i="87"/>
  <c r="AD448" i="87"/>
  <c r="AC448" i="87"/>
  <c r="AE447" i="87"/>
  <c r="AD447" i="87"/>
  <c r="AC447" i="87"/>
  <c r="AE446" i="87"/>
  <c r="AD446" i="87"/>
  <c r="AE445" i="87"/>
  <c r="AD445" i="87"/>
  <c r="AC445" i="87"/>
  <c r="AE444" i="87"/>
  <c r="AD444" i="87"/>
  <c r="AE443" i="87"/>
  <c r="AD443" i="87"/>
  <c r="AC443" i="87"/>
  <c r="AG442" i="87"/>
  <c r="AF442" i="87"/>
  <c r="AB442" i="87"/>
  <c r="AG441" i="87"/>
  <c r="AF441" i="87"/>
  <c r="AB441" i="87"/>
  <c r="AG440" i="87"/>
  <c r="AF440" i="87"/>
  <c r="AB440" i="87"/>
  <c r="AG439" i="87"/>
  <c r="AF439" i="87"/>
  <c r="AB439" i="87"/>
  <c r="AG438" i="87"/>
  <c r="AF438" i="87"/>
  <c r="AB438" i="87"/>
  <c r="AG437" i="87"/>
  <c r="AF437" i="87"/>
  <c r="AB437" i="87"/>
  <c r="AG436" i="87"/>
  <c r="AF436" i="87"/>
  <c r="AB436" i="87"/>
  <c r="AG435" i="87"/>
  <c r="AF435" i="87"/>
  <c r="AB435" i="87"/>
  <c r="AG434" i="87"/>
  <c r="AF434" i="87"/>
  <c r="AB434" i="87"/>
  <c r="AG433" i="87"/>
  <c r="AF433" i="87"/>
  <c r="AB433" i="87"/>
  <c r="AG432" i="87"/>
  <c r="AF432" i="87"/>
  <c r="AB432" i="87"/>
  <c r="AG431" i="87"/>
  <c r="AF431" i="87"/>
  <c r="AB431" i="87"/>
  <c r="AG430" i="87"/>
  <c r="AF430" i="87"/>
  <c r="AB430" i="87"/>
  <c r="AG429" i="87"/>
  <c r="AF429" i="87"/>
  <c r="AB429" i="87"/>
  <c r="AG428" i="87"/>
  <c r="AF428" i="87"/>
  <c r="AB428" i="87"/>
  <c r="AG427" i="87"/>
  <c r="AF427" i="87"/>
  <c r="AB427" i="87"/>
  <c r="AG426" i="87"/>
  <c r="AF426" i="87"/>
  <c r="AB426" i="87"/>
  <c r="AG425" i="87"/>
  <c r="AF425" i="87"/>
  <c r="AB425" i="87"/>
  <c r="AG424" i="87"/>
  <c r="AF424" i="87"/>
  <c r="AB424" i="87"/>
  <c r="AG423" i="87"/>
  <c r="AF423" i="87"/>
  <c r="AB423" i="87"/>
  <c r="AG422" i="87"/>
  <c r="AF422" i="87"/>
  <c r="AB422" i="87"/>
  <c r="AG421" i="87"/>
  <c r="AF421" i="87"/>
  <c r="AB421" i="87"/>
  <c r="AG420" i="87"/>
  <c r="AF420" i="87"/>
  <c r="AB420" i="87"/>
  <c r="AE419" i="87"/>
  <c r="AD419" i="87"/>
  <c r="AC419" i="87"/>
  <c r="AE418" i="87"/>
  <c r="AC418" i="87"/>
  <c r="AE417" i="87"/>
  <c r="AD417" i="87"/>
  <c r="AC417" i="87"/>
  <c r="AE416" i="87"/>
  <c r="AD416" i="87"/>
  <c r="AC416" i="87"/>
  <c r="AE415" i="87"/>
  <c r="AD415" i="87"/>
  <c r="AC415" i="87"/>
  <c r="AE414" i="87"/>
  <c r="AC414" i="87"/>
  <c r="AE413" i="87"/>
  <c r="AD413" i="87"/>
  <c r="AC413" i="87"/>
  <c r="AE412" i="87"/>
  <c r="AD412" i="87"/>
  <c r="AC412" i="87"/>
  <c r="AE411" i="87"/>
  <c r="AD411" i="87"/>
  <c r="AC411" i="87"/>
  <c r="AE410" i="87"/>
  <c r="AC410" i="87"/>
  <c r="AE409" i="87"/>
  <c r="AD409" i="87"/>
  <c r="AC409" i="87"/>
  <c r="AE408" i="87"/>
  <c r="AD408" i="87"/>
  <c r="AC408" i="87"/>
  <c r="AE407" i="87"/>
  <c r="AD407" i="87"/>
  <c r="AC407" i="87"/>
  <c r="AE406" i="87"/>
  <c r="AC406" i="87"/>
  <c r="AE405" i="87"/>
  <c r="AD405" i="87"/>
  <c r="AC405" i="87"/>
  <c r="AE404" i="87"/>
  <c r="AD404" i="87"/>
  <c r="AC404" i="87"/>
  <c r="AE403" i="87"/>
  <c r="AD403" i="87"/>
  <c r="AC403" i="87"/>
  <c r="AE402" i="87"/>
  <c r="AC402" i="87"/>
  <c r="AE401" i="87"/>
  <c r="AD401" i="87"/>
  <c r="AC401" i="87"/>
  <c r="AE400" i="87"/>
  <c r="AD400" i="87"/>
  <c r="AC400" i="87"/>
  <c r="AE399" i="87"/>
  <c r="AD399" i="87"/>
  <c r="AC399" i="87"/>
  <c r="AE398" i="87"/>
  <c r="AC398" i="87"/>
  <c r="AE397" i="87"/>
  <c r="AD397" i="87"/>
  <c r="AC397" i="87"/>
  <c r="AE396" i="87"/>
  <c r="AE395" i="87"/>
  <c r="AE394" i="87"/>
  <c r="AE393" i="87"/>
  <c r="AE392" i="87"/>
  <c r="AE391" i="87"/>
  <c r="AE390" i="87"/>
  <c r="AE389" i="87"/>
  <c r="AE388" i="87"/>
  <c r="AE387" i="87"/>
  <c r="AE386" i="87"/>
  <c r="AE385" i="87"/>
  <c r="AE384" i="87"/>
  <c r="AE383" i="87"/>
  <c r="AE382" i="87"/>
  <c r="AE381" i="87"/>
  <c r="AE380" i="87"/>
  <c r="AE379" i="87"/>
  <c r="AE378" i="87"/>
  <c r="AE377" i="87"/>
  <c r="AE376" i="87"/>
  <c r="AE375" i="87"/>
  <c r="AE374" i="87"/>
  <c r="AE373" i="87"/>
  <c r="AG372" i="87"/>
  <c r="AF372" i="87"/>
  <c r="AG371" i="87"/>
  <c r="AF371" i="87"/>
  <c r="AG370" i="87"/>
  <c r="AF370" i="87"/>
  <c r="AG369" i="87"/>
  <c r="AF369" i="87"/>
  <c r="AG368" i="87"/>
  <c r="AF368" i="87"/>
  <c r="AG367" i="87"/>
  <c r="AF367" i="87"/>
  <c r="AG366" i="87"/>
  <c r="AF366" i="87"/>
  <c r="AG365" i="87"/>
  <c r="AF365" i="87"/>
  <c r="AG364" i="87"/>
  <c r="AF364" i="87"/>
  <c r="AG363" i="87"/>
  <c r="AF363" i="87"/>
  <c r="AG362" i="87"/>
  <c r="AF362" i="87"/>
  <c r="AG361" i="87"/>
  <c r="AF361" i="87"/>
  <c r="AE360" i="87"/>
  <c r="AE359" i="87"/>
  <c r="AE358" i="87"/>
  <c r="AE357" i="87"/>
  <c r="AE356" i="87"/>
  <c r="AE355" i="87"/>
  <c r="AE354" i="87"/>
  <c r="AE353" i="87"/>
  <c r="AE352" i="87"/>
  <c r="AE351" i="87"/>
  <c r="AE350" i="87"/>
  <c r="AE349" i="87"/>
  <c r="AE348" i="87"/>
  <c r="AE347" i="87"/>
  <c r="AE346" i="87"/>
  <c r="AE345" i="87"/>
  <c r="AE344" i="87"/>
  <c r="AE343" i="87"/>
  <c r="AE342" i="87"/>
  <c r="AE341" i="87"/>
  <c r="AE340" i="87"/>
  <c r="AE339" i="87"/>
  <c r="AE338" i="87"/>
  <c r="AE337" i="87"/>
  <c r="AE336" i="87"/>
  <c r="AE335" i="87"/>
  <c r="AE334" i="87"/>
  <c r="AE333" i="87"/>
  <c r="AE332" i="87"/>
  <c r="AE331" i="87"/>
  <c r="AE330" i="87"/>
  <c r="AE329" i="87"/>
  <c r="AE328" i="87"/>
  <c r="AE327" i="87"/>
  <c r="AE326" i="87"/>
  <c r="AG325" i="87"/>
  <c r="AF325" i="87"/>
  <c r="AG324" i="87"/>
  <c r="AF324" i="87"/>
  <c r="AG323" i="87"/>
  <c r="AF323" i="87"/>
  <c r="AG322" i="87"/>
  <c r="AF322" i="87"/>
  <c r="AG321" i="87"/>
  <c r="AF321" i="87"/>
  <c r="AG320" i="87"/>
  <c r="AF320" i="87"/>
  <c r="AG319" i="87"/>
  <c r="AF319" i="87"/>
  <c r="AG318" i="87"/>
  <c r="AF318" i="87"/>
  <c r="AG317" i="87"/>
  <c r="AF317" i="87"/>
  <c r="AG316" i="87"/>
  <c r="AF316" i="87"/>
  <c r="AG315" i="87"/>
  <c r="AF315" i="87"/>
  <c r="AG314" i="87"/>
  <c r="AF314" i="87"/>
  <c r="AG313" i="87"/>
  <c r="AF313" i="87"/>
  <c r="AG312" i="87"/>
  <c r="AF312" i="87"/>
  <c r="AG311" i="87"/>
  <c r="AF311" i="87"/>
  <c r="AG310" i="87"/>
  <c r="AF310" i="87"/>
  <c r="AG309" i="87"/>
  <c r="AF309" i="87"/>
  <c r="AG308" i="87"/>
  <c r="AF308" i="87"/>
  <c r="AG307" i="87"/>
  <c r="AF307" i="87"/>
  <c r="AG306" i="87"/>
  <c r="AF306" i="87"/>
  <c r="AG305" i="87"/>
  <c r="AF305" i="87"/>
  <c r="AG304" i="87"/>
  <c r="AF304" i="87"/>
  <c r="AG303" i="87"/>
  <c r="AF303" i="87"/>
  <c r="AG302" i="87"/>
  <c r="AF302" i="87"/>
  <c r="AE301" i="87"/>
  <c r="AE300" i="87"/>
  <c r="AE299" i="87"/>
  <c r="AE298" i="87"/>
  <c r="AE297" i="87"/>
  <c r="AE296" i="87"/>
  <c r="AE295" i="87"/>
  <c r="AE294" i="87"/>
  <c r="AE293" i="87"/>
  <c r="AE292" i="87"/>
  <c r="AE291" i="87"/>
  <c r="AE290" i="87"/>
  <c r="AE289" i="87"/>
  <c r="AE288" i="87"/>
  <c r="AE287" i="87"/>
  <c r="AE286" i="87"/>
  <c r="AE285" i="87"/>
  <c r="AE284" i="87"/>
  <c r="AE283" i="87"/>
  <c r="AE282" i="87"/>
  <c r="AE281" i="87"/>
  <c r="AE280" i="87"/>
  <c r="AE279" i="87"/>
  <c r="AG278" i="87"/>
  <c r="AE278" i="87"/>
  <c r="AG277" i="87"/>
  <c r="AE277" i="87"/>
  <c r="AG276" i="87"/>
  <c r="AE276" i="87"/>
  <c r="AG275" i="87"/>
  <c r="AE275" i="87"/>
  <c r="AG274" i="87"/>
  <c r="AE274" i="87"/>
  <c r="AG273" i="87"/>
  <c r="AE273" i="87"/>
  <c r="AG272" i="87"/>
  <c r="AE272" i="87"/>
  <c r="AG271" i="87"/>
  <c r="AE271" i="87"/>
  <c r="AG270" i="87"/>
  <c r="AE270" i="87"/>
  <c r="AG269" i="87"/>
  <c r="AE269" i="87"/>
  <c r="AG268" i="87"/>
  <c r="AE268" i="87"/>
  <c r="AG267" i="87"/>
  <c r="AE267" i="87"/>
  <c r="AG266" i="87"/>
  <c r="AF266" i="87"/>
  <c r="AG265" i="87"/>
  <c r="AF265" i="87"/>
  <c r="AG264" i="87"/>
  <c r="AF264" i="87"/>
  <c r="AG263" i="87"/>
  <c r="AF263" i="87"/>
  <c r="AG262" i="87"/>
  <c r="AF262" i="87"/>
  <c r="AG261" i="87"/>
  <c r="AF261" i="87"/>
  <c r="AG260" i="87"/>
  <c r="AF260" i="87"/>
  <c r="AG259" i="87"/>
  <c r="AF259" i="87"/>
  <c r="AG258" i="87"/>
  <c r="AF258" i="87"/>
  <c r="AG257" i="87"/>
  <c r="AF257" i="87"/>
  <c r="AG256" i="87"/>
  <c r="AF256" i="87"/>
  <c r="AG255" i="87"/>
  <c r="AF255" i="87"/>
  <c r="AG254" i="87"/>
  <c r="AE254" i="87"/>
  <c r="AG253" i="87"/>
  <c r="AE253" i="87"/>
  <c r="AG252" i="87"/>
  <c r="AE252" i="87"/>
  <c r="AG251" i="87"/>
  <c r="AE251" i="87"/>
  <c r="AG250" i="87"/>
  <c r="AE250" i="87"/>
  <c r="AG249" i="87"/>
  <c r="AE249" i="87"/>
  <c r="AG248" i="87"/>
  <c r="AE248" i="87"/>
  <c r="AG247" i="87"/>
  <c r="AE247" i="87"/>
  <c r="AG246" i="87"/>
  <c r="AE246" i="87"/>
  <c r="AG245" i="87"/>
  <c r="AE245" i="87"/>
  <c r="AG244" i="87"/>
  <c r="AE244" i="87"/>
  <c r="AG243" i="87"/>
  <c r="AE243" i="87"/>
  <c r="AE242" i="87"/>
  <c r="AE241" i="87"/>
  <c r="AE240" i="87"/>
  <c r="AE239" i="87"/>
  <c r="AE238" i="87"/>
  <c r="AE237" i="87"/>
  <c r="AE236" i="87"/>
  <c r="AE235" i="87"/>
  <c r="AE234" i="87"/>
  <c r="AE233" i="87"/>
  <c r="AE232" i="87"/>
  <c r="AE231" i="87"/>
  <c r="AG230" i="87"/>
  <c r="AF230" i="87"/>
  <c r="AG229" i="87"/>
  <c r="AF229" i="87"/>
  <c r="AG228" i="87"/>
  <c r="AF228" i="87"/>
  <c r="AG227" i="87"/>
  <c r="AF227" i="87"/>
  <c r="AG226" i="87"/>
  <c r="AF226" i="87"/>
  <c r="AG225" i="87"/>
  <c r="AF225" i="87"/>
  <c r="AG224" i="87"/>
  <c r="AF224" i="87"/>
  <c r="AG223" i="87"/>
  <c r="AF223" i="87"/>
  <c r="AG222" i="87"/>
  <c r="AF222" i="87"/>
  <c r="AG221" i="87"/>
  <c r="AF221" i="87"/>
  <c r="AG220" i="87"/>
  <c r="AF220" i="87"/>
  <c r="AG219" i="87"/>
  <c r="AF219" i="87"/>
  <c r="AE218" i="87"/>
  <c r="AE217" i="87"/>
  <c r="AE216" i="87"/>
  <c r="AE215" i="87"/>
  <c r="AE214" i="87"/>
  <c r="AE213" i="87"/>
  <c r="AE212" i="87"/>
  <c r="AE211" i="87"/>
  <c r="AE210" i="87"/>
  <c r="AE209" i="87"/>
  <c r="AE208" i="87"/>
  <c r="AE207" i="87"/>
  <c r="AE206" i="87"/>
  <c r="AE205" i="87"/>
  <c r="AE204" i="87"/>
  <c r="AE203" i="87"/>
  <c r="AE202" i="87"/>
  <c r="AE201" i="87"/>
  <c r="AE200" i="87"/>
  <c r="AE199" i="87"/>
  <c r="AE198" i="87"/>
  <c r="AE197" i="87"/>
  <c r="AE196" i="87"/>
  <c r="AE195" i="87"/>
  <c r="AE194" i="87"/>
  <c r="AE193" i="87"/>
  <c r="AE192" i="87"/>
  <c r="AE191" i="87"/>
  <c r="AE190" i="87"/>
  <c r="AE189" i="87"/>
  <c r="AE188" i="87"/>
  <c r="AG187" i="87"/>
  <c r="AF187" i="87"/>
  <c r="AG186" i="87"/>
  <c r="AF186" i="87"/>
  <c r="AG185" i="87"/>
  <c r="AF185" i="87"/>
  <c r="AG184" i="87"/>
  <c r="AF184" i="87"/>
  <c r="AG183" i="87"/>
  <c r="AF183" i="87"/>
  <c r="AG182" i="87"/>
  <c r="AF182" i="87"/>
  <c r="AG181" i="87"/>
  <c r="AF181" i="87"/>
  <c r="AG180" i="87"/>
  <c r="AF180" i="87"/>
  <c r="AG179" i="87"/>
  <c r="AF179" i="87"/>
  <c r="AG178" i="87"/>
  <c r="AF178" i="87"/>
  <c r="AG177" i="87"/>
  <c r="AF177" i="87"/>
  <c r="AG176" i="87"/>
  <c r="AF176" i="87"/>
  <c r="AG175" i="87"/>
  <c r="AF175" i="87"/>
  <c r="AG174" i="87"/>
  <c r="AF174" i="87"/>
  <c r="AG173" i="87"/>
  <c r="AF173" i="87"/>
  <c r="AG172" i="87"/>
  <c r="AF172" i="87"/>
  <c r="AG171" i="87"/>
  <c r="AF171" i="87"/>
  <c r="AG170" i="87"/>
  <c r="AF170" i="87"/>
  <c r="AG169" i="87"/>
  <c r="AF169" i="87"/>
  <c r="AG168" i="87"/>
  <c r="AF168" i="87"/>
  <c r="AG167" i="87"/>
  <c r="AF167" i="87"/>
  <c r="AG166" i="87"/>
  <c r="AF166" i="87"/>
  <c r="AE165" i="87"/>
  <c r="AE164" i="87"/>
  <c r="AE163" i="87"/>
  <c r="AE162" i="87"/>
  <c r="AE161" i="87"/>
  <c r="AE160" i="87"/>
  <c r="AE159" i="87"/>
  <c r="AE158" i="87"/>
  <c r="AE157" i="87"/>
  <c r="AE156" i="87"/>
  <c r="AE155" i="87"/>
  <c r="AE154" i="87"/>
  <c r="AE153" i="87"/>
  <c r="AE152" i="87"/>
  <c r="AE151" i="87"/>
  <c r="AE150" i="87"/>
  <c r="AE149" i="87"/>
  <c r="AE148" i="87"/>
  <c r="AE147" i="87"/>
  <c r="AE146" i="87"/>
  <c r="AG145" i="87"/>
  <c r="AF145" i="87"/>
  <c r="AG144" i="87"/>
  <c r="AF144" i="87"/>
  <c r="AG143" i="87"/>
  <c r="AF143" i="87"/>
  <c r="AG142" i="87"/>
  <c r="AF142" i="87"/>
  <c r="AG141" i="87"/>
  <c r="AF141" i="87"/>
  <c r="AG140" i="87"/>
  <c r="AF140" i="87"/>
  <c r="AG139" i="87"/>
  <c r="AF139" i="87"/>
  <c r="AG138" i="87"/>
  <c r="AF138" i="87"/>
  <c r="AG137" i="87"/>
  <c r="AF137" i="87"/>
  <c r="AG136" i="87"/>
  <c r="AF136" i="87"/>
  <c r="AG135" i="87"/>
  <c r="AF135" i="87"/>
  <c r="AG134" i="87"/>
  <c r="AF134" i="87"/>
  <c r="AG133" i="87"/>
  <c r="AF133" i="87"/>
  <c r="AG132" i="87"/>
  <c r="AF132" i="87"/>
  <c r="AG131" i="87"/>
  <c r="AF131" i="87"/>
  <c r="AG130" i="87"/>
  <c r="AF130" i="87"/>
  <c r="AG129" i="87"/>
  <c r="AF129" i="87"/>
  <c r="AG128" i="87"/>
  <c r="AF128" i="87"/>
  <c r="AG127" i="87"/>
  <c r="AF127" i="87"/>
  <c r="AG126" i="87"/>
  <c r="AF126" i="87"/>
  <c r="AG125" i="87"/>
  <c r="AF125" i="87"/>
  <c r="AG124" i="87"/>
  <c r="AF124" i="87"/>
  <c r="AG123" i="87"/>
  <c r="AF123" i="87"/>
  <c r="AG122" i="87"/>
  <c r="AF122" i="87"/>
  <c r="AD121" i="87"/>
  <c r="AB121" i="87"/>
  <c r="AD120" i="87"/>
  <c r="AC120" i="87"/>
  <c r="AD119" i="87"/>
  <c r="AC119" i="87"/>
  <c r="AB119" i="87"/>
  <c r="AC118" i="87"/>
  <c r="AB118" i="87"/>
  <c r="AD117" i="87"/>
  <c r="AB117" i="87"/>
  <c r="AD116" i="87"/>
  <c r="AC116" i="87"/>
  <c r="AD115" i="87"/>
  <c r="AC115" i="87"/>
  <c r="AB115" i="87"/>
  <c r="AC114" i="87"/>
  <c r="AB114" i="87"/>
  <c r="AD113" i="87"/>
  <c r="AB113" i="87"/>
  <c r="AD112" i="87"/>
  <c r="AC112" i="87"/>
  <c r="AD111" i="87"/>
  <c r="AC111" i="87"/>
  <c r="AB111" i="87"/>
  <c r="AC110" i="87"/>
  <c r="AB110" i="87"/>
  <c r="AD109" i="87"/>
  <c r="AB109" i="87"/>
  <c r="AD108" i="87"/>
  <c r="AC108" i="87"/>
  <c r="AD107" i="87"/>
  <c r="AC107" i="87"/>
  <c r="AB107" i="87"/>
  <c r="AC106" i="87"/>
  <c r="AB106" i="87"/>
  <c r="AD105" i="87"/>
  <c r="AB105" i="87"/>
  <c r="AD104" i="87"/>
  <c r="AC104" i="87"/>
  <c r="AD103" i="87"/>
  <c r="AC103" i="87"/>
  <c r="AB103" i="87"/>
  <c r="AC102" i="87"/>
  <c r="AB102" i="87"/>
  <c r="AD101" i="87"/>
  <c r="AB101" i="87"/>
  <c r="AD100" i="87"/>
  <c r="AC100" i="87"/>
  <c r="AD99" i="87"/>
  <c r="AC99" i="87"/>
  <c r="AB99" i="87"/>
  <c r="AC98" i="87"/>
  <c r="AB98" i="87"/>
  <c r="AG73" i="87"/>
  <c r="AG72" i="87"/>
  <c r="AG71" i="87"/>
  <c r="AG70" i="87"/>
  <c r="AG69" i="87"/>
  <c r="AG68" i="87"/>
  <c r="AG67" i="87"/>
  <c r="AG66" i="87"/>
  <c r="AG65" i="87"/>
  <c r="AG64" i="87"/>
  <c r="AG63" i="87"/>
  <c r="AG62" i="87"/>
  <c r="AG61" i="87"/>
  <c r="AE61" i="87"/>
  <c r="AG60" i="87"/>
  <c r="AE60" i="87"/>
  <c r="AG59" i="87"/>
  <c r="AE59" i="87"/>
  <c r="AG58" i="87"/>
  <c r="AE58" i="87"/>
  <c r="AG57" i="87"/>
  <c r="AE57" i="87"/>
  <c r="AG56" i="87"/>
  <c r="AE56" i="87"/>
  <c r="AG55" i="87"/>
  <c r="AE55" i="87"/>
  <c r="AG54" i="87"/>
  <c r="AE54" i="87"/>
  <c r="AG53" i="87"/>
  <c r="AE53" i="87"/>
  <c r="AG52" i="87"/>
  <c r="AE52" i="87"/>
  <c r="AG51" i="87"/>
  <c r="AE51" i="87"/>
  <c r="AG50" i="87"/>
  <c r="AE50" i="87"/>
  <c r="AG49" i="87"/>
  <c r="AG48" i="87"/>
  <c r="AG47" i="87"/>
  <c r="AG46" i="87"/>
  <c r="AG45" i="87"/>
  <c r="AG44" i="87"/>
  <c r="AG43" i="87"/>
  <c r="AG42" i="87"/>
  <c r="AG41" i="87"/>
  <c r="AG40" i="87"/>
  <c r="AG39" i="87"/>
  <c r="AG38" i="87"/>
  <c r="AG13" i="87"/>
  <c r="AF13" i="87"/>
  <c r="AG12" i="87"/>
  <c r="AF12" i="87"/>
  <c r="AG11" i="87"/>
  <c r="AF11" i="87"/>
  <c r="AG10" i="87"/>
  <c r="AF10" i="87"/>
  <c r="AG9" i="87"/>
  <c r="AF9" i="87"/>
  <c r="AG8" i="87"/>
  <c r="AF8" i="87"/>
  <c r="AG7" i="87"/>
  <c r="AF7" i="87"/>
  <c r="AG6" i="87"/>
  <c r="AF6" i="87"/>
  <c r="AG5" i="87"/>
  <c r="AF5" i="87"/>
  <c r="AG4" i="87"/>
  <c r="AF4" i="87"/>
  <c r="AG3" i="87"/>
  <c r="AF3" i="87"/>
  <c r="AG2" i="87"/>
  <c r="AF2" i="87"/>
  <c r="X921" i="87"/>
  <c r="AD921" i="87" s="1"/>
  <c r="W921" i="87"/>
  <c r="AC921" i="87" s="1"/>
  <c r="V921" i="87"/>
  <c r="AB921" i="87" s="1"/>
  <c r="X920" i="87"/>
  <c r="AD920" i="87" s="1"/>
  <c r="W920" i="87"/>
  <c r="AC920" i="87" s="1"/>
  <c r="V920" i="87"/>
  <c r="AB920" i="87" s="1"/>
  <c r="X919" i="87"/>
  <c r="AD919" i="87" s="1"/>
  <c r="W919" i="87"/>
  <c r="AC919" i="87" s="1"/>
  <c r="V919" i="87"/>
  <c r="AB919" i="87" s="1"/>
  <c r="X918" i="87"/>
  <c r="AD918" i="87" s="1"/>
  <c r="W918" i="87"/>
  <c r="AC918" i="87" s="1"/>
  <c r="V918" i="87"/>
  <c r="AB918" i="87" s="1"/>
  <c r="X917" i="87"/>
  <c r="AD917" i="87" s="1"/>
  <c r="W917" i="87"/>
  <c r="AC917" i="87" s="1"/>
  <c r="V917" i="87"/>
  <c r="AB917" i="87" s="1"/>
  <c r="X916" i="87"/>
  <c r="AD916" i="87" s="1"/>
  <c r="W916" i="87"/>
  <c r="AC916" i="87" s="1"/>
  <c r="V916" i="87"/>
  <c r="AB916" i="87" s="1"/>
  <c r="X915" i="87"/>
  <c r="AD915" i="87" s="1"/>
  <c r="W915" i="87"/>
  <c r="AC915" i="87" s="1"/>
  <c r="V915" i="87"/>
  <c r="AB915" i="87" s="1"/>
  <c r="X914" i="87"/>
  <c r="AD914" i="87" s="1"/>
  <c r="W914" i="87"/>
  <c r="AC914" i="87" s="1"/>
  <c r="V914" i="87"/>
  <c r="AB914" i="87" s="1"/>
  <c r="X913" i="87"/>
  <c r="AD913" i="87" s="1"/>
  <c r="W913" i="87"/>
  <c r="AC913" i="87" s="1"/>
  <c r="V913" i="87"/>
  <c r="AB913" i="87" s="1"/>
  <c r="X912" i="87"/>
  <c r="AD912" i="87" s="1"/>
  <c r="W912" i="87"/>
  <c r="AC912" i="87" s="1"/>
  <c r="V912" i="87"/>
  <c r="AB912" i="87" s="1"/>
  <c r="X911" i="87"/>
  <c r="AD911" i="87" s="1"/>
  <c r="W911" i="87"/>
  <c r="AC911" i="87" s="1"/>
  <c r="V911" i="87"/>
  <c r="AB911" i="87" s="1"/>
  <c r="X910" i="87"/>
  <c r="AD910" i="87" s="1"/>
  <c r="W910" i="87"/>
  <c r="AC910" i="87" s="1"/>
  <c r="V910" i="87"/>
  <c r="AB910" i="87" s="1"/>
  <c r="V909" i="87"/>
  <c r="AB909" i="87" s="1"/>
  <c r="V908" i="87"/>
  <c r="AB908" i="87" s="1"/>
  <c r="V907" i="87"/>
  <c r="AB907" i="87" s="1"/>
  <c r="V906" i="87"/>
  <c r="AB906" i="87" s="1"/>
  <c r="V905" i="87"/>
  <c r="AB905" i="87" s="1"/>
  <c r="V904" i="87"/>
  <c r="AB904" i="87" s="1"/>
  <c r="V903" i="87"/>
  <c r="AB903" i="87" s="1"/>
  <c r="V902" i="87"/>
  <c r="AB902" i="87" s="1"/>
  <c r="V901" i="87"/>
  <c r="AB901" i="87" s="1"/>
  <c r="V900" i="87"/>
  <c r="AB900" i="87" s="1"/>
  <c r="V899" i="87"/>
  <c r="AB899" i="87" s="1"/>
  <c r="V898" i="87"/>
  <c r="AB898" i="87" s="1"/>
  <c r="X897" i="87"/>
  <c r="AD897" i="87" s="1"/>
  <c r="W897" i="87"/>
  <c r="AC897" i="87" s="1"/>
  <c r="V897" i="87"/>
  <c r="AB897" i="87" s="1"/>
  <c r="X896" i="87"/>
  <c r="AD896" i="87" s="1"/>
  <c r="W896" i="87"/>
  <c r="AC896" i="87" s="1"/>
  <c r="V896" i="87"/>
  <c r="AB896" i="87" s="1"/>
  <c r="X895" i="87"/>
  <c r="AD895" i="87" s="1"/>
  <c r="W895" i="87"/>
  <c r="AC895" i="87" s="1"/>
  <c r="V895" i="87"/>
  <c r="AB895" i="87" s="1"/>
  <c r="X894" i="87"/>
  <c r="AD894" i="87" s="1"/>
  <c r="W894" i="87"/>
  <c r="AC894" i="87" s="1"/>
  <c r="V894" i="87"/>
  <c r="AB894" i="87" s="1"/>
  <c r="X893" i="87"/>
  <c r="AD893" i="87" s="1"/>
  <c r="W893" i="87"/>
  <c r="AC893" i="87" s="1"/>
  <c r="V893" i="87"/>
  <c r="AB893" i="87" s="1"/>
  <c r="X892" i="87"/>
  <c r="AD892" i="87" s="1"/>
  <c r="W892" i="87"/>
  <c r="AC892" i="87" s="1"/>
  <c r="V892" i="87"/>
  <c r="AB892" i="87" s="1"/>
  <c r="X891" i="87"/>
  <c r="AD891" i="87" s="1"/>
  <c r="W891" i="87"/>
  <c r="AC891" i="87" s="1"/>
  <c r="V891" i="87"/>
  <c r="AB891" i="87" s="1"/>
  <c r="X890" i="87"/>
  <c r="AD890" i="87" s="1"/>
  <c r="W890" i="87"/>
  <c r="AC890" i="87" s="1"/>
  <c r="V890" i="87"/>
  <c r="AB890" i="87" s="1"/>
  <c r="X889" i="87"/>
  <c r="AD889" i="87" s="1"/>
  <c r="W889" i="87"/>
  <c r="AC889" i="87" s="1"/>
  <c r="V889" i="87"/>
  <c r="AB889" i="87" s="1"/>
  <c r="X888" i="87"/>
  <c r="AD888" i="87" s="1"/>
  <c r="W888" i="87"/>
  <c r="AC888" i="87" s="1"/>
  <c r="V888" i="87"/>
  <c r="AB888" i="87" s="1"/>
  <c r="X887" i="87"/>
  <c r="AD887" i="87" s="1"/>
  <c r="W887" i="87"/>
  <c r="AC887" i="87" s="1"/>
  <c r="V887" i="87"/>
  <c r="AB887" i="87" s="1"/>
  <c r="X886" i="87"/>
  <c r="AD886" i="87" s="1"/>
  <c r="W886" i="87"/>
  <c r="AC886" i="87" s="1"/>
  <c r="V886" i="87"/>
  <c r="AB886" i="87" s="1"/>
  <c r="X885" i="87"/>
  <c r="AD885" i="87" s="1"/>
  <c r="W885" i="87"/>
  <c r="AC885" i="87" s="1"/>
  <c r="V885" i="87"/>
  <c r="AB885" i="87" s="1"/>
  <c r="X884" i="87"/>
  <c r="AD884" i="87" s="1"/>
  <c r="W884" i="87"/>
  <c r="AC884" i="87" s="1"/>
  <c r="V884" i="87"/>
  <c r="AB884" i="87" s="1"/>
  <c r="X883" i="87"/>
  <c r="AD883" i="87" s="1"/>
  <c r="W883" i="87"/>
  <c r="AC883" i="87" s="1"/>
  <c r="V883" i="87"/>
  <c r="AB883" i="87" s="1"/>
  <c r="X882" i="87"/>
  <c r="AD882" i="87" s="1"/>
  <c r="W882" i="87"/>
  <c r="AC882" i="87" s="1"/>
  <c r="V882" i="87"/>
  <c r="AB882" i="87" s="1"/>
  <c r="X881" i="87"/>
  <c r="AD881" i="87" s="1"/>
  <c r="W881" i="87"/>
  <c r="AC881" i="87" s="1"/>
  <c r="V881" i="87"/>
  <c r="AB881" i="87" s="1"/>
  <c r="X880" i="87"/>
  <c r="AD880" i="87" s="1"/>
  <c r="W880" i="87"/>
  <c r="AC880" i="87" s="1"/>
  <c r="V880" i="87"/>
  <c r="AB880" i="87" s="1"/>
  <c r="X879" i="87"/>
  <c r="AD879" i="87" s="1"/>
  <c r="W879" i="87"/>
  <c r="AC879" i="87" s="1"/>
  <c r="V879" i="87"/>
  <c r="AB879" i="87" s="1"/>
  <c r="X878" i="87"/>
  <c r="AD878" i="87" s="1"/>
  <c r="W878" i="87"/>
  <c r="AC878" i="87" s="1"/>
  <c r="V878" i="87"/>
  <c r="AB878" i="87" s="1"/>
  <c r="X877" i="87"/>
  <c r="AD877" i="87" s="1"/>
  <c r="W877" i="87"/>
  <c r="AC877" i="87" s="1"/>
  <c r="V877" i="87"/>
  <c r="AB877" i="87" s="1"/>
  <c r="X876" i="87"/>
  <c r="AD876" i="87" s="1"/>
  <c r="W876" i="87"/>
  <c r="AC876" i="87" s="1"/>
  <c r="V876" i="87"/>
  <c r="AB876" i="87" s="1"/>
  <c r="X875" i="87"/>
  <c r="AD875" i="87" s="1"/>
  <c r="W875" i="87"/>
  <c r="AC875" i="87" s="1"/>
  <c r="V875" i="87"/>
  <c r="AB875" i="87" s="1"/>
  <c r="X874" i="87"/>
  <c r="AD874" i="87" s="1"/>
  <c r="W874" i="87"/>
  <c r="AC874" i="87" s="1"/>
  <c r="V874" i="87"/>
  <c r="AB874" i="87" s="1"/>
  <c r="X873" i="87"/>
  <c r="AD873" i="87" s="1"/>
  <c r="W873" i="87"/>
  <c r="AC873" i="87" s="1"/>
  <c r="V873" i="87"/>
  <c r="AB873" i="87" s="1"/>
  <c r="X872" i="87"/>
  <c r="AD872" i="87" s="1"/>
  <c r="W872" i="87"/>
  <c r="AC872" i="87" s="1"/>
  <c r="V872" i="87"/>
  <c r="AB872" i="87" s="1"/>
  <c r="X871" i="87"/>
  <c r="AD871" i="87" s="1"/>
  <c r="W871" i="87"/>
  <c r="AC871" i="87" s="1"/>
  <c r="V871" i="87"/>
  <c r="AB871" i="87" s="1"/>
  <c r="X870" i="87"/>
  <c r="AD870" i="87" s="1"/>
  <c r="W870" i="87"/>
  <c r="AC870" i="87" s="1"/>
  <c r="V870" i="87"/>
  <c r="AB870" i="87" s="1"/>
  <c r="X869" i="87"/>
  <c r="AD869" i="87" s="1"/>
  <c r="W869" i="87"/>
  <c r="AC869" i="87" s="1"/>
  <c r="V869" i="87"/>
  <c r="AB869" i="87" s="1"/>
  <c r="X868" i="87"/>
  <c r="AD868" i="87" s="1"/>
  <c r="W868" i="87"/>
  <c r="AC868" i="87" s="1"/>
  <c r="V868" i="87"/>
  <c r="AB868" i="87" s="1"/>
  <c r="X867" i="87"/>
  <c r="AD867" i="87" s="1"/>
  <c r="W867" i="87"/>
  <c r="AC867" i="87" s="1"/>
  <c r="V867" i="87"/>
  <c r="AB867" i="87" s="1"/>
  <c r="X866" i="87"/>
  <c r="AD866" i="87" s="1"/>
  <c r="W866" i="87"/>
  <c r="AC866" i="87" s="1"/>
  <c r="V866" i="87"/>
  <c r="AB866" i="87" s="1"/>
  <c r="X865" i="87"/>
  <c r="AD865" i="87" s="1"/>
  <c r="W865" i="87"/>
  <c r="AC865" i="87" s="1"/>
  <c r="V865" i="87"/>
  <c r="AB865" i="87" s="1"/>
  <c r="X864" i="87"/>
  <c r="AD864" i="87" s="1"/>
  <c r="W864" i="87"/>
  <c r="AC864" i="87" s="1"/>
  <c r="V864" i="87"/>
  <c r="AB864" i="87" s="1"/>
  <c r="X863" i="87"/>
  <c r="AD863" i="87" s="1"/>
  <c r="W863" i="87"/>
  <c r="AC863" i="87" s="1"/>
  <c r="V863" i="87"/>
  <c r="AB863" i="87" s="1"/>
  <c r="X862" i="87"/>
  <c r="AD862" i="87" s="1"/>
  <c r="W862" i="87"/>
  <c r="AC862" i="87" s="1"/>
  <c r="V862" i="87"/>
  <c r="AB862" i="87" s="1"/>
  <c r="X861" i="87"/>
  <c r="AD861" i="87" s="1"/>
  <c r="W861" i="87"/>
  <c r="AC861" i="87" s="1"/>
  <c r="V861" i="87"/>
  <c r="AB861" i="87" s="1"/>
  <c r="X860" i="87"/>
  <c r="AD860" i="87" s="1"/>
  <c r="W860" i="87"/>
  <c r="AC860" i="87" s="1"/>
  <c r="V860" i="87"/>
  <c r="AB860" i="87" s="1"/>
  <c r="X859" i="87"/>
  <c r="AD859" i="87" s="1"/>
  <c r="W859" i="87"/>
  <c r="AC859" i="87" s="1"/>
  <c r="V859" i="87"/>
  <c r="AB859" i="87" s="1"/>
  <c r="X858" i="87"/>
  <c r="AD858" i="87" s="1"/>
  <c r="W858" i="87"/>
  <c r="AC858" i="87" s="1"/>
  <c r="V858" i="87"/>
  <c r="AB858" i="87" s="1"/>
  <c r="X857" i="87"/>
  <c r="AD857" i="87" s="1"/>
  <c r="W857" i="87"/>
  <c r="AC857" i="87" s="1"/>
  <c r="V857" i="87"/>
  <c r="AB857" i="87" s="1"/>
  <c r="X856" i="87"/>
  <c r="AD856" i="87" s="1"/>
  <c r="W856" i="87"/>
  <c r="AC856" i="87" s="1"/>
  <c r="V856" i="87"/>
  <c r="AB856" i="87" s="1"/>
  <c r="X855" i="87"/>
  <c r="AD855" i="87" s="1"/>
  <c r="W855" i="87"/>
  <c r="AC855" i="87" s="1"/>
  <c r="V855" i="87"/>
  <c r="AB855" i="87" s="1"/>
  <c r="X854" i="87"/>
  <c r="AD854" i="87" s="1"/>
  <c r="W854" i="87"/>
  <c r="AC854" i="87" s="1"/>
  <c r="V854" i="87"/>
  <c r="AB854" i="87" s="1"/>
  <c r="X853" i="87"/>
  <c r="AD853" i="87" s="1"/>
  <c r="W853" i="87"/>
  <c r="AC853" i="87" s="1"/>
  <c r="V853" i="87"/>
  <c r="AB853" i="87" s="1"/>
  <c r="X852" i="87"/>
  <c r="AD852" i="87" s="1"/>
  <c r="W852" i="87"/>
  <c r="AC852" i="87" s="1"/>
  <c r="V852" i="87"/>
  <c r="AB852" i="87" s="1"/>
  <c r="X851" i="87"/>
  <c r="AD851" i="87" s="1"/>
  <c r="W851" i="87"/>
  <c r="AC851" i="87" s="1"/>
  <c r="V851" i="87"/>
  <c r="AB851" i="87" s="1"/>
  <c r="X850" i="87"/>
  <c r="AD850" i="87" s="1"/>
  <c r="W850" i="87"/>
  <c r="AC850" i="87" s="1"/>
  <c r="V850" i="87"/>
  <c r="AB850" i="87" s="1"/>
  <c r="X849" i="87"/>
  <c r="AD849" i="87" s="1"/>
  <c r="W849" i="87"/>
  <c r="AC849" i="87" s="1"/>
  <c r="V849" i="87"/>
  <c r="AB849" i="87" s="1"/>
  <c r="X848" i="87"/>
  <c r="AD848" i="87" s="1"/>
  <c r="W848" i="87"/>
  <c r="AC848" i="87" s="1"/>
  <c r="V848" i="87"/>
  <c r="AB848" i="87" s="1"/>
  <c r="X847" i="87"/>
  <c r="AD847" i="87" s="1"/>
  <c r="W847" i="87"/>
  <c r="AC847" i="87" s="1"/>
  <c r="V847" i="87"/>
  <c r="AB847" i="87" s="1"/>
  <c r="X846" i="87"/>
  <c r="AD846" i="87" s="1"/>
  <c r="W846" i="87"/>
  <c r="AC846" i="87" s="1"/>
  <c r="V846" i="87"/>
  <c r="AB846" i="87" s="1"/>
  <c r="X845" i="87"/>
  <c r="AD845" i="87" s="1"/>
  <c r="W845" i="87"/>
  <c r="AC845" i="87" s="1"/>
  <c r="V845" i="87"/>
  <c r="AB845" i="87" s="1"/>
  <c r="X844" i="87"/>
  <c r="AD844" i="87" s="1"/>
  <c r="W844" i="87"/>
  <c r="AC844" i="87" s="1"/>
  <c r="V844" i="87"/>
  <c r="AB844" i="87" s="1"/>
  <c r="X843" i="87"/>
  <c r="AD843" i="87" s="1"/>
  <c r="W843" i="87"/>
  <c r="AC843" i="87" s="1"/>
  <c r="V843" i="87"/>
  <c r="AB843" i="87" s="1"/>
  <c r="X842" i="87"/>
  <c r="AD842" i="87" s="1"/>
  <c r="W842" i="87"/>
  <c r="AC842" i="87" s="1"/>
  <c r="V842" i="87"/>
  <c r="AB842" i="87" s="1"/>
  <c r="X841" i="87"/>
  <c r="AD841" i="87" s="1"/>
  <c r="W841" i="87"/>
  <c r="AC841" i="87" s="1"/>
  <c r="V841" i="87"/>
  <c r="AB841" i="87" s="1"/>
  <c r="X840" i="87"/>
  <c r="AD840" i="87" s="1"/>
  <c r="W840" i="87"/>
  <c r="AC840" i="87" s="1"/>
  <c r="V840" i="87"/>
  <c r="AB840" i="87" s="1"/>
  <c r="X839" i="87"/>
  <c r="AD839" i="87" s="1"/>
  <c r="W839" i="87"/>
  <c r="AC839" i="87" s="1"/>
  <c r="V839" i="87"/>
  <c r="AB839" i="87" s="1"/>
  <c r="X838" i="87"/>
  <c r="AD838" i="87" s="1"/>
  <c r="W838" i="87"/>
  <c r="AC838" i="87" s="1"/>
  <c r="V838" i="87"/>
  <c r="AB838" i="87" s="1"/>
  <c r="X837" i="87"/>
  <c r="AD837" i="87" s="1"/>
  <c r="W837" i="87"/>
  <c r="AC837" i="87" s="1"/>
  <c r="V837" i="87"/>
  <c r="AB837" i="87" s="1"/>
  <c r="X836" i="87"/>
  <c r="AD836" i="87" s="1"/>
  <c r="W836" i="87"/>
  <c r="AC836" i="87" s="1"/>
  <c r="V836" i="87"/>
  <c r="AB836" i="87" s="1"/>
  <c r="X835" i="87"/>
  <c r="AD835" i="87" s="1"/>
  <c r="W835" i="87"/>
  <c r="AC835" i="87" s="1"/>
  <c r="V835" i="87"/>
  <c r="AB835" i="87" s="1"/>
  <c r="X834" i="87"/>
  <c r="AD834" i="87" s="1"/>
  <c r="W834" i="87"/>
  <c r="AC834" i="87" s="1"/>
  <c r="V834" i="87"/>
  <c r="AB834" i="87" s="1"/>
  <c r="X833" i="87"/>
  <c r="AD833" i="87" s="1"/>
  <c r="W833" i="87"/>
  <c r="AC833" i="87" s="1"/>
  <c r="V833" i="87"/>
  <c r="AB833" i="87" s="1"/>
  <c r="X832" i="87"/>
  <c r="AD832" i="87" s="1"/>
  <c r="W832" i="87"/>
  <c r="AC832" i="87" s="1"/>
  <c r="V832" i="87"/>
  <c r="AB832" i="87" s="1"/>
  <c r="X831" i="87"/>
  <c r="AD831" i="87" s="1"/>
  <c r="W831" i="87"/>
  <c r="AC831" i="87" s="1"/>
  <c r="V831" i="87"/>
  <c r="AB831" i="87" s="1"/>
  <c r="X830" i="87"/>
  <c r="AD830" i="87" s="1"/>
  <c r="W830" i="87"/>
  <c r="AC830" i="87" s="1"/>
  <c r="V830" i="87"/>
  <c r="AB830" i="87" s="1"/>
  <c r="X829" i="87"/>
  <c r="AD829" i="87" s="1"/>
  <c r="W829" i="87"/>
  <c r="AC829" i="87" s="1"/>
  <c r="V829" i="87"/>
  <c r="AB829" i="87" s="1"/>
  <c r="X828" i="87"/>
  <c r="AD828" i="87" s="1"/>
  <c r="W828" i="87"/>
  <c r="AC828" i="87" s="1"/>
  <c r="V828" i="87"/>
  <c r="AB828" i="87" s="1"/>
  <c r="X827" i="87"/>
  <c r="AD827" i="87" s="1"/>
  <c r="W827" i="87"/>
  <c r="AC827" i="87" s="1"/>
  <c r="V827" i="87"/>
  <c r="AB827" i="87" s="1"/>
  <c r="X826" i="87"/>
  <c r="AD826" i="87" s="1"/>
  <c r="W826" i="87"/>
  <c r="AC826" i="87" s="1"/>
  <c r="V826" i="87"/>
  <c r="AB826" i="87" s="1"/>
  <c r="X825" i="87"/>
  <c r="AD825" i="87" s="1"/>
  <c r="W825" i="87"/>
  <c r="AC825" i="87" s="1"/>
  <c r="V825" i="87"/>
  <c r="AB825" i="87" s="1"/>
  <c r="X824" i="87"/>
  <c r="AD824" i="87" s="1"/>
  <c r="W824" i="87"/>
  <c r="AC824" i="87" s="1"/>
  <c r="V824" i="87"/>
  <c r="AB824" i="87" s="1"/>
  <c r="X823" i="87"/>
  <c r="AD823" i="87" s="1"/>
  <c r="W823" i="87"/>
  <c r="AC823" i="87" s="1"/>
  <c r="V823" i="87"/>
  <c r="AB823" i="87" s="1"/>
  <c r="X822" i="87"/>
  <c r="AD822" i="87" s="1"/>
  <c r="W822" i="87"/>
  <c r="AC822" i="87" s="1"/>
  <c r="V822" i="87"/>
  <c r="AB822" i="87" s="1"/>
  <c r="X821" i="87"/>
  <c r="AD821" i="87" s="1"/>
  <c r="W821" i="87"/>
  <c r="AC821" i="87" s="1"/>
  <c r="V821" i="87"/>
  <c r="AB821" i="87" s="1"/>
  <c r="X820" i="87"/>
  <c r="AD820" i="87" s="1"/>
  <c r="W820" i="87"/>
  <c r="AC820" i="87" s="1"/>
  <c r="V820" i="87"/>
  <c r="AB820" i="87" s="1"/>
  <c r="X819" i="87"/>
  <c r="AD819" i="87" s="1"/>
  <c r="W819" i="87"/>
  <c r="AC819" i="87" s="1"/>
  <c r="V819" i="87"/>
  <c r="AB819" i="87" s="1"/>
  <c r="X818" i="87"/>
  <c r="AD818" i="87" s="1"/>
  <c r="W818" i="87"/>
  <c r="AC818" i="87" s="1"/>
  <c r="V818" i="87"/>
  <c r="AB818" i="87" s="1"/>
  <c r="X817" i="87"/>
  <c r="AD817" i="87" s="1"/>
  <c r="W817" i="87"/>
  <c r="AC817" i="87" s="1"/>
  <c r="V817" i="87"/>
  <c r="AB817" i="87" s="1"/>
  <c r="X816" i="87"/>
  <c r="AD816" i="87" s="1"/>
  <c r="W816" i="87"/>
  <c r="AC816" i="87" s="1"/>
  <c r="V816" i="87"/>
  <c r="AB816" i="87" s="1"/>
  <c r="X815" i="87"/>
  <c r="AD815" i="87" s="1"/>
  <c r="W815" i="87"/>
  <c r="AC815" i="87" s="1"/>
  <c r="V815" i="87"/>
  <c r="AB815" i="87" s="1"/>
  <c r="X814" i="87"/>
  <c r="AD814" i="87" s="1"/>
  <c r="W814" i="87"/>
  <c r="AC814" i="87" s="1"/>
  <c r="V814" i="87"/>
  <c r="AB814" i="87" s="1"/>
  <c r="X813" i="87"/>
  <c r="AD813" i="87" s="1"/>
  <c r="W813" i="87"/>
  <c r="AC813" i="87" s="1"/>
  <c r="V813" i="87"/>
  <c r="AB813" i="87" s="1"/>
  <c r="X812" i="87"/>
  <c r="AD812" i="87" s="1"/>
  <c r="W812" i="87"/>
  <c r="AC812" i="87" s="1"/>
  <c r="V812" i="87"/>
  <c r="AB812" i="87" s="1"/>
  <c r="X811" i="87"/>
  <c r="AD811" i="87" s="1"/>
  <c r="W811" i="87"/>
  <c r="AC811" i="87" s="1"/>
  <c r="V811" i="87"/>
  <c r="AB811" i="87" s="1"/>
  <c r="X810" i="87"/>
  <c r="AD810" i="87" s="1"/>
  <c r="W810" i="87"/>
  <c r="AC810" i="87" s="1"/>
  <c r="V810" i="87"/>
  <c r="AB810" i="87" s="1"/>
  <c r="X809" i="87"/>
  <c r="AD809" i="87" s="1"/>
  <c r="W809" i="87"/>
  <c r="AC809" i="87" s="1"/>
  <c r="V809" i="87"/>
  <c r="AB809" i="87" s="1"/>
  <c r="X808" i="87"/>
  <c r="AD808" i="87" s="1"/>
  <c r="W808" i="87"/>
  <c r="AC808" i="87" s="1"/>
  <c r="V808" i="87"/>
  <c r="AB808" i="87" s="1"/>
  <c r="X807" i="87"/>
  <c r="AD807" i="87" s="1"/>
  <c r="W807" i="87"/>
  <c r="AC807" i="87" s="1"/>
  <c r="V807" i="87"/>
  <c r="AB807" i="87" s="1"/>
  <c r="X806" i="87"/>
  <c r="AD806" i="87" s="1"/>
  <c r="W806" i="87"/>
  <c r="AC806" i="87" s="1"/>
  <c r="V806" i="87"/>
  <c r="AB806" i="87" s="1"/>
  <c r="X805" i="87"/>
  <c r="AD805" i="87" s="1"/>
  <c r="W805" i="87"/>
  <c r="AC805" i="87" s="1"/>
  <c r="V805" i="87"/>
  <c r="AB805" i="87" s="1"/>
  <c r="X804" i="87"/>
  <c r="AD804" i="87" s="1"/>
  <c r="W804" i="87"/>
  <c r="AC804" i="87" s="1"/>
  <c r="V804" i="87"/>
  <c r="AB804" i="87" s="1"/>
  <c r="X803" i="87"/>
  <c r="AD803" i="87" s="1"/>
  <c r="W803" i="87"/>
  <c r="AC803" i="87" s="1"/>
  <c r="V803" i="87"/>
  <c r="AB803" i="87" s="1"/>
  <c r="X802" i="87"/>
  <c r="AD802" i="87" s="1"/>
  <c r="W802" i="87"/>
  <c r="AC802" i="87" s="1"/>
  <c r="V802" i="87"/>
  <c r="AB802" i="87" s="1"/>
  <c r="X801" i="87"/>
  <c r="AD801" i="87" s="1"/>
  <c r="W801" i="87"/>
  <c r="AC801" i="87" s="1"/>
  <c r="V801" i="87"/>
  <c r="AB801" i="87" s="1"/>
  <c r="X800" i="87"/>
  <c r="AD800" i="87" s="1"/>
  <c r="W800" i="87"/>
  <c r="AC800" i="87" s="1"/>
  <c r="V800" i="87"/>
  <c r="AB800" i="87" s="1"/>
  <c r="X799" i="87"/>
  <c r="AD799" i="87" s="1"/>
  <c r="W799" i="87"/>
  <c r="AC799" i="87" s="1"/>
  <c r="V799" i="87"/>
  <c r="AB799" i="87" s="1"/>
  <c r="X798" i="87"/>
  <c r="AD798" i="87" s="1"/>
  <c r="W798" i="87"/>
  <c r="AC798" i="87" s="1"/>
  <c r="V798" i="87"/>
  <c r="AB798" i="87" s="1"/>
  <c r="X797" i="87"/>
  <c r="AD797" i="87" s="1"/>
  <c r="W797" i="87"/>
  <c r="AC797" i="87" s="1"/>
  <c r="V797" i="87"/>
  <c r="AB797" i="87" s="1"/>
  <c r="X796" i="87"/>
  <c r="AD796" i="87" s="1"/>
  <c r="W796" i="87"/>
  <c r="AC796" i="87" s="1"/>
  <c r="V796" i="87"/>
  <c r="AB796" i="87" s="1"/>
  <c r="X795" i="87"/>
  <c r="AD795" i="87" s="1"/>
  <c r="W795" i="87"/>
  <c r="AC795" i="87" s="1"/>
  <c r="V795" i="87"/>
  <c r="AB795" i="87" s="1"/>
  <c r="X794" i="87"/>
  <c r="AD794" i="87" s="1"/>
  <c r="W794" i="87"/>
  <c r="AC794" i="87" s="1"/>
  <c r="V794" i="87"/>
  <c r="AB794" i="87" s="1"/>
  <c r="X793" i="87"/>
  <c r="AD793" i="87" s="1"/>
  <c r="W793" i="87"/>
  <c r="AC793" i="87" s="1"/>
  <c r="V793" i="87"/>
  <c r="AB793" i="87" s="1"/>
  <c r="X792" i="87"/>
  <c r="AD792" i="87" s="1"/>
  <c r="W792" i="87"/>
  <c r="AC792" i="87" s="1"/>
  <c r="V792" i="87"/>
  <c r="AB792" i="87" s="1"/>
  <c r="X791" i="87"/>
  <c r="AD791" i="87" s="1"/>
  <c r="W791" i="87"/>
  <c r="AC791" i="87" s="1"/>
  <c r="V791" i="87"/>
  <c r="AB791" i="87" s="1"/>
  <c r="X790" i="87"/>
  <c r="AD790" i="87" s="1"/>
  <c r="W790" i="87"/>
  <c r="AC790" i="87" s="1"/>
  <c r="V790" i="87"/>
  <c r="AB790" i="87" s="1"/>
  <c r="X789" i="87"/>
  <c r="AD789" i="87" s="1"/>
  <c r="W789" i="87"/>
  <c r="AC789" i="87" s="1"/>
  <c r="V789" i="87"/>
  <c r="AB789" i="87" s="1"/>
  <c r="X788" i="87"/>
  <c r="AD788" i="87" s="1"/>
  <c r="W788" i="87"/>
  <c r="AC788" i="87" s="1"/>
  <c r="V788" i="87"/>
  <c r="AB788" i="87" s="1"/>
  <c r="X787" i="87"/>
  <c r="AD787" i="87" s="1"/>
  <c r="W787" i="87"/>
  <c r="AC787" i="87" s="1"/>
  <c r="V787" i="87"/>
  <c r="AB787" i="87" s="1"/>
  <c r="X786" i="87"/>
  <c r="AD786" i="87" s="1"/>
  <c r="W786" i="87"/>
  <c r="AC786" i="87" s="1"/>
  <c r="V786" i="87"/>
  <c r="AB786" i="87" s="1"/>
  <c r="X785" i="87"/>
  <c r="AD785" i="87" s="1"/>
  <c r="W785" i="87"/>
  <c r="AC785" i="87" s="1"/>
  <c r="V785" i="87"/>
  <c r="AB785" i="87" s="1"/>
  <c r="X784" i="87"/>
  <c r="AD784" i="87" s="1"/>
  <c r="W784" i="87"/>
  <c r="AC784" i="87" s="1"/>
  <c r="V784" i="87"/>
  <c r="AB784" i="87" s="1"/>
  <c r="X783" i="87"/>
  <c r="AD783" i="87" s="1"/>
  <c r="W783" i="87"/>
  <c r="AC783" i="87" s="1"/>
  <c r="V783" i="87"/>
  <c r="AB783" i="87" s="1"/>
  <c r="X782" i="87"/>
  <c r="AD782" i="87" s="1"/>
  <c r="W782" i="87"/>
  <c r="AC782" i="87" s="1"/>
  <c r="V782" i="87"/>
  <c r="AB782" i="87" s="1"/>
  <c r="X781" i="87"/>
  <c r="AD781" i="87" s="1"/>
  <c r="W781" i="87"/>
  <c r="AC781" i="87" s="1"/>
  <c r="V781" i="87"/>
  <c r="AB781" i="87" s="1"/>
  <c r="X780" i="87"/>
  <c r="AD780" i="87" s="1"/>
  <c r="W780" i="87"/>
  <c r="AC780" i="87" s="1"/>
  <c r="V780" i="87"/>
  <c r="AB780" i="87" s="1"/>
  <c r="X779" i="87"/>
  <c r="AD779" i="87" s="1"/>
  <c r="W779" i="87"/>
  <c r="AC779" i="87" s="1"/>
  <c r="V779" i="87"/>
  <c r="AB779" i="87" s="1"/>
  <c r="X778" i="87"/>
  <c r="AD778" i="87" s="1"/>
  <c r="W778" i="87"/>
  <c r="AC778" i="87" s="1"/>
  <c r="V778" i="87"/>
  <c r="AB778" i="87" s="1"/>
  <c r="X777" i="87"/>
  <c r="AD777" i="87" s="1"/>
  <c r="W777" i="87"/>
  <c r="AC777" i="87" s="1"/>
  <c r="V777" i="87"/>
  <c r="AB777" i="87" s="1"/>
  <c r="X776" i="87"/>
  <c r="AD776" i="87" s="1"/>
  <c r="W776" i="87"/>
  <c r="AC776" i="87" s="1"/>
  <c r="V776" i="87"/>
  <c r="AB776" i="87" s="1"/>
  <c r="X775" i="87"/>
  <c r="AD775" i="87" s="1"/>
  <c r="W775" i="87"/>
  <c r="AC775" i="87" s="1"/>
  <c r="V775" i="87"/>
  <c r="AB775" i="87" s="1"/>
  <c r="X774" i="87"/>
  <c r="AD774" i="87" s="1"/>
  <c r="W774" i="87"/>
  <c r="AC774" i="87" s="1"/>
  <c r="V774" i="87"/>
  <c r="AB774" i="87" s="1"/>
  <c r="X773" i="87"/>
  <c r="AD773" i="87" s="1"/>
  <c r="W773" i="87"/>
  <c r="AC773" i="87" s="1"/>
  <c r="V773" i="87"/>
  <c r="AB773" i="87" s="1"/>
  <c r="X772" i="87"/>
  <c r="AD772" i="87" s="1"/>
  <c r="W772" i="87"/>
  <c r="AC772" i="87" s="1"/>
  <c r="V772" i="87"/>
  <c r="AB772" i="87" s="1"/>
  <c r="X771" i="87"/>
  <c r="AD771" i="87" s="1"/>
  <c r="W771" i="87"/>
  <c r="AC771" i="87" s="1"/>
  <c r="V771" i="87"/>
  <c r="AB771" i="87" s="1"/>
  <c r="X770" i="87"/>
  <c r="AD770" i="87" s="1"/>
  <c r="W770" i="87"/>
  <c r="AC770" i="87" s="1"/>
  <c r="V770" i="87"/>
  <c r="AB770" i="87" s="1"/>
  <c r="X769" i="87"/>
  <c r="AD769" i="87" s="1"/>
  <c r="W769" i="87"/>
  <c r="AC769" i="87" s="1"/>
  <c r="V769" i="87"/>
  <c r="AB769" i="87" s="1"/>
  <c r="X768" i="87"/>
  <c r="AD768" i="87" s="1"/>
  <c r="W768" i="87"/>
  <c r="AC768" i="87" s="1"/>
  <c r="V768" i="87"/>
  <c r="AB768" i="87" s="1"/>
  <c r="X767" i="87"/>
  <c r="AD767" i="87" s="1"/>
  <c r="W767" i="87"/>
  <c r="AC767" i="87" s="1"/>
  <c r="V767" i="87"/>
  <c r="AB767" i="87" s="1"/>
  <c r="X766" i="87"/>
  <c r="AD766" i="87" s="1"/>
  <c r="W766" i="87"/>
  <c r="AC766" i="87" s="1"/>
  <c r="V766" i="87"/>
  <c r="AB766" i="87" s="1"/>
  <c r="X765" i="87"/>
  <c r="AD765" i="87" s="1"/>
  <c r="W765" i="87"/>
  <c r="AC765" i="87" s="1"/>
  <c r="V765" i="87"/>
  <c r="AB765" i="87" s="1"/>
  <c r="X764" i="87"/>
  <c r="AD764" i="87" s="1"/>
  <c r="W764" i="87"/>
  <c r="AC764" i="87" s="1"/>
  <c r="V764" i="87"/>
  <c r="AB764" i="87" s="1"/>
  <c r="X763" i="87"/>
  <c r="AD763" i="87" s="1"/>
  <c r="W763" i="87"/>
  <c r="AC763" i="87" s="1"/>
  <c r="V763" i="87"/>
  <c r="AB763" i="87" s="1"/>
  <c r="X762" i="87"/>
  <c r="AD762" i="87" s="1"/>
  <c r="W762" i="87"/>
  <c r="AC762" i="87" s="1"/>
  <c r="V762" i="87"/>
  <c r="AB762" i="87" s="1"/>
  <c r="X761" i="87"/>
  <c r="AD761" i="87" s="1"/>
  <c r="W761" i="87"/>
  <c r="AC761" i="87" s="1"/>
  <c r="V761" i="87"/>
  <c r="AB761" i="87" s="1"/>
  <c r="X760" i="87"/>
  <c r="AD760" i="87" s="1"/>
  <c r="W760" i="87"/>
  <c r="AC760" i="87" s="1"/>
  <c r="V760" i="87"/>
  <c r="AB760" i="87" s="1"/>
  <c r="X759" i="87"/>
  <c r="AD759" i="87" s="1"/>
  <c r="W759" i="87"/>
  <c r="AC759" i="87" s="1"/>
  <c r="V759" i="87"/>
  <c r="AB759" i="87" s="1"/>
  <c r="X758" i="87"/>
  <c r="AD758" i="87" s="1"/>
  <c r="W758" i="87"/>
  <c r="AC758" i="87" s="1"/>
  <c r="V758" i="87"/>
  <c r="AB758" i="87" s="1"/>
  <c r="X757" i="87"/>
  <c r="AD757" i="87" s="1"/>
  <c r="W757" i="87"/>
  <c r="AC757" i="87" s="1"/>
  <c r="V757" i="87"/>
  <c r="AB757" i="87" s="1"/>
  <c r="X756" i="87"/>
  <c r="AD756" i="87" s="1"/>
  <c r="W756" i="87"/>
  <c r="AC756" i="87" s="1"/>
  <c r="V756" i="87"/>
  <c r="AB756" i="87" s="1"/>
  <c r="X755" i="87"/>
  <c r="AD755" i="87" s="1"/>
  <c r="W755" i="87"/>
  <c r="AC755" i="87" s="1"/>
  <c r="V755" i="87"/>
  <c r="AB755" i="87" s="1"/>
  <c r="X754" i="87"/>
  <c r="AD754" i="87" s="1"/>
  <c r="W754" i="87"/>
  <c r="AC754" i="87" s="1"/>
  <c r="V754" i="87"/>
  <c r="AB754" i="87" s="1"/>
  <c r="X753" i="87"/>
  <c r="AD753" i="87" s="1"/>
  <c r="W753" i="87"/>
  <c r="AC753" i="87" s="1"/>
  <c r="V753" i="87"/>
  <c r="AB753" i="87" s="1"/>
  <c r="X752" i="87"/>
  <c r="AD752" i="87" s="1"/>
  <c r="W752" i="87"/>
  <c r="AC752" i="87" s="1"/>
  <c r="V752" i="87"/>
  <c r="AB752" i="87" s="1"/>
  <c r="X751" i="87"/>
  <c r="AD751" i="87" s="1"/>
  <c r="W751" i="87"/>
  <c r="AC751" i="87" s="1"/>
  <c r="V751" i="87"/>
  <c r="AB751" i="87" s="1"/>
  <c r="X750" i="87"/>
  <c r="AD750" i="87" s="1"/>
  <c r="W750" i="87"/>
  <c r="AC750" i="87" s="1"/>
  <c r="V750" i="87"/>
  <c r="AB750" i="87" s="1"/>
  <c r="X749" i="87"/>
  <c r="AD749" i="87" s="1"/>
  <c r="W749" i="87"/>
  <c r="AC749" i="87" s="1"/>
  <c r="V749" i="87"/>
  <c r="AB749" i="87" s="1"/>
  <c r="X748" i="87"/>
  <c r="AD748" i="87" s="1"/>
  <c r="W748" i="87"/>
  <c r="AC748" i="87" s="1"/>
  <c r="V748" i="87"/>
  <c r="AB748" i="87" s="1"/>
  <c r="X747" i="87"/>
  <c r="AD747" i="87" s="1"/>
  <c r="W747" i="87"/>
  <c r="AC747" i="87" s="1"/>
  <c r="V747" i="87"/>
  <c r="AB747" i="87" s="1"/>
  <c r="X746" i="87"/>
  <c r="AD746" i="87" s="1"/>
  <c r="W746" i="87"/>
  <c r="AC746" i="87" s="1"/>
  <c r="V746" i="87"/>
  <c r="AB746" i="87" s="1"/>
  <c r="X745" i="87"/>
  <c r="AD745" i="87" s="1"/>
  <c r="W745" i="87"/>
  <c r="AC745" i="87" s="1"/>
  <c r="V745" i="87"/>
  <c r="AB745" i="87" s="1"/>
  <c r="X744" i="87"/>
  <c r="AD744" i="87" s="1"/>
  <c r="W744" i="87"/>
  <c r="AC744" i="87" s="1"/>
  <c r="V744" i="87"/>
  <c r="AB744" i="87" s="1"/>
  <c r="X743" i="87"/>
  <c r="AD743" i="87" s="1"/>
  <c r="W743" i="87"/>
  <c r="AC743" i="87" s="1"/>
  <c r="V743" i="87"/>
  <c r="AB743" i="87" s="1"/>
  <c r="X742" i="87"/>
  <c r="AD742" i="87" s="1"/>
  <c r="W742" i="87"/>
  <c r="AC742" i="87" s="1"/>
  <c r="V742" i="87"/>
  <c r="AB742" i="87" s="1"/>
  <c r="X741" i="87"/>
  <c r="AD741" i="87" s="1"/>
  <c r="W741" i="87"/>
  <c r="AC741" i="87" s="1"/>
  <c r="V741" i="87"/>
  <c r="AB741" i="87" s="1"/>
  <c r="X740" i="87"/>
  <c r="AD740" i="87" s="1"/>
  <c r="W740" i="87"/>
  <c r="AC740" i="87" s="1"/>
  <c r="V740" i="87"/>
  <c r="AB740" i="87" s="1"/>
  <c r="X739" i="87"/>
  <c r="AD739" i="87" s="1"/>
  <c r="W739" i="87"/>
  <c r="AC739" i="87" s="1"/>
  <c r="V739" i="87"/>
  <c r="AB739" i="87" s="1"/>
  <c r="X738" i="87"/>
  <c r="AD738" i="87" s="1"/>
  <c r="W738" i="87"/>
  <c r="AC738" i="87" s="1"/>
  <c r="V738" i="87"/>
  <c r="AB738" i="87" s="1"/>
  <c r="X737" i="87"/>
  <c r="AD737" i="87" s="1"/>
  <c r="W737" i="87"/>
  <c r="AC737" i="87" s="1"/>
  <c r="V737" i="87"/>
  <c r="AB737" i="87" s="1"/>
  <c r="X736" i="87"/>
  <c r="AD736" i="87" s="1"/>
  <c r="W736" i="87"/>
  <c r="AC736" i="87" s="1"/>
  <c r="V736" i="87"/>
  <c r="AB736" i="87" s="1"/>
  <c r="X735" i="87"/>
  <c r="AD735" i="87" s="1"/>
  <c r="W735" i="87"/>
  <c r="AC735" i="87" s="1"/>
  <c r="V735" i="87"/>
  <c r="AB735" i="87" s="1"/>
  <c r="X734" i="87"/>
  <c r="AD734" i="87" s="1"/>
  <c r="W734" i="87"/>
  <c r="AC734" i="87" s="1"/>
  <c r="V734" i="87"/>
  <c r="AB734" i="87" s="1"/>
  <c r="X733" i="87"/>
  <c r="AD733" i="87" s="1"/>
  <c r="W733" i="87"/>
  <c r="AC733" i="87" s="1"/>
  <c r="V733" i="87"/>
  <c r="AB733" i="87" s="1"/>
  <c r="X732" i="87"/>
  <c r="AD732" i="87" s="1"/>
  <c r="W732" i="87"/>
  <c r="AC732" i="87" s="1"/>
  <c r="V732" i="87"/>
  <c r="AB732" i="87" s="1"/>
  <c r="X731" i="87"/>
  <c r="AD731" i="87" s="1"/>
  <c r="W731" i="87"/>
  <c r="AC731" i="87" s="1"/>
  <c r="V731" i="87"/>
  <c r="AB731" i="87" s="1"/>
  <c r="X730" i="87"/>
  <c r="AD730" i="87" s="1"/>
  <c r="W730" i="87"/>
  <c r="AC730" i="87" s="1"/>
  <c r="V730" i="87"/>
  <c r="AB730" i="87" s="1"/>
  <c r="X729" i="87"/>
  <c r="AD729" i="87" s="1"/>
  <c r="W729" i="87"/>
  <c r="AC729" i="87" s="1"/>
  <c r="V729" i="87"/>
  <c r="AB729" i="87" s="1"/>
  <c r="X728" i="87"/>
  <c r="AD728" i="87" s="1"/>
  <c r="W728" i="87"/>
  <c r="AC728" i="87" s="1"/>
  <c r="V728" i="87"/>
  <c r="AB728" i="87" s="1"/>
  <c r="X727" i="87"/>
  <c r="AD727" i="87" s="1"/>
  <c r="W727" i="87"/>
  <c r="AC727" i="87" s="1"/>
  <c r="V727" i="87"/>
  <c r="AB727" i="87" s="1"/>
  <c r="X726" i="87"/>
  <c r="AD726" i="87" s="1"/>
  <c r="W726" i="87"/>
  <c r="AC726" i="87" s="1"/>
  <c r="V726" i="87"/>
  <c r="AB726" i="87" s="1"/>
  <c r="X725" i="87"/>
  <c r="AD725" i="87" s="1"/>
  <c r="W725" i="87"/>
  <c r="AC725" i="87" s="1"/>
  <c r="V725" i="87"/>
  <c r="AB725" i="87" s="1"/>
  <c r="X724" i="87"/>
  <c r="AD724" i="87" s="1"/>
  <c r="W724" i="87"/>
  <c r="AC724" i="87" s="1"/>
  <c r="V724" i="87"/>
  <c r="AB724" i="87" s="1"/>
  <c r="X723" i="87"/>
  <c r="AD723" i="87" s="1"/>
  <c r="W723" i="87"/>
  <c r="AC723" i="87" s="1"/>
  <c r="V723" i="87"/>
  <c r="AB723" i="87" s="1"/>
  <c r="X722" i="87"/>
  <c r="AD722" i="87" s="1"/>
  <c r="W722" i="87"/>
  <c r="AC722" i="87" s="1"/>
  <c r="V722" i="87"/>
  <c r="AB722" i="87" s="1"/>
  <c r="X721" i="87"/>
  <c r="AD721" i="87" s="1"/>
  <c r="W721" i="87"/>
  <c r="AC721" i="87" s="1"/>
  <c r="V721" i="87"/>
  <c r="AB721" i="87" s="1"/>
  <c r="X720" i="87"/>
  <c r="AD720" i="87" s="1"/>
  <c r="W720" i="87"/>
  <c r="AC720" i="87" s="1"/>
  <c r="V720" i="87"/>
  <c r="AB720" i="87" s="1"/>
  <c r="X719" i="87"/>
  <c r="AD719" i="87" s="1"/>
  <c r="W719" i="87"/>
  <c r="AC719" i="87" s="1"/>
  <c r="V719" i="87"/>
  <c r="AB719" i="87" s="1"/>
  <c r="X718" i="87"/>
  <c r="AD718" i="87" s="1"/>
  <c r="W718" i="87"/>
  <c r="AC718" i="87" s="1"/>
  <c r="V718" i="87"/>
  <c r="AB718" i="87" s="1"/>
  <c r="X717" i="87"/>
  <c r="AD717" i="87" s="1"/>
  <c r="W717" i="87"/>
  <c r="AC717" i="87" s="1"/>
  <c r="V717" i="87"/>
  <c r="AB717" i="87" s="1"/>
  <c r="X716" i="87"/>
  <c r="AD716" i="87" s="1"/>
  <c r="W716" i="87"/>
  <c r="AC716" i="87" s="1"/>
  <c r="V716" i="87"/>
  <c r="AB716" i="87" s="1"/>
  <c r="X715" i="87"/>
  <c r="AD715" i="87" s="1"/>
  <c r="W715" i="87"/>
  <c r="AC715" i="87" s="1"/>
  <c r="V715" i="87"/>
  <c r="AB715" i="87" s="1"/>
  <c r="X714" i="87"/>
  <c r="AD714" i="87" s="1"/>
  <c r="W714" i="87"/>
  <c r="AC714" i="87" s="1"/>
  <c r="V714" i="87"/>
  <c r="AB714" i="87" s="1"/>
  <c r="X713" i="87"/>
  <c r="AD713" i="87" s="1"/>
  <c r="W713" i="87"/>
  <c r="AC713" i="87" s="1"/>
  <c r="V713" i="87"/>
  <c r="AB713" i="87" s="1"/>
  <c r="X712" i="87"/>
  <c r="AD712" i="87" s="1"/>
  <c r="W712" i="87"/>
  <c r="AC712" i="87" s="1"/>
  <c r="V712" i="87"/>
  <c r="AB712" i="87" s="1"/>
  <c r="X711" i="87"/>
  <c r="AD711" i="87" s="1"/>
  <c r="W711" i="87"/>
  <c r="AC711" i="87" s="1"/>
  <c r="V711" i="87"/>
  <c r="AB711" i="87" s="1"/>
  <c r="X710" i="87"/>
  <c r="AD710" i="87" s="1"/>
  <c r="W710" i="87"/>
  <c r="AC710" i="87" s="1"/>
  <c r="V710" i="87"/>
  <c r="AB710" i="87" s="1"/>
  <c r="X709" i="87"/>
  <c r="AD709" i="87" s="1"/>
  <c r="W709" i="87"/>
  <c r="AC709" i="87" s="1"/>
  <c r="V709" i="87"/>
  <c r="AB709" i="87" s="1"/>
  <c r="X708" i="87"/>
  <c r="AD708" i="87" s="1"/>
  <c r="W708" i="87"/>
  <c r="AC708" i="87" s="1"/>
  <c r="V708" i="87"/>
  <c r="AB708" i="87" s="1"/>
  <c r="X707" i="87"/>
  <c r="AD707" i="87" s="1"/>
  <c r="W707" i="87"/>
  <c r="AC707" i="87" s="1"/>
  <c r="V707" i="87"/>
  <c r="AB707" i="87" s="1"/>
  <c r="X706" i="87"/>
  <c r="AD706" i="87" s="1"/>
  <c r="W706" i="87"/>
  <c r="AC706" i="87" s="1"/>
  <c r="V706" i="87"/>
  <c r="AB706" i="87" s="1"/>
  <c r="X705" i="87"/>
  <c r="AD705" i="87" s="1"/>
  <c r="W705" i="87"/>
  <c r="AC705" i="87" s="1"/>
  <c r="V705" i="87"/>
  <c r="AB705" i="87" s="1"/>
  <c r="X704" i="87"/>
  <c r="AD704" i="87" s="1"/>
  <c r="W704" i="87"/>
  <c r="AC704" i="87" s="1"/>
  <c r="V704" i="87"/>
  <c r="AB704" i="87" s="1"/>
  <c r="X703" i="87"/>
  <c r="AD703" i="87" s="1"/>
  <c r="W703" i="87"/>
  <c r="AC703" i="87" s="1"/>
  <c r="V703" i="87"/>
  <c r="AB703" i="87" s="1"/>
  <c r="X702" i="87"/>
  <c r="AD702" i="87" s="1"/>
  <c r="W702" i="87"/>
  <c r="AC702" i="87" s="1"/>
  <c r="V702" i="87"/>
  <c r="AB702" i="87" s="1"/>
  <c r="X701" i="87"/>
  <c r="AD701" i="87" s="1"/>
  <c r="W701" i="87"/>
  <c r="AC701" i="87" s="1"/>
  <c r="V701" i="87"/>
  <c r="AB701" i="87" s="1"/>
  <c r="X700" i="87"/>
  <c r="AD700" i="87" s="1"/>
  <c r="W700" i="87"/>
  <c r="AC700" i="87" s="1"/>
  <c r="V700" i="87"/>
  <c r="AB700" i="87" s="1"/>
  <c r="X699" i="87"/>
  <c r="AD699" i="87" s="1"/>
  <c r="W699" i="87"/>
  <c r="AC699" i="87" s="1"/>
  <c r="V699" i="87"/>
  <c r="AB699" i="87" s="1"/>
  <c r="X698" i="87"/>
  <c r="AD698" i="87" s="1"/>
  <c r="W698" i="87"/>
  <c r="AC698" i="87" s="1"/>
  <c r="V698" i="87"/>
  <c r="AB698" i="87" s="1"/>
  <c r="X697" i="87"/>
  <c r="AD697" i="87" s="1"/>
  <c r="W697" i="87"/>
  <c r="AC697" i="87" s="1"/>
  <c r="V697" i="87"/>
  <c r="AB697" i="87" s="1"/>
  <c r="X696" i="87"/>
  <c r="AD696" i="87" s="1"/>
  <c r="W696" i="87"/>
  <c r="AC696" i="87" s="1"/>
  <c r="V696" i="87"/>
  <c r="AB696" i="87" s="1"/>
  <c r="X695" i="87"/>
  <c r="AD695" i="87" s="1"/>
  <c r="W695" i="87"/>
  <c r="AC695" i="87" s="1"/>
  <c r="V695" i="87"/>
  <c r="AB695" i="87" s="1"/>
  <c r="X694" i="87"/>
  <c r="AD694" i="87" s="1"/>
  <c r="W694" i="87"/>
  <c r="AC694" i="87" s="1"/>
  <c r="V694" i="87"/>
  <c r="AB694" i="87" s="1"/>
  <c r="X693" i="87"/>
  <c r="AD693" i="87" s="1"/>
  <c r="W693" i="87"/>
  <c r="AC693" i="87" s="1"/>
  <c r="V693" i="87"/>
  <c r="AB693" i="87" s="1"/>
  <c r="X692" i="87"/>
  <c r="AD692" i="87" s="1"/>
  <c r="W692" i="87"/>
  <c r="AC692" i="87" s="1"/>
  <c r="V692" i="87"/>
  <c r="AB692" i="87" s="1"/>
  <c r="X691" i="87"/>
  <c r="AD691" i="87" s="1"/>
  <c r="W691" i="87"/>
  <c r="AC691" i="87" s="1"/>
  <c r="V691" i="87"/>
  <c r="AB691" i="87" s="1"/>
  <c r="X690" i="87"/>
  <c r="AD690" i="87" s="1"/>
  <c r="W690" i="87"/>
  <c r="AC690" i="87" s="1"/>
  <c r="V690" i="87"/>
  <c r="AB690" i="87" s="1"/>
  <c r="X689" i="87"/>
  <c r="AD689" i="87" s="1"/>
  <c r="W689" i="87"/>
  <c r="AC689" i="87" s="1"/>
  <c r="V689" i="87"/>
  <c r="AB689" i="87" s="1"/>
  <c r="X688" i="87"/>
  <c r="AD688" i="87" s="1"/>
  <c r="W688" i="87"/>
  <c r="AC688" i="87" s="1"/>
  <c r="V688" i="87"/>
  <c r="AB688" i="87" s="1"/>
  <c r="X687" i="87"/>
  <c r="AD687" i="87" s="1"/>
  <c r="W687" i="87"/>
  <c r="AC687" i="87" s="1"/>
  <c r="V687" i="87"/>
  <c r="AB687" i="87" s="1"/>
  <c r="X686" i="87"/>
  <c r="AD686" i="87" s="1"/>
  <c r="W686" i="87"/>
  <c r="AC686" i="87" s="1"/>
  <c r="V686" i="87"/>
  <c r="AB686" i="87" s="1"/>
  <c r="X685" i="87"/>
  <c r="AD685" i="87" s="1"/>
  <c r="W685" i="87"/>
  <c r="AC685" i="87" s="1"/>
  <c r="V685" i="87"/>
  <c r="AB685" i="87" s="1"/>
  <c r="X684" i="87"/>
  <c r="AD684" i="87" s="1"/>
  <c r="W684" i="87"/>
  <c r="AC684" i="87" s="1"/>
  <c r="V684" i="87"/>
  <c r="AB684" i="87" s="1"/>
  <c r="X683" i="87"/>
  <c r="AD683" i="87" s="1"/>
  <c r="W683" i="87"/>
  <c r="AC683" i="87" s="1"/>
  <c r="V683" i="87"/>
  <c r="AB683" i="87" s="1"/>
  <c r="X682" i="87"/>
  <c r="AD682" i="87" s="1"/>
  <c r="W682" i="87"/>
  <c r="AC682" i="87" s="1"/>
  <c r="V682" i="87"/>
  <c r="AB682" i="87" s="1"/>
  <c r="X681" i="87"/>
  <c r="AD681" i="87" s="1"/>
  <c r="W681" i="87"/>
  <c r="AC681" i="87" s="1"/>
  <c r="V681" i="87"/>
  <c r="AB681" i="87" s="1"/>
  <c r="X680" i="87"/>
  <c r="AD680" i="87" s="1"/>
  <c r="W680" i="87"/>
  <c r="AC680" i="87" s="1"/>
  <c r="V680" i="87"/>
  <c r="AB680" i="87" s="1"/>
  <c r="X679" i="87"/>
  <c r="AD679" i="87" s="1"/>
  <c r="W679" i="87"/>
  <c r="AC679" i="87" s="1"/>
  <c r="V679" i="87"/>
  <c r="AB679" i="87" s="1"/>
  <c r="X678" i="87"/>
  <c r="AD678" i="87" s="1"/>
  <c r="W678" i="87"/>
  <c r="AC678" i="87" s="1"/>
  <c r="V678" i="87"/>
  <c r="AB678" i="87" s="1"/>
  <c r="X677" i="87"/>
  <c r="AD677" i="87" s="1"/>
  <c r="W677" i="87"/>
  <c r="AC677" i="87" s="1"/>
  <c r="V677" i="87"/>
  <c r="AB677" i="87" s="1"/>
  <c r="X676" i="87"/>
  <c r="AD676" i="87" s="1"/>
  <c r="W676" i="87"/>
  <c r="AC676" i="87" s="1"/>
  <c r="V676" i="87"/>
  <c r="AB676" i="87" s="1"/>
  <c r="X675" i="87"/>
  <c r="AD675" i="87" s="1"/>
  <c r="W675" i="87"/>
  <c r="AC675" i="87" s="1"/>
  <c r="V675" i="87"/>
  <c r="AB675" i="87" s="1"/>
  <c r="X674" i="87"/>
  <c r="AD674" i="87" s="1"/>
  <c r="W674" i="87"/>
  <c r="AC674" i="87" s="1"/>
  <c r="V674" i="87"/>
  <c r="AB674" i="87" s="1"/>
  <c r="X673" i="87"/>
  <c r="AD673" i="87" s="1"/>
  <c r="W673" i="87"/>
  <c r="AC673" i="87" s="1"/>
  <c r="V673" i="87"/>
  <c r="AB673" i="87" s="1"/>
  <c r="X672" i="87"/>
  <c r="AD672" i="87" s="1"/>
  <c r="W672" i="87"/>
  <c r="AC672" i="87" s="1"/>
  <c r="V672" i="87"/>
  <c r="AB672" i="87" s="1"/>
  <c r="X671" i="87"/>
  <c r="AD671" i="87" s="1"/>
  <c r="W671" i="87"/>
  <c r="AC671" i="87" s="1"/>
  <c r="V671" i="87"/>
  <c r="AB671" i="87" s="1"/>
  <c r="X670" i="87"/>
  <c r="AD670" i="87" s="1"/>
  <c r="W670" i="87"/>
  <c r="AC670" i="87" s="1"/>
  <c r="V670" i="87"/>
  <c r="AB670" i="87" s="1"/>
  <c r="X669" i="87"/>
  <c r="AD669" i="87" s="1"/>
  <c r="W669" i="87"/>
  <c r="AC669" i="87" s="1"/>
  <c r="V669" i="87"/>
  <c r="AB669" i="87" s="1"/>
  <c r="X668" i="87"/>
  <c r="AD668" i="87" s="1"/>
  <c r="W668" i="87"/>
  <c r="AC668" i="87" s="1"/>
  <c r="V668" i="87"/>
  <c r="AB668" i="87" s="1"/>
  <c r="X667" i="87"/>
  <c r="AD667" i="87" s="1"/>
  <c r="W667" i="87"/>
  <c r="AC667" i="87" s="1"/>
  <c r="V667" i="87"/>
  <c r="AB667" i="87" s="1"/>
  <c r="X666" i="87"/>
  <c r="AD666" i="87" s="1"/>
  <c r="W666" i="87"/>
  <c r="AC666" i="87" s="1"/>
  <c r="V666" i="87"/>
  <c r="AB666" i="87" s="1"/>
  <c r="X665" i="87"/>
  <c r="AD665" i="87" s="1"/>
  <c r="W665" i="87"/>
  <c r="AC665" i="87" s="1"/>
  <c r="V665" i="87"/>
  <c r="AB665" i="87" s="1"/>
  <c r="X664" i="87"/>
  <c r="AD664" i="87" s="1"/>
  <c r="W664" i="87"/>
  <c r="AC664" i="87" s="1"/>
  <c r="V664" i="87"/>
  <c r="AB664" i="87" s="1"/>
  <c r="X663" i="87"/>
  <c r="AD663" i="87" s="1"/>
  <c r="W663" i="87"/>
  <c r="AC663" i="87" s="1"/>
  <c r="V663" i="87"/>
  <c r="AB663" i="87" s="1"/>
  <c r="X662" i="87"/>
  <c r="AD662" i="87" s="1"/>
  <c r="W662" i="87"/>
  <c r="AC662" i="87" s="1"/>
  <c r="V662" i="87"/>
  <c r="AB662" i="87" s="1"/>
  <c r="X661" i="87"/>
  <c r="AD661" i="87" s="1"/>
  <c r="W661" i="87"/>
  <c r="AC661" i="87" s="1"/>
  <c r="V661" i="87"/>
  <c r="AB661" i="87" s="1"/>
  <c r="X660" i="87"/>
  <c r="AD660" i="87" s="1"/>
  <c r="W660" i="87"/>
  <c r="AC660" i="87" s="1"/>
  <c r="V660" i="87"/>
  <c r="AB660" i="87" s="1"/>
  <c r="X659" i="87"/>
  <c r="AD659" i="87" s="1"/>
  <c r="W659" i="87"/>
  <c r="AC659" i="87" s="1"/>
  <c r="V659" i="87"/>
  <c r="AB659" i="87" s="1"/>
  <c r="X658" i="87"/>
  <c r="AD658" i="87" s="1"/>
  <c r="W658" i="87"/>
  <c r="AC658" i="87" s="1"/>
  <c r="V658" i="87"/>
  <c r="AB658" i="87" s="1"/>
  <c r="X657" i="87"/>
  <c r="AD657" i="87" s="1"/>
  <c r="W657" i="87"/>
  <c r="AC657" i="87" s="1"/>
  <c r="V657" i="87"/>
  <c r="AB657" i="87" s="1"/>
  <c r="X656" i="87"/>
  <c r="AD656" i="87" s="1"/>
  <c r="W656" i="87"/>
  <c r="AC656" i="87" s="1"/>
  <c r="V656" i="87"/>
  <c r="AB656" i="87" s="1"/>
  <c r="X655" i="87"/>
  <c r="AD655" i="87" s="1"/>
  <c r="W655" i="87"/>
  <c r="AC655" i="87" s="1"/>
  <c r="V655" i="87"/>
  <c r="AB655" i="87" s="1"/>
  <c r="X654" i="87"/>
  <c r="AD654" i="87" s="1"/>
  <c r="W654" i="87"/>
  <c r="AC654" i="87" s="1"/>
  <c r="V654" i="87"/>
  <c r="AB654" i="87" s="1"/>
  <c r="X653" i="87"/>
  <c r="AD653" i="87" s="1"/>
  <c r="W653" i="87"/>
  <c r="AC653" i="87" s="1"/>
  <c r="V653" i="87"/>
  <c r="AB653" i="87" s="1"/>
  <c r="X652" i="87"/>
  <c r="AD652" i="87" s="1"/>
  <c r="W652" i="87"/>
  <c r="AC652" i="87" s="1"/>
  <c r="V652" i="87"/>
  <c r="AB652" i="87" s="1"/>
  <c r="X651" i="87"/>
  <c r="AD651" i="87" s="1"/>
  <c r="W651" i="87"/>
  <c r="AC651" i="87" s="1"/>
  <c r="V651" i="87"/>
  <c r="AB651" i="87" s="1"/>
  <c r="X650" i="87"/>
  <c r="AD650" i="87" s="1"/>
  <c r="W650" i="87"/>
  <c r="AC650" i="87" s="1"/>
  <c r="V650" i="87"/>
  <c r="AB650" i="87" s="1"/>
  <c r="X649" i="87"/>
  <c r="AD649" i="87" s="1"/>
  <c r="W649" i="87"/>
  <c r="AC649" i="87" s="1"/>
  <c r="V649" i="87"/>
  <c r="AB649" i="87" s="1"/>
  <c r="X648" i="87"/>
  <c r="AD648" i="87" s="1"/>
  <c r="W648" i="87"/>
  <c r="AC648" i="87" s="1"/>
  <c r="V648" i="87"/>
  <c r="AB648" i="87" s="1"/>
  <c r="X647" i="87"/>
  <c r="AD647" i="87" s="1"/>
  <c r="W647" i="87"/>
  <c r="AC647" i="87" s="1"/>
  <c r="V647" i="87"/>
  <c r="AB647" i="87" s="1"/>
  <c r="X646" i="87"/>
  <c r="AD646" i="87" s="1"/>
  <c r="W646" i="87"/>
  <c r="AC646" i="87" s="1"/>
  <c r="V646" i="87"/>
  <c r="AB646" i="87" s="1"/>
  <c r="X645" i="87"/>
  <c r="AD645" i="87" s="1"/>
  <c r="W645" i="87"/>
  <c r="AC645" i="87" s="1"/>
  <c r="V645" i="87"/>
  <c r="AB645" i="87" s="1"/>
  <c r="X644" i="87"/>
  <c r="AD644" i="87" s="1"/>
  <c r="W644" i="87"/>
  <c r="AC644" i="87" s="1"/>
  <c r="V644" i="87"/>
  <c r="AB644" i="87" s="1"/>
  <c r="X643" i="87"/>
  <c r="AD643" i="87" s="1"/>
  <c r="W643" i="87"/>
  <c r="AC643" i="87" s="1"/>
  <c r="V643" i="87"/>
  <c r="AB643" i="87" s="1"/>
  <c r="X642" i="87"/>
  <c r="AD642" i="87" s="1"/>
  <c r="W642" i="87"/>
  <c r="AC642" i="87" s="1"/>
  <c r="V642" i="87"/>
  <c r="AB642" i="87" s="1"/>
  <c r="X641" i="87"/>
  <c r="AD641" i="87" s="1"/>
  <c r="W641" i="87"/>
  <c r="AC641" i="87" s="1"/>
  <c r="V641" i="87"/>
  <c r="AB641" i="87" s="1"/>
  <c r="X640" i="87"/>
  <c r="AD640" i="87" s="1"/>
  <c r="W640" i="87"/>
  <c r="AC640" i="87" s="1"/>
  <c r="V640" i="87"/>
  <c r="AB640" i="87" s="1"/>
  <c r="X639" i="87"/>
  <c r="AD639" i="87" s="1"/>
  <c r="W639" i="87"/>
  <c r="AC639" i="87" s="1"/>
  <c r="V639" i="87"/>
  <c r="AB639" i="87" s="1"/>
  <c r="X638" i="87"/>
  <c r="AD638" i="87" s="1"/>
  <c r="W638" i="87"/>
  <c r="AC638" i="87" s="1"/>
  <c r="V638" i="87"/>
  <c r="AB638" i="87" s="1"/>
  <c r="X637" i="87"/>
  <c r="AD637" i="87" s="1"/>
  <c r="W637" i="87"/>
  <c r="AC637" i="87" s="1"/>
  <c r="V637" i="87"/>
  <c r="AB637" i="87" s="1"/>
  <c r="X636" i="87"/>
  <c r="AD636" i="87" s="1"/>
  <c r="W636" i="87"/>
  <c r="AC636" i="87" s="1"/>
  <c r="V636" i="87"/>
  <c r="AB636" i="87" s="1"/>
  <c r="X635" i="87"/>
  <c r="AD635" i="87" s="1"/>
  <c r="W635" i="87"/>
  <c r="AC635" i="87" s="1"/>
  <c r="V635" i="87"/>
  <c r="AB635" i="87" s="1"/>
  <c r="X634" i="87"/>
  <c r="AD634" i="87" s="1"/>
  <c r="W634" i="87"/>
  <c r="AC634" i="87" s="1"/>
  <c r="V634" i="87"/>
  <c r="AB634" i="87" s="1"/>
  <c r="X633" i="87"/>
  <c r="AD633" i="87" s="1"/>
  <c r="W633" i="87"/>
  <c r="AC633" i="87" s="1"/>
  <c r="V633" i="87"/>
  <c r="AB633" i="87" s="1"/>
  <c r="X632" i="87"/>
  <c r="AD632" i="87" s="1"/>
  <c r="W632" i="87"/>
  <c r="AC632" i="87" s="1"/>
  <c r="V632" i="87"/>
  <c r="AB632" i="87" s="1"/>
  <c r="X631" i="87"/>
  <c r="AD631" i="87" s="1"/>
  <c r="W631" i="87"/>
  <c r="AC631" i="87" s="1"/>
  <c r="V631" i="87"/>
  <c r="AB631" i="87" s="1"/>
  <c r="X630" i="87"/>
  <c r="AD630" i="87" s="1"/>
  <c r="W630" i="87"/>
  <c r="AC630" i="87" s="1"/>
  <c r="V630" i="87"/>
  <c r="AB630" i="87" s="1"/>
  <c r="X629" i="87"/>
  <c r="AD629" i="87" s="1"/>
  <c r="W629" i="87"/>
  <c r="AC629" i="87" s="1"/>
  <c r="V629" i="87"/>
  <c r="AB629" i="87" s="1"/>
  <c r="X628" i="87"/>
  <c r="AD628" i="87" s="1"/>
  <c r="W628" i="87"/>
  <c r="AC628" i="87" s="1"/>
  <c r="V628" i="87"/>
  <c r="AB628" i="87" s="1"/>
  <c r="X627" i="87"/>
  <c r="AD627" i="87" s="1"/>
  <c r="W627" i="87"/>
  <c r="AC627" i="87" s="1"/>
  <c r="V627" i="87"/>
  <c r="AB627" i="87" s="1"/>
  <c r="X626" i="87"/>
  <c r="AD626" i="87" s="1"/>
  <c r="W626" i="87"/>
  <c r="AC626" i="87" s="1"/>
  <c r="V626" i="87"/>
  <c r="AB626" i="87" s="1"/>
  <c r="X625" i="87"/>
  <c r="AD625" i="87" s="1"/>
  <c r="W625" i="87"/>
  <c r="AC625" i="87" s="1"/>
  <c r="V625" i="87"/>
  <c r="AB625" i="87" s="1"/>
  <c r="X624" i="87"/>
  <c r="AD624" i="87" s="1"/>
  <c r="W624" i="87"/>
  <c r="AC624" i="87" s="1"/>
  <c r="V624" i="87"/>
  <c r="AB624" i="87" s="1"/>
  <c r="X623" i="87"/>
  <c r="AD623" i="87" s="1"/>
  <c r="W623" i="87"/>
  <c r="AC623" i="87" s="1"/>
  <c r="V623" i="87"/>
  <c r="AB623" i="87" s="1"/>
  <c r="X622" i="87"/>
  <c r="AD622" i="87" s="1"/>
  <c r="W622" i="87"/>
  <c r="AC622" i="87" s="1"/>
  <c r="V622" i="87"/>
  <c r="AB622" i="87" s="1"/>
  <c r="X621" i="87"/>
  <c r="AD621" i="87" s="1"/>
  <c r="W621" i="87"/>
  <c r="AC621" i="87" s="1"/>
  <c r="V621" i="87"/>
  <c r="AB621" i="87" s="1"/>
  <c r="X620" i="87"/>
  <c r="AD620" i="87" s="1"/>
  <c r="W620" i="87"/>
  <c r="AC620" i="87" s="1"/>
  <c r="V620" i="87"/>
  <c r="AB620" i="87" s="1"/>
  <c r="X619" i="87"/>
  <c r="AD619" i="87" s="1"/>
  <c r="W619" i="87"/>
  <c r="AC619" i="87" s="1"/>
  <c r="V619" i="87"/>
  <c r="AB619" i="87" s="1"/>
  <c r="X618" i="87"/>
  <c r="AD618" i="87" s="1"/>
  <c r="W618" i="87"/>
  <c r="AC618" i="87" s="1"/>
  <c r="V618" i="87"/>
  <c r="AB618" i="87" s="1"/>
  <c r="X617" i="87"/>
  <c r="AD617" i="87" s="1"/>
  <c r="W617" i="87"/>
  <c r="AC617" i="87" s="1"/>
  <c r="V617" i="87"/>
  <c r="AB617" i="87" s="1"/>
  <c r="X616" i="87"/>
  <c r="AD616" i="87" s="1"/>
  <c r="W616" i="87"/>
  <c r="AC616" i="87" s="1"/>
  <c r="V616" i="87"/>
  <c r="AB616" i="87" s="1"/>
  <c r="X615" i="87"/>
  <c r="AD615" i="87" s="1"/>
  <c r="W615" i="87"/>
  <c r="AC615" i="87" s="1"/>
  <c r="V615" i="87"/>
  <c r="AB615" i="87" s="1"/>
  <c r="X614" i="87"/>
  <c r="AD614" i="87" s="1"/>
  <c r="W614" i="87"/>
  <c r="AC614" i="87" s="1"/>
  <c r="V614" i="87"/>
  <c r="AB614" i="87" s="1"/>
  <c r="X613" i="87"/>
  <c r="AD613" i="87" s="1"/>
  <c r="W613" i="87"/>
  <c r="AC613" i="87" s="1"/>
  <c r="V613" i="87"/>
  <c r="AB613" i="87" s="1"/>
  <c r="X612" i="87"/>
  <c r="AD612" i="87" s="1"/>
  <c r="W612" i="87"/>
  <c r="AC612" i="87" s="1"/>
  <c r="V612" i="87"/>
  <c r="AB612" i="87" s="1"/>
  <c r="X611" i="87"/>
  <c r="AD611" i="87" s="1"/>
  <c r="W611" i="87"/>
  <c r="AC611" i="87" s="1"/>
  <c r="V611" i="87"/>
  <c r="AB611" i="87" s="1"/>
  <c r="X610" i="87"/>
  <c r="AD610" i="87" s="1"/>
  <c r="W610" i="87"/>
  <c r="AC610" i="87" s="1"/>
  <c r="V610" i="87"/>
  <c r="AB610" i="87" s="1"/>
  <c r="X609" i="87"/>
  <c r="AD609" i="87" s="1"/>
  <c r="W609" i="87"/>
  <c r="AC609" i="87" s="1"/>
  <c r="V609" i="87"/>
  <c r="AB609" i="87" s="1"/>
  <c r="X608" i="87"/>
  <c r="AD608" i="87" s="1"/>
  <c r="W608" i="87"/>
  <c r="AC608" i="87" s="1"/>
  <c r="V608" i="87"/>
  <c r="AB608" i="87" s="1"/>
  <c r="X607" i="87"/>
  <c r="AD607" i="87" s="1"/>
  <c r="W607" i="87"/>
  <c r="AC607" i="87" s="1"/>
  <c r="V607" i="87"/>
  <c r="AB607" i="87" s="1"/>
  <c r="X606" i="87"/>
  <c r="AD606" i="87" s="1"/>
  <c r="W606" i="87"/>
  <c r="AC606" i="87" s="1"/>
  <c r="V606" i="87"/>
  <c r="AB606" i="87" s="1"/>
  <c r="X605" i="87"/>
  <c r="AD605" i="87" s="1"/>
  <c r="W605" i="87"/>
  <c r="AC605" i="87" s="1"/>
  <c r="V605" i="87"/>
  <c r="AB605" i="87" s="1"/>
  <c r="X604" i="87"/>
  <c r="AD604" i="87" s="1"/>
  <c r="W604" i="87"/>
  <c r="AC604" i="87" s="1"/>
  <c r="V604" i="87"/>
  <c r="AB604" i="87" s="1"/>
  <c r="X603" i="87"/>
  <c r="AD603" i="87" s="1"/>
  <c r="W603" i="87"/>
  <c r="AC603" i="87" s="1"/>
  <c r="V603" i="87"/>
  <c r="AB603" i="87" s="1"/>
  <c r="X602" i="87"/>
  <c r="AD602" i="87" s="1"/>
  <c r="W602" i="87"/>
  <c r="AC602" i="87" s="1"/>
  <c r="V602" i="87"/>
  <c r="AB602" i="87" s="1"/>
  <c r="X601" i="87"/>
  <c r="AD601" i="87" s="1"/>
  <c r="W601" i="87"/>
  <c r="AC601" i="87" s="1"/>
  <c r="V601" i="87"/>
  <c r="AB601" i="87" s="1"/>
  <c r="X600" i="87"/>
  <c r="AD600" i="87" s="1"/>
  <c r="W600" i="87"/>
  <c r="AC600" i="87" s="1"/>
  <c r="V600" i="87"/>
  <c r="AB600" i="87" s="1"/>
  <c r="X599" i="87"/>
  <c r="AD599" i="87" s="1"/>
  <c r="W599" i="87"/>
  <c r="AC599" i="87" s="1"/>
  <c r="V599" i="87"/>
  <c r="AB599" i="87" s="1"/>
  <c r="X598" i="87"/>
  <c r="AD598" i="87" s="1"/>
  <c r="W598" i="87"/>
  <c r="AC598" i="87" s="1"/>
  <c r="V598" i="87"/>
  <c r="AB598" i="87" s="1"/>
  <c r="X597" i="87"/>
  <c r="AD597" i="87" s="1"/>
  <c r="W597" i="87"/>
  <c r="AC597" i="87" s="1"/>
  <c r="V597" i="87"/>
  <c r="AB597" i="87" s="1"/>
  <c r="X596" i="87"/>
  <c r="AD596" i="87" s="1"/>
  <c r="W596" i="87"/>
  <c r="AC596" i="87" s="1"/>
  <c r="V596" i="87"/>
  <c r="AB596" i="87" s="1"/>
  <c r="X595" i="87"/>
  <c r="AD595" i="87" s="1"/>
  <c r="W595" i="87"/>
  <c r="AC595" i="87" s="1"/>
  <c r="V595" i="87"/>
  <c r="AB595" i="87" s="1"/>
  <c r="X594" i="87"/>
  <c r="AD594" i="87" s="1"/>
  <c r="W594" i="87"/>
  <c r="AC594" i="87" s="1"/>
  <c r="V594" i="87"/>
  <c r="AB594" i="87" s="1"/>
  <c r="X593" i="87"/>
  <c r="AD593" i="87" s="1"/>
  <c r="W593" i="87"/>
  <c r="AC593" i="87" s="1"/>
  <c r="V593" i="87"/>
  <c r="AB593" i="87" s="1"/>
  <c r="X592" i="87"/>
  <c r="AD592" i="87" s="1"/>
  <c r="W592" i="87"/>
  <c r="AC592" i="87" s="1"/>
  <c r="V592" i="87"/>
  <c r="AB592" i="87" s="1"/>
  <c r="X591" i="87"/>
  <c r="AD591" i="87" s="1"/>
  <c r="W591" i="87"/>
  <c r="AC591" i="87" s="1"/>
  <c r="V591" i="87"/>
  <c r="AB591" i="87" s="1"/>
  <c r="X590" i="87"/>
  <c r="AD590" i="87" s="1"/>
  <c r="W590" i="87"/>
  <c r="AC590" i="87" s="1"/>
  <c r="V590" i="87"/>
  <c r="AB590" i="87" s="1"/>
  <c r="X589" i="87"/>
  <c r="AD589" i="87" s="1"/>
  <c r="W589" i="87"/>
  <c r="AC589" i="87" s="1"/>
  <c r="V589" i="87"/>
  <c r="AB589" i="87" s="1"/>
  <c r="X588" i="87"/>
  <c r="AD588" i="87" s="1"/>
  <c r="W588" i="87"/>
  <c r="AC588" i="87" s="1"/>
  <c r="V588" i="87"/>
  <c r="AB588" i="87" s="1"/>
  <c r="X587" i="87"/>
  <c r="AD587" i="87" s="1"/>
  <c r="W587" i="87"/>
  <c r="AC587" i="87" s="1"/>
  <c r="V587" i="87"/>
  <c r="AB587" i="87" s="1"/>
  <c r="X586" i="87"/>
  <c r="AD586" i="87" s="1"/>
  <c r="W586" i="87"/>
  <c r="AC586" i="87" s="1"/>
  <c r="V586" i="87"/>
  <c r="AB586" i="87" s="1"/>
  <c r="X585" i="87"/>
  <c r="AD585" i="87" s="1"/>
  <c r="W585" i="87"/>
  <c r="AC585" i="87" s="1"/>
  <c r="V585" i="87"/>
  <c r="AB585" i="87" s="1"/>
  <c r="X584" i="87"/>
  <c r="AD584" i="87" s="1"/>
  <c r="W584" i="87"/>
  <c r="AC584" i="87" s="1"/>
  <c r="V584" i="87"/>
  <c r="AB584" i="87" s="1"/>
  <c r="X583" i="87"/>
  <c r="AD583" i="87" s="1"/>
  <c r="W583" i="87"/>
  <c r="AC583" i="87" s="1"/>
  <c r="V583" i="87"/>
  <c r="AB583" i="87" s="1"/>
  <c r="X582" i="87"/>
  <c r="AD582" i="87" s="1"/>
  <c r="W582" i="87"/>
  <c r="AC582" i="87" s="1"/>
  <c r="V582" i="87"/>
  <c r="AB582" i="87" s="1"/>
  <c r="X581" i="87"/>
  <c r="AD581" i="87" s="1"/>
  <c r="W581" i="87"/>
  <c r="AC581" i="87" s="1"/>
  <c r="V581" i="87"/>
  <c r="AB581" i="87" s="1"/>
  <c r="X580" i="87"/>
  <c r="AD580" i="87" s="1"/>
  <c r="W580" i="87"/>
  <c r="AC580" i="87" s="1"/>
  <c r="V580" i="87"/>
  <c r="AB580" i="87" s="1"/>
  <c r="X579" i="87"/>
  <c r="AD579" i="87" s="1"/>
  <c r="W579" i="87"/>
  <c r="AC579" i="87" s="1"/>
  <c r="V579" i="87"/>
  <c r="AB579" i="87" s="1"/>
  <c r="X578" i="87"/>
  <c r="AD578" i="87" s="1"/>
  <c r="W578" i="87"/>
  <c r="AC578" i="87" s="1"/>
  <c r="V578" i="87"/>
  <c r="AB578" i="87" s="1"/>
  <c r="X577" i="87"/>
  <c r="AD577" i="87" s="1"/>
  <c r="W577" i="87"/>
  <c r="AC577" i="87" s="1"/>
  <c r="V577" i="87"/>
  <c r="AB577" i="87" s="1"/>
  <c r="X576" i="87"/>
  <c r="AD576" i="87" s="1"/>
  <c r="W576" i="87"/>
  <c r="AC576" i="87" s="1"/>
  <c r="V576" i="87"/>
  <c r="AB576" i="87" s="1"/>
  <c r="X575" i="87"/>
  <c r="AD575" i="87" s="1"/>
  <c r="W575" i="87"/>
  <c r="AC575" i="87" s="1"/>
  <c r="V575" i="87"/>
  <c r="AB575" i="87" s="1"/>
  <c r="X574" i="87"/>
  <c r="AD574" i="87" s="1"/>
  <c r="W574" i="87"/>
  <c r="AC574" i="87" s="1"/>
  <c r="V574" i="87"/>
  <c r="AB574" i="87" s="1"/>
  <c r="X573" i="87"/>
  <c r="AD573" i="87" s="1"/>
  <c r="W573" i="87"/>
  <c r="AC573" i="87" s="1"/>
  <c r="V573" i="87"/>
  <c r="AB573" i="87" s="1"/>
  <c r="X572" i="87"/>
  <c r="AD572" i="87" s="1"/>
  <c r="W572" i="87"/>
  <c r="AC572" i="87" s="1"/>
  <c r="V572" i="87"/>
  <c r="AB572" i="87" s="1"/>
  <c r="X571" i="87"/>
  <c r="AD571" i="87" s="1"/>
  <c r="W571" i="87"/>
  <c r="AC571" i="87" s="1"/>
  <c r="V571" i="87"/>
  <c r="AB571" i="87" s="1"/>
  <c r="X570" i="87"/>
  <c r="AD570" i="87" s="1"/>
  <c r="W570" i="87"/>
  <c r="AC570" i="87" s="1"/>
  <c r="V570" i="87"/>
  <c r="AB570" i="87" s="1"/>
  <c r="X569" i="87"/>
  <c r="AD569" i="87" s="1"/>
  <c r="W569" i="87"/>
  <c r="AC569" i="87" s="1"/>
  <c r="V569" i="87"/>
  <c r="AB569" i="87" s="1"/>
  <c r="X568" i="87"/>
  <c r="AD568" i="87" s="1"/>
  <c r="W568" i="87"/>
  <c r="AC568" i="87" s="1"/>
  <c r="V568" i="87"/>
  <c r="AB568" i="87" s="1"/>
  <c r="X567" i="87"/>
  <c r="AD567" i="87" s="1"/>
  <c r="W567" i="87"/>
  <c r="AC567" i="87" s="1"/>
  <c r="V567" i="87"/>
  <c r="AB567" i="87" s="1"/>
  <c r="X566" i="87"/>
  <c r="AD566" i="87" s="1"/>
  <c r="W566" i="87"/>
  <c r="AC566" i="87" s="1"/>
  <c r="V566" i="87"/>
  <c r="AB566" i="87" s="1"/>
  <c r="X565" i="87"/>
  <c r="AD565" i="87" s="1"/>
  <c r="W565" i="87"/>
  <c r="AC565" i="87" s="1"/>
  <c r="V565" i="87"/>
  <c r="AB565" i="87" s="1"/>
  <c r="X564" i="87"/>
  <c r="AD564" i="87" s="1"/>
  <c r="W564" i="87"/>
  <c r="AC564" i="87" s="1"/>
  <c r="V564" i="87"/>
  <c r="AB564" i="87" s="1"/>
  <c r="X563" i="87"/>
  <c r="AD563" i="87" s="1"/>
  <c r="W563" i="87"/>
  <c r="AC563" i="87" s="1"/>
  <c r="V563" i="87"/>
  <c r="AB563" i="87" s="1"/>
  <c r="X562" i="87"/>
  <c r="AD562" i="87" s="1"/>
  <c r="W562" i="87"/>
  <c r="AC562" i="87" s="1"/>
  <c r="V562" i="87"/>
  <c r="AB562" i="87" s="1"/>
  <c r="X561" i="87"/>
  <c r="AD561" i="87" s="1"/>
  <c r="W561" i="87"/>
  <c r="AC561" i="87" s="1"/>
  <c r="V561" i="87"/>
  <c r="AB561" i="87" s="1"/>
  <c r="X560" i="87"/>
  <c r="AD560" i="87" s="1"/>
  <c r="W560" i="87"/>
  <c r="AC560" i="87" s="1"/>
  <c r="V560" i="87"/>
  <c r="AB560" i="87" s="1"/>
  <c r="X559" i="87"/>
  <c r="AD559" i="87" s="1"/>
  <c r="W559" i="87"/>
  <c r="AC559" i="87" s="1"/>
  <c r="V559" i="87"/>
  <c r="AB559" i="87" s="1"/>
  <c r="X558" i="87"/>
  <c r="AD558" i="87" s="1"/>
  <c r="W558" i="87"/>
  <c r="AC558" i="87" s="1"/>
  <c r="V558" i="87"/>
  <c r="AB558" i="87" s="1"/>
  <c r="X557" i="87"/>
  <c r="AD557" i="87" s="1"/>
  <c r="W557" i="87"/>
  <c r="AC557" i="87" s="1"/>
  <c r="V557" i="87"/>
  <c r="AB557" i="87" s="1"/>
  <c r="X556" i="87"/>
  <c r="AD556" i="87" s="1"/>
  <c r="W556" i="87"/>
  <c r="AC556" i="87" s="1"/>
  <c r="V556" i="87"/>
  <c r="AB556" i="87" s="1"/>
  <c r="X555" i="87"/>
  <c r="AD555" i="87" s="1"/>
  <c r="W555" i="87"/>
  <c r="AC555" i="87" s="1"/>
  <c r="V555" i="87"/>
  <c r="AB555" i="87" s="1"/>
  <c r="X554" i="87"/>
  <c r="AD554" i="87" s="1"/>
  <c r="W554" i="87"/>
  <c r="AC554" i="87" s="1"/>
  <c r="V554" i="87"/>
  <c r="AB554" i="87" s="1"/>
  <c r="X553" i="87"/>
  <c r="AD553" i="87" s="1"/>
  <c r="W553" i="87"/>
  <c r="AC553" i="87" s="1"/>
  <c r="V553" i="87"/>
  <c r="AB553" i="87" s="1"/>
  <c r="X552" i="87"/>
  <c r="AD552" i="87" s="1"/>
  <c r="W552" i="87"/>
  <c r="AC552" i="87" s="1"/>
  <c r="V552" i="87"/>
  <c r="AB552" i="87" s="1"/>
  <c r="X551" i="87"/>
  <c r="AD551" i="87" s="1"/>
  <c r="W551" i="87"/>
  <c r="AC551" i="87" s="1"/>
  <c r="V551" i="87"/>
  <c r="AB551" i="87" s="1"/>
  <c r="X550" i="87"/>
  <c r="AD550" i="87" s="1"/>
  <c r="W550" i="87"/>
  <c r="AC550" i="87" s="1"/>
  <c r="V550" i="87"/>
  <c r="AB550" i="87" s="1"/>
  <c r="X549" i="87"/>
  <c r="AD549" i="87" s="1"/>
  <c r="W549" i="87"/>
  <c r="AC549" i="87" s="1"/>
  <c r="V549" i="87"/>
  <c r="AB549" i="87" s="1"/>
  <c r="X548" i="87"/>
  <c r="AD548" i="87" s="1"/>
  <c r="W548" i="87"/>
  <c r="AC548" i="87" s="1"/>
  <c r="V548" i="87"/>
  <c r="AB548" i="87" s="1"/>
  <c r="X547" i="87"/>
  <c r="AD547" i="87" s="1"/>
  <c r="W547" i="87"/>
  <c r="AC547" i="87" s="1"/>
  <c r="V547" i="87"/>
  <c r="AB547" i="87" s="1"/>
  <c r="X546" i="87"/>
  <c r="AD546" i="87" s="1"/>
  <c r="W546" i="87"/>
  <c r="AC546" i="87" s="1"/>
  <c r="V546" i="87"/>
  <c r="AB546" i="87" s="1"/>
  <c r="X545" i="87"/>
  <c r="AD545" i="87" s="1"/>
  <c r="W545" i="87"/>
  <c r="AC545" i="87" s="1"/>
  <c r="V545" i="87"/>
  <c r="AB545" i="87" s="1"/>
  <c r="X544" i="87"/>
  <c r="AD544" i="87" s="1"/>
  <c r="W544" i="87"/>
  <c r="AC544" i="87" s="1"/>
  <c r="V544" i="87"/>
  <c r="AB544" i="87" s="1"/>
  <c r="X543" i="87"/>
  <c r="AD543" i="87" s="1"/>
  <c r="W543" i="87"/>
  <c r="AC543" i="87" s="1"/>
  <c r="V543" i="87"/>
  <c r="AB543" i="87" s="1"/>
  <c r="X542" i="87"/>
  <c r="AD542" i="87" s="1"/>
  <c r="W542" i="87"/>
  <c r="AC542" i="87" s="1"/>
  <c r="V542" i="87"/>
  <c r="AB542" i="87" s="1"/>
  <c r="X541" i="87"/>
  <c r="AD541" i="87" s="1"/>
  <c r="W541" i="87"/>
  <c r="AC541" i="87" s="1"/>
  <c r="V541" i="87"/>
  <c r="AB541" i="87" s="1"/>
  <c r="X540" i="87"/>
  <c r="AD540" i="87" s="1"/>
  <c r="W540" i="87"/>
  <c r="AC540" i="87" s="1"/>
  <c r="V540" i="87"/>
  <c r="AB540" i="87" s="1"/>
  <c r="X539" i="87"/>
  <c r="AD539" i="87" s="1"/>
  <c r="W539" i="87"/>
  <c r="AC539" i="87" s="1"/>
  <c r="V539" i="87"/>
  <c r="AB539" i="87" s="1"/>
  <c r="X538" i="87"/>
  <c r="AD538" i="87" s="1"/>
  <c r="W538" i="87"/>
  <c r="AC538" i="87" s="1"/>
  <c r="V538" i="87"/>
  <c r="AB538" i="87" s="1"/>
  <c r="X537" i="87"/>
  <c r="AD537" i="87" s="1"/>
  <c r="W537" i="87"/>
  <c r="AC537" i="87" s="1"/>
  <c r="V537" i="87"/>
  <c r="AB537" i="87" s="1"/>
  <c r="X536" i="87"/>
  <c r="AD536" i="87" s="1"/>
  <c r="W536" i="87"/>
  <c r="AC536" i="87" s="1"/>
  <c r="V536" i="87"/>
  <c r="AB536" i="87" s="1"/>
  <c r="X535" i="87"/>
  <c r="AD535" i="87" s="1"/>
  <c r="W535" i="87"/>
  <c r="AC535" i="87" s="1"/>
  <c r="V535" i="87"/>
  <c r="AB535" i="87" s="1"/>
  <c r="X534" i="87"/>
  <c r="AD534" i="87" s="1"/>
  <c r="W534" i="87"/>
  <c r="AC534" i="87" s="1"/>
  <c r="V534" i="87"/>
  <c r="AB534" i="87" s="1"/>
  <c r="X533" i="87"/>
  <c r="AD533" i="87" s="1"/>
  <c r="W533" i="87"/>
  <c r="AC533" i="87" s="1"/>
  <c r="V533" i="87"/>
  <c r="AB533" i="87" s="1"/>
  <c r="X532" i="87"/>
  <c r="AD532" i="87" s="1"/>
  <c r="W532" i="87"/>
  <c r="AC532" i="87" s="1"/>
  <c r="V532" i="87"/>
  <c r="AB532" i="87" s="1"/>
  <c r="X531" i="87"/>
  <c r="AD531" i="87" s="1"/>
  <c r="W531" i="87"/>
  <c r="AC531" i="87" s="1"/>
  <c r="V531" i="87"/>
  <c r="AB531" i="87" s="1"/>
  <c r="X530" i="87"/>
  <c r="AD530" i="87" s="1"/>
  <c r="W530" i="87"/>
  <c r="AC530" i="87" s="1"/>
  <c r="V530" i="87"/>
  <c r="AB530" i="87" s="1"/>
  <c r="X529" i="87"/>
  <c r="AD529" i="87" s="1"/>
  <c r="W529" i="87"/>
  <c r="AC529" i="87" s="1"/>
  <c r="V529" i="87"/>
  <c r="AB529" i="87" s="1"/>
  <c r="X528" i="87"/>
  <c r="AD528" i="87" s="1"/>
  <c r="W528" i="87"/>
  <c r="AC528" i="87" s="1"/>
  <c r="V528" i="87"/>
  <c r="AB528" i="87" s="1"/>
  <c r="X527" i="87"/>
  <c r="AD527" i="87" s="1"/>
  <c r="W527" i="87"/>
  <c r="AC527" i="87" s="1"/>
  <c r="V527" i="87"/>
  <c r="AB527" i="87" s="1"/>
  <c r="X526" i="87"/>
  <c r="AD526" i="87" s="1"/>
  <c r="W526" i="87"/>
  <c r="AC526" i="87" s="1"/>
  <c r="V526" i="87"/>
  <c r="AB526" i="87" s="1"/>
  <c r="X525" i="87"/>
  <c r="AD525" i="87" s="1"/>
  <c r="W525" i="87"/>
  <c r="AC525" i="87" s="1"/>
  <c r="V525" i="87"/>
  <c r="AB525" i="87" s="1"/>
  <c r="X524" i="87"/>
  <c r="AD524" i="87" s="1"/>
  <c r="W524" i="87"/>
  <c r="AC524" i="87" s="1"/>
  <c r="V524" i="87"/>
  <c r="AB524" i="87" s="1"/>
  <c r="X523" i="87"/>
  <c r="AD523" i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 <c r="X521" i="87"/>
  <c r="AD521" i="87" s="1"/>
  <c r="W521" i="87"/>
  <c r="AC521" i="87" s="1"/>
  <c r="V521" i="87"/>
  <c r="AB521" i="87" s="1"/>
  <c r="X520" i="87"/>
  <c r="AD520" i="87" s="1"/>
  <c r="W520" i="87"/>
  <c r="AC520" i="87" s="1"/>
  <c r="V520" i="87"/>
  <c r="AB520" i="87" s="1"/>
  <c r="X519" i="87"/>
  <c r="AD519" i="87" s="1"/>
  <c r="W519" i="87"/>
  <c r="AC519" i="87" s="1"/>
  <c r="V519" i="87"/>
  <c r="AB519" i="87" s="1"/>
  <c r="X518" i="87"/>
  <c r="AD518" i="87" s="1"/>
  <c r="W518" i="87"/>
  <c r="AC518" i="87" s="1"/>
  <c r="V518" i="87"/>
  <c r="AB518" i="87" s="1"/>
  <c r="X517" i="87"/>
  <c r="AD517" i="87" s="1"/>
  <c r="W517" i="87"/>
  <c r="AC517" i="87" s="1"/>
  <c r="V517" i="87"/>
  <c r="AB517" i="87" s="1"/>
  <c r="X516" i="87"/>
  <c r="AD516" i="87" s="1"/>
  <c r="W516" i="87"/>
  <c r="AC516" i="87" s="1"/>
  <c r="V516" i="87"/>
  <c r="AB516" i="87" s="1"/>
  <c r="X515" i="87"/>
  <c r="AD515" i="87" s="1"/>
  <c r="W515" i="87"/>
  <c r="AC515" i="87" s="1"/>
  <c r="V515" i="87"/>
  <c r="AB515" i="87" s="1"/>
  <c r="X514" i="87"/>
  <c r="AD514" i="87" s="1"/>
  <c r="W514" i="87"/>
  <c r="AC514" i="87" s="1"/>
  <c r="V514" i="87"/>
  <c r="AB514" i="87" s="1"/>
  <c r="X513" i="87"/>
  <c r="AD513" i="87" s="1"/>
  <c r="W513" i="87"/>
  <c r="AC513" i="87" s="1"/>
  <c r="V513" i="87"/>
  <c r="AB513" i="87" s="1"/>
  <c r="X512" i="87"/>
  <c r="AD512" i="87" s="1"/>
  <c r="W512" i="87"/>
  <c r="AC512" i="87" s="1"/>
  <c r="V512" i="87"/>
  <c r="AB512" i="87" s="1"/>
  <c r="X511" i="87"/>
  <c r="AD511" i="87" s="1"/>
  <c r="W511" i="87"/>
  <c r="AC511" i="87" s="1"/>
  <c r="V511" i="87"/>
  <c r="AB511" i="87" s="1"/>
  <c r="X510" i="87"/>
  <c r="AD510" i="87" s="1"/>
  <c r="W510" i="87"/>
  <c r="AC510" i="87" s="1"/>
  <c r="V510" i="87"/>
  <c r="AB510" i="87" s="1"/>
  <c r="X509" i="87"/>
  <c r="AD509" i="87" s="1"/>
  <c r="W509" i="87"/>
  <c r="AC509" i="87" s="1"/>
  <c r="V509" i="87"/>
  <c r="AB509" i="87" s="1"/>
  <c r="X508" i="87"/>
  <c r="AD508" i="87" s="1"/>
  <c r="W508" i="87"/>
  <c r="AC508" i="87" s="1"/>
  <c r="V508" i="87"/>
  <c r="AB508" i="87" s="1"/>
  <c r="X507" i="87"/>
  <c r="AD507" i="87" s="1"/>
  <c r="W507" i="87"/>
  <c r="AC507" i="87" s="1"/>
  <c r="V507" i="87"/>
  <c r="AB507" i="87" s="1"/>
  <c r="X506" i="87"/>
  <c r="AD506" i="87" s="1"/>
  <c r="W506" i="87"/>
  <c r="AC506" i="87" s="1"/>
  <c r="V506" i="87"/>
  <c r="AB506" i="87" s="1"/>
  <c r="X505" i="87"/>
  <c r="AD505" i="87" s="1"/>
  <c r="W505" i="87"/>
  <c r="AC505" i="87" s="1"/>
  <c r="V505" i="87"/>
  <c r="AB505" i="87" s="1"/>
  <c r="V504" i="87"/>
  <c r="AB504" i="87" s="1"/>
  <c r="V503" i="87"/>
  <c r="AB503" i="87" s="1"/>
  <c r="V502" i="87"/>
  <c r="AB502" i="87" s="1"/>
  <c r="V501" i="87"/>
  <c r="AB501" i="87" s="1"/>
  <c r="V500" i="87"/>
  <c r="AB500" i="87" s="1"/>
  <c r="V499" i="87"/>
  <c r="AB499" i="87" s="1"/>
  <c r="V498" i="87"/>
  <c r="AB498" i="87" s="1"/>
  <c r="V497" i="87"/>
  <c r="AB497" i="87" s="1"/>
  <c r="V496" i="87"/>
  <c r="AB496" i="87" s="1"/>
  <c r="V495" i="87"/>
  <c r="AB495" i="87" s="1"/>
  <c r="V494" i="87"/>
  <c r="AB494" i="87" s="1"/>
  <c r="V493" i="87"/>
  <c r="AB493" i="87" s="1"/>
  <c r="V492" i="87"/>
  <c r="AB492" i="87" s="1"/>
  <c r="X491" i="87"/>
  <c r="AD491" i="87" s="1"/>
  <c r="W491" i="87"/>
  <c r="AC491" i="87" s="1"/>
  <c r="X490" i="87"/>
  <c r="AD490" i="87" s="1"/>
  <c r="W490" i="87"/>
  <c r="AC490" i="87" s="1"/>
  <c r="X489" i="87"/>
  <c r="AD489" i="87" s="1"/>
  <c r="W489" i="87"/>
  <c r="AC489" i="87" s="1"/>
  <c r="X488" i="87"/>
  <c r="AD488" i="87" s="1"/>
  <c r="W488" i="87"/>
  <c r="AC488" i="87" s="1"/>
  <c r="X487" i="87"/>
  <c r="AD487" i="87" s="1"/>
  <c r="W487" i="87"/>
  <c r="AC487" i="87" s="1"/>
  <c r="X486" i="87"/>
  <c r="AD486" i="87" s="1"/>
  <c r="W486" i="87"/>
  <c r="AC486" i="87" s="1"/>
  <c r="X485" i="87"/>
  <c r="AD485" i="87" s="1"/>
  <c r="W485" i="87"/>
  <c r="AC485" i="87" s="1"/>
  <c r="X484" i="87"/>
  <c r="AD484" i="87" s="1"/>
  <c r="W484" i="87"/>
  <c r="AC484" i="87" s="1"/>
  <c r="X483" i="87"/>
  <c r="AD483" i="87" s="1"/>
  <c r="W483" i="87"/>
  <c r="AC483" i="87" s="1"/>
  <c r="X482" i="87"/>
  <c r="AD482" i="87" s="1"/>
  <c r="W482" i="87"/>
  <c r="AC482" i="87" s="1"/>
  <c r="X481" i="87"/>
  <c r="AD481" i="87" s="1"/>
  <c r="W481" i="87"/>
  <c r="AC481" i="87" s="1"/>
  <c r="X480" i="87"/>
  <c r="AD480" i="87" s="1"/>
  <c r="W480" i="87"/>
  <c r="AC480" i="87" s="1"/>
  <c r="X479" i="87"/>
  <c r="AD479" i="87" s="1"/>
  <c r="W479" i="87"/>
  <c r="AC479" i="87" s="1"/>
  <c r="V478" i="87"/>
  <c r="AB478" i="87" s="1"/>
  <c r="V477" i="87"/>
  <c r="AB477" i="87" s="1"/>
  <c r="V476" i="87"/>
  <c r="AB476" i="87" s="1"/>
  <c r="V475" i="87"/>
  <c r="AB475" i="87" s="1"/>
  <c r="V474" i="87"/>
  <c r="AB474" i="87" s="1"/>
  <c r="V473" i="87"/>
  <c r="AB473" i="87" s="1"/>
  <c r="V472" i="87"/>
  <c r="AB472" i="87" s="1"/>
  <c r="V471" i="87"/>
  <c r="AB471" i="87" s="1"/>
  <c r="V470" i="87"/>
  <c r="AB470" i="87" s="1"/>
  <c r="V469" i="87"/>
  <c r="AB469" i="87" s="1"/>
  <c r="V468" i="87"/>
  <c r="AB468" i="87" s="1"/>
  <c r="V467" i="87"/>
  <c r="AB467" i="87" s="1"/>
  <c r="V466" i="87"/>
  <c r="AB466" i="87" s="1"/>
  <c r="V465" i="87"/>
  <c r="AB465" i="87" s="1"/>
  <c r="V464" i="87"/>
  <c r="AB464" i="87" s="1"/>
  <c r="V463" i="87"/>
  <c r="AB463" i="87" s="1"/>
  <c r="V462" i="87"/>
  <c r="AB462" i="87" s="1"/>
  <c r="V461" i="87"/>
  <c r="AB461" i="87" s="1"/>
  <c r="V460" i="87"/>
  <c r="AB460" i="87" s="1"/>
  <c r="V459" i="87"/>
  <c r="AB459" i="87" s="1"/>
  <c r="V458" i="87"/>
  <c r="AB458" i="87" s="1"/>
  <c r="V457" i="87"/>
  <c r="AB457" i="87" s="1"/>
  <c r="V456" i="87"/>
  <c r="AB456" i="87" s="1"/>
  <c r="V455" i="87"/>
  <c r="AB455" i="87" s="1"/>
  <c r="V454" i="87"/>
  <c r="AB454" i="87" s="1"/>
  <c r="V453" i="87"/>
  <c r="AB453" i="87" s="1"/>
  <c r="V452" i="87"/>
  <c r="AB452" i="87" s="1"/>
  <c r="V451" i="87"/>
  <c r="AB451" i="87" s="1"/>
  <c r="V450" i="87"/>
  <c r="AB450" i="87" s="1"/>
  <c r="V449" i="87"/>
  <c r="AB449" i="87" s="1"/>
  <c r="V448" i="87"/>
  <c r="AB448" i="87" s="1"/>
  <c r="V447" i="87"/>
  <c r="AB447" i="87" s="1"/>
  <c r="V446" i="87"/>
  <c r="AB446" i="87" s="1"/>
  <c r="V445" i="87"/>
  <c r="AB445" i="87" s="1"/>
  <c r="V444" i="87"/>
  <c r="AB444" i="87" s="1"/>
  <c r="V443" i="87"/>
  <c r="AB443" i="87" s="1"/>
  <c r="X442" i="87"/>
  <c r="AD442" i="87" s="1"/>
  <c r="W442" i="87"/>
  <c r="AC442" i="87" s="1"/>
  <c r="X441" i="87"/>
  <c r="AD441" i="87" s="1"/>
  <c r="W441" i="87"/>
  <c r="AC441" i="87" s="1"/>
  <c r="X440" i="87"/>
  <c r="AD440" i="87" s="1"/>
  <c r="W440" i="87"/>
  <c r="AC440" i="87" s="1"/>
  <c r="X439" i="87"/>
  <c r="AD439" i="87" s="1"/>
  <c r="W439" i="87"/>
  <c r="AC439" i="87" s="1"/>
  <c r="X438" i="87"/>
  <c r="AD438" i="87" s="1"/>
  <c r="W438" i="87"/>
  <c r="AC438" i="87" s="1"/>
  <c r="X437" i="87"/>
  <c r="AD437" i="87" s="1"/>
  <c r="W437" i="87"/>
  <c r="AC437" i="87" s="1"/>
  <c r="X436" i="87"/>
  <c r="AD436" i="87" s="1"/>
  <c r="W436" i="87"/>
  <c r="AC436" i="87" s="1"/>
  <c r="X435" i="87"/>
  <c r="AD435" i="87" s="1"/>
  <c r="W435" i="87"/>
  <c r="AC435" i="87" s="1"/>
  <c r="X434" i="87"/>
  <c r="AD434" i="87" s="1"/>
  <c r="W434" i="87"/>
  <c r="AC434" i="87" s="1"/>
  <c r="X433" i="87"/>
  <c r="AD433" i="87" s="1"/>
  <c r="W433" i="87"/>
  <c r="AC433" i="87" s="1"/>
  <c r="X432" i="87"/>
  <c r="AD432" i="87" s="1"/>
  <c r="W432" i="87"/>
  <c r="AC432" i="87" s="1"/>
  <c r="X431" i="87"/>
  <c r="AD431" i="87" s="1"/>
  <c r="W431" i="87"/>
  <c r="AC431" i="87" s="1"/>
  <c r="X430" i="87"/>
  <c r="AD430" i="87" s="1"/>
  <c r="W430" i="87"/>
  <c r="AC430" i="87" s="1"/>
  <c r="X429" i="87"/>
  <c r="AD429" i="87" s="1"/>
  <c r="W429" i="87"/>
  <c r="AC429" i="87" s="1"/>
  <c r="X428" i="87"/>
  <c r="AD428" i="87" s="1"/>
  <c r="W428" i="87"/>
  <c r="AC428" i="87" s="1"/>
  <c r="X427" i="87"/>
  <c r="AD427" i="87" s="1"/>
  <c r="W427" i="87"/>
  <c r="AC427" i="87" s="1"/>
  <c r="X426" i="87"/>
  <c r="AD426" i="87" s="1"/>
  <c r="W426" i="87"/>
  <c r="AC426" i="87" s="1"/>
  <c r="X425" i="87"/>
  <c r="AD425" i="87" s="1"/>
  <c r="W425" i="87"/>
  <c r="AC425" i="87" s="1"/>
  <c r="X424" i="87"/>
  <c r="AD424" i="87" s="1"/>
  <c r="W424" i="87"/>
  <c r="AC424" i="87" s="1"/>
  <c r="X423" i="87"/>
  <c r="AD423" i="87" s="1"/>
  <c r="W423" i="87"/>
  <c r="AC423" i="87" s="1"/>
  <c r="X422" i="87"/>
  <c r="AD422" i="87" s="1"/>
  <c r="W422" i="87"/>
  <c r="AC422" i="87" s="1"/>
  <c r="X421" i="87"/>
  <c r="AD421" i="87" s="1"/>
  <c r="W421" i="87"/>
  <c r="AC421" i="87" s="1"/>
  <c r="X420" i="87"/>
  <c r="AD420" i="87" s="1"/>
  <c r="W420" i="87"/>
  <c r="AC420" i="87" s="1"/>
  <c r="V419" i="87"/>
  <c r="AB419" i="87" s="1"/>
  <c r="V418" i="87"/>
  <c r="AB418" i="87" s="1"/>
  <c r="V417" i="87"/>
  <c r="AB417" i="87" s="1"/>
  <c r="V416" i="87"/>
  <c r="AB416" i="87" s="1"/>
  <c r="V415" i="87"/>
  <c r="AB415" i="87" s="1"/>
  <c r="V414" i="87"/>
  <c r="AB414" i="87" s="1"/>
  <c r="V413" i="87"/>
  <c r="AB413" i="87" s="1"/>
  <c r="V412" i="87"/>
  <c r="AB412" i="87" s="1"/>
  <c r="V411" i="87"/>
  <c r="AB411" i="87" s="1"/>
  <c r="V410" i="87"/>
  <c r="AB410" i="87" s="1"/>
  <c r="V409" i="87"/>
  <c r="AB409" i="87" s="1"/>
  <c r="V408" i="87"/>
  <c r="AB408" i="87" s="1"/>
  <c r="V407" i="87"/>
  <c r="AB407" i="87" s="1"/>
  <c r="V406" i="87"/>
  <c r="AB406" i="87" s="1"/>
  <c r="V405" i="87"/>
  <c r="AB405" i="87" s="1"/>
  <c r="V404" i="87"/>
  <c r="AB404" i="87" s="1"/>
  <c r="V403" i="87"/>
  <c r="AB403" i="87" s="1"/>
  <c r="V402" i="87"/>
  <c r="AB402" i="87" s="1"/>
  <c r="V401" i="87"/>
  <c r="AB401" i="87" s="1"/>
  <c r="V400" i="87"/>
  <c r="AB400" i="87" s="1"/>
  <c r="V399" i="87"/>
  <c r="AB399" i="87" s="1"/>
  <c r="V398" i="87"/>
  <c r="AB398" i="87" s="1"/>
  <c r="V397" i="87"/>
  <c r="AB397" i="87" s="1"/>
  <c r="X396" i="87"/>
  <c r="AD396" i="87" s="1"/>
  <c r="W396" i="87"/>
  <c r="AC396" i="87" s="1"/>
  <c r="V396" i="87"/>
  <c r="AB396" i="87" s="1"/>
  <c r="X395" i="87"/>
  <c r="AD395" i="87" s="1"/>
  <c r="W395" i="87"/>
  <c r="AC395" i="87" s="1"/>
  <c r="V395" i="87"/>
  <c r="AB395" i="87" s="1"/>
  <c r="X394" i="87"/>
  <c r="AD394" i="87" s="1"/>
  <c r="W394" i="87"/>
  <c r="AC394" i="87" s="1"/>
  <c r="V394" i="87"/>
  <c r="AB394" i="87" s="1"/>
  <c r="X393" i="87"/>
  <c r="AD393" i="87" s="1"/>
  <c r="W393" i="87"/>
  <c r="AC393" i="87" s="1"/>
  <c r="V393" i="87"/>
  <c r="AB393" i="87" s="1"/>
  <c r="X392" i="87"/>
  <c r="AD392" i="87" s="1"/>
  <c r="W392" i="87"/>
  <c r="AC392" i="87" s="1"/>
  <c r="V392" i="87"/>
  <c r="AB392" i="87" s="1"/>
  <c r="X391" i="87"/>
  <c r="AD391" i="87" s="1"/>
  <c r="W391" i="87"/>
  <c r="AC391" i="87" s="1"/>
  <c r="V391" i="87"/>
  <c r="AB391" i="87" s="1"/>
  <c r="X390" i="87"/>
  <c r="AD390" i="87" s="1"/>
  <c r="W390" i="87"/>
  <c r="AC390" i="87" s="1"/>
  <c r="V390" i="87"/>
  <c r="AB390" i="87" s="1"/>
  <c r="X389" i="87"/>
  <c r="AD389" i="87" s="1"/>
  <c r="W389" i="87"/>
  <c r="AC389" i="87" s="1"/>
  <c r="V389" i="87"/>
  <c r="AB389" i="87" s="1"/>
  <c r="X388" i="87"/>
  <c r="AD388" i="87" s="1"/>
  <c r="W388" i="87"/>
  <c r="AC388" i="87" s="1"/>
  <c r="V388" i="87"/>
  <c r="AB388" i="87" s="1"/>
  <c r="X387" i="87"/>
  <c r="AD387" i="87" s="1"/>
  <c r="W387" i="87"/>
  <c r="AC387" i="87" s="1"/>
  <c r="V387" i="87"/>
  <c r="AB387" i="87" s="1"/>
  <c r="X386" i="87"/>
  <c r="AD386" i="87" s="1"/>
  <c r="W386" i="87"/>
  <c r="AC386" i="87" s="1"/>
  <c r="V386" i="87"/>
  <c r="AB386" i="87" s="1"/>
  <c r="X385" i="87"/>
  <c r="AD385" i="87" s="1"/>
  <c r="W385" i="87"/>
  <c r="AC385" i="87" s="1"/>
  <c r="V385" i="87"/>
  <c r="AB385" i="87" s="1"/>
  <c r="X384" i="87"/>
  <c r="AD384" i="87" s="1"/>
  <c r="W384" i="87"/>
  <c r="AC384" i="87" s="1"/>
  <c r="V384" i="87"/>
  <c r="AB384" i="87" s="1"/>
  <c r="X383" i="87"/>
  <c r="AD383" i="87" s="1"/>
  <c r="W383" i="87"/>
  <c r="AC383" i="87" s="1"/>
  <c r="V383" i="87"/>
  <c r="AB383" i="87" s="1"/>
  <c r="X382" i="87"/>
  <c r="AD382" i="87" s="1"/>
  <c r="W382" i="87"/>
  <c r="AC382" i="87" s="1"/>
  <c r="V382" i="87"/>
  <c r="AB382" i="87" s="1"/>
  <c r="X381" i="87"/>
  <c r="AD381" i="87" s="1"/>
  <c r="W381" i="87"/>
  <c r="AC381" i="87" s="1"/>
  <c r="V381" i="87"/>
  <c r="AB381" i="87" s="1"/>
  <c r="X380" i="87"/>
  <c r="AD380" i="87" s="1"/>
  <c r="W380" i="87"/>
  <c r="AC380" i="87" s="1"/>
  <c r="V380" i="87"/>
  <c r="AB380" i="87" s="1"/>
  <c r="X379" i="87"/>
  <c r="AD379" i="87" s="1"/>
  <c r="W379" i="87"/>
  <c r="AC379" i="87" s="1"/>
  <c r="V379" i="87"/>
  <c r="AB379" i="87" s="1"/>
  <c r="X378" i="87"/>
  <c r="AD378" i="87" s="1"/>
  <c r="W378" i="87"/>
  <c r="AC378" i="87" s="1"/>
  <c r="V378" i="87"/>
  <c r="AB378" i="87" s="1"/>
  <c r="X377" i="87"/>
  <c r="AD377" i="87" s="1"/>
  <c r="W377" i="87"/>
  <c r="AC377" i="87" s="1"/>
  <c r="V377" i="87"/>
  <c r="AB377" i="87" s="1"/>
  <c r="X376" i="87"/>
  <c r="AD376" i="87" s="1"/>
  <c r="W376" i="87"/>
  <c r="AC376" i="87" s="1"/>
  <c r="V376" i="87"/>
  <c r="AB376" i="87" s="1"/>
  <c r="X375" i="87"/>
  <c r="AD375" i="87" s="1"/>
  <c r="W375" i="87"/>
  <c r="AC375" i="87" s="1"/>
  <c r="V375" i="87"/>
  <c r="AB375" i="87" s="1"/>
  <c r="X374" i="87"/>
  <c r="AD374" i="87" s="1"/>
  <c r="W374" i="87"/>
  <c r="AC374" i="87" s="1"/>
  <c r="V374" i="87"/>
  <c r="AB374" i="87" s="1"/>
  <c r="X373" i="87"/>
  <c r="AD373" i="87" s="1"/>
  <c r="W373" i="87"/>
  <c r="AC373" i="87" s="1"/>
  <c r="V373" i="87"/>
  <c r="AB373" i="87" s="1"/>
  <c r="X372" i="87"/>
  <c r="AD372" i="87" s="1"/>
  <c r="W372" i="87"/>
  <c r="AC372" i="87" s="1"/>
  <c r="V372" i="87"/>
  <c r="AB372" i="87" s="1"/>
  <c r="X371" i="87"/>
  <c r="AD371" i="87" s="1"/>
  <c r="W371" i="87"/>
  <c r="AC371" i="87" s="1"/>
  <c r="V371" i="87"/>
  <c r="AB371" i="87" s="1"/>
  <c r="X370" i="87"/>
  <c r="AD370" i="87" s="1"/>
  <c r="W370" i="87"/>
  <c r="AC370" i="87" s="1"/>
  <c r="V370" i="87"/>
  <c r="AB370" i="87" s="1"/>
  <c r="X369" i="87"/>
  <c r="AD369" i="87" s="1"/>
  <c r="W369" i="87"/>
  <c r="AC369" i="87" s="1"/>
  <c r="V369" i="87"/>
  <c r="AB369" i="87" s="1"/>
  <c r="X368" i="87"/>
  <c r="AD368" i="87" s="1"/>
  <c r="W368" i="87"/>
  <c r="AC368" i="87" s="1"/>
  <c r="V368" i="87"/>
  <c r="AB368" i="87" s="1"/>
  <c r="X367" i="87"/>
  <c r="AD367" i="87" s="1"/>
  <c r="W367" i="87"/>
  <c r="AC367" i="87" s="1"/>
  <c r="V367" i="87"/>
  <c r="AB367" i="87" s="1"/>
  <c r="X366" i="87"/>
  <c r="AD366" i="87" s="1"/>
  <c r="W366" i="87"/>
  <c r="AC366" i="87" s="1"/>
  <c r="V366" i="87"/>
  <c r="AB366" i="87" s="1"/>
  <c r="X365" i="87"/>
  <c r="AD365" i="87" s="1"/>
  <c r="W365" i="87"/>
  <c r="AC365" i="87" s="1"/>
  <c r="V365" i="87"/>
  <c r="AB365" i="87" s="1"/>
  <c r="X364" i="87"/>
  <c r="AD364" i="87" s="1"/>
  <c r="W364" i="87"/>
  <c r="AC364" i="87" s="1"/>
  <c r="V364" i="87"/>
  <c r="AB364" i="87" s="1"/>
  <c r="X363" i="87"/>
  <c r="AD363" i="87" s="1"/>
  <c r="W363" i="87"/>
  <c r="AC363" i="87" s="1"/>
  <c r="V363" i="87"/>
  <c r="AB363" i="87" s="1"/>
  <c r="X362" i="87"/>
  <c r="AD362" i="87" s="1"/>
  <c r="W362" i="87"/>
  <c r="AC362" i="87" s="1"/>
  <c r="V362" i="87"/>
  <c r="AB362" i="87" s="1"/>
  <c r="X361" i="87"/>
  <c r="AD361" i="87" s="1"/>
  <c r="W361" i="87"/>
  <c r="AC361" i="87" s="1"/>
  <c r="V361" i="87"/>
  <c r="AB361" i="87" s="1"/>
  <c r="X360" i="87"/>
  <c r="AD360" i="87" s="1"/>
  <c r="W360" i="87"/>
  <c r="AC360" i="87" s="1"/>
  <c r="V360" i="87"/>
  <c r="AB360" i="87" s="1"/>
  <c r="X359" i="87"/>
  <c r="AD359" i="87" s="1"/>
  <c r="W359" i="87"/>
  <c r="AC359" i="87" s="1"/>
  <c r="V359" i="87"/>
  <c r="AB359" i="87" s="1"/>
  <c r="X358" i="87"/>
  <c r="AD358" i="87" s="1"/>
  <c r="W358" i="87"/>
  <c r="AC358" i="87" s="1"/>
  <c r="V358" i="87"/>
  <c r="AB358" i="87" s="1"/>
  <c r="X357" i="87"/>
  <c r="AD357" i="87" s="1"/>
  <c r="W357" i="87"/>
  <c r="AC357" i="87" s="1"/>
  <c r="V357" i="87"/>
  <c r="AB357" i="87" s="1"/>
  <c r="X356" i="87"/>
  <c r="AD356" i="87" s="1"/>
  <c r="W356" i="87"/>
  <c r="AC356" i="87" s="1"/>
  <c r="V356" i="87"/>
  <c r="AB356" i="87" s="1"/>
  <c r="X355" i="87"/>
  <c r="AD355" i="87" s="1"/>
  <c r="W355" i="87"/>
  <c r="AC355" i="87" s="1"/>
  <c r="V355" i="87"/>
  <c r="AB355" i="87" s="1"/>
  <c r="X354" i="87"/>
  <c r="AD354" i="87" s="1"/>
  <c r="W354" i="87"/>
  <c r="AC354" i="87" s="1"/>
  <c r="V354" i="87"/>
  <c r="AB354" i="87" s="1"/>
  <c r="X353" i="87"/>
  <c r="AD353" i="87" s="1"/>
  <c r="W353" i="87"/>
  <c r="AC353" i="87" s="1"/>
  <c r="V353" i="87"/>
  <c r="AB353" i="87" s="1"/>
  <c r="X352" i="87"/>
  <c r="AD352" i="87" s="1"/>
  <c r="W352" i="87"/>
  <c r="AC352" i="87" s="1"/>
  <c r="V352" i="87"/>
  <c r="AB352" i="87" s="1"/>
  <c r="X351" i="87"/>
  <c r="AD351" i="87" s="1"/>
  <c r="W351" i="87"/>
  <c r="AC351" i="87" s="1"/>
  <c r="V351" i="87"/>
  <c r="AB351" i="87" s="1"/>
  <c r="X350" i="87"/>
  <c r="AD350" i="87" s="1"/>
  <c r="W350" i="87"/>
  <c r="AC350" i="87" s="1"/>
  <c r="V350" i="87"/>
  <c r="AB350" i="87" s="1"/>
  <c r="X349" i="87"/>
  <c r="AD349" i="87" s="1"/>
  <c r="W349" i="87"/>
  <c r="AC349" i="87" s="1"/>
  <c r="V349" i="87"/>
  <c r="AB349" i="87" s="1"/>
  <c r="X348" i="87"/>
  <c r="AD348" i="87" s="1"/>
  <c r="W348" i="87"/>
  <c r="AC348" i="87" s="1"/>
  <c r="V348" i="87"/>
  <c r="AB348" i="87" s="1"/>
  <c r="X347" i="87"/>
  <c r="AD347" i="87" s="1"/>
  <c r="W347" i="87"/>
  <c r="AC347" i="87" s="1"/>
  <c r="V347" i="87"/>
  <c r="AB347" i="87" s="1"/>
  <c r="X346" i="87"/>
  <c r="AD346" i="87" s="1"/>
  <c r="W346" i="87"/>
  <c r="AC346" i="87" s="1"/>
  <c r="V346" i="87"/>
  <c r="AB346" i="87" s="1"/>
  <c r="X345" i="87"/>
  <c r="AD345" i="87" s="1"/>
  <c r="W345" i="87"/>
  <c r="AC345" i="87" s="1"/>
  <c r="V345" i="87"/>
  <c r="AB345" i="87" s="1"/>
  <c r="X344" i="87"/>
  <c r="AD344" i="87" s="1"/>
  <c r="W344" i="87"/>
  <c r="AC344" i="87" s="1"/>
  <c r="V344" i="87"/>
  <c r="AB344" i="87" s="1"/>
  <c r="X343" i="87"/>
  <c r="AD343" i="87" s="1"/>
  <c r="W343" i="87"/>
  <c r="AC343" i="87" s="1"/>
  <c r="V343" i="87"/>
  <c r="AB343" i="87" s="1"/>
  <c r="X342" i="87"/>
  <c r="AD342" i="87" s="1"/>
  <c r="W342" i="87"/>
  <c r="AC342" i="87" s="1"/>
  <c r="V342" i="87"/>
  <c r="AB342" i="87" s="1"/>
  <c r="X341" i="87"/>
  <c r="AD341" i="87" s="1"/>
  <c r="W341" i="87"/>
  <c r="AC341" i="87" s="1"/>
  <c r="V341" i="87"/>
  <c r="AB341" i="87" s="1"/>
  <c r="X340" i="87"/>
  <c r="AD340" i="87" s="1"/>
  <c r="W340" i="87"/>
  <c r="AC340" i="87" s="1"/>
  <c r="V340" i="87"/>
  <c r="AB340" i="87" s="1"/>
  <c r="X339" i="87"/>
  <c r="AD339" i="87" s="1"/>
  <c r="W339" i="87"/>
  <c r="AC339" i="87" s="1"/>
  <c r="V339" i="87"/>
  <c r="AB339" i="87" s="1"/>
  <c r="X338" i="87"/>
  <c r="AD338" i="87" s="1"/>
  <c r="W338" i="87"/>
  <c r="AC338" i="87" s="1"/>
  <c r="V338" i="87"/>
  <c r="AB338" i="87" s="1"/>
  <c r="X337" i="87"/>
  <c r="AD337" i="87" s="1"/>
  <c r="W337" i="87"/>
  <c r="AC337" i="87" s="1"/>
  <c r="V337" i="87"/>
  <c r="AB337" i="87" s="1"/>
  <c r="X336" i="87"/>
  <c r="AD336" i="87" s="1"/>
  <c r="W336" i="87"/>
  <c r="AC336" i="87" s="1"/>
  <c r="V336" i="87"/>
  <c r="AB336" i="87" s="1"/>
  <c r="X335" i="87"/>
  <c r="AD335" i="87" s="1"/>
  <c r="W335" i="87"/>
  <c r="AC335" i="87" s="1"/>
  <c r="V335" i="87"/>
  <c r="AB335" i="87" s="1"/>
  <c r="X334" i="87"/>
  <c r="AD334" i="87" s="1"/>
  <c r="W334" i="87"/>
  <c r="AC334" i="87" s="1"/>
  <c r="V334" i="87"/>
  <c r="AB334" i="87" s="1"/>
  <c r="X333" i="87"/>
  <c r="AD333" i="87" s="1"/>
  <c r="W333" i="87"/>
  <c r="AC333" i="87" s="1"/>
  <c r="V333" i="87"/>
  <c r="AB333" i="87" s="1"/>
  <c r="X332" i="87"/>
  <c r="AD332" i="87" s="1"/>
  <c r="W332" i="87"/>
  <c r="AC332" i="87" s="1"/>
  <c r="V332" i="87"/>
  <c r="AB332" i="87" s="1"/>
  <c r="X331" i="87"/>
  <c r="AD331" i="87" s="1"/>
  <c r="W331" i="87"/>
  <c r="AC331" i="87" s="1"/>
  <c r="V331" i="87"/>
  <c r="AB331" i="87" s="1"/>
  <c r="X330" i="87"/>
  <c r="AD330" i="87" s="1"/>
  <c r="W330" i="87"/>
  <c r="AC330" i="87" s="1"/>
  <c r="V330" i="87"/>
  <c r="AB330" i="87" s="1"/>
  <c r="X329" i="87"/>
  <c r="AD329" i="87" s="1"/>
  <c r="W329" i="87"/>
  <c r="AC329" i="87" s="1"/>
  <c r="V329" i="87"/>
  <c r="AB329" i="87" s="1"/>
  <c r="X328" i="87"/>
  <c r="AD328" i="87" s="1"/>
  <c r="W328" i="87"/>
  <c r="AC328" i="87" s="1"/>
  <c r="V328" i="87"/>
  <c r="AB328" i="87" s="1"/>
  <c r="X327" i="87"/>
  <c r="AD327" i="87" s="1"/>
  <c r="W327" i="87"/>
  <c r="AC327" i="87" s="1"/>
  <c r="V327" i="87"/>
  <c r="AB327" i="87" s="1"/>
  <c r="X326" i="87"/>
  <c r="AD326" i="87" s="1"/>
  <c r="W326" i="87"/>
  <c r="AC326" i="87" s="1"/>
  <c r="V326" i="87"/>
  <c r="AB326" i="87" s="1"/>
  <c r="X325" i="87"/>
  <c r="AD325" i="87" s="1"/>
  <c r="W325" i="87"/>
  <c r="AC325" i="87" s="1"/>
  <c r="V325" i="87"/>
  <c r="AB325" i="87" s="1"/>
  <c r="X324" i="87"/>
  <c r="AD324" i="87" s="1"/>
  <c r="W324" i="87"/>
  <c r="AC324" i="87" s="1"/>
  <c r="V324" i="87"/>
  <c r="AB324" i="87" s="1"/>
  <c r="X323" i="87"/>
  <c r="AD323" i="87" s="1"/>
  <c r="W323" i="87"/>
  <c r="AC323" i="87" s="1"/>
  <c r="V323" i="87"/>
  <c r="AB323" i="87" s="1"/>
  <c r="X322" i="87"/>
  <c r="AD322" i="87" s="1"/>
  <c r="W322" i="87"/>
  <c r="AC322" i="87" s="1"/>
  <c r="V322" i="87"/>
  <c r="AB322" i="87" s="1"/>
  <c r="X321" i="87"/>
  <c r="AD321" i="87" s="1"/>
  <c r="W321" i="87"/>
  <c r="AC321" i="87" s="1"/>
  <c r="V321" i="87"/>
  <c r="AB321" i="87" s="1"/>
  <c r="X320" i="87"/>
  <c r="AD320" i="87" s="1"/>
  <c r="W320" i="87"/>
  <c r="AC320" i="87" s="1"/>
  <c r="V320" i="87"/>
  <c r="AB320" i="87" s="1"/>
  <c r="X319" i="87"/>
  <c r="AD319" i="87" s="1"/>
  <c r="W319" i="87"/>
  <c r="AC319" i="87" s="1"/>
  <c r="V319" i="87"/>
  <c r="AB319" i="87" s="1"/>
  <c r="X318" i="87"/>
  <c r="AD318" i="87" s="1"/>
  <c r="W318" i="87"/>
  <c r="AC318" i="87" s="1"/>
  <c r="V318" i="87"/>
  <c r="AB318" i="87" s="1"/>
  <c r="X317" i="87"/>
  <c r="AD317" i="87" s="1"/>
  <c r="W317" i="87"/>
  <c r="AC317" i="87" s="1"/>
  <c r="V317" i="87"/>
  <c r="AB317" i="87" s="1"/>
  <c r="X316" i="87"/>
  <c r="AD316" i="87" s="1"/>
  <c r="W316" i="87"/>
  <c r="AC316" i="87" s="1"/>
  <c r="V316" i="87"/>
  <c r="AB316" i="87" s="1"/>
  <c r="X315" i="87"/>
  <c r="AD315" i="87" s="1"/>
  <c r="W315" i="87"/>
  <c r="AC315" i="87" s="1"/>
  <c r="V315" i="87"/>
  <c r="AB315" i="87" s="1"/>
  <c r="X314" i="87"/>
  <c r="AD314" i="87" s="1"/>
  <c r="W314" i="87"/>
  <c r="AC314" i="87" s="1"/>
  <c r="V314" i="87"/>
  <c r="AB314" i="87" s="1"/>
  <c r="X313" i="87"/>
  <c r="AD313" i="87" s="1"/>
  <c r="W313" i="87"/>
  <c r="AC313" i="87" s="1"/>
  <c r="V313" i="87"/>
  <c r="AB313" i="87" s="1"/>
  <c r="X312" i="87"/>
  <c r="AD312" i="87" s="1"/>
  <c r="W312" i="87"/>
  <c r="AC312" i="87" s="1"/>
  <c r="V312" i="87"/>
  <c r="AB312" i="87" s="1"/>
  <c r="X311" i="87"/>
  <c r="AD311" i="87" s="1"/>
  <c r="W311" i="87"/>
  <c r="AC311" i="87" s="1"/>
  <c r="V311" i="87"/>
  <c r="AB311" i="87" s="1"/>
  <c r="X310" i="87"/>
  <c r="AD310" i="87" s="1"/>
  <c r="W310" i="87"/>
  <c r="AC310" i="87" s="1"/>
  <c r="V310" i="87"/>
  <c r="AB310" i="87" s="1"/>
  <c r="X309" i="87"/>
  <c r="AD309" i="87" s="1"/>
  <c r="W309" i="87"/>
  <c r="AC309" i="87" s="1"/>
  <c r="V309" i="87"/>
  <c r="AB309" i="87" s="1"/>
  <c r="X308" i="87"/>
  <c r="AD308" i="87" s="1"/>
  <c r="W308" i="87"/>
  <c r="AC308" i="87" s="1"/>
  <c r="V308" i="87"/>
  <c r="AB308" i="87" s="1"/>
  <c r="X307" i="87"/>
  <c r="AD307" i="87" s="1"/>
  <c r="W307" i="87"/>
  <c r="AC307" i="87" s="1"/>
  <c r="V307" i="87"/>
  <c r="AB307" i="87" s="1"/>
  <c r="X306" i="87"/>
  <c r="AD306" i="87" s="1"/>
  <c r="W306" i="87"/>
  <c r="AC306" i="87" s="1"/>
  <c r="V306" i="87"/>
  <c r="AB306" i="87" s="1"/>
  <c r="X305" i="87"/>
  <c r="AD305" i="87" s="1"/>
  <c r="W305" i="87"/>
  <c r="AC305" i="87" s="1"/>
  <c r="V305" i="87"/>
  <c r="AB305" i="87" s="1"/>
  <c r="X304" i="87"/>
  <c r="AD304" i="87" s="1"/>
  <c r="W304" i="87"/>
  <c r="AC304" i="87" s="1"/>
  <c r="V304" i="87"/>
  <c r="AB304" i="87" s="1"/>
  <c r="X303" i="87"/>
  <c r="AD303" i="87" s="1"/>
  <c r="W303" i="87"/>
  <c r="AC303" i="87" s="1"/>
  <c r="V303" i="87"/>
  <c r="AB303" i="87" s="1"/>
  <c r="X302" i="87"/>
  <c r="AD302" i="87" s="1"/>
  <c r="W302" i="87"/>
  <c r="AC302" i="87" s="1"/>
  <c r="V302" i="87"/>
  <c r="AB302" i="87" s="1"/>
  <c r="X301" i="87"/>
  <c r="AD301" i="87" s="1"/>
  <c r="W301" i="87"/>
  <c r="AC301" i="87" s="1"/>
  <c r="V301" i="87"/>
  <c r="AB301" i="87" s="1"/>
  <c r="X300" i="87"/>
  <c r="AD300" i="87" s="1"/>
  <c r="W300" i="87"/>
  <c r="AC300" i="87" s="1"/>
  <c r="V300" i="87"/>
  <c r="AB300" i="87" s="1"/>
  <c r="X299" i="87"/>
  <c r="AD299" i="87" s="1"/>
  <c r="W299" i="87"/>
  <c r="AC299" i="87" s="1"/>
  <c r="V299" i="87"/>
  <c r="AB299" i="87" s="1"/>
  <c r="X298" i="87"/>
  <c r="AD298" i="87" s="1"/>
  <c r="W298" i="87"/>
  <c r="AC298" i="87" s="1"/>
  <c r="V298" i="87"/>
  <c r="AB298" i="87" s="1"/>
  <c r="X297" i="87"/>
  <c r="AD297" i="87" s="1"/>
  <c r="W297" i="87"/>
  <c r="AC297" i="87" s="1"/>
  <c r="V297" i="87"/>
  <c r="AB297" i="87" s="1"/>
  <c r="X296" i="87"/>
  <c r="AD296" i="87" s="1"/>
  <c r="W296" i="87"/>
  <c r="AC296" i="87" s="1"/>
  <c r="V296" i="87"/>
  <c r="AB296" i="87" s="1"/>
  <c r="X295" i="87"/>
  <c r="AD295" i="87" s="1"/>
  <c r="W295" i="87"/>
  <c r="AC295" i="87" s="1"/>
  <c r="V295" i="87"/>
  <c r="AB295" i="87" s="1"/>
  <c r="X294" i="87"/>
  <c r="AD294" i="87" s="1"/>
  <c r="W294" i="87"/>
  <c r="AC294" i="87" s="1"/>
  <c r="V294" i="87"/>
  <c r="AB294" i="87" s="1"/>
  <c r="X293" i="87"/>
  <c r="AD293" i="87" s="1"/>
  <c r="W293" i="87"/>
  <c r="AC293" i="87" s="1"/>
  <c r="V293" i="87"/>
  <c r="AB293" i="87" s="1"/>
  <c r="X292" i="87"/>
  <c r="AD292" i="87" s="1"/>
  <c r="W292" i="87"/>
  <c r="AC292" i="87" s="1"/>
  <c r="V292" i="87"/>
  <c r="AB292" i="87" s="1"/>
  <c r="X291" i="87"/>
  <c r="AD291" i="87" s="1"/>
  <c r="W291" i="87"/>
  <c r="AC291" i="87" s="1"/>
  <c r="V291" i="87"/>
  <c r="AB291" i="87" s="1"/>
  <c r="X290" i="87"/>
  <c r="AD290" i="87" s="1"/>
  <c r="W290" i="87"/>
  <c r="AC290" i="87" s="1"/>
  <c r="V290" i="87"/>
  <c r="AB290" i="87" s="1"/>
  <c r="X289" i="87"/>
  <c r="AD289" i="87" s="1"/>
  <c r="W289" i="87"/>
  <c r="AC289" i="87" s="1"/>
  <c r="V289" i="87"/>
  <c r="AB289" i="87" s="1"/>
  <c r="X288" i="87"/>
  <c r="AD288" i="87" s="1"/>
  <c r="W288" i="87"/>
  <c r="AC288" i="87" s="1"/>
  <c r="V288" i="87"/>
  <c r="AB288" i="87" s="1"/>
  <c r="X287" i="87"/>
  <c r="AD287" i="87" s="1"/>
  <c r="W287" i="87"/>
  <c r="AC287" i="87" s="1"/>
  <c r="V287" i="87"/>
  <c r="AB287" i="87" s="1"/>
  <c r="X286" i="87"/>
  <c r="AD286" i="87" s="1"/>
  <c r="W286" i="87"/>
  <c r="AC286" i="87" s="1"/>
  <c r="V286" i="87"/>
  <c r="AB286" i="87" s="1"/>
  <c r="X285" i="87"/>
  <c r="AD285" i="87" s="1"/>
  <c r="W285" i="87"/>
  <c r="AC285" i="87" s="1"/>
  <c r="V285" i="87"/>
  <c r="AB285" i="87" s="1"/>
  <c r="X284" i="87"/>
  <c r="AD284" i="87" s="1"/>
  <c r="W284" i="87"/>
  <c r="AC284" i="87" s="1"/>
  <c r="V284" i="87"/>
  <c r="AB284" i="87" s="1"/>
  <c r="X283" i="87"/>
  <c r="AD283" i="87" s="1"/>
  <c r="W283" i="87"/>
  <c r="AC283" i="87" s="1"/>
  <c r="V283" i="87"/>
  <c r="AB283" i="87" s="1"/>
  <c r="X282" i="87"/>
  <c r="AD282" i="87" s="1"/>
  <c r="W282" i="87"/>
  <c r="AC282" i="87" s="1"/>
  <c r="V282" i="87"/>
  <c r="AB282" i="87" s="1"/>
  <c r="X281" i="87"/>
  <c r="AD281" i="87" s="1"/>
  <c r="W281" i="87"/>
  <c r="AC281" i="87" s="1"/>
  <c r="V281" i="87"/>
  <c r="AB281" i="87" s="1"/>
  <c r="X280" i="87"/>
  <c r="AD280" i="87" s="1"/>
  <c r="W280" i="87"/>
  <c r="AC280" i="87" s="1"/>
  <c r="V280" i="87"/>
  <c r="AB280" i="87" s="1"/>
  <c r="X279" i="87"/>
  <c r="AD279" i="87" s="1"/>
  <c r="W279" i="87"/>
  <c r="AC279" i="87" s="1"/>
  <c r="V279" i="87"/>
  <c r="AB279" i="87" s="1"/>
  <c r="X278" i="87"/>
  <c r="AD278" i="87" s="1"/>
  <c r="W278" i="87"/>
  <c r="AC278" i="87" s="1"/>
  <c r="V278" i="87"/>
  <c r="AB278" i="87" s="1"/>
  <c r="X277" i="87"/>
  <c r="AD277" i="87" s="1"/>
  <c r="W277" i="87"/>
  <c r="AC277" i="87" s="1"/>
  <c r="V277" i="87"/>
  <c r="AB277" i="87" s="1"/>
  <c r="X276" i="87"/>
  <c r="AD276" i="87" s="1"/>
  <c r="W276" i="87"/>
  <c r="AC276" i="87" s="1"/>
  <c r="V276" i="87"/>
  <c r="AB276" i="87" s="1"/>
  <c r="X275" i="87"/>
  <c r="AD275" i="87" s="1"/>
  <c r="W275" i="87"/>
  <c r="AC275" i="87" s="1"/>
  <c r="V275" i="87"/>
  <c r="AB275" i="87" s="1"/>
  <c r="X274" i="87"/>
  <c r="AD274" i="87" s="1"/>
  <c r="W274" i="87"/>
  <c r="AC274" i="87" s="1"/>
  <c r="V274" i="87"/>
  <c r="AB274" i="87" s="1"/>
  <c r="X273" i="87"/>
  <c r="AD273" i="87" s="1"/>
  <c r="W273" i="87"/>
  <c r="AC273" i="87" s="1"/>
  <c r="V273" i="87"/>
  <c r="AB273" i="87" s="1"/>
  <c r="X272" i="87"/>
  <c r="AD272" i="87" s="1"/>
  <c r="W272" i="87"/>
  <c r="AC272" i="87" s="1"/>
  <c r="V272" i="87"/>
  <c r="AB272" i="87" s="1"/>
  <c r="X271" i="87"/>
  <c r="AD271" i="87" s="1"/>
  <c r="W271" i="87"/>
  <c r="AC271" i="87" s="1"/>
  <c r="V271" i="87"/>
  <c r="AB271" i="87" s="1"/>
  <c r="X270" i="87"/>
  <c r="AD270" i="87" s="1"/>
  <c r="W270" i="87"/>
  <c r="AC270" i="87" s="1"/>
  <c r="V270" i="87"/>
  <c r="AB270" i="87" s="1"/>
  <c r="X269" i="87"/>
  <c r="AD269" i="87" s="1"/>
  <c r="W269" i="87"/>
  <c r="AC269" i="87" s="1"/>
  <c r="V269" i="87"/>
  <c r="AB269" i="87" s="1"/>
  <c r="X268" i="87"/>
  <c r="AD268" i="87" s="1"/>
  <c r="W268" i="87"/>
  <c r="AC268" i="87" s="1"/>
  <c r="V268" i="87"/>
  <c r="AB268" i="87" s="1"/>
  <c r="X267" i="87"/>
  <c r="AD267" i="87" s="1"/>
  <c r="W267" i="87"/>
  <c r="AC267" i="87" s="1"/>
  <c r="V267" i="87"/>
  <c r="AB267" i="87" s="1"/>
  <c r="X266" i="87"/>
  <c r="AD266" i="87" s="1"/>
  <c r="W266" i="87"/>
  <c r="AC266" i="87" s="1"/>
  <c r="V266" i="87"/>
  <c r="AB266" i="87" s="1"/>
  <c r="X265" i="87"/>
  <c r="AD265" i="87" s="1"/>
  <c r="W265" i="87"/>
  <c r="AC265" i="87" s="1"/>
  <c r="V265" i="87"/>
  <c r="AB265" i="87" s="1"/>
  <c r="X264" i="87"/>
  <c r="AD264" i="87" s="1"/>
  <c r="W264" i="87"/>
  <c r="AC264" i="87" s="1"/>
  <c r="V264" i="87"/>
  <c r="AB264" i="87" s="1"/>
  <c r="X263" i="87"/>
  <c r="AD263" i="87" s="1"/>
  <c r="W263" i="87"/>
  <c r="AC263" i="87" s="1"/>
  <c r="V263" i="87"/>
  <c r="AB263" i="87" s="1"/>
  <c r="X262" i="87"/>
  <c r="AD262" i="87" s="1"/>
  <c r="W262" i="87"/>
  <c r="AC262" i="87" s="1"/>
  <c r="V262" i="87"/>
  <c r="AB262" i="87" s="1"/>
  <c r="X261" i="87"/>
  <c r="AD261" i="87" s="1"/>
  <c r="W261" i="87"/>
  <c r="AC261" i="87" s="1"/>
  <c r="V261" i="87"/>
  <c r="AB261" i="87" s="1"/>
  <c r="X260" i="87"/>
  <c r="AD260" i="87" s="1"/>
  <c r="W260" i="87"/>
  <c r="AC260" i="87" s="1"/>
  <c r="V260" i="87"/>
  <c r="AB260" i="87" s="1"/>
  <c r="X259" i="87"/>
  <c r="AD259" i="87" s="1"/>
  <c r="W259" i="87"/>
  <c r="AC259" i="87" s="1"/>
  <c r="V259" i="87"/>
  <c r="AB259" i="87" s="1"/>
  <c r="X258" i="87"/>
  <c r="AD258" i="87" s="1"/>
  <c r="W258" i="87"/>
  <c r="AC258" i="87" s="1"/>
  <c r="V258" i="87"/>
  <c r="AB258" i="87" s="1"/>
  <c r="X257" i="87"/>
  <c r="AD257" i="87" s="1"/>
  <c r="W257" i="87"/>
  <c r="AC257" i="87" s="1"/>
  <c r="V257" i="87"/>
  <c r="AB257" i="87" s="1"/>
  <c r="X256" i="87"/>
  <c r="AD256" i="87" s="1"/>
  <c r="W256" i="87"/>
  <c r="AC256" i="87" s="1"/>
  <c r="V256" i="87"/>
  <c r="AB256" i="87" s="1"/>
  <c r="X255" i="87"/>
  <c r="AD255" i="87" s="1"/>
  <c r="W255" i="87"/>
  <c r="AC255" i="87" s="1"/>
  <c r="V255" i="87"/>
  <c r="AB255" i="87" s="1"/>
  <c r="X254" i="87"/>
  <c r="AD254" i="87" s="1"/>
  <c r="W254" i="87"/>
  <c r="AC254" i="87" s="1"/>
  <c r="V254" i="87"/>
  <c r="AB254" i="87" s="1"/>
  <c r="X253" i="87"/>
  <c r="AD253" i="87" s="1"/>
  <c r="W253" i="87"/>
  <c r="AC253" i="87" s="1"/>
  <c r="V253" i="87"/>
  <c r="AB253" i="87" s="1"/>
  <c r="X252" i="87"/>
  <c r="AD252" i="87" s="1"/>
  <c r="W252" i="87"/>
  <c r="AC252" i="87" s="1"/>
  <c r="V252" i="87"/>
  <c r="AB252" i="87" s="1"/>
  <c r="X251" i="87"/>
  <c r="AD251" i="87" s="1"/>
  <c r="W251" i="87"/>
  <c r="AC251" i="87" s="1"/>
  <c r="V251" i="87"/>
  <c r="AB251" i="87" s="1"/>
  <c r="X250" i="87"/>
  <c r="AD250" i="87" s="1"/>
  <c r="W250" i="87"/>
  <c r="AC250" i="87" s="1"/>
  <c r="V250" i="87"/>
  <c r="AB250" i="87" s="1"/>
  <c r="X249" i="87"/>
  <c r="AD249" i="87" s="1"/>
  <c r="W249" i="87"/>
  <c r="AC249" i="87" s="1"/>
  <c r="V249" i="87"/>
  <c r="AB249" i="87" s="1"/>
  <c r="X248" i="87"/>
  <c r="AD248" i="87" s="1"/>
  <c r="W248" i="87"/>
  <c r="AC248" i="87" s="1"/>
  <c r="V248" i="87"/>
  <c r="AB248" i="87" s="1"/>
  <c r="X247" i="87"/>
  <c r="AD247" i="87" s="1"/>
  <c r="W247" i="87"/>
  <c r="AC247" i="87" s="1"/>
  <c r="V247" i="87"/>
  <c r="AB247" i="87" s="1"/>
  <c r="X246" i="87"/>
  <c r="AD246" i="87" s="1"/>
  <c r="W246" i="87"/>
  <c r="AC246" i="87" s="1"/>
  <c r="V246" i="87"/>
  <c r="AB246" i="87" s="1"/>
  <c r="X245" i="87"/>
  <c r="AD245" i="87" s="1"/>
  <c r="W245" i="87"/>
  <c r="AC245" i="87" s="1"/>
  <c r="V245" i="87"/>
  <c r="AB245" i="87" s="1"/>
  <c r="X244" i="87"/>
  <c r="AD244" i="87" s="1"/>
  <c r="W244" i="87"/>
  <c r="AC244" i="87" s="1"/>
  <c r="V244" i="87"/>
  <c r="AB244" i="87" s="1"/>
  <c r="X243" i="87"/>
  <c r="AD243" i="87" s="1"/>
  <c r="W243" i="87"/>
  <c r="AC243" i="87" s="1"/>
  <c r="V243" i="87"/>
  <c r="AB243" i="87" s="1"/>
  <c r="X242" i="87"/>
  <c r="AD242" i="87" s="1"/>
  <c r="W242" i="87"/>
  <c r="AC242" i="87" s="1"/>
  <c r="V242" i="87"/>
  <c r="AB242" i="87" s="1"/>
  <c r="X241" i="87"/>
  <c r="AD241" i="87" s="1"/>
  <c r="W241" i="87"/>
  <c r="AC241" i="87" s="1"/>
  <c r="V241" i="87"/>
  <c r="AB241" i="87" s="1"/>
  <c r="X240" i="87"/>
  <c r="AD240" i="87" s="1"/>
  <c r="W240" i="87"/>
  <c r="AC240" i="87" s="1"/>
  <c r="V240" i="87"/>
  <c r="AB240" i="87" s="1"/>
  <c r="X239" i="87"/>
  <c r="AD239" i="87" s="1"/>
  <c r="W239" i="87"/>
  <c r="AC239" i="87" s="1"/>
  <c r="V239" i="87"/>
  <c r="AB239" i="87" s="1"/>
  <c r="X238" i="87"/>
  <c r="AD238" i="87" s="1"/>
  <c r="W238" i="87"/>
  <c r="AC238" i="87" s="1"/>
  <c r="V238" i="87"/>
  <c r="AB238" i="87" s="1"/>
  <c r="X237" i="87"/>
  <c r="AD237" i="87" s="1"/>
  <c r="W237" i="87"/>
  <c r="AC237" i="87" s="1"/>
  <c r="V237" i="87"/>
  <c r="AB237" i="87" s="1"/>
  <c r="X236" i="87"/>
  <c r="AD236" i="87" s="1"/>
  <c r="W236" i="87"/>
  <c r="AC236" i="87" s="1"/>
  <c r="V236" i="87"/>
  <c r="AB236" i="87" s="1"/>
  <c r="X235" i="87"/>
  <c r="AD235" i="87" s="1"/>
  <c r="W235" i="87"/>
  <c r="AC235" i="87" s="1"/>
  <c r="V235" i="87"/>
  <c r="AB235" i="87" s="1"/>
  <c r="X234" i="87"/>
  <c r="AD234" i="87" s="1"/>
  <c r="W234" i="87"/>
  <c r="AC234" i="87" s="1"/>
  <c r="V234" i="87"/>
  <c r="AB234" i="87" s="1"/>
  <c r="X233" i="87"/>
  <c r="AD233" i="87" s="1"/>
  <c r="W233" i="87"/>
  <c r="AC233" i="87" s="1"/>
  <c r="V233" i="87"/>
  <c r="AB233" i="87" s="1"/>
  <c r="X232" i="87"/>
  <c r="AD232" i="87" s="1"/>
  <c r="W232" i="87"/>
  <c r="AC232" i="87" s="1"/>
  <c r="V232" i="87"/>
  <c r="AB232" i="87" s="1"/>
  <c r="X231" i="87"/>
  <c r="AD231" i="87" s="1"/>
  <c r="W231" i="87"/>
  <c r="AC231" i="87" s="1"/>
  <c r="V231" i="87"/>
  <c r="AB231" i="87" s="1"/>
  <c r="X230" i="87"/>
  <c r="AD230" i="87" s="1"/>
  <c r="W230" i="87"/>
  <c r="AC230" i="87" s="1"/>
  <c r="V230" i="87"/>
  <c r="AB230" i="87" s="1"/>
  <c r="X229" i="87"/>
  <c r="AD229" i="87" s="1"/>
  <c r="W229" i="87"/>
  <c r="AC229" i="87" s="1"/>
  <c r="V229" i="87"/>
  <c r="AB229" i="87" s="1"/>
  <c r="X228" i="87"/>
  <c r="AD228" i="87" s="1"/>
  <c r="W228" i="87"/>
  <c r="AC228" i="87" s="1"/>
  <c r="V228" i="87"/>
  <c r="AB228" i="87" s="1"/>
  <c r="X227" i="87"/>
  <c r="AD227" i="87" s="1"/>
  <c r="W227" i="87"/>
  <c r="AC227" i="87" s="1"/>
  <c r="V227" i="87"/>
  <c r="AB227" i="87" s="1"/>
  <c r="X226" i="87"/>
  <c r="AD226" i="87" s="1"/>
  <c r="W226" i="87"/>
  <c r="AC226" i="87" s="1"/>
  <c r="V226" i="87"/>
  <c r="AB226" i="87" s="1"/>
  <c r="X225" i="87"/>
  <c r="AD225" i="87" s="1"/>
  <c r="W225" i="87"/>
  <c r="AC225" i="87" s="1"/>
  <c r="V225" i="87"/>
  <c r="AB225" i="87" s="1"/>
  <c r="X224" i="87"/>
  <c r="AD224" i="87" s="1"/>
  <c r="W224" i="87"/>
  <c r="AC224" i="87" s="1"/>
  <c r="V224" i="87"/>
  <c r="AB224" i="87" s="1"/>
  <c r="X223" i="87"/>
  <c r="AD223" i="87" s="1"/>
  <c r="W223" i="87"/>
  <c r="AC223" i="87" s="1"/>
  <c r="V223" i="87"/>
  <c r="AB223" i="87" s="1"/>
  <c r="X222" i="87"/>
  <c r="AD222" i="87" s="1"/>
  <c r="W222" i="87"/>
  <c r="AC222" i="87" s="1"/>
  <c r="V222" i="87"/>
  <c r="AB222" i="87" s="1"/>
  <c r="X221" i="87"/>
  <c r="AD221" i="87" s="1"/>
  <c r="W221" i="87"/>
  <c r="AC221" i="87" s="1"/>
  <c r="V221" i="87"/>
  <c r="AB221" i="87" s="1"/>
  <c r="X220" i="87"/>
  <c r="AD220" i="87" s="1"/>
  <c r="W220" i="87"/>
  <c r="AC220" i="87" s="1"/>
  <c r="V220" i="87"/>
  <c r="AB220" i="87" s="1"/>
  <c r="X219" i="87"/>
  <c r="AD219" i="87" s="1"/>
  <c r="W219" i="87"/>
  <c r="AC219" i="87" s="1"/>
  <c r="V219" i="87"/>
  <c r="AB219" i="87" s="1"/>
  <c r="X218" i="87"/>
  <c r="AD218" i="87" s="1"/>
  <c r="W218" i="87"/>
  <c r="AC218" i="87" s="1"/>
  <c r="V218" i="87"/>
  <c r="AB218" i="87" s="1"/>
  <c r="X217" i="87"/>
  <c r="AD217" i="87" s="1"/>
  <c r="W217" i="87"/>
  <c r="AC217" i="87" s="1"/>
  <c r="V217" i="87"/>
  <c r="AB217" i="87" s="1"/>
  <c r="X216" i="87"/>
  <c r="AD216" i="87" s="1"/>
  <c r="W216" i="87"/>
  <c r="AC216" i="87" s="1"/>
  <c r="V216" i="87"/>
  <c r="AB216" i="87" s="1"/>
  <c r="X215" i="87"/>
  <c r="AD215" i="87" s="1"/>
  <c r="W215" i="87"/>
  <c r="AC215" i="87" s="1"/>
  <c r="V215" i="87"/>
  <c r="AB215" i="87" s="1"/>
  <c r="X214" i="87"/>
  <c r="AD214" i="87" s="1"/>
  <c r="W214" i="87"/>
  <c r="AC214" i="87" s="1"/>
  <c r="V214" i="87"/>
  <c r="AB214" i="87" s="1"/>
  <c r="X213" i="87"/>
  <c r="AD213" i="87" s="1"/>
  <c r="W213" i="87"/>
  <c r="AC213" i="87" s="1"/>
  <c r="V213" i="87"/>
  <c r="AB213" i="87" s="1"/>
  <c r="X212" i="87"/>
  <c r="AD212" i="87" s="1"/>
  <c r="W212" i="87"/>
  <c r="AC212" i="87" s="1"/>
  <c r="V212" i="87"/>
  <c r="AB212" i="87" s="1"/>
  <c r="X211" i="87"/>
  <c r="AD211" i="87" s="1"/>
  <c r="W211" i="87"/>
  <c r="AC211" i="87" s="1"/>
  <c r="V211" i="87"/>
  <c r="AB211" i="87" s="1"/>
  <c r="X210" i="87"/>
  <c r="AD210" i="87" s="1"/>
  <c r="W210" i="87"/>
  <c r="AC210" i="87" s="1"/>
  <c r="V210" i="87"/>
  <c r="AB210" i="87" s="1"/>
  <c r="X209" i="87"/>
  <c r="AD209" i="87" s="1"/>
  <c r="W209" i="87"/>
  <c r="AC209" i="87" s="1"/>
  <c r="V209" i="87"/>
  <c r="AB209" i="87" s="1"/>
  <c r="X208" i="87"/>
  <c r="AD208" i="87" s="1"/>
  <c r="W208" i="87"/>
  <c r="AC208" i="87" s="1"/>
  <c r="V208" i="87"/>
  <c r="AB208" i="87" s="1"/>
  <c r="X207" i="87"/>
  <c r="AD207" i="87" s="1"/>
  <c r="W207" i="87"/>
  <c r="AC207" i="87" s="1"/>
  <c r="V207" i="87"/>
  <c r="AB207" i="87" s="1"/>
  <c r="X206" i="87"/>
  <c r="AD206" i="87" s="1"/>
  <c r="W206" i="87"/>
  <c r="AC206" i="87" s="1"/>
  <c r="V206" i="87"/>
  <c r="AB206" i="87" s="1"/>
  <c r="X205" i="87"/>
  <c r="AD205" i="87" s="1"/>
  <c r="W205" i="87"/>
  <c r="AC205" i="87" s="1"/>
  <c r="V205" i="87"/>
  <c r="AB205" i="87" s="1"/>
  <c r="X204" i="87"/>
  <c r="AD204" i="87" s="1"/>
  <c r="W204" i="87"/>
  <c r="AC204" i="87" s="1"/>
  <c r="V204" i="87"/>
  <c r="AB204" i="87" s="1"/>
  <c r="X203" i="87"/>
  <c r="AD203" i="87" s="1"/>
  <c r="W203" i="87"/>
  <c r="AC203" i="87" s="1"/>
  <c r="V203" i="87"/>
  <c r="AB203" i="87" s="1"/>
  <c r="X202" i="87"/>
  <c r="AD202" i="87" s="1"/>
  <c r="W202" i="87"/>
  <c r="AC202" i="87" s="1"/>
  <c r="V202" i="87"/>
  <c r="AB202" i="87" s="1"/>
  <c r="X201" i="87"/>
  <c r="AD201" i="87" s="1"/>
  <c r="W201" i="87"/>
  <c r="AC201" i="87" s="1"/>
  <c r="V201" i="87"/>
  <c r="AB201" i="87" s="1"/>
  <c r="X200" i="87"/>
  <c r="AD200" i="87" s="1"/>
  <c r="W200" i="87"/>
  <c r="AC200" i="87" s="1"/>
  <c r="V200" i="87"/>
  <c r="AB200" i="87" s="1"/>
  <c r="X199" i="87"/>
  <c r="AD199" i="87" s="1"/>
  <c r="W199" i="87"/>
  <c r="AC199" i="87" s="1"/>
  <c r="V199" i="87"/>
  <c r="AB199" i="87" s="1"/>
  <c r="X198" i="87"/>
  <c r="AD198" i="87" s="1"/>
  <c r="W198" i="87"/>
  <c r="AC198" i="87" s="1"/>
  <c r="V198" i="87"/>
  <c r="AB198" i="87" s="1"/>
  <c r="X197" i="87"/>
  <c r="AD197" i="87" s="1"/>
  <c r="W197" i="87"/>
  <c r="AC197" i="87" s="1"/>
  <c r="V197" i="87"/>
  <c r="AB197" i="87" s="1"/>
  <c r="X196" i="87"/>
  <c r="AD196" i="87" s="1"/>
  <c r="W196" i="87"/>
  <c r="AC196" i="87" s="1"/>
  <c r="V196" i="87"/>
  <c r="AB196" i="87" s="1"/>
  <c r="X195" i="87"/>
  <c r="AD195" i="87" s="1"/>
  <c r="W195" i="87"/>
  <c r="AC195" i="87" s="1"/>
  <c r="V195" i="87"/>
  <c r="AB195" i="87" s="1"/>
  <c r="X194" i="87"/>
  <c r="AD194" i="87" s="1"/>
  <c r="W194" i="87"/>
  <c r="AC194" i="87" s="1"/>
  <c r="V194" i="87"/>
  <c r="AB194" i="87" s="1"/>
  <c r="X193" i="87"/>
  <c r="AD193" i="87" s="1"/>
  <c r="W193" i="87"/>
  <c r="AC193" i="87" s="1"/>
  <c r="V193" i="87"/>
  <c r="AB193" i="87" s="1"/>
  <c r="X192" i="87"/>
  <c r="AD192" i="87" s="1"/>
  <c r="W192" i="87"/>
  <c r="AC192" i="87" s="1"/>
  <c r="V192" i="87"/>
  <c r="AB192" i="87" s="1"/>
  <c r="X191" i="87"/>
  <c r="AD191" i="87" s="1"/>
  <c r="W191" i="87"/>
  <c r="AC191" i="87" s="1"/>
  <c r="V191" i="87"/>
  <c r="AB191" i="87" s="1"/>
  <c r="X190" i="87"/>
  <c r="AD190" i="87" s="1"/>
  <c r="W190" i="87"/>
  <c r="AC190" i="87" s="1"/>
  <c r="V190" i="87"/>
  <c r="AB190" i="87" s="1"/>
  <c r="X189" i="87"/>
  <c r="AD189" i="87" s="1"/>
  <c r="W189" i="87"/>
  <c r="AC189" i="87" s="1"/>
  <c r="V189" i="87"/>
  <c r="AB189" i="87" s="1"/>
  <c r="X188" i="87"/>
  <c r="AD188" i="87" s="1"/>
  <c r="W188" i="87"/>
  <c r="AC188" i="87" s="1"/>
  <c r="V188" i="87"/>
  <c r="AB188" i="87" s="1"/>
  <c r="X187" i="87"/>
  <c r="AD187" i="87" s="1"/>
  <c r="W187" i="87"/>
  <c r="AC187" i="87" s="1"/>
  <c r="V187" i="87"/>
  <c r="AB187" i="87" s="1"/>
  <c r="X186" i="87"/>
  <c r="AD186" i="87" s="1"/>
  <c r="W186" i="87"/>
  <c r="AC186" i="87" s="1"/>
  <c r="V186" i="87"/>
  <c r="AB186" i="87" s="1"/>
  <c r="X185" i="87"/>
  <c r="AD185" i="87" s="1"/>
  <c r="W185" i="87"/>
  <c r="AC185" i="87" s="1"/>
  <c r="V185" i="87"/>
  <c r="AB185" i="87" s="1"/>
  <c r="X184" i="87"/>
  <c r="AD184" i="87" s="1"/>
  <c r="W184" i="87"/>
  <c r="AC184" i="87" s="1"/>
  <c r="V184" i="87"/>
  <c r="AB184" i="87" s="1"/>
  <c r="X183" i="87"/>
  <c r="AD183" i="87" s="1"/>
  <c r="W183" i="87"/>
  <c r="AC183" i="87" s="1"/>
  <c r="V183" i="87"/>
  <c r="AB183" i="87" s="1"/>
  <c r="X182" i="87"/>
  <c r="AD182" i="87" s="1"/>
  <c r="W182" i="87"/>
  <c r="AC182" i="87" s="1"/>
  <c r="V182" i="87"/>
  <c r="AB182" i="87" s="1"/>
  <c r="X181" i="87"/>
  <c r="AD181" i="87" s="1"/>
  <c r="W181" i="87"/>
  <c r="AC181" i="87" s="1"/>
  <c r="V181" i="87"/>
  <c r="AB181" i="87" s="1"/>
  <c r="X180" i="87"/>
  <c r="AD180" i="87" s="1"/>
  <c r="W180" i="87"/>
  <c r="AC180" i="87" s="1"/>
  <c r="V180" i="87"/>
  <c r="AB180" i="87" s="1"/>
  <c r="X179" i="87"/>
  <c r="AD179" i="87" s="1"/>
  <c r="W179" i="87"/>
  <c r="AC179" i="87" s="1"/>
  <c r="V179" i="87"/>
  <c r="AB179" i="87" s="1"/>
  <c r="X178" i="87"/>
  <c r="AD178" i="87" s="1"/>
  <c r="W178" i="87"/>
  <c r="AC178" i="87" s="1"/>
  <c r="V178" i="87"/>
  <c r="AB178" i="87" s="1"/>
  <c r="X177" i="87"/>
  <c r="AD177" i="87" s="1"/>
  <c r="W177" i="87"/>
  <c r="AC177" i="87" s="1"/>
  <c r="V177" i="87"/>
  <c r="AB177" i="87" s="1"/>
  <c r="X176" i="87"/>
  <c r="AD176" i="87" s="1"/>
  <c r="W176" i="87"/>
  <c r="AC176" i="87" s="1"/>
  <c r="V176" i="87"/>
  <c r="AB176" i="87" s="1"/>
  <c r="X175" i="87"/>
  <c r="AD175" i="87" s="1"/>
  <c r="W175" i="87"/>
  <c r="AC175" i="87" s="1"/>
  <c r="V175" i="87"/>
  <c r="AB175" i="87" s="1"/>
  <c r="X174" i="87"/>
  <c r="AD174" i="87" s="1"/>
  <c r="W174" i="87"/>
  <c r="AC174" i="87" s="1"/>
  <c r="V174" i="87"/>
  <c r="AB174" i="87" s="1"/>
  <c r="X173" i="87"/>
  <c r="AD173" i="87" s="1"/>
  <c r="W173" i="87"/>
  <c r="AC173" i="87" s="1"/>
  <c r="V173" i="87"/>
  <c r="AB173" i="87" s="1"/>
  <c r="X172" i="87"/>
  <c r="AD172" i="87" s="1"/>
  <c r="W172" i="87"/>
  <c r="AC172" i="87" s="1"/>
  <c r="V172" i="87"/>
  <c r="AB172" i="87" s="1"/>
  <c r="X171" i="87"/>
  <c r="AD171" i="87" s="1"/>
  <c r="W171" i="87"/>
  <c r="AC171" i="87" s="1"/>
  <c r="V171" i="87"/>
  <c r="AB171" i="87" s="1"/>
  <c r="X170" i="87"/>
  <c r="AD170" i="87" s="1"/>
  <c r="W170" i="87"/>
  <c r="AC170" i="87" s="1"/>
  <c r="V170" i="87"/>
  <c r="AB170" i="87" s="1"/>
  <c r="X169" i="87"/>
  <c r="AD169" i="87" s="1"/>
  <c r="W169" i="87"/>
  <c r="AC169" i="87" s="1"/>
  <c r="V169" i="87"/>
  <c r="AB169" i="87" s="1"/>
  <c r="X168" i="87"/>
  <c r="AD168" i="87" s="1"/>
  <c r="W168" i="87"/>
  <c r="AC168" i="87" s="1"/>
  <c r="V168" i="87"/>
  <c r="AB168" i="87" s="1"/>
  <c r="X167" i="87"/>
  <c r="AD167" i="87" s="1"/>
  <c r="W167" i="87"/>
  <c r="AC167" i="87" s="1"/>
  <c r="V167" i="87"/>
  <c r="AB167" i="87" s="1"/>
  <c r="X166" i="87"/>
  <c r="AD166" i="87" s="1"/>
  <c r="W166" i="87"/>
  <c r="AC166" i="87" s="1"/>
  <c r="V166" i="87"/>
  <c r="AB166" i="87" s="1"/>
  <c r="X165" i="87"/>
  <c r="AD165" i="87" s="1"/>
  <c r="W165" i="87"/>
  <c r="AC165" i="87" s="1"/>
  <c r="V165" i="87"/>
  <c r="AB165" i="87" s="1"/>
  <c r="X164" i="87"/>
  <c r="AD164" i="87" s="1"/>
  <c r="W164" i="87"/>
  <c r="AC164" i="87" s="1"/>
  <c r="V164" i="87"/>
  <c r="AB164" i="87" s="1"/>
  <c r="X163" i="87"/>
  <c r="AD163" i="87" s="1"/>
  <c r="W163" i="87"/>
  <c r="AC163" i="87" s="1"/>
  <c r="V163" i="87"/>
  <c r="AB163" i="87" s="1"/>
  <c r="X162" i="87"/>
  <c r="AD162" i="87" s="1"/>
  <c r="W162" i="87"/>
  <c r="AC162" i="87" s="1"/>
  <c r="V162" i="87"/>
  <c r="AB162" i="87" s="1"/>
  <c r="X161" i="87"/>
  <c r="AD161" i="87" s="1"/>
  <c r="W161" i="87"/>
  <c r="AC161" i="87" s="1"/>
  <c r="V161" i="87"/>
  <c r="AB161" i="87" s="1"/>
  <c r="X160" i="87"/>
  <c r="AD160" i="87" s="1"/>
  <c r="W160" i="87"/>
  <c r="AC160" i="87" s="1"/>
  <c r="V160" i="87"/>
  <c r="AB160" i="87" s="1"/>
  <c r="X159" i="87"/>
  <c r="AD159" i="87" s="1"/>
  <c r="W159" i="87"/>
  <c r="AC159" i="87" s="1"/>
  <c r="V159" i="87"/>
  <c r="AB159" i="87" s="1"/>
  <c r="X158" i="87"/>
  <c r="AD158" i="87" s="1"/>
  <c r="W158" i="87"/>
  <c r="AC158" i="87" s="1"/>
  <c r="V158" i="87"/>
  <c r="AB158" i="87" s="1"/>
  <c r="X157" i="87"/>
  <c r="AD157" i="87" s="1"/>
  <c r="W157" i="87"/>
  <c r="AC157" i="87" s="1"/>
  <c r="V157" i="87"/>
  <c r="AB157" i="87" s="1"/>
  <c r="X156" i="87"/>
  <c r="AD156" i="87" s="1"/>
  <c r="W156" i="87"/>
  <c r="AC156" i="87" s="1"/>
  <c r="V156" i="87"/>
  <c r="AB156" i="87" s="1"/>
  <c r="X155" i="87"/>
  <c r="AD155" i="87" s="1"/>
  <c r="W155" i="87"/>
  <c r="AC155" i="87" s="1"/>
  <c r="V155" i="87"/>
  <c r="AB155" i="87" s="1"/>
  <c r="X154" i="87"/>
  <c r="AD154" i="87" s="1"/>
  <c r="W154" i="87"/>
  <c r="AC154" i="87" s="1"/>
  <c r="V154" i="87"/>
  <c r="AB154" i="87" s="1"/>
  <c r="X153" i="87"/>
  <c r="AD153" i="87" s="1"/>
  <c r="W153" i="87"/>
  <c r="AC153" i="87" s="1"/>
  <c r="V153" i="87"/>
  <c r="AB153" i="87" s="1"/>
  <c r="X152" i="87"/>
  <c r="AD152" i="87" s="1"/>
  <c r="W152" i="87"/>
  <c r="AC152" i="87" s="1"/>
  <c r="V152" i="87"/>
  <c r="AB152" i="87" s="1"/>
  <c r="X151" i="87"/>
  <c r="AD151" i="87" s="1"/>
  <c r="W151" i="87"/>
  <c r="AC151" i="87" s="1"/>
  <c r="V151" i="87"/>
  <c r="AB151" i="87" s="1"/>
  <c r="X150" i="87"/>
  <c r="AD150" i="87" s="1"/>
  <c r="W150" i="87"/>
  <c r="AC150" i="87" s="1"/>
  <c r="V150" i="87"/>
  <c r="AB150" i="87" s="1"/>
  <c r="X149" i="87"/>
  <c r="AD149" i="87" s="1"/>
  <c r="W149" i="87"/>
  <c r="AC149" i="87" s="1"/>
  <c r="V149" i="87"/>
  <c r="AB149" i="87" s="1"/>
  <c r="X148" i="87"/>
  <c r="AD148" i="87" s="1"/>
  <c r="W148" i="87"/>
  <c r="AC148" i="87" s="1"/>
  <c r="V148" i="87"/>
  <c r="AB148" i="87" s="1"/>
  <c r="X147" i="87"/>
  <c r="AD147" i="87" s="1"/>
  <c r="W147" i="87"/>
  <c r="AC147" i="87" s="1"/>
  <c r="V147" i="87"/>
  <c r="AB147" i="87" s="1"/>
  <c r="X146" i="87"/>
  <c r="AD146" i="87" s="1"/>
  <c r="W146" i="87"/>
  <c r="AC146" i="87" s="1"/>
  <c r="V146" i="87"/>
  <c r="AB146" i="87" s="1"/>
  <c r="X145" i="87"/>
  <c r="AD145" i="87" s="1"/>
  <c r="W145" i="87"/>
  <c r="AC145" i="87" s="1"/>
  <c r="V145" i="87"/>
  <c r="AB145" i="87" s="1"/>
  <c r="X144" i="87"/>
  <c r="AD144" i="87" s="1"/>
  <c r="W144" i="87"/>
  <c r="AC144" i="87" s="1"/>
  <c r="V144" i="87"/>
  <c r="AB144" i="87" s="1"/>
  <c r="X143" i="87"/>
  <c r="AD143" i="87" s="1"/>
  <c r="W143" i="87"/>
  <c r="AC143" i="87" s="1"/>
  <c r="V143" i="87"/>
  <c r="AB143" i="87" s="1"/>
  <c r="X142" i="87"/>
  <c r="AD142" i="87" s="1"/>
  <c r="W142" i="87"/>
  <c r="AC142" i="87" s="1"/>
  <c r="V142" i="87"/>
  <c r="AB142" i="87" s="1"/>
  <c r="X141" i="87"/>
  <c r="AD141" i="87" s="1"/>
  <c r="W141" i="87"/>
  <c r="AC141" i="87" s="1"/>
  <c r="V141" i="87"/>
  <c r="AB141" i="87" s="1"/>
  <c r="X140" i="87"/>
  <c r="AD140" i="87" s="1"/>
  <c r="W140" i="87"/>
  <c r="AC140" i="87" s="1"/>
  <c r="V140" i="87"/>
  <c r="AB140" i="87" s="1"/>
  <c r="X139" i="87"/>
  <c r="AD139" i="87" s="1"/>
  <c r="W139" i="87"/>
  <c r="AC139" i="87" s="1"/>
  <c r="V139" i="87"/>
  <c r="AB139" i="87" s="1"/>
  <c r="X138" i="87"/>
  <c r="AD138" i="87" s="1"/>
  <c r="W138" i="87"/>
  <c r="AC138" i="87" s="1"/>
  <c r="V138" i="87"/>
  <c r="AB138" i="87" s="1"/>
  <c r="X137" i="87"/>
  <c r="AD137" i="87" s="1"/>
  <c r="W137" i="87"/>
  <c r="AC137" i="87" s="1"/>
  <c r="V137" i="87"/>
  <c r="AB137" i="87" s="1"/>
  <c r="X136" i="87"/>
  <c r="AD136" i="87" s="1"/>
  <c r="W136" i="87"/>
  <c r="AC136" i="87" s="1"/>
  <c r="V136" i="87"/>
  <c r="AB136" i="87" s="1"/>
  <c r="X135" i="87"/>
  <c r="AD135" i="87" s="1"/>
  <c r="W135" i="87"/>
  <c r="AC135" i="87" s="1"/>
  <c r="V135" i="87"/>
  <c r="AB135" i="87" s="1"/>
  <c r="X134" i="87"/>
  <c r="AD134" i="87" s="1"/>
  <c r="W134" i="87"/>
  <c r="AC134" i="87" s="1"/>
  <c r="V134" i="87"/>
  <c r="AB134" i="87" s="1"/>
  <c r="X133" i="87"/>
  <c r="AD133" i="87" s="1"/>
  <c r="W133" i="87"/>
  <c r="AC133" i="87" s="1"/>
  <c r="V133" i="87"/>
  <c r="AB133" i="87" s="1"/>
  <c r="X132" i="87"/>
  <c r="AD132" i="87" s="1"/>
  <c r="W132" i="87"/>
  <c r="AC132" i="87" s="1"/>
  <c r="V132" i="87"/>
  <c r="AB132" i="87" s="1"/>
  <c r="X131" i="87"/>
  <c r="AD131" i="87" s="1"/>
  <c r="W131" i="87"/>
  <c r="AC131" i="87" s="1"/>
  <c r="V131" i="87"/>
  <c r="AB131" i="87" s="1"/>
  <c r="X130" i="87"/>
  <c r="AD130" i="87" s="1"/>
  <c r="W130" i="87"/>
  <c r="AC130" i="87" s="1"/>
  <c r="V130" i="87"/>
  <c r="AB130" i="87" s="1"/>
  <c r="X129" i="87"/>
  <c r="AD129" i="87" s="1"/>
  <c r="W129" i="87"/>
  <c r="AC129" i="87" s="1"/>
  <c r="V129" i="87"/>
  <c r="AB129" i="87" s="1"/>
  <c r="X128" i="87"/>
  <c r="AD128" i="87" s="1"/>
  <c r="W128" i="87"/>
  <c r="AC128" i="87" s="1"/>
  <c r="V128" i="87"/>
  <c r="AB128" i="87" s="1"/>
  <c r="X127" i="87"/>
  <c r="AD127" i="87" s="1"/>
  <c r="W127" i="87"/>
  <c r="AC127" i="87" s="1"/>
  <c r="V127" i="87"/>
  <c r="AB127" i="87" s="1"/>
  <c r="X126" i="87"/>
  <c r="AD126" i="87" s="1"/>
  <c r="W126" i="87"/>
  <c r="AC126" i="87" s="1"/>
  <c r="V126" i="87"/>
  <c r="AB126" i="87" s="1"/>
  <c r="X125" i="87"/>
  <c r="AD125" i="87" s="1"/>
  <c r="W125" i="87"/>
  <c r="AC125" i="87" s="1"/>
  <c r="V125" i="87"/>
  <c r="AB125" i="87" s="1"/>
  <c r="X124" i="87"/>
  <c r="AD124" i="87" s="1"/>
  <c r="W124" i="87"/>
  <c r="AC124" i="87" s="1"/>
  <c r="V124" i="87"/>
  <c r="AB124" i="87" s="1"/>
  <c r="X123" i="87"/>
  <c r="AD123" i="87" s="1"/>
  <c r="W123" i="87"/>
  <c r="AC123" i="87" s="1"/>
  <c r="V123" i="87"/>
  <c r="AB123" i="87" s="1"/>
  <c r="X122" i="87"/>
  <c r="AD122" i="87" s="1"/>
  <c r="W122" i="87"/>
  <c r="AC122" i="87" s="1"/>
  <c r="V122" i="87"/>
  <c r="AB122" i="87" s="1"/>
  <c r="X97" i="87"/>
  <c r="AD97" i="87" s="1"/>
  <c r="W97" i="87"/>
  <c r="AC97" i="87" s="1"/>
  <c r="V97" i="87"/>
  <c r="AB97" i="87" s="1"/>
  <c r="X96" i="87"/>
  <c r="AD96" i="87" s="1"/>
  <c r="W96" i="87"/>
  <c r="AC96" i="87" s="1"/>
  <c r="V96" i="87"/>
  <c r="AB96" i="87" s="1"/>
  <c r="X95" i="87"/>
  <c r="AD95" i="87" s="1"/>
  <c r="W95" i="87"/>
  <c r="AC95" i="87" s="1"/>
  <c r="V95" i="87"/>
  <c r="AB95" i="87" s="1"/>
  <c r="X94" i="87"/>
  <c r="AD94" i="87" s="1"/>
  <c r="W94" i="87"/>
  <c r="AC94" i="87" s="1"/>
  <c r="V94" i="87"/>
  <c r="AB94" i="87" s="1"/>
  <c r="X93" i="87"/>
  <c r="AD93" i="87" s="1"/>
  <c r="W93" i="87"/>
  <c r="AC93" i="87" s="1"/>
  <c r="V93" i="87"/>
  <c r="AB93" i="87" s="1"/>
  <c r="X92" i="87"/>
  <c r="AD92" i="87" s="1"/>
  <c r="W92" i="87"/>
  <c r="AC92" i="87" s="1"/>
  <c r="V92" i="87"/>
  <c r="AB92" i="87" s="1"/>
  <c r="X91" i="87"/>
  <c r="AD91" i="87" s="1"/>
  <c r="W91" i="87"/>
  <c r="AC91" i="87" s="1"/>
  <c r="V91" i="87"/>
  <c r="AB91" i="87" s="1"/>
  <c r="X90" i="87"/>
  <c r="AD90" i="87" s="1"/>
  <c r="W90" i="87"/>
  <c r="AC90" i="87" s="1"/>
  <c r="V90" i="87"/>
  <c r="AB90" i="87" s="1"/>
  <c r="X89" i="87"/>
  <c r="AD89" i="87" s="1"/>
  <c r="W89" i="87"/>
  <c r="AC89" i="87" s="1"/>
  <c r="V89" i="87"/>
  <c r="AB89" i="87" s="1"/>
  <c r="X88" i="87"/>
  <c r="AD88" i="87" s="1"/>
  <c r="W88" i="87"/>
  <c r="AC88" i="87" s="1"/>
  <c r="V88" i="87"/>
  <c r="AB88" i="87" s="1"/>
  <c r="X87" i="87"/>
  <c r="AD87" i="87" s="1"/>
  <c r="W87" i="87"/>
  <c r="AC87" i="87" s="1"/>
  <c r="V87" i="87"/>
  <c r="AB87" i="87" s="1"/>
  <c r="X86" i="87"/>
  <c r="AD86" i="87" s="1"/>
  <c r="W86" i="87"/>
  <c r="AC86" i="87" s="1"/>
  <c r="V86" i="87"/>
  <c r="AB86" i="87" s="1"/>
  <c r="X85" i="87"/>
  <c r="AD85" i="87" s="1"/>
  <c r="W85" i="87"/>
  <c r="AC85" i="87" s="1"/>
  <c r="V85" i="87"/>
  <c r="AB85" i="87" s="1"/>
  <c r="X84" i="87"/>
  <c r="AD84" i="87" s="1"/>
  <c r="W84" i="87"/>
  <c r="AC84" i="87" s="1"/>
  <c r="V84" i="87"/>
  <c r="AB84" i="87" s="1"/>
  <c r="X83" i="87"/>
  <c r="AD83" i="87" s="1"/>
  <c r="W83" i="87"/>
  <c r="AC83" i="87" s="1"/>
  <c r="V83" i="87"/>
  <c r="AB83" i="87" s="1"/>
  <c r="X82" i="87"/>
  <c r="AD82" i="87" s="1"/>
  <c r="W82" i="87"/>
  <c r="AC82" i="87" s="1"/>
  <c r="V82" i="87"/>
  <c r="AB82" i="87" s="1"/>
  <c r="X81" i="87"/>
  <c r="AD81" i="87" s="1"/>
  <c r="W81" i="87"/>
  <c r="AC81" i="87" s="1"/>
  <c r="V81" i="87"/>
  <c r="AB81" i="87" s="1"/>
  <c r="X80" i="87"/>
  <c r="AD80" i="87" s="1"/>
  <c r="W80" i="87"/>
  <c r="AC80" i="87" s="1"/>
  <c r="V80" i="87"/>
  <c r="AB80" i="87" s="1"/>
  <c r="X79" i="87"/>
  <c r="AD79" i="87" s="1"/>
  <c r="W79" i="87"/>
  <c r="AC79" i="87" s="1"/>
  <c r="V79" i="87"/>
  <c r="AB79" i="87" s="1"/>
  <c r="X78" i="87"/>
  <c r="AD78" i="87" s="1"/>
  <c r="W78" i="87"/>
  <c r="AC78" i="87" s="1"/>
  <c r="V78" i="87"/>
  <c r="AB78" i="87" s="1"/>
  <c r="X77" i="87"/>
  <c r="AD77" i="87" s="1"/>
  <c r="W77" i="87"/>
  <c r="AC77" i="87" s="1"/>
  <c r="V77" i="87"/>
  <c r="AB77" i="87" s="1"/>
  <c r="X76" i="87"/>
  <c r="AD76" i="87" s="1"/>
  <c r="W76" i="87"/>
  <c r="AC76" i="87" s="1"/>
  <c r="V76" i="87"/>
  <c r="AB76" i="87" s="1"/>
  <c r="X75" i="87"/>
  <c r="AD75" i="87" s="1"/>
  <c r="W75" i="87"/>
  <c r="AC75" i="87" s="1"/>
  <c r="V75" i="87"/>
  <c r="AB75" i="87" s="1"/>
  <c r="X74" i="87"/>
  <c r="AD74" i="87" s="1"/>
  <c r="W74" i="87"/>
  <c r="AC74" i="87" s="1"/>
  <c r="V74" i="87"/>
  <c r="AB74" i="87" s="1"/>
  <c r="X73" i="87"/>
  <c r="AD73" i="87" s="1"/>
  <c r="W73" i="87"/>
  <c r="AC73" i="87" s="1"/>
  <c r="V73" i="87"/>
  <c r="AB73" i="87" s="1"/>
  <c r="X72" i="87"/>
  <c r="AD72" i="87" s="1"/>
  <c r="W72" i="87"/>
  <c r="AC72" i="87" s="1"/>
  <c r="V72" i="87"/>
  <c r="AB72" i="87" s="1"/>
  <c r="X71" i="87"/>
  <c r="AD71" i="87" s="1"/>
  <c r="W71" i="87"/>
  <c r="AC71" i="87" s="1"/>
  <c r="V71" i="87"/>
  <c r="AB71" i="87" s="1"/>
  <c r="X70" i="87"/>
  <c r="AD70" i="87" s="1"/>
  <c r="W70" i="87"/>
  <c r="AC70" i="87" s="1"/>
  <c r="V70" i="87"/>
  <c r="AB70" i="87" s="1"/>
  <c r="X69" i="87"/>
  <c r="AD69" i="87" s="1"/>
  <c r="W69" i="87"/>
  <c r="AC69" i="87" s="1"/>
  <c r="V69" i="87"/>
  <c r="AB69" i="87" s="1"/>
  <c r="X68" i="87"/>
  <c r="AD68" i="87" s="1"/>
  <c r="W68" i="87"/>
  <c r="AC68" i="87" s="1"/>
  <c r="V68" i="87"/>
  <c r="AB68" i="87" s="1"/>
  <c r="X67" i="87"/>
  <c r="AD67" i="87" s="1"/>
  <c r="W67" i="87"/>
  <c r="AC67" i="87" s="1"/>
  <c r="V67" i="87"/>
  <c r="AB67" i="87" s="1"/>
  <c r="X66" i="87"/>
  <c r="AD66" i="87" s="1"/>
  <c r="W66" i="87"/>
  <c r="AC66" i="87" s="1"/>
  <c r="V66" i="87"/>
  <c r="AB66" i="87" s="1"/>
  <c r="X65" i="87"/>
  <c r="AD65" i="87" s="1"/>
  <c r="W65" i="87"/>
  <c r="AC65" i="87" s="1"/>
  <c r="V65" i="87"/>
  <c r="AB65" i="87" s="1"/>
  <c r="X64" i="87"/>
  <c r="AD64" i="87" s="1"/>
  <c r="W64" i="87"/>
  <c r="AC64" i="87" s="1"/>
  <c r="V64" i="87"/>
  <c r="AB64" i="87" s="1"/>
  <c r="X63" i="87"/>
  <c r="AD63" i="87" s="1"/>
  <c r="W63" i="87"/>
  <c r="AC63" i="87" s="1"/>
  <c r="V63" i="87"/>
  <c r="AB63" i="87" s="1"/>
  <c r="X62" i="87"/>
  <c r="AD62" i="87" s="1"/>
  <c r="W62" i="87"/>
  <c r="AC62" i="87" s="1"/>
  <c r="V62" i="87"/>
  <c r="AB62" i="87" s="1"/>
  <c r="X61" i="87"/>
  <c r="AD61" i="87" s="1"/>
  <c r="W61" i="87"/>
  <c r="AC61" i="87" s="1"/>
  <c r="V61" i="87"/>
  <c r="AB61" i="87" s="1"/>
  <c r="X60" i="87"/>
  <c r="AD60" i="87" s="1"/>
  <c r="W60" i="87"/>
  <c r="AC60" i="87" s="1"/>
  <c r="V60" i="87"/>
  <c r="AB60" i="87" s="1"/>
  <c r="X59" i="87"/>
  <c r="AD59" i="87" s="1"/>
  <c r="W59" i="87"/>
  <c r="AC59" i="87" s="1"/>
  <c r="V59" i="87"/>
  <c r="AB59" i="87" s="1"/>
  <c r="X58" i="87"/>
  <c r="AD58" i="87" s="1"/>
  <c r="W58" i="87"/>
  <c r="AC58" i="87" s="1"/>
  <c r="V58" i="87"/>
  <c r="AB58" i="87" s="1"/>
  <c r="X57" i="87"/>
  <c r="AD57" i="87" s="1"/>
  <c r="W57" i="87"/>
  <c r="AC57" i="87" s="1"/>
  <c r="V57" i="87"/>
  <c r="AB57" i="87" s="1"/>
  <c r="X56" i="87"/>
  <c r="AD56" i="87" s="1"/>
  <c r="W56" i="87"/>
  <c r="AC56" i="87" s="1"/>
  <c r="V56" i="87"/>
  <c r="AB56" i="87" s="1"/>
  <c r="X55" i="87"/>
  <c r="AD55" i="87" s="1"/>
  <c r="W55" i="87"/>
  <c r="AC55" i="87" s="1"/>
  <c r="V55" i="87"/>
  <c r="AB55" i="87" s="1"/>
  <c r="X54" i="87"/>
  <c r="AD54" i="87" s="1"/>
  <c r="W54" i="87"/>
  <c r="AC54" i="87" s="1"/>
  <c r="V54" i="87"/>
  <c r="AB54" i="87" s="1"/>
  <c r="X53" i="87"/>
  <c r="AD53" i="87" s="1"/>
  <c r="W53" i="87"/>
  <c r="AC53" i="87" s="1"/>
  <c r="V53" i="87"/>
  <c r="AB53" i="87" s="1"/>
  <c r="X52" i="87"/>
  <c r="AD52" i="87" s="1"/>
  <c r="W52" i="87"/>
  <c r="AC52" i="87" s="1"/>
  <c r="V52" i="87"/>
  <c r="AB52" i="87" s="1"/>
  <c r="X51" i="87"/>
  <c r="AD51" i="87" s="1"/>
  <c r="W51" i="87"/>
  <c r="AC51" i="87" s="1"/>
  <c r="V51" i="87"/>
  <c r="AB51" i="87" s="1"/>
  <c r="X50" i="87"/>
  <c r="AD50" i="87" s="1"/>
  <c r="W50" i="87"/>
  <c r="AC50" i="87" s="1"/>
  <c r="V50" i="87"/>
  <c r="AB50" i="87" s="1"/>
  <c r="X49" i="87"/>
  <c r="AD49" i="87" s="1"/>
  <c r="W49" i="87"/>
  <c r="AC49" i="87" s="1"/>
  <c r="V49" i="87"/>
  <c r="AB49" i="87" s="1"/>
  <c r="X48" i="87"/>
  <c r="AD48" i="87" s="1"/>
  <c r="W48" i="87"/>
  <c r="AC48" i="87" s="1"/>
  <c r="V48" i="87"/>
  <c r="AB48" i="87" s="1"/>
  <c r="X47" i="87"/>
  <c r="AD47" i="87" s="1"/>
  <c r="W47" i="87"/>
  <c r="AC47" i="87" s="1"/>
  <c r="V47" i="87"/>
  <c r="AB47" i="87" s="1"/>
  <c r="X46" i="87"/>
  <c r="AD46" i="87" s="1"/>
  <c r="W46" i="87"/>
  <c r="AC46" i="87" s="1"/>
  <c r="V46" i="87"/>
  <c r="AB46" i="87" s="1"/>
  <c r="X45" i="87"/>
  <c r="AD45" i="87" s="1"/>
  <c r="W45" i="87"/>
  <c r="AC45" i="87" s="1"/>
  <c r="V45" i="87"/>
  <c r="AB45" i="87" s="1"/>
  <c r="X44" i="87"/>
  <c r="AD44" i="87" s="1"/>
  <c r="W44" i="87"/>
  <c r="AC44" i="87" s="1"/>
  <c r="V44" i="87"/>
  <c r="AB44" i="87" s="1"/>
  <c r="X43" i="87"/>
  <c r="AD43" i="87" s="1"/>
  <c r="W43" i="87"/>
  <c r="AC43" i="87" s="1"/>
  <c r="V43" i="87"/>
  <c r="AB43" i="87" s="1"/>
  <c r="X42" i="87"/>
  <c r="AD42" i="87" s="1"/>
  <c r="W42" i="87"/>
  <c r="AC42" i="87" s="1"/>
  <c r="V42" i="87"/>
  <c r="AB42" i="87" s="1"/>
  <c r="X41" i="87"/>
  <c r="AD41" i="87" s="1"/>
  <c r="W41" i="87"/>
  <c r="AC41" i="87" s="1"/>
  <c r="V41" i="87"/>
  <c r="AB41" i="87" s="1"/>
  <c r="X40" i="87"/>
  <c r="AD40" i="87" s="1"/>
  <c r="W40" i="87"/>
  <c r="AC40" i="87" s="1"/>
  <c r="V40" i="87"/>
  <c r="AB40" i="87" s="1"/>
  <c r="X39" i="87"/>
  <c r="AD39" i="87" s="1"/>
  <c r="W39" i="87"/>
  <c r="AC39" i="87" s="1"/>
  <c r="V39" i="87"/>
  <c r="AB39" i="87" s="1"/>
  <c r="X38" i="87"/>
  <c r="AD38" i="87" s="1"/>
  <c r="W38" i="87"/>
  <c r="AC38" i="87" s="1"/>
  <c r="V38" i="87"/>
  <c r="AB38" i="87" s="1"/>
  <c r="X37" i="87"/>
  <c r="AD37" i="87" s="1"/>
  <c r="W37" i="87"/>
  <c r="AC37" i="87" s="1"/>
  <c r="V37" i="87"/>
  <c r="AB37" i="87" s="1"/>
  <c r="X36" i="87"/>
  <c r="AD36" i="87" s="1"/>
  <c r="W36" i="87"/>
  <c r="AC36" i="87" s="1"/>
  <c r="V36" i="87"/>
  <c r="AB36" i="87" s="1"/>
  <c r="X35" i="87"/>
  <c r="AD35" i="87" s="1"/>
  <c r="W35" i="87"/>
  <c r="AC35" i="87" s="1"/>
  <c r="V35" i="87"/>
  <c r="AB35" i="87" s="1"/>
  <c r="X34" i="87"/>
  <c r="AD34" i="87" s="1"/>
  <c r="W34" i="87"/>
  <c r="AC34" i="87" s="1"/>
  <c r="V34" i="87"/>
  <c r="AB34" i="87" s="1"/>
  <c r="X33" i="87"/>
  <c r="AD33" i="87" s="1"/>
  <c r="W33" i="87"/>
  <c r="AC33" i="87" s="1"/>
  <c r="V33" i="87"/>
  <c r="AB33" i="87" s="1"/>
  <c r="X32" i="87"/>
  <c r="AD32" i="87" s="1"/>
  <c r="W32" i="87"/>
  <c r="AC32" i="87" s="1"/>
  <c r="V32" i="87"/>
  <c r="AB32" i="87" s="1"/>
  <c r="X31" i="87"/>
  <c r="AD31" i="87" s="1"/>
  <c r="W31" i="87"/>
  <c r="AC31" i="87" s="1"/>
  <c r="V31" i="87"/>
  <c r="AB31" i="87" s="1"/>
  <c r="X30" i="87"/>
  <c r="AD30" i="87" s="1"/>
  <c r="W30" i="87"/>
  <c r="AC30" i="87" s="1"/>
  <c r="V30" i="87"/>
  <c r="AB30" i="87" s="1"/>
  <c r="X29" i="87"/>
  <c r="AD29" i="87" s="1"/>
  <c r="W29" i="87"/>
  <c r="AC29" i="87" s="1"/>
  <c r="V29" i="87"/>
  <c r="AB29" i="87" s="1"/>
  <c r="X28" i="87"/>
  <c r="AD28" i="87" s="1"/>
  <c r="W28" i="87"/>
  <c r="AC28" i="87" s="1"/>
  <c r="V28" i="87"/>
  <c r="AB28" i="87" s="1"/>
  <c r="X27" i="87"/>
  <c r="AD27" i="87" s="1"/>
  <c r="W27" i="87"/>
  <c r="AC27" i="87" s="1"/>
  <c r="V27" i="87"/>
  <c r="AB27" i="87" s="1"/>
  <c r="X26" i="87"/>
  <c r="AD26" i="87" s="1"/>
  <c r="W26" i="87"/>
  <c r="AC26" i="87" s="1"/>
  <c r="V26" i="87"/>
  <c r="AB26" i="87" s="1"/>
  <c r="X25" i="87"/>
  <c r="AD25" i="87" s="1"/>
  <c r="W25" i="87"/>
  <c r="AC25" i="87" s="1"/>
  <c r="V25" i="87"/>
  <c r="AB25" i="87" s="1"/>
  <c r="X24" i="87"/>
  <c r="AD24" i="87" s="1"/>
  <c r="W24" i="87"/>
  <c r="AC24" i="87" s="1"/>
  <c r="V24" i="87"/>
  <c r="AB24" i="87" s="1"/>
  <c r="X23" i="87"/>
  <c r="AD23" i="87" s="1"/>
  <c r="W23" i="87"/>
  <c r="AC23" i="87" s="1"/>
  <c r="V23" i="87"/>
  <c r="AB23" i="87" s="1"/>
  <c r="X22" i="87"/>
  <c r="AD22" i="87" s="1"/>
  <c r="W22" i="87"/>
  <c r="AC22" i="87" s="1"/>
  <c r="V22" i="87"/>
  <c r="AB22" i="87" s="1"/>
  <c r="X21" i="87"/>
  <c r="AD21" i="87" s="1"/>
  <c r="W21" i="87"/>
  <c r="AC21" i="87" s="1"/>
  <c r="V21" i="87"/>
  <c r="AB21" i="87" s="1"/>
  <c r="X20" i="87"/>
  <c r="AD20" i="87" s="1"/>
  <c r="W20" i="87"/>
  <c r="AC20" i="87" s="1"/>
  <c r="V20" i="87"/>
  <c r="AB20" i="87" s="1"/>
  <c r="X19" i="87"/>
  <c r="AD19" i="87" s="1"/>
  <c r="W19" i="87"/>
  <c r="AC19" i="87" s="1"/>
  <c r="V19" i="87"/>
  <c r="AB19" i="87" s="1"/>
  <c r="X18" i="87"/>
  <c r="AD18" i="87" s="1"/>
  <c r="W18" i="87"/>
  <c r="AC18" i="87" s="1"/>
  <c r="V18" i="87"/>
  <c r="AB18" i="87" s="1"/>
  <c r="X17" i="87"/>
  <c r="AD17" i="87" s="1"/>
  <c r="W17" i="87"/>
  <c r="AC17" i="87" s="1"/>
  <c r="V17" i="87"/>
  <c r="AB17" i="87" s="1"/>
  <c r="X16" i="87"/>
  <c r="AD16" i="87" s="1"/>
  <c r="W16" i="87"/>
  <c r="AC16" i="87" s="1"/>
  <c r="V16" i="87"/>
  <c r="AB16" i="87" s="1"/>
  <c r="X15" i="87"/>
  <c r="AD15" i="87" s="1"/>
  <c r="W15" i="87"/>
  <c r="AC15" i="87" s="1"/>
  <c r="V15" i="87"/>
  <c r="AB15" i="87" s="1"/>
  <c r="X14" i="87"/>
  <c r="AD14" i="87" s="1"/>
  <c r="W14" i="87"/>
  <c r="AC14" i="87" s="1"/>
  <c r="V14" i="87"/>
  <c r="AB14" i="87" s="1"/>
  <c r="X13" i="87"/>
  <c r="AD13" i="87" s="1"/>
  <c r="W13" i="87"/>
  <c r="AC13" i="87" s="1"/>
  <c r="V13" i="87"/>
  <c r="AB13" i="87" s="1"/>
  <c r="X12" i="87"/>
  <c r="AD12" i="87" s="1"/>
  <c r="W12" i="87"/>
  <c r="AC12" i="87" s="1"/>
  <c r="V12" i="87"/>
  <c r="AB12" i="87" s="1"/>
  <c r="X11" i="87"/>
  <c r="AD11" i="87" s="1"/>
  <c r="W11" i="87"/>
  <c r="AC11" i="87" s="1"/>
  <c r="V11" i="87"/>
  <c r="AB11" i="87" s="1"/>
  <c r="X10" i="87"/>
  <c r="AD10" i="87" s="1"/>
  <c r="W10" i="87"/>
  <c r="AC10" i="87" s="1"/>
  <c r="V10" i="87"/>
  <c r="AB10" i="87" s="1"/>
  <c r="X9" i="87"/>
  <c r="AD9" i="87" s="1"/>
  <c r="W9" i="87"/>
  <c r="AC9" i="87" s="1"/>
  <c r="V9" i="87"/>
  <c r="AB9" i="87" s="1"/>
  <c r="X8" i="87"/>
  <c r="AD8" i="87" s="1"/>
  <c r="W8" i="87"/>
  <c r="AC8" i="87" s="1"/>
  <c r="V8" i="87"/>
  <c r="AB8" i="87" s="1"/>
  <c r="X7" i="87"/>
  <c r="AD7" i="87" s="1"/>
  <c r="W7" i="87"/>
  <c r="AC7" i="87" s="1"/>
  <c r="V7" i="87"/>
  <c r="AB7" i="87" s="1"/>
  <c r="X6" i="87"/>
  <c r="AD6" i="87" s="1"/>
  <c r="W6" i="87"/>
  <c r="AC6" i="87" s="1"/>
  <c r="V6" i="87"/>
  <c r="AB6" i="87" s="1"/>
  <c r="X5" i="87"/>
  <c r="AD5" i="87" s="1"/>
  <c r="W5" i="87"/>
  <c r="AC5" i="87" s="1"/>
  <c r="V5" i="87"/>
  <c r="AB5" i="87" s="1"/>
  <c r="X4" i="87"/>
  <c r="AD4" i="87" s="1"/>
  <c r="W4" i="87"/>
  <c r="AC4" i="87" s="1"/>
  <c r="V4" i="87"/>
  <c r="AB4" i="87" s="1"/>
  <c r="X3" i="87"/>
  <c r="AD3" i="87" s="1"/>
  <c r="W3" i="87"/>
  <c r="AC3" i="87" s="1"/>
  <c r="V3" i="87"/>
  <c r="AB3" i="87" s="1"/>
  <c r="X2" i="87"/>
  <c r="AD2" i="87" s="1"/>
  <c r="W2" i="87"/>
  <c r="AC2" i="87" s="1"/>
  <c r="V2" i="87"/>
  <c r="AB2" i="87" s="1"/>
  <c r="AD52" i="77"/>
  <c r="AB52" i="77"/>
  <c r="AA52" i="77"/>
  <c r="Z52" i="77"/>
  <c r="Y52" i="77"/>
  <c r="X52" i="77"/>
  <c r="AD51" i="77"/>
  <c r="AB51" i="77"/>
  <c r="AA51" i="77"/>
  <c r="AA51" i="78" s="1"/>
  <c r="Z51" i="77"/>
  <c r="Z51" i="78" s="1"/>
  <c r="Y51" i="77"/>
  <c r="X51" i="77"/>
  <c r="AD50" i="77"/>
  <c r="AB50" i="77"/>
  <c r="AA50" i="77"/>
  <c r="Z50" i="77"/>
  <c r="Y50" i="77"/>
  <c r="X50" i="77"/>
  <c r="AD49" i="77"/>
  <c r="AB49" i="77"/>
  <c r="AA49" i="77"/>
  <c r="AA49" i="78" s="1"/>
  <c r="Z49" i="77"/>
  <c r="Y49" i="77"/>
  <c r="X49" i="77"/>
  <c r="AD48" i="77"/>
  <c r="AB48" i="77"/>
  <c r="AA48" i="77"/>
  <c r="Z48" i="77"/>
  <c r="Z48" i="78" s="1"/>
  <c r="Y48" i="77"/>
  <c r="X48" i="77"/>
  <c r="AD47" i="77"/>
  <c r="AB47" i="77"/>
  <c r="AA47" i="77"/>
  <c r="AA47" i="78" s="1"/>
  <c r="Z47" i="77"/>
  <c r="Z47" i="78" s="1"/>
  <c r="Y47" i="77"/>
  <c r="X47" i="77"/>
  <c r="AD46" i="77"/>
  <c r="AB46" i="77"/>
  <c r="AA46" i="77"/>
  <c r="Z46" i="77"/>
  <c r="Z46" i="78" s="1"/>
  <c r="Y46" i="77"/>
  <c r="X46" i="77"/>
  <c r="AD45" i="77"/>
  <c r="AB45" i="77"/>
  <c r="AA45" i="77"/>
  <c r="AA45" i="78" s="1"/>
  <c r="Z45" i="77"/>
  <c r="Z45" i="78" s="1"/>
  <c r="Y45" i="77"/>
  <c r="X45" i="77"/>
  <c r="AD44" i="77"/>
  <c r="AB44" i="77"/>
  <c r="AA44" i="77"/>
  <c r="Z44" i="77"/>
  <c r="Z44" i="78" s="1"/>
  <c r="Y44" i="77"/>
  <c r="X44" i="77"/>
  <c r="AD43" i="77"/>
  <c r="AB43" i="77"/>
  <c r="AA43" i="77"/>
  <c r="AA43" i="78" s="1"/>
  <c r="Z43" i="77"/>
  <c r="Z43" i="78" s="1"/>
  <c r="Y43" i="77"/>
  <c r="X43" i="77"/>
  <c r="AD42" i="77"/>
  <c r="AB42" i="77"/>
  <c r="AA42" i="77"/>
  <c r="Z42" i="77"/>
  <c r="Z42" i="78" s="1"/>
  <c r="Y42" i="77"/>
  <c r="X42" i="77"/>
  <c r="AD41" i="77"/>
  <c r="AB41" i="77"/>
  <c r="AA41" i="77"/>
  <c r="AA41" i="78" s="1"/>
  <c r="Z41" i="77"/>
  <c r="Z41" i="78" s="1"/>
  <c r="Y41" i="77"/>
  <c r="X41" i="77"/>
  <c r="AD40" i="77"/>
  <c r="AB40" i="77"/>
  <c r="AA40" i="77"/>
  <c r="Z40" i="77"/>
  <c r="Z40" i="78" s="1"/>
  <c r="Y40" i="77"/>
  <c r="X40" i="77"/>
  <c r="AD39" i="77"/>
  <c r="AB39" i="77"/>
  <c r="AA39" i="77"/>
  <c r="AA39" i="78" s="1"/>
  <c r="Z39" i="77"/>
  <c r="Z39" i="78" s="1"/>
  <c r="Y39" i="77"/>
  <c r="X39" i="77"/>
  <c r="AD38" i="77"/>
  <c r="AB38" i="77"/>
  <c r="AA38" i="77"/>
  <c r="Z38" i="77"/>
  <c r="Z38" i="78" s="1"/>
  <c r="Y38" i="77"/>
  <c r="X38" i="77"/>
  <c r="AD37" i="77"/>
  <c r="AB37" i="77"/>
  <c r="AA37" i="77"/>
  <c r="AA37" i="78" s="1"/>
  <c r="Z37" i="77"/>
  <c r="Z37" i="78" s="1"/>
  <c r="Y37" i="77"/>
  <c r="X37" i="77"/>
  <c r="AD36" i="77"/>
  <c r="AB36" i="77"/>
  <c r="AA36" i="77"/>
  <c r="Z36" i="77"/>
  <c r="Y36" i="77"/>
  <c r="X36" i="77"/>
  <c r="AD35" i="77"/>
  <c r="AB35" i="77"/>
  <c r="AA35" i="77"/>
  <c r="AA35" i="78" s="1"/>
  <c r="Z35" i="77"/>
  <c r="Z35" i="78" s="1"/>
  <c r="Y35" i="77"/>
  <c r="X35" i="77"/>
  <c r="AD34" i="77"/>
  <c r="AB34" i="77"/>
  <c r="AA34" i="77"/>
  <c r="Z34" i="77"/>
  <c r="Y34" i="77"/>
  <c r="X34" i="77"/>
  <c r="AD33" i="77"/>
  <c r="AB33" i="77"/>
  <c r="AA33" i="77"/>
  <c r="AA33" i="78" s="1"/>
  <c r="Z33" i="77"/>
  <c r="Z33" i="78" s="1"/>
  <c r="Y33" i="77"/>
  <c r="X33" i="77"/>
  <c r="AD32" i="77"/>
  <c r="AB32" i="77"/>
  <c r="AA32" i="77"/>
  <c r="Z32" i="77"/>
  <c r="Z32" i="78" s="1"/>
  <c r="Y32" i="77"/>
  <c r="X32" i="77"/>
  <c r="AD31" i="77"/>
  <c r="AB31" i="77"/>
  <c r="AA31" i="77"/>
  <c r="AA31" i="78" s="1"/>
  <c r="Z31" i="77"/>
  <c r="Z31" i="78" s="1"/>
  <c r="Y31" i="77"/>
  <c r="X31" i="77"/>
  <c r="AD30" i="77"/>
  <c r="AB30" i="77"/>
  <c r="AA30" i="77"/>
  <c r="Z30" i="77"/>
  <c r="Z30" i="78" s="1"/>
  <c r="Y30" i="77"/>
  <c r="X30" i="77"/>
  <c r="AD29" i="77"/>
  <c r="AB29" i="77"/>
  <c r="AA29" i="77"/>
  <c r="AA29" i="78" s="1"/>
  <c r="Z29" i="77"/>
  <c r="Z29" i="78" s="1"/>
  <c r="Y29" i="77"/>
  <c r="X29" i="77"/>
  <c r="AD28" i="77"/>
  <c r="AB28" i="77"/>
  <c r="AA28" i="77"/>
  <c r="Z28" i="77"/>
  <c r="Z28" i="78" s="1"/>
  <c r="Y28" i="77"/>
  <c r="X28" i="77"/>
  <c r="AD27" i="77"/>
  <c r="AB27" i="77"/>
  <c r="AA27" i="77"/>
  <c r="AA27" i="78" s="1"/>
  <c r="Z27" i="77"/>
  <c r="Z27" i="78" s="1"/>
  <c r="Y27" i="77"/>
  <c r="X27" i="77"/>
  <c r="AD26" i="77"/>
  <c r="AC26" i="77"/>
  <c r="AB26" i="77"/>
  <c r="AA26" i="77"/>
  <c r="AA26" i="78" s="1"/>
  <c r="Z26" i="77"/>
  <c r="Z26" i="78" s="1"/>
  <c r="Y26" i="77"/>
  <c r="X26" i="77"/>
  <c r="W26" i="77"/>
  <c r="V26" i="77"/>
  <c r="U26" i="77"/>
  <c r="AD25" i="77"/>
  <c r="AB25" i="77"/>
  <c r="AA25" i="77"/>
  <c r="AA25" i="78" s="1"/>
  <c r="Z25" i="77"/>
  <c r="Z25" i="78" s="1"/>
  <c r="Y25" i="77"/>
  <c r="X25" i="77"/>
  <c r="AD24" i="77"/>
  <c r="AB24" i="77"/>
  <c r="AA24" i="77"/>
  <c r="Z24" i="77"/>
  <c r="Z24" i="78" s="1"/>
  <c r="Y24" i="77"/>
  <c r="X24" i="77"/>
  <c r="AD23" i="77"/>
  <c r="AB23" i="77"/>
  <c r="AA23" i="77"/>
  <c r="AA23" i="78" s="1"/>
  <c r="Z23" i="77"/>
  <c r="Z23" i="78" s="1"/>
  <c r="Y23" i="77"/>
  <c r="X23" i="77"/>
  <c r="AD22" i="77"/>
  <c r="AB22" i="77"/>
  <c r="AA22" i="77"/>
  <c r="Z22" i="77"/>
  <c r="Z22" i="78" s="1"/>
  <c r="Y22" i="77"/>
  <c r="X22" i="77"/>
  <c r="AD21" i="77"/>
  <c r="AC21" i="77"/>
  <c r="AB21" i="77"/>
  <c r="AA21" i="77"/>
  <c r="AA21" i="78" s="1"/>
  <c r="Z21" i="77"/>
  <c r="Y21" i="77"/>
  <c r="X21" i="77"/>
  <c r="W21" i="77"/>
  <c r="V21" i="77"/>
  <c r="U21" i="77"/>
  <c r="AD20" i="77"/>
  <c r="AC20" i="77"/>
  <c r="AB20" i="77"/>
  <c r="AA20" i="77"/>
  <c r="AA20" i="78" s="1"/>
  <c r="Z20" i="77"/>
  <c r="Z20" i="78" s="1"/>
  <c r="Y20" i="77"/>
  <c r="X20" i="77"/>
  <c r="W20" i="77"/>
  <c r="V20" i="77"/>
  <c r="U20" i="77"/>
  <c r="AD19" i="77"/>
  <c r="AC19" i="77"/>
  <c r="AB19" i="77"/>
  <c r="AA19" i="77"/>
  <c r="AA19" i="78" s="1"/>
  <c r="Z19" i="77"/>
  <c r="Y19" i="77"/>
  <c r="X19" i="77"/>
  <c r="W19" i="77"/>
  <c r="V19" i="77"/>
  <c r="U19" i="77"/>
  <c r="AD18" i="77"/>
  <c r="AC18" i="77"/>
  <c r="AB18" i="77"/>
  <c r="AA18" i="77"/>
  <c r="AA18" i="78" s="1"/>
  <c r="Z18" i="77"/>
  <c r="Z18" i="78" s="1"/>
  <c r="Y18" i="77"/>
  <c r="X18" i="77"/>
  <c r="W18" i="77"/>
  <c r="V18" i="77"/>
  <c r="U18" i="77"/>
  <c r="AD17" i="77"/>
  <c r="AC17" i="77"/>
  <c r="AB17" i="77"/>
  <c r="AA17" i="77"/>
  <c r="AA17" i="78" s="1"/>
  <c r="Z17" i="77"/>
  <c r="Y17" i="77"/>
  <c r="X17" i="77"/>
  <c r="W17" i="77"/>
  <c r="V17" i="77"/>
  <c r="U17" i="77"/>
  <c r="AD16" i="77"/>
  <c r="AC16" i="77"/>
  <c r="AB16" i="77"/>
  <c r="AA16" i="77"/>
  <c r="Z16" i="77"/>
  <c r="Z16" i="78" s="1"/>
  <c r="Y16" i="77"/>
  <c r="X16" i="77"/>
  <c r="W16" i="77"/>
  <c r="V16" i="77"/>
  <c r="U16" i="77"/>
  <c r="AD15" i="77"/>
  <c r="AC15" i="77"/>
  <c r="AB15" i="77"/>
  <c r="AA15" i="77"/>
  <c r="AA15" i="78" s="1"/>
  <c r="Z15" i="77"/>
  <c r="Y15" i="77"/>
  <c r="X15" i="77"/>
  <c r="W15" i="77"/>
  <c r="V15" i="77"/>
  <c r="U15" i="77"/>
  <c r="AD14" i="77"/>
  <c r="AC14" i="77"/>
  <c r="AB14" i="77"/>
  <c r="AA14" i="77"/>
  <c r="Z14" i="77"/>
  <c r="Z14" i="78" s="1"/>
  <c r="Y14" i="77"/>
  <c r="X14" i="77"/>
  <c r="W14" i="77"/>
  <c r="V14" i="77"/>
  <c r="U14" i="77"/>
  <c r="AD13" i="77"/>
  <c r="AC13" i="77"/>
  <c r="AB13" i="77"/>
  <c r="AA13" i="77"/>
  <c r="AA13" i="78" s="1"/>
  <c r="Z13" i="77"/>
  <c r="Y13" i="77"/>
  <c r="X13" i="77"/>
  <c r="W13" i="77"/>
  <c r="V13" i="77"/>
  <c r="U13" i="77"/>
  <c r="AD12" i="77"/>
  <c r="AC12" i="77"/>
  <c r="AB12" i="77"/>
  <c r="AA12" i="77"/>
  <c r="Z12" i="77"/>
  <c r="Z12" i="78" s="1"/>
  <c r="Y12" i="77"/>
  <c r="X12" i="77"/>
  <c r="W12" i="77"/>
  <c r="V12" i="77"/>
  <c r="U12" i="77"/>
  <c r="AD11" i="77"/>
  <c r="AC11" i="77"/>
  <c r="AB11" i="77"/>
  <c r="AA11" i="77"/>
  <c r="AA11" i="78" s="1"/>
  <c r="Z11" i="77"/>
  <c r="Y11" i="77"/>
  <c r="X11" i="77"/>
  <c r="W11" i="77"/>
  <c r="V11" i="77"/>
  <c r="U11" i="77"/>
  <c r="AD10" i="77"/>
  <c r="AC10" i="77"/>
  <c r="AB10" i="77"/>
  <c r="AA10" i="77"/>
  <c r="AA10" i="78" s="1"/>
  <c r="Z10" i="77"/>
  <c r="Z10" i="78" s="1"/>
  <c r="Y10" i="77"/>
  <c r="X10" i="77"/>
  <c r="W10" i="77"/>
  <c r="V10" i="77"/>
  <c r="U10" i="77"/>
  <c r="AD9" i="77"/>
  <c r="AC9" i="77"/>
  <c r="AB9" i="77"/>
  <c r="AA9" i="77"/>
  <c r="AA9" i="78" s="1"/>
  <c r="Z9" i="77"/>
  <c r="Y9" i="77"/>
  <c r="X9" i="77"/>
  <c r="W9" i="77"/>
  <c r="V9" i="77"/>
  <c r="U9" i="77"/>
  <c r="AD8" i="77"/>
  <c r="AC8" i="77"/>
  <c r="AB8" i="77"/>
  <c r="AA8" i="77"/>
  <c r="Z8" i="77"/>
  <c r="Z8" i="78" s="1"/>
  <c r="Y8" i="77"/>
  <c r="X8" i="77"/>
  <c r="W8" i="77"/>
  <c r="V8" i="77"/>
  <c r="U8" i="77"/>
  <c r="AD7" i="77"/>
  <c r="AC7" i="77"/>
  <c r="AB7" i="77"/>
  <c r="AA7" i="77"/>
  <c r="AA7" i="78" s="1"/>
  <c r="Z7" i="77"/>
  <c r="Y7" i="77"/>
  <c r="X7" i="77"/>
  <c r="W7" i="77"/>
  <c r="V7" i="77"/>
  <c r="U7" i="77"/>
  <c r="AD6" i="77"/>
  <c r="AC6" i="77"/>
  <c r="AB6" i="77"/>
  <c r="AA6" i="77"/>
  <c r="Z6" i="77"/>
  <c r="Z6" i="78" s="1"/>
  <c r="Y6" i="77"/>
  <c r="X6" i="77"/>
  <c r="W6" i="77"/>
  <c r="V6" i="77"/>
  <c r="U6" i="77"/>
  <c r="AD5" i="77"/>
  <c r="AB5" i="77"/>
  <c r="AA5" i="77"/>
  <c r="AA5" i="78" s="1"/>
  <c r="Z5" i="77"/>
  <c r="Z5" i="78" s="1"/>
  <c r="AP52" i="85"/>
  <c r="AC52" i="85"/>
  <c r="AC52" i="77" s="1"/>
  <c r="W52" i="85"/>
  <c r="W52" i="77" s="1"/>
  <c r="V52" i="85"/>
  <c r="V52" i="77" s="1"/>
  <c r="U52" i="85"/>
  <c r="U52" i="77" s="1"/>
  <c r="AP51" i="85"/>
  <c r="AC51" i="85"/>
  <c r="AC51" i="77" s="1"/>
  <c r="W51" i="85"/>
  <c r="W51" i="77" s="1"/>
  <c r="V51" i="85"/>
  <c r="V51" i="77" s="1"/>
  <c r="U51" i="85"/>
  <c r="U51" i="77" s="1"/>
  <c r="AP50" i="85"/>
  <c r="AC50" i="85"/>
  <c r="AC50" i="77" s="1"/>
  <c r="W50" i="85"/>
  <c r="W50" i="77" s="1"/>
  <c r="V50" i="85"/>
  <c r="V50" i="77" s="1"/>
  <c r="U50" i="85"/>
  <c r="U50" i="77" s="1"/>
  <c r="AP49" i="85"/>
  <c r="AC49" i="85"/>
  <c r="AC49" i="77" s="1"/>
  <c r="W49" i="85"/>
  <c r="W49" i="77" s="1"/>
  <c r="V49" i="85"/>
  <c r="V49" i="77" s="1"/>
  <c r="U49" i="85"/>
  <c r="U49" i="77" s="1"/>
  <c r="AP48" i="85"/>
  <c r="AC48" i="85"/>
  <c r="AC48" i="77" s="1"/>
  <c r="W48" i="85"/>
  <c r="W48" i="77" s="1"/>
  <c r="V48" i="85"/>
  <c r="V48" i="77" s="1"/>
  <c r="U48" i="85"/>
  <c r="U48" i="77" s="1"/>
  <c r="AP47" i="85"/>
  <c r="AC47" i="85"/>
  <c r="AC47" i="77" s="1"/>
  <c r="W47" i="85"/>
  <c r="W47" i="77" s="1"/>
  <c r="V47" i="85"/>
  <c r="V47" i="77" s="1"/>
  <c r="U47" i="85"/>
  <c r="U47" i="77" s="1"/>
  <c r="AP46" i="85"/>
  <c r="AC46" i="85"/>
  <c r="AC46" i="77" s="1"/>
  <c r="W46" i="85"/>
  <c r="W46" i="77" s="1"/>
  <c r="V46" i="85"/>
  <c r="V46" i="77" s="1"/>
  <c r="U46" i="85"/>
  <c r="U46" i="77" s="1"/>
  <c r="AP45" i="85"/>
  <c r="AC45" i="85"/>
  <c r="AC45" i="77" s="1"/>
  <c r="W45" i="85"/>
  <c r="W45" i="77" s="1"/>
  <c r="V45" i="85"/>
  <c r="V45" i="77" s="1"/>
  <c r="U45" i="85"/>
  <c r="U45" i="77" s="1"/>
  <c r="AP44" i="85"/>
  <c r="AC44" i="85"/>
  <c r="AC44" i="77" s="1"/>
  <c r="W44" i="85"/>
  <c r="W44" i="77" s="1"/>
  <c r="V44" i="85"/>
  <c r="V44" i="77" s="1"/>
  <c r="U44" i="85"/>
  <c r="U44" i="77" s="1"/>
  <c r="AP43" i="85"/>
  <c r="AC43" i="85"/>
  <c r="AC43" i="77" s="1"/>
  <c r="W43" i="85"/>
  <c r="W43" i="77" s="1"/>
  <c r="V43" i="85"/>
  <c r="V43" i="77" s="1"/>
  <c r="U43" i="85"/>
  <c r="U43" i="77" s="1"/>
  <c r="AP42" i="85"/>
  <c r="AC42" i="85"/>
  <c r="AC42" i="77" s="1"/>
  <c r="W42" i="85"/>
  <c r="W42" i="77" s="1"/>
  <c r="V42" i="85"/>
  <c r="V42" i="77" s="1"/>
  <c r="U42" i="85"/>
  <c r="U42" i="77" s="1"/>
  <c r="AP41" i="85"/>
  <c r="AC41" i="85"/>
  <c r="AC41" i="77" s="1"/>
  <c r="W41" i="85"/>
  <c r="W41" i="77" s="1"/>
  <c r="V41" i="85"/>
  <c r="V41" i="77" s="1"/>
  <c r="U41" i="85"/>
  <c r="U41" i="77" s="1"/>
  <c r="AP40" i="85"/>
  <c r="AC40" i="85"/>
  <c r="AC40" i="77" s="1"/>
  <c r="W40" i="85"/>
  <c r="W40" i="77" s="1"/>
  <c r="V40" i="85"/>
  <c r="V40" i="77" s="1"/>
  <c r="U40" i="85"/>
  <c r="U40" i="77" s="1"/>
  <c r="AP39" i="85"/>
  <c r="AC39" i="85"/>
  <c r="AC39" i="77" s="1"/>
  <c r="W39" i="85"/>
  <c r="W39" i="77" s="1"/>
  <c r="V39" i="85"/>
  <c r="V39" i="77" s="1"/>
  <c r="U39" i="85"/>
  <c r="U39" i="77" s="1"/>
  <c r="AP38" i="85"/>
  <c r="AC38" i="85"/>
  <c r="AC38" i="77" s="1"/>
  <c r="W38" i="85"/>
  <c r="W38" i="77" s="1"/>
  <c r="V38" i="85"/>
  <c r="V38" i="77" s="1"/>
  <c r="U38" i="85"/>
  <c r="U38" i="77" s="1"/>
  <c r="AP37" i="85"/>
  <c r="AC37" i="85"/>
  <c r="AC37" i="77" s="1"/>
  <c r="W37" i="85"/>
  <c r="W37" i="77" s="1"/>
  <c r="V37" i="85"/>
  <c r="V37" i="77" s="1"/>
  <c r="U37" i="85"/>
  <c r="U37" i="77" s="1"/>
  <c r="AP36" i="85"/>
  <c r="AC36" i="85"/>
  <c r="AC36" i="77" s="1"/>
  <c r="W36" i="85"/>
  <c r="W36" i="77" s="1"/>
  <c r="V36" i="85"/>
  <c r="V36" i="77" s="1"/>
  <c r="U36" i="85"/>
  <c r="U36" i="77" s="1"/>
  <c r="AP35" i="85"/>
  <c r="AC35" i="85"/>
  <c r="AC35" i="77" s="1"/>
  <c r="W35" i="85"/>
  <c r="W35" i="77" s="1"/>
  <c r="V35" i="85"/>
  <c r="V35" i="77" s="1"/>
  <c r="U35" i="85"/>
  <c r="U35" i="77" s="1"/>
  <c r="AP34" i="85"/>
  <c r="AC34" i="85"/>
  <c r="AC34" i="77" s="1"/>
  <c r="W34" i="85"/>
  <c r="W34" i="77" s="1"/>
  <c r="V34" i="85"/>
  <c r="V34" i="77" s="1"/>
  <c r="U34" i="85"/>
  <c r="U34" i="77" s="1"/>
  <c r="AP33" i="85"/>
  <c r="AC33" i="85"/>
  <c r="AC33" i="77" s="1"/>
  <c r="W33" i="85"/>
  <c r="W33" i="77" s="1"/>
  <c r="V33" i="85"/>
  <c r="V33" i="77" s="1"/>
  <c r="U33" i="85"/>
  <c r="U33" i="77" s="1"/>
  <c r="AP32" i="85"/>
  <c r="AC32" i="85"/>
  <c r="AC32" i="77" s="1"/>
  <c r="W32" i="85"/>
  <c r="W32" i="77" s="1"/>
  <c r="V32" i="85"/>
  <c r="V32" i="77" s="1"/>
  <c r="U32" i="85"/>
  <c r="U32" i="77" s="1"/>
  <c r="AP31" i="85"/>
  <c r="AC31" i="85"/>
  <c r="AC31" i="77" s="1"/>
  <c r="W31" i="85"/>
  <c r="W31" i="77" s="1"/>
  <c r="V31" i="85"/>
  <c r="V31" i="77" s="1"/>
  <c r="U31" i="85"/>
  <c r="U31" i="77" s="1"/>
  <c r="AP30" i="85"/>
  <c r="AC30" i="85"/>
  <c r="AC30" i="77" s="1"/>
  <c r="W30" i="85"/>
  <c r="W30" i="77" s="1"/>
  <c r="V30" i="85"/>
  <c r="V30" i="77" s="1"/>
  <c r="U30" i="85"/>
  <c r="U30" i="77" s="1"/>
  <c r="AP29" i="85"/>
  <c r="AC29" i="85"/>
  <c r="AC29" i="77" s="1"/>
  <c r="W29" i="85"/>
  <c r="W29" i="77" s="1"/>
  <c r="V29" i="85"/>
  <c r="V29" i="77" s="1"/>
  <c r="U29" i="85"/>
  <c r="U29" i="77" s="1"/>
  <c r="AP28" i="85"/>
  <c r="AC28" i="85"/>
  <c r="AC28" i="77" s="1"/>
  <c r="W28" i="85"/>
  <c r="W28" i="77" s="1"/>
  <c r="V28" i="85"/>
  <c r="V28" i="77" s="1"/>
  <c r="U28" i="85"/>
  <c r="U28" i="77" s="1"/>
  <c r="AP27" i="85"/>
  <c r="AC27" i="85"/>
  <c r="AC27" i="77" s="1"/>
  <c r="W27" i="85"/>
  <c r="W27" i="77" s="1"/>
  <c r="V27" i="85"/>
  <c r="V27" i="77" s="1"/>
  <c r="U27" i="85"/>
  <c r="U27" i="77" s="1"/>
  <c r="AP25" i="85"/>
  <c r="AC25" i="85"/>
  <c r="AC25" i="77" s="1"/>
  <c r="W25" i="85"/>
  <c r="W25" i="77" s="1"/>
  <c r="V25" i="85"/>
  <c r="V25" i="77" s="1"/>
  <c r="U25" i="85"/>
  <c r="U25" i="77" s="1"/>
  <c r="AP24" i="85"/>
  <c r="AC24" i="85"/>
  <c r="AC24" i="77" s="1"/>
  <c r="W24" i="85"/>
  <c r="W24" i="77" s="1"/>
  <c r="V24" i="85"/>
  <c r="V24" i="77" s="1"/>
  <c r="U24" i="85"/>
  <c r="U24" i="77" s="1"/>
  <c r="AP23" i="85"/>
  <c r="AC23" i="85"/>
  <c r="AC23" i="77" s="1"/>
  <c r="W23" i="85"/>
  <c r="W23" i="77" s="1"/>
  <c r="V23" i="85"/>
  <c r="V23" i="77" s="1"/>
  <c r="U23" i="85"/>
  <c r="U23" i="77" s="1"/>
  <c r="AP22" i="85"/>
  <c r="AC22" i="85"/>
  <c r="AC22" i="77" s="1"/>
  <c r="W22" i="85"/>
  <c r="W22" i="77" s="1"/>
  <c r="V22" i="85"/>
  <c r="V22" i="77" s="1"/>
  <c r="U22" i="85"/>
  <c r="U22" i="77" s="1"/>
  <c r="AC5" i="85"/>
  <c r="AC5" i="77" s="1"/>
  <c r="Y5" i="85"/>
  <c r="Y5" i="77" s="1"/>
  <c r="X5" i="85"/>
  <c r="X5" i="77" s="1"/>
  <c r="X5" i="78" s="1"/>
  <c r="W5" i="85"/>
  <c r="W5" i="77" s="1"/>
  <c r="V5" i="85"/>
  <c r="V5" i="77" s="1"/>
  <c r="U5" i="85"/>
  <c r="U5" i="77" s="1"/>
  <c r="X47" i="84"/>
  <c r="V47" i="84"/>
  <c r="T47" i="84"/>
  <c r="P47" i="84"/>
  <c r="O47" i="84"/>
  <c r="N47" i="84"/>
  <c r="M47" i="84"/>
  <c r="V46" i="84"/>
  <c r="U46" i="84"/>
  <c r="T46" i="84"/>
  <c r="P46" i="84"/>
  <c r="O46" i="84"/>
  <c r="N46" i="84"/>
  <c r="M46" i="84"/>
  <c r="X45" i="84"/>
  <c r="V45" i="84"/>
  <c r="U45" i="84"/>
  <c r="T45" i="84"/>
  <c r="P45" i="84"/>
  <c r="O45" i="84"/>
  <c r="N45" i="84"/>
  <c r="M45" i="84"/>
  <c r="X47" i="83"/>
  <c r="V47" i="83"/>
  <c r="T47" i="83"/>
  <c r="P47" i="83"/>
  <c r="O47" i="83"/>
  <c r="N47" i="83"/>
  <c r="M47" i="83"/>
  <c r="V46" i="83"/>
  <c r="U46" i="83"/>
  <c r="T46" i="83"/>
  <c r="P46" i="83"/>
  <c r="O46" i="83"/>
  <c r="N46" i="83"/>
  <c r="M46" i="83"/>
  <c r="X45" i="83"/>
  <c r="V45" i="83"/>
  <c r="V49" i="83" s="1"/>
  <c r="U45" i="83"/>
  <c r="T45" i="83"/>
  <c r="P45" i="83"/>
  <c r="O45" i="83"/>
  <c r="O49" i="83" s="1"/>
  <c r="N45" i="83"/>
  <c r="N49" i="83" s="1"/>
  <c r="M45" i="83"/>
  <c r="Y42" i="82"/>
  <c r="Y41" i="82"/>
  <c r="Y40" i="82"/>
  <c r="Y39" i="82"/>
  <c r="Y38" i="82"/>
  <c r="Y37" i="82"/>
  <c r="Y36" i="82"/>
  <c r="Y35" i="82"/>
  <c r="Y34" i="82"/>
  <c r="Y33" i="82"/>
  <c r="Y32" i="82"/>
  <c r="Y31" i="82"/>
  <c r="Y30" i="82"/>
  <c r="Y29" i="82"/>
  <c r="Y28" i="82"/>
  <c r="Y27" i="82"/>
  <c r="Y26" i="82"/>
  <c r="Y25" i="82"/>
  <c r="Y24" i="82"/>
  <c r="Y23" i="82"/>
  <c r="Y22" i="82"/>
  <c r="Y21" i="82"/>
  <c r="Y20" i="82"/>
  <c r="Y19" i="82"/>
  <c r="Y18" i="82"/>
  <c r="Y17" i="82"/>
  <c r="Y16" i="82"/>
  <c r="Y15" i="82"/>
  <c r="Y14" i="82"/>
  <c r="Y13" i="82"/>
  <c r="Y12" i="82"/>
  <c r="Y11" i="82"/>
  <c r="Y10" i="82"/>
  <c r="Y9" i="82"/>
  <c r="Y8" i="82"/>
  <c r="Y7" i="82"/>
  <c r="Y6" i="82"/>
  <c r="Y5" i="82"/>
  <c r="X47" i="82"/>
  <c r="V47" i="82"/>
  <c r="T47" i="82"/>
  <c r="P47" i="82"/>
  <c r="O47" i="82"/>
  <c r="N47" i="82"/>
  <c r="M47" i="82"/>
  <c r="V46" i="82"/>
  <c r="U46" i="82"/>
  <c r="T46" i="82"/>
  <c r="P46" i="82"/>
  <c r="O46" i="82"/>
  <c r="N46" i="82"/>
  <c r="M46" i="82"/>
  <c r="X45" i="82"/>
  <c r="V45" i="82"/>
  <c r="V49" i="82" s="1"/>
  <c r="U45" i="82"/>
  <c r="U49" i="82" s="1"/>
  <c r="T45" i="82"/>
  <c r="T49" i="82" s="1"/>
  <c r="P45" i="82"/>
  <c r="P49" i="82" s="1"/>
  <c r="O45" i="82"/>
  <c r="O49" i="82" s="1"/>
  <c r="N45" i="82"/>
  <c r="N49" i="82" s="1"/>
  <c r="M45" i="82"/>
  <c r="M49" i="82" s="1"/>
  <c r="X47" i="81"/>
  <c r="X45" i="81"/>
  <c r="V47" i="81"/>
  <c r="V46" i="81"/>
  <c r="V45" i="81"/>
  <c r="U46" i="81"/>
  <c r="U45" i="81"/>
  <c r="T47" i="81"/>
  <c r="T46" i="81"/>
  <c r="T45" i="81"/>
  <c r="R48" i="81"/>
  <c r="P47" i="81"/>
  <c r="P46" i="81"/>
  <c r="P45" i="81"/>
  <c r="O47" i="81"/>
  <c r="O46" i="81"/>
  <c r="O45" i="81"/>
  <c r="N47" i="81"/>
  <c r="N46" i="81"/>
  <c r="N45" i="81"/>
  <c r="M47" i="81"/>
  <c r="M46" i="81"/>
  <c r="M45" i="81"/>
  <c r="Z42" i="81"/>
  <c r="Z41" i="81"/>
  <c r="Z40" i="81"/>
  <c r="Z39" i="81"/>
  <c r="Z38" i="81"/>
  <c r="Z37" i="81"/>
  <c r="Z36" i="81"/>
  <c r="Z35" i="81"/>
  <c r="Z34" i="81"/>
  <c r="Z33" i="81"/>
  <c r="Z32" i="81"/>
  <c r="Z31" i="81"/>
  <c r="Z30" i="81"/>
  <c r="Z29" i="81"/>
  <c r="Z28" i="81"/>
  <c r="Z27" i="81"/>
  <c r="Z26" i="81"/>
  <c r="Z25" i="81"/>
  <c r="Z24" i="81"/>
  <c r="Z23" i="81"/>
  <c r="Z22" i="81"/>
  <c r="Z21" i="81"/>
  <c r="Z20" i="81"/>
  <c r="Z19" i="81"/>
  <c r="Z18" i="81"/>
  <c r="Z17" i="81"/>
  <c r="Z15" i="81"/>
  <c r="Z14" i="81"/>
  <c r="Z13" i="81"/>
  <c r="Z12" i="81"/>
  <c r="V42" i="81"/>
  <c r="V41" i="81"/>
  <c r="V40" i="81"/>
  <c r="V39" i="81"/>
  <c r="V38" i="81"/>
  <c r="V37" i="81"/>
  <c r="V36" i="81"/>
  <c r="V35" i="81"/>
  <c r="V34" i="81"/>
  <c r="V33" i="81"/>
  <c r="V32" i="81"/>
  <c r="V31" i="81"/>
  <c r="V30" i="81"/>
  <c r="V29" i="81"/>
  <c r="V28" i="81"/>
  <c r="V27" i="81"/>
  <c r="V26" i="81"/>
  <c r="V25" i="81"/>
  <c r="V24" i="81"/>
  <c r="V23" i="81"/>
  <c r="V22" i="81"/>
  <c r="V21" i="81"/>
  <c r="V20" i="81"/>
  <c r="V19" i="81"/>
  <c r="V18" i="81"/>
  <c r="V17" i="81"/>
  <c r="V15" i="81"/>
  <c r="V14" i="81"/>
  <c r="V13" i="81"/>
  <c r="V12" i="81"/>
  <c r="U42" i="81"/>
  <c r="U41" i="81"/>
  <c r="U40" i="81"/>
  <c r="U39" i="81"/>
  <c r="U38" i="81"/>
  <c r="U37" i="81"/>
  <c r="U36" i="81"/>
  <c r="U35" i="81"/>
  <c r="U34" i="81"/>
  <c r="U33" i="81"/>
  <c r="U32" i="81"/>
  <c r="U31" i="81"/>
  <c r="U30" i="81"/>
  <c r="U29" i="81"/>
  <c r="U28" i="81"/>
  <c r="U27" i="81"/>
  <c r="U26" i="81"/>
  <c r="U25" i="81"/>
  <c r="U24" i="81"/>
  <c r="U23" i="81"/>
  <c r="U22" i="81"/>
  <c r="U21" i="81"/>
  <c r="U20" i="81"/>
  <c r="U19" i="81"/>
  <c r="U18" i="81"/>
  <c r="U17" i="81"/>
  <c r="U15" i="81"/>
  <c r="U14" i="81"/>
  <c r="U13" i="81"/>
  <c r="U12" i="81"/>
  <c r="T42" i="81"/>
  <c r="T41" i="81"/>
  <c r="T40" i="81"/>
  <c r="T39" i="81"/>
  <c r="T38" i="81"/>
  <c r="T37" i="81"/>
  <c r="T36" i="81"/>
  <c r="T35" i="81"/>
  <c r="T34" i="81"/>
  <c r="T33" i="81"/>
  <c r="T32" i="81"/>
  <c r="T31" i="81"/>
  <c r="T30" i="81"/>
  <c r="T29" i="81"/>
  <c r="T28" i="81"/>
  <c r="T27" i="81"/>
  <c r="T26" i="81"/>
  <c r="T25" i="81"/>
  <c r="T24" i="81"/>
  <c r="T23" i="81"/>
  <c r="T22" i="81"/>
  <c r="T21" i="81"/>
  <c r="T20" i="81"/>
  <c r="T19" i="81"/>
  <c r="T18" i="81"/>
  <c r="T17" i="81"/>
  <c r="T15" i="81"/>
  <c r="T14" i="81"/>
  <c r="T13" i="81"/>
  <c r="T12" i="81"/>
  <c r="R42" i="81"/>
  <c r="R41" i="81"/>
  <c r="R40" i="81"/>
  <c r="R39" i="81"/>
  <c r="R38" i="81"/>
  <c r="R37" i="81"/>
  <c r="R36" i="81"/>
  <c r="R35" i="81"/>
  <c r="R34" i="81"/>
  <c r="R33" i="81"/>
  <c r="R32" i="81"/>
  <c r="R31" i="81"/>
  <c r="R30" i="81"/>
  <c r="R29" i="81"/>
  <c r="R28" i="81"/>
  <c r="R27" i="81"/>
  <c r="R26" i="81"/>
  <c r="R25" i="81"/>
  <c r="R24" i="81"/>
  <c r="R23" i="81"/>
  <c r="R22" i="81"/>
  <c r="R21" i="81"/>
  <c r="R20" i="81"/>
  <c r="R19" i="81"/>
  <c r="R18" i="81"/>
  <c r="R17" i="81"/>
  <c r="R15" i="81"/>
  <c r="R14" i="81"/>
  <c r="R13" i="81"/>
  <c r="R12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5" i="81"/>
  <c r="P14" i="81"/>
  <c r="P13" i="81"/>
  <c r="P12" i="81"/>
  <c r="O42" i="81"/>
  <c r="O41" i="81"/>
  <c r="O40" i="81"/>
  <c r="O39" i="81"/>
  <c r="O38" i="81"/>
  <c r="O37" i="81"/>
  <c r="O36" i="81"/>
  <c r="O35" i="81"/>
  <c r="O34" i="81"/>
  <c r="O33" i="81"/>
  <c r="O32" i="81"/>
  <c r="O31" i="81"/>
  <c r="O30" i="81"/>
  <c r="O29" i="81"/>
  <c r="O28" i="81"/>
  <c r="O27" i="81"/>
  <c r="O26" i="81"/>
  <c r="O25" i="81"/>
  <c r="O24" i="81"/>
  <c r="O23" i="81"/>
  <c r="O22" i="81"/>
  <c r="O21" i="81"/>
  <c r="O20" i="81"/>
  <c r="O19" i="81"/>
  <c r="O18" i="81"/>
  <c r="O17" i="81"/>
  <c r="O15" i="81"/>
  <c r="O14" i="81"/>
  <c r="O13" i="81"/>
  <c r="O12" i="81"/>
  <c r="N42" i="81"/>
  <c r="N41" i="81"/>
  <c r="N40" i="81"/>
  <c r="N39" i="81"/>
  <c r="N38" i="81"/>
  <c r="N37" i="81"/>
  <c r="N36" i="81"/>
  <c r="N35" i="81"/>
  <c r="N34" i="81"/>
  <c r="N33" i="81"/>
  <c r="N32" i="81"/>
  <c r="N31" i="81"/>
  <c r="N30" i="81"/>
  <c r="N29" i="81"/>
  <c r="N28" i="81"/>
  <c r="N27" i="81"/>
  <c r="N26" i="81"/>
  <c r="N25" i="81"/>
  <c r="N24" i="81"/>
  <c r="N23" i="81"/>
  <c r="N22" i="81"/>
  <c r="N21" i="81"/>
  <c r="N20" i="81"/>
  <c r="N19" i="81"/>
  <c r="N18" i="81"/>
  <c r="N17" i="81"/>
  <c r="N15" i="81"/>
  <c r="N14" i="81"/>
  <c r="N13" i="81"/>
  <c r="N12" i="81"/>
  <c r="M42" i="81"/>
  <c r="M41" i="81"/>
  <c r="M40" i="81"/>
  <c r="M39" i="81"/>
  <c r="M38" i="81"/>
  <c r="M37" i="81"/>
  <c r="M36" i="81"/>
  <c r="M35" i="81"/>
  <c r="M34" i="81"/>
  <c r="M33" i="81"/>
  <c r="M32" i="81"/>
  <c r="M31" i="81"/>
  <c r="M30" i="81"/>
  <c r="M29" i="81"/>
  <c r="M28" i="81"/>
  <c r="M27" i="81"/>
  <c r="M26" i="81"/>
  <c r="M25" i="81"/>
  <c r="M24" i="81"/>
  <c r="M23" i="81"/>
  <c r="M22" i="81"/>
  <c r="M21" i="81"/>
  <c r="M20" i="81"/>
  <c r="M19" i="81"/>
  <c r="M18" i="81"/>
  <c r="M17" i="81"/>
  <c r="M15" i="81"/>
  <c r="M14" i="81"/>
  <c r="M13" i="81"/>
  <c r="M12" i="81"/>
  <c r="L42" i="81"/>
  <c r="L41" i="81"/>
  <c r="L40" i="81"/>
  <c r="L39" i="81"/>
  <c r="L38" i="81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5" i="81"/>
  <c r="L14" i="81"/>
  <c r="L13" i="81"/>
  <c r="L12" i="81"/>
  <c r="AK57" i="80"/>
  <c r="AF57" i="80"/>
  <c r="AP55" i="80" s="1"/>
  <c r="AE57" i="80"/>
  <c r="AO55" i="80" s="1"/>
  <c r="AC57" i="80"/>
  <c r="Y57" i="80"/>
  <c r="X57" i="80"/>
  <c r="W57" i="80"/>
  <c r="S57" i="80"/>
  <c r="R57" i="80"/>
  <c r="Q57" i="80"/>
  <c r="P57" i="80"/>
  <c r="O57" i="80"/>
  <c r="M57" i="80"/>
  <c r="L57" i="80"/>
  <c r="AK56" i="80"/>
  <c r="AF56" i="80"/>
  <c r="AC56" i="80"/>
  <c r="AA56" i="80"/>
  <c r="Z56" i="80"/>
  <c r="Y56" i="80"/>
  <c r="X56" i="80"/>
  <c r="W56" i="80"/>
  <c r="V56" i="80"/>
  <c r="U56" i="80"/>
  <c r="S56" i="80"/>
  <c r="R56" i="80"/>
  <c r="Q56" i="80"/>
  <c r="P56" i="80"/>
  <c r="O56" i="80"/>
  <c r="M56" i="80"/>
  <c r="L56" i="80"/>
  <c r="AL58" i="79"/>
  <c r="AG58" i="79"/>
  <c r="AD58" i="79"/>
  <c r="AB58" i="79"/>
  <c r="T58" i="79"/>
  <c r="AK57" i="79"/>
  <c r="AF57" i="79"/>
  <c r="AE57" i="79"/>
  <c r="AC57" i="79"/>
  <c r="Y57" i="79"/>
  <c r="X57" i="79"/>
  <c r="W57" i="79"/>
  <c r="S57" i="79"/>
  <c r="R57" i="79"/>
  <c r="Q57" i="79"/>
  <c r="P57" i="79"/>
  <c r="O57" i="79"/>
  <c r="M57" i="79"/>
  <c r="L57" i="79"/>
  <c r="AK56" i="79"/>
  <c r="AF56" i="79"/>
  <c r="AP55" i="79" s="1"/>
  <c r="AC56" i="79"/>
  <c r="AA56" i="79"/>
  <c r="Z56" i="79"/>
  <c r="Y56" i="79"/>
  <c r="X56" i="79"/>
  <c r="W56" i="79"/>
  <c r="V56" i="79"/>
  <c r="U56" i="79"/>
  <c r="S56" i="79"/>
  <c r="R56" i="79"/>
  <c r="Q56" i="79"/>
  <c r="P56" i="79"/>
  <c r="O56" i="79"/>
  <c r="M56" i="79"/>
  <c r="L56" i="79"/>
  <c r="AL58" i="78"/>
  <c r="AG58" i="78"/>
  <c r="AD58" i="78"/>
  <c r="AB58" i="78"/>
  <c r="T58" i="78"/>
  <c r="AG52" i="78"/>
  <c r="AA52" i="78"/>
  <c r="Z52" i="78"/>
  <c r="AG51" i="78"/>
  <c r="AG50" i="78"/>
  <c r="AA50" i="78"/>
  <c r="Z50" i="78"/>
  <c r="AG49" i="78"/>
  <c r="Z49" i="78"/>
  <c r="AG48" i="78"/>
  <c r="AA48" i="78"/>
  <c r="AG47" i="78"/>
  <c r="AG46" i="78"/>
  <c r="AA46" i="78"/>
  <c r="AG45" i="78"/>
  <c r="AG44" i="78"/>
  <c r="AA44" i="78"/>
  <c r="AG43" i="78"/>
  <c r="AG42" i="78"/>
  <c r="AA42" i="78"/>
  <c r="AG41" i="78"/>
  <c r="AG40" i="78"/>
  <c r="AA40" i="78"/>
  <c r="AG39" i="78"/>
  <c r="AG38" i="78"/>
  <c r="AA38" i="78"/>
  <c r="AG37" i="78"/>
  <c r="AG36" i="78"/>
  <c r="AA36" i="78"/>
  <c r="Z36" i="78"/>
  <c r="AG35" i="78"/>
  <c r="AG34" i="78"/>
  <c r="AA34" i="78"/>
  <c r="Z34" i="78"/>
  <c r="AG33" i="78"/>
  <c r="AG32" i="78"/>
  <c r="AA32" i="78"/>
  <c r="AG31" i="78"/>
  <c r="AG30" i="78"/>
  <c r="AA30" i="78"/>
  <c r="AG29" i="78"/>
  <c r="AG28" i="78"/>
  <c r="AA28" i="78"/>
  <c r="AG27" i="78"/>
  <c r="AG26" i="78"/>
  <c r="AG25" i="78"/>
  <c r="AG24" i="78"/>
  <c r="AA24" i="78"/>
  <c r="AG23" i="78"/>
  <c r="AG22" i="78"/>
  <c r="AA22" i="78"/>
  <c r="AG21" i="78"/>
  <c r="Z21" i="78"/>
  <c r="AG20" i="78"/>
  <c r="AG19" i="78"/>
  <c r="Z19" i="78"/>
  <c r="AG18" i="78"/>
  <c r="AG17" i="78"/>
  <c r="Z17" i="78"/>
  <c r="AG16" i="78"/>
  <c r="AA16" i="78"/>
  <c r="AG15" i="78"/>
  <c r="Z15" i="78"/>
  <c r="AG14" i="78"/>
  <c r="AA14" i="78"/>
  <c r="AG13" i="78"/>
  <c r="Z13" i="78"/>
  <c r="AG12" i="78"/>
  <c r="AA12" i="78"/>
  <c r="AG11" i="78"/>
  <c r="Z11" i="78"/>
  <c r="AG10" i="78"/>
  <c r="AG9" i="78"/>
  <c r="Z9" i="78"/>
  <c r="AG8" i="78"/>
  <c r="AA8" i="78"/>
  <c r="AG7" i="78"/>
  <c r="Z7" i="78"/>
  <c r="AG6" i="78"/>
  <c r="AA6" i="78"/>
  <c r="AJ5" i="78"/>
  <c r="AG5" i="78"/>
  <c r="S5" i="78"/>
  <c r="R5" i="78"/>
  <c r="Q5" i="78"/>
  <c r="P5" i="78"/>
  <c r="L5" i="78"/>
  <c r="AK57" i="78"/>
  <c r="AF57" i="78"/>
  <c r="AE57" i="78"/>
  <c r="AC57" i="78"/>
  <c r="Y57" i="78"/>
  <c r="X57" i="78"/>
  <c r="W57" i="78"/>
  <c r="S57" i="78"/>
  <c r="R57" i="78"/>
  <c r="Q57" i="78"/>
  <c r="P57" i="78"/>
  <c r="O57" i="78"/>
  <c r="M57" i="78"/>
  <c r="L57" i="78"/>
  <c r="AK56" i="78"/>
  <c r="AF56" i="78"/>
  <c r="AC56" i="78"/>
  <c r="AA56" i="78"/>
  <c r="Z56" i="78"/>
  <c r="Y56" i="78"/>
  <c r="X56" i="78"/>
  <c r="W56" i="78"/>
  <c r="V56" i="78"/>
  <c r="U56" i="78"/>
  <c r="S56" i="78"/>
  <c r="R56" i="78"/>
  <c r="Q56" i="78"/>
  <c r="P56" i="78"/>
  <c r="O56" i="78"/>
  <c r="M56" i="78"/>
  <c r="L56" i="78"/>
  <c r="AP52" i="78"/>
  <c r="AP51" i="78"/>
  <c r="AP50" i="78"/>
  <c r="AP49" i="78"/>
  <c r="AP48" i="78"/>
  <c r="AP47" i="78"/>
  <c r="AP46" i="78"/>
  <c r="AP45" i="78"/>
  <c r="AP44" i="78"/>
  <c r="AP43" i="78"/>
  <c r="AP42" i="78"/>
  <c r="AP41" i="78"/>
  <c r="AP40" i="78"/>
  <c r="AP39" i="78"/>
  <c r="AP38" i="78"/>
  <c r="AP37" i="78"/>
  <c r="AP36" i="78"/>
  <c r="AP35" i="78"/>
  <c r="AP34" i="78"/>
  <c r="AP33" i="78"/>
  <c r="AP32" i="78"/>
  <c r="AP31" i="78"/>
  <c r="AP30" i="78"/>
  <c r="AP29" i="78"/>
  <c r="AP28" i="78"/>
  <c r="AP27" i="78"/>
  <c r="AP25" i="78"/>
  <c r="AP24" i="78"/>
  <c r="AP23" i="78"/>
  <c r="AP22" i="78"/>
  <c r="AK59" i="77"/>
  <c r="AK58" i="77"/>
  <c r="AK57" i="77"/>
  <c r="AK55" i="93" s="1"/>
  <c r="AK59" i="93" s="1"/>
  <c r="AF59" i="77"/>
  <c r="AF58" i="77"/>
  <c r="AF57" i="77"/>
  <c r="AF55" i="93" s="1"/>
  <c r="AE59" i="77"/>
  <c r="AE57" i="77"/>
  <c r="AE55" i="93" s="1"/>
  <c r="AC59" i="77"/>
  <c r="AC58" i="77"/>
  <c r="AC57" i="77"/>
  <c r="AC55" i="93" s="1"/>
  <c r="AC59" i="93" s="1"/>
  <c r="AA58" i="77"/>
  <c r="Z58" i="77"/>
  <c r="Y59" i="77"/>
  <c r="Y58" i="77"/>
  <c r="X59" i="77"/>
  <c r="X58" i="77"/>
  <c r="X57" i="77"/>
  <c r="X55" i="93" s="1"/>
  <c r="X59" i="93" s="1"/>
  <c r="W59" i="77"/>
  <c r="W58" i="77"/>
  <c r="V58" i="77"/>
  <c r="U58" i="77"/>
  <c r="U57" i="77"/>
  <c r="U55" i="93" s="1"/>
  <c r="S59" i="77"/>
  <c r="S58" i="77"/>
  <c r="S57" i="77"/>
  <c r="S55" i="93" s="1"/>
  <c r="R59" i="77"/>
  <c r="R58" i="77"/>
  <c r="R57" i="77"/>
  <c r="R55" i="93" s="1"/>
  <c r="R59" i="93" s="1"/>
  <c r="Q59" i="77"/>
  <c r="Q58" i="77"/>
  <c r="Q57" i="77"/>
  <c r="Q55" i="93" s="1"/>
  <c r="Q59" i="93" s="1"/>
  <c r="P59" i="77"/>
  <c r="P58" i="77"/>
  <c r="P57" i="77"/>
  <c r="P55" i="93" s="1"/>
  <c r="P59" i="93" s="1"/>
  <c r="O59" i="77"/>
  <c r="O58" i="77"/>
  <c r="O57" i="77"/>
  <c r="O55" i="93" s="1"/>
  <c r="O59" i="93" s="1"/>
  <c r="M59" i="77"/>
  <c r="M58" i="77"/>
  <c r="M57" i="77"/>
  <c r="M55" i="93" s="1"/>
  <c r="M59" i="93" s="1"/>
  <c r="L59" i="77"/>
  <c r="L58" i="77"/>
  <c r="L57" i="77"/>
  <c r="L55" i="93" s="1"/>
  <c r="L59" i="93" s="1"/>
  <c r="AK17" i="77"/>
  <c r="AK16" i="77"/>
  <c r="AK11" i="77"/>
  <c r="AK10" i="77"/>
  <c r="AK7" i="77"/>
  <c r="AK6" i="77"/>
  <c r="AK5" i="77"/>
  <c r="AI52" i="77"/>
  <c r="AI51" i="77"/>
  <c r="AI50" i="77"/>
  <c r="AI49" i="77"/>
  <c r="AI48" i="77"/>
  <c r="AI47" i="77"/>
  <c r="AI46" i="77"/>
  <c r="AI45" i="77"/>
  <c r="AI44" i="77"/>
  <c r="AI43" i="77"/>
  <c r="AI42" i="77"/>
  <c r="AI41" i="77"/>
  <c r="AI40" i="77"/>
  <c r="AI39" i="77"/>
  <c r="AI38" i="77"/>
  <c r="AI37" i="77"/>
  <c r="AI36" i="77"/>
  <c r="AI35" i="77"/>
  <c r="AI34" i="77"/>
  <c r="AI33" i="77"/>
  <c r="AI32" i="77"/>
  <c r="AI31" i="77"/>
  <c r="AI30" i="77"/>
  <c r="AI29" i="77"/>
  <c r="AI28" i="77"/>
  <c r="AI27" i="77"/>
  <c r="AI25" i="77"/>
  <c r="AI24" i="77"/>
  <c r="AI23" i="77"/>
  <c r="AI22" i="77"/>
  <c r="AI5" i="77"/>
  <c r="AH52" i="77"/>
  <c r="AH51" i="77"/>
  <c r="AH50" i="77"/>
  <c r="AH49" i="77"/>
  <c r="AH48" i="77"/>
  <c r="AH47" i="77"/>
  <c r="AH46" i="77"/>
  <c r="AH45" i="77"/>
  <c r="AH44" i="77"/>
  <c r="AH43" i="77"/>
  <c r="AH42" i="77"/>
  <c r="AH41" i="77"/>
  <c r="AH40" i="77"/>
  <c r="AH39" i="77"/>
  <c r="AH38" i="77"/>
  <c r="AH37" i="77"/>
  <c r="AH36" i="77"/>
  <c r="AH35" i="77"/>
  <c r="AH34" i="77"/>
  <c r="AH33" i="77"/>
  <c r="AH32" i="77"/>
  <c r="AH31" i="77"/>
  <c r="AH30" i="77"/>
  <c r="AH29" i="77"/>
  <c r="AH28" i="77"/>
  <c r="AH27" i="77"/>
  <c r="AH25" i="77"/>
  <c r="AH24" i="77"/>
  <c r="AH23" i="77"/>
  <c r="AH22" i="77"/>
  <c r="AH5" i="77"/>
  <c r="S52" i="77"/>
  <c r="S51" i="77"/>
  <c r="S50" i="77"/>
  <c r="S49" i="77"/>
  <c r="S48" i="77"/>
  <c r="S47" i="77"/>
  <c r="S46" i="77"/>
  <c r="S45" i="77"/>
  <c r="S44" i="77"/>
  <c r="S43" i="77"/>
  <c r="S42" i="77"/>
  <c r="S41" i="77"/>
  <c r="S40" i="77"/>
  <c r="S39" i="77"/>
  <c r="S38" i="77"/>
  <c r="S37" i="77"/>
  <c r="S36" i="77"/>
  <c r="S35" i="77"/>
  <c r="S34" i="77"/>
  <c r="S33" i="77"/>
  <c r="S32" i="77"/>
  <c r="S31" i="77"/>
  <c r="S30" i="77"/>
  <c r="S29" i="77"/>
  <c r="S28" i="77"/>
  <c r="S27" i="77"/>
  <c r="S25" i="77"/>
  <c r="S24" i="77"/>
  <c r="S23" i="77"/>
  <c r="S22" i="77"/>
  <c r="R52" i="77"/>
  <c r="R51" i="77"/>
  <c r="R50" i="77"/>
  <c r="R49" i="77"/>
  <c r="R48" i="77"/>
  <c r="R47" i="77"/>
  <c r="R46" i="77"/>
  <c r="R45" i="77"/>
  <c r="R44" i="77"/>
  <c r="R43" i="77"/>
  <c r="R42" i="77"/>
  <c r="R41" i="77"/>
  <c r="R40" i="77"/>
  <c r="R39" i="77"/>
  <c r="R38" i="77"/>
  <c r="R37" i="77"/>
  <c r="R36" i="77"/>
  <c r="R35" i="77"/>
  <c r="R34" i="77"/>
  <c r="R33" i="77"/>
  <c r="R32" i="77"/>
  <c r="R31" i="77"/>
  <c r="Q52" i="77"/>
  <c r="Q51" i="77"/>
  <c r="Q50" i="77"/>
  <c r="Q49" i="77"/>
  <c r="Q48" i="77"/>
  <c r="Q47" i="77"/>
  <c r="Q46" i="77"/>
  <c r="Q45" i="77"/>
  <c r="Q44" i="77"/>
  <c r="Q43" i="77"/>
  <c r="Q42" i="77"/>
  <c r="Q41" i="77"/>
  <c r="Q40" i="77"/>
  <c r="Q39" i="77"/>
  <c r="Q38" i="77"/>
  <c r="Q37" i="77"/>
  <c r="Q36" i="77"/>
  <c r="Q35" i="77"/>
  <c r="Q34" i="77"/>
  <c r="Q33" i="77"/>
  <c r="Q32" i="77"/>
  <c r="Q31" i="77"/>
  <c r="Q26" i="77"/>
  <c r="Q21" i="77"/>
  <c r="Q20" i="77"/>
  <c r="Q19" i="77"/>
  <c r="Q18" i="77"/>
  <c r="Q13" i="77"/>
  <c r="Q12" i="77"/>
  <c r="Q8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O52" i="77"/>
  <c r="O51" i="77"/>
  <c r="O50" i="77"/>
  <c r="O49" i="77"/>
  <c r="O48" i="77"/>
  <c r="O47" i="77"/>
  <c r="O46" i="77"/>
  <c r="O45" i="77"/>
  <c r="O44" i="77"/>
  <c r="O43" i="77"/>
  <c r="O42" i="77"/>
  <c r="O41" i="77"/>
  <c r="O40" i="77"/>
  <c r="O39" i="77"/>
  <c r="O38" i="77"/>
  <c r="O37" i="77"/>
  <c r="O36" i="77"/>
  <c r="O35" i="77"/>
  <c r="O34" i="77"/>
  <c r="O33" i="77"/>
  <c r="O32" i="77"/>
  <c r="O31" i="77"/>
  <c r="O30" i="77"/>
  <c r="O29" i="77"/>
  <c r="O28" i="77"/>
  <c r="O27" i="77"/>
  <c r="O25" i="77"/>
  <c r="O24" i="77"/>
  <c r="O23" i="77"/>
  <c r="O22" i="77"/>
  <c r="O5" i="77"/>
  <c r="N17" i="77"/>
  <c r="N16" i="77"/>
  <c r="N10" i="77"/>
  <c r="N5" i="77"/>
  <c r="AP52" i="77"/>
  <c r="AP51" i="77"/>
  <c r="AP50" i="77"/>
  <c r="AP49" i="77"/>
  <c r="AP48" i="77"/>
  <c r="AP47" i="77"/>
  <c r="AP46" i="77"/>
  <c r="AP45" i="77"/>
  <c r="AP44" i="77"/>
  <c r="AP43" i="77"/>
  <c r="AP42" i="77"/>
  <c r="AP41" i="77"/>
  <c r="AP40" i="77"/>
  <c r="AP39" i="77"/>
  <c r="AP38" i="77"/>
  <c r="AP37" i="77"/>
  <c r="AP36" i="77"/>
  <c r="AP35" i="77"/>
  <c r="AP34" i="77"/>
  <c r="AP33" i="77"/>
  <c r="AP32" i="77"/>
  <c r="AP31" i="77"/>
  <c r="AP30" i="77"/>
  <c r="AP29" i="77"/>
  <c r="AP28" i="77"/>
  <c r="AP27" i="77"/>
  <c r="AP25" i="77"/>
  <c r="AP24" i="77"/>
  <c r="AP23" i="77"/>
  <c r="AP22" i="77"/>
  <c r="M5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35" i="77"/>
  <c r="L34" i="77"/>
  <c r="L33" i="77"/>
  <c r="L32" i="77"/>
  <c r="L31" i="77"/>
  <c r="L26" i="77"/>
  <c r="L21" i="77"/>
  <c r="L20" i="77"/>
  <c r="L19" i="77"/>
  <c r="L18" i="77"/>
  <c r="L13" i="77"/>
  <c r="L12" i="77"/>
  <c r="L8" i="77"/>
  <c r="P11" i="5"/>
  <c r="R11" i="5" s="1"/>
  <c r="P10" i="5"/>
  <c r="R10" i="5" s="1"/>
  <c r="P9" i="5"/>
  <c r="R9" i="5" s="1"/>
  <c r="F44" i="5"/>
  <c r="Z47" i="94" s="1"/>
  <c r="E44" i="5"/>
  <c r="Z46" i="94" s="1"/>
  <c r="D44" i="5"/>
  <c r="Z45" i="94" s="1"/>
  <c r="F26" i="5"/>
  <c r="AJ57" i="93" s="1"/>
  <c r="E26" i="5"/>
  <c r="AJ56" i="93" s="1"/>
  <c r="D26" i="5"/>
  <c r="AJ57" i="77" s="1"/>
  <c r="AJ55" i="93" s="1"/>
  <c r="F25" i="5"/>
  <c r="AI57" i="93" s="1"/>
  <c r="E25" i="5"/>
  <c r="D25" i="5"/>
  <c r="AI57" i="77" s="1"/>
  <c r="AI55" i="93" s="1"/>
  <c r="F24" i="5"/>
  <c r="AH57" i="93" s="1"/>
  <c r="E24" i="5"/>
  <c r="AH56" i="93" s="1"/>
  <c r="D24" i="5"/>
  <c r="AH57" i="77" s="1"/>
  <c r="AH55" i="93" s="1"/>
  <c r="D13" i="5"/>
  <c r="W57" i="77" s="1"/>
  <c r="W55" i="93" s="1"/>
  <c r="W59" i="93" s="1"/>
  <c r="F39" i="5"/>
  <c r="U47" i="94" s="1"/>
  <c r="U49" i="94" s="1"/>
  <c r="F17" i="5"/>
  <c r="AA57" i="93" s="1"/>
  <c r="F16" i="5"/>
  <c r="Z57" i="93" s="1"/>
  <c r="F12" i="5"/>
  <c r="F11" i="5"/>
  <c r="U57" i="93" s="1"/>
  <c r="M15" i="5"/>
  <c r="M7" i="5"/>
  <c r="D36" i="5" s="1"/>
  <c r="R45" i="94" s="1"/>
  <c r="F45" i="5"/>
  <c r="AA47" i="94" s="1"/>
  <c r="E45" i="5"/>
  <c r="AA46" i="94" s="1"/>
  <c r="F43" i="5"/>
  <c r="Y47" i="94" s="1"/>
  <c r="D43" i="5"/>
  <c r="Y45" i="94" s="1"/>
  <c r="E41" i="5"/>
  <c r="W46" i="94" s="1"/>
  <c r="D41" i="5"/>
  <c r="W45" i="94" s="1"/>
  <c r="F23" i="5"/>
  <c r="AG57" i="93" s="1"/>
  <c r="D23" i="5"/>
  <c r="AG57" i="77" s="1"/>
  <c r="AG55" i="93" s="1"/>
  <c r="F20" i="5"/>
  <c r="AD57" i="93" s="1"/>
  <c r="E20" i="5"/>
  <c r="AD56" i="93" s="1"/>
  <c r="D20" i="5"/>
  <c r="AD57" i="77" s="1"/>
  <c r="AD55" i="93" s="1"/>
  <c r="E18" i="5"/>
  <c r="AB56" i="93" s="1"/>
  <c r="AJ59" i="93" l="1"/>
  <c r="AI59" i="93"/>
  <c r="AO5" i="87"/>
  <c r="AB5" i="91"/>
  <c r="AC174" i="88"/>
  <c r="AC176" i="88"/>
  <c r="AC180" i="88"/>
  <c r="AC186" i="88"/>
  <c r="AC190" i="88"/>
  <c r="AC230" i="88"/>
  <c r="AC234" i="88"/>
  <c r="AC240" i="88"/>
  <c r="V5" i="91"/>
  <c r="AC73" i="88"/>
  <c r="AK30" i="94"/>
  <c r="AK26" i="94"/>
  <c r="AY41" i="93"/>
  <c r="AY37" i="93"/>
  <c r="AK27" i="94"/>
  <c r="AY33" i="93"/>
  <c r="AC447" i="88"/>
  <c r="AC457" i="88"/>
  <c r="X3" i="91"/>
  <c r="AF3" i="91" s="1"/>
  <c r="Y4" i="91"/>
  <c r="AG4" i="91" s="1"/>
  <c r="AJ4" i="91"/>
  <c r="AI6" i="91"/>
  <c r="AF8" i="91"/>
  <c r="AJ6" i="95"/>
  <c r="X6" i="91"/>
  <c r="AF6" i="91" s="1"/>
  <c r="Y6" i="91"/>
  <c r="AG6" i="91" s="1"/>
  <c r="Y8" i="91"/>
  <c r="AG8" i="91" s="1"/>
  <c r="AJ8" i="91"/>
  <c r="AR40" i="93"/>
  <c r="AV40" i="93" s="1"/>
  <c r="AR32" i="93"/>
  <c r="AR33" i="93" s="1"/>
  <c r="AV33" i="93" s="1"/>
  <c r="F18" i="5"/>
  <c r="AB57" i="93" s="1"/>
  <c r="V57" i="93"/>
  <c r="AO4" i="87"/>
  <c r="U59" i="93"/>
  <c r="M49" i="83"/>
  <c r="AJ2" i="87"/>
  <c r="AT2" i="87"/>
  <c r="AT3" i="87"/>
  <c r="AA11" i="91"/>
  <c r="AH59" i="93"/>
  <c r="E28" i="5"/>
  <c r="AL56" i="93" s="1"/>
  <c r="AI56" i="93"/>
  <c r="Z49" i="94"/>
  <c r="AK5" i="78"/>
  <c r="AJ4" i="87"/>
  <c r="AT4" i="87"/>
  <c r="AC5" i="91"/>
  <c r="AP2" i="87"/>
  <c r="AM58" i="78"/>
  <c r="AO2" i="87"/>
  <c r="AT5" i="87"/>
  <c r="AJ5" i="87"/>
  <c r="AO7" i="87"/>
  <c r="AJ3" i="87"/>
  <c r="AC5" i="88"/>
  <c r="AC9" i="88"/>
  <c r="AC13" i="88"/>
  <c r="AC29" i="88"/>
  <c r="AC33" i="88"/>
  <c r="AC37" i="88"/>
  <c r="AC77" i="88"/>
  <c r="AC81" i="88"/>
  <c r="AC85" i="88"/>
  <c r="AC89" i="88"/>
  <c r="AC93" i="88"/>
  <c r="AC97" i="88"/>
  <c r="AC101" i="88"/>
  <c r="AC105" i="88"/>
  <c r="AC109" i="88"/>
  <c r="AC113" i="88"/>
  <c r="AC117" i="88"/>
  <c r="AC121" i="88"/>
  <c r="AC125" i="88"/>
  <c r="AC129" i="88"/>
  <c r="AC133" i="88"/>
  <c r="AC137" i="88"/>
  <c r="AC141" i="88"/>
  <c r="AC145" i="88"/>
  <c r="AC257" i="88"/>
  <c r="AC261" i="88"/>
  <c r="AC265" i="88"/>
  <c r="AC269" i="88"/>
  <c r="AC273" i="88"/>
  <c r="AC277" i="88"/>
  <c r="AC281" i="88"/>
  <c r="AC285" i="88"/>
  <c r="AC289" i="88"/>
  <c r="AC293" i="88"/>
  <c r="AC297" i="88"/>
  <c r="AC301" i="88"/>
  <c r="AO3" i="87"/>
  <c r="AA12" i="91"/>
  <c r="AJ4" i="95"/>
  <c r="AJ9" i="95" s="1"/>
  <c r="AJ5" i="95"/>
  <c r="AT5" i="95"/>
  <c r="AO5" i="95"/>
  <c r="AT6" i="87"/>
  <c r="AT7" i="87"/>
  <c r="AJ7" i="87"/>
  <c r="E17" i="92"/>
  <c r="AC72" i="88"/>
  <c r="Y3" i="91"/>
  <c r="AG3" i="91" s="1"/>
  <c r="E18" i="92"/>
  <c r="AR44" i="93"/>
  <c r="AO6" i="87"/>
  <c r="AC2" i="88"/>
  <c r="AC6" i="88"/>
  <c r="AC10" i="88"/>
  <c r="AC14" i="88"/>
  <c r="AC18" i="88"/>
  <c r="AC22" i="88"/>
  <c r="AC26" i="88"/>
  <c r="AC30" i="88"/>
  <c r="AC34" i="88"/>
  <c r="AC38" i="88"/>
  <c r="AC42" i="88"/>
  <c r="AC46" i="88"/>
  <c r="AC74" i="88"/>
  <c r="AC78" i="88"/>
  <c r="AC82" i="88"/>
  <c r="AC86" i="88"/>
  <c r="AC90" i="88"/>
  <c r="AC94" i="88"/>
  <c r="AC98" i="88"/>
  <c r="AC102" i="88"/>
  <c r="AC106" i="88"/>
  <c r="AC110" i="88"/>
  <c r="AC114" i="88"/>
  <c r="AC118" i="88"/>
  <c r="AC122" i="88"/>
  <c r="AC126" i="88"/>
  <c r="AC130" i="88"/>
  <c r="AC134" i="88"/>
  <c r="AC138" i="88"/>
  <c r="AC142" i="88"/>
  <c r="AC170" i="88"/>
  <c r="AC172" i="88"/>
  <c r="AC178" i="88"/>
  <c r="AC182" i="88"/>
  <c r="AC184" i="88"/>
  <c r="AC188" i="88"/>
  <c r="AC228" i="88"/>
  <c r="AC232" i="88"/>
  <c r="AC236" i="88"/>
  <c r="AC238" i="88"/>
  <c r="AC53" i="88"/>
  <c r="AC57" i="88"/>
  <c r="AC62" i="88"/>
  <c r="AC66" i="88"/>
  <c r="R11" i="91"/>
  <c r="M771" i="91"/>
  <c r="U11" i="91" s="1"/>
  <c r="AI11" i="91" s="1"/>
  <c r="AC3" i="88"/>
  <c r="AI3" i="88" s="1"/>
  <c r="AC7" i="88"/>
  <c r="AC11" i="88"/>
  <c r="AC15" i="88"/>
  <c r="AC19" i="88"/>
  <c r="AC23" i="88"/>
  <c r="AC27" i="88"/>
  <c r="AC31" i="88"/>
  <c r="AC35" i="88"/>
  <c r="AC39" i="88"/>
  <c r="AC43" i="88"/>
  <c r="AC47" i="88"/>
  <c r="AC75" i="88"/>
  <c r="AC79" i="88"/>
  <c r="AC83" i="88"/>
  <c r="AC87" i="88"/>
  <c r="AC91" i="88"/>
  <c r="AC95" i="88"/>
  <c r="AC99" i="88"/>
  <c r="AC103" i="88"/>
  <c r="AC107" i="88"/>
  <c r="AC111" i="88"/>
  <c r="AC115" i="88"/>
  <c r="AC119" i="88"/>
  <c r="AC123" i="88"/>
  <c r="AC127" i="88"/>
  <c r="AC131" i="88"/>
  <c r="AC255" i="88"/>
  <c r="AC259" i="88"/>
  <c r="AC263" i="88"/>
  <c r="AC267" i="88"/>
  <c r="AC271" i="88"/>
  <c r="AC275" i="88"/>
  <c r="AC279" i="88"/>
  <c r="AC283" i="88"/>
  <c r="AC287" i="88"/>
  <c r="AC291" i="88"/>
  <c r="AC295" i="88"/>
  <c r="AC299" i="88"/>
  <c r="AC51" i="88"/>
  <c r="AC55" i="88"/>
  <c r="AC60" i="88"/>
  <c r="AC64" i="88"/>
  <c r="AC69" i="88"/>
  <c r="AC146" i="88"/>
  <c r="AC147" i="88"/>
  <c r="AC148" i="88"/>
  <c r="AC149" i="88"/>
  <c r="AC150" i="88"/>
  <c r="AC151" i="88"/>
  <c r="AC152" i="88"/>
  <c r="AC153" i="88"/>
  <c r="AC154" i="88"/>
  <c r="AC155" i="88"/>
  <c r="AC156" i="88"/>
  <c r="AC157" i="88"/>
  <c r="AC158" i="88"/>
  <c r="AC159" i="88"/>
  <c r="AC160" i="88"/>
  <c r="AC161" i="88"/>
  <c r="AC162" i="88"/>
  <c r="AC163" i="88"/>
  <c r="AC164" i="88"/>
  <c r="AC165" i="88"/>
  <c r="AC166" i="88"/>
  <c r="AC167" i="88"/>
  <c r="AC168" i="88"/>
  <c r="AC192" i="88"/>
  <c r="AC193" i="88"/>
  <c r="AC194" i="88"/>
  <c r="AC195" i="88"/>
  <c r="AC196" i="88"/>
  <c r="AC197" i="88"/>
  <c r="AC198" i="88"/>
  <c r="AC199" i="88"/>
  <c r="AC200" i="88"/>
  <c r="AC201" i="88"/>
  <c r="AC202" i="88"/>
  <c r="AC203" i="88"/>
  <c r="AC204" i="88"/>
  <c r="AC205" i="88"/>
  <c r="AC206" i="88"/>
  <c r="AC207" i="88"/>
  <c r="AC208" i="88"/>
  <c r="AC209" i="88"/>
  <c r="AC210" i="88"/>
  <c r="AC211" i="88"/>
  <c r="AC212" i="88"/>
  <c r="AC213" i="88"/>
  <c r="AC214" i="88"/>
  <c r="AC215" i="88"/>
  <c r="AC216" i="88"/>
  <c r="AC217" i="88"/>
  <c r="AC218" i="88"/>
  <c r="AC219" i="88"/>
  <c r="AC220" i="88"/>
  <c r="AC221" i="88"/>
  <c r="AC222" i="88"/>
  <c r="AC223" i="88"/>
  <c r="AC224" i="88"/>
  <c r="AC225" i="88"/>
  <c r="AC226" i="88"/>
  <c r="AC227" i="88"/>
  <c r="AC241" i="88"/>
  <c r="AC242" i="88"/>
  <c r="AC243" i="88"/>
  <c r="AC244" i="88"/>
  <c r="AC245" i="88"/>
  <c r="AC246" i="88"/>
  <c r="AC247" i="88"/>
  <c r="AC248" i="88"/>
  <c r="AC249" i="88"/>
  <c r="AC250" i="88"/>
  <c r="AC251" i="88"/>
  <c r="AC252" i="88"/>
  <c r="AC253" i="88"/>
  <c r="S5" i="91"/>
  <c r="Y5" i="91" s="1"/>
  <c r="AG5" i="91" s="1"/>
  <c r="Y13" i="91"/>
  <c r="AG13" i="91" s="1"/>
  <c r="AY35" i="93"/>
  <c r="AK22" i="94"/>
  <c r="AY39" i="93"/>
  <c r="AY32" i="93"/>
  <c r="AK29" i="94"/>
  <c r="AK25" i="94"/>
  <c r="AK21" i="94"/>
  <c r="AY40" i="93"/>
  <c r="AC50" i="88"/>
  <c r="AC54" i="88"/>
  <c r="AC58" i="88"/>
  <c r="AC59" i="88"/>
  <c r="AC63" i="88"/>
  <c r="AC67" i="88"/>
  <c r="AC446" i="88"/>
  <c r="AC448" i="88"/>
  <c r="AC450" i="88"/>
  <c r="AC452" i="88"/>
  <c r="AC454" i="88"/>
  <c r="AC456" i="88"/>
  <c r="T5" i="91"/>
  <c r="R9" i="91"/>
  <c r="R10" i="91"/>
  <c r="R12" i="91"/>
  <c r="AI3" i="91"/>
  <c r="AF4" i="91"/>
  <c r="AY31" i="93"/>
  <c r="AY36" i="93"/>
  <c r="AK23" i="94"/>
  <c r="AK31" i="94"/>
  <c r="AR52" i="93"/>
  <c r="AV52" i="93" s="1"/>
  <c r="AT6" i="95"/>
  <c r="M49" i="94"/>
  <c r="AP2" i="95"/>
  <c r="AT4" i="95"/>
  <c r="AT9" i="95" s="1"/>
  <c r="AO4" i="95"/>
  <c r="AO9" i="95" s="1"/>
  <c r="AO6" i="95"/>
  <c r="P49" i="94"/>
  <c r="T49" i="94"/>
  <c r="Z13" i="91"/>
  <c r="AH13" i="91" s="1"/>
  <c r="Z4" i="91"/>
  <c r="AH4" i="91" s="1"/>
  <c r="AJ13" i="91"/>
  <c r="AV32" i="93"/>
  <c r="AV36" i="93"/>
  <c r="AR37" i="93"/>
  <c r="AV37" i="93" s="1"/>
  <c r="AV35" i="93"/>
  <c r="AC7" i="94"/>
  <c r="AO2" i="95"/>
  <c r="AT3" i="95"/>
  <c r="AJ3" i="95"/>
  <c r="AV12" i="93"/>
  <c r="AR13" i="93"/>
  <c r="AV22" i="93"/>
  <c r="AR23" i="93"/>
  <c r="AO3" i="95"/>
  <c r="AQ8" i="93"/>
  <c r="AT2" i="95"/>
  <c r="AJ2" i="95"/>
  <c r="AR7" i="93"/>
  <c r="AV11" i="93"/>
  <c r="AR17" i="93"/>
  <c r="AV17" i="93" s="1"/>
  <c r="AR19" i="93"/>
  <c r="AV21" i="93"/>
  <c r="AR27" i="93"/>
  <c r="AR41" i="93"/>
  <c r="AV41" i="93" s="1"/>
  <c r="AR47" i="93"/>
  <c r="AJ3" i="91"/>
  <c r="Z6" i="91"/>
  <c r="AH6" i="91" s="1"/>
  <c r="Z8" i="91"/>
  <c r="AH8" i="91" s="1"/>
  <c r="Z3" i="91"/>
  <c r="AH3" i="91" s="1"/>
  <c r="O2" i="91"/>
  <c r="W5" i="91" s="1"/>
  <c r="U9" i="91"/>
  <c r="AI9" i="91" s="1"/>
  <c r="X11" i="91"/>
  <c r="AF11" i="91" s="1"/>
  <c r="U10" i="91"/>
  <c r="AI10" i="91" s="1"/>
  <c r="U12" i="91"/>
  <c r="AI12" i="91" s="1"/>
  <c r="AJ6" i="91"/>
  <c r="AJ8" i="87"/>
  <c r="AO8" i="87"/>
  <c r="AJ6" i="87"/>
  <c r="AJ9" i="87" s="1"/>
  <c r="AT8" i="87"/>
  <c r="AC16" i="88"/>
  <c r="AC20" i="88"/>
  <c r="AC24" i="88"/>
  <c r="AC40" i="88"/>
  <c r="AC44" i="88"/>
  <c r="AC48" i="88"/>
  <c r="AC17" i="88"/>
  <c r="AC21" i="88"/>
  <c r="AC25" i="88"/>
  <c r="AC41" i="88"/>
  <c r="AC45" i="88"/>
  <c r="AC49" i="88"/>
  <c r="AC254" i="88"/>
  <c r="AC258" i="88"/>
  <c r="AC262" i="88"/>
  <c r="AC266" i="88"/>
  <c r="AC270" i="88"/>
  <c r="AC274" i="88"/>
  <c r="AC278" i="88"/>
  <c r="AC282" i="88"/>
  <c r="AC286" i="88"/>
  <c r="AC290" i="88"/>
  <c r="AC294" i="88"/>
  <c r="AC298" i="88"/>
  <c r="AC302" i="88"/>
  <c r="AC306" i="88"/>
  <c r="AC310" i="88"/>
  <c r="AC314" i="88"/>
  <c r="AC318" i="88"/>
  <c r="AC322" i="88"/>
  <c r="AC326" i="88"/>
  <c r="AC330" i="88"/>
  <c r="AC334" i="88"/>
  <c r="AC338" i="88"/>
  <c r="AC342" i="88"/>
  <c r="AC346" i="88"/>
  <c r="AC350" i="88"/>
  <c r="AC354" i="88"/>
  <c r="AC358" i="88"/>
  <c r="AC362" i="88"/>
  <c r="AC366" i="88"/>
  <c r="AC370" i="88"/>
  <c r="AC374" i="88"/>
  <c r="AC378" i="88"/>
  <c r="AC382" i="88"/>
  <c r="AC386" i="88"/>
  <c r="AC390" i="88"/>
  <c r="AC394" i="88"/>
  <c r="AC398" i="88"/>
  <c r="AC402" i="88"/>
  <c r="AC406" i="88"/>
  <c r="AC410" i="88"/>
  <c r="AC414" i="88"/>
  <c r="AC418" i="88"/>
  <c r="AC422" i="88"/>
  <c r="AC426" i="88"/>
  <c r="AC430" i="88"/>
  <c r="AC434" i="88"/>
  <c r="AC438" i="88"/>
  <c r="AC442" i="88"/>
  <c r="AQ2" i="87"/>
  <c r="AC135" i="88"/>
  <c r="AC139" i="88"/>
  <c r="AC143" i="88"/>
  <c r="AC303" i="88"/>
  <c r="AC307" i="88"/>
  <c r="AC311" i="88"/>
  <c r="AC315" i="88"/>
  <c r="AC319" i="88"/>
  <c r="AC323" i="88"/>
  <c r="AC327" i="88"/>
  <c r="AC331" i="88"/>
  <c r="AC335" i="88"/>
  <c r="AC339" i="88"/>
  <c r="AC343" i="88"/>
  <c r="AC347" i="88"/>
  <c r="AC351" i="88"/>
  <c r="AC355" i="88"/>
  <c r="AC359" i="88"/>
  <c r="AC363" i="88"/>
  <c r="AC367" i="88"/>
  <c r="AC371" i="88"/>
  <c r="AC375" i="88"/>
  <c r="AC379" i="88"/>
  <c r="AC383" i="88"/>
  <c r="AC387" i="88"/>
  <c r="AC391" i="88"/>
  <c r="AC395" i="88"/>
  <c r="AC399" i="88"/>
  <c r="AC403" i="88"/>
  <c r="AC407" i="88"/>
  <c r="AC411" i="88"/>
  <c r="AC415" i="88"/>
  <c r="AC419" i="88"/>
  <c r="AC423" i="88"/>
  <c r="AC427" i="88"/>
  <c r="AC431" i="88"/>
  <c r="AC435" i="88"/>
  <c r="AC439" i="88"/>
  <c r="AC443" i="88"/>
  <c r="AC136" i="88"/>
  <c r="AC140" i="88"/>
  <c r="AC144" i="88"/>
  <c r="AC256" i="88"/>
  <c r="AC260" i="88"/>
  <c r="AC264" i="88"/>
  <c r="AC268" i="88"/>
  <c r="AC272" i="88"/>
  <c r="AC276" i="88"/>
  <c r="AC280" i="88"/>
  <c r="AC284" i="88"/>
  <c r="AC288" i="88"/>
  <c r="AC292" i="88"/>
  <c r="AC296" i="88"/>
  <c r="AC300" i="88"/>
  <c r="AC304" i="88"/>
  <c r="AC308" i="88"/>
  <c r="AC312" i="88"/>
  <c r="AC316" i="88"/>
  <c r="AC320" i="88"/>
  <c r="AC324" i="88"/>
  <c r="AC328" i="88"/>
  <c r="AC332" i="88"/>
  <c r="AC336" i="88"/>
  <c r="AC340" i="88"/>
  <c r="AC344" i="88"/>
  <c r="AC348" i="88"/>
  <c r="AC352" i="88"/>
  <c r="AC356" i="88"/>
  <c r="AC360" i="88"/>
  <c r="AC364" i="88"/>
  <c r="AC368" i="88"/>
  <c r="AC372" i="88"/>
  <c r="AC376" i="88"/>
  <c r="AC380" i="88"/>
  <c r="AC384" i="88"/>
  <c r="AC388" i="88"/>
  <c r="AC392" i="88"/>
  <c r="AC396" i="88"/>
  <c r="AC400" i="88"/>
  <c r="AC404" i="88"/>
  <c r="AC408" i="88"/>
  <c r="AC412" i="88"/>
  <c r="AC416" i="88"/>
  <c r="AC420" i="88"/>
  <c r="AC424" i="88"/>
  <c r="AC428" i="88"/>
  <c r="AC432" i="88"/>
  <c r="AC436" i="88"/>
  <c r="AC440" i="88"/>
  <c r="AC444" i="88"/>
  <c r="AT9" i="87"/>
  <c r="AC305" i="88"/>
  <c r="AC309" i="88"/>
  <c r="AC313" i="88"/>
  <c r="AC317" i="88"/>
  <c r="AC321" i="88"/>
  <c r="AC325" i="88"/>
  <c r="AC329" i="88"/>
  <c r="AC333" i="88"/>
  <c r="AC337" i="88"/>
  <c r="AC341" i="88"/>
  <c r="AC345" i="88"/>
  <c r="AC349" i="88"/>
  <c r="AC353" i="88"/>
  <c r="AC357" i="88"/>
  <c r="AC361" i="88"/>
  <c r="AC365" i="88"/>
  <c r="AC369" i="88"/>
  <c r="AC373" i="88"/>
  <c r="AC377" i="88"/>
  <c r="AC381" i="88"/>
  <c r="AC385" i="88"/>
  <c r="AC389" i="88"/>
  <c r="AC393" i="88"/>
  <c r="AC397" i="88"/>
  <c r="AC401" i="88"/>
  <c r="AC405" i="88"/>
  <c r="AC409" i="88"/>
  <c r="AC413" i="88"/>
  <c r="AC417" i="88"/>
  <c r="AC421" i="88"/>
  <c r="AC425" i="88"/>
  <c r="AC429" i="88"/>
  <c r="AC433" i="88"/>
  <c r="AC437" i="88"/>
  <c r="AC441" i="88"/>
  <c r="AC445" i="88"/>
  <c r="AO9" i="87"/>
  <c r="AL56" i="78"/>
  <c r="AB57" i="78"/>
  <c r="AB56" i="80"/>
  <c r="AB56" i="79"/>
  <c r="AB58" i="77"/>
  <c r="AB56" i="78"/>
  <c r="AD57" i="80"/>
  <c r="AD57" i="79"/>
  <c r="AD57" i="78"/>
  <c r="AD59" i="77"/>
  <c r="Y47" i="84"/>
  <c r="Y47" i="83"/>
  <c r="Y47" i="81"/>
  <c r="Y47" i="82"/>
  <c r="AA57" i="80"/>
  <c r="AA57" i="79"/>
  <c r="AA59" i="77"/>
  <c r="AA57" i="78"/>
  <c r="AH56" i="80"/>
  <c r="AH56" i="79"/>
  <c r="AH56" i="78"/>
  <c r="AH58" i="77"/>
  <c r="F28" i="5"/>
  <c r="AL57" i="93" s="1"/>
  <c r="AI57" i="80"/>
  <c r="AI57" i="79"/>
  <c r="AI57" i="78"/>
  <c r="AI59" i="77"/>
  <c r="D45" i="5"/>
  <c r="AA45" i="94" s="1"/>
  <c r="Z45" i="84"/>
  <c r="Z45" i="83"/>
  <c r="Z45" i="82"/>
  <c r="Z45" i="81"/>
  <c r="AG55" i="79"/>
  <c r="AG55" i="80"/>
  <c r="AG55" i="78"/>
  <c r="W45" i="84"/>
  <c r="W45" i="83"/>
  <c r="W45" i="81"/>
  <c r="W45" i="82"/>
  <c r="AA46" i="84"/>
  <c r="AA46" i="83"/>
  <c r="AA46" i="82"/>
  <c r="AA46" i="81"/>
  <c r="U57" i="80"/>
  <c r="U57" i="79"/>
  <c r="U57" i="78"/>
  <c r="U59" i="77"/>
  <c r="F41" i="5"/>
  <c r="W47" i="94" s="1"/>
  <c r="U47" i="84"/>
  <c r="U47" i="83"/>
  <c r="U49" i="83" s="1"/>
  <c r="U47" i="81"/>
  <c r="U47" i="82"/>
  <c r="AH57" i="80"/>
  <c r="AH57" i="79"/>
  <c r="AH57" i="78"/>
  <c r="AH59" i="77"/>
  <c r="AJ55" i="80"/>
  <c r="AJ55" i="79"/>
  <c r="AJ55" i="78"/>
  <c r="Z46" i="84"/>
  <c r="Z46" i="83"/>
  <c r="Z46" i="82"/>
  <c r="Z46" i="81"/>
  <c r="N5" i="78"/>
  <c r="O5" i="78"/>
  <c r="AG57" i="80"/>
  <c r="AG57" i="79"/>
  <c r="AG57" i="78"/>
  <c r="AG59" i="77"/>
  <c r="W55" i="79"/>
  <c r="W59" i="79" s="1"/>
  <c r="W55" i="80"/>
  <c r="W55" i="78"/>
  <c r="AD55" i="80"/>
  <c r="AD55" i="79"/>
  <c r="AD55" i="78"/>
  <c r="W46" i="84"/>
  <c r="W46" i="83"/>
  <c r="W46" i="82"/>
  <c r="W46" i="81"/>
  <c r="AA47" i="84"/>
  <c r="AA47" i="83"/>
  <c r="AA47" i="81"/>
  <c r="AA47" i="82"/>
  <c r="V57" i="80"/>
  <c r="V57" i="79"/>
  <c r="V57" i="78"/>
  <c r="V59" i="77"/>
  <c r="AI55" i="79"/>
  <c r="AI55" i="80"/>
  <c r="AI55" i="78"/>
  <c r="AJ56" i="80"/>
  <c r="AJ56" i="79"/>
  <c r="AJ58" i="77"/>
  <c r="AJ56" i="78"/>
  <c r="Z47" i="84"/>
  <c r="Z47" i="83"/>
  <c r="Z47" i="82"/>
  <c r="Z47" i="81"/>
  <c r="D18" i="5"/>
  <c r="AB57" i="77" s="1"/>
  <c r="AB55" i="93" s="1"/>
  <c r="AD56" i="80"/>
  <c r="AD56" i="79"/>
  <c r="AD56" i="78"/>
  <c r="AD58" i="77"/>
  <c r="D28" i="5"/>
  <c r="AL57" i="77" s="1"/>
  <c r="AL55" i="93" s="1"/>
  <c r="Y45" i="84"/>
  <c r="Y45" i="83"/>
  <c r="Y45" i="81"/>
  <c r="Y45" i="82"/>
  <c r="R45" i="84"/>
  <c r="R45" i="83"/>
  <c r="R45" i="81"/>
  <c r="R45" i="82"/>
  <c r="Z57" i="80"/>
  <c r="Z57" i="79"/>
  <c r="Z57" i="78"/>
  <c r="Z59" i="77"/>
  <c r="AH55" i="80"/>
  <c r="AH55" i="79"/>
  <c r="AH59" i="79" s="1"/>
  <c r="AH55" i="78"/>
  <c r="AI56" i="80"/>
  <c r="AI56" i="79"/>
  <c r="AI58" i="77"/>
  <c r="AI56" i="78"/>
  <c r="AJ57" i="80"/>
  <c r="AJ57" i="79"/>
  <c r="AJ59" i="77"/>
  <c r="AJ57" i="78"/>
  <c r="M5" i="78"/>
  <c r="M55" i="79"/>
  <c r="M59" i="79" s="1"/>
  <c r="M55" i="80"/>
  <c r="M55" i="78"/>
  <c r="U55" i="79"/>
  <c r="U55" i="80"/>
  <c r="U55" i="78"/>
  <c r="AK55" i="79"/>
  <c r="AK59" i="79" s="1"/>
  <c r="AK5" i="80" s="1"/>
  <c r="AK55" i="80"/>
  <c r="AK55" i="78"/>
  <c r="AC5" i="78"/>
  <c r="AC5" i="80" s="1"/>
  <c r="AD5" i="80" s="1"/>
  <c r="AI5" i="78"/>
  <c r="L55" i="80"/>
  <c r="L55" i="79"/>
  <c r="L59" i="79" s="1"/>
  <c r="L55" i="78"/>
  <c r="S55" i="79"/>
  <c r="S55" i="80"/>
  <c r="S55" i="78"/>
  <c r="X55" i="80"/>
  <c r="X55" i="79"/>
  <c r="X59" i="79" s="1"/>
  <c r="X5" i="80" s="1"/>
  <c r="X55" i="78"/>
  <c r="AC55" i="79"/>
  <c r="AC59" i="79" s="1"/>
  <c r="AC55" i="80"/>
  <c r="AC55" i="78"/>
  <c r="AF55" i="80"/>
  <c r="AF55" i="79"/>
  <c r="AF55" i="78"/>
  <c r="U5" i="78"/>
  <c r="Y5" i="78"/>
  <c r="Q55" i="79"/>
  <c r="Q59" i="79" s="1"/>
  <c r="Q55" i="80"/>
  <c r="Q55" i="78"/>
  <c r="R55" i="80"/>
  <c r="R55" i="79"/>
  <c r="R59" i="79" s="1"/>
  <c r="R5" i="80" s="1"/>
  <c r="R55" i="78"/>
  <c r="V5" i="78"/>
  <c r="O55" i="79"/>
  <c r="O59" i="79" s="1"/>
  <c r="O55" i="80"/>
  <c r="O55" i="78"/>
  <c r="P55" i="80"/>
  <c r="P55" i="79"/>
  <c r="P59" i="79" s="1"/>
  <c r="P55" i="78"/>
  <c r="AE55" i="79"/>
  <c r="AE55" i="80"/>
  <c r="AE55" i="78"/>
  <c r="W5" i="78"/>
  <c r="AH5" i="78"/>
  <c r="AH5" i="80" s="1"/>
  <c r="P49" i="83"/>
  <c r="T49" i="83"/>
  <c r="O5" i="80"/>
  <c r="P5" i="80"/>
  <c r="L5" i="80"/>
  <c r="Q5" i="80"/>
  <c r="D37" i="5"/>
  <c r="S45" i="94" s="1"/>
  <c r="E36" i="5"/>
  <c r="R46" i="94" s="1"/>
  <c r="F36" i="5"/>
  <c r="R47" i="94" s="1"/>
  <c r="R49" i="94" s="1"/>
  <c r="R48" i="94" s="1"/>
  <c r="T39" i="4"/>
  <c r="S39" i="4"/>
  <c r="R39" i="4"/>
  <c r="Q39" i="4"/>
  <c r="P39" i="4"/>
  <c r="O39" i="4"/>
  <c r="N39" i="4"/>
  <c r="M39" i="4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U59" i="79" l="1"/>
  <c r="U5" i="80" s="1"/>
  <c r="AI2" i="88"/>
  <c r="Z5" i="91"/>
  <c r="AH5" i="91" s="1"/>
  <c r="W5" i="80"/>
  <c r="AI59" i="79"/>
  <c r="AB57" i="79"/>
  <c r="AL56" i="79"/>
  <c r="AJ10" i="87"/>
  <c r="AI5" i="88"/>
  <c r="AI8" i="88"/>
  <c r="AB57" i="80"/>
  <c r="AL56" i="80"/>
  <c r="AI7" i="88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M5" i="80"/>
  <c r="AI5" i="80"/>
  <c r="T5" i="78"/>
  <c r="AB59" i="77"/>
  <c r="AL58" i="77"/>
  <c r="AI6" i="88"/>
  <c r="E19" i="92"/>
  <c r="AR45" i="93"/>
  <c r="AV45" i="93" s="1"/>
  <c r="AV44" i="93"/>
  <c r="AT8" i="95"/>
  <c r="AR28" i="93"/>
  <c r="AV27" i="93"/>
  <c r="AR24" i="93"/>
  <c r="AV23" i="93"/>
  <c r="AO8" i="95"/>
  <c r="AQ2" i="95"/>
  <c r="AR8" i="93"/>
  <c r="AV7" i="93"/>
  <c r="AQ9" i="93"/>
  <c r="AR48" i="93"/>
  <c r="AV48" i="93" s="1"/>
  <c r="AV47" i="93"/>
  <c r="AR20" i="93"/>
  <c r="AV20" i="93" s="1"/>
  <c r="AV19" i="93"/>
  <c r="AJ8" i="95"/>
  <c r="AR14" i="93"/>
  <c r="AV13" i="93"/>
  <c r="X12" i="91"/>
  <c r="AF12" i="91" s="1"/>
  <c r="X9" i="91"/>
  <c r="AF9" i="91" s="1"/>
  <c r="AJ5" i="91"/>
  <c r="X10" i="91"/>
  <c r="AF10" i="91" s="1"/>
  <c r="AT10" i="87"/>
  <c r="AO10" i="87"/>
  <c r="E37" i="5"/>
  <c r="S46" i="94" s="1"/>
  <c r="R46" i="84"/>
  <c r="R46" i="83"/>
  <c r="R46" i="82"/>
  <c r="R46" i="81"/>
  <c r="S45" i="84"/>
  <c r="S45" i="83"/>
  <c r="S45" i="81"/>
  <c r="S45" i="82"/>
  <c r="F37" i="5"/>
  <c r="S47" i="94" s="1"/>
  <c r="R47" i="84"/>
  <c r="R47" i="83"/>
  <c r="R47" i="82"/>
  <c r="R47" i="81"/>
  <c r="AB5" i="78"/>
  <c r="AM5" i="78" s="1"/>
  <c r="AB55" i="80"/>
  <c r="AB55" i="79"/>
  <c r="AB55" i="78"/>
  <c r="AJ59" i="79"/>
  <c r="AJ5" i="80" s="1"/>
  <c r="AL5" i="80" s="1"/>
  <c r="Z49" i="83"/>
  <c r="R49" i="83"/>
  <c r="R48" i="83" s="1"/>
  <c r="W47" i="84"/>
  <c r="W47" i="83"/>
  <c r="W47" i="81"/>
  <c r="W47" i="82"/>
  <c r="AA45" i="84"/>
  <c r="AA45" i="83"/>
  <c r="AA45" i="81"/>
  <c r="AA45" i="82"/>
  <c r="AL5" i="78"/>
  <c r="AD5" i="78"/>
  <c r="AP5" i="79" s="1"/>
  <c r="R49" i="82"/>
  <c r="R48" i="82" s="1"/>
  <c r="AL55" i="80"/>
  <c r="AL55" i="79"/>
  <c r="AL55" i="78"/>
  <c r="Z49" i="82"/>
  <c r="AL57" i="80"/>
  <c r="AL57" i="79"/>
  <c r="AL57" i="78"/>
  <c r="AL59" i="77"/>
  <c r="D30" i="5"/>
  <c r="L45" i="94" s="1"/>
  <c r="I36" i="98" l="1"/>
  <c r="I36" i="94"/>
  <c r="I36" i="81"/>
  <c r="I36" i="84"/>
  <c r="I36" i="83"/>
  <c r="I36" i="82"/>
  <c r="I28" i="98"/>
  <c r="I28" i="94"/>
  <c r="I28" i="81"/>
  <c r="I28" i="84"/>
  <c r="I28" i="83"/>
  <c r="I28" i="82"/>
  <c r="I24" i="98"/>
  <c r="I24" i="94"/>
  <c r="I24" i="81"/>
  <c r="I24" i="84"/>
  <c r="I24" i="83"/>
  <c r="I24" i="82"/>
  <c r="I16" i="98"/>
  <c r="I16" i="94"/>
  <c r="I16" i="81"/>
  <c r="I16" i="84"/>
  <c r="I16" i="83"/>
  <c r="I16" i="82"/>
  <c r="I8" i="98"/>
  <c r="I8" i="94"/>
  <c r="I8" i="81"/>
  <c r="I8" i="82"/>
  <c r="I8" i="84"/>
  <c r="I8" i="83"/>
  <c r="I48" i="97"/>
  <c r="I48" i="93"/>
  <c r="I48" i="77"/>
  <c r="I48" i="80"/>
  <c r="I48" i="85"/>
  <c r="I48" i="79"/>
  <c r="I48" i="78"/>
  <c r="I36" i="97"/>
  <c r="I36" i="93"/>
  <c r="I36" i="77"/>
  <c r="I36" i="80"/>
  <c r="I36" i="85"/>
  <c r="I36" i="78"/>
  <c r="I36" i="79"/>
  <c r="I24" i="97"/>
  <c r="I24" i="93"/>
  <c r="I24" i="80"/>
  <c r="I24" i="85"/>
  <c r="I24" i="78"/>
  <c r="I24" i="77"/>
  <c r="I24" i="79"/>
  <c r="I12" i="97"/>
  <c r="I12" i="93"/>
  <c r="I12" i="78"/>
  <c r="I12" i="77"/>
  <c r="I12" i="85"/>
  <c r="I12" i="80"/>
  <c r="I12" i="79"/>
  <c r="AO5" i="93"/>
  <c r="AP5" i="93"/>
  <c r="I39" i="98"/>
  <c r="I39" i="94"/>
  <c r="I39" i="82"/>
  <c r="I39" i="81"/>
  <c r="I39" i="84"/>
  <c r="I39" i="83"/>
  <c r="I35" i="98"/>
  <c r="I35" i="94"/>
  <c r="I35" i="82"/>
  <c r="I35" i="81"/>
  <c r="I35" i="84"/>
  <c r="I35" i="83"/>
  <c r="I31" i="98"/>
  <c r="I31" i="94"/>
  <c r="I31" i="82"/>
  <c r="I31" i="81"/>
  <c r="I31" i="84"/>
  <c r="I31" i="83"/>
  <c r="I27" i="98"/>
  <c r="I27" i="94"/>
  <c r="I27" i="82"/>
  <c r="I27" i="81"/>
  <c r="I27" i="84"/>
  <c r="I27" i="83"/>
  <c r="I23" i="98"/>
  <c r="I23" i="94"/>
  <c r="I23" i="82"/>
  <c r="I23" i="81"/>
  <c r="I23" i="84"/>
  <c r="I23" i="83"/>
  <c r="I19" i="98"/>
  <c r="I19" i="82"/>
  <c r="I19" i="81"/>
  <c r="I19" i="94"/>
  <c r="I19" i="84"/>
  <c r="I19" i="83"/>
  <c r="I15" i="98"/>
  <c r="I15" i="94"/>
  <c r="I15" i="82"/>
  <c r="I15" i="81"/>
  <c r="I15" i="84"/>
  <c r="I15" i="83"/>
  <c r="I11" i="98"/>
  <c r="I11" i="94"/>
  <c r="I11" i="82"/>
  <c r="I11" i="81"/>
  <c r="I11" i="84"/>
  <c r="I11" i="83"/>
  <c r="I7" i="98"/>
  <c r="I7" i="94"/>
  <c r="I7" i="82"/>
  <c r="I7" i="81"/>
  <c r="I7" i="84"/>
  <c r="I7" i="83"/>
  <c r="I51" i="97"/>
  <c r="I51" i="93"/>
  <c r="I51" i="85"/>
  <c r="I51" i="80"/>
  <c r="I51" i="79"/>
  <c r="I51" i="78"/>
  <c r="I51" i="77"/>
  <c r="I47" i="97"/>
  <c r="I47" i="93"/>
  <c r="I47" i="85"/>
  <c r="I47" i="80"/>
  <c r="I47" i="79"/>
  <c r="I47" i="78"/>
  <c r="I47" i="77"/>
  <c r="I43" i="97"/>
  <c r="I43" i="93"/>
  <c r="I43" i="85"/>
  <c r="I43" i="80"/>
  <c r="I43" i="79"/>
  <c r="I43" i="78"/>
  <c r="I43" i="77"/>
  <c r="I39" i="97"/>
  <c r="I39" i="93"/>
  <c r="I39" i="85"/>
  <c r="I39" i="80"/>
  <c r="I39" i="79"/>
  <c r="I39" i="78"/>
  <c r="I39" i="77"/>
  <c r="I35" i="97"/>
  <c r="I35" i="93"/>
  <c r="I35" i="85"/>
  <c r="I35" i="80"/>
  <c r="I35" i="79"/>
  <c r="I35" i="78"/>
  <c r="I35" i="77"/>
  <c r="I31" i="97"/>
  <c r="I31" i="93"/>
  <c r="I31" i="85"/>
  <c r="I31" i="80"/>
  <c r="I31" i="79"/>
  <c r="I31" i="78"/>
  <c r="I31" i="77"/>
  <c r="I27" i="93"/>
  <c r="I27" i="97"/>
  <c r="I27" i="85"/>
  <c r="I27" i="80"/>
  <c r="I27" i="79"/>
  <c r="I27" i="78"/>
  <c r="I27" i="77"/>
  <c r="I23" i="97"/>
  <c r="I23" i="93"/>
  <c r="I23" i="80"/>
  <c r="I23" i="79"/>
  <c r="I23" i="78"/>
  <c r="I23" i="85"/>
  <c r="I23" i="77"/>
  <c r="I19" i="97"/>
  <c r="I19" i="93"/>
  <c r="I19" i="85"/>
  <c r="I19" i="80"/>
  <c r="I19" i="79"/>
  <c r="I19" i="78"/>
  <c r="I19" i="77"/>
  <c r="I15" i="97"/>
  <c r="I15" i="93"/>
  <c r="I15" i="85"/>
  <c r="I15" i="80"/>
  <c r="I15" i="79"/>
  <c r="I15" i="78"/>
  <c r="I15" i="77"/>
  <c r="I11" i="97"/>
  <c r="I11" i="93"/>
  <c r="I11" i="85"/>
  <c r="I11" i="80"/>
  <c r="I11" i="79"/>
  <c r="I11" i="78"/>
  <c r="I11" i="77"/>
  <c r="I7" i="93"/>
  <c r="I7" i="97"/>
  <c r="I7" i="85"/>
  <c r="I7" i="80"/>
  <c r="I7" i="79"/>
  <c r="I7" i="78"/>
  <c r="I7" i="77"/>
  <c r="I41" i="98"/>
  <c r="I41" i="94"/>
  <c r="I41" i="84"/>
  <c r="I41" i="83"/>
  <c r="I41" i="81"/>
  <c r="I41" i="82"/>
  <c r="I37" i="98"/>
  <c r="I37" i="94"/>
  <c r="I37" i="84"/>
  <c r="I37" i="83"/>
  <c r="I37" i="81"/>
  <c r="I37" i="82"/>
  <c r="I33" i="98"/>
  <c r="I33" i="94"/>
  <c r="I33" i="84"/>
  <c r="I33" i="83"/>
  <c r="I33" i="82"/>
  <c r="I33" i="81"/>
  <c r="I29" i="98"/>
  <c r="I29" i="94"/>
  <c r="I29" i="84"/>
  <c r="I29" i="83"/>
  <c r="I29" i="81"/>
  <c r="I29" i="82"/>
  <c r="I25" i="98"/>
  <c r="I25" i="94"/>
  <c r="I25" i="84"/>
  <c r="I25" i="83"/>
  <c r="I25" i="81"/>
  <c r="I25" i="82"/>
  <c r="I21" i="98"/>
  <c r="I21" i="94"/>
  <c r="I21" i="84"/>
  <c r="I21" i="83"/>
  <c r="I21" i="81"/>
  <c r="I21" i="82"/>
  <c r="I17" i="98"/>
  <c r="I17" i="94"/>
  <c r="I17" i="84"/>
  <c r="I17" i="83"/>
  <c r="I17" i="82"/>
  <c r="I17" i="81"/>
  <c r="I13" i="98"/>
  <c r="I13" i="94"/>
  <c r="I13" i="84"/>
  <c r="I13" i="83"/>
  <c r="I13" i="81"/>
  <c r="I13" i="82"/>
  <c r="I9" i="98"/>
  <c r="I9" i="94"/>
  <c r="I9" i="84"/>
  <c r="I9" i="83"/>
  <c r="I9" i="81"/>
  <c r="I9" i="82"/>
  <c r="I5" i="98"/>
  <c r="I5" i="94"/>
  <c r="I5" i="84"/>
  <c r="I5" i="83"/>
  <c r="P14" i="5"/>
  <c r="P17" i="5" s="1"/>
  <c r="I5" i="82"/>
  <c r="I5" i="81"/>
  <c r="I49" i="97"/>
  <c r="I49" i="93"/>
  <c r="I49" i="85"/>
  <c r="I49" i="78"/>
  <c r="I49" i="77"/>
  <c r="I49" i="80"/>
  <c r="I49" i="79"/>
  <c r="I45" i="97"/>
  <c r="I45" i="93"/>
  <c r="I45" i="85"/>
  <c r="I45" i="78"/>
  <c r="I45" i="77"/>
  <c r="I45" i="80"/>
  <c r="I45" i="79"/>
  <c r="I41" i="97"/>
  <c r="I41" i="93"/>
  <c r="I41" i="85"/>
  <c r="I41" i="78"/>
  <c r="I41" i="77"/>
  <c r="I41" i="80"/>
  <c r="I41" i="79"/>
  <c r="I37" i="97"/>
  <c r="I37" i="93"/>
  <c r="I37" i="85"/>
  <c r="I37" i="78"/>
  <c r="I37" i="77"/>
  <c r="I37" i="80"/>
  <c r="I37" i="79"/>
  <c r="I33" i="97"/>
  <c r="I33" i="93"/>
  <c r="I33" i="85"/>
  <c r="I33" i="78"/>
  <c r="I33" i="77"/>
  <c r="I33" i="80"/>
  <c r="I33" i="79"/>
  <c r="I29" i="97"/>
  <c r="I29" i="93"/>
  <c r="I29" i="85"/>
  <c r="I29" i="78"/>
  <c r="I29" i="77"/>
  <c r="I29" i="80"/>
  <c r="I29" i="79"/>
  <c r="I25" i="97"/>
  <c r="I25" i="93"/>
  <c r="I25" i="78"/>
  <c r="I25" i="77"/>
  <c r="I25" i="85"/>
  <c r="I25" i="80"/>
  <c r="I25" i="79"/>
  <c r="I21" i="97"/>
  <c r="I21" i="93"/>
  <c r="I21" i="77"/>
  <c r="I21" i="85"/>
  <c r="I21" i="80"/>
  <c r="I21" i="79"/>
  <c r="I21" i="78"/>
  <c r="I17" i="97"/>
  <c r="I17" i="93"/>
  <c r="I17" i="77"/>
  <c r="I17" i="85"/>
  <c r="I17" i="80"/>
  <c r="I17" i="79"/>
  <c r="I17" i="78"/>
  <c r="I13" i="97"/>
  <c r="I13" i="93"/>
  <c r="I13" i="85"/>
  <c r="I13" i="80"/>
  <c r="I13" i="79"/>
  <c r="I13" i="78"/>
  <c r="I13" i="77"/>
  <c r="I9" i="97"/>
  <c r="I9" i="93"/>
  <c r="I9" i="85"/>
  <c r="I9" i="80"/>
  <c r="I9" i="79"/>
  <c r="I9" i="78"/>
  <c r="I9" i="77"/>
  <c r="I5" i="97"/>
  <c r="I5" i="93"/>
  <c r="I5" i="85"/>
  <c r="I5" i="80"/>
  <c r="I5" i="79"/>
  <c r="P12" i="5"/>
  <c r="P15" i="5" s="1"/>
  <c r="I5" i="77"/>
  <c r="I5" i="78"/>
  <c r="I40" i="94"/>
  <c r="I40" i="98"/>
  <c r="I40" i="81"/>
  <c r="I40" i="84"/>
  <c r="I40" i="83"/>
  <c r="I40" i="82"/>
  <c r="I32" i="98"/>
  <c r="I32" i="94"/>
  <c r="I32" i="81"/>
  <c r="I32" i="84"/>
  <c r="I32" i="83"/>
  <c r="I32" i="82"/>
  <c r="I20" i="98"/>
  <c r="I20" i="94"/>
  <c r="I20" i="81"/>
  <c r="I20" i="82"/>
  <c r="I20" i="84"/>
  <c r="I20" i="83"/>
  <c r="I12" i="98"/>
  <c r="I12" i="94"/>
  <c r="I12" i="81"/>
  <c r="I12" i="84"/>
  <c r="I12" i="83"/>
  <c r="I12" i="82"/>
  <c r="I52" i="97"/>
  <c r="I52" i="93"/>
  <c r="I52" i="85"/>
  <c r="I52" i="77"/>
  <c r="I52" i="80"/>
  <c r="I52" i="78"/>
  <c r="I52" i="79"/>
  <c r="I44" i="97"/>
  <c r="I44" i="93"/>
  <c r="I44" i="80"/>
  <c r="I44" i="77"/>
  <c r="I44" i="85"/>
  <c r="I44" i="78"/>
  <c r="I44" i="79"/>
  <c r="I40" i="97"/>
  <c r="I40" i="93"/>
  <c r="I40" i="85"/>
  <c r="I40" i="77"/>
  <c r="I40" i="80"/>
  <c r="I40" i="79"/>
  <c r="I40" i="78"/>
  <c r="I32" i="97"/>
  <c r="I32" i="93"/>
  <c r="I32" i="80"/>
  <c r="I32" i="85"/>
  <c r="I32" i="77"/>
  <c r="I32" i="79"/>
  <c r="I32" i="78"/>
  <c r="I28" i="93"/>
  <c r="I28" i="97"/>
  <c r="I28" i="77"/>
  <c r="I28" i="85"/>
  <c r="I28" i="80"/>
  <c r="I28" i="78"/>
  <c r="I28" i="79"/>
  <c r="I20" i="97"/>
  <c r="I20" i="78"/>
  <c r="I20" i="93"/>
  <c r="I20" i="77"/>
  <c r="I20" i="80"/>
  <c r="I20" i="85"/>
  <c r="I20" i="79"/>
  <c r="I16" i="97"/>
  <c r="I16" i="93"/>
  <c r="I16" i="78"/>
  <c r="I16" i="85"/>
  <c r="I16" i="77"/>
  <c r="I16" i="80"/>
  <c r="I16" i="79"/>
  <c r="I8" i="97"/>
  <c r="I8" i="93"/>
  <c r="I8" i="78"/>
  <c r="I8" i="77"/>
  <c r="P13" i="5"/>
  <c r="P16" i="5" s="1"/>
  <c r="I8" i="85"/>
  <c r="I8" i="80"/>
  <c r="I8" i="79"/>
  <c r="I42" i="98"/>
  <c r="I42" i="94"/>
  <c r="I42" i="83"/>
  <c r="I42" i="82"/>
  <c r="I42" i="81"/>
  <c r="I42" i="84"/>
  <c r="I38" i="94"/>
  <c r="I38" i="98"/>
  <c r="I38" i="82"/>
  <c r="I38" i="84"/>
  <c r="I38" i="83"/>
  <c r="I38" i="81"/>
  <c r="I34" i="98"/>
  <c r="I34" i="94"/>
  <c r="I34" i="84"/>
  <c r="I34" i="83"/>
  <c r="I34" i="82"/>
  <c r="I34" i="81"/>
  <c r="I30" i="98"/>
  <c r="I30" i="94"/>
  <c r="I30" i="83"/>
  <c r="I30" i="82"/>
  <c r="I30" i="84"/>
  <c r="I30" i="81"/>
  <c r="I26" i="98"/>
  <c r="I26" i="94"/>
  <c r="I26" i="84"/>
  <c r="I26" i="82"/>
  <c r="I26" i="83"/>
  <c r="I26" i="81"/>
  <c r="I22" i="98"/>
  <c r="I22" i="94"/>
  <c r="I22" i="82"/>
  <c r="I22" i="81"/>
  <c r="I22" i="84"/>
  <c r="I22" i="83"/>
  <c r="I18" i="98"/>
  <c r="I18" i="94"/>
  <c r="I18" i="83"/>
  <c r="I18" i="82"/>
  <c r="I18" i="84"/>
  <c r="I18" i="81"/>
  <c r="I14" i="98"/>
  <c r="I14" i="94"/>
  <c r="I14" i="84"/>
  <c r="I14" i="82"/>
  <c r="I14" i="83"/>
  <c r="I14" i="81"/>
  <c r="I10" i="98"/>
  <c r="I10" i="94"/>
  <c r="I10" i="83"/>
  <c r="I10" i="82"/>
  <c r="I10" i="81"/>
  <c r="I10" i="84"/>
  <c r="I6" i="98"/>
  <c r="I6" i="94"/>
  <c r="I6" i="82"/>
  <c r="I6" i="84"/>
  <c r="I6" i="81"/>
  <c r="I6" i="83"/>
  <c r="I50" i="97"/>
  <c r="I50" i="93"/>
  <c r="I50" i="77"/>
  <c r="I50" i="80"/>
  <c r="I50" i="79"/>
  <c r="I50" i="85"/>
  <c r="I50" i="78"/>
  <c r="I46" i="97"/>
  <c r="I46" i="93"/>
  <c r="I46" i="77"/>
  <c r="I46" i="80"/>
  <c r="I46" i="79"/>
  <c r="I46" i="85"/>
  <c r="I46" i="78"/>
  <c r="I42" i="97"/>
  <c r="I42" i="93"/>
  <c r="I42" i="77"/>
  <c r="I42" i="80"/>
  <c r="I42" i="79"/>
  <c r="I42" i="85"/>
  <c r="I42" i="78"/>
  <c r="I38" i="97"/>
  <c r="I38" i="93"/>
  <c r="I38" i="77"/>
  <c r="I38" i="80"/>
  <c r="I38" i="79"/>
  <c r="I38" i="85"/>
  <c r="I38" i="78"/>
  <c r="I34" i="97"/>
  <c r="I34" i="93"/>
  <c r="I34" i="77"/>
  <c r="I34" i="80"/>
  <c r="I34" i="79"/>
  <c r="I34" i="85"/>
  <c r="I34" i="78"/>
  <c r="I30" i="97"/>
  <c r="I30" i="93"/>
  <c r="I30" i="77"/>
  <c r="I30" i="80"/>
  <c r="I30" i="79"/>
  <c r="I30" i="85"/>
  <c r="I30" i="78"/>
  <c r="I26" i="97"/>
  <c r="I26" i="93"/>
  <c r="I26" i="77"/>
  <c r="I26" i="85"/>
  <c r="I26" i="80"/>
  <c r="I26" i="79"/>
  <c r="I26" i="78"/>
  <c r="I22" i="97"/>
  <c r="I22" i="93"/>
  <c r="I22" i="77"/>
  <c r="I22" i="85"/>
  <c r="I22" i="80"/>
  <c r="I22" i="79"/>
  <c r="I22" i="78"/>
  <c r="I18" i="97"/>
  <c r="I18" i="93"/>
  <c r="I18" i="77"/>
  <c r="I18" i="85"/>
  <c r="I18" i="80"/>
  <c r="I18" i="79"/>
  <c r="I18" i="78"/>
  <c r="I14" i="97"/>
  <c r="I14" i="93"/>
  <c r="I14" i="85"/>
  <c r="I14" i="80"/>
  <c r="I14" i="79"/>
  <c r="I14" i="78"/>
  <c r="I14" i="77"/>
  <c r="I10" i="97"/>
  <c r="I10" i="93"/>
  <c r="I10" i="85"/>
  <c r="I10" i="80"/>
  <c r="I10" i="79"/>
  <c r="I10" i="77"/>
  <c r="I10" i="78"/>
  <c r="I6" i="93"/>
  <c r="I6" i="97"/>
  <c r="I6" i="85"/>
  <c r="I6" i="80"/>
  <c r="I6" i="79"/>
  <c r="I6" i="78"/>
  <c r="I6" i="77"/>
  <c r="AV8" i="93"/>
  <c r="AR9" i="93"/>
  <c r="AV9" i="93" s="1"/>
  <c r="AV28" i="93"/>
  <c r="AR29" i="93"/>
  <c r="AV14" i="93"/>
  <c r="AR15" i="93"/>
  <c r="AV15" i="93" s="1"/>
  <c r="AQ10" i="93"/>
  <c r="AV24" i="93"/>
  <c r="AR25" i="93"/>
  <c r="AV25" i="93" s="1"/>
  <c r="AT10" i="95"/>
  <c r="AJ10" i="95"/>
  <c r="AO10" i="95"/>
  <c r="AO5" i="80"/>
  <c r="L45" i="84"/>
  <c r="L45" i="83"/>
  <c r="L45" i="82"/>
  <c r="L45" i="81"/>
  <c r="AO5" i="79"/>
  <c r="S47" i="84"/>
  <c r="S47" i="83"/>
  <c r="S47" i="81"/>
  <c r="S47" i="82"/>
  <c r="AP5" i="80"/>
  <c r="S46" i="84"/>
  <c r="S46" i="83"/>
  <c r="S46" i="82"/>
  <c r="S46" i="81"/>
  <c r="D4" i="5"/>
  <c r="N57" i="77" s="1"/>
  <c r="N55" i="93" s="1"/>
  <c r="D35" i="5"/>
  <c r="Q45" i="94" s="1"/>
  <c r="E30" i="5" l="1"/>
  <c r="L46" i="94" s="1"/>
  <c r="U56" i="77"/>
  <c r="R56" i="77"/>
  <c r="AF56" i="77"/>
  <c r="AF61" i="77" s="1"/>
  <c r="W56" i="77"/>
  <c r="AC56" i="77"/>
  <c r="P56" i="77"/>
  <c r="S56" i="77"/>
  <c r="AA56" i="77"/>
  <c r="X56" i="77"/>
  <c r="X61" i="77" s="1"/>
  <c r="Z56" i="77"/>
  <c r="O56" i="77"/>
  <c r="Y56" i="77"/>
  <c r="Y61" i="77" s="1"/>
  <c r="AH56" i="77"/>
  <c r="AI56" i="77"/>
  <c r="V56" i="77"/>
  <c r="L56" i="77"/>
  <c r="Q56" i="77"/>
  <c r="AD81" i="98"/>
  <c r="AG81" i="98"/>
  <c r="X81" i="98"/>
  <c r="AB81" i="98"/>
  <c r="Y81" i="98"/>
  <c r="Z81" i="98"/>
  <c r="AF81" i="98"/>
  <c r="AE81" i="98"/>
  <c r="AH81" i="98"/>
  <c r="AC81" i="98"/>
  <c r="AA81" i="98"/>
  <c r="BA105" i="97"/>
  <c r="AK105" i="97"/>
  <c r="AR105" i="97"/>
  <c r="BC105" i="97"/>
  <c r="AM105" i="97"/>
  <c r="AT105" i="97"/>
  <c r="AO105" i="97"/>
  <c r="BD105" i="97"/>
  <c r="AJ105" i="97"/>
  <c r="AI105" i="97"/>
  <c r="BB105" i="97"/>
  <c r="AN105" i="97"/>
  <c r="AL105" i="97"/>
  <c r="AZ105" i="97"/>
  <c r="AY105" i="97"/>
  <c r="AX105" i="97"/>
  <c r="AQ105" i="97"/>
  <c r="AW105" i="97"/>
  <c r="AV105" i="97"/>
  <c r="AU105" i="97"/>
  <c r="AP105" i="97"/>
  <c r="AS105" i="97"/>
  <c r="Y44" i="82"/>
  <c r="X44" i="82"/>
  <c r="AR68" i="97"/>
  <c r="BC68" i="97"/>
  <c r="AM68" i="97"/>
  <c r="AT68" i="97"/>
  <c r="AW68" i="97"/>
  <c r="AZ68" i="97"/>
  <c r="AY68" i="97"/>
  <c r="AX68" i="97"/>
  <c r="AO68" i="97"/>
  <c r="AV68" i="97"/>
  <c r="AU68" i="97"/>
  <c r="AP68" i="97"/>
  <c r="AK68" i="97"/>
  <c r="BD68" i="97"/>
  <c r="AN68" i="97"/>
  <c r="AQ68" i="97"/>
  <c r="AL68" i="97"/>
  <c r="BA68" i="97"/>
  <c r="AJ68" i="97"/>
  <c r="AI68" i="97"/>
  <c r="BB68" i="97"/>
  <c r="AS68" i="97"/>
  <c r="AZ59" i="97"/>
  <c r="AJ59" i="97"/>
  <c r="AU59" i="97"/>
  <c r="BB59" i="97"/>
  <c r="AL59" i="97"/>
  <c r="AO59" i="97"/>
  <c r="AR59" i="97"/>
  <c r="AQ59" i="97"/>
  <c r="AP59" i="97"/>
  <c r="BA59" i="97"/>
  <c r="AV59" i="97"/>
  <c r="AK59" i="97"/>
  <c r="AN59" i="97"/>
  <c r="AM59" i="97"/>
  <c r="AW59" i="97"/>
  <c r="AY59" i="97"/>
  <c r="BD59" i="97"/>
  <c r="BC59" i="97"/>
  <c r="AI59" i="97"/>
  <c r="AX59" i="97"/>
  <c r="AS59" i="97"/>
  <c r="AT59" i="97"/>
  <c r="AV63" i="97"/>
  <c r="AQ63" i="97"/>
  <c r="AX63" i="97"/>
  <c r="BA63" i="97"/>
  <c r="AK63" i="97"/>
  <c r="AZ63" i="97"/>
  <c r="AY63" i="97"/>
  <c r="AT63" i="97"/>
  <c r="AO63" i="97"/>
  <c r="AI63" i="97"/>
  <c r="AS63" i="97"/>
  <c r="AR63" i="97"/>
  <c r="AU63" i="97"/>
  <c r="AP63" i="97"/>
  <c r="AJ63" i="97"/>
  <c r="AN63" i="97"/>
  <c r="AM63" i="97"/>
  <c r="AL63" i="97"/>
  <c r="AW63" i="97"/>
  <c r="BD63" i="97"/>
  <c r="BC63" i="97"/>
  <c r="BB63" i="97"/>
  <c r="M68" i="77"/>
  <c r="M19" i="77"/>
  <c r="M49" i="77"/>
  <c r="M23" i="77"/>
  <c r="M27" i="77"/>
  <c r="M47" i="77"/>
  <c r="M28" i="77"/>
  <c r="M36" i="77"/>
  <c r="M44" i="77"/>
  <c r="M52" i="77"/>
  <c r="M45" i="77"/>
  <c r="M24" i="77"/>
  <c r="M43" i="77"/>
  <c r="M41" i="77"/>
  <c r="M34" i="77"/>
  <c r="M50" i="77"/>
  <c r="M39" i="77"/>
  <c r="M29" i="77"/>
  <c r="M25" i="77"/>
  <c r="M33" i="77"/>
  <c r="M30" i="77"/>
  <c r="M38" i="77"/>
  <c r="M46" i="77"/>
  <c r="M20" i="77"/>
  <c r="M21" i="77"/>
  <c r="M42" i="77"/>
  <c r="M51" i="77"/>
  <c r="M35" i="77"/>
  <c r="M37" i="77"/>
  <c r="M32" i="77"/>
  <c r="M40" i="77"/>
  <c r="M48" i="77"/>
  <c r="M31" i="77"/>
  <c r="M18" i="77"/>
  <c r="M26" i="77"/>
  <c r="M22" i="77"/>
  <c r="AV79" i="97"/>
  <c r="AQ79" i="97"/>
  <c r="AX79" i="97"/>
  <c r="BA79" i="97"/>
  <c r="AK79" i="97"/>
  <c r="BD79" i="97"/>
  <c r="AJ79" i="97"/>
  <c r="BC79" i="97"/>
  <c r="AI79" i="97"/>
  <c r="BB79" i="97"/>
  <c r="AS79" i="97"/>
  <c r="AN79" i="97"/>
  <c r="AZ79" i="97"/>
  <c r="AY79" i="97"/>
  <c r="AT79" i="97"/>
  <c r="AO79" i="97"/>
  <c r="AM79" i="97"/>
  <c r="AW79" i="97"/>
  <c r="AR79" i="97"/>
  <c r="AU79" i="97"/>
  <c r="AP79" i="97"/>
  <c r="AL79" i="97"/>
  <c r="AV95" i="97"/>
  <c r="AQ95" i="97"/>
  <c r="AX95" i="97"/>
  <c r="BA95" i="97"/>
  <c r="AK95" i="97"/>
  <c r="AN95" i="97"/>
  <c r="AM95" i="97"/>
  <c r="AL95" i="97"/>
  <c r="AW95" i="97"/>
  <c r="AR95" i="97"/>
  <c r="AU95" i="97"/>
  <c r="BD95" i="97"/>
  <c r="AJ95" i="97"/>
  <c r="BC95" i="97"/>
  <c r="AI95" i="97"/>
  <c r="BB95" i="97"/>
  <c r="AS95" i="97"/>
  <c r="AZ95" i="97"/>
  <c r="AY95" i="97"/>
  <c r="AT95" i="97"/>
  <c r="AO95" i="97"/>
  <c r="AP95" i="97"/>
  <c r="AE49" i="98"/>
  <c r="AF49" i="98"/>
  <c r="Y49" i="98"/>
  <c r="AB49" i="98"/>
  <c r="AH49" i="98"/>
  <c r="AD49" i="98"/>
  <c r="AC49" i="98"/>
  <c r="Z49" i="98"/>
  <c r="X49" i="98"/>
  <c r="AG49" i="98"/>
  <c r="AA49" i="98"/>
  <c r="AB57" i="98"/>
  <c r="AE57" i="98"/>
  <c r="AG57" i="98"/>
  <c r="AH57" i="98"/>
  <c r="Z57" i="98"/>
  <c r="AF57" i="98"/>
  <c r="AA57" i="98"/>
  <c r="AC57" i="98"/>
  <c r="X57" i="98"/>
  <c r="Y57" i="98"/>
  <c r="AD57" i="98"/>
  <c r="X65" i="98"/>
  <c r="AA65" i="98"/>
  <c r="AH65" i="98"/>
  <c r="AG65" i="98"/>
  <c r="AF65" i="98"/>
  <c r="AE65" i="98"/>
  <c r="AD65" i="98"/>
  <c r="Y65" i="98"/>
  <c r="AC65" i="98"/>
  <c r="AB65" i="98"/>
  <c r="Z65" i="98"/>
  <c r="AB73" i="98"/>
  <c r="AE73" i="98"/>
  <c r="Y73" i="98"/>
  <c r="X73" i="98"/>
  <c r="Z73" i="98"/>
  <c r="AD73" i="98"/>
  <c r="AF73" i="98"/>
  <c r="AC73" i="98"/>
  <c r="AH73" i="98"/>
  <c r="AG73" i="98"/>
  <c r="AA73" i="98"/>
  <c r="M65" i="77"/>
  <c r="BD73" i="97"/>
  <c r="AN73" i="97"/>
  <c r="AY73" i="97"/>
  <c r="AI73" i="97"/>
  <c r="AP73" i="97"/>
  <c r="AS73" i="97"/>
  <c r="AZ73" i="97"/>
  <c r="BC73" i="97"/>
  <c r="AX73" i="97"/>
  <c r="AO73" i="97"/>
  <c r="AV73" i="97"/>
  <c r="AU73" i="97"/>
  <c r="AT73" i="97"/>
  <c r="AK73" i="97"/>
  <c r="AM73" i="97"/>
  <c r="AW73" i="97"/>
  <c r="AR73" i="97"/>
  <c r="AQ73" i="97"/>
  <c r="AL73" i="97"/>
  <c r="BA73" i="97"/>
  <c r="AJ73" i="97"/>
  <c r="BB73" i="97"/>
  <c r="AV97" i="97"/>
  <c r="AQ97" i="97"/>
  <c r="AX97" i="97"/>
  <c r="BA97" i="97"/>
  <c r="AK97" i="97"/>
  <c r="AZ97" i="97"/>
  <c r="AY97" i="97"/>
  <c r="AT97" i="97"/>
  <c r="AO97" i="97"/>
  <c r="BD97" i="97"/>
  <c r="BC97" i="97"/>
  <c r="AR97" i="97"/>
  <c r="AU97" i="97"/>
  <c r="AP97" i="97"/>
  <c r="AJ97" i="97"/>
  <c r="AI97" i="97"/>
  <c r="AS97" i="97"/>
  <c r="AN97" i="97"/>
  <c r="AM97" i="97"/>
  <c r="AL97" i="97"/>
  <c r="AW97" i="97"/>
  <c r="BB97" i="97"/>
  <c r="AZ58" i="97"/>
  <c r="AJ58" i="97"/>
  <c r="AU58" i="97"/>
  <c r="BB58" i="97"/>
  <c r="AL58" i="97"/>
  <c r="AO58" i="97"/>
  <c r="AV58" i="97"/>
  <c r="AY58" i="97"/>
  <c r="AT58" i="97"/>
  <c r="AK58" i="97"/>
  <c r="BC58" i="97"/>
  <c r="AR58" i="97"/>
  <c r="AQ58" i="97"/>
  <c r="AP58" i="97"/>
  <c r="BA58" i="97"/>
  <c r="BD58" i="97"/>
  <c r="AI58" i="97"/>
  <c r="AS58" i="97"/>
  <c r="AN58" i="97"/>
  <c r="AM58" i="97"/>
  <c r="AW58" i="97"/>
  <c r="AX58" i="97"/>
  <c r="AZ74" i="97"/>
  <c r="AJ74" i="97"/>
  <c r="AU74" i="97"/>
  <c r="BB74" i="97"/>
  <c r="AL74" i="97"/>
  <c r="AO74" i="97"/>
  <c r="BD74" i="97"/>
  <c r="BC74" i="97"/>
  <c r="AI74" i="97"/>
  <c r="AX74" i="97"/>
  <c r="AS74" i="97"/>
  <c r="AV74" i="97"/>
  <c r="AY74" i="97"/>
  <c r="AT74" i="97"/>
  <c r="AK74" i="97"/>
  <c r="AN74" i="97"/>
  <c r="AR74" i="97"/>
  <c r="AQ74" i="97"/>
  <c r="AP74" i="97"/>
  <c r="BA74" i="97"/>
  <c r="AM74" i="97"/>
  <c r="AW74" i="97"/>
  <c r="AZ90" i="97"/>
  <c r="AJ90" i="97"/>
  <c r="AU90" i="97"/>
  <c r="BB90" i="97"/>
  <c r="AL90" i="97"/>
  <c r="AO90" i="97"/>
  <c r="AN90" i="97"/>
  <c r="AM90" i="97"/>
  <c r="AW90" i="97"/>
  <c r="AQ90" i="97"/>
  <c r="BD90" i="97"/>
  <c r="BC90" i="97"/>
  <c r="AI90" i="97"/>
  <c r="AX90" i="97"/>
  <c r="AS90" i="97"/>
  <c r="AP90" i="97"/>
  <c r="AV90" i="97"/>
  <c r="AY90" i="97"/>
  <c r="AT90" i="97"/>
  <c r="AK90" i="97"/>
  <c r="AR90" i="97"/>
  <c r="BA90" i="97"/>
  <c r="AG48" i="98"/>
  <c r="AE48" i="98"/>
  <c r="X48" i="98"/>
  <c r="AD48" i="98"/>
  <c r="AF48" i="98"/>
  <c r="Z48" i="98"/>
  <c r="AC48" i="98"/>
  <c r="AH48" i="98"/>
  <c r="AB48" i="98"/>
  <c r="AA48" i="98"/>
  <c r="Y48" i="98"/>
  <c r="AF56" i="98"/>
  <c r="X56" i="98"/>
  <c r="AG56" i="98"/>
  <c r="AD56" i="98"/>
  <c r="Y56" i="98"/>
  <c r="AB56" i="98"/>
  <c r="Z56" i="98"/>
  <c r="AH56" i="98"/>
  <c r="AC56" i="98"/>
  <c r="AA56" i="98"/>
  <c r="AE56" i="98"/>
  <c r="AB64" i="98"/>
  <c r="X64" i="98"/>
  <c r="AD64" i="98"/>
  <c r="AG64" i="98"/>
  <c r="AH64" i="98"/>
  <c r="AC64" i="98"/>
  <c r="AE64" i="98"/>
  <c r="Z64" i="98"/>
  <c r="Y64" i="98"/>
  <c r="AA64" i="98"/>
  <c r="AF64" i="98"/>
  <c r="AD72" i="98"/>
  <c r="AG72" i="98"/>
  <c r="X72" i="98"/>
  <c r="AA72" i="98"/>
  <c r="AE72" i="98"/>
  <c r="Z72" i="98"/>
  <c r="AC72" i="98"/>
  <c r="AH72" i="98"/>
  <c r="AB72" i="98"/>
  <c r="Y72" i="98"/>
  <c r="AF72" i="98"/>
  <c r="Y80" i="98"/>
  <c r="AF80" i="98"/>
  <c r="AH80" i="98"/>
  <c r="AB80" i="98"/>
  <c r="AE80" i="98"/>
  <c r="AC80" i="98"/>
  <c r="AD80" i="98"/>
  <c r="AG80" i="98"/>
  <c r="X80" i="98"/>
  <c r="AA80" i="98"/>
  <c r="Z80" i="98"/>
  <c r="AZ60" i="97"/>
  <c r="AJ60" i="97"/>
  <c r="AU60" i="97"/>
  <c r="BB60" i="97"/>
  <c r="AL60" i="97"/>
  <c r="AO60" i="97"/>
  <c r="AN60" i="97"/>
  <c r="AM60" i="97"/>
  <c r="AW60" i="97"/>
  <c r="BD60" i="97"/>
  <c r="BC60" i="97"/>
  <c r="AI60" i="97"/>
  <c r="AX60" i="97"/>
  <c r="AS60" i="97"/>
  <c r="AR60" i="97"/>
  <c r="AV60" i="97"/>
  <c r="AY60" i="97"/>
  <c r="AT60" i="97"/>
  <c r="AK60" i="97"/>
  <c r="AQ60" i="97"/>
  <c r="AP60" i="97"/>
  <c r="BA60" i="97"/>
  <c r="AV64" i="97"/>
  <c r="AQ64" i="97"/>
  <c r="AX64" i="97"/>
  <c r="BA64" i="97"/>
  <c r="AK64" i="97"/>
  <c r="AR64" i="97"/>
  <c r="AU64" i="97"/>
  <c r="AP64" i="97"/>
  <c r="AZ64" i="97"/>
  <c r="AN64" i="97"/>
  <c r="AM64" i="97"/>
  <c r="AL64" i="97"/>
  <c r="AW64" i="97"/>
  <c r="BD64" i="97"/>
  <c r="AJ64" i="97"/>
  <c r="BC64" i="97"/>
  <c r="AI64" i="97"/>
  <c r="BB64" i="97"/>
  <c r="AS64" i="97"/>
  <c r="AY64" i="97"/>
  <c r="AT64" i="97"/>
  <c r="AO64" i="97"/>
  <c r="AV96" i="97"/>
  <c r="AQ96" i="97"/>
  <c r="AX96" i="97"/>
  <c r="BA96" i="97"/>
  <c r="AK96" i="97"/>
  <c r="BD96" i="97"/>
  <c r="AJ96" i="97"/>
  <c r="BC96" i="97"/>
  <c r="AI96" i="97"/>
  <c r="BB96" i="97"/>
  <c r="AS96" i="97"/>
  <c r="AL96" i="97"/>
  <c r="AZ96" i="97"/>
  <c r="AY96" i="97"/>
  <c r="AT96" i="97"/>
  <c r="AO96" i="97"/>
  <c r="AM96" i="97"/>
  <c r="AR96" i="97"/>
  <c r="AU96" i="97"/>
  <c r="AP96" i="97"/>
  <c r="AN96" i="97"/>
  <c r="AW96" i="97"/>
  <c r="AG50" i="98"/>
  <c r="AD50" i="98"/>
  <c r="AF50" i="98"/>
  <c r="AH50" i="98"/>
  <c r="AC50" i="98"/>
  <c r="Z50" i="98"/>
  <c r="AE50" i="98"/>
  <c r="Y50" i="98"/>
  <c r="AA50" i="98"/>
  <c r="X50" i="98"/>
  <c r="AB50" i="98"/>
  <c r="X58" i="98"/>
  <c r="AD58" i="98"/>
  <c r="AG58" i="98"/>
  <c r="AH58" i="98"/>
  <c r="AC58" i="98"/>
  <c r="AE58" i="98"/>
  <c r="AB58" i="98"/>
  <c r="Z58" i="98"/>
  <c r="Y58" i="98"/>
  <c r="AA58" i="98"/>
  <c r="AF58" i="98"/>
  <c r="AD66" i="98"/>
  <c r="AG66" i="98"/>
  <c r="X66" i="98"/>
  <c r="AA66" i="98"/>
  <c r="AH66" i="98"/>
  <c r="AC66" i="98"/>
  <c r="AF66" i="98"/>
  <c r="AE66" i="98"/>
  <c r="Z66" i="98"/>
  <c r="Y66" i="98"/>
  <c r="AB66" i="98"/>
  <c r="Y74" i="98"/>
  <c r="AF74" i="98"/>
  <c r="AH74" i="98"/>
  <c r="AG74" i="98"/>
  <c r="AE74" i="98"/>
  <c r="AD74" i="98"/>
  <c r="AC74" i="98"/>
  <c r="AB74" i="98"/>
  <c r="AA74" i="98"/>
  <c r="Z74" i="98"/>
  <c r="X74" i="98"/>
  <c r="AD82" i="98"/>
  <c r="AG82" i="98"/>
  <c r="X82" i="98"/>
  <c r="AA82" i="98"/>
  <c r="AH82" i="98"/>
  <c r="AC82" i="98"/>
  <c r="AF82" i="98"/>
  <c r="AE82" i="98"/>
  <c r="Z82" i="98"/>
  <c r="Y82" i="98"/>
  <c r="AB82" i="98"/>
  <c r="AZ77" i="97"/>
  <c r="AJ77" i="97"/>
  <c r="AU77" i="97"/>
  <c r="BB77" i="97"/>
  <c r="AL77" i="97"/>
  <c r="AO77" i="97"/>
  <c r="P77" i="97"/>
  <c r="AN77" i="97"/>
  <c r="AM77" i="97"/>
  <c r="R77" i="97"/>
  <c r="AW77" i="97"/>
  <c r="AP77" i="97"/>
  <c r="BD77" i="97"/>
  <c r="BC77" i="97"/>
  <c r="AI77" i="97"/>
  <c r="AX77" i="97"/>
  <c r="AS77" i="97"/>
  <c r="AR77" i="97"/>
  <c r="AV77" i="97"/>
  <c r="AY77" i="97"/>
  <c r="AT77" i="97"/>
  <c r="AK77" i="97"/>
  <c r="AQ77" i="97"/>
  <c r="BA77" i="97"/>
  <c r="AE51" i="98"/>
  <c r="X51" i="98"/>
  <c r="AC51" i="98"/>
  <c r="AD51" i="98"/>
  <c r="AF51" i="98"/>
  <c r="AA51" i="98"/>
  <c r="AH51" i="98"/>
  <c r="Y51" i="98"/>
  <c r="Z51" i="98"/>
  <c r="AB51" i="98"/>
  <c r="AG51" i="98"/>
  <c r="AD67" i="98"/>
  <c r="AG67" i="98"/>
  <c r="X67" i="98"/>
  <c r="Z67" i="98"/>
  <c r="AA67" i="98"/>
  <c r="AF67" i="98"/>
  <c r="AE67" i="98"/>
  <c r="AH67" i="98"/>
  <c r="AC67" i="98"/>
  <c r="AB67" i="98"/>
  <c r="Y67" i="98"/>
  <c r="AF79" i="98"/>
  <c r="Z79" i="98"/>
  <c r="AC79" i="98"/>
  <c r="X79" i="98"/>
  <c r="AE79" i="98"/>
  <c r="AH79" i="98"/>
  <c r="AG79" i="98"/>
  <c r="AB79" i="98"/>
  <c r="AA79" i="98"/>
  <c r="AD79" i="98"/>
  <c r="Y79" i="98"/>
  <c r="AR67" i="97"/>
  <c r="BC67" i="97"/>
  <c r="AM67" i="97"/>
  <c r="AT67" i="97"/>
  <c r="AW67" i="97"/>
  <c r="BD67" i="97"/>
  <c r="AJ67" i="97"/>
  <c r="AI67" i="97"/>
  <c r="BB67" i="97"/>
  <c r="AS67" i="97"/>
  <c r="BA67" i="97"/>
  <c r="AZ67" i="97"/>
  <c r="AY67" i="97"/>
  <c r="AX67" i="97"/>
  <c r="AO67" i="97"/>
  <c r="AN67" i="97"/>
  <c r="AV67" i="97"/>
  <c r="AU67" i="97"/>
  <c r="AP67" i="97"/>
  <c r="AK67" i="97"/>
  <c r="AQ67" i="97"/>
  <c r="AL67" i="97"/>
  <c r="AR83" i="97"/>
  <c r="BC83" i="97"/>
  <c r="AM83" i="97"/>
  <c r="AT83" i="97"/>
  <c r="AW83" i="97"/>
  <c r="AN83" i="97"/>
  <c r="AQ83" i="97"/>
  <c r="R83" i="97"/>
  <c r="AL83" i="97"/>
  <c r="BA83" i="97"/>
  <c r="AP83" i="97"/>
  <c r="BD83" i="97"/>
  <c r="AJ83" i="97"/>
  <c r="AI83" i="97"/>
  <c r="BB83" i="97"/>
  <c r="AS83" i="97"/>
  <c r="P83" i="97"/>
  <c r="AU83" i="97"/>
  <c r="AZ83" i="97"/>
  <c r="AY83" i="97"/>
  <c r="AX83" i="97"/>
  <c r="AO83" i="97"/>
  <c r="AV83" i="97"/>
  <c r="AK83" i="97"/>
  <c r="AR99" i="97"/>
  <c r="BC99" i="97"/>
  <c r="AM99" i="97"/>
  <c r="AT99" i="97"/>
  <c r="AW99" i="97"/>
  <c r="AV99" i="97"/>
  <c r="AU99" i="97"/>
  <c r="AP99" i="97"/>
  <c r="AK99" i="97"/>
  <c r="AZ99" i="97"/>
  <c r="AX99" i="97"/>
  <c r="AN99" i="97"/>
  <c r="AQ99" i="97"/>
  <c r="AL99" i="97"/>
  <c r="BA99" i="97"/>
  <c r="BD99" i="97"/>
  <c r="AJ99" i="97"/>
  <c r="AI99" i="97"/>
  <c r="BB99" i="97"/>
  <c r="AS99" i="97"/>
  <c r="AY99" i="97"/>
  <c r="AO99" i="97"/>
  <c r="M15" i="77"/>
  <c r="M14" i="77"/>
  <c r="M8" i="77"/>
  <c r="M9" i="77"/>
  <c r="M12" i="77"/>
  <c r="M13" i="77"/>
  <c r="AD63" i="98"/>
  <c r="Z63" i="98"/>
  <c r="AC63" i="98"/>
  <c r="AH63" i="98"/>
  <c r="X63" i="98"/>
  <c r="Y63" i="98"/>
  <c r="AA63" i="98"/>
  <c r="AF63" i="98"/>
  <c r="AE63" i="98"/>
  <c r="AG63" i="98"/>
  <c r="AB63" i="98"/>
  <c r="AV78" i="97"/>
  <c r="AQ78" i="97"/>
  <c r="AX78" i="97"/>
  <c r="BA78" i="97"/>
  <c r="AK78" i="97"/>
  <c r="AN78" i="97"/>
  <c r="AM78" i="97"/>
  <c r="R78" i="97"/>
  <c r="AL78" i="97"/>
  <c r="AW78" i="97"/>
  <c r="AR78" i="97"/>
  <c r="BD78" i="97"/>
  <c r="AJ78" i="97"/>
  <c r="BC78" i="97"/>
  <c r="AI78" i="97"/>
  <c r="BB78" i="97"/>
  <c r="AS78" i="97"/>
  <c r="P78" i="97"/>
  <c r="AP78" i="97"/>
  <c r="AZ78" i="97"/>
  <c r="AY78" i="97"/>
  <c r="AT78" i="97"/>
  <c r="AO78" i="97"/>
  <c r="AU78" i="97"/>
  <c r="AV80" i="97"/>
  <c r="AQ80" i="97"/>
  <c r="AX80" i="97"/>
  <c r="BA80" i="97"/>
  <c r="AK80" i="97"/>
  <c r="AZ80" i="97"/>
  <c r="AY80" i="97"/>
  <c r="AT80" i="97"/>
  <c r="AO80" i="97"/>
  <c r="AJ80" i="97"/>
  <c r="AR80" i="97"/>
  <c r="AU80" i="97"/>
  <c r="AP80" i="97"/>
  <c r="BD80" i="97"/>
  <c r="AI80" i="97"/>
  <c r="P80" i="97"/>
  <c r="AN80" i="97"/>
  <c r="AM80" i="97"/>
  <c r="R80" i="97"/>
  <c r="AL80" i="97"/>
  <c r="AW80" i="97"/>
  <c r="BC80" i="97"/>
  <c r="BB80" i="97"/>
  <c r="AS80" i="97"/>
  <c r="AR100" i="97"/>
  <c r="BC100" i="97"/>
  <c r="AM100" i="97"/>
  <c r="AT100" i="97"/>
  <c r="AW100" i="97"/>
  <c r="AN100" i="97"/>
  <c r="AQ100" i="97"/>
  <c r="AL100" i="97"/>
  <c r="BA100" i="97"/>
  <c r="AV100" i="97"/>
  <c r="AK100" i="97"/>
  <c r="BD100" i="97"/>
  <c r="AJ100" i="97"/>
  <c r="AI100" i="97"/>
  <c r="BB100" i="97"/>
  <c r="AS100" i="97"/>
  <c r="AU100" i="97"/>
  <c r="AZ100" i="97"/>
  <c r="AY100" i="97"/>
  <c r="AX100" i="97"/>
  <c r="AO100" i="97"/>
  <c r="AP100" i="97"/>
  <c r="AZ75" i="97"/>
  <c r="AJ75" i="97"/>
  <c r="AU75" i="97"/>
  <c r="BB75" i="97"/>
  <c r="AL75" i="97"/>
  <c r="AO75" i="97"/>
  <c r="P75" i="97"/>
  <c r="AV75" i="97"/>
  <c r="AY75" i="97"/>
  <c r="AT75" i="97"/>
  <c r="AK75" i="97"/>
  <c r="BC75" i="97"/>
  <c r="AR75" i="97"/>
  <c r="AQ75" i="97"/>
  <c r="AP75" i="97"/>
  <c r="BA75" i="97"/>
  <c r="BD75" i="97"/>
  <c r="AI75" i="97"/>
  <c r="AN75" i="97"/>
  <c r="AM75" i="97"/>
  <c r="R75" i="97"/>
  <c r="AW75" i="97"/>
  <c r="AX75" i="97"/>
  <c r="AS75" i="97"/>
  <c r="AZ91" i="97"/>
  <c r="AJ91" i="97"/>
  <c r="AU91" i="97"/>
  <c r="BB91" i="97"/>
  <c r="AL91" i="97"/>
  <c r="AO91" i="97"/>
  <c r="BD91" i="97"/>
  <c r="BC91" i="97"/>
  <c r="AI91" i="97"/>
  <c r="AX91" i="97"/>
  <c r="AS91" i="97"/>
  <c r="AN91" i="97"/>
  <c r="AW91" i="97"/>
  <c r="AV91" i="97"/>
  <c r="AY91" i="97"/>
  <c r="AT91" i="97"/>
  <c r="AK91" i="97"/>
  <c r="AM91" i="97"/>
  <c r="AR91" i="97"/>
  <c r="AQ91" i="97"/>
  <c r="AP91" i="97"/>
  <c r="BA91" i="97"/>
  <c r="M70" i="77"/>
  <c r="AR69" i="97"/>
  <c r="BC69" i="97"/>
  <c r="AM69" i="97"/>
  <c r="AT69" i="97"/>
  <c r="AW69" i="97"/>
  <c r="AV69" i="97"/>
  <c r="AU69" i="97"/>
  <c r="AP69" i="97"/>
  <c r="AK69" i="97"/>
  <c r="AY69" i="97"/>
  <c r="AX69" i="97"/>
  <c r="AO69" i="97"/>
  <c r="AN69" i="97"/>
  <c r="AQ69" i="97"/>
  <c r="AL69" i="97"/>
  <c r="BA69" i="97"/>
  <c r="AZ69" i="97"/>
  <c r="BD69" i="97"/>
  <c r="AJ69" i="97"/>
  <c r="AI69" i="97"/>
  <c r="BB69" i="97"/>
  <c r="AS69" i="97"/>
  <c r="AZ93" i="97"/>
  <c r="AJ93" i="97"/>
  <c r="AU93" i="97"/>
  <c r="BB93" i="97"/>
  <c r="AL93" i="97"/>
  <c r="AO93" i="97"/>
  <c r="AR93" i="97"/>
  <c r="AQ93" i="97"/>
  <c r="AP93" i="97"/>
  <c r="BA93" i="97"/>
  <c r="AT93" i="97"/>
  <c r="AN93" i="97"/>
  <c r="AM93" i="97"/>
  <c r="AW93" i="97"/>
  <c r="AY93" i="97"/>
  <c r="BD93" i="97"/>
  <c r="BC93" i="97"/>
  <c r="AI93" i="97"/>
  <c r="AX93" i="97"/>
  <c r="AS93" i="97"/>
  <c r="AV93" i="97"/>
  <c r="AK93" i="97"/>
  <c r="AE55" i="98"/>
  <c r="X55" i="98"/>
  <c r="AD55" i="98"/>
  <c r="AG55" i="98"/>
  <c r="AC55" i="98"/>
  <c r="Z55" i="98"/>
  <c r="AF55" i="98"/>
  <c r="AB55" i="98"/>
  <c r="Y55" i="98"/>
  <c r="AH55" i="98"/>
  <c r="AA55" i="98"/>
  <c r="AB75" i="98"/>
  <c r="AE75" i="98"/>
  <c r="Y75" i="98"/>
  <c r="AH75" i="98"/>
  <c r="AG75" i="98"/>
  <c r="X75" i="98"/>
  <c r="AF75" i="98"/>
  <c r="AA75" i="98"/>
  <c r="AD75" i="98"/>
  <c r="AC75" i="98"/>
  <c r="Z75" i="98"/>
  <c r="AF54" i="78"/>
  <c r="AG54" i="78"/>
  <c r="AE54" i="78"/>
  <c r="AA54" i="78"/>
  <c r="AA59" i="78" s="1"/>
  <c r="Z54" i="78"/>
  <c r="Z59" i="78" s="1"/>
  <c r="BD70" i="97"/>
  <c r="AN70" i="97"/>
  <c r="AY70" i="97"/>
  <c r="AI70" i="97"/>
  <c r="AP70" i="97"/>
  <c r="AS70" i="97"/>
  <c r="AV70" i="97"/>
  <c r="AU70" i="97"/>
  <c r="AT70" i="97"/>
  <c r="AK70" i="97"/>
  <c r="AZ70" i="97"/>
  <c r="AR70" i="97"/>
  <c r="AQ70" i="97"/>
  <c r="AL70" i="97"/>
  <c r="BA70" i="97"/>
  <c r="BC70" i="97"/>
  <c r="AO70" i="97"/>
  <c r="AJ70" i="97"/>
  <c r="AM70" i="97"/>
  <c r="BB70" i="97"/>
  <c r="AW70" i="97"/>
  <c r="AX70" i="97"/>
  <c r="BD86" i="97"/>
  <c r="AN86" i="97"/>
  <c r="AY86" i="97"/>
  <c r="AI86" i="97"/>
  <c r="AP86" i="97"/>
  <c r="AS86" i="97"/>
  <c r="AZ86" i="97"/>
  <c r="BC86" i="97"/>
  <c r="AX86" i="97"/>
  <c r="AO86" i="97"/>
  <c r="BB86" i="97"/>
  <c r="AV86" i="97"/>
  <c r="AU86" i="97"/>
  <c r="AT86" i="97"/>
  <c r="AK86" i="97"/>
  <c r="AR86" i="97"/>
  <c r="AQ86" i="97"/>
  <c r="AL86" i="97"/>
  <c r="BA86" i="97"/>
  <c r="AJ86" i="97"/>
  <c r="AM86" i="97"/>
  <c r="AW86" i="97"/>
  <c r="AE56" i="77"/>
  <c r="AE61" i="77" s="1"/>
  <c r="BD102" i="97"/>
  <c r="AN102" i="97"/>
  <c r="AY102" i="97"/>
  <c r="AI102" i="97"/>
  <c r="AP102" i="97"/>
  <c r="AS102" i="97"/>
  <c r="AJ102" i="97"/>
  <c r="AM102" i="97"/>
  <c r="BB102" i="97"/>
  <c r="AW102" i="97"/>
  <c r="AR102" i="97"/>
  <c r="AL102" i="97"/>
  <c r="AZ102" i="97"/>
  <c r="BC102" i="97"/>
  <c r="AX102" i="97"/>
  <c r="AO102" i="97"/>
  <c r="AV102" i="97"/>
  <c r="AU102" i="97"/>
  <c r="AT102" i="97"/>
  <c r="AK102" i="97"/>
  <c r="AQ102" i="97"/>
  <c r="BA102" i="97"/>
  <c r="AZ76" i="97"/>
  <c r="AJ76" i="97"/>
  <c r="AU76" i="97"/>
  <c r="BB76" i="97"/>
  <c r="AL76" i="97"/>
  <c r="AO76" i="97"/>
  <c r="P76" i="97"/>
  <c r="AR76" i="97"/>
  <c r="AQ76" i="97"/>
  <c r="AP76" i="97"/>
  <c r="BA76" i="97"/>
  <c r="AN76" i="97"/>
  <c r="AM76" i="97"/>
  <c r="R76" i="97"/>
  <c r="AW76" i="97"/>
  <c r="BD76" i="97"/>
  <c r="BC76" i="97"/>
  <c r="AI76" i="97"/>
  <c r="AX76" i="97"/>
  <c r="AS76" i="97"/>
  <c r="AV76" i="97"/>
  <c r="AY76" i="97"/>
  <c r="AT76" i="97"/>
  <c r="AK76" i="97"/>
  <c r="AZ92" i="97"/>
  <c r="AJ92" i="97"/>
  <c r="AU92" i="97"/>
  <c r="BB92" i="97"/>
  <c r="AL92" i="97"/>
  <c r="AO92" i="97"/>
  <c r="AV92" i="97"/>
  <c r="AY92" i="97"/>
  <c r="AT92" i="97"/>
  <c r="AK92" i="97"/>
  <c r="BD92" i="97"/>
  <c r="AI92" i="97"/>
  <c r="AR92" i="97"/>
  <c r="AQ92" i="97"/>
  <c r="AP92" i="97"/>
  <c r="BA92" i="97"/>
  <c r="AX92" i="97"/>
  <c r="AN92" i="97"/>
  <c r="AM92" i="97"/>
  <c r="AW92" i="97"/>
  <c r="BC92" i="97"/>
  <c r="AS92" i="97"/>
  <c r="M71" i="77"/>
  <c r="AV65" i="97"/>
  <c r="AQ65" i="97"/>
  <c r="AX65" i="97"/>
  <c r="BA65" i="97"/>
  <c r="AK65" i="97"/>
  <c r="AN65" i="97"/>
  <c r="AM65" i="97"/>
  <c r="AL65" i="97"/>
  <c r="AW65" i="97"/>
  <c r="AU65" i="97"/>
  <c r="BD65" i="97"/>
  <c r="AJ65" i="97"/>
  <c r="BC65" i="97"/>
  <c r="AI65" i="97"/>
  <c r="BB65" i="97"/>
  <c r="AS65" i="97"/>
  <c r="AR65" i="97"/>
  <c r="AZ65" i="97"/>
  <c r="AY65" i="97"/>
  <c r="AT65" i="97"/>
  <c r="AO65" i="97"/>
  <c r="AP65" i="97"/>
  <c r="AV62" i="97"/>
  <c r="AQ62" i="97"/>
  <c r="AX62" i="97"/>
  <c r="BA62" i="97"/>
  <c r="AK62" i="97"/>
  <c r="BD62" i="97"/>
  <c r="AJ62" i="97"/>
  <c r="BC62" i="97"/>
  <c r="AI62" i="97"/>
  <c r="BB62" i="97"/>
  <c r="AS62" i="97"/>
  <c r="AN62" i="97"/>
  <c r="AL62" i="97"/>
  <c r="AZ62" i="97"/>
  <c r="AY62" i="97"/>
  <c r="AT62" i="97"/>
  <c r="AO62" i="97"/>
  <c r="AR62" i="97"/>
  <c r="AU62" i="97"/>
  <c r="AP62" i="97"/>
  <c r="AM62" i="97"/>
  <c r="AW62" i="97"/>
  <c r="AV94" i="97"/>
  <c r="AQ94" i="97"/>
  <c r="AX94" i="97"/>
  <c r="BA94" i="97"/>
  <c r="AK94" i="97"/>
  <c r="AR94" i="97"/>
  <c r="AU94" i="97"/>
  <c r="AP94" i="97"/>
  <c r="AY94" i="97"/>
  <c r="AN94" i="97"/>
  <c r="AM94" i="97"/>
  <c r="AL94" i="97"/>
  <c r="AW94" i="97"/>
  <c r="AZ94" i="97"/>
  <c r="BD94" i="97"/>
  <c r="AJ94" i="97"/>
  <c r="BC94" i="97"/>
  <c r="AI94" i="97"/>
  <c r="BB94" i="97"/>
  <c r="AS94" i="97"/>
  <c r="AT94" i="97"/>
  <c r="AO94" i="97"/>
  <c r="AR84" i="97"/>
  <c r="BC84" i="97"/>
  <c r="AM84" i="97"/>
  <c r="AT84" i="97"/>
  <c r="AW84" i="97"/>
  <c r="BD84" i="97"/>
  <c r="AJ84" i="97"/>
  <c r="AI84" i="97"/>
  <c r="BB84" i="97"/>
  <c r="AS84" i="97"/>
  <c r="BA84" i="97"/>
  <c r="AZ84" i="97"/>
  <c r="AY84" i="97"/>
  <c r="AX84" i="97"/>
  <c r="AO84" i="97"/>
  <c r="AQ84" i="97"/>
  <c r="AL84" i="97"/>
  <c r="AV84" i="97"/>
  <c r="AU84" i="97"/>
  <c r="AP84" i="97"/>
  <c r="AK84" i="97"/>
  <c r="AN84" i="97"/>
  <c r="BD89" i="97"/>
  <c r="AN89" i="97"/>
  <c r="AY89" i="97"/>
  <c r="AI89" i="97"/>
  <c r="AP89" i="97"/>
  <c r="AS89" i="97"/>
  <c r="AJ89" i="97"/>
  <c r="AM89" i="97"/>
  <c r="BB89" i="97"/>
  <c r="AW89" i="97"/>
  <c r="AL89" i="97"/>
  <c r="AZ89" i="97"/>
  <c r="BC89" i="97"/>
  <c r="AX89" i="97"/>
  <c r="AO89" i="97"/>
  <c r="AR89" i="97"/>
  <c r="BA89" i="97"/>
  <c r="AV89" i="97"/>
  <c r="AU89" i="97"/>
  <c r="AT89" i="97"/>
  <c r="AK89" i="97"/>
  <c r="AQ89" i="97"/>
  <c r="BD71" i="97"/>
  <c r="AN71" i="97"/>
  <c r="AY71" i="97"/>
  <c r="AI71" i="97"/>
  <c r="AP71" i="97"/>
  <c r="AS71" i="97"/>
  <c r="AR71" i="97"/>
  <c r="AQ71" i="97"/>
  <c r="AL71" i="97"/>
  <c r="BA71" i="97"/>
  <c r="AU71" i="97"/>
  <c r="AJ71" i="97"/>
  <c r="AM71" i="97"/>
  <c r="BB71" i="97"/>
  <c r="AW71" i="97"/>
  <c r="AT71" i="97"/>
  <c r="AZ71" i="97"/>
  <c r="BC71" i="97"/>
  <c r="AX71" i="97"/>
  <c r="AO71" i="97"/>
  <c r="AV71" i="97"/>
  <c r="AK71" i="97"/>
  <c r="BD87" i="97"/>
  <c r="AN87" i="97"/>
  <c r="AY87" i="97"/>
  <c r="AI87" i="97"/>
  <c r="AP87" i="97"/>
  <c r="AS87" i="97"/>
  <c r="AV87" i="97"/>
  <c r="AU87" i="97"/>
  <c r="AT87" i="97"/>
  <c r="AK87" i="97"/>
  <c r="AZ87" i="97"/>
  <c r="AO87" i="97"/>
  <c r="AR87" i="97"/>
  <c r="AQ87" i="97"/>
  <c r="AL87" i="97"/>
  <c r="BA87" i="97"/>
  <c r="AX87" i="97"/>
  <c r="AJ87" i="97"/>
  <c r="AM87" i="97"/>
  <c r="BB87" i="97"/>
  <c r="AW87" i="97"/>
  <c r="BC87" i="97"/>
  <c r="BA103" i="97"/>
  <c r="BC103" i="97"/>
  <c r="AR103" i="97"/>
  <c r="AU103" i="97"/>
  <c r="AT103" i="97"/>
  <c r="AS103" i="97"/>
  <c r="AW103" i="97"/>
  <c r="BB103" i="97"/>
  <c r="AQ103" i="97"/>
  <c r="AO103" i="97"/>
  <c r="AX103" i="97"/>
  <c r="BD103" i="97"/>
  <c r="AV103" i="97"/>
  <c r="AM103" i="97"/>
  <c r="AK103" i="97"/>
  <c r="AY103" i="97"/>
  <c r="AZ103" i="97"/>
  <c r="AN103" i="97"/>
  <c r="AI103" i="97"/>
  <c r="AP103" i="97"/>
  <c r="AJ103" i="97"/>
  <c r="AL103" i="97"/>
  <c r="AE53" i="98"/>
  <c r="AF53" i="98"/>
  <c r="AG53" i="98"/>
  <c r="Z53" i="98"/>
  <c r="AA53" i="98"/>
  <c r="AB53" i="98"/>
  <c r="AC53" i="98"/>
  <c r="X53" i="98"/>
  <c r="Y53" i="98"/>
  <c r="AD53" i="98"/>
  <c r="AH53" i="98"/>
  <c r="X61" i="98"/>
  <c r="AA61" i="98"/>
  <c r="AG61" i="98"/>
  <c r="AF61" i="98"/>
  <c r="AE61" i="98"/>
  <c r="AC61" i="98"/>
  <c r="AD61" i="98"/>
  <c r="AB61" i="98"/>
  <c r="Y61" i="98"/>
  <c r="Z61" i="98"/>
  <c r="AH61" i="98"/>
  <c r="X69" i="98"/>
  <c r="AA69" i="98"/>
  <c r="AH69" i="98"/>
  <c r="AB69" i="98"/>
  <c r="Z69" i="98"/>
  <c r="Y69" i="98"/>
  <c r="AE69" i="98"/>
  <c r="AC69" i="98"/>
  <c r="AF69" i="98"/>
  <c r="AG69" i="98"/>
  <c r="AD69" i="98"/>
  <c r="AF77" i="98"/>
  <c r="Z77" i="98"/>
  <c r="AC77" i="98"/>
  <c r="X77" i="98"/>
  <c r="AA77" i="98"/>
  <c r="Y77" i="98"/>
  <c r="AE77" i="98"/>
  <c r="AH77" i="98"/>
  <c r="AG77" i="98"/>
  <c r="AB77" i="98"/>
  <c r="AD77" i="98"/>
  <c r="X85" i="98"/>
  <c r="AA85" i="98"/>
  <c r="AH85" i="98"/>
  <c r="AG85" i="98"/>
  <c r="Z85" i="98"/>
  <c r="AF85" i="98"/>
  <c r="AE85" i="98"/>
  <c r="AD85" i="98"/>
  <c r="AC85" i="98"/>
  <c r="AB85" i="98"/>
  <c r="Y85" i="98"/>
  <c r="AZ61" i="97"/>
  <c r="AJ61" i="97"/>
  <c r="AU61" i="97"/>
  <c r="BB61" i="97"/>
  <c r="AL61" i="97"/>
  <c r="AO61" i="97"/>
  <c r="BD61" i="97"/>
  <c r="BC61" i="97"/>
  <c r="AI61" i="97"/>
  <c r="AX61" i="97"/>
  <c r="AS61" i="97"/>
  <c r="AN61" i="97"/>
  <c r="AV61" i="97"/>
  <c r="AY61" i="97"/>
  <c r="AT61" i="97"/>
  <c r="AK61" i="97"/>
  <c r="AR61" i="97"/>
  <c r="AQ61" i="97"/>
  <c r="AP61" i="97"/>
  <c r="BA61" i="97"/>
  <c r="AM61" i="97"/>
  <c r="AW61" i="97"/>
  <c r="AV81" i="97"/>
  <c r="AQ81" i="97"/>
  <c r="AX81" i="97"/>
  <c r="BA81" i="97"/>
  <c r="AK81" i="97"/>
  <c r="AR81" i="97"/>
  <c r="AU81" i="97"/>
  <c r="AP81" i="97"/>
  <c r="AY81" i="97"/>
  <c r="AT81" i="97"/>
  <c r="AO81" i="97"/>
  <c r="AN81" i="97"/>
  <c r="AM81" i="97"/>
  <c r="R81" i="97"/>
  <c r="AL81" i="97"/>
  <c r="AW81" i="97"/>
  <c r="AZ81" i="97"/>
  <c r="BD81" i="97"/>
  <c r="AJ81" i="97"/>
  <c r="BC81" i="97"/>
  <c r="AI81" i="97"/>
  <c r="BB81" i="97"/>
  <c r="AS81" i="97"/>
  <c r="P81" i="97"/>
  <c r="AR85" i="97"/>
  <c r="BC85" i="97"/>
  <c r="AM85" i="97"/>
  <c r="AT85" i="97"/>
  <c r="AW85" i="97"/>
  <c r="AZ85" i="97"/>
  <c r="AY85" i="97"/>
  <c r="AX85" i="97"/>
  <c r="AO85" i="97"/>
  <c r="AJ85" i="97"/>
  <c r="BB85" i="97"/>
  <c r="AV85" i="97"/>
  <c r="AU85" i="97"/>
  <c r="AP85" i="97"/>
  <c r="AK85" i="97"/>
  <c r="BD85" i="97"/>
  <c r="AI85" i="97"/>
  <c r="AN85" i="97"/>
  <c r="AQ85" i="97"/>
  <c r="AL85" i="97"/>
  <c r="BA85" i="97"/>
  <c r="AS85" i="97"/>
  <c r="AD83" i="98"/>
  <c r="AG83" i="98"/>
  <c r="AF83" i="98"/>
  <c r="AE83" i="98"/>
  <c r="AH83" i="98"/>
  <c r="AC83" i="98"/>
  <c r="AB83" i="98"/>
  <c r="AA83" i="98"/>
  <c r="Z83" i="98"/>
  <c r="Y83" i="98"/>
  <c r="X83" i="98"/>
  <c r="AE55" i="77"/>
  <c r="P55" i="77"/>
  <c r="R55" i="77"/>
  <c r="L55" i="77"/>
  <c r="AH55" i="77"/>
  <c r="U55" i="77"/>
  <c r="AC55" i="77"/>
  <c r="Y55" i="77"/>
  <c r="AK55" i="77"/>
  <c r="W55" i="77"/>
  <c r="N55" i="77"/>
  <c r="V55" i="77"/>
  <c r="AI55" i="77"/>
  <c r="O55" i="77"/>
  <c r="Q55" i="77"/>
  <c r="AJ55" i="77"/>
  <c r="AA55" i="77"/>
  <c r="AA57" i="77" s="1"/>
  <c r="M55" i="77"/>
  <c r="X55" i="77"/>
  <c r="AF55" i="77"/>
  <c r="S55" i="77"/>
  <c r="Z55" i="77"/>
  <c r="Z57" i="77" s="1"/>
  <c r="AR66" i="97"/>
  <c r="BC66" i="97"/>
  <c r="AM66" i="97"/>
  <c r="AT66" i="97"/>
  <c r="AW66" i="97"/>
  <c r="AN66" i="97"/>
  <c r="AQ66" i="97"/>
  <c r="AL66" i="97"/>
  <c r="BA66" i="97"/>
  <c r="AV66" i="97"/>
  <c r="BD66" i="97"/>
  <c r="AJ66" i="97"/>
  <c r="AI66" i="97"/>
  <c r="BB66" i="97"/>
  <c r="AS66" i="97"/>
  <c r="AU66" i="97"/>
  <c r="AK66" i="97"/>
  <c r="AZ66" i="97"/>
  <c r="AY66" i="97"/>
  <c r="AX66" i="97"/>
  <c r="AO66" i="97"/>
  <c r="AP66" i="97"/>
  <c r="AR82" i="97"/>
  <c r="BC82" i="97"/>
  <c r="AM82" i="97"/>
  <c r="AT82" i="97"/>
  <c r="AW82" i="97"/>
  <c r="AV82" i="97"/>
  <c r="AU82" i="97"/>
  <c r="AP82" i="97"/>
  <c r="AK82" i="97"/>
  <c r="AX82" i="97"/>
  <c r="AN82" i="97"/>
  <c r="AQ82" i="97"/>
  <c r="R82" i="97"/>
  <c r="AL82" i="97"/>
  <c r="BA82" i="97"/>
  <c r="AZ82" i="97"/>
  <c r="AO82" i="97"/>
  <c r="BD82" i="97"/>
  <c r="AJ82" i="97"/>
  <c r="AI82" i="97"/>
  <c r="BB82" i="97"/>
  <c r="AS82" i="97"/>
  <c r="P82" i="97"/>
  <c r="AY82" i="97"/>
  <c r="AR98" i="97"/>
  <c r="BC98" i="97"/>
  <c r="AM98" i="97"/>
  <c r="AT98" i="97"/>
  <c r="AW98" i="97"/>
  <c r="AZ98" i="97"/>
  <c r="AY98" i="97"/>
  <c r="AX98" i="97"/>
  <c r="AO98" i="97"/>
  <c r="AV98" i="97"/>
  <c r="AU98" i="97"/>
  <c r="AP98" i="97"/>
  <c r="AK98" i="97"/>
  <c r="BD98" i="97"/>
  <c r="AI98" i="97"/>
  <c r="AS98" i="97"/>
  <c r="AN98" i="97"/>
  <c r="AQ98" i="97"/>
  <c r="AL98" i="97"/>
  <c r="BA98" i="97"/>
  <c r="AJ98" i="97"/>
  <c r="BB98" i="97"/>
  <c r="AB44" i="81"/>
  <c r="U48" i="81"/>
  <c r="P44" i="81"/>
  <c r="Y44" i="81"/>
  <c r="T48" i="81"/>
  <c r="O44" i="81"/>
  <c r="W44" i="81"/>
  <c r="V44" i="81"/>
  <c r="M44" i="81"/>
  <c r="X48" i="81"/>
  <c r="S44" i="81"/>
  <c r="Z44" i="81"/>
  <c r="V48" i="81"/>
  <c r="Q44" i="81"/>
  <c r="X44" i="81"/>
  <c r="X49" i="81" s="1"/>
  <c r="O48" i="81"/>
  <c r="U44" i="81"/>
  <c r="M48" i="81"/>
  <c r="L44" i="81"/>
  <c r="T44" i="81"/>
  <c r="T49" i="81" s="1"/>
  <c r="N48" i="81"/>
  <c r="Z48" i="81"/>
  <c r="R44" i="81"/>
  <c r="R49" i="81" s="1"/>
  <c r="AA44" i="81"/>
  <c r="N44" i="81"/>
  <c r="N49" i="81" s="1"/>
  <c r="P48" i="81"/>
  <c r="AG52" i="98"/>
  <c r="X52" i="98"/>
  <c r="AH52" i="98"/>
  <c r="Y52" i="98"/>
  <c r="AD52" i="98"/>
  <c r="AE52" i="98"/>
  <c r="AF52" i="98"/>
  <c r="AC52" i="98"/>
  <c r="Z52" i="98"/>
  <c r="AA52" i="98"/>
  <c r="AB52" i="98"/>
  <c r="AF60" i="98"/>
  <c r="AD60" i="98"/>
  <c r="AG60" i="98"/>
  <c r="AH60" i="98"/>
  <c r="AC60" i="98"/>
  <c r="AE60" i="98"/>
  <c r="X60" i="98"/>
  <c r="AB60" i="98"/>
  <c r="Z60" i="98"/>
  <c r="Y60" i="98"/>
  <c r="AA60" i="98"/>
  <c r="AD68" i="98"/>
  <c r="AG68" i="98"/>
  <c r="AH68" i="98"/>
  <c r="AC68" i="98"/>
  <c r="Z68" i="98"/>
  <c r="Y68" i="98"/>
  <c r="AF68" i="98"/>
  <c r="X68" i="98"/>
  <c r="AB68" i="98"/>
  <c r="AE68" i="98"/>
  <c r="AA68" i="98"/>
  <c r="AH76" i="98"/>
  <c r="AB76" i="98"/>
  <c r="AE76" i="98"/>
  <c r="Y76" i="98"/>
  <c r="AD76" i="98"/>
  <c r="AG76" i="98"/>
  <c r="X76" i="98"/>
  <c r="AA76" i="98"/>
  <c r="Z76" i="98"/>
  <c r="AC76" i="98"/>
  <c r="AF76" i="98"/>
  <c r="Z84" i="98"/>
  <c r="AC84" i="98"/>
  <c r="AD84" i="98"/>
  <c r="X84" i="98"/>
  <c r="Y84" i="98"/>
  <c r="AF84" i="98"/>
  <c r="AH84" i="98"/>
  <c r="AB84" i="98"/>
  <c r="AE84" i="98"/>
  <c r="AG84" i="98"/>
  <c r="AA84" i="98"/>
  <c r="BD72" i="97"/>
  <c r="AV72" i="97"/>
  <c r="AM72" i="97"/>
  <c r="AP72" i="97"/>
  <c r="AS72" i="97"/>
  <c r="AR72" i="97"/>
  <c r="AQ72" i="97"/>
  <c r="AW72" i="97"/>
  <c r="BA72" i="97"/>
  <c r="BC72" i="97"/>
  <c r="AN72" i="97"/>
  <c r="AI72" i="97"/>
  <c r="AX72" i="97"/>
  <c r="AO72" i="97"/>
  <c r="BB72" i="97"/>
  <c r="AJ72" i="97"/>
  <c r="AY72" i="97"/>
  <c r="AT72" i="97"/>
  <c r="AK72" i="97"/>
  <c r="AZ72" i="97"/>
  <c r="AU72" i="97"/>
  <c r="AL72" i="97"/>
  <c r="M69" i="77"/>
  <c r="BD88" i="97"/>
  <c r="AN88" i="97"/>
  <c r="AY88" i="97"/>
  <c r="AI88" i="97"/>
  <c r="AT88" i="97"/>
  <c r="AW88" i="97"/>
  <c r="AR88" i="97"/>
  <c r="AU88" i="97"/>
  <c r="BB88" i="97"/>
  <c r="BA88" i="97"/>
  <c r="AJ88" i="97"/>
  <c r="AQ88" i="97"/>
  <c r="AX88" i="97"/>
  <c r="AS88" i="97"/>
  <c r="AV88" i="97"/>
  <c r="AK88" i="97"/>
  <c r="AZ88" i="97"/>
  <c r="AM88" i="97"/>
  <c r="AP88" i="97"/>
  <c r="AO88" i="97"/>
  <c r="BC88" i="97"/>
  <c r="AL88" i="97"/>
  <c r="BA104" i="97"/>
  <c r="AK104" i="97"/>
  <c r="AR104" i="97"/>
  <c r="BC104" i="97"/>
  <c r="AM104" i="97"/>
  <c r="AT104" i="97"/>
  <c r="AS104" i="97"/>
  <c r="AN104" i="97"/>
  <c r="AQ104" i="97"/>
  <c r="AL104" i="97"/>
  <c r="AV104" i="97"/>
  <c r="AO104" i="97"/>
  <c r="BD104" i="97"/>
  <c r="AJ104" i="97"/>
  <c r="AI104" i="97"/>
  <c r="BB104" i="97"/>
  <c r="AU104" i="97"/>
  <c r="AP104" i="97"/>
  <c r="AZ104" i="97"/>
  <c r="AY104" i="97"/>
  <c r="AX104" i="97"/>
  <c r="AW104" i="97"/>
  <c r="AG54" i="98"/>
  <c r="AD54" i="98"/>
  <c r="AA54" i="98"/>
  <c r="AF54" i="98"/>
  <c r="AH54" i="98"/>
  <c r="X54" i="98"/>
  <c r="Y54" i="98"/>
  <c r="Z54" i="98"/>
  <c r="AB54" i="98"/>
  <c r="AC54" i="98"/>
  <c r="AE54" i="98"/>
  <c r="AF62" i="98"/>
  <c r="AD62" i="98"/>
  <c r="AG62" i="98"/>
  <c r="AH62" i="98"/>
  <c r="AC62" i="98"/>
  <c r="AE62" i="98"/>
  <c r="X62" i="98"/>
  <c r="AB62" i="98"/>
  <c r="Z62" i="98"/>
  <c r="Y62" i="98"/>
  <c r="AA62" i="98"/>
  <c r="AH70" i="98"/>
  <c r="AB70" i="98"/>
  <c r="AE70" i="98"/>
  <c r="AG70" i="98"/>
  <c r="AD70" i="98"/>
  <c r="AC70" i="98"/>
  <c r="AF70" i="98"/>
  <c r="AA70" i="98"/>
  <c r="Z70" i="98"/>
  <c r="Y70" i="98"/>
  <c r="X70" i="98"/>
  <c r="Z78" i="98"/>
  <c r="AC78" i="98"/>
  <c r="AH78" i="98"/>
  <c r="AG78" i="98"/>
  <c r="AF78" i="98"/>
  <c r="AE78" i="98"/>
  <c r="AD78" i="98"/>
  <c r="Y78" i="98"/>
  <c r="AB78" i="98"/>
  <c r="AA78" i="98"/>
  <c r="X78" i="98"/>
  <c r="AR101" i="97"/>
  <c r="BC101" i="97"/>
  <c r="AM101" i="97"/>
  <c r="AT101" i="97"/>
  <c r="AW101" i="97"/>
  <c r="BD101" i="97"/>
  <c r="AJ101" i="97"/>
  <c r="AI101" i="97"/>
  <c r="BB101" i="97"/>
  <c r="AS101" i="97"/>
  <c r="AQ101" i="97"/>
  <c r="BA101" i="97"/>
  <c r="AZ101" i="97"/>
  <c r="AY101" i="97"/>
  <c r="AX101" i="97"/>
  <c r="AO101" i="97"/>
  <c r="AL101" i="97"/>
  <c r="AV101" i="97"/>
  <c r="AU101" i="97"/>
  <c r="AP101" i="97"/>
  <c r="AK101" i="97"/>
  <c r="AN101" i="97"/>
  <c r="AC59" i="98"/>
  <c r="AH59" i="98"/>
  <c r="X59" i="98"/>
  <c r="AA59" i="98"/>
  <c r="Y59" i="98"/>
  <c r="AF59" i="98"/>
  <c r="AE59" i="98"/>
  <c r="AG59" i="98"/>
  <c r="AB59" i="98"/>
  <c r="Z59" i="98"/>
  <c r="AD59" i="98"/>
  <c r="AB71" i="98"/>
  <c r="AE71" i="98"/>
  <c r="X71" i="98"/>
  <c r="AF71" i="98"/>
  <c r="Y71" i="98"/>
  <c r="AG71" i="98"/>
  <c r="AA71" i="98"/>
  <c r="AH71" i="98"/>
  <c r="AD71" i="98"/>
  <c r="AC71" i="98"/>
  <c r="Z71" i="98"/>
  <c r="AR30" i="93"/>
  <c r="AV30" i="93" s="1"/>
  <c r="AV29" i="93"/>
  <c r="AQ11" i="93"/>
  <c r="E35" i="5"/>
  <c r="Q46" i="94" s="1"/>
  <c r="L46" i="84"/>
  <c r="L46" i="83"/>
  <c r="L46" i="81"/>
  <c r="L46" i="82"/>
  <c r="L48" i="81"/>
  <c r="L49" i="81" s="1"/>
  <c r="L49" i="82"/>
  <c r="D46" i="5"/>
  <c r="AB45" i="94" s="1"/>
  <c r="Q45" i="84"/>
  <c r="Q45" i="83"/>
  <c r="Q45" i="82"/>
  <c r="Q45" i="81"/>
  <c r="N55" i="80"/>
  <c r="N55" i="79"/>
  <c r="N55" i="78"/>
  <c r="F30" i="5"/>
  <c r="L47" i="94" s="1"/>
  <c r="L49" i="94" s="1"/>
  <c r="L48" i="94" s="1"/>
  <c r="F4" i="5"/>
  <c r="N57" i="93" s="1"/>
  <c r="N59" i="93" s="1"/>
  <c r="E4" i="5"/>
  <c r="N56" i="93" s="1"/>
  <c r="D10" i="5"/>
  <c r="T57" i="77" s="1"/>
  <c r="T55" i="93" s="1"/>
  <c r="O61" i="77" l="1"/>
  <c r="S61" i="77"/>
  <c r="Z49" i="81"/>
  <c r="V49" i="81"/>
  <c r="M56" i="77"/>
  <c r="M61" i="77" s="1"/>
  <c r="M17" i="78" s="1"/>
  <c r="Z6" i="82"/>
  <c r="Z8" i="82"/>
  <c r="Z38" i="82"/>
  <c r="Z36" i="82"/>
  <c r="Z42" i="82"/>
  <c r="Z21" i="82"/>
  <c r="Z14" i="82"/>
  <c r="Z41" i="82"/>
  <c r="Z35" i="82"/>
  <c r="Z29" i="82"/>
  <c r="Z20" i="82"/>
  <c r="Z9" i="82"/>
  <c r="Z11" i="82"/>
  <c r="Z23" i="82"/>
  <c r="Z17" i="82"/>
  <c r="Z27" i="82"/>
  <c r="Z37" i="82"/>
  <c r="Z31" i="82"/>
  <c r="Z18" i="82"/>
  <c r="Z15" i="82"/>
  <c r="Z10" i="82"/>
  <c r="Z22" i="82"/>
  <c r="Z40" i="82"/>
  <c r="Z25" i="82"/>
  <c r="Z19" i="82"/>
  <c r="Z5" i="82"/>
  <c r="Z7" i="82"/>
  <c r="Z39" i="82"/>
  <c r="Z33" i="82"/>
  <c r="Z24" i="82"/>
  <c r="Z13" i="82"/>
  <c r="Z28" i="82"/>
  <c r="Z34" i="82"/>
  <c r="Z32" i="82"/>
  <c r="Z16" i="82"/>
  <c r="Z26" i="82"/>
  <c r="Z30" i="82"/>
  <c r="Z12" i="82"/>
  <c r="H8" i="100"/>
  <c r="H10" i="100"/>
  <c r="H6" i="100"/>
  <c r="P8" i="99"/>
  <c r="P6" i="99"/>
  <c r="P10" i="99"/>
  <c r="O8" i="99"/>
  <c r="O6" i="99"/>
  <c r="O10" i="99"/>
  <c r="M20" i="78"/>
  <c r="M23" i="78"/>
  <c r="R9" i="82"/>
  <c r="R11" i="82"/>
  <c r="R13" i="82"/>
  <c r="R28" i="82"/>
  <c r="R34" i="82"/>
  <c r="R32" i="82"/>
  <c r="R38" i="82"/>
  <c r="R36" i="82"/>
  <c r="R42" i="82"/>
  <c r="R21" i="82"/>
  <c r="R5" i="82"/>
  <c r="R7" i="82"/>
  <c r="R30" i="82"/>
  <c r="R25" i="82"/>
  <c r="R19" i="82"/>
  <c r="R12" i="82"/>
  <c r="R23" i="82"/>
  <c r="R17" i="82"/>
  <c r="R27" i="82"/>
  <c r="R37" i="82"/>
  <c r="R16" i="82"/>
  <c r="R14" i="82"/>
  <c r="R35" i="82"/>
  <c r="R29" i="82"/>
  <c r="R33" i="82"/>
  <c r="R24" i="82"/>
  <c r="R6" i="82"/>
  <c r="R18" i="82"/>
  <c r="R15" i="82"/>
  <c r="R20" i="82"/>
  <c r="R40" i="82"/>
  <c r="R10" i="82"/>
  <c r="R41" i="82"/>
  <c r="R39" i="82"/>
  <c r="R8" i="82"/>
  <c r="R31" i="82"/>
  <c r="R22" i="82"/>
  <c r="R26" i="82"/>
  <c r="P49" i="81"/>
  <c r="Z55" i="93"/>
  <c r="Z59" i="93" s="1"/>
  <c r="Z55" i="80"/>
  <c r="Z55" i="78"/>
  <c r="Z55" i="79"/>
  <c r="Z59" i="79" s="1"/>
  <c r="Z17" i="93"/>
  <c r="Z21" i="93"/>
  <c r="Z41" i="93"/>
  <c r="Z9" i="93"/>
  <c r="Z25" i="93"/>
  <c r="Z23" i="93"/>
  <c r="Z31" i="93"/>
  <c r="Z39" i="93"/>
  <c r="Z47" i="93"/>
  <c r="Z33" i="93"/>
  <c r="Z49" i="93"/>
  <c r="Z6" i="93"/>
  <c r="Z10" i="93"/>
  <c r="Z14" i="93"/>
  <c r="Z18" i="93"/>
  <c r="Z26" i="93"/>
  <c r="Z28" i="93"/>
  <c r="Z36" i="93"/>
  <c r="Z44" i="93"/>
  <c r="Z52" i="93"/>
  <c r="Z30" i="93"/>
  <c r="Z38" i="93"/>
  <c r="Z46" i="93"/>
  <c r="Z37" i="93"/>
  <c r="Z43" i="93"/>
  <c r="Z20" i="93"/>
  <c r="Z24" i="93"/>
  <c r="Z7" i="93"/>
  <c r="Z22" i="93"/>
  <c r="Z35" i="93"/>
  <c r="Z48" i="93"/>
  <c r="Z19" i="93"/>
  <c r="Z50" i="93"/>
  <c r="Z29" i="93"/>
  <c r="Z51" i="93"/>
  <c r="Z8" i="93"/>
  <c r="Z32" i="93"/>
  <c r="Z11" i="93"/>
  <c r="Z34" i="93"/>
  <c r="Z16" i="93"/>
  <c r="Z45" i="93"/>
  <c r="Z27" i="93"/>
  <c r="Z13" i="93"/>
  <c r="Z12" i="93"/>
  <c r="Z40" i="93"/>
  <c r="Z15" i="93"/>
  <c r="Z42" i="93"/>
  <c r="Z5" i="93"/>
  <c r="Z34" i="79"/>
  <c r="Z49" i="79"/>
  <c r="Z33" i="79"/>
  <c r="Z38" i="79"/>
  <c r="Z50" i="79"/>
  <c r="Z37" i="79"/>
  <c r="Z25" i="79"/>
  <c r="Z10" i="79"/>
  <c r="Z13" i="79"/>
  <c r="Z16" i="79"/>
  <c r="Z20" i="79"/>
  <c r="Z5" i="79"/>
  <c r="Z42" i="79"/>
  <c r="Z41" i="79"/>
  <c r="Z46" i="79"/>
  <c r="Z45" i="79"/>
  <c r="Z29" i="79"/>
  <c r="Z24" i="79"/>
  <c r="Z21" i="79"/>
  <c r="Z11" i="79"/>
  <c r="Z39" i="79"/>
  <c r="Z36" i="79"/>
  <c r="Z52" i="79"/>
  <c r="Z26" i="79"/>
  <c r="Z19" i="79"/>
  <c r="Z23" i="79"/>
  <c r="Z47" i="79"/>
  <c r="Z31" i="79"/>
  <c r="Z44" i="79"/>
  <c r="Z30" i="79"/>
  <c r="Z35" i="79"/>
  <c r="Z48" i="79"/>
  <c r="Z32" i="79"/>
  <c r="Z22" i="79"/>
  <c r="Z6" i="79"/>
  <c r="Z9" i="79"/>
  <c r="Z12" i="79"/>
  <c r="Z15" i="79"/>
  <c r="Z28" i="79"/>
  <c r="Z27" i="79"/>
  <c r="Z17" i="79"/>
  <c r="Z8" i="79"/>
  <c r="Z51" i="79"/>
  <c r="Z43" i="79"/>
  <c r="Z40" i="79"/>
  <c r="Z14" i="79"/>
  <c r="Z18" i="79"/>
  <c r="Z7" i="79"/>
  <c r="M8" i="78"/>
  <c r="C8" i="100"/>
  <c r="C10" i="100"/>
  <c r="C6" i="100"/>
  <c r="B8" i="100"/>
  <c r="B10" i="100"/>
  <c r="B6" i="100"/>
  <c r="K8" i="100"/>
  <c r="K6" i="100"/>
  <c r="Q8" i="99"/>
  <c r="Q6" i="99"/>
  <c r="Q10" i="99"/>
  <c r="G8" i="99"/>
  <c r="G10" i="99"/>
  <c r="G6" i="99"/>
  <c r="J8" i="99"/>
  <c r="J6" i="99"/>
  <c r="J10" i="99"/>
  <c r="V8" i="99"/>
  <c r="V10" i="99"/>
  <c r="V6" i="99"/>
  <c r="U8" i="99"/>
  <c r="U10" i="99"/>
  <c r="U6" i="99"/>
  <c r="C8" i="99"/>
  <c r="C10" i="99"/>
  <c r="C6" i="99"/>
  <c r="M26" i="78"/>
  <c r="M40" i="78"/>
  <c r="M25" i="78"/>
  <c r="M34" i="78"/>
  <c r="M45" i="78"/>
  <c r="M28" i="78"/>
  <c r="M49" i="78"/>
  <c r="AI61" i="77"/>
  <c r="P61" i="77"/>
  <c r="R61" i="77"/>
  <c r="T6" i="82"/>
  <c r="T8" i="82"/>
  <c r="T33" i="82"/>
  <c r="T20" i="82"/>
  <c r="T18" i="82"/>
  <c r="T24" i="82"/>
  <c r="T22" i="82"/>
  <c r="T28" i="82"/>
  <c r="T42" i="82"/>
  <c r="T7" i="82"/>
  <c r="T32" i="82"/>
  <c r="T30" i="82"/>
  <c r="T14" i="82"/>
  <c r="T25" i="82"/>
  <c r="T29" i="82"/>
  <c r="T39" i="82"/>
  <c r="T10" i="82"/>
  <c r="T17" i="82"/>
  <c r="T37" i="82"/>
  <c r="T41" i="82"/>
  <c r="T35" i="82"/>
  <c r="T11" i="82"/>
  <c r="T9" i="82"/>
  <c r="T15" i="82"/>
  <c r="T13" i="82"/>
  <c r="T36" i="82"/>
  <c r="T34" i="82"/>
  <c r="T40" i="82"/>
  <c r="T38" i="82"/>
  <c r="T12" i="82"/>
  <c r="T23" i="82"/>
  <c r="T5" i="82"/>
  <c r="T21" i="82"/>
  <c r="T19" i="82"/>
  <c r="T16" i="82"/>
  <c r="T27" i="82"/>
  <c r="T31" i="82"/>
  <c r="T26" i="82"/>
  <c r="V9" i="82"/>
  <c r="V11" i="82"/>
  <c r="V20" i="82"/>
  <c r="V18" i="82"/>
  <c r="V24" i="82"/>
  <c r="V22" i="82"/>
  <c r="V28" i="82"/>
  <c r="V42" i="82"/>
  <c r="V32" i="82"/>
  <c r="V30" i="82"/>
  <c r="V8" i="82"/>
  <c r="V31" i="82"/>
  <c r="V35" i="82"/>
  <c r="V13" i="82"/>
  <c r="V5" i="82"/>
  <c r="V7" i="82"/>
  <c r="V36" i="82"/>
  <c r="V34" i="82"/>
  <c r="V40" i="82"/>
  <c r="V38" i="82"/>
  <c r="V12" i="82"/>
  <c r="V23" i="82"/>
  <c r="V17" i="82"/>
  <c r="V27" i="82"/>
  <c r="V6" i="82"/>
  <c r="V41" i="82"/>
  <c r="V15" i="82"/>
  <c r="V16" i="82"/>
  <c r="V10" i="82"/>
  <c r="V21" i="82"/>
  <c r="V14" i="82"/>
  <c r="V25" i="82"/>
  <c r="V19" i="82"/>
  <c r="V29" i="82"/>
  <c r="V39" i="82"/>
  <c r="V33" i="82"/>
  <c r="V37" i="82"/>
  <c r="V26" i="82"/>
  <c r="W8" i="99"/>
  <c r="W6" i="99"/>
  <c r="W10" i="99"/>
  <c r="M8" i="99"/>
  <c r="M6" i="99"/>
  <c r="M10" i="99"/>
  <c r="M48" i="78"/>
  <c r="M33" i="78"/>
  <c r="M24" i="78"/>
  <c r="O21" i="78"/>
  <c r="O13" i="78"/>
  <c r="O26" i="78"/>
  <c r="O14" i="78"/>
  <c r="O47" i="78"/>
  <c r="O46" i="78"/>
  <c r="O23" i="78"/>
  <c r="O50" i="78"/>
  <c r="O28" i="78"/>
  <c r="O38" i="78"/>
  <c r="O32" i="78"/>
  <c r="O42" i="78"/>
  <c r="O20" i="78"/>
  <c r="O36" i="78"/>
  <c r="O25" i="78"/>
  <c r="O40" i="78"/>
  <c r="O30" i="78"/>
  <c r="O44" i="78"/>
  <c r="O34" i="78"/>
  <c r="O48" i="78"/>
  <c r="O10" i="78"/>
  <c r="O11" i="78"/>
  <c r="O18" i="78"/>
  <c r="O52" i="78"/>
  <c r="O35" i="78"/>
  <c r="O22" i="78"/>
  <c r="O27" i="78"/>
  <c r="O15" i="78"/>
  <c r="O31" i="78"/>
  <c r="O51" i="78"/>
  <c r="O39" i="78"/>
  <c r="O43" i="78"/>
  <c r="O19" i="78"/>
  <c r="O8" i="78"/>
  <c r="O12" i="78"/>
  <c r="O17" i="78"/>
  <c r="O9" i="78"/>
  <c r="O24" i="78"/>
  <c r="O29" i="78"/>
  <c r="O33" i="78"/>
  <c r="O7" i="78"/>
  <c r="O6" i="78"/>
  <c r="O16" i="78"/>
  <c r="O37" i="78"/>
  <c r="O41" i="78"/>
  <c r="O45" i="78"/>
  <c r="O49" i="78"/>
  <c r="P48" i="82"/>
  <c r="P48" i="83"/>
  <c r="P48" i="94"/>
  <c r="Z48" i="94"/>
  <c r="Z48" i="82"/>
  <c r="Z48" i="83"/>
  <c r="M48" i="82"/>
  <c r="M48" i="94"/>
  <c r="M48" i="83"/>
  <c r="O49" i="81"/>
  <c r="U48" i="94"/>
  <c r="U48" i="83"/>
  <c r="U48" i="82"/>
  <c r="AA55" i="93"/>
  <c r="AA59" i="93" s="1"/>
  <c r="AA55" i="80"/>
  <c r="AA55" i="79"/>
  <c r="AA59" i="79" s="1"/>
  <c r="AA55" i="78"/>
  <c r="AA9" i="93"/>
  <c r="AA19" i="93"/>
  <c r="AA22" i="93"/>
  <c r="AA26" i="93"/>
  <c r="AA34" i="93"/>
  <c r="AA50" i="93"/>
  <c r="AA17" i="93"/>
  <c r="AA6" i="93"/>
  <c r="AA23" i="93"/>
  <c r="AA29" i="93"/>
  <c r="AA33" i="93"/>
  <c r="AA37" i="93"/>
  <c r="AA41" i="93"/>
  <c r="AA45" i="93"/>
  <c r="AA49" i="93"/>
  <c r="AA8" i="93"/>
  <c r="AA12" i="93"/>
  <c r="AA16" i="93"/>
  <c r="AA20" i="93"/>
  <c r="AA28" i="93"/>
  <c r="AA36" i="93"/>
  <c r="AA44" i="93"/>
  <c r="AA52" i="93"/>
  <c r="AA11" i="93"/>
  <c r="AA14" i="93"/>
  <c r="AA10" i="93"/>
  <c r="AA18" i="93"/>
  <c r="AA13" i="93"/>
  <c r="AA5" i="93"/>
  <c r="AA35" i="93"/>
  <c r="AA51" i="93"/>
  <c r="AA24" i="93"/>
  <c r="AA31" i="93"/>
  <c r="AA30" i="93"/>
  <c r="AA21" i="93"/>
  <c r="AA25" i="93"/>
  <c r="AA39" i="93"/>
  <c r="AA32" i="93"/>
  <c r="AA42" i="93"/>
  <c r="AA38" i="93"/>
  <c r="AA48" i="93"/>
  <c r="AA15" i="93"/>
  <c r="AA46" i="93"/>
  <c r="AA27" i="93"/>
  <c r="AA43" i="93"/>
  <c r="AA40" i="93"/>
  <c r="AA7" i="93"/>
  <c r="AA47" i="93"/>
  <c r="AA51" i="79"/>
  <c r="AA36" i="79"/>
  <c r="AA43" i="79"/>
  <c r="AA52" i="79"/>
  <c r="AA40" i="79"/>
  <c r="AA26" i="79"/>
  <c r="AA34" i="79"/>
  <c r="AA19" i="79"/>
  <c r="AA18" i="79"/>
  <c r="AA23" i="79"/>
  <c r="AA7" i="79"/>
  <c r="AA17" i="79"/>
  <c r="AA49" i="79"/>
  <c r="AA33" i="79"/>
  <c r="AA38" i="79"/>
  <c r="AA50" i="79"/>
  <c r="AA37" i="79"/>
  <c r="AA47" i="79"/>
  <c r="AA31" i="79"/>
  <c r="AA13" i="79"/>
  <c r="AA16" i="79"/>
  <c r="AA20" i="79"/>
  <c r="AA5" i="79"/>
  <c r="AA14" i="79"/>
  <c r="AA44" i="79"/>
  <c r="AA35" i="79"/>
  <c r="AA32" i="79"/>
  <c r="AA28" i="79"/>
  <c r="AA12" i="79"/>
  <c r="AA25" i="79"/>
  <c r="AA41" i="79"/>
  <c r="AA27" i="79"/>
  <c r="AA29" i="79"/>
  <c r="AA39" i="79"/>
  <c r="AA21" i="79"/>
  <c r="AA11" i="79"/>
  <c r="AA6" i="79"/>
  <c r="AA30" i="79"/>
  <c r="AA48" i="79"/>
  <c r="AA42" i="79"/>
  <c r="AA9" i="79"/>
  <c r="AA15" i="79"/>
  <c r="AA10" i="79"/>
  <c r="AA46" i="79"/>
  <c r="AA45" i="79"/>
  <c r="AA24" i="79"/>
  <c r="AA8" i="79"/>
  <c r="AA22" i="79"/>
  <c r="M13" i="78"/>
  <c r="M14" i="78"/>
  <c r="F8" i="100"/>
  <c r="F10" i="100"/>
  <c r="F6" i="100"/>
  <c r="L8" i="100"/>
  <c r="L6" i="100"/>
  <c r="L10" i="100"/>
  <c r="J8" i="100"/>
  <c r="J6" i="100"/>
  <c r="J10" i="100"/>
  <c r="I8" i="100"/>
  <c r="I6" i="100"/>
  <c r="I10" i="100"/>
  <c r="L8" i="99"/>
  <c r="L6" i="99"/>
  <c r="L10" i="99"/>
  <c r="T8" i="99"/>
  <c r="T6" i="99"/>
  <c r="T10" i="99"/>
  <c r="D8" i="99"/>
  <c r="D10" i="99"/>
  <c r="D6" i="99"/>
  <c r="R8" i="99"/>
  <c r="R10" i="99"/>
  <c r="R6" i="99"/>
  <c r="H8" i="99"/>
  <c r="H10" i="99"/>
  <c r="H6" i="99"/>
  <c r="S8" i="99"/>
  <c r="S10" i="99"/>
  <c r="S6" i="99"/>
  <c r="K10" i="100"/>
  <c r="M18" i="78"/>
  <c r="M32" i="78"/>
  <c r="M42" i="78"/>
  <c r="M38" i="78"/>
  <c r="M29" i="78"/>
  <c r="M41" i="78"/>
  <c r="M52" i="78"/>
  <c r="M47" i="78"/>
  <c r="M19" i="78"/>
  <c r="Q61" i="77"/>
  <c r="AH61" i="77"/>
  <c r="X45" i="78"/>
  <c r="X52" i="78"/>
  <c r="X44" i="78"/>
  <c r="X10" i="78"/>
  <c r="X31" i="78"/>
  <c r="X23" i="78"/>
  <c r="X15" i="78"/>
  <c r="X6" i="78"/>
  <c r="X32" i="78"/>
  <c r="X24" i="78"/>
  <c r="X16" i="78"/>
  <c r="X51" i="78"/>
  <c r="X43" i="78"/>
  <c r="X50" i="78"/>
  <c r="X42" i="78"/>
  <c r="X7" i="78"/>
  <c r="X29" i="78"/>
  <c r="X21" i="78"/>
  <c r="X13" i="78"/>
  <c r="X37" i="78"/>
  <c r="X30" i="78"/>
  <c r="X22" i="78"/>
  <c r="X14" i="78"/>
  <c r="X49" i="78"/>
  <c r="X48" i="78"/>
  <c r="X35" i="78"/>
  <c r="X19" i="78"/>
  <c r="X36" i="78"/>
  <c r="X28" i="78"/>
  <c r="X12" i="78"/>
  <c r="X47" i="78"/>
  <c r="X46" i="78"/>
  <c r="X33" i="78"/>
  <c r="X17" i="78"/>
  <c r="X34" i="78"/>
  <c r="X18" i="78"/>
  <c r="X41" i="78"/>
  <c r="X40" i="78"/>
  <c r="X27" i="78"/>
  <c r="X8" i="78"/>
  <c r="X20" i="78"/>
  <c r="X39" i="78"/>
  <c r="X38" i="78"/>
  <c r="X25" i="78"/>
  <c r="X11" i="78"/>
  <c r="X26" i="78"/>
  <c r="X9" i="78"/>
  <c r="AC61" i="77"/>
  <c r="U61" i="77"/>
  <c r="O48" i="82"/>
  <c r="O48" i="94"/>
  <c r="O48" i="83"/>
  <c r="M9" i="78"/>
  <c r="D8" i="100"/>
  <c r="D6" i="100"/>
  <c r="D10" i="100"/>
  <c r="E8" i="99"/>
  <c r="E6" i="99"/>
  <c r="E10" i="99"/>
  <c r="M35" i="78"/>
  <c r="M50" i="78"/>
  <c r="M36" i="78"/>
  <c r="S19" i="78"/>
  <c r="S8" i="78"/>
  <c r="S20" i="78"/>
  <c r="S12" i="78"/>
  <c r="S28" i="78"/>
  <c r="S46" i="78"/>
  <c r="S32" i="78"/>
  <c r="S50" i="78"/>
  <c r="S37" i="78"/>
  <c r="S25" i="78"/>
  <c r="S41" i="78"/>
  <c r="S31" i="78"/>
  <c r="S10" i="78"/>
  <c r="S17" i="78"/>
  <c r="S11" i="78"/>
  <c r="S18" i="78"/>
  <c r="S9" i="78"/>
  <c r="S29" i="78"/>
  <c r="S47" i="78"/>
  <c r="S33" i="78"/>
  <c r="S51" i="78"/>
  <c r="S52" i="78"/>
  <c r="S22" i="78"/>
  <c r="S40" i="78"/>
  <c r="S21" i="78"/>
  <c r="S26" i="78"/>
  <c r="S14" i="78"/>
  <c r="S27" i="78"/>
  <c r="S48" i="78"/>
  <c r="S39" i="78"/>
  <c r="S24" i="78"/>
  <c r="S7" i="78"/>
  <c r="S15" i="78"/>
  <c r="S6" i="78"/>
  <c r="S16" i="78"/>
  <c r="S30" i="78"/>
  <c r="S45" i="78"/>
  <c r="S34" i="78"/>
  <c r="S49" i="78"/>
  <c r="S35" i="78"/>
  <c r="S38" i="78"/>
  <c r="S23" i="78"/>
  <c r="S42" i="78"/>
  <c r="S13" i="78"/>
  <c r="S44" i="78"/>
  <c r="S36" i="78"/>
  <c r="S43" i="78"/>
  <c r="X49" i="94"/>
  <c r="L48" i="82"/>
  <c r="N8" i="82"/>
  <c r="N6" i="82"/>
  <c r="N30" i="82"/>
  <c r="N25" i="82"/>
  <c r="N18" i="82"/>
  <c r="N29" i="82"/>
  <c r="N38" i="82"/>
  <c r="N27" i="82"/>
  <c r="N20" i="82"/>
  <c r="N31" i="82"/>
  <c r="N10" i="82"/>
  <c r="N33" i="82"/>
  <c r="N11" i="82"/>
  <c r="N9" i="82"/>
  <c r="N17" i="82"/>
  <c r="N41" i="82"/>
  <c r="N34" i="82"/>
  <c r="N23" i="82"/>
  <c r="N15" i="82"/>
  <c r="N26" i="82"/>
  <c r="N36" i="82"/>
  <c r="N13" i="82"/>
  <c r="N35" i="82"/>
  <c r="N22" i="82"/>
  <c r="N14" i="82"/>
  <c r="N7" i="82"/>
  <c r="N5" i="82"/>
  <c r="N24" i="82"/>
  <c r="N19" i="82"/>
  <c r="N21" i="82"/>
  <c r="N39" i="82"/>
  <c r="N32" i="82"/>
  <c r="N42" i="82"/>
  <c r="N37" i="82"/>
  <c r="N16" i="82"/>
  <c r="N40" i="82"/>
  <c r="N28" i="82"/>
  <c r="N12" i="82"/>
  <c r="N48" i="94"/>
  <c r="N48" i="83"/>
  <c r="N48" i="82"/>
  <c r="U49" i="81"/>
  <c r="V48" i="82"/>
  <c r="V48" i="94"/>
  <c r="V48" i="83"/>
  <c r="M49" i="81"/>
  <c r="T48" i="82"/>
  <c r="T48" i="94"/>
  <c r="T48" i="83"/>
  <c r="V57" i="77"/>
  <c r="Y57" i="77"/>
  <c r="M12" i="78"/>
  <c r="M15" i="78"/>
  <c r="E8" i="100"/>
  <c r="E6" i="100"/>
  <c r="E10" i="100"/>
  <c r="G8" i="100"/>
  <c r="G6" i="100"/>
  <c r="G10" i="100"/>
  <c r="F8" i="99"/>
  <c r="F6" i="99"/>
  <c r="F10" i="99"/>
  <c r="B8" i="99"/>
  <c r="B6" i="99"/>
  <c r="B10" i="99"/>
  <c r="I8" i="99"/>
  <c r="I10" i="99"/>
  <c r="I6" i="99"/>
  <c r="K8" i="99"/>
  <c r="K6" i="99"/>
  <c r="K10" i="99"/>
  <c r="N8" i="99"/>
  <c r="N10" i="99"/>
  <c r="N6" i="99"/>
  <c r="M31" i="78"/>
  <c r="M37" i="78"/>
  <c r="M21" i="78"/>
  <c r="M30" i="78"/>
  <c r="M39" i="78"/>
  <c r="M43" i="78"/>
  <c r="M44" i="78"/>
  <c r="M27" i="78"/>
  <c r="M66" i="77"/>
  <c r="M72" i="77" s="1"/>
  <c r="L61" i="77"/>
  <c r="Y49" i="78"/>
  <c r="Y41" i="78"/>
  <c r="Y50" i="78"/>
  <c r="Y42" i="78"/>
  <c r="Y33" i="78"/>
  <c r="Y25" i="78"/>
  <c r="Y17" i="78"/>
  <c r="Y11" i="78"/>
  <c r="Y32" i="78"/>
  <c r="Y24" i="78"/>
  <c r="Y16" i="78"/>
  <c r="Y10" i="78"/>
  <c r="Y37" i="78"/>
  <c r="Y38" i="78"/>
  <c r="Y21" i="78"/>
  <c r="Y36" i="78"/>
  <c r="Y28" i="78"/>
  <c r="Y12" i="78"/>
  <c r="Y51" i="78"/>
  <c r="Y52" i="78"/>
  <c r="Y35" i="78"/>
  <c r="Y19" i="78"/>
  <c r="Y34" i="78"/>
  <c r="Y18" i="78"/>
  <c r="Y9" i="78"/>
  <c r="Y47" i="78"/>
  <c r="Y39" i="78"/>
  <c r="Y48" i="78"/>
  <c r="Y40" i="78"/>
  <c r="Y31" i="78"/>
  <c r="Y23" i="78"/>
  <c r="Y15" i="78"/>
  <c r="Y6" i="78"/>
  <c r="Y30" i="78"/>
  <c r="Y22" i="78"/>
  <c r="Y14" i="78"/>
  <c r="Y7" i="78"/>
  <c r="Y45" i="78"/>
  <c r="Y46" i="78"/>
  <c r="Y29" i="78"/>
  <c r="Y13" i="78"/>
  <c r="Y20" i="78"/>
  <c r="Y43" i="78"/>
  <c r="Y44" i="78"/>
  <c r="Y27" i="78"/>
  <c r="Y8" i="78"/>
  <c r="Y26" i="78"/>
  <c r="W61" i="77"/>
  <c r="AQ12" i="93"/>
  <c r="F35" i="5"/>
  <c r="Q47" i="94" s="1"/>
  <c r="L47" i="84"/>
  <c r="L47" i="83"/>
  <c r="L49" i="83" s="1"/>
  <c r="L47" i="81"/>
  <c r="L47" i="82"/>
  <c r="T55" i="80"/>
  <c r="T55" i="79"/>
  <c r="T55" i="78"/>
  <c r="Q46" i="84"/>
  <c r="Q46" i="83"/>
  <c r="Q46" i="82"/>
  <c r="Q46" i="81"/>
  <c r="N56" i="80"/>
  <c r="N56" i="79"/>
  <c r="N56" i="78"/>
  <c r="AB45" i="84"/>
  <c r="AB45" i="83"/>
  <c r="X49" i="83" s="1"/>
  <c r="AB45" i="82"/>
  <c r="AB45" i="81"/>
  <c r="L10" i="82"/>
  <c r="L6" i="82"/>
  <c r="L9" i="82"/>
  <c r="L5" i="82"/>
  <c r="L16" i="82"/>
  <c r="L8" i="82"/>
  <c r="L11" i="82"/>
  <c r="L7" i="82"/>
  <c r="L26" i="82"/>
  <c r="L42" i="82"/>
  <c r="L27" i="82"/>
  <c r="L28" i="82"/>
  <c r="L12" i="82"/>
  <c r="L29" i="82"/>
  <c r="L13" i="82"/>
  <c r="L30" i="82"/>
  <c r="L14" i="82"/>
  <c r="L31" i="82"/>
  <c r="L15" i="82"/>
  <c r="L32" i="82"/>
  <c r="L17" i="82"/>
  <c r="L33" i="82"/>
  <c r="L18" i="82"/>
  <c r="L34" i="82"/>
  <c r="L19" i="82"/>
  <c r="L35" i="82"/>
  <c r="L20" i="82"/>
  <c r="L36" i="82"/>
  <c r="L21" i="82"/>
  <c r="L37" i="82"/>
  <c r="L22" i="82"/>
  <c r="L38" i="82"/>
  <c r="L23" i="82"/>
  <c r="L39" i="82"/>
  <c r="L24" i="82"/>
  <c r="L40" i="82"/>
  <c r="L25" i="82"/>
  <c r="L41" i="82"/>
  <c r="N57" i="80"/>
  <c r="N57" i="79"/>
  <c r="N59" i="79" s="1"/>
  <c r="N5" i="80" s="1"/>
  <c r="N57" i="78"/>
  <c r="L48" i="83"/>
  <c r="E10" i="5"/>
  <c r="T56" i="93" s="1"/>
  <c r="N58" i="77"/>
  <c r="F10" i="5"/>
  <c r="T57" i="93" s="1"/>
  <c r="N59" i="77"/>
  <c r="D47" i="5"/>
  <c r="D29" i="5"/>
  <c r="M7" i="78" l="1"/>
  <c r="M11" i="78"/>
  <c r="M46" i="78"/>
  <c r="M22" i="78"/>
  <c r="M6" i="78"/>
  <c r="M16" i="78"/>
  <c r="M54" i="78" s="1"/>
  <c r="M59" i="78" s="1"/>
  <c r="M51" i="78"/>
  <c r="M10" i="78"/>
  <c r="Z54" i="93"/>
  <c r="L22" i="94"/>
  <c r="L15" i="94"/>
  <c r="L11" i="94"/>
  <c r="M44" i="80"/>
  <c r="M21" i="80"/>
  <c r="X10" i="99"/>
  <c r="M15" i="80"/>
  <c r="N19" i="94"/>
  <c r="N19" i="83"/>
  <c r="N19" i="84"/>
  <c r="N34" i="94"/>
  <c r="N34" i="83"/>
  <c r="N34" i="98" s="1"/>
  <c r="N77" i="98" s="1"/>
  <c r="N34" i="84"/>
  <c r="N18" i="94"/>
  <c r="N18" i="84"/>
  <c r="N18" i="83"/>
  <c r="N18" i="98" s="1"/>
  <c r="N61" i="98" s="1"/>
  <c r="AC7" i="78"/>
  <c r="AC15" i="78"/>
  <c r="AC6" i="78"/>
  <c r="AC16" i="78"/>
  <c r="AC32" i="78"/>
  <c r="AC43" i="78"/>
  <c r="AC24" i="78"/>
  <c r="AC52" i="78"/>
  <c r="AC25" i="78"/>
  <c r="AC40" i="78"/>
  <c r="AC30" i="78"/>
  <c r="AC44" i="78"/>
  <c r="AC21" i="78"/>
  <c r="AC13" i="78"/>
  <c r="AC26" i="78"/>
  <c r="AC14" i="78"/>
  <c r="AC34" i="78"/>
  <c r="AC48" i="78"/>
  <c r="AC27" i="78"/>
  <c r="AC49" i="78"/>
  <c r="AC31" i="78"/>
  <c r="AC37" i="78"/>
  <c r="AC35" i="78"/>
  <c r="AC41" i="78"/>
  <c r="AC19" i="78"/>
  <c r="AC8" i="78"/>
  <c r="AC12" i="78"/>
  <c r="AC22" i="78"/>
  <c r="AC50" i="78"/>
  <c r="AC23" i="78"/>
  <c r="AC28" i="78"/>
  <c r="AC10" i="78"/>
  <c r="AC11" i="78"/>
  <c r="AC9" i="78"/>
  <c r="AC36" i="78"/>
  <c r="AC29" i="78"/>
  <c r="AC33" i="78"/>
  <c r="AC20" i="78"/>
  <c r="AC45" i="78"/>
  <c r="AC38" i="78"/>
  <c r="AC42" i="78"/>
  <c r="AC17" i="78"/>
  <c r="AC18" i="78"/>
  <c r="AC46" i="78"/>
  <c r="AC47" i="78"/>
  <c r="AC51" i="78"/>
  <c r="AC39" i="78"/>
  <c r="X18" i="80"/>
  <c r="X49" i="80"/>
  <c r="X51" i="80"/>
  <c r="AH9" i="78"/>
  <c r="AH18" i="78"/>
  <c r="AH7" i="78"/>
  <c r="AH17" i="78"/>
  <c r="AH8" i="78"/>
  <c r="AH23" i="78"/>
  <c r="AH46" i="78"/>
  <c r="AH51" i="78"/>
  <c r="AH24" i="78"/>
  <c r="AH39" i="78"/>
  <c r="AH29" i="78"/>
  <c r="AH40" i="78"/>
  <c r="AH26" i="78"/>
  <c r="AH14" i="78"/>
  <c r="AH13" i="78"/>
  <c r="AH44" i="78"/>
  <c r="AH49" i="78"/>
  <c r="AH37" i="78"/>
  <c r="AH42" i="78"/>
  <c r="AH12" i="78"/>
  <c r="AH11" i="78"/>
  <c r="AH45" i="78"/>
  <c r="AH50" i="78"/>
  <c r="AH32" i="78"/>
  <c r="AH43" i="78"/>
  <c r="AH6" i="78"/>
  <c r="AH16" i="78"/>
  <c r="AH10" i="78"/>
  <c r="AH15" i="78"/>
  <c r="AH33" i="78"/>
  <c r="AH47" i="78"/>
  <c r="AH30" i="78"/>
  <c r="AH48" i="78"/>
  <c r="AH34" i="78"/>
  <c r="AH52" i="78"/>
  <c r="AH31" i="78"/>
  <c r="AH41" i="78"/>
  <c r="AH21" i="78"/>
  <c r="AH25" i="78"/>
  <c r="AH22" i="78"/>
  <c r="AH27" i="78"/>
  <c r="AH36" i="78"/>
  <c r="AH20" i="78"/>
  <c r="AH19" i="78"/>
  <c r="AH35" i="78"/>
  <c r="AH28" i="78"/>
  <c r="AH38" i="78"/>
  <c r="M42" i="80"/>
  <c r="O33" i="80"/>
  <c r="O43" i="80"/>
  <c r="O40" i="80"/>
  <c r="V15" i="94"/>
  <c r="V15" i="83"/>
  <c r="T15" i="98" s="1"/>
  <c r="T58" i="98" s="1"/>
  <c r="V15" i="84"/>
  <c r="V5" i="94"/>
  <c r="V5" i="84"/>
  <c r="V5" i="83"/>
  <c r="V44" i="82"/>
  <c r="T31" i="94"/>
  <c r="T31" i="84"/>
  <c r="T31" i="83"/>
  <c r="R31" i="98" s="1"/>
  <c r="R74" i="98" s="1"/>
  <c r="R13" i="98"/>
  <c r="R56" i="98" s="1"/>
  <c r="T13" i="94"/>
  <c r="T13" i="84"/>
  <c r="T13" i="83"/>
  <c r="T14" i="94"/>
  <c r="T14" i="84"/>
  <c r="T14" i="83"/>
  <c r="T6" i="94"/>
  <c r="T6" i="84"/>
  <c r="T6" i="83"/>
  <c r="P10" i="82"/>
  <c r="P16" i="82"/>
  <c r="P28" i="82"/>
  <c r="P42" i="82"/>
  <c r="P32" i="82"/>
  <c r="P30" i="82"/>
  <c r="P21" i="82"/>
  <c r="P14" i="82"/>
  <c r="P25" i="82"/>
  <c r="P19" i="82"/>
  <c r="P15" i="82"/>
  <c r="P6" i="82"/>
  <c r="P8" i="82"/>
  <c r="P12" i="82"/>
  <c r="P23" i="82"/>
  <c r="P17" i="82"/>
  <c r="P27" i="82"/>
  <c r="P37" i="82"/>
  <c r="P31" i="82"/>
  <c r="P41" i="82"/>
  <c r="P35" i="82"/>
  <c r="P5" i="82"/>
  <c r="P26" i="82"/>
  <c r="P13" i="82"/>
  <c r="P34" i="82"/>
  <c r="P40" i="82"/>
  <c r="P9" i="82"/>
  <c r="P11" i="82"/>
  <c r="P29" i="82"/>
  <c r="P39" i="82"/>
  <c r="P33" i="82"/>
  <c r="P20" i="82"/>
  <c r="P18" i="82"/>
  <c r="P24" i="82"/>
  <c r="P22" i="82"/>
  <c r="P7" i="82"/>
  <c r="P36" i="82"/>
  <c r="P38" i="82"/>
  <c r="R8" i="94"/>
  <c r="S8" i="94" s="1"/>
  <c r="R8" i="84"/>
  <c r="S8" i="84" s="1"/>
  <c r="S8" i="82"/>
  <c r="R8" i="83"/>
  <c r="S8" i="83" s="1"/>
  <c r="R6" i="94"/>
  <c r="S6" i="94" s="1"/>
  <c r="S6" i="82"/>
  <c r="R6" i="84"/>
  <c r="S6" i="84" s="1"/>
  <c r="R6" i="83"/>
  <c r="S6" i="83" s="1"/>
  <c r="R35" i="94"/>
  <c r="S35" i="94" s="1"/>
  <c r="R35" i="84"/>
  <c r="S35" i="84" s="1"/>
  <c r="S35" i="82"/>
  <c r="R35" i="83"/>
  <c r="S35" i="83" s="1"/>
  <c r="R19" i="94"/>
  <c r="S19" i="94" s="1"/>
  <c r="R19" i="84"/>
  <c r="S19" i="84" s="1"/>
  <c r="R19" i="83"/>
  <c r="S19" i="83" s="1"/>
  <c r="S19" i="82"/>
  <c r="R5" i="94"/>
  <c r="R5" i="84"/>
  <c r="R44" i="82"/>
  <c r="S5" i="82"/>
  <c r="R5" i="83"/>
  <c r="R38" i="94"/>
  <c r="S38" i="94" s="1"/>
  <c r="Q38" i="98"/>
  <c r="Q81" i="98" s="1"/>
  <c r="R38" i="83"/>
  <c r="S38" i="83" s="1"/>
  <c r="S38" i="82"/>
  <c r="R38" i="84"/>
  <c r="S38" i="84" s="1"/>
  <c r="R13" i="94"/>
  <c r="S13" i="94" s="1"/>
  <c r="R13" i="83"/>
  <c r="S13" i="83" s="1"/>
  <c r="S13" i="82"/>
  <c r="R13" i="84"/>
  <c r="S13" i="84" s="1"/>
  <c r="M23" i="80"/>
  <c r="Z12" i="94"/>
  <c r="AA12" i="94" s="1"/>
  <c r="AA12" i="82"/>
  <c r="Z12" i="83"/>
  <c r="AA12" i="83" s="1"/>
  <c r="Z12" i="84"/>
  <c r="AA12" i="84" s="1"/>
  <c r="Z32" i="94"/>
  <c r="AA32" i="94" s="1"/>
  <c r="Z32" i="83"/>
  <c r="AA32" i="83" s="1"/>
  <c r="Z32" i="84"/>
  <c r="AA32" i="84" s="1"/>
  <c r="AA32" i="82"/>
  <c r="Z24" i="94"/>
  <c r="AA24" i="94" s="1"/>
  <c r="Z24" i="83"/>
  <c r="AA24" i="83" s="1"/>
  <c r="Z24" i="84"/>
  <c r="AA24" i="84" s="1"/>
  <c r="AA24" i="82"/>
  <c r="Z5" i="94"/>
  <c r="Z5" i="83"/>
  <c r="Z5" i="84"/>
  <c r="AA5" i="82"/>
  <c r="Z44" i="82"/>
  <c r="Z22" i="94"/>
  <c r="AA22" i="94" s="1"/>
  <c r="AA22" i="82"/>
  <c r="Z22" i="84"/>
  <c r="AA22" i="84" s="1"/>
  <c r="Z22" i="83"/>
  <c r="AA22" i="83" s="1"/>
  <c r="Z31" i="94"/>
  <c r="AA31" i="94" s="1"/>
  <c r="Z31" i="83"/>
  <c r="AA31" i="83" s="1"/>
  <c r="Z31" i="84"/>
  <c r="AA31" i="84" s="1"/>
  <c r="AA31" i="82"/>
  <c r="Z23" i="94"/>
  <c r="AA23" i="94" s="1"/>
  <c r="Z23" i="83"/>
  <c r="AA23" i="83" s="1"/>
  <c r="AA23" i="82"/>
  <c r="Z23" i="84"/>
  <c r="AA23" i="84" s="1"/>
  <c r="Z29" i="94"/>
  <c r="AA29" i="94" s="1"/>
  <c r="AA29" i="82"/>
  <c r="Z29" i="84"/>
  <c r="AA29" i="84" s="1"/>
  <c r="Z29" i="83"/>
  <c r="AA29" i="83" s="1"/>
  <c r="Z21" i="94"/>
  <c r="AA21" i="94" s="1"/>
  <c r="AA21" i="82"/>
  <c r="Z21" i="84"/>
  <c r="AA21" i="84" s="1"/>
  <c r="Z21" i="83"/>
  <c r="AA21" i="83" s="1"/>
  <c r="M7" i="80"/>
  <c r="F29" i="5"/>
  <c r="AM57" i="93" s="1"/>
  <c r="L41" i="94"/>
  <c r="L39" i="94"/>
  <c r="L37" i="94"/>
  <c r="L35" i="94"/>
  <c r="L33" i="94"/>
  <c r="L31" i="94"/>
  <c r="L29" i="94"/>
  <c r="L42" i="94"/>
  <c r="L8" i="94"/>
  <c r="L6" i="94"/>
  <c r="W18" i="78"/>
  <c r="W9" i="78"/>
  <c r="W19" i="78"/>
  <c r="W8" i="78"/>
  <c r="W34" i="78"/>
  <c r="W44" i="78"/>
  <c r="W28" i="78"/>
  <c r="W50" i="78"/>
  <c r="W32" i="78"/>
  <c r="W38" i="78"/>
  <c r="W36" i="78"/>
  <c r="W42" i="78"/>
  <c r="W16" i="78"/>
  <c r="W10" i="78"/>
  <c r="W17" i="78"/>
  <c r="W11" i="78"/>
  <c r="W31" i="78"/>
  <c r="W45" i="78"/>
  <c r="W51" i="78"/>
  <c r="W24" i="78"/>
  <c r="W39" i="78"/>
  <c r="W29" i="78"/>
  <c r="W43" i="78"/>
  <c r="W26" i="78"/>
  <c r="W14" i="78"/>
  <c r="W15" i="78"/>
  <c r="W23" i="78"/>
  <c r="W46" i="78"/>
  <c r="W52" i="78"/>
  <c r="W40" i="78"/>
  <c r="W12" i="78"/>
  <c r="W13" i="78"/>
  <c r="W47" i="78"/>
  <c r="W49" i="78"/>
  <c r="W37" i="78"/>
  <c r="W41" i="78"/>
  <c r="W7" i="78"/>
  <c r="W6" i="78"/>
  <c r="W48" i="78"/>
  <c r="W25" i="78"/>
  <c r="W30" i="78"/>
  <c r="W20" i="78"/>
  <c r="W21" i="78"/>
  <c r="W33" i="78"/>
  <c r="W35" i="78"/>
  <c r="W22" i="78"/>
  <c r="W27" i="78"/>
  <c r="L30" i="78"/>
  <c r="L16" i="78"/>
  <c r="L7" i="78"/>
  <c r="L23" i="78"/>
  <c r="L50" i="78"/>
  <c r="L52" i="78"/>
  <c r="L35" i="78"/>
  <c r="L21" i="78"/>
  <c r="L8" i="78"/>
  <c r="L33" i="78"/>
  <c r="L19" i="78"/>
  <c r="L37" i="78"/>
  <c r="L11" i="78"/>
  <c r="L9" i="78"/>
  <c r="L15" i="78"/>
  <c r="L47" i="78"/>
  <c r="L12" i="78"/>
  <c r="L20" i="78"/>
  <c r="L32" i="78"/>
  <c r="L22" i="78"/>
  <c r="L25" i="78"/>
  <c r="L34" i="78"/>
  <c r="L38" i="78"/>
  <c r="L42" i="78"/>
  <c r="L46" i="78"/>
  <c r="L28" i="78"/>
  <c r="L14" i="78"/>
  <c r="L29" i="78"/>
  <c r="L17" i="78"/>
  <c r="L31" i="78"/>
  <c r="L13" i="78"/>
  <c r="L51" i="78"/>
  <c r="L45" i="78"/>
  <c r="L39" i="78"/>
  <c r="L49" i="78"/>
  <c r="L43" i="78"/>
  <c r="L24" i="78"/>
  <c r="L27" i="78"/>
  <c r="L41" i="78"/>
  <c r="L18" i="78"/>
  <c r="L26" i="78"/>
  <c r="L6" i="78"/>
  <c r="L10" i="78"/>
  <c r="L36" i="78"/>
  <c r="L40" i="78"/>
  <c r="L44" i="78"/>
  <c r="L48" i="78"/>
  <c r="M43" i="80"/>
  <c r="M37" i="80"/>
  <c r="X6" i="99"/>
  <c r="M12" i="80"/>
  <c r="N40" i="94"/>
  <c r="N40" i="84"/>
  <c r="N40" i="83"/>
  <c r="N32" i="94"/>
  <c r="N32" i="83"/>
  <c r="N32" i="84"/>
  <c r="N24" i="94"/>
  <c r="N24" i="83"/>
  <c r="N24" i="98" s="1"/>
  <c r="N67" i="98" s="1"/>
  <c r="N24" i="84"/>
  <c r="N22" i="94"/>
  <c r="N22" i="83"/>
  <c r="N22" i="98" s="1"/>
  <c r="N65" i="98" s="1"/>
  <c r="N22" i="84"/>
  <c r="N26" i="94"/>
  <c r="N26" i="84"/>
  <c r="N26" i="83"/>
  <c r="N41" i="94"/>
  <c r="N41" i="84"/>
  <c r="N41" i="83"/>
  <c r="N33" i="94"/>
  <c r="N33" i="84"/>
  <c r="N33" i="98" s="1"/>
  <c r="N76" i="98" s="1"/>
  <c r="N33" i="83"/>
  <c r="N27" i="94"/>
  <c r="N27" i="83"/>
  <c r="N27" i="98" s="1"/>
  <c r="N70" i="98" s="1"/>
  <c r="N27" i="84"/>
  <c r="N25" i="94"/>
  <c r="N25" i="83"/>
  <c r="N25" i="84"/>
  <c r="X9" i="80"/>
  <c r="X38" i="80"/>
  <c r="X27" i="80"/>
  <c r="X34" i="80"/>
  <c r="X47" i="80"/>
  <c r="X19" i="80"/>
  <c r="X14" i="80"/>
  <c r="X13" i="80"/>
  <c r="X42" i="80"/>
  <c r="X16" i="80"/>
  <c r="X15" i="80"/>
  <c r="X44" i="80"/>
  <c r="Q6" i="78"/>
  <c r="Q22" i="78"/>
  <c r="Q10" i="78"/>
  <c r="Q25" i="78"/>
  <c r="Q34" i="78"/>
  <c r="Q49" i="78"/>
  <c r="Q8" i="78"/>
  <c r="Q50" i="78"/>
  <c r="Q12" i="78"/>
  <c r="Q38" i="78"/>
  <c r="Q20" i="78"/>
  <c r="Q42" i="78"/>
  <c r="Q28" i="78"/>
  <c r="Q29" i="78"/>
  <c r="Q17" i="78"/>
  <c r="Q46" i="78"/>
  <c r="Q18" i="78"/>
  <c r="Q26" i="78"/>
  <c r="Q11" i="78"/>
  <c r="Q9" i="78"/>
  <c r="Q27" i="78"/>
  <c r="Q33" i="78"/>
  <c r="Q48" i="78"/>
  <c r="Q52" i="78"/>
  <c r="Q40" i="78"/>
  <c r="Q30" i="78"/>
  <c r="Q16" i="78"/>
  <c r="Q7" i="78"/>
  <c r="Q23" i="78"/>
  <c r="Q35" i="78"/>
  <c r="Q44" i="78"/>
  <c r="Q36" i="78"/>
  <c r="Q47" i="78"/>
  <c r="Q13" i="78"/>
  <c r="Q51" i="78"/>
  <c r="Q21" i="78"/>
  <c r="Q39" i="78"/>
  <c r="Q14" i="78"/>
  <c r="Q32" i="78"/>
  <c r="Q37" i="78"/>
  <c r="Q41" i="78"/>
  <c r="Q45" i="78"/>
  <c r="Q24" i="78"/>
  <c r="Q15" i="78"/>
  <c r="Q43" i="78"/>
  <c r="Q19" i="78"/>
  <c r="Q31" i="78"/>
  <c r="M41" i="80"/>
  <c r="M32" i="80"/>
  <c r="AA54" i="79"/>
  <c r="AA28" i="80"/>
  <c r="Z28" i="97" s="1"/>
  <c r="Z81" i="97" s="1"/>
  <c r="AA20" i="80"/>
  <c r="AA6" i="80"/>
  <c r="AA34" i="80"/>
  <c r="Z34" i="97" s="1"/>
  <c r="Z87" i="97" s="1"/>
  <c r="AA29" i="80"/>
  <c r="Z29" i="97" s="1"/>
  <c r="Z82" i="97" s="1"/>
  <c r="AA9" i="80"/>
  <c r="AA32" i="80"/>
  <c r="Z32" i="97" s="1"/>
  <c r="Z85" i="97" s="1"/>
  <c r="AA25" i="80"/>
  <c r="Z25" i="97" s="1"/>
  <c r="Z78" i="97" s="1"/>
  <c r="AA15" i="80"/>
  <c r="AA30" i="80"/>
  <c r="AA22" i="80"/>
  <c r="AA11" i="80"/>
  <c r="Z11" i="97" s="1"/>
  <c r="Z64" i="97" s="1"/>
  <c r="AA17" i="80"/>
  <c r="AA44" i="80"/>
  <c r="AA23" i="80"/>
  <c r="AA12" i="80"/>
  <c r="Z12" i="97" s="1"/>
  <c r="Z65" i="97" s="1"/>
  <c r="AA52" i="80"/>
  <c r="AA26" i="80"/>
  <c r="AA18" i="80"/>
  <c r="AA50" i="80"/>
  <c r="Z50" i="97" s="1"/>
  <c r="Z103" i="97" s="1"/>
  <c r="AA24" i="80"/>
  <c r="Z24" i="97" s="1"/>
  <c r="Z77" i="97" s="1"/>
  <c r="AA16" i="80"/>
  <c r="AA48" i="80"/>
  <c r="Z48" i="97" s="1"/>
  <c r="Z101" i="97" s="1"/>
  <c r="AA41" i="80"/>
  <c r="Z41" i="97" s="1"/>
  <c r="Z94" i="97" s="1"/>
  <c r="AA14" i="80"/>
  <c r="AA36" i="80"/>
  <c r="AA33" i="80"/>
  <c r="AA13" i="80"/>
  <c r="Z13" i="97" s="1"/>
  <c r="Z66" i="97" s="1"/>
  <c r="AA45" i="80"/>
  <c r="Z45" i="97" s="1"/>
  <c r="Z98" i="97" s="1"/>
  <c r="AA38" i="80"/>
  <c r="Z38" i="97" s="1"/>
  <c r="Z91" i="97" s="1"/>
  <c r="AA8" i="80"/>
  <c r="Z8" i="97" s="1"/>
  <c r="Z61" i="97" s="1"/>
  <c r="AA51" i="80"/>
  <c r="Z51" i="97" s="1"/>
  <c r="Z104" i="97" s="1"/>
  <c r="AA21" i="80"/>
  <c r="Z21" i="97" s="1"/>
  <c r="Z74" i="97" s="1"/>
  <c r="AA39" i="80"/>
  <c r="AA37" i="80"/>
  <c r="AA42" i="80"/>
  <c r="Z42" i="97" s="1"/>
  <c r="Z95" i="97" s="1"/>
  <c r="AA47" i="80"/>
  <c r="Z47" i="97" s="1"/>
  <c r="Z100" i="97" s="1"/>
  <c r="AA19" i="80"/>
  <c r="Z19" i="97" s="1"/>
  <c r="Z72" i="97" s="1"/>
  <c r="AA49" i="80"/>
  <c r="AA35" i="80"/>
  <c r="AA10" i="80"/>
  <c r="Z10" i="97" s="1"/>
  <c r="Z63" i="97" s="1"/>
  <c r="AA46" i="80"/>
  <c r="Z46" i="97" s="1"/>
  <c r="Z99" i="97" s="1"/>
  <c r="AA31" i="80"/>
  <c r="Z31" i="97" s="1"/>
  <c r="Z84" i="97" s="1"/>
  <c r="AA7" i="80"/>
  <c r="Z7" i="97" s="1"/>
  <c r="Z60" i="97" s="1"/>
  <c r="AA43" i="80"/>
  <c r="Z43" i="97" s="1"/>
  <c r="Z96" i="97" s="1"/>
  <c r="AA27" i="80"/>
  <c r="Z27" i="97" s="1"/>
  <c r="Z80" i="97" s="1"/>
  <c r="AA5" i="80"/>
  <c r="AA40" i="80"/>
  <c r="O49" i="80"/>
  <c r="O16" i="80"/>
  <c r="O29" i="80"/>
  <c r="O12" i="80"/>
  <c r="O39" i="80"/>
  <c r="O27" i="80"/>
  <c r="O18" i="80"/>
  <c r="O34" i="80"/>
  <c r="O25" i="80"/>
  <c r="O32" i="80"/>
  <c r="O23" i="80"/>
  <c r="O26" i="80"/>
  <c r="M33" i="80"/>
  <c r="V26" i="94"/>
  <c r="V26" i="84"/>
  <c r="V26" i="83"/>
  <c r="T26" i="98" s="1"/>
  <c r="T69" i="98" s="1"/>
  <c r="V29" i="94"/>
  <c r="V29" i="84"/>
  <c r="V29" i="83"/>
  <c r="V21" i="94"/>
  <c r="V21" i="84"/>
  <c r="V21" i="83"/>
  <c r="T21" i="98" s="1"/>
  <c r="T64" i="98" s="1"/>
  <c r="V41" i="94"/>
  <c r="V41" i="84"/>
  <c r="V41" i="83"/>
  <c r="T41" i="98" s="1"/>
  <c r="T84" i="98" s="1"/>
  <c r="V23" i="94"/>
  <c r="V23" i="83"/>
  <c r="V23" i="84"/>
  <c r="V34" i="94"/>
  <c r="V34" i="83"/>
  <c r="T34" i="98" s="1"/>
  <c r="T77" i="98" s="1"/>
  <c r="V34" i="84"/>
  <c r="V13" i="94"/>
  <c r="V13" i="84"/>
  <c r="V13" i="83"/>
  <c r="T13" i="98" s="1"/>
  <c r="T56" i="98" s="1"/>
  <c r="V30" i="94"/>
  <c r="V30" i="83"/>
  <c r="V30" i="84"/>
  <c r="T22" i="98"/>
  <c r="T65" i="98" s="1"/>
  <c r="V22" i="94"/>
  <c r="V22" i="83"/>
  <c r="V22" i="84"/>
  <c r="T11" i="98"/>
  <c r="T54" i="98" s="1"/>
  <c r="V11" i="94"/>
  <c r="V11" i="83"/>
  <c r="V11" i="84"/>
  <c r="R27" i="98"/>
  <c r="R70" i="98" s="1"/>
  <c r="T27" i="94"/>
  <c r="T27" i="84"/>
  <c r="T27" i="83"/>
  <c r="T5" i="94"/>
  <c r="T5" i="84"/>
  <c r="T44" i="82"/>
  <c r="T5" i="83"/>
  <c r="R5" i="98" s="1"/>
  <c r="R48" i="98" s="1"/>
  <c r="T40" i="94"/>
  <c r="T40" i="84"/>
  <c r="T40" i="83"/>
  <c r="T15" i="94"/>
  <c r="T15" i="84"/>
  <c r="T15" i="83"/>
  <c r="T41" i="94"/>
  <c r="T41" i="84"/>
  <c r="T41" i="83"/>
  <c r="R41" i="98" s="1"/>
  <c r="R84" i="98" s="1"/>
  <c r="T39" i="94"/>
  <c r="T39" i="84"/>
  <c r="T39" i="83"/>
  <c r="T30" i="94"/>
  <c r="T30" i="84"/>
  <c r="T30" i="83"/>
  <c r="R30" i="98" s="1"/>
  <c r="R73" i="98" s="1"/>
  <c r="T28" i="94"/>
  <c r="T28" i="84"/>
  <c r="T28" i="83"/>
  <c r="R28" i="98" s="1"/>
  <c r="R71" i="98" s="1"/>
  <c r="T20" i="94"/>
  <c r="T20" i="84"/>
  <c r="T20" i="83"/>
  <c r="R20" i="98" s="1"/>
  <c r="R63" i="98" s="1"/>
  <c r="R24" i="78"/>
  <c r="R16" i="78"/>
  <c r="R10" i="78"/>
  <c r="R25" i="78"/>
  <c r="R17" i="78"/>
  <c r="R11" i="78"/>
  <c r="R48" i="78"/>
  <c r="R31" i="78"/>
  <c r="R49" i="78"/>
  <c r="R35" i="78"/>
  <c r="R39" i="78"/>
  <c r="R30" i="78"/>
  <c r="R22" i="78"/>
  <c r="R14" i="78"/>
  <c r="R7" i="78"/>
  <c r="R23" i="78"/>
  <c r="R15" i="78"/>
  <c r="R6" i="78"/>
  <c r="R45" i="78"/>
  <c r="R47" i="78"/>
  <c r="R36" i="78"/>
  <c r="R51" i="78"/>
  <c r="R38" i="78"/>
  <c r="R20" i="78"/>
  <c r="R29" i="78"/>
  <c r="R43" i="78"/>
  <c r="R46" i="78"/>
  <c r="R50" i="78"/>
  <c r="R18" i="78"/>
  <c r="R27" i="78"/>
  <c r="R8" i="78"/>
  <c r="R33" i="78"/>
  <c r="R34" i="78"/>
  <c r="R41" i="78"/>
  <c r="R28" i="78"/>
  <c r="R12" i="78"/>
  <c r="R21" i="78"/>
  <c r="R13" i="78"/>
  <c r="R32" i="78"/>
  <c r="R37" i="78"/>
  <c r="R44" i="78"/>
  <c r="R26" i="78"/>
  <c r="R9" i="78"/>
  <c r="R19" i="78"/>
  <c r="R42" i="78"/>
  <c r="R52" i="78"/>
  <c r="R40" i="78"/>
  <c r="M28" i="80"/>
  <c r="M46" i="80"/>
  <c r="M6" i="100"/>
  <c r="R26" i="94"/>
  <c r="S26" i="94" s="1"/>
  <c r="R26" i="83"/>
  <c r="S26" i="83" s="1"/>
  <c r="R26" i="84"/>
  <c r="S26" i="84" s="1"/>
  <c r="S26" i="82"/>
  <c r="R39" i="94"/>
  <c r="S39" i="94" s="1"/>
  <c r="R39" i="83"/>
  <c r="S39" i="83" s="1"/>
  <c r="S39" i="82"/>
  <c r="R39" i="84"/>
  <c r="S39" i="84" s="1"/>
  <c r="R20" i="94"/>
  <c r="S20" i="94" s="1"/>
  <c r="R20" i="83"/>
  <c r="S20" i="83" s="1"/>
  <c r="S20" i="82"/>
  <c r="R20" i="84"/>
  <c r="S20" i="84" s="1"/>
  <c r="R24" i="94"/>
  <c r="S24" i="94" s="1"/>
  <c r="R24" i="84"/>
  <c r="S24" i="84" s="1"/>
  <c r="S24" i="82"/>
  <c r="R24" i="83"/>
  <c r="S24" i="83" s="1"/>
  <c r="R14" i="94"/>
  <c r="S14" i="94" s="1"/>
  <c r="R14" i="83"/>
  <c r="S14" i="83" s="1"/>
  <c r="S14" i="82"/>
  <c r="R14" i="84"/>
  <c r="S14" i="84" s="1"/>
  <c r="R17" i="94"/>
  <c r="S17" i="94" s="1"/>
  <c r="R17" i="84"/>
  <c r="S17" i="84" s="1"/>
  <c r="R17" i="83"/>
  <c r="S17" i="83" s="1"/>
  <c r="S17" i="82"/>
  <c r="Q25" i="98"/>
  <c r="Q68" i="98" s="1"/>
  <c r="R25" i="94"/>
  <c r="S25" i="94" s="1"/>
  <c r="R25" i="84"/>
  <c r="S25" i="84" s="1"/>
  <c r="R25" i="83"/>
  <c r="S25" i="83" s="1"/>
  <c r="S25" i="82"/>
  <c r="R21" i="94"/>
  <c r="S21" i="94" s="1"/>
  <c r="S21" i="82"/>
  <c r="R21" i="84"/>
  <c r="S21" i="84" s="1"/>
  <c r="R21" i="83"/>
  <c r="S21" i="83" s="1"/>
  <c r="R32" i="94"/>
  <c r="S32" i="94" s="1"/>
  <c r="S32" i="82"/>
  <c r="R32" i="84"/>
  <c r="S32" i="84" s="1"/>
  <c r="R32" i="83"/>
  <c r="S32" i="83" s="1"/>
  <c r="R11" i="94"/>
  <c r="S11" i="94" s="1"/>
  <c r="S11" i="82"/>
  <c r="R11" i="84"/>
  <c r="S11" i="84" s="1"/>
  <c r="R11" i="83"/>
  <c r="S11" i="83" s="1"/>
  <c r="M20" i="80"/>
  <c r="Z30" i="94"/>
  <c r="AA30" i="94" s="1"/>
  <c r="AA30" i="82"/>
  <c r="Z30" i="84"/>
  <c r="AA30" i="84" s="1"/>
  <c r="Z30" i="83"/>
  <c r="AA30" i="83" s="1"/>
  <c r="Z34" i="94"/>
  <c r="AA34" i="94" s="1"/>
  <c r="Z34" i="84"/>
  <c r="AA34" i="84" s="1"/>
  <c r="Z34" i="83"/>
  <c r="AA34" i="83" s="1"/>
  <c r="AA34" i="82"/>
  <c r="V33" i="98"/>
  <c r="V76" i="98" s="1"/>
  <c r="Z33" i="94"/>
  <c r="AA33" i="94" s="1"/>
  <c r="Z33" i="84"/>
  <c r="AA33" i="84" s="1"/>
  <c r="Z33" i="83"/>
  <c r="AA33" i="83" s="1"/>
  <c r="AA33" i="82"/>
  <c r="Z19" i="94"/>
  <c r="AA19" i="94" s="1"/>
  <c r="Z19" i="83"/>
  <c r="AA19" i="83" s="1"/>
  <c r="Z19" i="84"/>
  <c r="AA19" i="84" s="1"/>
  <c r="AA19" i="82"/>
  <c r="Z10" i="94"/>
  <c r="AA10" i="94" s="1"/>
  <c r="Z10" i="83"/>
  <c r="AA10" i="83" s="1"/>
  <c r="Z10" i="84"/>
  <c r="AA10" i="84" s="1"/>
  <c r="AA10" i="82"/>
  <c r="V37" i="98"/>
  <c r="V80" i="98" s="1"/>
  <c r="Z37" i="94"/>
  <c r="AA37" i="94" s="1"/>
  <c r="Z37" i="84"/>
  <c r="AA37" i="84" s="1"/>
  <c r="Z37" i="83"/>
  <c r="AA37" i="83" s="1"/>
  <c r="AA37" i="82"/>
  <c r="Z11" i="94"/>
  <c r="AA11" i="94" s="1"/>
  <c r="Z11" i="84"/>
  <c r="AA11" i="84" s="1"/>
  <c r="AA11" i="82"/>
  <c r="Z11" i="83"/>
  <c r="AA11" i="83" s="1"/>
  <c r="Z35" i="94"/>
  <c r="AA35" i="94" s="1"/>
  <c r="AA35" i="82"/>
  <c r="Z35" i="83"/>
  <c r="AA35" i="83" s="1"/>
  <c r="Z35" i="84"/>
  <c r="AA35" i="84" s="1"/>
  <c r="Z42" i="94"/>
  <c r="AA42" i="94" s="1"/>
  <c r="AA42" i="82"/>
  <c r="Z42" i="83"/>
  <c r="AA42" i="83" s="1"/>
  <c r="Z42" i="84"/>
  <c r="AA42" i="84" s="1"/>
  <c r="Z6" i="94"/>
  <c r="AA6" i="94" s="1"/>
  <c r="AA6" i="82"/>
  <c r="Z6" i="83"/>
  <c r="AA6" i="83" s="1"/>
  <c r="Z6" i="84"/>
  <c r="AA6" i="84" s="1"/>
  <c r="M11" i="80"/>
  <c r="L18" i="94"/>
  <c r="Y54" i="78"/>
  <c r="Y59" i="78" s="1"/>
  <c r="Y27" i="93" s="1"/>
  <c r="N28" i="94"/>
  <c r="N28" i="84"/>
  <c r="N28" i="83"/>
  <c r="N28" i="98" s="1"/>
  <c r="N71" i="98" s="1"/>
  <c r="N14" i="94"/>
  <c r="N14" i="84"/>
  <c r="N14" i="83"/>
  <c r="N14" i="98" s="1"/>
  <c r="N57" i="98" s="1"/>
  <c r="N11" i="94"/>
  <c r="N11" i="83"/>
  <c r="N11" i="98" s="1"/>
  <c r="N54" i="98" s="1"/>
  <c r="N11" i="84"/>
  <c r="N8" i="94"/>
  <c r="N8" i="84"/>
  <c r="N8" i="83"/>
  <c r="N8" i="98" s="1"/>
  <c r="N51" i="98" s="1"/>
  <c r="S54" i="78"/>
  <c r="X8" i="80"/>
  <c r="X7" i="80"/>
  <c r="T14" i="98"/>
  <c r="T57" i="98" s="1"/>
  <c r="V14" i="94"/>
  <c r="V14" i="83"/>
  <c r="V14" i="84"/>
  <c r="T40" i="98"/>
  <c r="T83" i="98" s="1"/>
  <c r="V40" i="94"/>
  <c r="V40" i="84"/>
  <c r="V40" i="83"/>
  <c r="V28" i="94"/>
  <c r="V28" i="84"/>
  <c r="V28" i="83"/>
  <c r="T38" i="94"/>
  <c r="T38" i="84"/>
  <c r="T38" i="83"/>
  <c r="T35" i="94"/>
  <c r="T35" i="84"/>
  <c r="T35" i="83"/>
  <c r="T42" i="94"/>
  <c r="T42" i="84"/>
  <c r="T42" i="83"/>
  <c r="R42" i="98" s="1"/>
  <c r="R85" i="98" s="1"/>
  <c r="M49" i="80"/>
  <c r="M26" i="80"/>
  <c r="Y26" i="97"/>
  <c r="Y79" i="97" s="1"/>
  <c r="Z54" i="79"/>
  <c r="Z30" i="80"/>
  <c r="Z12" i="80"/>
  <c r="Z5" i="80"/>
  <c r="Z36" i="80"/>
  <c r="Z18" i="80"/>
  <c r="Y18" i="97" s="1"/>
  <c r="Y71" i="97" s="1"/>
  <c r="Z11" i="80"/>
  <c r="Z34" i="80"/>
  <c r="Y34" i="97" s="1"/>
  <c r="Y87" i="97" s="1"/>
  <c r="Z16" i="80"/>
  <c r="Z23" i="80"/>
  <c r="Z32" i="80"/>
  <c r="Y32" i="97" s="1"/>
  <c r="Y85" i="97" s="1"/>
  <c r="Z14" i="80"/>
  <c r="Y14" i="97" s="1"/>
  <c r="Y67" i="97" s="1"/>
  <c r="Z7" i="80"/>
  <c r="Z20" i="80"/>
  <c r="Y20" i="97" s="1"/>
  <c r="Y73" i="97" s="1"/>
  <c r="Z40" i="80"/>
  <c r="Y40" i="97" s="1"/>
  <c r="Y93" i="97" s="1"/>
  <c r="Z9" i="80"/>
  <c r="Y9" i="97" s="1"/>
  <c r="Y62" i="97" s="1"/>
  <c r="Z29" i="80"/>
  <c r="Z44" i="80"/>
  <c r="Z45" i="80"/>
  <c r="Y45" i="97" s="1"/>
  <c r="Y98" i="97" s="1"/>
  <c r="Z22" i="80"/>
  <c r="Y22" i="97" s="1"/>
  <c r="Y75" i="97" s="1"/>
  <c r="Z35" i="80"/>
  <c r="Y35" i="97" s="1"/>
  <c r="Y88" i="97" s="1"/>
  <c r="Z51" i="80"/>
  <c r="Y51" i="97" s="1"/>
  <c r="Y104" i="97" s="1"/>
  <c r="Z28" i="80"/>
  <c r="Y28" i="97" s="1"/>
  <c r="Y81" i="97" s="1"/>
  <c r="Z10" i="80"/>
  <c r="Y10" i="97" s="1"/>
  <c r="Y63" i="97" s="1"/>
  <c r="Z49" i="80"/>
  <c r="Z26" i="80"/>
  <c r="Z8" i="80"/>
  <c r="Z47" i="80"/>
  <c r="Y47" i="97" s="1"/>
  <c r="Y100" i="97" s="1"/>
  <c r="Z24" i="80"/>
  <c r="Z6" i="80"/>
  <c r="Y6" i="97" s="1"/>
  <c r="Y59" i="97" s="1"/>
  <c r="Z19" i="80"/>
  <c r="Y19" i="97" s="1"/>
  <c r="Y72" i="97" s="1"/>
  <c r="Z42" i="80"/>
  <c r="Z37" i="80"/>
  <c r="Z13" i="80"/>
  <c r="Z43" i="80"/>
  <c r="Y43" i="97" s="1"/>
  <c r="Y96" i="97" s="1"/>
  <c r="Z48" i="80"/>
  <c r="Z27" i="80"/>
  <c r="Z50" i="80"/>
  <c r="Z52" i="80"/>
  <c r="Y52" i="97" s="1"/>
  <c r="Y105" i="97" s="1"/>
  <c r="Z21" i="80"/>
  <c r="Y21" i="97" s="1"/>
  <c r="Y74" i="97" s="1"/>
  <c r="Z46" i="80"/>
  <c r="Y46" i="97" s="1"/>
  <c r="Y99" i="97" s="1"/>
  <c r="Z41" i="80"/>
  <c r="Z17" i="80"/>
  <c r="Z39" i="80"/>
  <c r="Y39" i="97" s="1"/>
  <c r="Y92" i="97" s="1"/>
  <c r="Z15" i="80"/>
  <c r="Z33" i="80"/>
  <c r="Y33" i="97" s="1"/>
  <c r="Y86" i="97" s="1"/>
  <c r="Z38" i="80"/>
  <c r="Y38" i="97" s="1"/>
  <c r="Y91" i="97" s="1"/>
  <c r="Z31" i="80"/>
  <c r="Y31" i="97" s="1"/>
  <c r="Y84" i="97" s="1"/>
  <c r="Z25" i="80"/>
  <c r="Y25" i="97" s="1"/>
  <c r="Y78" i="97" s="1"/>
  <c r="R40" i="94"/>
  <c r="S40" i="94" s="1"/>
  <c r="R40" i="84"/>
  <c r="S40" i="84" s="1"/>
  <c r="S40" i="82"/>
  <c r="R40" i="83"/>
  <c r="S40" i="83" s="1"/>
  <c r="R27" i="94"/>
  <c r="S27" i="94" s="1"/>
  <c r="R27" i="84"/>
  <c r="S27" i="84" s="1"/>
  <c r="R27" i="83"/>
  <c r="S27" i="83" s="1"/>
  <c r="S27" i="82"/>
  <c r="Z8" i="94"/>
  <c r="AA8" i="94" s="1"/>
  <c r="AA8" i="82"/>
  <c r="Z8" i="84"/>
  <c r="AA8" i="84" s="1"/>
  <c r="Z8" i="83"/>
  <c r="AA8" i="83" s="1"/>
  <c r="F47" i="5"/>
  <c r="L25" i="94"/>
  <c r="L23" i="94"/>
  <c r="L21" i="94"/>
  <c r="L19" i="94"/>
  <c r="L17" i="94"/>
  <c r="L14" i="94"/>
  <c r="L12" i="94"/>
  <c r="L26" i="94"/>
  <c r="L16" i="94"/>
  <c r="L10" i="94"/>
  <c r="M39" i="80"/>
  <c r="M31" i="80"/>
  <c r="X8" i="99"/>
  <c r="Y55" i="93"/>
  <c r="Y59" i="93" s="1"/>
  <c r="Y55" i="79"/>
  <c r="Y59" i="79" s="1"/>
  <c r="Y28" i="80" s="1"/>
  <c r="Y55" i="80"/>
  <c r="Y55" i="78"/>
  <c r="N16" i="94"/>
  <c r="N16" i="83"/>
  <c r="N16" i="98" s="1"/>
  <c r="N59" i="98" s="1"/>
  <c r="N16" i="84"/>
  <c r="N39" i="94"/>
  <c r="N39" i="84"/>
  <c r="N39" i="83"/>
  <c r="N39" i="98" s="1"/>
  <c r="N82" i="98" s="1"/>
  <c r="N5" i="94"/>
  <c r="N5" i="84"/>
  <c r="N44" i="82"/>
  <c r="N5" i="83"/>
  <c r="N35" i="94"/>
  <c r="N35" i="83"/>
  <c r="N35" i="98" s="1"/>
  <c r="N78" i="98" s="1"/>
  <c r="N35" i="84"/>
  <c r="N15" i="94"/>
  <c r="N15" i="83"/>
  <c r="N15" i="98" s="1"/>
  <c r="N58" i="98" s="1"/>
  <c r="N15" i="84"/>
  <c r="N17" i="94"/>
  <c r="N17" i="83"/>
  <c r="N17" i="98" s="1"/>
  <c r="N60" i="98" s="1"/>
  <c r="N17" i="84"/>
  <c r="N10" i="94"/>
  <c r="N10" i="84"/>
  <c r="N10" i="83"/>
  <c r="N10" i="98" s="1"/>
  <c r="N53" i="98" s="1"/>
  <c r="N38" i="94"/>
  <c r="N38" i="84"/>
  <c r="N38" i="83"/>
  <c r="N38" i="98" s="1"/>
  <c r="N81" i="98" s="1"/>
  <c r="N30" i="94"/>
  <c r="N30" i="84"/>
  <c r="N30" i="83"/>
  <c r="N30" i="98" s="1"/>
  <c r="N73" i="98" s="1"/>
  <c r="M36" i="80"/>
  <c r="X26" i="80"/>
  <c r="X39" i="80"/>
  <c r="X40" i="80"/>
  <c r="X17" i="80"/>
  <c r="X12" i="80"/>
  <c r="X35" i="80"/>
  <c r="X22" i="80"/>
  <c r="X21" i="80"/>
  <c r="X50" i="80"/>
  <c r="X24" i="80"/>
  <c r="X23" i="80"/>
  <c r="X52" i="80"/>
  <c r="M19" i="80"/>
  <c r="M29" i="80"/>
  <c r="M18" i="80"/>
  <c r="M14" i="80"/>
  <c r="Z15" i="97"/>
  <c r="Z68" i="97" s="1"/>
  <c r="Z30" i="97"/>
  <c r="Z83" i="97" s="1"/>
  <c r="Z39" i="97"/>
  <c r="Z92" i="97" s="1"/>
  <c r="Z35" i="97"/>
  <c r="Z88" i="97" s="1"/>
  <c r="Z20" i="97"/>
  <c r="Z73" i="97" s="1"/>
  <c r="Z33" i="97"/>
  <c r="Z86" i="97" s="1"/>
  <c r="Z23" i="97"/>
  <c r="Z76" i="97" s="1"/>
  <c r="Z26" i="97"/>
  <c r="Z79" i="97" s="1"/>
  <c r="Z36" i="97"/>
  <c r="Z89" i="97" s="1"/>
  <c r="O45" i="80"/>
  <c r="O6" i="80"/>
  <c r="O54" i="78"/>
  <c r="O59" i="78" s="1"/>
  <c r="O33" i="93" s="1"/>
  <c r="O24" i="93"/>
  <c r="O24" i="80"/>
  <c r="O8" i="93"/>
  <c r="O8" i="80"/>
  <c r="O51" i="93"/>
  <c r="O51" i="80"/>
  <c r="O22" i="93"/>
  <c r="O22" i="80"/>
  <c r="O11" i="93"/>
  <c r="O11" i="80"/>
  <c r="O44" i="93"/>
  <c r="O44" i="80"/>
  <c r="O36" i="93"/>
  <c r="O36" i="80"/>
  <c r="O38" i="93"/>
  <c r="O38" i="80"/>
  <c r="O46" i="93"/>
  <c r="O46" i="80"/>
  <c r="O13" i="93"/>
  <c r="O13" i="80"/>
  <c r="M48" i="80"/>
  <c r="V37" i="94"/>
  <c r="V37" i="84"/>
  <c r="T37" i="98" s="1"/>
  <c r="T80" i="98" s="1"/>
  <c r="V37" i="83"/>
  <c r="V19" i="94"/>
  <c r="V19" i="83"/>
  <c r="T19" i="98" s="1"/>
  <c r="T62" i="98" s="1"/>
  <c r="V19" i="84"/>
  <c r="V10" i="94"/>
  <c r="V10" i="83"/>
  <c r="V10" i="84"/>
  <c r="V6" i="94"/>
  <c r="V6" i="83"/>
  <c r="V6" i="84"/>
  <c r="V12" i="94"/>
  <c r="V12" i="84"/>
  <c r="T12" i="98" s="1"/>
  <c r="T55" i="98" s="1"/>
  <c r="V12" i="83"/>
  <c r="V36" i="94"/>
  <c r="V36" i="84"/>
  <c r="T36" i="98" s="1"/>
  <c r="T79" i="98" s="1"/>
  <c r="V36" i="83"/>
  <c r="V35" i="94"/>
  <c r="V35" i="83"/>
  <c r="V35" i="84"/>
  <c r="V32" i="94"/>
  <c r="V32" i="84"/>
  <c r="V32" i="83"/>
  <c r="T32" i="98" s="1"/>
  <c r="T75" i="98" s="1"/>
  <c r="V24" i="94"/>
  <c r="V24" i="84"/>
  <c r="V24" i="83"/>
  <c r="V9" i="94"/>
  <c r="V9" i="84"/>
  <c r="V9" i="83"/>
  <c r="T16" i="94"/>
  <c r="T16" i="84"/>
  <c r="T16" i="83"/>
  <c r="T23" i="94"/>
  <c r="T23" i="84"/>
  <c r="T23" i="83"/>
  <c r="T34" i="94"/>
  <c r="T34" i="84"/>
  <c r="T34" i="83"/>
  <c r="T9" i="94"/>
  <c r="T9" i="84"/>
  <c r="T9" i="83"/>
  <c r="R9" i="98" s="1"/>
  <c r="R52" i="98" s="1"/>
  <c r="T37" i="94"/>
  <c r="T37" i="84"/>
  <c r="T37" i="83"/>
  <c r="T29" i="94"/>
  <c r="T29" i="84"/>
  <c r="T29" i="83"/>
  <c r="R29" i="98" s="1"/>
  <c r="R72" i="98" s="1"/>
  <c r="T32" i="94"/>
  <c r="T32" i="84"/>
  <c r="T32" i="83"/>
  <c r="T22" i="94"/>
  <c r="T22" i="84"/>
  <c r="T22" i="83"/>
  <c r="T33" i="94"/>
  <c r="T33" i="84"/>
  <c r="T33" i="83"/>
  <c r="R33" i="98" s="1"/>
  <c r="R76" i="98" s="1"/>
  <c r="P25" i="78"/>
  <c r="P17" i="78"/>
  <c r="P11" i="78"/>
  <c r="P26" i="78"/>
  <c r="P18" i="78"/>
  <c r="P9" i="78"/>
  <c r="P41" i="78"/>
  <c r="P48" i="78"/>
  <c r="P35" i="78"/>
  <c r="P33" i="78"/>
  <c r="P49" i="78"/>
  <c r="P44" i="78"/>
  <c r="P29" i="78"/>
  <c r="P21" i="78"/>
  <c r="P30" i="78"/>
  <c r="P22" i="78"/>
  <c r="P7" i="78"/>
  <c r="P31" i="78"/>
  <c r="P52" i="78"/>
  <c r="P39" i="78"/>
  <c r="P27" i="78"/>
  <c r="P8" i="78"/>
  <c r="P20" i="78"/>
  <c r="P32" i="78"/>
  <c r="P50" i="78"/>
  <c r="P40" i="78"/>
  <c r="P23" i="78"/>
  <c r="P15" i="78"/>
  <c r="P6" i="78"/>
  <c r="P24" i="78"/>
  <c r="P16" i="78"/>
  <c r="P10" i="78"/>
  <c r="P46" i="78"/>
  <c r="P36" i="78"/>
  <c r="P51" i="78"/>
  <c r="P38" i="78"/>
  <c r="P37" i="78"/>
  <c r="P13" i="78"/>
  <c r="P14" i="78"/>
  <c r="P34" i="78"/>
  <c r="P42" i="78"/>
  <c r="P19" i="78"/>
  <c r="P28" i="78"/>
  <c r="P12" i="78"/>
  <c r="P47" i="78"/>
  <c r="P45" i="78"/>
  <c r="P43" i="78"/>
  <c r="M45" i="80"/>
  <c r="M51" i="80"/>
  <c r="M10" i="100"/>
  <c r="Y8" i="97"/>
  <c r="Y61" i="97" s="1"/>
  <c r="Y15" i="97"/>
  <c r="Y68" i="97" s="1"/>
  <c r="Y30" i="97"/>
  <c r="Y83" i="97" s="1"/>
  <c r="Y23" i="97"/>
  <c r="Y76" i="97" s="1"/>
  <c r="Y36" i="97"/>
  <c r="Y89" i="97" s="1"/>
  <c r="Y24" i="97"/>
  <c r="Y77" i="97" s="1"/>
  <c r="Y41" i="97"/>
  <c r="Y94" i="97" s="1"/>
  <c r="Y16" i="97"/>
  <c r="Y69" i="97" s="1"/>
  <c r="Y37" i="97"/>
  <c r="Y90" i="97" s="1"/>
  <c r="Y49" i="97"/>
  <c r="Y102" i="97" s="1"/>
  <c r="R22" i="94"/>
  <c r="S22" i="94" s="1"/>
  <c r="S22" i="82"/>
  <c r="R22" i="83"/>
  <c r="S22" i="83" s="1"/>
  <c r="R22" i="84"/>
  <c r="S22" i="84" s="1"/>
  <c r="R41" i="94"/>
  <c r="S41" i="94" s="1"/>
  <c r="R41" i="83"/>
  <c r="S41" i="83" s="1"/>
  <c r="S41" i="82"/>
  <c r="R41" i="84"/>
  <c r="S41" i="84" s="1"/>
  <c r="R15" i="94"/>
  <c r="S15" i="94" s="1"/>
  <c r="R15" i="84"/>
  <c r="S15" i="84" s="1"/>
  <c r="S15" i="82"/>
  <c r="R15" i="83"/>
  <c r="S15" i="83" s="1"/>
  <c r="R33" i="94"/>
  <c r="S33" i="94" s="1"/>
  <c r="R33" i="83"/>
  <c r="S33" i="83" s="1"/>
  <c r="R33" i="84"/>
  <c r="S33" i="84" s="1"/>
  <c r="S33" i="82"/>
  <c r="R16" i="94"/>
  <c r="S16" i="94" s="1"/>
  <c r="R16" i="84"/>
  <c r="S16" i="84" s="1"/>
  <c r="R16" i="83"/>
  <c r="S16" i="83" s="1"/>
  <c r="S16" i="82"/>
  <c r="R23" i="94"/>
  <c r="S23" i="94" s="1"/>
  <c r="R23" i="83"/>
  <c r="S23" i="83" s="1"/>
  <c r="S23" i="82"/>
  <c r="R23" i="84"/>
  <c r="S23" i="84" s="1"/>
  <c r="R30" i="94"/>
  <c r="S30" i="94" s="1"/>
  <c r="R30" i="83"/>
  <c r="S30" i="83" s="1"/>
  <c r="S30" i="82"/>
  <c r="R30" i="84"/>
  <c r="S30" i="84" s="1"/>
  <c r="R42" i="94"/>
  <c r="S42" i="94" s="1"/>
  <c r="R42" i="84"/>
  <c r="S42" i="84" s="1"/>
  <c r="S42" i="82"/>
  <c r="R42" i="83"/>
  <c r="S42" i="83" s="1"/>
  <c r="R34" i="94"/>
  <c r="S34" i="94" s="1"/>
  <c r="R34" i="84"/>
  <c r="S34" i="84" s="1"/>
  <c r="R34" i="83"/>
  <c r="S34" i="83" s="1"/>
  <c r="S34" i="82"/>
  <c r="R9" i="94"/>
  <c r="S9" i="94" s="1"/>
  <c r="R9" i="84"/>
  <c r="S9" i="84" s="1"/>
  <c r="R9" i="83"/>
  <c r="S9" i="83" s="1"/>
  <c r="S9" i="82"/>
  <c r="M22" i="80"/>
  <c r="Z26" i="94"/>
  <c r="AA26" i="94" s="1"/>
  <c r="Z26" i="83"/>
  <c r="AA26" i="83" s="1"/>
  <c r="Z26" i="84"/>
  <c r="AA26" i="84" s="1"/>
  <c r="AA26" i="82"/>
  <c r="Z28" i="94"/>
  <c r="AA28" i="94" s="1"/>
  <c r="AA28" i="82"/>
  <c r="Z28" i="83"/>
  <c r="AA28" i="83" s="1"/>
  <c r="Z28" i="84"/>
  <c r="AA28" i="84" s="1"/>
  <c r="Z39" i="94"/>
  <c r="AA39" i="94" s="1"/>
  <c r="AA39" i="82"/>
  <c r="Z39" i="83"/>
  <c r="AA39" i="83" s="1"/>
  <c r="Z39" i="84"/>
  <c r="AA39" i="84" s="1"/>
  <c r="Z25" i="94"/>
  <c r="AA25" i="94" s="1"/>
  <c r="Z25" i="84"/>
  <c r="AA25" i="84" s="1"/>
  <c r="Z25" i="83"/>
  <c r="AA25" i="83" s="1"/>
  <c r="AA25" i="82"/>
  <c r="Z15" i="94"/>
  <c r="AA15" i="94" s="1"/>
  <c r="AA15" i="82"/>
  <c r="Z15" i="84"/>
  <c r="AA15" i="84" s="1"/>
  <c r="Z15" i="83"/>
  <c r="AA15" i="83" s="1"/>
  <c r="Z27" i="94"/>
  <c r="AA27" i="94" s="1"/>
  <c r="AA27" i="82"/>
  <c r="Z27" i="84"/>
  <c r="AA27" i="84" s="1"/>
  <c r="Z27" i="83"/>
  <c r="AA27" i="83" s="1"/>
  <c r="Z9" i="94"/>
  <c r="AA9" i="94" s="1"/>
  <c r="AA9" i="82"/>
  <c r="Z9" i="84"/>
  <c r="AA9" i="84" s="1"/>
  <c r="Z9" i="83"/>
  <c r="AA9" i="83" s="1"/>
  <c r="Z41" i="94"/>
  <c r="AA41" i="94" s="1"/>
  <c r="Z41" i="83"/>
  <c r="AA41" i="83" s="1"/>
  <c r="Z41" i="84"/>
  <c r="AA41" i="84" s="1"/>
  <c r="AA41" i="82"/>
  <c r="Z36" i="94"/>
  <c r="AA36" i="94" s="1"/>
  <c r="Z36" i="83"/>
  <c r="AA36" i="83" s="1"/>
  <c r="Z36" i="84"/>
  <c r="AA36" i="84" s="1"/>
  <c r="AA36" i="82"/>
  <c r="M6" i="80"/>
  <c r="L24" i="94"/>
  <c r="L20" i="94"/>
  <c r="L13" i="94"/>
  <c r="L27" i="94"/>
  <c r="L9" i="94"/>
  <c r="Y13" i="79"/>
  <c r="N42" i="94"/>
  <c r="N42" i="84"/>
  <c r="N42" i="83"/>
  <c r="N42" i="98" s="1"/>
  <c r="N85" i="98" s="1"/>
  <c r="N36" i="94"/>
  <c r="N36" i="83"/>
  <c r="N36" i="98" s="1"/>
  <c r="N79" i="98" s="1"/>
  <c r="N36" i="84"/>
  <c r="N20" i="94"/>
  <c r="N20" i="84"/>
  <c r="N20" i="83"/>
  <c r="M35" i="80"/>
  <c r="X25" i="80"/>
  <c r="X46" i="80"/>
  <c r="X36" i="80"/>
  <c r="X37" i="80"/>
  <c r="X6" i="80"/>
  <c r="X54" i="78"/>
  <c r="X59" i="78" s="1"/>
  <c r="X8" i="79" s="1"/>
  <c r="X10" i="80"/>
  <c r="M52" i="80"/>
  <c r="Z22" i="97"/>
  <c r="Z75" i="97" s="1"/>
  <c r="Z14" i="97"/>
  <c r="Z67" i="97" s="1"/>
  <c r="Z17" i="97"/>
  <c r="Z70" i="97" s="1"/>
  <c r="Z52" i="97"/>
  <c r="Z105" i="97" s="1"/>
  <c r="O37" i="93"/>
  <c r="O37" i="80"/>
  <c r="O37" i="79"/>
  <c r="O37" i="97" s="1"/>
  <c r="O90" i="97" s="1"/>
  <c r="O17" i="93"/>
  <c r="O17" i="80"/>
  <c r="O17" i="79"/>
  <c r="O15" i="93"/>
  <c r="O15" i="80"/>
  <c r="O15" i="79"/>
  <c r="O52" i="93"/>
  <c r="O52" i="80"/>
  <c r="O52" i="79"/>
  <c r="O52" i="97" s="1"/>
  <c r="O105" i="97" s="1"/>
  <c r="O48" i="93"/>
  <c r="O48" i="80"/>
  <c r="O48" i="79"/>
  <c r="O48" i="97" s="1"/>
  <c r="O101" i="97" s="1"/>
  <c r="O42" i="93"/>
  <c r="O42" i="80"/>
  <c r="O42" i="79"/>
  <c r="O50" i="93"/>
  <c r="O50" i="80"/>
  <c r="O50" i="79"/>
  <c r="O14" i="93"/>
  <c r="O14" i="80"/>
  <c r="O14" i="79"/>
  <c r="O14" i="97" s="1"/>
  <c r="O67" i="97" s="1"/>
  <c r="M24" i="80"/>
  <c r="V39" i="94"/>
  <c r="V39" i="83"/>
  <c r="T39" i="98" s="1"/>
  <c r="T82" i="98" s="1"/>
  <c r="V39" i="84"/>
  <c r="V17" i="94"/>
  <c r="V17" i="84"/>
  <c r="V17" i="83"/>
  <c r="V8" i="94"/>
  <c r="V8" i="84"/>
  <c r="V8" i="83"/>
  <c r="T8" i="98" s="1"/>
  <c r="T51" i="98" s="1"/>
  <c r="V20" i="94"/>
  <c r="V20" i="84"/>
  <c r="V20" i="83"/>
  <c r="T20" i="98" s="1"/>
  <c r="T63" i="98" s="1"/>
  <c r="T21" i="94"/>
  <c r="T21" i="84"/>
  <c r="T21" i="83"/>
  <c r="T10" i="94"/>
  <c r="T10" i="84"/>
  <c r="T10" i="83"/>
  <c r="T18" i="94"/>
  <c r="T18" i="84"/>
  <c r="T18" i="83"/>
  <c r="M25" i="80"/>
  <c r="Y7" i="97"/>
  <c r="Y60" i="97" s="1"/>
  <c r="Y27" i="97"/>
  <c r="Y80" i="97" s="1"/>
  <c r="Y48" i="97"/>
  <c r="Y101" i="97" s="1"/>
  <c r="Y11" i="97"/>
  <c r="Y64" i="97" s="1"/>
  <c r="L40" i="94"/>
  <c r="L38" i="94"/>
  <c r="L36" i="94"/>
  <c r="L34" i="94"/>
  <c r="L32" i="94"/>
  <c r="L30" i="94"/>
  <c r="L28" i="94"/>
  <c r="L7" i="94"/>
  <c r="L5" i="94"/>
  <c r="Y8" i="93"/>
  <c r="Y45" i="93"/>
  <c r="Y30" i="80"/>
  <c r="Y30" i="79"/>
  <c r="Y47" i="79"/>
  <c r="Y12" i="79"/>
  <c r="Y24" i="79"/>
  <c r="Y41" i="79"/>
  <c r="M27" i="80"/>
  <c r="M30" i="80"/>
  <c r="V55" i="80"/>
  <c r="V55" i="93"/>
  <c r="V59" i="93" s="1"/>
  <c r="V55" i="78"/>
  <c r="V55" i="79"/>
  <c r="V59" i="79" s="1"/>
  <c r="V5" i="80" s="1"/>
  <c r="M16" i="82"/>
  <c r="M10" i="82"/>
  <c r="M13" i="82"/>
  <c r="M17" i="82"/>
  <c r="M18" i="82"/>
  <c r="M21" i="82"/>
  <c r="M22" i="82"/>
  <c r="M25" i="82"/>
  <c r="M26" i="82"/>
  <c r="M8" i="82"/>
  <c r="M6" i="82"/>
  <c r="M30" i="82"/>
  <c r="M33" i="82"/>
  <c r="M34" i="82"/>
  <c r="M37" i="82"/>
  <c r="M38" i="82"/>
  <c r="M41" i="82"/>
  <c r="M42" i="82"/>
  <c r="M28" i="82"/>
  <c r="M15" i="82"/>
  <c r="M20" i="82"/>
  <c r="M27" i="82"/>
  <c r="M12" i="82"/>
  <c r="M32" i="82"/>
  <c r="M39" i="82"/>
  <c r="M29" i="82"/>
  <c r="M9" i="82"/>
  <c r="M11" i="82"/>
  <c r="M14" i="82"/>
  <c r="M19" i="82"/>
  <c r="M23" i="82"/>
  <c r="M24" i="82"/>
  <c r="M5" i="82"/>
  <c r="M7" i="82"/>
  <c r="M31" i="82"/>
  <c r="M35" i="82"/>
  <c r="M36" i="82"/>
  <c r="M40" i="82"/>
  <c r="U10" i="82"/>
  <c r="U16" i="82"/>
  <c r="U18" i="82"/>
  <c r="W18" i="82" s="1"/>
  <c r="U15" i="82"/>
  <c r="W15" i="82" s="1"/>
  <c r="U22" i="82"/>
  <c r="U20" i="82"/>
  <c r="U26" i="82"/>
  <c r="U40" i="82"/>
  <c r="U30" i="82"/>
  <c r="U25" i="82"/>
  <c r="U6" i="82"/>
  <c r="W6" i="82" s="1"/>
  <c r="U8" i="82"/>
  <c r="U34" i="82"/>
  <c r="W34" i="82" s="1"/>
  <c r="U32" i="82"/>
  <c r="U38" i="82"/>
  <c r="U36" i="82"/>
  <c r="U42" i="82"/>
  <c r="U21" i="82"/>
  <c r="U14" i="82"/>
  <c r="U41" i="82"/>
  <c r="W41" i="82" s="1"/>
  <c r="U9" i="82"/>
  <c r="W9" i="82" s="1"/>
  <c r="U11" i="82"/>
  <c r="U12" i="82"/>
  <c r="U17" i="82"/>
  <c r="W17" i="82" s="1"/>
  <c r="U27" i="82"/>
  <c r="W27" i="82" s="1"/>
  <c r="U31" i="82"/>
  <c r="U7" i="82"/>
  <c r="U29" i="82"/>
  <c r="W29" i="82" s="1"/>
  <c r="U33" i="82"/>
  <c r="U28" i="82"/>
  <c r="W28" i="82" s="1"/>
  <c r="U19" i="82"/>
  <c r="U23" i="82"/>
  <c r="W23" i="82" s="1"/>
  <c r="U37" i="82"/>
  <c r="U5" i="82"/>
  <c r="U35" i="82"/>
  <c r="U39" i="82"/>
  <c r="U24" i="82"/>
  <c r="W24" i="82" s="1"/>
  <c r="U13" i="82"/>
  <c r="W13" i="82" s="1"/>
  <c r="N12" i="94"/>
  <c r="N12" i="83"/>
  <c r="N12" i="84"/>
  <c r="N12" i="98" s="1"/>
  <c r="N55" i="98" s="1"/>
  <c r="N37" i="94"/>
  <c r="N37" i="83"/>
  <c r="N37" i="84"/>
  <c r="N37" i="98" s="1"/>
  <c r="N80" i="98" s="1"/>
  <c r="N21" i="94"/>
  <c r="N21" i="83"/>
  <c r="N21" i="84"/>
  <c r="N21" i="98" s="1"/>
  <c r="N64" i="98" s="1"/>
  <c r="N7" i="94"/>
  <c r="N7" i="83"/>
  <c r="N7" i="84"/>
  <c r="N7" i="98" s="1"/>
  <c r="N50" i="98" s="1"/>
  <c r="N13" i="94"/>
  <c r="N13" i="83"/>
  <c r="N13" i="84"/>
  <c r="N13" i="98" s="1"/>
  <c r="N56" i="98" s="1"/>
  <c r="N23" i="94"/>
  <c r="N23" i="84"/>
  <c r="N23" i="83"/>
  <c r="N23" i="98" s="1"/>
  <c r="N66" i="98" s="1"/>
  <c r="N9" i="94"/>
  <c r="N9" i="84"/>
  <c r="N9" i="83"/>
  <c r="N9" i="98" s="1"/>
  <c r="N52" i="98" s="1"/>
  <c r="N31" i="94"/>
  <c r="N31" i="83"/>
  <c r="N31" i="84"/>
  <c r="N31" i="98" s="1"/>
  <c r="N74" i="98" s="1"/>
  <c r="N29" i="94"/>
  <c r="N29" i="83"/>
  <c r="N29" i="84"/>
  <c r="N29" i="98" s="1"/>
  <c r="N72" i="98" s="1"/>
  <c r="N6" i="94"/>
  <c r="N6" i="83"/>
  <c r="N6" i="84"/>
  <c r="N6" i="98" s="1"/>
  <c r="N49" i="98" s="1"/>
  <c r="M50" i="80"/>
  <c r="M9" i="80"/>
  <c r="U15" i="78"/>
  <c r="U6" i="78"/>
  <c r="U16" i="78"/>
  <c r="U10" i="78"/>
  <c r="U29" i="78"/>
  <c r="U48" i="78"/>
  <c r="U49" i="78"/>
  <c r="U52" i="78"/>
  <c r="U25" i="78"/>
  <c r="U27" i="78"/>
  <c r="U41" i="78"/>
  <c r="U8" i="78"/>
  <c r="U12" i="78"/>
  <c r="U42" i="78"/>
  <c r="U32" i="78"/>
  <c r="U36" i="78"/>
  <c r="U24" i="78"/>
  <c r="U17" i="78"/>
  <c r="U11" i="78"/>
  <c r="U9" i="78"/>
  <c r="U47" i="78"/>
  <c r="U37" i="78"/>
  <c r="U30" i="78"/>
  <c r="U44" i="78"/>
  <c r="U21" i="78"/>
  <c r="U13" i="78"/>
  <c r="U26" i="78"/>
  <c r="U14" i="78"/>
  <c r="U7" i="78"/>
  <c r="U45" i="78"/>
  <c r="U35" i="78"/>
  <c r="U46" i="78"/>
  <c r="U22" i="78"/>
  <c r="U50" i="78"/>
  <c r="U23" i="78"/>
  <c r="U38" i="78"/>
  <c r="U19" i="78"/>
  <c r="U20" i="78"/>
  <c r="U31" i="78"/>
  <c r="U34" i="78"/>
  <c r="U39" i="78"/>
  <c r="U43" i="78"/>
  <c r="U18" i="78"/>
  <c r="U28" i="78"/>
  <c r="U33" i="78"/>
  <c r="U51" i="78"/>
  <c r="U40" i="78"/>
  <c r="X11" i="93"/>
  <c r="X11" i="80"/>
  <c r="X11" i="79"/>
  <c r="X20" i="93"/>
  <c r="X20" i="79"/>
  <c r="X20" i="80"/>
  <c r="X41" i="93"/>
  <c r="X41" i="79"/>
  <c r="X41" i="80"/>
  <c r="X33" i="93"/>
  <c r="X33" i="79"/>
  <c r="X33" i="80"/>
  <c r="X28" i="93"/>
  <c r="X28" i="80"/>
  <c r="X28" i="79"/>
  <c r="X48" i="93"/>
  <c r="X48" i="79"/>
  <c r="X48" i="80"/>
  <c r="X30" i="93"/>
  <c r="X30" i="80"/>
  <c r="X30" i="79"/>
  <c r="X29" i="93"/>
  <c r="X29" i="80"/>
  <c r="X29" i="79"/>
  <c r="X43" i="93"/>
  <c r="X43" i="80"/>
  <c r="X43" i="79"/>
  <c r="X32" i="93"/>
  <c r="X32" i="80"/>
  <c r="X32" i="79"/>
  <c r="X31" i="93"/>
  <c r="X31" i="80"/>
  <c r="X31" i="79"/>
  <c r="X45" i="93"/>
  <c r="X45" i="80"/>
  <c r="X45" i="79"/>
  <c r="M47" i="80"/>
  <c r="M38" i="80"/>
  <c r="M13" i="80"/>
  <c r="Z9" i="97"/>
  <c r="Z62" i="97" s="1"/>
  <c r="Z6" i="97"/>
  <c r="Z59" i="97" s="1"/>
  <c r="Z44" i="97"/>
  <c r="Z97" i="97" s="1"/>
  <c r="Z16" i="97"/>
  <c r="Z69" i="97" s="1"/>
  <c r="Z37" i="97"/>
  <c r="Z90" i="97" s="1"/>
  <c r="Z49" i="97"/>
  <c r="Z102" i="97" s="1"/>
  <c r="Z18" i="97"/>
  <c r="Z71" i="97" s="1"/>
  <c r="Z40" i="97"/>
  <c r="Z93" i="97" s="1"/>
  <c r="AA54" i="93"/>
  <c r="O6" i="82"/>
  <c r="O8" i="82"/>
  <c r="O27" i="82"/>
  <c r="O37" i="82"/>
  <c r="O31" i="82"/>
  <c r="O18" i="82"/>
  <c r="O32" i="82"/>
  <c r="O38" i="82"/>
  <c r="O36" i="82"/>
  <c r="O16" i="82"/>
  <c r="O14" i="82"/>
  <c r="O20" i="82"/>
  <c r="O11" i="82"/>
  <c r="O9" i="82"/>
  <c r="Q9" i="82" s="1"/>
  <c r="O15" i="82"/>
  <c r="O24" i="82"/>
  <c r="O13" i="82"/>
  <c r="O28" i="82"/>
  <c r="O34" i="82"/>
  <c r="O12" i="82"/>
  <c r="O23" i="82"/>
  <c r="O17" i="82"/>
  <c r="O42" i="82"/>
  <c r="O41" i="82"/>
  <c r="O22" i="82"/>
  <c r="O7" i="82"/>
  <c r="O5" i="82"/>
  <c r="O26" i="82"/>
  <c r="O40" i="82"/>
  <c r="O30" i="82"/>
  <c r="Q30" i="82" s="1"/>
  <c r="O25" i="82"/>
  <c r="O19" i="82"/>
  <c r="O29" i="82"/>
  <c r="O39" i="82"/>
  <c r="O33" i="82"/>
  <c r="O10" i="82"/>
  <c r="O21" i="82"/>
  <c r="O35" i="82"/>
  <c r="O41" i="93"/>
  <c r="O41" i="80"/>
  <c r="O41" i="79"/>
  <c r="O7" i="93"/>
  <c r="O7" i="80"/>
  <c r="O7" i="79"/>
  <c r="O7" i="97" s="1"/>
  <c r="O60" i="97" s="1"/>
  <c r="O9" i="93"/>
  <c r="O9" i="80"/>
  <c r="O9" i="79"/>
  <c r="O9" i="97" s="1"/>
  <c r="O62" i="97" s="1"/>
  <c r="O19" i="93"/>
  <c r="O19" i="80"/>
  <c r="O19" i="79"/>
  <c r="O19" i="97" s="1"/>
  <c r="O72" i="97" s="1"/>
  <c r="O31" i="93"/>
  <c r="O31" i="80"/>
  <c r="O31" i="79"/>
  <c r="O35" i="93"/>
  <c r="O35" i="80"/>
  <c r="O35" i="79"/>
  <c r="O35" i="97" s="1"/>
  <c r="O88" i="97" s="1"/>
  <c r="O10" i="93"/>
  <c r="O10" i="80"/>
  <c r="O10" i="79"/>
  <c r="O10" i="97" s="1"/>
  <c r="O63" i="97" s="1"/>
  <c r="O30" i="93"/>
  <c r="O30" i="80"/>
  <c r="O30" i="79"/>
  <c r="O30" i="97" s="1"/>
  <c r="O83" i="97" s="1"/>
  <c r="O20" i="93"/>
  <c r="O20" i="80"/>
  <c r="O20" i="79"/>
  <c r="O28" i="93"/>
  <c r="O28" i="80"/>
  <c r="O28" i="79"/>
  <c r="O28" i="97" s="1"/>
  <c r="O81" i="97" s="1"/>
  <c r="O47" i="93"/>
  <c r="O47" i="80"/>
  <c r="O47" i="79"/>
  <c r="O47" i="97" s="1"/>
  <c r="O100" i="97" s="1"/>
  <c r="O21" i="93"/>
  <c r="O21" i="80"/>
  <c r="O21" i="79"/>
  <c r="O21" i="97" s="1"/>
  <c r="O74" i="97" s="1"/>
  <c r="V33" i="94"/>
  <c r="V33" i="84"/>
  <c r="V33" i="83"/>
  <c r="W25" i="82"/>
  <c r="V25" i="94"/>
  <c r="V25" i="84"/>
  <c r="V25" i="83"/>
  <c r="V16" i="94"/>
  <c r="V16" i="84"/>
  <c r="V16" i="83"/>
  <c r="T16" i="98" s="1"/>
  <c r="T59" i="98" s="1"/>
  <c r="V27" i="94"/>
  <c r="V27" i="83"/>
  <c r="V27" i="84"/>
  <c r="V38" i="94"/>
  <c r="V38" i="83"/>
  <c r="V38" i="84"/>
  <c r="V7" i="94"/>
  <c r="V7" i="83"/>
  <c r="V7" i="84"/>
  <c r="V31" i="94"/>
  <c r="V31" i="83"/>
  <c r="V31" i="84"/>
  <c r="W42" i="82"/>
  <c r="V42" i="94"/>
  <c r="V42" i="83"/>
  <c r="V42" i="84"/>
  <c r="V18" i="94"/>
  <c r="V18" i="83"/>
  <c r="T18" i="98" s="1"/>
  <c r="T61" i="98" s="1"/>
  <c r="V18" i="84"/>
  <c r="T26" i="94"/>
  <c r="T26" i="84"/>
  <c r="T26" i="83"/>
  <c r="R26" i="98" s="1"/>
  <c r="R69" i="98" s="1"/>
  <c r="W26" i="82"/>
  <c r="T19" i="94"/>
  <c r="T19" i="84"/>
  <c r="T19" i="83"/>
  <c r="R19" i="98" s="1"/>
  <c r="R62" i="98" s="1"/>
  <c r="T12" i="94"/>
  <c r="T12" i="84"/>
  <c r="T12" i="83"/>
  <c r="R12" i="98" s="1"/>
  <c r="R55" i="98" s="1"/>
  <c r="T36" i="94"/>
  <c r="T36" i="84"/>
  <c r="W36" i="82"/>
  <c r="T36" i="83"/>
  <c r="R36" i="98" s="1"/>
  <c r="R79" i="98" s="1"/>
  <c r="T11" i="94"/>
  <c r="T11" i="84"/>
  <c r="W11" i="82"/>
  <c r="T11" i="83"/>
  <c r="R11" i="98" s="1"/>
  <c r="R54" i="98" s="1"/>
  <c r="T17" i="94"/>
  <c r="T17" i="84"/>
  <c r="T17" i="83"/>
  <c r="T25" i="94"/>
  <c r="T25" i="84"/>
  <c r="T25" i="83"/>
  <c r="T7" i="94"/>
  <c r="T7" i="84"/>
  <c r="T7" i="83"/>
  <c r="R7" i="98" s="1"/>
  <c r="R50" i="98" s="1"/>
  <c r="T24" i="94"/>
  <c r="T24" i="84"/>
  <c r="T24" i="83"/>
  <c r="R24" i="98" s="1"/>
  <c r="R67" i="98" s="1"/>
  <c r="T8" i="94"/>
  <c r="T8" i="84"/>
  <c r="T8" i="83"/>
  <c r="R8" i="98" s="1"/>
  <c r="R51" i="98" s="1"/>
  <c r="W8" i="82"/>
  <c r="AI20" i="78"/>
  <c r="AI12" i="78"/>
  <c r="AI19" i="78"/>
  <c r="AI11" i="78"/>
  <c r="AI27" i="78"/>
  <c r="AI41" i="78"/>
  <c r="AI31" i="78"/>
  <c r="AI45" i="78"/>
  <c r="AI35" i="78"/>
  <c r="AI49" i="78"/>
  <c r="AI22" i="78"/>
  <c r="AI42" i="78"/>
  <c r="AI16" i="78"/>
  <c r="AI15" i="78"/>
  <c r="AI9" i="78"/>
  <c r="AI24" i="78"/>
  <c r="AI47" i="78"/>
  <c r="AI51" i="78"/>
  <c r="AI33" i="78"/>
  <c r="AI39" i="78"/>
  <c r="AI14" i="78"/>
  <c r="AI13" i="78"/>
  <c r="AI6" i="78"/>
  <c r="AI25" i="78"/>
  <c r="AI30" i="78"/>
  <c r="AI34" i="78"/>
  <c r="AI18" i="78"/>
  <c r="AI7" i="78"/>
  <c r="AI17" i="78"/>
  <c r="AI8" i="78"/>
  <c r="AI36" i="78"/>
  <c r="AI46" i="78"/>
  <c r="AI23" i="78"/>
  <c r="AI50" i="78"/>
  <c r="AI28" i="78"/>
  <c r="AI38" i="78"/>
  <c r="AI32" i="78"/>
  <c r="AI43" i="78"/>
  <c r="AI10" i="78"/>
  <c r="AI29" i="78"/>
  <c r="AI44" i="78"/>
  <c r="AI26" i="78"/>
  <c r="AI21" i="78"/>
  <c r="AI48" i="78"/>
  <c r="AI52" i="78"/>
  <c r="AI40" i="78"/>
  <c r="AI37" i="78"/>
  <c r="M34" i="80"/>
  <c r="M40" i="80"/>
  <c r="M8" i="100"/>
  <c r="M8" i="80"/>
  <c r="Y17" i="97"/>
  <c r="Y70" i="97" s="1"/>
  <c r="Y12" i="97"/>
  <c r="Y65" i="97" s="1"/>
  <c r="Y44" i="97"/>
  <c r="Y97" i="97" s="1"/>
  <c r="Y29" i="97"/>
  <c r="Y82" i="97" s="1"/>
  <c r="Y42" i="97"/>
  <c r="Y95" i="97" s="1"/>
  <c r="Y13" i="97"/>
  <c r="Y66" i="97" s="1"/>
  <c r="Y50" i="97"/>
  <c r="Y103" i="97" s="1"/>
  <c r="R31" i="94"/>
  <c r="S31" i="94" s="1"/>
  <c r="R31" i="83"/>
  <c r="S31" i="83" s="1"/>
  <c r="S31" i="82"/>
  <c r="R31" i="84"/>
  <c r="S31" i="84" s="1"/>
  <c r="R10" i="94"/>
  <c r="S10" i="94" s="1"/>
  <c r="S10" i="82"/>
  <c r="R10" i="83"/>
  <c r="S10" i="83" s="1"/>
  <c r="R10" i="84"/>
  <c r="S10" i="84" s="1"/>
  <c r="R18" i="94"/>
  <c r="S18" i="94" s="1"/>
  <c r="R18" i="83"/>
  <c r="S18" i="83" s="1"/>
  <c r="S18" i="82"/>
  <c r="R18" i="84"/>
  <c r="S18" i="84" s="1"/>
  <c r="R29" i="94"/>
  <c r="S29" i="94" s="1"/>
  <c r="S29" i="82"/>
  <c r="R29" i="84"/>
  <c r="S29" i="84" s="1"/>
  <c r="R29" i="83"/>
  <c r="S29" i="83" s="1"/>
  <c r="R37" i="94"/>
  <c r="S37" i="94" s="1"/>
  <c r="S37" i="82"/>
  <c r="R37" i="84"/>
  <c r="S37" i="84" s="1"/>
  <c r="R37" i="83"/>
  <c r="S37" i="83" s="1"/>
  <c r="R12" i="94"/>
  <c r="S12" i="94" s="1"/>
  <c r="S12" i="82"/>
  <c r="R12" i="84"/>
  <c r="S12" i="84" s="1"/>
  <c r="R12" i="83"/>
  <c r="S12" i="83" s="1"/>
  <c r="R7" i="94"/>
  <c r="S7" i="94" s="1"/>
  <c r="S7" i="82"/>
  <c r="R7" i="84"/>
  <c r="S7" i="84" s="1"/>
  <c r="R7" i="83"/>
  <c r="S7" i="83" s="1"/>
  <c r="R36" i="94"/>
  <c r="S36" i="94" s="1"/>
  <c r="R36" i="84"/>
  <c r="S36" i="84" s="1"/>
  <c r="R36" i="83"/>
  <c r="S36" i="83" s="1"/>
  <c r="S36" i="82"/>
  <c r="R28" i="94"/>
  <c r="S28" i="94" s="1"/>
  <c r="R28" i="84"/>
  <c r="S28" i="84" s="1"/>
  <c r="R28" i="83"/>
  <c r="S28" i="83" s="1"/>
  <c r="S28" i="82"/>
  <c r="V61" i="77"/>
  <c r="Z16" i="94"/>
  <c r="AA16" i="94" s="1"/>
  <c r="AA16" i="82"/>
  <c r="Z16" i="83"/>
  <c r="AA16" i="83" s="1"/>
  <c r="Z16" i="84"/>
  <c r="AA16" i="84" s="1"/>
  <c r="Z13" i="94"/>
  <c r="AA13" i="94" s="1"/>
  <c r="AA13" i="82"/>
  <c r="Z13" i="83"/>
  <c r="AA13" i="83" s="1"/>
  <c r="Z13" i="84"/>
  <c r="AA13" i="84" s="1"/>
  <c r="Z7" i="94"/>
  <c r="AA7" i="94" s="1"/>
  <c r="AA7" i="82"/>
  <c r="Z7" i="83"/>
  <c r="AA7" i="83" s="1"/>
  <c r="Z7" i="84"/>
  <c r="AA7" i="84" s="1"/>
  <c r="Z40" i="94"/>
  <c r="AA40" i="94" s="1"/>
  <c r="AA40" i="82"/>
  <c r="Z40" i="83"/>
  <c r="AA40" i="83" s="1"/>
  <c r="Z40" i="84"/>
  <c r="AA40" i="84" s="1"/>
  <c r="Z18" i="94"/>
  <c r="AA18" i="94" s="1"/>
  <c r="AA18" i="82"/>
  <c r="Z18" i="83"/>
  <c r="AA18" i="83" s="1"/>
  <c r="Z18" i="84"/>
  <c r="AA18" i="84" s="1"/>
  <c r="Z17" i="94"/>
  <c r="AA17" i="94" s="1"/>
  <c r="AA17" i="82"/>
  <c r="Z17" i="83"/>
  <c r="AA17" i="83" s="1"/>
  <c r="Z17" i="84"/>
  <c r="AA17" i="84" s="1"/>
  <c r="V20" i="98"/>
  <c r="V63" i="98" s="1"/>
  <c r="Z20" i="94"/>
  <c r="AA20" i="94" s="1"/>
  <c r="Z20" i="84"/>
  <c r="AA20" i="84" s="1"/>
  <c r="Z20" i="83"/>
  <c r="AA20" i="83" s="1"/>
  <c r="AA20" i="82"/>
  <c r="Z14" i="94"/>
  <c r="AA14" i="94" s="1"/>
  <c r="Z14" i="84"/>
  <c r="AA14" i="84" s="1"/>
  <c r="Z14" i="83"/>
  <c r="AA14" i="83" s="1"/>
  <c r="AA14" i="82"/>
  <c r="Z38" i="94"/>
  <c r="AA38" i="94" s="1"/>
  <c r="Z38" i="84"/>
  <c r="AA38" i="84" s="1"/>
  <c r="Z38" i="83"/>
  <c r="AA38" i="83" s="1"/>
  <c r="AA38" i="82"/>
  <c r="M10" i="80"/>
  <c r="M17" i="80"/>
  <c r="AQ13" i="93"/>
  <c r="AM59" i="77"/>
  <c r="AM57" i="80"/>
  <c r="AM57" i="79"/>
  <c r="AM57" i="78"/>
  <c r="L40" i="83"/>
  <c r="L40" i="98" s="1"/>
  <c r="L83" i="98" s="1"/>
  <c r="L40" i="84"/>
  <c r="L38" i="83"/>
  <c r="L38" i="84"/>
  <c r="L36" i="83"/>
  <c r="L36" i="84"/>
  <c r="L34" i="83"/>
  <c r="L34" i="84"/>
  <c r="Q34" i="82"/>
  <c r="L32" i="83"/>
  <c r="L32" i="84"/>
  <c r="Q32" i="82"/>
  <c r="L30" i="83"/>
  <c r="L30" i="84"/>
  <c r="L28" i="83"/>
  <c r="L28" i="84"/>
  <c r="L7" i="83"/>
  <c r="L7" i="84"/>
  <c r="Q7" i="82"/>
  <c r="L5" i="83"/>
  <c r="L5" i="98" s="1"/>
  <c r="L48" i="98" s="1"/>
  <c r="L44" i="82"/>
  <c r="L5" i="84"/>
  <c r="Q5" i="82"/>
  <c r="L24" i="83"/>
  <c r="L24" i="98" s="1"/>
  <c r="L67" i="98" s="1"/>
  <c r="L24" i="84"/>
  <c r="Q22" i="82"/>
  <c r="L22" i="83"/>
  <c r="L22" i="84"/>
  <c r="L20" i="83"/>
  <c r="L20" i="84"/>
  <c r="L18" i="83"/>
  <c r="L18" i="84"/>
  <c r="L15" i="83"/>
  <c r="L15" i="84"/>
  <c r="Q15" i="82"/>
  <c r="Q13" i="82"/>
  <c r="L13" i="83"/>
  <c r="L13" i="98" s="1"/>
  <c r="L56" i="98" s="1"/>
  <c r="L13" i="84"/>
  <c r="L27" i="83"/>
  <c r="L27" i="84"/>
  <c r="Q27" i="82"/>
  <c r="Q11" i="82"/>
  <c r="L11" i="83"/>
  <c r="L11" i="84"/>
  <c r="L9" i="83"/>
  <c r="L9" i="98" s="1"/>
  <c r="L52" i="98" s="1"/>
  <c r="L9" i="84"/>
  <c r="AM57" i="77"/>
  <c r="AM55" i="80"/>
  <c r="AM55" i="78"/>
  <c r="L41" i="83"/>
  <c r="L41" i="84"/>
  <c r="L39" i="83"/>
  <c r="L39" i="84"/>
  <c r="L37" i="83"/>
  <c r="L37" i="84"/>
  <c r="L35" i="83"/>
  <c r="L35" i="98" s="1"/>
  <c r="L78" i="98" s="1"/>
  <c r="L35" i="84"/>
  <c r="Q35" i="82"/>
  <c r="L33" i="83"/>
  <c r="L33" i="84"/>
  <c r="L31" i="83"/>
  <c r="L31" i="84"/>
  <c r="Q31" i="82"/>
  <c r="L29" i="83"/>
  <c r="L29" i="84"/>
  <c r="Q29" i="82"/>
  <c r="L42" i="83"/>
  <c r="L42" i="98" s="1"/>
  <c r="L85" i="98" s="1"/>
  <c r="L42" i="84"/>
  <c r="Q42" i="82"/>
  <c r="AB42" i="82" s="1"/>
  <c r="L8" i="83"/>
  <c r="L8" i="84"/>
  <c r="L6" i="83"/>
  <c r="L6" i="84"/>
  <c r="Q6" i="82"/>
  <c r="F46" i="5"/>
  <c r="AB47" i="94" s="1"/>
  <c r="Q47" i="84"/>
  <c r="Q47" i="83"/>
  <c r="Q47" i="82"/>
  <c r="Q47" i="81"/>
  <c r="T59" i="77"/>
  <c r="T57" i="80"/>
  <c r="T57" i="79"/>
  <c r="T57" i="78"/>
  <c r="T58" i="77"/>
  <c r="T56" i="80"/>
  <c r="T56" i="79"/>
  <c r="T56" i="78"/>
  <c r="L25" i="83"/>
  <c r="L25" i="84"/>
  <c r="Q25" i="82"/>
  <c r="AB25" i="82" s="1"/>
  <c r="L23" i="83"/>
  <c r="L23" i="84"/>
  <c r="Q23" i="82"/>
  <c r="Q21" i="82"/>
  <c r="L21" i="83"/>
  <c r="L21" i="84"/>
  <c r="L19" i="83"/>
  <c r="L19" i="84"/>
  <c r="L17" i="83"/>
  <c r="L17" i="84"/>
  <c r="L14" i="83"/>
  <c r="L14" i="84"/>
  <c r="L12" i="83"/>
  <c r="L12" i="84"/>
  <c r="L26" i="83"/>
  <c r="L26" i="84"/>
  <c r="Q26" i="82"/>
  <c r="AB26" i="82" s="1"/>
  <c r="L16" i="83"/>
  <c r="L16" i="84"/>
  <c r="L10" i="83"/>
  <c r="L10" i="84"/>
  <c r="Q10" i="82"/>
  <c r="E42" i="5"/>
  <c r="X46" i="94" s="1"/>
  <c r="E21" i="5"/>
  <c r="AE56" i="93" s="1"/>
  <c r="AO55" i="93" s="1"/>
  <c r="Q39" i="82" l="1"/>
  <c r="Q41" i="82"/>
  <c r="AB41" i="82" s="1"/>
  <c r="Q16" i="82"/>
  <c r="R10" i="98"/>
  <c r="R53" i="98" s="1"/>
  <c r="T17" i="98"/>
  <c r="T60" i="98" s="1"/>
  <c r="O50" i="97"/>
  <c r="O103" i="97" s="1"/>
  <c r="O15" i="97"/>
  <c r="O68" i="97" s="1"/>
  <c r="X36" i="79"/>
  <c r="W36" i="97" s="1"/>
  <c r="W89" i="97" s="1"/>
  <c r="N20" i="98"/>
  <c r="N63" i="98" s="1"/>
  <c r="Q30" i="98"/>
  <c r="Q73" i="98" s="1"/>
  <c r="R22" i="98"/>
  <c r="R65" i="98" s="1"/>
  <c r="R23" i="98"/>
  <c r="R66" i="98" s="1"/>
  <c r="O45" i="93"/>
  <c r="X40" i="79"/>
  <c r="W40" i="97" s="1"/>
  <c r="W93" i="97" s="1"/>
  <c r="R35" i="98"/>
  <c r="R78" i="98" s="1"/>
  <c r="R39" i="98"/>
  <c r="R82" i="98" s="1"/>
  <c r="R15" i="98"/>
  <c r="R58" i="98" s="1"/>
  <c r="T29" i="98"/>
  <c r="T72" i="98" s="1"/>
  <c r="Q19" i="98"/>
  <c r="Q62" i="98" s="1"/>
  <c r="R6" i="98"/>
  <c r="R49" i="98" s="1"/>
  <c r="X51" i="93"/>
  <c r="T42" i="98"/>
  <c r="T85" i="98" s="1"/>
  <c r="O26" i="79"/>
  <c r="O26" i="97" s="1"/>
  <c r="O79" i="97" s="1"/>
  <c r="O32" i="79"/>
  <c r="O32" i="97" s="1"/>
  <c r="O85" i="97" s="1"/>
  <c r="O34" i="79"/>
  <c r="O34" i="97" s="1"/>
  <c r="O87" i="97" s="1"/>
  <c r="O27" i="79"/>
  <c r="O27" i="97" s="1"/>
  <c r="O80" i="97" s="1"/>
  <c r="O12" i="79"/>
  <c r="O12" i="97" s="1"/>
  <c r="O65" i="97" s="1"/>
  <c r="O16" i="79"/>
  <c r="O16" i="97" s="1"/>
  <c r="O69" i="97" s="1"/>
  <c r="Q38" i="82"/>
  <c r="Q24" i="82"/>
  <c r="AB24" i="82" s="1"/>
  <c r="Q40" i="82"/>
  <c r="Q12" i="82"/>
  <c r="Q19" i="82"/>
  <c r="N19" i="98"/>
  <c r="N62" i="98" s="1"/>
  <c r="L25" i="98"/>
  <c r="L68" i="98" s="1"/>
  <c r="L6" i="98"/>
  <c r="L49" i="98" s="1"/>
  <c r="L17" i="98"/>
  <c r="L60" i="98" s="1"/>
  <c r="L21" i="98"/>
  <c r="L64" i="98" s="1"/>
  <c r="L33" i="98"/>
  <c r="L76" i="98" s="1"/>
  <c r="L22" i="98"/>
  <c r="L65" i="98" s="1"/>
  <c r="Q28" i="98"/>
  <c r="Q71" i="98" s="1"/>
  <c r="AB9" i="82"/>
  <c r="R18" i="98"/>
  <c r="R61" i="98" s="1"/>
  <c r="R34" i="98"/>
  <c r="R77" i="98" s="1"/>
  <c r="T35" i="98"/>
  <c r="T78" i="98" s="1"/>
  <c r="T10" i="98"/>
  <c r="T53" i="98" s="1"/>
  <c r="O6" i="93"/>
  <c r="N25" i="98"/>
  <c r="N68" i="98" s="1"/>
  <c r="N26" i="98"/>
  <c r="N69" i="98" s="1"/>
  <c r="N40" i="98"/>
  <c r="N83" i="98" s="1"/>
  <c r="L16" i="98"/>
  <c r="L59" i="98" s="1"/>
  <c r="AB13" i="82"/>
  <c r="X13" i="83" s="1"/>
  <c r="Y13" i="83" s="1"/>
  <c r="L8" i="98"/>
  <c r="L51" i="98" s="1"/>
  <c r="L41" i="98"/>
  <c r="L84" i="98" s="1"/>
  <c r="L32" i="98"/>
  <c r="L75" i="98" s="1"/>
  <c r="T38" i="98"/>
  <c r="T81" i="98" s="1"/>
  <c r="T25" i="98"/>
  <c r="T68" i="98" s="1"/>
  <c r="T33" i="98"/>
  <c r="T76" i="98" s="1"/>
  <c r="O20" i="97"/>
  <c r="O73" i="97" s="1"/>
  <c r="O31" i="97"/>
  <c r="O84" i="97" s="1"/>
  <c r="O41" i="97"/>
  <c r="O94" i="97" s="1"/>
  <c r="W31" i="97"/>
  <c r="W84" i="97" s="1"/>
  <c r="W30" i="97"/>
  <c r="W83" i="97" s="1"/>
  <c r="W41" i="97"/>
  <c r="W94" i="97" s="1"/>
  <c r="R21" i="98"/>
  <c r="R64" i="98" s="1"/>
  <c r="O42" i="97"/>
  <c r="O95" i="97" s="1"/>
  <c r="O17" i="97"/>
  <c r="O70" i="97" s="1"/>
  <c r="X10" i="79"/>
  <c r="W10" i="97" s="1"/>
  <c r="W63" i="97" s="1"/>
  <c r="R32" i="98"/>
  <c r="R75" i="98" s="1"/>
  <c r="R16" i="98"/>
  <c r="R59" i="98" s="1"/>
  <c r="T6" i="98"/>
  <c r="T49" i="98" s="1"/>
  <c r="O13" i="79"/>
  <c r="O13" i="97" s="1"/>
  <c r="O66" i="97" s="1"/>
  <c r="O46" i="79"/>
  <c r="O46" i="97" s="1"/>
  <c r="O99" i="97" s="1"/>
  <c r="O38" i="79"/>
  <c r="O38" i="97" s="1"/>
  <c r="O91" i="97" s="1"/>
  <c r="O36" i="79"/>
  <c r="O36" i="97" s="1"/>
  <c r="O89" i="97" s="1"/>
  <c r="O44" i="79"/>
  <c r="O44" i="97" s="1"/>
  <c r="O97" i="97" s="1"/>
  <c r="O11" i="79"/>
  <c r="O11" i="97" s="1"/>
  <c r="O64" i="97" s="1"/>
  <c r="O22" i="79"/>
  <c r="O22" i="97" s="1"/>
  <c r="O75" i="97" s="1"/>
  <c r="O51" i="79"/>
  <c r="O51" i="97" s="1"/>
  <c r="O104" i="97" s="1"/>
  <c r="O8" i="79"/>
  <c r="O8" i="97" s="1"/>
  <c r="O61" i="97" s="1"/>
  <c r="O24" i="79"/>
  <c r="O24" i="97" s="1"/>
  <c r="O77" i="97" s="1"/>
  <c r="O6" i="79"/>
  <c r="O6" i="97" s="1"/>
  <c r="O59" i="97" s="1"/>
  <c r="N44" i="94"/>
  <c r="Y17" i="93"/>
  <c r="Q27" i="98"/>
  <c r="Q70" i="98" s="1"/>
  <c r="R38" i="98"/>
  <c r="R81" i="98" s="1"/>
  <c r="V42" i="98"/>
  <c r="V85" i="98" s="1"/>
  <c r="V34" i="98"/>
  <c r="V77" i="98" s="1"/>
  <c r="R40" i="98"/>
  <c r="R83" i="98" s="1"/>
  <c r="O23" i="79"/>
  <c r="O23" i="97" s="1"/>
  <c r="O76" i="97" s="1"/>
  <c r="O25" i="79"/>
  <c r="O25" i="97" s="1"/>
  <c r="O78" i="97" s="1"/>
  <c r="O18" i="79"/>
  <c r="O18" i="97" s="1"/>
  <c r="O71" i="97" s="1"/>
  <c r="O39" i="79"/>
  <c r="O39" i="97" s="1"/>
  <c r="O92" i="97" s="1"/>
  <c r="O29" i="79"/>
  <c r="O29" i="97" s="1"/>
  <c r="O82" i="97" s="1"/>
  <c r="O49" i="79"/>
  <c r="O49" i="97" s="1"/>
  <c r="O102" i="97" s="1"/>
  <c r="N41" i="98"/>
  <c r="N84" i="98" s="1"/>
  <c r="N32" i="98"/>
  <c r="N75" i="98" s="1"/>
  <c r="V5" i="98"/>
  <c r="V48" i="98" s="1"/>
  <c r="M20" i="93"/>
  <c r="M31" i="93"/>
  <c r="M24" i="93"/>
  <c r="M27" i="93"/>
  <c r="M50" i="93"/>
  <c r="M34" i="93"/>
  <c r="M17" i="93"/>
  <c r="M35" i="93"/>
  <c r="M52" i="93"/>
  <c r="M25" i="93"/>
  <c r="M23" i="79"/>
  <c r="M23" i="97" s="1"/>
  <c r="M76" i="97" s="1"/>
  <c r="M38" i="93"/>
  <c r="M8" i="93"/>
  <c r="M10" i="93"/>
  <c r="M13" i="93"/>
  <c r="M6" i="93"/>
  <c r="M24" i="79"/>
  <c r="M24" i="97" s="1"/>
  <c r="M77" i="97" s="1"/>
  <c r="M30" i="93"/>
  <c r="M9" i="93"/>
  <c r="M40" i="93"/>
  <c r="M52" i="79"/>
  <c r="M52" i="97" s="1"/>
  <c r="M105" i="97" s="1"/>
  <c r="M21" i="79"/>
  <c r="M21" i="97" s="1"/>
  <c r="M74" i="97" s="1"/>
  <c r="M47" i="93"/>
  <c r="Y21" i="93"/>
  <c r="Y23" i="93"/>
  <c r="Y46" i="93"/>
  <c r="W45" i="97"/>
  <c r="W98" i="97" s="1"/>
  <c r="W29" i="97"/>
  <c r="W82" i="97" s="1"/>
  <c r="W33" i="97"/>
  <c r="W86" i="97" s="1"/>
  <c r="Y41" i="93"/>
  <c r="Y24" i="93"/>
  <c r="Y12" i="93"/>
  <c r="Y47" i="93"/>
  <c r="Y20" i="79"/>
  <c r="X10" i="93"/>
  <c r="X6" i="93"/>
  <c r="X36" i="93"/>
  <c r="Y13" i="93"/>
  <c r="Y50" i="79"/>
  <c r="Y16" i="79"/>
  <c r="Y51" i="79"/>
  <c r="Y39" i="79"/>
  <c r="Y22" i="79"/>
  <c r="Y43" i="79"/>
  <c r="Y9" i="79"/>
  <c r="Y25" i="79"/>
  <c r="Y38" i="79"/>
  <c r="Y19" i="79"/>
  <c r="Y31" i="79"/>
  <c r="Y30" i="93"/>
  <c r="Y20" i="93"/>
  <c r="X6" i="79"/>
  <c r="W6" i="97" s="1"/>
  <c r="W59" i="97" s="1"/>
  <c r="M16" i="80"/>
  <c r="X52" i="79"/>
  <c r="W52" i="97" s="1"/>
  <c r="W105" i="97" s="1"/>
  <c r="Y50" i="93"/>
  <c r="Y16" i="93"/>
  <c r="Y51" i="93"/>
  <c r="Y39" i="93"/>
  <c r="Y22" i="93"/>
  <c r="Y43" i="93"/>
  <c r="Y28" i="79"/>
  <c r="X28" i="97" s="1"/>
  <c r="X81" i="97" s="1"/>
  <c r="Y36" i="79"/>
  <c r="Y34" i="93"/>
  <c r="Y26" i="93"/>
  <c r="Y25" i="93"/>
  <c r="Y38" i="93"/>
  <c r="Y19" i="93"/>
  <c r="Y31" i="93"/>
  <c r="Y45" i="79"/>
  <c r="Y8" i="79"/>
  <c r="W8" i="97"/>
  <c r="W61" i="97" s="1"/>
  <c r="X46" i="93"/>
  <c r="X26" i="79"/>
  <c r="W26" i="97" s="1"/>
  <c r="W79" i="97" s="1"/>
  <c r="Y17" i="79"/>
  <c r="Y21" i="79"/>
  <c r="Y34" i="79"/>
  <c r="Y23" i="79"/>
  <c r="Y46" i="79"/>
  <c r="Y26" i="79"/>
  <c r="Y28" i="93"/>
  <c r="X18" i="93"/>
  <c r="X24" i="97"/>
  <c r="X77" i="97" s="1"/>
  <c r="X37" i="93"/>
  <c r="X25" i="79"/>
  <c r="W25" i="97" s="1"/>
  <c r="W78" i="97" s="1"/>
  <c r="M16" i="93"/>
  <c r="M36" i="93"/>
  <c r="M11" i="93"/>
  <c r="X44" i="93"/>
  <c r="X16" i="93"/>
  <c r="X13" i="93"/>
  <c r="X19" i="93"/>
  <c r="X34" i="93"/>
  <c r="X38" i="93"/>
  <c r="Y52" i="79"/>
  <c r="Y40" i="79"/>
  <c r="W43" i="97"/>
  <c r="W96" i="97" s="1"/>
  <c r="W28" i="97"/>
  <c r="W81" i="97" s="1"/>
  <c r="W11" i="97"/>
  <c r="W64" i="97" s="1"/>
  <c r="Y24" i="80"/>
  <c r="X46" i="79"/>
  <c r="W46" i="97" s="1"/>
  <c r="W99" i="97" s="1"/>
  <c r="X25" i="93"/>
  <c r="M19" i="79"/>
  <c r="M19" i="97" s="1"/>
  <c r="M72" i="97" s="1"/>
  <c r="X23" i="79"/>
  <c r="W23" i="97" s="1"/>
  <c r="W76" i="97" s="1"/>
  <c r="X17" i="79"/>
  <c r="W17" i="97" s="1"/>
  <c r="W70" i="97" s="1"/>
  <c r="M49" i="93"/>
  <c r="Y6" i="93"/>
  <c r="Y11" i="79"/>
  <c r="Y18" i="79"/>
  <c r="X49" i="93"/>
  <c r="Y7" i="79"/>
  <c r="W32" i="97"/>
  <c r="W85" i="97" s="1"/>
  <c r="W48" i="97"/>
  <c r="W101" i="97" s="1"/>
  <c r="W20" i="97"/>
  <c r="W73" i="97" s="1"/>
  <c r="Y25" i="80"/>
  <c r="Y47" i="80"/>
  <c r="X47" i="97" s="1"/>
  <c r="X100" i="97" s="1"/>
  <c r="X30" i="97"/>
  <c r="X83" i="97" s="1"/>
  <c r="Z54" i="80"/>
  <c r="X7" i="79"/>
  <c r="W7" i="97" s="1"/>
  <c r="W60" i="97" s="1"/>
  <c r="X15" i="93"/>
  <c r="X42" i="93"/>
  <c r="X14" i="93"/>
  <c r="X47" i="93"/>
  <c r="X27" i="93"/>
  <c r="X9" i="93"/>
  <c r="Y10" i="79"/>
  <c r="Y37" i="79"/>
  <c r="Y27" i="79"/>
  <c r="V7" i="98"/>
  <c r="V50" i="98" s="1"/>
  <c r="Q31" i="98"/>
  <c r="Q74" i="98" s="1"/>
  <c r="AI43" i="80"/>
  <c r="AI34" i="80"/>
  <c r="AI15" i="80"/>
  <c r="AI41" i="80"/>
  <c r="O39" i="94"/>
  <c r="O39" i="83"/>
  <c r="O39" i="84"/>
  <c r="O39" i="98" s="1"/>
  <c r="O82" i="98" s="1"/>
  <c r="O7" i="94"/>
  <c r="O7" i="83"/>
  <c r="O7" i="84"/>
  <c r="O7" i="98" s="1"/>
  <c r="O50" i="98" s="1"/>
  <c r="O28" i="94"/>
  <c r="O28" i="83"/>
  <c r="O28" i="84"/>
  <c r="O28" i="98" s="1"/>
  <c r="O71" i="98" s="1"/>
  <c r="O16" i="94"/>
  <c r="O16" i="84"/>
  <c r="O16" i="83"/>
  <c r="O16" i="98" s="1"/>
  <c r="O59" i="98" s="1"/>
  <c r="O8" i="94"/>
  <c r="O8" i="83"/>
  <c r="O8" i="84"/>
  <c r="O8" i="98" s="1"/>
  <c r="O51" i="98" s="1"/>
  <c r="U40" i="80"/>
  <c r="U31" i="80"/>
  <c r="U26" i="80"/>
  <c r="U32" i="80"/>
  <c r="U16" i="80"/>
  <c r="U35" i="94"/>
  <c r="U35" i="83"/>
  <c r="U35" i="84"/>
  <c r="W35" i="84" s="1"/>
  <c r="U7" i="94"/>
  <c r="U7" i="83"/>
  <c r="S7" i="98" s="1"/>
  <c r="S50" i="98" s="1"/>
  <c r="U7" i="84"/>
  <c r="U14" i="94"/>
  <c r="W14" i="94" s="1"/>
  <c r="U14" i="84"/>
  <c r="W14" i="84" s="1"/>
  <c r="U14" i="83"/>
  <c r="S14" i="98" s="1"/>
  <c r="S57" i="98" s="1"/>
  <c r="U38" i="94"/>
  <c r="W38" i="94" s="1"/>
  <c r="U38" i="84"/>
  <c r="W38" i="84" s="1"/>
  <c r="U38" i="83"/>
  <c r="U26" i="94"/>
  <c r="W26" i="94" s="1"/>
  <c r="U26" i="83"/>
  <c r="U26" i="84"/>
  <c r="W26" i="84" s="1"/>
  <c r="M36" i="94"/>
  <c r="M36" i="83"/>
  <c r="M36" i="98" s="1"/>
  <c r="M79" i="98" s="1"/>
  <c r="M36" i="84"/>
  <c r="M14" i="94"/>
  <c r="M14" i="83"/>
  <c r="M14" i="84"/>
  <c r="M20" i="94"/>
  <c r="M20" i="84"/>
  <c r="M20" i="83"/>
  <c r="M33" i="94"/>
  <c r="M33" i="83"/>
  <c r="M33" i="84"/>
  <c r="Q33" i="84" s="1"/>
  <c r="M18" i="94"/>
  <c r="M18" i="83"/>
  <c r="M18" i="98" s="1"/>
  <c r="M61" i="98" s="1"/>
  <c r="M18" i="84"/>
  <c r="P13" i="93"/>
  <c r="P13" i="80"/>
  <c r="P40" i="80"/>
  <c r="P21" i="93"/>
  <c r="P21" i="80"/>
  <c r="P17" i="80"/>
  <c r="Y6" i="80"/>
  <c r="Q24" i="98"/>
  <c r="Q67" i="98" s="1"/>
  <c r="R26" i="80"/>
  <c r="R27" i="80"/>
  <c r="R6" i="80"/>
  <c r="R54" i="78"/>
  <c r="R35" i="80"/>
  <c r="Q45" i="80"/>
  <c r="Q35" i="80"/>
  <c r="Q26" i="80"/>
  <c r="Q49" i="80"/>
  <c r="L41" i="80"/>
  <c r="L14" i="93"/>
  <c r="L14" i="80"/>
  <c r="L15" i="80"/>
  <c r="L35" i="93"/>
  <c r="L35" i="80"/>
  <c r="Y48" i="80"/>
  <c r="Y29" i="80"/>
  <c r="W20" i="80"/>
  <c r="W49" i="80"/>
  <c r="W29" i="80"/>
  <c r="W45" i="80"/>
  <c r="W38" i="80"/>
  <c r="P39" i="94"/>
  <c r="P39" i="84"/>
  <c r="P39" i="83"/>
  <c r="P37" i="94"/>
  <c r="P37" i="84"/>
  <c r="P37" i="83"/>
  <c r="P37" i="98" s="1"/>
  <c r="P80" i="98" s="1"/>
  <c r="P30" i="94"/>
  <c r="P30" i="83"/>
  <c r="P30" i="98" s="1"/>
  <c r="P73" i="98" s="1"/>
  <c r="P30" i="84"/>
  <c r="W14" i="82"/>
  <c r="AH36" i="80"/>
  <c r="AH6" i="80"/>
  <c r="AH54" i="78"/>
  <c r="AH59" i="78" s="1"/>
  <c r="AH6" i="93" s="1"/>
  <c r="AD14" i="97"/>
  <c r="AD67" i="97" s="1"/>
  <c r="AH14" i="80"/>
  <c r="AH14" i="79"/>
  <c r="AH18" i="80"/>
  <c r="AD33" i="78"/>
  <c r="AC33" i="80"/>
  <c r="AD33" i="80" s="1"/>
  <c r="AC19" i="80"/>
  <c r="AD19" i="80" s="1"/>
  <c r="AD19" i="78"/>
  <c r="AD25" i="78"/>
  <c r="AC25" i="80"/>
  <c r="AD25" i="80" s="1"/>
  <c r="Q8" i="82"/>
  <c r="AB8" i="82" s="1"/>
  <c r="Q33" i="82"/>
  <c r="AB15" i="82"/>
  <c r="Q20" i="82"/>
  <c r="AB32" i="82"/>
  <c r="V17" i="98"/>
  <c r="V60" i="98" s="1"/>
  <c r="V13" i="98"/>
  <c r="V56" i="98" s="1"/>
  <c r="Q36" i="98"/>
  <c r="Q79" i="98" s="1"/>
  <c r="Q29" i="98"/>
  <c r="Q72" i="98" s="1"/>
  <c r="AI52" i="80"/>
  <c r="AI44" i="80"/>
  <c r="AI32" i="80"/>
  <c r="AI23" i="80"/>
  <c r="AI17" i="79"/>
  <c r="AE17" i="97" s="1"/>
  <c r="AE70" i="97" s="1"/>
  <c r="AI17" i="80"/>
  <c r="AI30" i="80"/>
  <c r="AI14" i="80"/>
  <c r="AI47" i="80"/>
  <c r="AI16" i="80"/>
  <c r="AI35" i="80"/>
  <c r="AI27" i="80"/>
  <c r="AI20" i="80"/>
  <c r="O21" i="98"/>
  <c r="O64" i="98" s="1"/>
  <c r="O21" i="94"/>
  <c r="O21" i="84"/>
  <c r="O21" i="83"/>
  <c r="O29" i="98"/>
  <c r="O72" i="98" s="1"/>
  <c r="O29" i="94"/>
  <c r="O29" i="84"/>
  <c r="O29" i="83"/>
  <c r="O40" i="98"/>
  <c r="O83" i="98" s="1"/>
  <c r="O40" i="94"/>
  <c r="O40" i="84"/>
  <c r="O40" i="83"/>
  <c r="O22" i="98"/>
  <c r="O65" i="98" s="1"/>
  <c r="O22" i="94"/>
  <c r="O22" i="84"/>
  <c r="O22" i="83"/>
  <c r="O23" i="98"/>
  <c r="O66" i="98" s="1"/>
  <c r="O23" i="94"/>
  <c r="O23" i="84"/>
  <c r="O23" i="83"/>
  <c r="O13" i="98"/>
  <c r="O56" i="98" s="1"/>
  <c r="O13" i="94"/>
  <c r="O13" i="84"/>
  <c r="O13" i="83"/>
  <c r="O11" i="98"/>
  <c r="O54" i="98" s="1"/>
  <c r="O11" i="94"/>
  <c r="O11" i="84"/>
  <c r="O11" i="83"/>
  <c r="O36" i="98"/>
  <c r="O79" i="98" s="1"/>
  <c r="O36" i="94"/>
  <c r="O36" i="84"/>
  <c r="O36" i="83"/>
  <c r="O31" i="98"/>
  <c r="O74" i="98" s="1"/>
  <c r="O31" i="94"/>
  <c r="O31" i="84"/>
  <c r="O31" i="83"/>
  <c r="O6" i="98"/>
  <c r="O49" i="98" s="1"/>
  <c r="O6" i="94"/>
  <c r="O6" i="84"/>
  <c r="O6" i="83"/>
  <c r="U51" i="80"/>
  <c r="U43" i="80"/>
  <c r="U20" i="80"/>
  <c r="U50" i="80"/>
  <c r="U45" i="80"/>
  <c r="U13" i="80"/>
  <c r="U37" i="80"/>
  <c r="U17" i="80"/>
  <c r="U42" i="80"/>
  <c r="U27" i="80"/>
  <c r="U48" i="80"/>
  <c r="U6" i="80"/>
  <c r="U54" i="78"/>
  <c r="U59" i="78" s="1"/>
  <c r="U13" i="94"/>
  <c r="U13" i="84"/>
  <c r="U13" i="83"/>
  <c r="U5" i="94"/>
  <c r="U5" i="83"/>
  <c r="S5" i="98" s="1"/>
  <c r="S48" i="98" s="1"/>
  <c r="U5" i="84"/>
  <c r="U44" i="82"/>
  <c r="U28" i="94"/>
  <c r="U28" i="83"/>
  <c r="U28" i="84"/>
  <c r="W28" i="84" s="1"/>
  <c r="U31" i="94"/>
  <c r="W31" i="94" s="1"/>
  <c r="U31" i="83"/>
  <c r="S31" i="98" s="1"/>
  <c r="S74" i="98" s="1"/>
  <c r="U31" i="84"/>
  <c r="W31" i="84" s="1"/>
  <c r="U11" i="94"/>
  <c r="W11" i="94" s="1"/>
  <c r="U11" i="84"/>
  <c r="U11" i="83"/>
  <c r="S11" i="98" s="1"/>
  <c r="S54" i="98" s="1"/>
  <c r="U21" i="94"/>
  <c r="W21" i="94" s="1"/>
  <c r="U21" i="83"/>
  <c r="S21" i="98" s="1"/>
  <c r="S64" i="98" s="1"/>
  <c r="U21" i="84"/>
  <c r="W21" i="84" s="1"/>
  <c r="U32" i="94"/>
  <c r="U32" i="83"/>
  <c r="U32" i="84"/>
  <c r="W32" i="84" s="1"/>
  <c r="U25" i="94"/>
  <c r="U25" i="83"/>
  <c r="S25" i="98" s="1"/>
  <c r="S68" i="98" s="1"/>
  <c r="U25" i="84"/>
  <c r="W25" i="84" s="1"/>
  <c r="U20" i="94"/>
  <c r="W20" i="94" s="1"/>
  <c r="U20" i="84"/>
  <c r="W20" i="84" s="1"/>
  <c r="U20" i="83"/>
  <c r="S20" i="98" s="1"/>
  <c r="S63" i="98" s="1"/>
  <c r="U16" i="94"/>
  <c r="U16" i="84"/>
  <c r="W16" i="84" s="1"/>
  <c r="U16" i="83"/>
  <c r="M35" i="94"/>
  <c r="M35" i="84"/>
  <c r="M35" i="83"/>
  <c r="M35" i="98" s="1"/>
  <c r="M78" i="98" s="1"/>
  <c r="M24" i="94"/>
  <c r="M24" i="84"/>
  <c r="M24" i="83"/>
  <c r="M11" i="94"/>
  <c r="M11" i="83"/>
  <c r="M11" i="84"/>
  <c r="M32" i="94"/>
  <c r="M32" i="83"/>
  <c r="M32" i="98" s="1"/>
  <c r="M75" i="98" s="1"/>
  <c r="M32" i="84"/>
  <c r="M15" i="94"/>
  <c r="M15" i="84"/>
  <c r="M15" i="83"/>
  <c r="M15" i="98" s="1"/>
  <c r="M58" i="98" s="1"/>
  <c r="M38" i="94"/>
  <c r="M38" i="84"/>
  <c r="M38" i="83"/>
  <c r="M30" i="94"/>
  <c r="M30" i="84"/>
  <c r="M30" i="83"/>
  <c r="M30" i="98" s="1"/>
  <c r="M73" i="98" s="1"/>
  <c r="M25" i="94"/>
  <c r="M25" i="84"/>
  <c r="M25" i="83"/>
  <c r="M17" i="94"/>
  <c r="M17" i="84"/>
  <c r="M17" i="83"/>
  <c r="M17" i="98" s="1"/>
  <c r="M60" i="98" s="1"/>
  <c r="L28" i="98"/>
  <c r="L71" i="98" s="1"/>
  <c r="L36" i="98"/>
  <c r="L79" i="98" s="1"/>
  <c r="M5" i="79"/>
  <c r="M5" i="93"/>
  <c r="M18" i="79"/>
  <c r="M18" i="97" s="1"/>
  <c r="M71" i="97" s="1"/>
  <c r="M37" i="79"/>
  <c r="M37" i="97" s="1"/>
  <c r="M90" i="97" s="1"/>
  <c r="M46" i="79"/>
  <c r="M46" i="97" s="1"/>
  <c r="M99" i="97" s="1"/>
  <c r="M6" i="79"/>
  <c r="M6" i="97" s="1"/>
  <c r="M59" i="97" s="1"/>
  <c r="M12" i="79"/>
  <c r="M12" i="97" s="1"/>
  <c r="M65" i="97" s="1"/>
  <c r="M17" i="79"/>
  <c r="M17" i="97" s="1"/>
  <c r="M70" i="97" s="1"/>
  <c r="M39" i="79"/>
  <c r="M39" i="97" s="1"/>
  <c r="M92" i="97" s="1"/>
  <c r="M36" i="79"/>
  <c r="M36" i="97" s="1"/>
  <c r="M89" i="97" s="1"/>
  <c r="M10" i="79"/>
  <c r="M10" i="97" s="1"/>
  <c r="M63" i="97" s="1"/>
  <c r="M38" i="79"/>
  <c r="M38" i="97" s="1"/>
  <c r="M91" i="97" s="1"/>
  <c r="M9" i="79"/>
  <c r="M9" i="97" s="1"/>
  <c r="M62" i="97" s="1"/>
  <c r="M28" i="79"/>
  <c r="M28" i="97" s="1"/>
  <c r="M81" i="97" s="1"/>
  <c r="M20" i="79"/>
  <c r="M20" i="97" s="1"/>
  <c r="M73" i="97" s="1"/>
  <c r="M33" i="79"/>
  <c r="M33" i="97" s="1"/>
  <c r="M86" i="97" s="1"/>
  <c r="M8" i="79"/>
  <c r="M8" i="97" s="1"/>
  <c r="M61" i="97" s="1"/>
  <c r="M45" i="79"/>
  <c r="M45" i="97" s="1"/>
  <c r="M98" i="97" s="1"/>
  <c r="M50" i="79"/>
  <c r="M50" i="97" s="1"/>
  <c r="M103" i="97" s="1"/>
  <c r="M48" i="79"/>
  <c r="M48" i="97" s="1"/>
  <c r="M101" i="97" s="1"/>
  <c r="M49" i="79"/>
  <c r="M49" i="97" s="1"/>
  <c r="M102" i="97" s="1"/>
  <c r="M15" i="79"/>
  <c r="M15" i="97" s="1"/>
  <c r="M68" i="97" s="1"/>
  <c r="M30" i="79"/>
  <c r="M30" i="97" s="1"/>
  <c r="M83" i="97" s="1"/>
  <c r="M41" i="79"/>
  <c r="M41" i="97" s="1"/>
  <c r="M94" i="97" s="1"/>
  <c r="M29" i="79"/>
  <c r="M29" i="97" s="1"/>
  <c r="M82" i="97" s="1"/>
  <c r="M43" i="79"/>
  <c r="M43" i="97" s="1"/>
  <c r="M96" i="97" s="1"/>
  <c r="M13" i="79"/>
  <c r="M13" i="97" s="1"/>
  <c r="M66" i="97" s="1"/>
  <c r="M31" i="79"/>
  <c r="M31" i="97" s="1"/>
  <c r="M84" i="97" s="1"/>
  <c r="M47" i="79"/>
  <c r="M47" i="97" s="1"/>
  <c r="M100" i="97" s="1"/>
  <c r="M40" i="79"/>
  <c r="M40" i="97" s="1"/>
  <c r="M93" i="97" s="1"/>
  <c r="M34" i="79"/>
  <c r="M34" i="97" s="1"/>
  <c r="M87" i="97" s="1"/>
  <c r="M27" i="79"/>
  <c r="M27" i="97" s="1"/>
  <c r="M80" i="97" s="1"/>
  <c r="M14" i="79"/>
  <c r="M14" i="97" s="1"/>
  <c r="M67" i="97" s="1"/>
  <c r="M32" i="79"/>
  <c r="M32" i="97" s="1"/>
  <c r="M85" i="97" s="1"/>
  <c r="M22" i="79"/>
  <c r="M22" i="97" s="1"/>
  <c r="M75" i="97" s="1"/>
  <c r="V36" i="98"/>
  <c r="V79" i="98" s="1"/>
  <c r="V15" i="98"/>
  <c r="V58" i="98" s="1"/>
  <c r="V26" i="98"/>
  <c r="V69" i="98" s="1"/>
  <c r="Q9" i="98"/>
  <c r="Q52" i="98" s="1"/>
  <c r="Q23" i="98"/>
  <c r="Q66" i="98" s="1"/>
  <c r="Q41" i="98"/>
  <c r="Q84" i="98" s="1"/>
  <c r="M51" i="79"/>
  <c r="M51" i="97" s="1"/>
  <c r="M104" i="97" s="1"/>
  <c r="M45" i="93"/>
  <c r="P47" i="80"/>
  <c r="P42" i="93"/>
  <c r="P42" i="80"/>
  <c r="P42" i="79"/>
  <c r="P42" i="97" s="1"/>
  <c r="P95" i="97" s="1"/>
  <c r="P37" i="80"/>
  <c r="P46" i="80"/>
  <c r="P6" i="93"/>
  <c r="P6" i="80"/>
  <c r="P6" i="79"/>
  <c r="P6" i="97" s="1"/>
  <c r="P59" i="97" s="1"/>
  <c r="P54" i="78"/>
  <c r="P59" i="78" s="1"/>
  <c r="P47" i="79" s="1"/>
  <c r="P47" i="97" s="1"/>
  <c r="P100" i="97" s="1"/>
  <c r="P50" i="93"/>
  <c r="P50" i="80"/>
  <c r="P50" i="79"/>
  <c r="P27" i="93"/>
  <c r="P27" i="80"/>
  <c r="P7" i="93"/>
  <c r="P7" i="80"/>
  <c r="P7" i="79"/>
  <c r="P7" i="97" s="1"/>
  <c r="P60" i="97" s="1"/>
  <c r="P29" i="80"/>
  <c r="P29" i="79"/>
  <c r="P35" i="93"/>
  <c r="P35" i="80"/>
  <c r="P35" i="79"/>
  <c r="P35" i="97" s="1"/>
  <c r="P88" i="97" s="1"/>
  <c r="P18" i="93"/>
  <c r="P18" i="80"/>
  <c r="P18" i="79"/>
  <c r="P18" i="97" s="1"/>
  <c r="P71" i="97" s="1"/>
  <c r="P25" i="93"/>
  <c r="P25" i="80"/>
  <c r="W33" i="94"/>
  <c r="W32" i="94"/>
  <c r="W32" i="83"/>
  <c r="W32" i="82"/>
  <c r="M19" i="93"/>
  <c r="X52" i="93"/>
  <c r="X23" i="93"/>
  <c r="X24" i="93"/>
  <c r="X50" i="93"/>
  <c r="X21" i="93"/>
  <c r="X22" i="93"/>
  <c r="X35" i="93"/>
  <c r="X12" i="93"/>
  <c r="X17" i="93"/>
  <c r="X40" i="93"/>
  <c r="X39" i="93"/>
  <c r="X26" i="93"/>
  <c r="N44" i="83"/>
  <c r="N5" i="98"/>
  <c r="N48" i="98" s="1"/>
  <c r="Y50" i="80"/>
  <c r="X50" i="97" s="1"/>
  <c r="X103" i="97" s="1"/>
  <c r="Y17" i="80"/>
  <c r="X17" i="97" s="1"/>
  <c r="X70" i="97" s="1"/>
  <c r="Y16" i="80"/>
  <c r="Y51" i="80"/>
  <c r="X51" i="97" s="1"/>
  <c r="X104" i="97" s="1"/>
  <c r="Y34" i="80"/>
  <c r="M7" i="79"/>
  <c r="M7" i="97" s="1"/>
  <c r="M60" i="97" s="1"/>
  <c r="L12" i="98"/>
  <c r="L55" i="98" s="1"/>
  <c r="Y5" i="97"/>
  <c r="Y58" i="97" s="1"/>
  <c r="M26" i="93"/>
  <c r="W35" i="94"/>
  <c r="M11" i="79"/>
  <c r="M11" i="97" s="1"/>
  <c r="M64" i="97" s="1"/>
  <c r="V6" i="98"/>
  <c r="V49" i="98" s="1"/>
  <c r="Q20" i="98"/>
  <c r="Q63" i="98" s="1"/>
  <c r="M28" i="93"/>
  <c r="R42" i="80"/>
  <c r="R44" i="80"/>
  <c r="R21" i="80"/>
  <c r="R34" i="80"/>
  <c r="R18" i="80"/>
  <c r="R29" i="80"/>
  <c r="R36" i="80"/>
  <c r="R15" i="80"/>
  <c r="R22" i="80"/>
  <c r="R49" i="80"/>
  <c r="R17" i="80"/>
  <c r="R24" i="80"/>
  <c r="AA54" i="80"/>
  <c r="M41" i="93"/>
  <c r="Q43" i="80"/>
  <c r="Q41" i="80"/>
  <c r="Q39" i="80"/>
  <c r="Q47" i="80"/>
  <c r="Q23" i="80"/>
  <c r="Q40" i="80"/>
  <c r="Q27" i="80"/>
  <c r="Q18" i="80"/>
  <c r="Q28" i="80"/>
  <c r="Q12" i="80"/>
  <c r="Q34" i="80"/>
  <c r="Q6" i="80"/>
  <c r="Q54" i="78"/>
  <c r="Q59" i="78" s="1"/>
  <c r="Q45" i="93" s="1"/>
  <c r="L44" i="80"/>
  <c r="L6" i="93"/>
  <c r="L6" i="80"/>
  <c r="L54" i="78"/>
  <c r="L59" i="78" s="1"/>
  <c r="L27" i="79" s="1"/>
  <c r="L27" i="97" s="1"/>
  <c r="L80" i="97" s="1"/>
  <c r="L27" i="80"/>
  <c r="L39" i="80"/>
  <c r="L31" i="80"/>
  <c r="L31" i="79"/>
  <c r="L31" i="97" s="1"/>
  <c r="L84" i="97" s="1"/>
  <c r="L28" i="80"/>
  <c r="L34" i="97"/>
  <c r="L87" i="97" s="1"/>
  <c r="L34" i="80"/>
  <c r="L34" i="79"/>
  <c r="L20" i="79"/>
  <c r="L20" i="97" s="1"/>
  <c r="L73" i="97" s="1"/>
  <c r="L20" i="80"/>
  <c r="L9" i="80"/>
  <c r="L9" i="79"/>
  <c r="L9" i="97" s="1"/>
  <c r="L62" i="97" s="1"/>
  <c r="L33" i="80"/>
  <c r="L52" i="97"/>
  <c r="L105" i="97" s="1"/>
  <c r="L52" i="80"/>
  <c r="L52" i="79"/>
  <c r="L16" i="80"/>
  <c r="Y42" i="93"/>
  <c r="Y11" i="93"/>
  <c r="Y10" i="93"/>
  <c r="Y36" i="93"/>
  <c r="Y52" i="93"/>
  <c r="Y18" i="93"/>
  <c r="Y48" i="93"/>
  <c r="Y15" i="93"/>
  <c r="Y14" i="93"/>
  <c r="Y29" i="93"/>
  <c r="Y44" i="93"/>
  <c r="W35" i="80"/>
  <c r="W30" i="80"/>
  <c r="W7" i="80"/>
  <c r="W47" i="80"/>
  <c r="W52" i="80"/>
  <c r="W14" i="80"/>
  <c r="W39" i="80"/>
  <c r="W31" i="80"/>
  <c r="W16" i="80"/>
  <c r="W32" i="80"/>
  <c r="W34" i="93"/>
  <c r="W34" i="80"/>
  <c r="W18" i="80"/>
  <c r="M7" i="93"/>
  <c r="V23" i="98"/>
  <c r="V66" i="98" s="1"/>
  <c r="AA44" i="82"/>
  <c r="R44" i="84"/>
  <c r="S5" i="84"/>
  <c r="S44" i="84" s="1"/>
  <c r="Q35" i="98"/>
  <c r="Q78" i="98" s="1"/>
  <c r="P36" i="94"/>
  <c r="P36" i="84"/>
  <c r="P36" i="83"/>
  <c r="P18" i="94"/>
  <c r="P18" i="83"/>
  <c r="P18" i="84"/>
  <c r="P29" i="94"/>
  <c r="P29" i="83"/>
  <c r="P29" i="98" s="1"/>
  <c r="P72" i="98" s="1"/>
  <c r="P29" i="84"/>
  <c r="P34" i="94"/>
  <c r="P34" i="83"/>
  <c r="P34" i="84"/>
  <c r="Q34" i="84" s="1"/>
  <c r="P35" i="94"/>
  <c r="P35" i="83"/>
  <c r="P35" i="98" s="1"/>
  <c r="P78" i="98" s="1"/>
  <c r="P35" i="84"/>
  <c r="P27" i="94"/>
  <c r="P27" i="83"/>
  <c r="P27" i="84"/>
  <c r="P8" i="94"/>
  <c r="P8" i="83"/>
  <c r="P8" i="98" s="1"/>
  <c r="P51" i="98" s="1"/>
  <c r="P8" i="84"/>
  <c r="P25" i="94"/>
  <c r="P25" i="84"/>
  <c r="P25" i="83"/>
  <c r="P25" i="98" s="1"/>
  <c r="P68" i="98" s="1"/>
  <c r="P32" i="94"/>
  <c r="P32" i="84"/>
  <c r="P32" i="83"/>
  <c r="P10" i="94"/>
  <c r="P10" i="84"/>
  <c r="P10" i="83"/>
  <c r="P10" i="98" s="1"/>
  <c r="P53" i="98" s="1"/>
  <c r="W31" i="82"/>
  <c r="V44" i="94"/>
  <c r="O40" i="93"/>
  <c r="O43" i="93"/>
  <c r="M42" i="93"/>
  <c r="AH35" i="93"/>
  <c r="AH35" i="80"/>
  <c r="AH27" i="93"/>
  <c r="AH27" i="80"/>
  <c r="AH41" i="93"/>
  <c r="AH41" i="80"/>
  <c r="AH48" i="93"/>
  <c r="AH48" i="80"/>
  <c r="AH15" i="93"/>
  <c r="AH15" i="80"/>
  <c r="AH43" i="93"/>
  <c r="AH43" i="80"/>
  <c r="AH11" i="93"/>
  <c r="AH11" i="80"/>
  <c r="AH49" i="93"/>
  <c r="AH49" i="80"/>
  <c r="AH26" i="93"/>
  <c r="AH26" i="80"/>
  <c r="AH24" i="93"/>
  <c r="AH24" i="80"/>
  <c r="AH8" i="93"/>
  <c r="AH8" i="80"/>
  <c r="AH9" i="93"/>
  <c r="AH9" i="80"/>
  <c r="AC46" i="80"/>
  <c r="AD46" i="80" s="1"/>
  <c r="AD46" i="78"/>
  <c r="AC38" i="80"/>
  <c r="AD38" i="80" s="1"/>
  <c r="AD38" i="78"/>
  <c r="AD29" i="78"/>
  <c r="AC29" i="80"/>
  <c r="AD29" i="80" s="1"/>
  <c r="AD10" i="78"/>
  <c r="AC10" i="80"/>
  <c r="AD10" i="80" s="1"/>
  <c r="AC22" i="80"/>
  <c r="AD22" i="80" s="1"/>
  <c r="AD22" i="78"/>
  <c r="AC41" i="80"/>
  <c r="AD41" i="80" s="1"/>
  <c r="AD41" i="78"/>
  <c r="AC49" i="80"/>
  <c r="AD49" i="80" s="1"/>
  <c r="AD49" i="78"/>
  <c r="AC14" i="80"/>
  <c r="AD14" i="80" s="1"/>
  <c r="AD14" i="78"/>
  <c r="AC44" i="80"/>
  <c r="AD44" i="80" s="1"/>
  <c r="AD44" i="78"/>
  <c r="AC52" i="80"/>
  <c r="AD52" i="80" s="1"/>
  <c r="AD52" i="78"/>
  <c r="AC16" i="80"/>
  <c r="AD16" i="80" s="1"/>
  <c r="AD16" i="78"/>
  <c r="Y49" i="79"/>
  <c r="Y33" i="79"/>
  <c r="Y32" i="79"/>
  <c r="Y37" i="80"/>
  <c r="Y35" i="79"/>
  <c r="Y9" i="80"/>
  <c r="X9" i="97" s="1"/>
  <c r="X62" i="97" s="1"/>
  <c r="Y40" i="80"/>
  <c r="X40" i="97" s="1"/>
  <c r="X93" i="97" s="1"/>
  <c r="Y7" i="80"/>
  <c r="Y27" i="80"/>
  <c r="L11" i="98"/>
  <c r="L54" i="98" s="1"/>
  <c r="AB34" i="82"/>
  <c r="AI26" i="80"/>
  <c r="AI8" i="80"/>
  <c r="AI51" i="80"/>
  <c r="AI12" i="80"/>
  <c r="W7" i="83"/>
  <c r="O35" i="94"/>
  <c r="O35" i="83"/>
  <c r="O35" i="84"/>
  <c r="O9" i="94"/>
  <c r="O9" i="83"/>
  <c r="O9" i="98" s="1"/>
  <c r="O52" i="98" s="1"/>
  <c r="O9" i="84"/>
  <c r="U23" i="80"/>
  <c r="U11" i="80"/>
  <c r="U49" i="80"/>
  <c r="V28" i="98"/>
  <c r="V71" i="98" s="1"/>
  <c r="P45" i="93"/>
  <c r="P45" i="80"/>
  <c r="P45" i="79"/>
  <c r="P45" i="97" s="1"/>
  <c r="P98" i="97" s="1"/>
  <c r="P36" i="93"/>
  <c r="P36" i="80"/>
  <c r="P36" i="79"/>
  <c r="P8" i="93"/>
  <c r="P8" i="80"/>
  <c r="P8" i="79"/>
  <c r="P8" i="97" s="1"/>
  <c r="P61" i="97" s="1"/>
  <c r="P9" i="93"/>
  <c r="P9" i="79"/>
  <c r="P9" i="97" s="1"/>
  <c r="P62" i="97" s="1"/>
  <c r="P9" i="80"/>
  <c r="V11" i="98"/>
  <c r="V54" i="98" s="1"/>
  <c r="R52" i="80"/>
  <c r="R41" i="80"/>
  <c r="R51" i="80"/>
  <c r="R11" i="80"/>
  <c r="W28" i="94"/>
  <c r="T44" i="83"/>
  <c r="W5" i="83"/>
  <c r="W13" i="84"/>
  <c r="Q14" i="79"/>
  <c r="Q14" i="97" s="1"/>
  <c r="Q67" i="97" s="1"/>
  <c r="Q14" i="80"/>
  <c r="Q30" i="80"/>
  <c r="Q29" i="80"/>
  <c r="Q22" i="80"/>
  <c r="L10" i="93"/>
  <c r="L10" i="80"/>
  <c r="L10" i="79"/>
  <c r="L10" i="97" s="1"/>
  <c r="L63" i="97" s="1"/>
  <c r="L49" i="93"/>
  <c r="L49" i="80"/>
  <c r="L49" i="79"/>
  <c r="L49" i="97" s="1"/>
  <c r="L102" i="97" s="1"/>
  <c r="L38" i="93"/>
  <c r="L38" i="80"/>
  <c r="L38" i="79"/>
  <c r="L38" i="97" s="1"/>
  <c r="L91" i="97" s="1"/>
  <c r="L19" i="93"/>
  <c r="L19" i="80"/>
  <c r="L19" i="79"/>
  <c r="L19" i="97" s="1"/>
  <c r="L72" i="97" s="1"/>
  <c r="Y42" i="80"/>
  <c r="Y15" i="80"/>
  <c r="W22" i="80"/>
  <c r="W40" i="80"/>
  <c r="W44" i="80"/>
  <c r="P24" i="94"/>
  <c r="P24" i="84"/>
  <c r="P24" i="83"/>
  <c r="P12" i="94"/>
  <c r="P12" i="84"/>
  <c r="P12" i="83"/>
  <c r="P12" i="98" s="1"/>
  <c r="P55" i="98" s="1"/>
  <c r="V44" i="84"/>
  <c r="AD28" i="97"/>
  <c r="AD81" i="97" s="1"/>
  <c r="AH28" i="80"/>
  <c r="AH28" i="79"/>
  <c r="AH34" i="80"/>
  <c r="AD34" i="97" s="1"/>
  <c r="AD87" i="97" s="1"/>
  <c r="AH34" i="79"/>
  <c r="AH45" i="80"/>
  <c r="AH39" i="80"/>
  <c r="AC47" i="80"/>
  <c r="AD47" i="80" s="1"/>
  <c r="AD47" i="78"/>
  <c r="AD11" i="78"/>
  <c r="AC11" i="80"/>
  <c r="AD11" i="80" s="1"/>
  <c r="AD31" i="78"/>
  <c r="AC31" i="80"/>
  <c r="AD31" i="80" s="1"/>
  <c r="AD21" i="78"/>
  <c r="AC21" i="80"/>
  <c r="AD21" i="80" s="1"/>
  <c r="AD7" i="78"/>
  <c r="AC7" i="80"/>
  <c r="AD7" i="80" s="1"/>
  <c r="Q14" i="82"/>
  <c r="AB14" i="82" s="1"/>
  <c r="AB23" i="82"/>
  <c r="AB6" i="82"/>
  <c r="AB31" i="82"/>
  <c r="AM55" i="79"/>
  <c r="AM55" i="93"/>
  <c r="AB11" i="82"/>
  <c r="Q18" i="82"/>
  <c r="AB18" i="82" s="1"/>
  <c r="V38" i="98"/>
  <c r="V81" i="98" s="1"/>
  <c r="V18" i="98"/>
  <c r="V61" i="98" s="1"/>
  <c r="V16" i="98"/>
  <c r="V59" i="98" s="1"/>
  <c r="Q7" i="98"/>
  <c r="Q50" i="98" s="1"/>
  <c r="Q18" i="98"/>
  <c r="Q61" i="98" s="1"/>
  <c r="AI48" i="80"/>
  <c r="AI29" i="80"/>
  <c r="AI38" i="80"/>
  <c r="AI46" i="80"/>
  <c r="AI7" i="80"/>
  <c r="AI7" i="79"/>
  <c r="AE7" i="97" s="1"/>
  <c r="AE60" i="97" s="1"/>
  <c r="AI25" i="80"/>
  <c r="AI39" i="80"/>
  <c r="AI24" i="80"/>
  <c r="AI42" i="80"/>
  <c r="AI45" i="80"/>
  <c r="AI11" i="80"/>
  <c r="W7" i="94"/>
  <c r="W25" i="94"/>
  <c r="T31" i="98"/>
  <c r="T74" i="98" s="1"/>
  <c r="T7" i="98"/>
  <c r="T50" i="98" s="1"/>
  <c r="T27" i="98"/>
  <c r="T70" i="98" s="1"/>
  <c r="O10" i="94"/>
  <c r="O10" i="83"/>
  <c r="O10" i="98" s="1"/>
  <c r="O53" i="98" s="1"/>
  <c r="O10" i="84"/>
  <c r="O19" i="94"/>
  <c r="O19" i="83"/>
  <c r="O19" i="84"/>
  <c r="O26" i="94"/>
  <c r="O26" i="83"/>
  <c r="O26" i="98" s="1"/>
  <c r="O69" i="98" s="1"/>
  <c r="O26" i="84"/>
  <c r="O41" i="94"/>
  <c r="O41" i="83"/>
  <c r="O41" i="84"/>
  <c r="O12" i="94"/>
  <c r="O12" i="83"/>
  <c r="O12" i="98" s="1"/>
  <c r="O55" i="98" s="1"/>
  <c r="O12" i="84"/>
  <c r="O24" i="94"/>
  <c r="O24" i="83"/>
  <c r="O24" i="84"/>
  <c r="Q24" i="84" s="1"/>
  <c r="O20" i="94"/>
  <c r="O20" i="83"/>
  <c r="O20" i="98" s="1"/>
  <c r="O63" i="98" s="1"/>
  <c r="O20" i="84"/>
  <c r="O38" i="94"/>
  <c r="O38" i="83"/>
  <c r="O38" i="84"/>
  <c r="O37" i="94"/>
  <c r="O37" i="83"/>
  <c r="O37" i="98" s="1"/>
  <c r="O80" i="98" s="1"/>
  <c r="O37" i="84"/>
  <c r="U33" i="80"/>
  <c r="U39" i="80"/>
  <c r="U39" i="79"/>
  <c r="T39" i="97" s="1"/>
  <c r="T92" i="97" s="1"/>
  <c r="U19" i="80"/>
  <c r="U22" i="80"/>
  <c r="U7" i="80"/>
  <c r="U21" i="80"/>
  <c r="U47" i="80"/>
  <c r="U24" i="93"/>
  <c r="U24" i="80"/>
  <c r="U12" i="80"/>
  <c r="U25" i="80"/>
  <c r="U29" i="80"/>
  <c r="U15" i="80"/>
  <c r="U24" i="94"/>
  <c r="W24" i="94" s="1"/>
  <c r="U24" i="83"/>
  <c r="W24" i="83" s="1"/>
  <c r="U24" i="84"/>
  <c r="W24" i="84" s="1"/>
  <c r="U37" i="94"/>
  <c r="U37" i="84"/>
  <c r="U37" i="83"/>
  <c r="S37" i="98" s="1"/>
  <c r="S80" i="98" s="1"/>
  <c r="U33" i="94"/>
  <c r="U33" i="83"/>
  <c r="S33" i="98" s="1"/>
  <c r="S76" i="98" s="1"/>
  <c r="U33" i="84"/>
  <c r="W33" i="84" s="1"/>
  <c r="U27" i="94"/>
  <c r="U27" i="83"/>
  <c r="W27" i="83" s="1"/>
  <c r="U27" i="84"/>
  <c r="W27" i="84" s="1"/>
  <c r="U9" i="94"/>
  <c r="U9" i="83"/>
  <c r="S9" i="98" s="1"/>
  <c r="S52" i="98" s="1"/>
  <c r="U9" i="84"/>
  <c r="U42" i="94"/>
  <c r="W42" i="94" s="1"/>
  <c r="U42" i="84"/>
  <c r="W42" i="84" s="1"/>
  <c r="U42" i="83"/>
  <c r="S42" i="98" s="1"/>
  <c r="S85" i="98" s="1"/>
  <c r="U34" i="94"/>
  <c r="W34" i="94" s="1"/>
  <c r="U34" i="84"/>
  <c r="U34" i="83"/>
  <c r="U30" i="94"/>
  <c r="W30" i="94" s="1"/>
  <c r="U30" i="83"/>
  <c r="U30" i="84"/>
  <c r="W30" i="84" s="1"/>
  <c r="U22" i="94"/>
  <c r="W22" i="94" s="1"/>
  <c r="U22" i="83"/>
  <c r="S22" i="98" s="1"/>
  <c r="S65" i="98" s="1"/>
  <c r="U22" i="84"/>
  <c r="U10" i="94"/>
  <c r="W10" i="94" s="1"/>
  <c r="U10" i="83"/>
  <c r="U10" i="84"/>
  <c r="W10" i="84" s="1"/>
  <c r="M31" i="94"/>
  <c r="M31" i="84"/>
  <c r="M31" i="83"/>
  <c r="M23" i="94"/>
  <c r="M23" i="83"/>
  <c r="M23" i="84"/>
  <c r="M9" i="94"/>
  <c r="M9" i="84"/>
  <c r="M9" i="83"/>
  <c r="M12" i="94"/>
  <c r="M12" i="83"/>
  <c r="M12" i="84"/>
  <c r="M28" i="94"/>
  <c r="M28" i="84"/>
  <c r="M28" i="83"/>
  <c r="M37" i="94"/>
  <c r="Q37" i="94" s="1"/>
  <c r="M37" i="83"/>
  <c r="M37" i="84"/>
  <c r="Q37" i="84" s="1"/>
  <c r="M6" i="94"/>
  <c r="M6" i="83"/>
  <c r="M6" i="84"/>
  <c r="M22" i="94"/>
  <c r="M22" i="83"/>
  <c r="M22" i="84"/>
  <c r="M13" i="94"/>
  <c r="M13" i="83"/>
  <c r="M13" i="98" s="1"/>
  <c r="M56" i="98" s="1"/>
  <c r="M13" i="84"/>
  <c r="W10" i="82"/>
  <c r="AB10" i="82" s="1"/>
  <c r="X5" i="79"/>
  <c r="X5" i="93"/>
  <c r="X37" i="79"/>
  <c r="W37" i="97" s="1"/>
  <c r="W90" i="97" s="1"/>
  <c r="L27" i="98"/>
  <c r="L70" i="98" s="1"/>
  <c r="L20" i="98"/>
  <c r="L63" i="98" s="1"/>
  <c r="M16" i="79"/>
  <c r="M16" i="97" s="1"/>
  <c r="M69" i="97" s="1"/>
  <c r="M54" i="80"/>
  <c r="V41" i="98"/>
  <c r="V84" i="98" s="1"/>
  <c r="V25" i="98"/>
  <c r="V68" i="98" s="1"/>
  <c r="Q34" i="98"/>
  <c r="Q77" i="98" s="1"/>
  <c r="Q16" i="98"/>
  <c r="Q59" i="98" s="1"/>
  <c r="Q22" i="98"/>
  <c r="Q65" i="98" s="1"/>
  <c r="M51" i="93"/>
  <c r="P12" i="93"/>
  <c r="P12" i="80"/>
  <c r="P12" i="97" s="1"/>
  <c r="P65" i="97" s="1"/>
  <c r="P12" i="79"/>
  <c r="P34" i="93"/>
  <c r="P34" i="80"/>
  <c r="P34" i="97" s="1"/>
  <c r="P87" i="97" s="1"/>
  <c r="P34" i="79"/>
  <c r="P38" i="93"/>
  <c r="P38" i="80"/>
  <c r="P38" i="97" s="1"/>
  <c r="P91" i="97" s="1"/>
  <c r="P38" i="79"/>
  <c r="P10" i="93"/>
  <c r="P10" i="79"/>
  <c r="P10" i="97" s="1"/>
  <c r="P63" i="97" s="1"/>
  <c r="P10" i="80"/>
  <c r="P15" i="93"/>
  <c r="P15" i="80"/>
  <c r="P15" i="97" s="1"/>
  <c r="P68" i="97" s="1"/>
  <c r="P15" i="79"/>
  <c r="P32" i="93"/>
  <c r="P32" i="80"/>
  <c r="P32" i="97" s="1"/>
  <c r="P85" i="97" s="1"/>
  <c r="P32" i="79"/>
  <c r="P39" i="93"/>
  <c r="P39" i="80"/>
  <c r="P39" i="97" s="1"/>
  <c r="P92" i="97" s="1"/>
  <c r="P39" i="79"/>
  <c r="P22" i="93"/>
  <c r="P22" i="80"/>
  <c r="P22" i="79"/>
  <c r="P44" i="93"/>
  <c r="P44" i="79"/>
  <c r="P44" i="97" s="1"/>
  <c r="P97" i="97" s="1"/>
  <c r="P44" i="80"/>
  <c r="P48" i="93"/>
  <c r="P48" i="79"/>
  <c r="P48" i="80"/>
  <c r="P26" i="93"/>
  <c r="P26" i="79"/>
  <c r="P26" i="97" s="1"/>
  <c r="P79" i="97" s="1"/>
  <c r="P26" i="80"/>
  <c r="W33" i="82"/>
  <c r="W37" i="94"/>
  <c r="W9" i="84"/>
  <c r="W16" i="94"/>
  <c r="O5" i="79"/>
  <c r="O5" i="93"/>
  <c r="O45" i="79"/>
  <c r="O45" i="97" s="1"/>
  <c r="O98" i="97" s="1"/>
  <c r="M18" i="93"/>
  <c r="M29" i="93"/>
  <c r="Y21" i="80"/>
  <c r="X21" i="97" s="1"/>
  <c r="X74" i="97" s="1"/>
  <c r="Y39" i="80"/>
  <c r="Y23" i="80"/>
  <c r="X23" i="97" s="1"/>
  <c r="X76" i="97" s="1"/>
  <c r="Y22" i="80"/>
  <c r="X22" i="97" s="1"/>
  <c r="X75" i="97" s="1"/>
  <c r="Y46" i="80"/>
  <c r="Y43" i="80"/>
  <c r="Y26" i="80"/>
  <c r="X26" i="97" s="1"/>
  <c r="X79" i="97" s="1"/>
  <c r="M26" i="79"/>
  <c r="M26" i="97" s="1"/>
  <c r="M79" i="97" s="1"/>
  <c r="Q40" i="98"/>
  <c r="Q83" i="98" s="1"/>
  <c r="W35" i="82"/>
  <c r="AB35" i="82" s="1"/>
  <c r="X7" i="93"/>
  <c r="X8" i="93"/>
  <c r="Y6" i="79"/>
  <c r="V10" i="98"/>
  <c r="V53" i="98" s="1"/>
  <c r="V30" i="98"/>
  <c r="V73" i="98" s="1"/>
  <c r="Q11" i="98"/>
  <c r="Q54" i="98" s="1"/>
  <c r="Q17" i="98"/>
  <c r="Q60" i="98" s="1"/>
  <c r="Q39" i="98"/>
  <c r="Q82" i="98" s="1"/>
  <c r="M46" i="93"/>
  <c r="R19" i="80"/>
  <c r="R37" i="80"/>
  <c r="R12" i="80"/>
  <c r="R33" i="80"/>
  <c r="R50" i="80"/>
  <c r="R20" i="80"/>
  <c r="R47" i="80"/>
  <c r="R23" i="80"/>
  <c r="R30" i="80"/>
  <c r="R31" i="80"/>
  <c r="R25" i="80"/>
  <c r="T44" i="84"/>
  <c r="W11" i="84"/>
  <c r="W22" i="84"/>
  <c r="W22" i="82"/>
  <c r="T30" i="98"/>
  <c r="T73" i="98" s="1"/>
  <c r="T23" i="98"/>
  <c r="T66" i="98" s="1"/>
  <c r="M33" i="93"/>
  <c r="O26" i="93"/>
  <c r="O23" i="93"/>
  <c r="O32" i="93"/>
  <c r="O25" i="93"/>
  <c r="O34" i="93"/>
  <c r="O18" i="93"/>
  <c r="O27" i="93"/>
  <c r="O39" i="93"/>
  <c r="O12" i="93"/>
  <c r="O29" i="93"/>
  <c r="O16" i="93"/>
  <c r="O49" i="93"/>
  <c r="Z5" i="97"/>
  <c r="Z58" i="97" s="1"/>
  <c r="M32" i="93"/>
  <c r="Q15" i="80"/>
  <c r="Q37" i="80"/>
  <c r="Q21" i="80"/>
  <c r="Q36" i="80"/>
  <c r="Q7" i="93"/>
  <c r="Q7" i="80"/>
  <c r="Q52" i="80"/>
  <c r="Q9" i="80"/>
  <c r="Q46" i="80"/>
  <c r="Q42" i="80"/>
  <c r="Q50" i="80"/>
  <c r="Q25" i="93"/>
  <c r="Q25" i="80"/>
  <c r="X44" i="79"/>
  <c r="W44" i="97" s="1"/>
  <c r="W97" i="97" s="1"/>
  <c r="X15" i="79"/>
  <c r="W15" i="97" s="1"/>
  <c r="W68" i="97" s="1"/>
  <c r="X16" i="79"/>
  <c r="W16" i="97" s="1"/>
  <c r="W69" i="97" s="1"/>
  <c r="X42" i="79"/>
  <c r="W42" i="97" s="1"/>
  <c r="W95" i="97" s="1"/>
  <c r="X13" i="79"/>
  <c r="W13" i="97" s="1"/>
  <c r="W66" i="97" s="1"/>
  <c r="X14" i="79"/>
  <c r="W14" i="97" s="1"/>
  <c r="W67" i="97" s="1"/>
  <c r="X38" i="79"/>
  <c r="W38" i="97" s="1"/>
  <c r="W91" i="97" s="1"/>
  <c r="X9" i="79"/>
  <c r="W9" i="97" s="1"/>
  <c r="W62" i="97" s="1"/>
  <c r="M43" i="93"/>
  <c r="L40" i="93"/>
  <c r="L40" i="80"/>
  <c r="L40" i="79"/>
  <c r="L40" i="97" s="1"/>
  <c r="L93" i="97" s="1"/>
  <c r="L26" i="93"/>
  <c r="L26" i="79"/>
  <c r="L26" i="97" s="1"/>
  <c r="L79" i="97" s="1"/>
  <c r="L26" i="80"/>
  <c r="L24" i="93"/>
  <c r="L24" i="79"/>
  <c r="L24" i="80"/>
  <c r="L45" i="93"/>
  <c r="L45" i="80"/>
  <c r="L45" i="79"/>
  <c r="L17" i="93"/>
  <c r="L17" i="80"/>
  <c r="L17" i="79"/>
  <c r="L17" i="97" s="1"/>
  <c r="L70" i="97" s="1"/>
  <c r="L46" i="93"/>
  <c r="L46" i="80"/>
  <c r="L46" i="79"/>
  <c r="L25" i="93"/>
  <c r="L25" i="80"/>
  <c r="L25" i="79"/>
  <c r="L25" i="97" s="1"/>
  <c r="L78" i="97" s="1"/>
  <c r="L12" i="93"/>
  <c r="L12" i="79"/>
  <c r="L12" i="97" s="1"/>
  <c r="L65" i="97" s="1"/>
  <c r="L12" i="80"/>
  <c r="L11" i="93"/>
  <c r="L11" i="79"/>
  <c r="L11" i="80"/>
  <c r="L8" i="93"/>
  <c r="L8" i="80"/>
  <c r="L8" i="79"/>
  <c r="L50" i="93"/>
  <c r="L50" i="80"/>
  <c r="L50" i="79"/>
  <c r="L50" i="97" s="1"/>
  <c r="L103" i="97" s="1"/>
  <c r="L30" i="93"/>
  <c r="L30" i="80"/>
  <c r="L30" i="79"/>
  <c r="W33" i="80"/>
  <c r="W25" i="80"/>
  <c r="W41" i="80"/>
  <c r="W13" i="80"/>
  <c r="W46" i="80"/>
  <c r="W26" i="80"/>
  <c r="W24" i="80"/>
  <c r="W11" i="80"/>
  <c r="W42" i="80"/>
  <c r="W50" i="80"/>
  <c r="W8" i="80"/>
  <c r="M44" i="79"/>
  <c r="M44" i="97" s="1"/>
  <c r="M97" i="97" s="1"/>
  <c r="L29" i="98"/>
  <c r="L72" i="98" s="1"/>
  <c r="L37" i="98"/>
  <c r="L80" i="98" s="1"/>
  <c r="V31" i="98"/>
  <c r="V74" i="98" s="1"/>
  <c r="AA5" i="84"/>
  <c r="AA44" i="84" s="1"/>
  <c r="Z44" i="84"/>
  <c r="V24" i="98"/>
  <c r="V67" i="98" s="1"/>
  <c r="M23" i="93"/>
  <c r="R44" i="83"/>
  <c r="S5" i="83"/>
  <c r="S44" i="83" s="1"/>
  <c r="S5" i="94"/>
  <c r="S44" i="94" s="1"/>
  <c r="R44" i="94"/>
  <c r="Q6" i="98"/>
  <c r="Q49" i="98" s="1"/>
  <c r="P7" i="94"/>
  <c r="P7" i="84"/>
  <c r="P7" i="83"/>
  <c r="P7" i="98" s="1"/>
  <c r="P50" i="98" s="1"/>
  <c r="P20" i="94"/>
  <c r="P20" i="84"/>
  <c r="P20" i="83"/>
  <c r="P11" i="94"/>
  <c r="P11" i="84"/>
  <c r="P11" i="83"/>
  <c r="P11" i="98" s="1"/>
  <c r="P54" i="98" s="1"/>
  <c r="P13" i="94"/>
  <c r="Q13" i="94" s="1"/>
  <c r="P13" i="83"/>
  <c r="P13" i="98" s="1"/>
  <c r="P56" i="98" s="1"/>
  <c r="P13" i="84"/>
  <c r="P41" i="94"/>
  <c r="P41" i="84"/>
  <c r="P41" i="83"/>
  <c r="P41" i="98" s="1"/>
  <c r="P84" i="98" s="1"/>
  <c r="P17" i="94"/>
  <c r="P17" i="84"/>
  <c r="P17" i="98" s="1"/>
  <c r="P60" i="98" s="1"/>
  <c r="P17" i="83"/>
  <c r="P6" i="94"/>
  <c r="P6" i="84"/>
  <c r="P6" i="83"/>
  <c r="P6" i="98" s="1"/>
  <c r="P49" i="98" s="1"/>
  <c r="P14" i="94"/>
  <c r="P14" i="83"/>
  <c r="P14" i="98" s="1"/>
  <c r="P57" i="98" s="1"/>
  <c r="P14" i="84"/>
  <c r="P42" i="94"/>
  <c r="P42" i="83"/>
  <c r="P42" i="84"/>
  <c r="T5" i="98"/>
  <c r="T48" i="98" s="1"/>
  <c r="AH19" i="93"/>
  <c r="AH19" i="80"/>
  <c r="AH19" i="79"/>
  <c r="AD19" i="97" s="1"/>
  <c r="AD72" i="97" s="1"/>
  <c r="AD22" i="97"/>
  <c r="AD75" i="97" s="1"/>
  <c r="AH22" i="93"/>
  <c r="AH22" i="80"/>
  <c r="AH22" i="79"/>
  <c r="AH31" i="93"/>
  <c r="AH31" i="79"/>
  <c r="AD31" i="97" s="1"/>
  <c r="AD84" i="97" s="1"/>
  <c r="AH31" i="80"/>
  <c r="AD30" i="97"/>
  <c r="AD83" i="97" s="1"/>
  <c r="AH30" i="93"/>
  <c r="AH30" i="80"/>
  <c r="AH30" i="79"/>
  <c r="AD10" i="97"/>
  <c r="AD63" i="97" s="1"/>
  <c r="AH10" i="93"/>
  <c r="AH10" i="80"/>
  <c r="AH10" i="79"/>
  <c r="AD32" i="97"/>
  <c r="AD85" i="97" s="1"/>
  <c r="AH32" i="93"/>
  <c r="AH32" i="80"/>
  <c r="AH32" i="79"/>
  <c r="AD12" i="97"/>
  <c r="AD65" i="97" s="1"/>
  <c r="AH12" i="93"/>
  <c r="AH12" i="79"/>
  <c r="AH12" i="80"/>
  <c r="AD44" i="97"/>
  <c r="AD97" i="97" s="1"/>
  <c r="AH44" i="93"/>
  <c r="AH44" i="80"/>
  <c r="AH44" i="79"/>
  <c r="AD40" i="97"/>
  <c r="AD93" i="97" s="1"/>
  <c r="AH40" i="93"/>
  <c r="AH40" i="80"/>
  <c r="AH40" i="79"/>
  <c r="AD51" i="97"/>
  <c r="AD104" i="97" s="1"/>
  <c r="AH51" i="93"/>
  <c r="AH51" i="80"/>
  <c r="AH51" i="79"/>
  <c r="AD17" i="97"/>
  <c r="AD70" i="97" s="1"/>
  <c r="AH17" i="93"/>
  <c r="AH17" i="80"/>
  <c r="AH17" i="79"/>
  <c r="X51" i="79"/>
  <c r="W51" i="97" s="1"/>
  <c r="W104" i="97" s="1"/>
  <c r="X49" i="79"/>
  <c r="W49" i="97" s="1"/>
  <c r="W102" i="97" s="1"/>
  <c r="AC39" i="80"/>
  <c r="AD39" i="80" s="1"/>
  <c r="AD39" i="78"/>
  <c r="AC18" i="80"/>
  <c r="AD18" i="80" s="1"/>
  <c r="AD18" i="78"/>
  <c r="AD45" i="78"/>
  <c r="AC45" i="80"/>
  <c r="AD45" i="80" s="1"/>
  <c r="AD36" i="78"/>
  <c r="AC36" i="80"/>
  <c r="AD36" i="80" s="1"/>
  <c r="AD28" i="78"/>
  <c r="AC28" i="80"/>
  <c r="AD28" i="80" s="1"/>
  <c r="AD12" i="78"/>
  <c r="AC12" i="80"/>
  <c r="AD12" i="80" s="1"/>
  <c r="AD35" i="78"/>
  <c r="AC35" i="80"/>
  <c r="AD35" i="80" s="1"/>
  <c r="AD27" i="78"/>
  <c r="AC27" i="80"/>
  <c r="AD27" i="80" s="1"/>
  <c r="AD26" i="78"/>
  <c r="AC26" i="80"/>
  <c r="AD26" i="80" s="1"/>
  <c r="AD30" i="78"/>
  <c r="AC30" i="80"/>
  <c r="AD30" i="80" s="1"/>
  <c r="AD24" i="78"/>
  <c r="AC24" i="80"/>
  <c r="AD24" i="80" s="1"/>
  <c r="AC6" i="80"/>
  <c r="AD6" i="78"/>
  <c r="AC54" i="78"/>
  <c r="AC59" i="78" s="1"/>
  <c r="AC32" i="93" s="1"/>
  <c r="AD32" i="93" s="1"/>
  <c r="M44" i="93"/>
  <c r="Y49" i="93"/>
  <c r="Y32" i="93"/>
  <c r="Y37" i="93"/>
  <c r="Y35" i="93"/>
  <c r="Y9" i="93"/>
  <c r="Y40" i="93"/>
  <c r="Y7" i="93"/>
  <c r="M25" i="79"/>
  <c r="M25" i="97" s="1"/>
  <c r="M78" i="97" s="1"/>
  <c r="AB22" i="82"/>
  <c r="Q37" i="98"/>
  <c r="Q80" i="98" s="1"/>
  <c r="AI40" i="80"/>
  <c r="AI50" i="80"/>
  <c r="AI13" i="80"/>
  <c r="AI49" i="80"/>
  <c r="O30" i="94"/>
  <c r="O30" i="83"/>
  <c r="O30" i="98" s="1"/>
  <c r="O73" i="98" s="1"/>
  <c r="O30" i="84"/>
  <c r="O17" i="94"/>
  <c r="Q17" i="94" s="1"/>
  <c r="O17" i="83"/>
  <c r="O17" i="98" s="1"/>
  <c r="O60" i="98" s="1"/>
  <c r="O17" i="84"/>
  <c r="O18" i="98"/>
  <c r="O61" i="98" s="1"/>
  <c r="O18" i="94"/>
  <c r="O18" i="83"/>
  <c r="Q18" i="83" s="1"/>
  <c r="O18" i="84"/>
  <c r="U18" i="80"/>
  <c r="U35" i="80"/>
  <c r="U30" i="80"/>
  <c r="U41" i="80"/>
  <c r="U19" i="94"/>
  <c r="W19" i="94" s="1"/>
  <c r="U19" i="83"/>
  <c r="U19" i="84"/>
  <c r="W19" i="84" s="1"/>
  <c r="U12" i="94"/>
  <c r="W12" i="94" s="1"/>
  <c r="U12" i="84"/>
  <c r="W12" i="84" s="1"/>
  <c r="U12" i="83"/>
  <c r="W12" i="83" s="1"/>
  <c r="U6" i="94"/>
  <c r="W6" i="94" s="1"/>
  <c r="U6" i="84"/>
  <c r="U6" i="83"/>
  <c r="W6" i="83" s="1"/>
  <c r="U18" i="94"/>
  <c r="W18" i="94" s="1"/>
  <c r="U18" i="83"/>
  <c r="S18" i="98" s="1"/>
  <c r="S61" i="98" s="1"/>
  <c r="U18" i="84"/>
  <c r="W18" i="84" s="1"/>
  <c r="M5" i="94"/>
  <c r="Q5" i="94" s="1"/>
  <c r="M44" i="82"/>
  <c r="M5" i="83"/>
  <c r="M5" i="84"/>
  <c r="M39" i="98"/>
  <c r="M82" i="98" s="1"/>
  <c r="M39" i="94"/>
  <c r="Q39" i="94" s="1"/>
  <c r="M39" i="84"/>
  <c r="M39" i="83"/>
  <c r="M41" i="98"/>
  <c r="M84" i="98" s="1"/>
  <c r="M41" i="94"/>
  <c r="M41" i="83"/>
  <c r="M41" i="84"/>
  <c r="Q41" i="84" s="1"/>
  <c r="M26" i="94"/>
  <c r="M26" i="83"/>
  <c r="M26" i="98" s="1"/>
  <c r="M69" i="98" s="1"/>
  <c r="M26" i="84"/>
  <c r="M16" i="98"/>
  <c r="M59" i="98" s="1"/>
  <c r="M16" i="94"/>
  <c r="M16" i="83"/>
  <c r="M16" i="84"/>
  <c r="L44" i="94"/>
  <c r="V27" i="98"/>
  <c r="V70" i="98" s="1"/>
  <c r="Q15" i="98"/>
  <c r="Q58" i="98" s="1"/>
  <c r="P19" i="97"/>
  <c r="P72" i="97" s="1"/>
  <c r="P19" i="93"/>
  <c r="P19" i="80"/>
  <c r="P19" i="79"/>
  <c r="P24" i="93"/>
  <c r="P24" i="80"/>
  <c r="P24" i="79"/>
  <c r="P31" i="93"/>
  <c r="P31" i="80"/>
  <c r="P31" i="79"/>
  <c r="P33" i="93"/>
  <c r="P33" i="79"/>
  <c r="P33" i="80"/>
  <c r="Y20" i="80"/>
  <c r="X20" i="97" s="1"/>
  <c r="X73" i="97" s="1"/>
  <c r="Y5" i="80"/>
  <c r="W28" i="83"/>
  <c r="L18" i="98"/>
  <c r="L61" i="98" s="1"/>
  <c r="Q21" i="98"/>
  <c r="Q64" i="98" s="1"/>
  <c r="R13" i="80"/>
  <c r="R43" i="80"/>
  <c r="R14" i="80"/>
  <c r="R16" i="80"/>
  <c r="W27" i="94"/>
  <c r="Q19" i="80"/>
  <c r="Q13" i="80"/>
  <c r="Q33" i="80"/>
  <c r="Q38" i="80"/>
  <c r="L48" i="93"/>
  <c r="L48" i="80"/>
  <c r="L48" i="97" s="1"/>
  <c r="L101" i="97" s="1"/>
  <c r="L48" i="79"/>
  <c r="L13" i="93"/>
  <c r="L13" i="80"/>
  <c r="L13" i="97" s="1"/>
  <c r="L66" i="97" s="1"/>
  <c r="L13" i="79"/>
  <c r="L32" i="93"/>
  <c r="L32" i="79"/>
  <c r="L32" i="97" s="1"/>
  <c r="L85" i="97" s="1"/>
  <c r="L32" i="80"/>
  <c r="L7" i="93"/>
  <c r="L7" i="80"/>
  <c r="L7" i="97" s="1"/>
  <c r="L60" i="97" s="1"/>
  <c r="L7" i="79"/>
  <c r="Y14" i="80"/>
  <c r="Y44" i="80"/>
  <c r="W6" i="80"/>
  <c r="W54" i="78"/>
  <c r="W59" i="78" s="1"/>
  <c r="W15" i="79" s="1"/>
  <c r="W15" i="80"/>
  <c r="W10" i="80"/>
  <c r="W9" i="80"/>
  <c r="L31" i="98"/>
  <c r="L74" i="98" s="1"/>
  <c r="L39" i="98"/>
  <c r="L82" i="98" s="1"/>
  <c r="V29" i="98"/>
  <c r="V72" i="98" s="1"/>
  <c r="AA5" i="94"/>
  <c r="AA44" i="94" s="1"/>
  <c r="Z44" i="94"/>
  <c r="V12" i="98"/>
  <c r="V55" i="98" s="1"/>
  <c r="Q13" i="98"/>
  <c r="Q56" i="98" s="1"/>
  <c r="P38" i="94"/>
  <c r="P38" i="83"/>
  <c r="P38" i="98" s="1"/>
  <c r="P81" i="98" s="1"/>
  <c r="P38" i="84"/>
  <c r="P40" i="94"/>
  <c r="P40" i="84"/>
  <c r="P40" i="83"/>
  <c r="P40" i="98" s="1"/>
  <c r="P83" i="98" s="1"/>
  <c r="P5" i="94"/>
  <c r="P5" i="83"/>
  <c r="P44" i="82"/>
  <c r="P5" i="84"/>
  <c r="P19" i="94"/>
  <c r="P19" i="83"/>
  <c r="P19" i="98" s="1"/>
  <c r="P62" i="98" s="1"/>
  <c r="P19" i="84"/>
  <c r="P16" i="94"/>
  <c r="P16" i="83"/>
  <c r="P16" i="84"/>
  <c r="Q16" i="84" s="1"/>
  <c r="AH21" i="93"/>
  <c r="AH21" i="80"/>
  <c r="AH21" i="79"/>
  <c r="AD21" i="97" s="1"/>
  <c r="AD74" i="97" s="1"/>
  <c r="AH33" i="93"/>
  <c r="AH33" i="80"/>
  <c r="AH33" i="79"/>
  <c r="AD33" i="97" s="1"/>
  <c r="AD86" i="97" s="1"/>
  <c r="AH37" i="93"/>
  <c r="AH37" i="80"/>
  <c r="AH37" i="79"/>
  <c r="AD37" i="97" s="1"/>
  <c r="AD90" i="97" s="1"/>
  <c r="AH23" i="93"/>
  <c r="AH23" i="79"/>
  <c r="AH23" i="80"/>
  <c r="AD23" i="97" s="1"/>
  <c r="AD76" i="97" s="1"/>
  <c r="AC42" i="80"/>
  <c r="AD42" i="80" s="1"/>
  <c r="AD42" i="78"/>
  <c r="AC50" i="80"/>
  <c r="AD50" i="80" s="1"/>
  <c r="AD50" i="78"/>
  <c r="AD34" i="78"/>
  <c r="AC34" i="80"/>
  <c r="AD34" i="80" s="1"/>
  <c r="AD32" i="78"/>
  <c r="AC32" i="80"/>
  <c r="AD32" i="80" s="1"/>
  <c r="Y49" i="80"/>
  <c r="Y33" i="80"/>
  <c r="Y32" i="80"/>
  <c r="Y35" i="80"/>
  <c r="Q11" i="94"/>
  <c r="Q12" i="84"/>
  <c r="Q17" i="82"/>
  <c r="AB17" i="82" s="1"/>
  <c r="AB29" i="82"/>
  <c r="Q37" i="82"/>
  <c r="AB27" i="82"/>
  <c r="Q13" i="83"/>
  <c r="Q24" i="83"/>
  <c r="Q28" i="82"/>
  <c r="AB28" i="82" s="1"/>
  <c r="X28" i="83" s="1"/>
  <c r="Y28" i="83" s="1"/>
  <c r="Q36" i="82"/>
  <c r="AB36" i="82" s="1"/>
  <c r="V14" i="98"/>
  <c r="V57" i="98" s="1"/>
  <c r="V40" i="98"/>
  <c r="V83" i="98" s="1"/>
  <c r="V20" i="78"/>
  <c r="V12" i="78"/>
  <c r="AB12" i="78" s="1"/>
  <c r="V21" i="78"/>
  <c r="V13" i="78"/>
  <c r="V30" i="78"/>
  <c r="V48" i="78"/>
  <c r="AB48" i="78" s="1"/>
  <c r="V34" i="78"/>
  <c r="V52" i="78"/>
  <c r="AB52" i="78" s="1"/>
  <c r="V38" i="78"/>
  <c r="V28" i="78"/>
  <c r="V42" i="78"/>
  <c r="V29" i="78"/>
  <c r="V37" i="78"/>
  <c r="AB37" i="78" s="1"/>
  <c r="V11" i="78"/>
  <c r="AB11" i="78" s="1"/>
  <c r="V18" i="78"/>
  <c r="AB18" i="78" s="1"/>
  <c r="V9" i="78"/>
  <c r="V19" i="78"/>
  <c r="AB19" i="78" s="1"/>
  <c r="V8" i="78"/>
  <c r="AB8" i="78" s="1"/>
  <c r="V22" i="78"/>
  <c r="V45" i="78"/>
  <c r="V27" i="78"/>
  <c r="AB27" i="78" s="1"/>
  <c r="V49" i="78"/>
  <c r="V51" i="78"/>
  <c r="V24" i="78"/>
  <c r="V39" i="78"/>
  <c r="V26" i="78"/>
  <c r="AB26" i="78" s="1"/>
  <c r="V14" i="78"/>
  <c r="AB14" i="78" s="1"/>
  <c r="V7" i="78"/>
  <c r="AB7" i="78" s="1"/>
  <c r="V15" i="78"/>
  <c r="AB15" i="78" s="1"/>
  <c r="V43" i="78"/>
  <c r="AB43" i="78" s="1"/>
  <c r="V47" i="78"/>
  <c r="AB47" i="78" s="1"/>
  <c r="V31" i="78"/>
  <c r="V35" i="78"/>
  <c r="AB35" i="78" s="1"/>
  <c r="V6" i="78"/>
  <c r="AB6" i="78" s="1"/>
  <c r="V16" i="78"/>
  <c r="AB16" i="78" s="1"/>
  <c r="V10" i="78"/>
  <c r="V17" i="78"/>
  <c r="V32" i="78"/>
  <c r="AB32" i="78" s="1"/>
  <c r="V46" i="78"/>
  <c r="V36" i="78"/>
  <c r="AB36" i="78" s="1"/>
  <c r="V50" i="78"/>
  <c r="V23" i="78"/>
  <c r="V40" i="78"/>
  <c r="AB40" i="78" s="1"/>
  <c r="V25" i="78"/>
  <c r="V44" i="78"/>
  <c r="AB44" i="78" s="1"/>
  <c r="V33" i="78"/>
  <c r="V41" i="78"/>
  <c r="Q12" i="98"/>
  <c r="Q55" i="98" s="1"/>
  <c r="Q10" i="98"/>
  <c r="Q53" i="98" s="1"/>
  <c r="AI37" i="93"/>
  <c r="AI37" i="80"/>
  <c r="AI21" i="80"/>
  <c r="AI10" i="93"/>
  <c r="AI10" i="80"/>
  <c r="AI28" i="79"/>
  <c r="AE28" i="97" s="1"/>
  <c r="AE81" i="97" s="1"/>
  <c r="AI28" i="80"/>
  <c r="AI36" i="93"/>
  <c r="AI36" i="80"/>
  <c r="AI18" i="93"/>
  <c r="AI18" i="80"/>
  <c r="AI6" i="93"/>
  <c r="AI6" i="80"/>
  <c r="AI54" i="78"/>
  <c r="AI59" i="78" s="1"/>
  <c r="AI33" i="93"/>
  <c r="AI33" i="79"/>
  <c r="AI33" i="80"/>
  <c r="AI9" i="80"/>
  <c r="AI22" i="93"/>
  <c r="AI22" i="80"/>
  <c r="AI31" i="80"/>
  <c r="AI19" i="93"/>
  <c r="AI19" i="80"/>
  <c r="W7" i="82"/>
  <c r="AB7" i="82" s="1"/>
  <c r="R25" i="98"/>
  <c r="R68" i="98" s="1"/>
  <c r="R17" i="98"/>
  <c r="R60" i="98" s="1"/>
  <c r="W12" i="82"/>
  <c r="AB12" i="82" s="1"/>
  <c r="W19" i="82"/>
  <c r="AB19" i="82" s="1"/>
  <c r="W7" i="84"/>
  <c r="O33" i="94"/>
  <c r="O33" i="84"/>
  <c r="O33" i="98" s="1"/>
  <c r="O76" i="98" s="1"/>
  <c r="O33" i="83"/>
  <c r="O25" i="94"/>
  <c r="Q25" i="94" s="1"/>
  <c r="O25" i="84"/>
  <c r="Q25" i="84" s="1"/>
  <c r="O25" i="83"/>
  <c r="O25" i="98" s="1"/>
  <c r="O68" i="98" s="1"/>
  <c r="O5" i="94"/>
  <c r="O5" i="84"/>
  <c r="Q5" i="84" s="1"/>
  <c r="O44" i="82"/>
  <c r="O5" i="83"/>
  <c r="O42" i="94"/>
  <c r="O42" i="83"/>
  <c r="O42" i="98" s="1"/>
  <c r="O85" i="98" s="1"/>
  <c r="O42" i="84"/>
  <c r="O34" i="94"/>
  <c r="O34" i="84"/>
  <c r="O34" i="83"/>
  <c r="O34" i="98" s="1"/>
  <c r="O77" i="98" s="1"/>
  <c r="O15" i="94"/>
  <c r="O15" i="84"/>
  <c r="O15" i="83"/>
  <c r="O14" i="94"/>
  <c r="O14" i="83"/>
  <c r="Q14" i="83" s="1"/>
  <c r="O14" i="84"/>
  <c r="O32" i="94"/>
  <c r="O32" i="84"/>
  <c r="O32" i="83"/>
  <c r="O27" i="94"/>
  <c r="O27" i="84"/>
  <c r="O27" i="83"/>
  <c r="O27" i="98" s="1"/>
  <c r="O70" i="98" s="1"/>
  <c r="U28" i="80"/>
  <c r="U34" i="93"/>
  <c r="U34" i="80"/>
  <c r="U38" i="80"/>
  <c r="U46" i="80"/>
  <c r="U46" i="79"/>
  <c r="U14" i="80"/>
  <c r="U44" i="93"/>
  <c r="U44" i="80"/>
  <c r="U9" i="80"/>
  <c r="U36" i="80"/>
  <c r="U8" i="93"/>
  <c r="U8" i="80"/>
  <c r="U52" i="93"/>
  <c r="U52" i="80"/>
  <c r="U10" i="80"/>
  <c r="U39" i="94"/>
  <c r="W39" i="94" s="1"/>
  <c r="U39" i="83"/>
  <c r="W39" i="83" s="1"/>
  <c r="U39" i="84"/>
  <c r="W39" i="84" s="1"/>
  <c r="U23" i="94"/>
  <c r="W23" i="94" s="1"/>
  <c r="U23" i="83"/>
  <c r="W23" i="83" s="1"/>
  <c r="U23" i="84"/>
  <c r="S23" i="98" s="1"/>
  <c r="S66" i="98" s="1"/>
  <c r="U29" i="94"/>
  <c r="W29" i="94" s="1"/>
  <c r="U29" i="84"/>
  <c r="W29" i="84" s="1"/>
  <c r="U29" i="83"/>
  <c r="S29" i="98" s="1"/>
  <c r="S72" i="98" s="1"/>
  <c r="U17" i="94"/>
  <c r="W17" i="94" s="1"/>
  <c r="U17" i="84"/>
  <c r="W17" i="84" s="1"/>
  <c r="U17" i="83"/>
  <c r="W17" i="83" s="1"/>
  <c r="U41" i="94"/>
  <c r="W41" i="94" s="1"/>
  <c r="U41" i="83"/>
  <c r="W41" i="83" s="1"/>
  <c r="U41" i="84"/>
  <c r="W41" i="84" s="1"/>
  <c r="U36" i="94"/>
  <c r="W36" i="94" s="1"/>
  <c r="U36" i="83"/>
  <c r="W36" i="83" s="1"/>
  <c r="U36" i="84"/>
  <c r="S36" i="98" s="1"/>
  <c r="S79" i="98" s="1"/>
  <c r="U8" i="94"/>
  <c r="W8" i="94" s="1"/>
  <c r="U8" i="83"/>
  <c r="W8" i="83" s="1"/>
  <c r="U8" i="84"/>
  <c r="W8" i="84" s="1"/>
  <c r="U40" i="94"/>
  <c r="W40" i="94" s="1"/>
  <c r="U40" i="84"/>
  <c r="W40" i="84" s="1"/>
  <c r="U40" i="83"/>
  <c r="W40" i="83" s="1"/>
  <c r="U15" i="94"/>
  <c r="W15" i="94" s="1"/>
  <c r="U15" i="83"/>
  <c r="W15" i="83" s="1"/>
  <c r="U15" i="84"/>
  <c r="S15" i="98" s="1"/>
  <c r="S58" i="98" s="1"/>
  <c r="M40" i="94"/>
  <c r="M40" i="83"/>
  <c r="M40" i="84"/>
  <c r="M40" i="98" s="1"/>
  <c r="M83" i="98" s="1"/>
  <c r="M7" i="94"/>
  <c r="M7" i="84"/>
  <c r="Q7" i="84" s="1"/>
  <c r="M7" i="83"/>
  <c r="Q7" i="83" s="1"/>
  <c r="M19" i="94"/>
  <c r="Q19" i="94" s="1"/>
  <c r="M19" i="83"/>
  <c r="M19" i="84"/>
  <c r="Q19" i="84" s="1"/>
  <c r="M29" i="94"/>
  <c r="Q29" i="94" s="1"/>
  <c r="M29" i="84"/>
  <c r="Q29" i="84" s="1"/>
  <c r="M29" i="83"/>
  <c r="Q29" i="83" s="1"/>
  <c r="M27" i="94"/>
  <c r="M27" i="83"/>
  <c r="M27" i="84"/>
  <c r="Q27" i="84" s="1"/>
  <c r="M42" i="94"/>
  <c r="M42" i="84"/>
  <c r="M42" i="83"/>
  <c r="Q42" i="83" s="1"/>
  <c r="M34" i="94"/>
  <c r="Q34" i="94" s="1"/>
  <c r="M34" i="84"/>
  <c r="M34" i="83"/>
  <c r="Q34" i="83" s="1"/>
  <c r="M8" i="94"/>
  <c r="Q8" i="94" s="1"/>
  <c r="M8" i="84"/>
  <c r="M8" i="83"/>
  <c r="Q8" i="83" s="1"/>
  <c r="M21" i="94"/>
  <c r="M21" i="83"/>
  <c r="M21" i="84"/>
  <c r="M21" i="98" s="1"/>
  <c r="M64" i="98" s="1"/>
  <c r="M10" i="94"/>
  <c r="M10" i="84"/>
  <c r="Q10" i="84" s="1"/>
  <c r="M10" i="83"/>
  <c r="M10" i="98" s="1"/>
  <c r="M53" i="98" s="1"/>
  <c r="Y41" i="80"/>
  <c r="X41" i="97" s="1"/>
  <c r="X94" i="97" s="1"/>
  <c r="Y38" i="80"/>
  <c r="X38" i="97" s="1"/>
  <c r="X91" i="97" s="1"/>
  <c r="Y12" i="80"/>
  <c r="X12" i="97" s="1"/>
  <c r="X65" i="97" s="1"/>
  <c r="Y19" i="80"/>
  <c r="Y31" i="80"/>
  <c r="X31" i="97" s="1"/>
  <c r="X84" i="97" s="1"/>
  <c r="Y45" i="80"/>
  <c r="X45" i="97" s="1"/>
  <c r="X98" i="97" s="1"/>
  <c r="Y8" i="80"/>
  <c r="L7" i="98"/>
  <c r="L50" i="98" s="1"/>
  <c r="B11" i="100" s="1"/>
  <c r="L30" i="98"/>
  <c r="L73" i="98" s="1"/>
  <c r="L34" i="98"/>
  <c r="L77" i="98" s="1"/>
  <c r="L38" i="98"/>
  <c r="L81" i="98" s="1"/>
  <c r="W21" i="83"/>
  <c r="W20" i="83"/>
  <c r="W20" i="82"/>
  <c r="X54" i="80"/>
  <c r="Y13" i="80"/>
  <c r="X13" i="97" s="1"/>
  <c r="X66" i="97" s="1"/>
  <c r="V9" i="98"/>
  <c r="V52" i="98" s="1"/>
  <c r="V39" i="98"/>
  <c r="V82" i="98" s="1"/>
  <c r="M22" i="93"/>
  <c r="Q42" i="98"/>
  <c r="Q85" i="98" s="1"/>
  <c r="Q33" i="98"/>
  <c r="Q76" i="98" s="1"/>
  <c r="P43" i="93"/>
  <c r="P43" i="80"/>
  <c r="P43" i="79"/>
  <c r="P43" i="97" s="1"/>
  <c r="P96" i="97" s="1"/>
  <c r="P28" i="93"/>
  <c r="P28" i="80"/>
  <c r="P28" i="79"/>
  <c r="P14" i="93"/>
  <c r="P14" i="80"/>
  <c r="P14" i="79"/>
  <c r="P14" i="97" s="1"/>
  <c r="P67" i="97" s="1"/>
  <c r="P51" i="93"/>
  <c r="P51" i="80"/>
  <c r="P51" i="79"/>
  <c r="P16" i="93"/>
  <c r="P16" i="80"/>
  <c r="P16" i="79"/>
  <c r="P16" i="97" s="1"/>
  <c r="P69" i="97" s="1"/>
  <c r="P23" i="93"/>
  <c r="P23" i="79"/>
  <c r="P23" i="80"/>
  <c r="P20" i="97"/>
  <c r="P73" i="97" s="1"/>
  <c r="P20" i="93"/>
  <c r="P20" i="80"/>
  <c r="P20" i="79"/>
  <c r="P52" i="97"/>
  <c r="P105" i="97" s="1"/>
  <c r="P52" i="93"/>
  <c r="P52" i="80"/>
  <c r="P52" i="79"/>
  <c r="P30" i="93"/>
  <c r="P30" i="80"/>
  <c r="P30" i="79"/>
  <c r="P49" i="93"/>
  <c r="P49" i="80"/>
  <c r="P49" i="79"/>
  <c r="P49" i="97" s="1"/>
  <c r="P102" i="97" s="1"/>
  <c r="P41" i="93"/>
  <c r="P41" i="97"/>
  <c r="P94" i="97" s="1"/>
  <c r="P41" i="80"/>
  <c r="P41" i="79"/>
  <c r="P11" i="93"/>
  <c r="P11" i="80"/>
  <c r="P11" i="79"/>
  <c r="P11" i="97" s="1"/>
  <c r="P64" i="97" s="1"/>
  <c r="W33" i="83"/>
  <c r="W29" i="83"/>
  <c r="W37" i="82"/>
  <c r="R37" i="98"/>
  <c r="R80" i="98" s="1"/>
  <c r="W9" i="94"/>
  <c r="W16" i="82"/>
  <c r="AB16" i="82" s="1"/>
  <c r="T9" i="98"/>
  <c r="T52" i="98" s="1"/>
  <c r="T24" i="98"/>
  <c r="T67" i="98" s="1"/>
  <c r="W35" i="83"/>
  <c r="W36" i="84"/>
  <c r="W37" i="84"/>
  <c r="M48" i="93"/>
  <c r="O54" i="80"/>
  <c r="M14" i="93"/>
  <c r="X24" i="79"/>
  <c r="W24" i="97" s="1"/>
  <c r="W77" i="97" s="1"/>
  <c r="X50" i="79"/>
  <c r="W50" i="97" s="1"/>
  <c r="W103" i="97" s="1"/>
  <c r="X21" i="79"/>
  <c r="W21" i="97" s="1"/>
  <c r="W74" i="97" s="1"/>
  <c r="X22" i="79"/>
  <c r="W22" i="97" s="1"/>
  <c r="W75" i="97" s="1"/>
  <c r="X35" i="79"/>
  <c r="W35" i="97" s="1"/>
  <c r="W88" i="97" s="1"/>
  <c r="X12" i="79"/>
  <c r="W12" i="97" s="1"/>
  <c r="W65" i="97" s="1"/>
  <c r="X39" i="79"/>
  <c r="W39" i="97" s="1"/>
  <c r="W92" i="97" s="1"/>
  <c r="N44" i="84"/>
  <c r="M39" i="93"/>
  <c r="L10" i="98"/>
  <c r="L53" i="98" s="1"/>
  <c r="L26" i="98"/>
  <c r="L69" i="98" s="1"/>
  <c r="L14" i="98"/>
  <c r="L57" i="98" s="1"/>
  <c r="L19" i="98"/>
  <c r="L62" i="98" s="1"/>
  <c r="L23" i="98"/>
  <c r="L66" i="98" s="1"/>
  <c r="V8" i="98"/>
  <c r="V51" i="98" s="1"/>
  <c r="W38" i="82"/>
  <c r="AB38" i="82" s="1"/>
  <c r="T28" i="98"/>
  <c r="T71" i="98" s="1"/>
  <c r="Y5" i="79"/>
  <c r="X5" i="97" s="1"/>
  <c r="X58" i="97" s="1"/>
  <c r="Y5" i="93"/>
  <c r="V35" i="98"/>
  <c r="V78" i="98" s="1"/>
  <c r="V19" i="98"/>
  <c r="V62" i="98" s="1"/>
  <c r="Q32" i="98"/>
  <c r="Q75" i="98" s="1"/>
  <c r="Q14" i="98"/>
  <c r="Q57" i="98" s="1"/>
  <c r="Q26" i="98"/>
  <c r="Q69" i="98" s="1"/>
  <c r="R40" i="80"/>
  <c r="R9" i="80"/>
  <c r="R32" i="80"/>
  <c r="R28" i="80"/>
  <c r="R8" i="80"/>
  <c r="R46" i="80"/>
  <c r="R38" i="80"/>
  <c r="R45" i="80"/>
  <c r="R7" i="80"/>
  <c r="R39" i="80"/>
  <c r="R48" i="80"/>
  <c r="R10" i="80"/>
  <c r="W30" i="82"/>
  <c r="AB30" i="82" s="1"/>
  <c r="W39" i="82"/>
  <c r="AB39" i="82" s="1"/>
  <c r="W40" i="82"/>
  <c r="AB40" i="82" s="1"/>
  <c r="W5" i="82"/>
  <c r="W5" i="94"/>
  <c r="T44" i="94"/>
  <c r="W34" i="84"/>
  <c r="W21" i="82"/>
  <c r="AB21" i="82" s="1"/>
  <c r="Q31" i="93"/>
  <c r="Q31" i="80"/>
  <c r="Q24" i="93"/>
  <c r="Q24" i="80"/>
  <c r="Q32" i="93"/>
  <c r="Q32" i="80"/>
  <c r="Q51" i="93"/>
  <c r="Q51" i="80"/>
  <c r="Q44" i="93"/>
  <c r="Q44" i="80"/>
  <c r="Q16" i="93"/>
  <c r="Q16" i="80"/>
  <c r="Q48" i="93"/>
  <c r="Q48" i="80"/>
  <c r="Q11" i="93"/>
  <c r="Q11" i="80"/>
  <c r="Q17" i="93"/>
  <c r="Q17" i="80"/>
  <c r="Q20" i="93"/>
  <c r="Q20" i="80"/>
  <c r="Q8" i="93"/>
  <c r="Q8" i="80"/>
  <c r="Q10" i="93"/>
  <c r="Q10" i="80"/>
  <c r="X19" i="79"/>
  <c r="W19" i="97" s="1"/>
  <c r="W72" i="97" s="1"/>
  <c r="X47" i="79"/>
  <c r="W47" i="97" s="1"/>
  <c r="W100" i="97" s="1"/>
  <c r="X34" i="79"/>
  <c r="W34" i="97" s="1"/>
  <c r="W87" i="97" s="1"/>
  <c r="X27" i="79"/>
  <c r="W27" i="97" s="1"/>
  <c r="W80" i="97" s="1"/>
  <c r="M12" i="93"/>
  <c r="M37" i="93"/>
  <c r="L36" i="93"/>
  <c r="L36" i="80"/>
  <c r="L36" i="79"/>
  <c r="L18" i="93"/>
  <c r="L18" i="80"/>
  <c r="L18" i="79"/>
  <c r="L18" i="97" s="1"/>
  <c r="L71" i="97" s="1"/>
  <c r="L43" i="93"/>
  <c r="L43" i="80"/>
  <c r="L43" i="79"/>
  <c r="L51" i="93"/>
  <c r="L51" i="80"/>
  <c r="L51" i="79"/>
  <c r="L51" i="97" s="1"/>
  <c r="L104" i="97" s="1"/>
  <c r="L29" i="93"/>
  <c r="L29" i="80"/>
  <c r="L29" i="79"/>
  <c r="L42" i="93"/>
  <c r="L42" i="80"/>
  <c r="L42" i="79"/>
  <c r="L42" i="97" s="1"/>
  <c r="L95" i="97" s="1"/>
  <c r="L22" i="93"/>
  <c r="L22" i="80"/>
  <c r="L22" i="79"/>
  <c r="L47" i="93"/>
  <c r="L47" i="79"/>
  <c r="L47" i="80"/>
  <c r="L37" i="93"/>
  <c r="L37" i="80"/>
  <c r="L37" i="79"/>
  <c r="L21" i="93"/>
  <c r="L21" i="80"/>
  <c r="L21" i="79"/>
  <c r="L21" i="97" s="1"/>
  <c r="L74" i="97" s="1"/>
  <c r="L23" i="93"/>
  <c r="L23" i="80"/>
  <c r="L23" i="79"/>
  <c r="Y42" i="79"/>
  <c r="Y11" i="80"/>
  <c r="Y10" i="80"/>
  <c r="X10" i="97" s="1"/>
  <c r="X63" i="97" s="1"/>
  <c r="Y36" i="80"/>
  <c r="Y52" i="80"/>
  <c r="Y18" i="80"/>
  <c r="Y48" i="79"/>
  <c r="X48" i="97" s="1"/>
  <c r="X101" i="97" s="1"/>
  <c r="Y15" i="79"/>
  <c r="Y14" i="79"/>
  <c r="Y29" i="79"/>
  <c r="Y44" i="79"/>
  <c r="W27" i="93"/>
  <c r="W27" i="80"/>
  <c r="W27" i="79"/>
  <c r="W21" i="93"/>
  <c r="W21" i="80"/>
  <c r="W21" i="79"/>
  <c r="V21" i="97" s="1"/>
  <c r="V74" i="97" s="1"/>
  <c r="W48" i="93"/>
  <c r="W48" i="80"/>
  <c r="W48" i="79"/>
  <c r="W37" i="93"/>
  <c r="W37" i="80"/>
  <c r="W37" i="79"/>
  <c r="W12" i="93"/>
  <c r="W12" i="80"/>
  <c r="W12" i="79"/>
  <c r="W23" i="93"/>
  <c r="W23" i="80"/>
  <c r="W23" i="79"/>
  <c r="V23" i="97" s="1"/>
  <c r="V76" i="97" s="1"/>
  <c r="W43" i="93"/>
  <c r="W43" i="79"/>
  <c r="V43" i="97" s="1"/>
  <c r="V96" i="97" s="1"/>
  <c r="W43" i="80"/>
  <c r="W51" i="93"/>
  <c r="W51" i="79"/>
  <c r="W51" i="80"/>
  <c r="W17" i="93"/>
  <c r="W17" i="79"/>
  <c r="W17" i="80"/>
  <c r="W36" i="93"/>
  <c r="W36" i="79"/>
  <c r="W36" i="80"/>
  <c r="W28" i="93"/>
  <c r="W28" i="79"/>
  <c r="V28" i="97" s="1"/>
  <c r="V81" i="97" s="1"/>
  <c r="W28" i="80"/>
  <c r="W19" i="93"/>
  <c r="W19" i="79"/>
  <c r="W19" i="80"/>
  <c r="Q35" i="94"/>
  <c r="V21" i="98"/>
  <c r="V64" i="98" s="1"/>
  <c r="V22" i="98"/>
  <c r="V65" i="98" s="1"/>
  <c r="Z44" i="83"/>
  <c r="AA5" i="83"/>
  <c r="AA44" i="83" s="1"/>
  <c r="V32" i="98"/>
  <c r="V75" i="98" s="1"/>
  <c r="S44" i="82"/>
  <c r="Q5" i="98"/>
  <c r="Q48" i="98" s="1"/>
  <c r="Q8" i="98"/>
  <c r="Q51" i="98" s="1"/>
  <c r="P22" i="94"/>
  <c r="P22" i="83"/>
  <c r="Q22" i="83" s="1"/>
  <c r="P22" i="84"/>
  <c r="P33" i="94"/>
  <c r="P33" i="83"/>
  <c r="P33" i="98" s="1"/>
  <c r="P76" i="98" s="1"/>
  <c r="P33" i="84"/>
  <c r="P9" i="94"/>
  <c r="Q9" i="94" s="1"/>
  <c r="P9" i="83"/>
  <c r="P9" i="98" s="1"/>
  <c r="P52" i="98" s="1"/>
  <c r="P9" i="84"/>
  <c r="P26" i="94"/>
  <c r="P26" i="83"/>
  <c r="P26" i="98" s="1"/>
  <c r="P69" i="98" s="1"/>
  <c r="P26" i="84"/>
  <c r="P31" i="94"/>
  <c r="Q31" i="94" s="1"/>
  <c r="P31" i="83"/>
  <c r="P31" i="98" s="1"/>
  <c r="P74" i="98" s="1"/>
  <c r="P31" i="84"/>
  <c r="P23" i="94"/>
  <c r="Q23" i="94" s="1"/>
  <c r="P23" i="83"/>
  <c r="P23" i="98" s="1"/>
  <c r="P66" i="98" s="1"/>
  <c r="P23" i="84"/>
  <c r="Q23" i="84" s="1"/>
  <c r="P15" i="94"/>
  <c r="P15" i="83"/>
  <c r="P15" i="98" s="1"/>
  <c r="P58" i="98" s="1"/>
  <c r="P15" i="84"/>
  <c r="P21" i="94"/>
  <c r="P21" i="84"/>
  <c r="P21" i="98" s="1"/>
  <c r="P64" i="98" s="1"/>
  <c r="P21" i="83"/>
  <c r="P28" i="94"/>
  <c r="P28" i="84"/>
  <c r="P28" i="98" s="1"/>
  <c r="P71" i="98" s="1"/>
  <c r="P28" i="83"/>
  <c r="W14" i="83"/>
  <c r="R14" i="98"/>
  <c r="R57" i="98" s="1"/>
  <c r="H7" i="100" s="1"/>
  <c r="H13" i="100" s="1"/>
  <c r="W13" i="94"/>
  <c r="V44" i="83"/>
  <c r="O40" i="79"/>
  <c r="O40" i="97" s="1"/>
  <c r="O93" i="97" s="1"/>
  <c r="O43" i="79"/>
  <c r="O43" i="97" s="1"/>
  <c r="O96" i="97" s="1"/>
  <c r="O33" i="79"/>
  <c r="O33" i="97" s="1"/>
  <c r="O86" i="97" s="1"/>
  <c r="M42" i="79"/>
  <c r="M42" i="97" s="1"/>
  <c r="M95" i="97" s="1"/>
  <c r="AH38" i="93"/>
  <c r="AH38" i="79"/>
  <c r="AH38" i="80"/>
  <c r="AH20" i="93"/>
  <c r="AH20" i="80"/>
  <c r="AH20" i="79"/>
  <c r="AH25" i="93"/>
  <c r="AH25" i="80"/>
  <c r="AH25" i="79"/>
  <c r="AD25" i="97" s="1"/>
  <c r="AD78" i="97" s="1"/>
  <c r="AH52" i="93"/>
  <c r="AH52" i="80"/>
  <c r="AH52" i="79"/>
  <c r="AH47" i="93"/>
  <c r="AH47" i="80"/>
  <c r="AH47" i="79"/>
  <c r="AD47" i="97" s="1"/>
  <c r="AD100" i="97" s="1"/>
  <c r="AH16" i="93"/>
  <c r="AH16" i="80"/>
  <c r="AH16" i="79"/>
  <c r="AH50" i="93"/>
  <c r="AH50" i="79"/>
  <c r="AH50" i="80"/>
  <c r="AH42" i="93"/>
  <c r="AH42" i="80"/>
  <c r="AH42" i="79"/>
  <c r="AH13" i="93"/>
  <c r="AH13" i="80"/>
  <c r="AH13" i="79"/>
  <c r="AD13" i="97" s="1"/>
  <c r="AD66" i="97" s="1"/>
  <c r="AH29" i="93"/>
  <c r="AH29" i="79"/>
  <c r="AD29" i="97" s="1"/>
  <c r="AD82" i="97" s="1"/>
  <c r="AH29" i="80"/>
  <c r="AH46" i="93"/>
  <c r="AH46" i="79"/>
  <c r="AH46" i="80"/>
  <c r="AH7" i="93"/>
  <c r="AH7" i="79"/>
  <c r="AD7" i="97" s="1"/>
  <c r="AD60" i="97" s="1"/>
  <c r="AH7" i="80"/>
  <c r="X18" i="79"/>
  <c r="W18" i="97" s="1"/>
  <c r="W71" i="97" s="1"/>
  <c r="AC51" i="80"/>
  <c r="AD51" i="80" s="1"/>
  <c r="AD51" i="78"/>
  <c r="AC17" i="93"/>
  <c r="AD17" i="93" s="1"/>
  <c r="AC17" i="80"/>
  <c r="AD17" i="80" s="1"/>
  <c r="AD17" i="78"/>
  <c r="AC20" i="80"/>
  <c r="AD20" i="80" s="1"/>
  <c r="AD20" i="78"/>
  <c r="AC20" i="79"/>
  <c r="AD20" i="79" s="1"/>
  <c r="AD9" i="78"/>
  <c r="AC9" i="80"/>
  <c r="AD9" i="80" s="1"/>
  <c r="AD23" i="78"/>
  <c r="AC23" i="80"/>
  <c r="AD23" i="80" s="1"/>
  <c r="AC8" i="93"/>
  <c r="AD8" i="93" s="1"/>
  <c r="AD8" i="78"/>
  <c r="AC8" i="80"/>
  <c r="AD8" i="80" s="1"/>
  <c r="AC37" i="80"/>
  <c r="AD37" i="80" s="1"/>
  <c r="AD37" i="78"/>
  <c r="AC37" i="79"/>
  <c r="AD37" i="79" s="1"/>
  <c r="AC48" i="80"/>
  <c r="AD48" i="80" s="1"/>
  <c r="AD48" i="78"/>
  <c r="AC13" i="80"/>
  <c r="AD13" i="80" s="1"/>
  <c r="AD13" i="78"/>
  <c r="AC40" i="93"/>
  <c r="AD40" i="93" s="1"/>
  <c r="AC40" i="80"/>
  <c r="AD40" i="80" s="1"/>
  <c r="AD40" i="78"/>
  <c r="AC43" i="80"/>
  <c r="AD43" i="80" s="1"/>
  <c r="AD43" i="78"/>
  <c r="AC43" i="79"/>
  <c r="AD43" i="79" s="1"/>
  <c r="AC15" i="80"/>
  <c r="AD15" i="80" s="1"/>
  <c r="AD15" i="78"/>
  <c r="M15" i="93"/>
  <c r="M21" i="93"/>
  <c r="Y33" i="93"/>
  <c r="L15" i="98"/>
  <c r="L58" i="98" s="1"/>
  <c r="M35" i="79"/>
  <c r="M35" i="97" s="1"/>
  <c r="M88" i="97" s="1"/>
  <c r="AQ14" i="93"/>
  <c r="AE56" i="80"/>
  <c r="AE56" i="79"/>
  <c r="AO55" i="79" s="1"/>
  <c r="AE56" i="78"/>
  <c r="X17" i="84"/>
  <c r="X29" i="84"/>
  <c r="X11" i="84"/>
  <c r="X18" i="84"/>
  <c r="E43" i="5"/>
  <c r="Y46" i="94" s="1"/>
  <c r="X46" i="84"/>
  <c r="X46" i="83"/>
  <c r="X46" i="81"/>
  <c r="X46" i="82"/>
  <c r="X49" i="82" s="1"/>
  <c r="X42" i="83" s="1"/>
  <c r="Y42" i="83" s="1"/>
  <c r="X26" i="84"/>
  <c r="X42" i="84"/>
  <c r="L44" i="83"/>
  <c r="X36" i="84"/>
  <c r="X25" i="84"/>
  <c r="AB47" i="84"/>
  <c r="AB47" i="83"/>
  <c r="AB47" i="82"/>
  <c r="AB47" i="81"/>
  <c r="X8" i="84"/>
  <c r="X41" i="84"/>
  <c r="X13" i="84"/>
  <c r="X22" i="84"/>
  <c r="AB5" i="82"/>
  <c r="X34" i="83"/>
  <c r="Y34" i="83" s="1"/>
  <c r="X34" i="84"/>
  <c r="X23" i="84"/>
  <c r="X31" i="84"/>
  <c r="X9" i="84"/>
  <c r="X15" i="84"/>
  <c r="X24" i="83"/>
  <c r="Y24" i="83" s="1"/>
  <c r="X24" i="84"/>
  <c r="L44" i="84"/>
  <c r="X32" i="83"/>
  <c r="Y32" i="83" s="1"/>
  <c r="X32" i="84"/>
  <c r="E23" i="5"/>
  <c r="AG56" i="93" s="1"/>
  <c r="AE58" i="77"/>
  <c r="X13" i="94" l="1"/>
  <c r="Y13" i="94" s="1"/>
  <c r="B9" i="100"/>
  <c r="B15" i="100" s="1"/>
  <c r="H9" i="100"/>
  <c r="H14" i="100" s="1"/>
  <c r="H11" i="100"/>
  <c r="X9" i="83"/>
  <c r="Y9" i="83" s="1"/>
  <c r="X23" i="83"/>
  <c r="Y23" i="83" s="1"/>
  <c r="X8" i="83"/>
  <c r="Y8" i="83" s="1"/>
  <c r="X28" i="84"/>
  <c r="AD46" i="97"/>
  <c r="AD99" i="97" s="1"/>
  <c r="AD42" i="97"/>
  <c r="AD95" i="97" s="1"/>
  <c r="AD50" i="97"/>
  <c r="AD103" i="97" s="1"/>
  <c r="AD52" i="97"/>
  <c r="AD105" i="97" s="1"/>
  <c r="W15" i="84"/>
  <c r="Q33" i="94"/>
  <c r="V19" i="97"/>
  <c r="V72" i="97" s="1"/>
  <c r="V51" i="97"/>
  <c r="V104" i="97" s="1"/>
  <c r="V12" i="97"/>
  <c r="V65" i="97" s="1"/>
  <c r="V27" i="97"/>
  <c r="V80" i="97" s="1"/>
  <c r="L37" i="97"/>
  <c r="L90" i="97" s="1"/>
  <c r="L47" i="97"/>
  <c r="L100" i="97" s="1"/>
  <c r="L29" i="97"/>
  <c r="L82" i="97" s="1"/>
  <c r="L36" i="97"/>
  <c r="L89" i="97" s="1"/>
  <c r="X8" i="97"/>
  <c r="X61" i="97" s="1"/>
  <c r="Q21" i="83"/>
  <c r="Q8" i="84"/>
  <c r="Q42" i="84"/>
  <c r="Q27" i="83"/>
  <c r="Q19" i="83"/>
  <c r="Q40" i="83"/>
  <c r="O15" i="98"/>
  <c r="O58" i="98" s="1"/>
  <c r="AI48" i="93"/>
  <c r="AI15" i="79"/>
  <c r="AE15" i="97" s="1"/>
  <c r="AE68" i="97" s="1"/>
  <c r="AI16" i="79"/>
  <c r="AE16" i="97" s="1"/>
  <c r="AE69" i="97" s="1"/>
  <c r="AI12" i="79"/>
  <c r="AE12" i="97" s="1"/>
  <c r="AE65" i="97" s="1"/>
  <c r="AI29" i="79"/>
  <c r="AE29" i="97" s="1"/>
  <c r="AE82" i="97" s="1"/>
  <c r="AI24" i="79"/>
  <c r="AE24" i="97" s="1"/>
  <c r="AE77" i="97" s="1"/>
  <c r="AI45" i="79"/>
  <c r="AE45" i="97" s="1"/>
  <c r="AE98" i="97" s="1"/>
  <c r="AI50" i="79"/>
  <c r="AE50" i="97" s="1"/>
  <c r="AE103" i="97" s="1"/>
  <c r="AI49" i="93"/>
  <c r="AI21" i="93"/>
  <c r="AI28" i="93"/>
  <c r="AI36" i="79"/>
  <c r="AE36" i="97" s="1"/>
  <c r="AE89" i="97" s="1"/>
  <c r="AI9" i="93"/>
  <c r="AI31" i="93"/>
  <c r="AI44" i="79"/>
  <c r="AE44" i="97" s="1"/>
  <c r="AE97" i="97" s="1"/>
  <c r="AI23" i="79"/>
  <c r="AE23" i="97" s="1"/>
  <c r="AE76" i="97" s="1"/>
  <c r="AI26" i="93"/>
  <c r="AI51" i="93"/>
  <c r="AI46" i="79"/>
  <c r="AE46" i="97" s="1"/>
  <c r="AE99" i="97" s="1"/>
  <c r="AI25" i="79"/>
  <c r="AE25" i="97" s="1"/>
  <c r="AE78" i="97" s="1"/>
  <c r="AI41" i="79"/>
  <c r="AE41" i="97" s="1"/>
  <c r="AE94" i="97" s="1"/>
  <c r="AI42" i="79"/>
  <c r="AE42" i="97" s="1"/>
  <c r="AE95" i="97" s="1"/>
  <c r="AI11" i="79"/>
  <c r="AE11" i="97" s="1"/>
  <c r="AE64" i="97" s="1"/>
  <c r="AI18" i="79"/>
  <c r="AE18" i="97" s="1"/>
  <c r="AE71" i="97" s="1"/>
  <c r="AB37" i="82"/>
  <c r="P31" i="97"/>
  <c r="P84" i="97" s="1"/>
  <c r="AI13" i="79"/>
  <c r="AE13" i="97" s="1"/>
  <c r="AE66" i="97" s="1"/>
  <c r="AI40" i="79"/>
  <c r="AE40" i="97" s="1"/>
  <c r="AE93" i="97" s="1"/>
  <c r="Q22" i="84"/>
  <c r="Q6" i="83"/>
  <c r="Q9" i="84"/>
  <c r="AI39" i="79"/>
  <c r="AE39" i="97" s="1"/>
  <c r="AE92" i="97" s="1"/>
  <c r="AI8" i="93"/>
  <c r="Q12" i="83"/>
  <c r="X24" i="94"/>
  <c r="Y24" i="94" s="1"/>
  <c r="X42" i="94"/>
  <c r="Y42" i="94" s="1"/>
  <c r="Q21" i="84"/>
  <c r="X14" i="83"/>
  <c r="Y14" i="83" s="1"/>
  <c r="P22" i="98"/>
  <c r="P65" i="98" s="1"/>
  <c r="Q10" i="94"/>
  <c r="Q21" i="94"/>
  <c r="Q42" i="94"/>
  <c r="Q27" i="94"/>
  <c r="Q7" i="94"/>
  <c r="Q40" i="94"/>
  <c r="Q15" i="84"/>
  <c r="O44" i="83"/>
  <c r="AI54" i="80"/>
  <c r="Q39" i="84"/>
  <c r="Q10" i="83"/>
  <c r="AI48" i="79"/>
  <c r="AE48" i="97" s="1"/>
  <c r="AE101" i="97" s="1"/>
  <c r="AI12" i="93"/>
  <c r="X27" i="84"/>
  <c r="W13" i="83"/>
  <c r="S13" i="98"/>
  <c r="S56" i="98" s="1"/>
  <c r="X15" i="83"/>
  <c r="Y15" i="83" s="1"/>
  <c r="X31" i="83"/>
  <c r="Y31" i="83" s="1"/>
  <c r="X22" i="83"/>
  <c r="Y22" i="83" s="1"/>
  <c r="X41" i="83"/>
  <c r="Y41" i="83" s="1"/>
  <c r="X25" i="83"/>
  <c r="Y25" i="83" s="1"/>
  <c r="X26" i="83"/>
  <c r="Y26" i="83" s="1"/>
  <c r="AD16" i="97"/>
  <c r="AD69" i="97" s="1"/>
  <c r="AD20" i="97"/>
  <c r="AD73" i="97" s="1"/>
  <c r="AD38" i="97"/>
  <c r="AD91" i="97" s="1"/>
  <c r="X36" i="97"/>
  <c r="X89" i="97" s="1"/>
  <c r="L23" i="97"/>
  <c r="L76" i="97" s="1"/>
  <c r="L22" i="97"/>
  <c r="L75" i="97" s="1"/>
  <c r="L43" i="97"/>
  <c r="L96" i="97" s="1"/>
  <c r="W23" i="84"/>
  <c r="P51" i="97"/>
  <c r="P104" i="97" s="1"/>
  <c r="M8" i="98"/>
  <c r="M51" i="98" s="1"/>
  <c r="M34" i="98"/>
  <c r="M77" i="98" s="1"/>
  <c r="M42" i="98"/>
  <c r="M85" i="98" s="1"/>
  <c r="M27" i="98"/>
  <c r="M70" i="98" s="1"/>
  <c r="M29" i="98"/>
  <c r="M72" i="98" s="1"/>
  <c r="M19" i="98"/>
  <c r="M62" i="98" s="1"/>
  <c r="M7" i="98"/>
  <c r="M50" i="98" s="1"/>
  <c r="S40" i="98"/>
  <c r="S83" i="98" s="1"/>
  <c r="S8" i="98"/>
  <c r="S51" i="98" s="1"/>
  <c r="S41" i="98"/>
  <c r="S84" i="98" s="1"/>
  <c r="S17" i="98"/>
  <c r="S60" i="98" s="1"/>
  <c r="S39" i="98"/>
  <c r="S82" i="98" s="1"/>
  <c r="O32" i="98"/>
  <c r="O75" i="98" s="1"/>
  <c r="Q15" i="94"/>
  <c r="AE33" i="97"/>
  <c r="AE86" i="97" s="1"/>
  <c r="Q40" i="84"/>
  <c r="W20" i="93"/>
  <c r="W6" i="79"/>
  <c r="V6" i="97" s="1"/>
  <c r="V59" i="97" s="1"/>
  <c r="W10" i="93"/>
  <c r="W7" i="93"/>
  <c r="W44" i="93"/>
  <c r="AI38" i="79"/>
  <c r="AE38" i="97" s="1"/>
  <c r="AE91" i="97" s="1"/>
  <c r="U16" i="79"/>
  <c r="T16" i="97" s="1"/>
  <c r="T69" i="97" s="1"/>
  <c r="U49" i="93"/>
  <c r="U29" i="79"/>
  <c r="U35" i="93"/>
  <c r="U41" i="79"/>
  <c r="U22" i="93"/>
  <c r="U21" i="79"/>
  <c r="U23" i="79"/>
  <c r="AI32" i="79"/>
  <c r="AE32" i="97" s="1"/>
  <c r="AE85" i="97" s="1"/>
  <c r="Q16" i="94"/>
  <c r="Q41" i="94"/>
  <c r="S19" i="98"/>
  <c r="S62" i="98" s="1"/>
  <c r="L30" i="97"/>
  <c r="L83" i="97" s="1"/>
  <c r="L45" i="97"/>
  <c r="L98" i="97" s="1"/>
  <c r="L24" i="97"/>
  <c r="L77" i="97" s="1"/>
  <c r="Q13" i="84"/>
  <c r="M22" i="98"/>
  <c r="M65" i="98" s="1"/>
  <c r="M28" i="98"/>
  <c r="M71" i="98" s="1"/>
  <c r="M12" i="98"/>
  <c r="M55" i="98" s="1"/>
  <c r="M31" i="98"/>
  <c r="M74" i="98" s="1"/>
  <c r="S10" i="98"/>
  <c r="S53" i="98" s="1"/>
  <c r="S34" i="98"/>
  <c r="S77" i="98" s="1"/>
  <c r="Q20" i="84"/>
  <c r="O24" i="98"/>
  <c r="O67" i="98" s="1"/>
  <c r="Q26" i="84"/>
  <c r="O19" i="98"/>
  <c r="O62" i="98" s="1"/>
  <c r="P24" i="98"/>
  <c r="P67" i="98" s="1"/>
  <c r="P32" i="98"/>
  <c r="P75" i="98" s="1"/>
  <c r="P34" i="98"/>
  <c r="P77" i="98" s="1"/>
  <c r="P36" i="98"/>
  <c r="P79" i="98" s="1"/>
  <c r="L16" i="93"/>
  <c r="L33" i="79"/>
  <c r="L33" i="97" s="1"/>
  <c r="L86" i="97" s="1"/>
  <c r="L28" i="79"/>
  <c r="L28" i="97" s="1"/>
  <c r="L81" i="97" s="1"/>
  <c r="L6" i="79"/>
  <c r="L6" i="97" s="1"/>
  <c r="L59" i="97" s="1"/>
  <c r="L7" i="100"/>
  <c r="L13" i="100" s="1"/>
  <c r="X34" i="97"/>
  <c r="X87" i="97" s="1"/>
  <c r="P25" i="79"/>
  <c r="P29" i="93"/>
  <c r="P27" i="79"/>
  <c r="P50" i="97"/>
  <c r="P103" i="97" s="1"/>
  <c r="P37" i="79"/>
  <c r="P37" i="97" s="1"/>
  <c r="P90" i="97" s="1"/>
  <c r="P47" i="93"/>
  <c r="Q17" i="84"/>
  <c r="M38" i="98"/>
  <c r="M81" i="98" s="1"/>
  <c r="M24" i="98"/>
  <c r="M67" i="98" s="1"/>
  <c r="Q35" i="84"/>
  <c r="S32" i="98"/>
  <c r="S75" i="98" s="1"/>
  <c r="S28" i="98"/>
  <c r="S71" i="98" s="1"/>
  <c r="AB20" i="82"/>
  <c r="AH36" i="93"/>
  <c r="P39" i="98"/>
  <c r="P82" i="98" s="1"/>
  <c r="P17" i="79"/>
  <c r="P17" i="97" s="1"/>
  <c r="P70" i="97" s="1"/>
  <c r="Q18" i="84"/>
  <c r="M33" i="98"/>
  <c r="M76" i="98" s="1"/>
  <c r="Q36" i="84"/>
  <c r="S26" i="98"/>
  <c r="S69" i="98" s="1"/>
  <c r="S35" i="98"/>
  <c r="S78" i="98" s="1"/>
  <c r="X39" i="97"/>
  <c r="X92" i="97" s="1"/>
  <c r="Q28" i="84"/>
  <c r="Q31" i="84"/>
  <c r="Q38" i="84"/>
  <c r="X14" i="94"/>
  <c r="Y14" i="94" s="1"/>
  <c r="L44" i="93"/>
  <c r="Q11" i="84"/>
  <c r="L15" i="93"/>
  <c r="L41" i="93"/>
  <c r="P17" i="93"/>
  <c r="P40" i="93"/>
  <c r="Q14" i="84"/>
  <c r="X25" i="97"/>
  <c r="X78" i="97" s="1"/>
  <c r="Q33" i="83"/>
  <c r="AC42" i="79"/>
  <c r="AD42" i="79" s="1"/>
  <c r="P16" i="98"/>
  <c r="P59" i="98" s="1"/>
  <c r="P33" i="97"/>
  <c r="P86" i="97" s="1"/>
  <c r="S6" i="98"/>
  <c r="S49" i="98" s="1"/>
  <c r="P42" i="98"/>
  <c r="P85" i="98" s="1"/>
  <c r="P20" i="98"/>
  <c r="P63" i="98" s="1"/>
  <c r="L8" i="97"/>
  <c r="L61" i="97" s="1"/>
  <c r="L11" i="97"/>
  <c r="L64" i="97" s="1"/>
  <c r="L46" i="97"/>
  <c r="L99" i="97" s="1"/>
  <c r="P48" i="97"/>
  <c r="P101" i="97" s="1"/>
  <c r="Q6" i="84"/>
  <c r="M37" i="98"/>
  <c r="M80" i="98" s="1"/>
  <c r="M9" i="98"/>
  <c r="M52" i="98" s="1"/>
  <c r="M23" i="98"/>
  <c r="M66" i="98" s="1"/>
  <c r="S30" i="98"/>
  <c r="S73" i="98" s="1"/>
  <c r="O38" i="98"/>
  <c r="O81" i="98" s="1"/>
  <c r="O41" i="98"/>
  <c r="O84" i="98" s="1"/>
  <c r="P36" i="97"/>
  <c r="P89" i="97" s="1"/>
  <c r="O35" i="98"/>
  <c r="O78" i="98" s="1"/>
  <c r="P27" i="98"/>
  <c r="P70" i="98" s="1"/>
  <c r="P18" i="98"/>
  <c r="P61" i="98" s="1"/>
  <c r="L16" i="79"/>
  <c r="L16" i="97" s="1"/>
  <c r="L69" i="97" s="1"/>
  <c r="L39" i="79"/>
  <c r="L39" i="97" s="1"/>
  <c r="L92" i="97" s="1"/>
  <c r="P46" i="79"/>
  <c r="P46" i="97" s="1"/>
  <c r="P99" i="97" s="1"/>
  <c r="P37" i="93"/>
  <c r="M25" i="98"/>
  <c r="M68" i="98" s="1"/>
  <c r="Q32" i="84"/>
  <c r="M11" i="98"/>
  <c r="M54" i="98" s="1"/>
  <c r="S16" i="98"/>
  <c r="S59" i="98" s="1"/>
  <c r="Q11" i="83"/>
  <c r="Q30" i="84"/>
  <c r="W30" i="83"/>
  <c r="M20" i="98"/>
  <c r="M63" i="98" s="1"/>
  <c r="M14" i="98"/>
  <c r="M57" i="98" s="1"/>
  <c r="S38" i="98"/>
  <c r="S81" i="98" s="1"/>
  <c r="U27" i="79"/>
  <c r="U10" i="93"/>
  <c r="U8" i="79"/>
  <c r="U36" i="79"/>
  <c r="T36" i="97" s="1"/>
  <c r="T89" i="97" s="1"/>
  <c r="U9" i="79"/>
  <c r="T9" i="97" s="1"/>
  <c r="T62" i="97" s="1"/>
  <c r="U44" i="79"/>
  <c r="U14" i="79"/>
  <c r="U38" i="93"/>
  <c r="U28" i="79"/>
  <c r="U30" i="93"/>
  <c r="U18" i="79"/>
  <c r="T18" i="97" s="1"/>
  <c r="T71" i="97" s="1"/>
  <c r="X6" i="97"/>
  <c r="X59" i="97" s="1"/>
  <c r="X43" i="97"/>
  <c r="X96" i="97" s="1"/>
  <c r="U15" i="79"/>
  <c r="U25" i="93"/>
  <c r="U12" i="93"/>
  <c r="U47" i="79"/>
  <c r="T47" i="97" s="1"/>
  <c r="T100" i="97" s="1"/>
  <c r="U7" i="93"/>
  <c r="U19" i="79"/>
  <c r="U33" i="93"/>
  <c r="U11" i="79"/>
  <c r="T11" i="97" s="1"/>
  <c r="T64" i="97" s="1"/>
  <c r="X33" i="97"/>
  <c r="X86" i="97" s="1"/>
  <c r="W52" i="93"/>
  <c r="V17" i="97"/>
  <c r="V70" i="97" s="1"/>
  <c r="X52" i="97"/>
  <c r="X105" i="97" s="1"/>
  <c r="V36" i="97"/>
  <c r="V89" i="97" s="1"/>
  <c r="V48" i="97"/>
  <c r="V101" i="97" s="1"/>
  <c r="X15" i="97"/>
  <c r="X68" i="97" s="1"/>
  <c r="U52" i="79"/>
  <c r="U46" i="93"/>
  <c r="U34" i="79"/>
  <c r="W9" i="93"/>
  <c r="U41" i="93"/>
  <c r="U35" i="79"/>
  <c r="U29" i="93"/>
  <c r="U12" i="79"/>
  <c r="T12" i="97" s="1"/>
  <c r="T65" i="97" s="1"/>
  <c r="U24" i="79"/>
  <c r="T24" i="97" s="1"/>
  <c r="T77" i="97" s="1"/>
  <c r="U21" i="93"/>
  <c r="U22" i="79"/>
  <c r="U39" i="93"/>
  <c r="U49" i="79"/>
  <c r="T49" i="97" s="1"/>
  <c r="T102" i="97" s="1"/>
  <c r="U23" i="93"/>
  <c r="W39" i="93"/>
  <c r="U20" i="79"/>
  <c r="T20" i="97" s="1"/>
  <c r="T73" i="97" s="1"/>
  <c r="X18" i="97"/>
  <c r="X71" i="97" s="1"/>
  <c r="V37" i="97"/>
  <c r="V90" i="97" s="1"/>
  <c r="X19" i="97"/>
  <c r="X72" i="97" s="1"/>
  <c r="U10" i="79"/>
  <c r="T10" i="97" s="1"/>
  <c r="T63" i="97" s="1"/>
  <c r="U36" i="93"/>
  <c r="U9" i="93"/>
  <c r="U14" i="93"/>
  <c r="U38" i="79"/>
  <c r="U28" i="93"/>
  <c r="U30" i="79"/>
  <c r="U18" i="93"/>
  <c r="U15" i="93"/>
  <c r="U25" i="79"/>
  <c r="T25" i="97" s="1"/>
  <c r="T78" i="97" s="1"/>
  <c r="U47" i="93"/>
  <c r="U7" i="79"/>
  <c r="U19" i="93"/>
  <c r="U33" i="79"/>
  <c r="T33" i="97" s="1"/>
  <c r="T86" i="97" s="1"/>
  <c r="W22" i="93"/>
  <c r="U11" i="93"/>
  <c r="X7" i="97"/>
  <c r="X60" i="97" s="1"/>
  <c r="X37" i="97"/>
  <c r="X90" i="97" s="1"/>
  <c r="W16" i="93"/>
  <c r="W35" i="93"/>
  <c r="X16" i="97"/>
  <c r="X69" i="97" s="1"/>
  <c r="U42" i="93"/>
  <c r="U13" i="93"/>
  <c r="T14" i="97"/>
  <c r="T67" i="97" s="1"/>
  <c r="W10" i="79"/>
  <c r="V15" i="97"/>
  <c r="V68" i="97" s="1"/>
  <c r="T41" i="97"/>
  <c r="T94" i="97" s="1"/>
  <c r="W50" i="79"/>
  <c r="V50" i="97" s="1"/>
  <c r="V103" i="97" s="1"/>
  <c r="W11" i="79"/>
  <c r="V11" i="97" s="1"/>
  <c r="V64" i="97" s="1"/>
  <c r="W13" i="79"/>
  <c r="V13" i="97" s="1"/>
  <c r="V66" i="97" s="1"/>
  <c r="W25" i="79"/>
  <c r="V25" i="97" s="1"/>
  <c r="V78" i="97" s="1"/>
  <c r="X27" i="97"/>
  <c r="X80" i="97" s="1"/>
  <c r="U6" i="79"/>
  <c r="U6" i="93"/>
  <c r="U17" i="79"/>
  <c r="T17" i="97" s="1"/>
  <c r="T70" i="97" s="1"/>
  <c r="U37" i="93"/>
  <c r="U50" i="79"/>
  <c r="T50" i="97" s="1"/>
  <c r="T103" i="97" s="1"/>
  <c r="U51" i="79"/>
  <c r="T51" i="97" s="1"/>
  <c r="T104" i="97" s="1"/>
  <c r="W45" i="79"/>
  <c r="V45" i="97" s="1"/>
  <c r="V98" i="97" s="1"/>
  <c r="W49" i="79"/>
  <c r="V49" i="97" s="1"/>
  <c r="V102" i="97" s="1"/>
  <c r="U26" i="93"/>
  <c r="U40" i="79"/>
  <c r="T40" i="97" s="1"/>
  <c r="T93" i="97" s="1"/>
  <c r="W9" i="79"/>
  <c r="V10" i="97"/>
  <c r="V63" i="97" s="1"/>
  <c r="W15" i="93"/>
  <c r="W6" i="93"/>
  <c r="W26" i="79"/>
  <c r="V26" i="97" s="1"/>
  <c r="V79" i="97" s="1"/>
  <c r="T15" i="97"/>
  <c r="T68" i="97" s="1"/>
  <c r="T7" i="97"/>
  <c r="T60" i="97" s="1"/>
  <c r="W40" i="93"/>
  <c r="W18" i="93"/>
  <c r="W32" i="93"/>
  <c r="W31" i="93"/>
  <c r="W14" i="93"/>
  <c r="W47" i="93"/>
  <c r="W30" i="93"/>
  <c r="U42" i="79"/>
  <c r="U43" i="79"/>
  <c r="T43" i="97" s="1"/>
  <c r="T96" i="97" s="1"/>
  <c r="U32" i="93"/>
  <c r="U31" i="79"/>
  <c r="T31" i="97" s="1"/>
  <c r="T84" i="97" s="1"/>
  <c r="X11" i="97"/>
  <c r="X64" i="97" s="1"/>
  <c r="V9" i="97"/>
  <c r="V62" i="97" s="1"/>
  <c r="T35" i="97"/>
  <c r="T88" i="97" s="1"/>
  <c r="W8" i="79"/>
  <c r="V8" i="97" s="1"/>
  <c r="V61" i="97" s="1"/>
  <c r="W42" i="79"/>
  <c r="V42" i="97" s="1"/>
  <c r="V95" i="97" s="1"/>
  <c r="W24" i="79"/>
  <c r="V24" i="97" s="1"/>
  <c r="V77" i="97" s="1"/>
  <c r="W46" i="79"/>
  <c r="V46" i="97" s="1"/>
  <c r="V99" i="97" s="1"/>
  <c r="W41" i="79"/>
  <c r="V41" i="97" s="1"/>
  <c r="V94" i="97" s="1"/>
  <c r="W33" i="79"/>
  <c r="V33" i="97" s="1"/>
  <c r="V86" i="97" s="1"/>
  <c r="T23" i="97"/>
  <c r="T76" i="97" s="1"/>
  <c r="W38" i="79"/>
  <c r="V38" i="97" s="1"/>
  <c r="V91" i="97" s="1"/>
  <c r="W29" i="79"/>
  <c r="V29" i="97" s="1"/>
  <c r="V82" i="97" s="1"/>
  <c r="W20" i="79"/>
  <c r="V20" i="97" s="1"/>
  <c r="V73" i="97" s="1"/>
  <c r="X30" i="94"/>
  <c r="Y30" i="94" s="1"/>
  <c r="X30" i="84"/>
  <c r="X19" i="94"/>
  <c r="Y19" i="94" s="1"/>
  <c r="X19" i="83"/>
  <c r="Y19" i="83" s="1"/>
  <c r="X19" i="84"/>
  <c r="X10" i="94"/>
  <c r="Y10" i="94" s="1"/>
  <c r="X10" i="83"/>
  <c r="Y10" i="83" s="1"/>
  <c r="X10" i="84"/>
  <c r="Y10" i="84" s="1"/>
  <c r="AB10" i="84" s="1"/>
  <c r="S7" i="107" s="1"/>
  <c r="X38" i="94"/>
  <c r="Y38" i="94" s="1"/>
  <c r="X38" i="84"/>
  <c r="Y38" i="84" s="1"/>
  <c r="AB38" i="84" s="1"/>
  <c r="S29" i="107" s="1"/>
  <c r="X16" i="94"/>
  <c r="Y16" i="94" s="1"/>
  <c r="X16" i="83"/>
  <c r="Y16" i="83" s="1"/>
  <c r="X16" i="84"/>
  <c r="X12" i="94"/>
  <c r="Y12" i="94" s="1"/>
  <c r="X12" i="83"/>
  <c r="Y12" i="83" s="1"/>
  <c r="AB12" i="83" s="1"/>
  <c r="X12" i="84"/>
  <c r="Y12" i="84" s="1"/>
  <c r="AB12" i="84" s="1"/>
  <c r="S11" i="107" s="1"/>
  <c r="X7" i="94"/>
  <c r="Y7" i="94" s="1"/>
  <c r="X7" i="83"/>
  <c r="Y7" i="83" s="1"/>
  <c r="AB7" i="83" s="1"/>
  <c r="X7" i="84"/>
  <c r="Y7" i="84" s="1"/>
  <c r="AB7" i="84" s="1"/>
  <c r="AJ7" i="94" s="1"/>
  <c r="X35" i="94"/>
  <c r="Y35" i="94" s="1"/>
  <c r="X35" i="84"/>
  <c r="X35" i="83"/>
  <c r="Y35" i="83" s="1"/>
  <c r="X21" i="94"/>
  <c r="Y21" i="94" s="1"/>
  <c r="X21" i="83"/>
  <c r="Y21" i="83" s="1"/>
  <c r="AB21" i="83" s="1"/>
  <c r="X21" i="84"/>
  <c r="X39" i="94"/>
  <c r="Y39" i="94" s="1"/>
  <c r="X39" i="84"/>
  <c r="X39" i="83"/>
  <c r="Y39" i="83" s="1"/>
  <c r="X5" i="94"/>
  <c r="AA43" i="97"/>
  <c r="AA96" i="97" s="1"/>
  <c r="AA37" i="97"/>
  <c r="AA90" i="97" s="1"/>
  <c r="V10" i="80"/>
  <c r="AB10" i="80" s="1"/>
  <c r="V24" i="80"/>
  <c r="AB24" i="80" s="1"/>
  <c r="V29" i="80"/>
  <c r="AB29" i="80" s="1"/>
  <c r="X36" i="94"/>
  <c r="Y36" i="94" s="1"/>
  <c r="AA42" i="97"/>
  <c r="AA95" i="97" s="1"/>
  <c r="Y54" i="80"/>
  <c r="AC5" i="79"/>
  <c r="AC5" i="93"/>
  <c r="AC36" i="79"/>
  <c r="AC45" i="93"/>
  <c r="AD45" i="93" s="1"/>
  <c r="AB24" i="78"/>
  <c r="X6" i="94"/>
  <c r="Y6" i="94" s="1"/>
  <c r="AC21" i="79"/>
  <c r="AC52" i="79"/>
  <c r="AC44" i="93"/>
  <c r="AD44" i="93" s="1"/>
  <c r="AC38" i="79"/>
  <c r="AC46" i="93"/>
  <c r="AD46" i="93" s="1"/>
  <c r="Q34" i="79"/>
  <c r="Q34" i="97" s="1"/>
  <c r="Q87" i="97" s="1"/>
  <c r="Q18" i="79"/>
  <c r="Q18" i="97" s="1"/>
  <c r="Q71" i="97" s="1"/>
  <c r="Q40" i="79"/>
  <c r="Q40" i="97" s="1"/>
  <c r="Q93" i="97" s="1"/>
  <c r="D9" i="100"/>
  <c r="D7" i="100"/>
  <c r="D13" i="100" s="1"/>
  <c r="D11" i="100"/>
  <c r="AC25" i="93"/>
  <c r="AD25" i="93" s="1"/>
  <c r="Q45" i="79"/>
  <c r="Q45" i="97" s="1"/>
  <c r="Q98" i="97" s="1"/>
  <c r="Q39" i="83"/>
  <c r="X40" i="94"/>
  <c r="Y40" i="94" s="1"/>
  <c r="X6" i="84"/>
  <c r="Y6" i="84" s="1"/>
  <c r="AB6" i="84" s="1"/>
  <c r="X36" i="83"/>
  <c r="Y36" i="83" s="1"/>
  <c r="W44" i="94"/>
  <c r="W16" i="83"/>
  <c r="V14" i="80"/>
  <c r="AB14" i="80" s="1"/>
  <c r="X37" i="94"/>
  <c r="Y37" i="94" s="1"/>
  <c r="P44" i="83"/>
  <c r="Q33" i="79"/>
  <c r="Q33" i="97" s="1"/>
  <c r="Q86" i="97" s="1"/>
  <c r="Q26" i="94"/>
  <c r="AC24" i="79"/>
  <c r="AC45" i="79"/>
  <c r="AC18" i="93"/>
  <c r="AD18" i="93" s="1"/>
  <c r="Q25" i="79"/>
  <c r="Q25" i="97" s="1"/>
  <c r="Q78" i="97" s="1"/>
  <c r="Q50" i="79"/>
  <c r="Q50" i="97" s="1"/>
  <c r="Q103" i="97" s="1"/>
  <c r="Q42" i="79"/>
  <c r="Q42" i="97" s="1"/>
  <c r="Q95" i="97" s="1"/>
  <c r="Q52" i="79"/>
  <c r="Q52" i="97" s="1"/>
  <c r="Q105" i="97" s="1"/>
  <c r="Q7" i="79"/>
  <c r="Q7" i="97" s="1"/>
  <c r="Q60" i="97" s="1"/>
  <c r="Q36" i="79"/>
  <c r="Q36" i="97" s="1"/>
  <c r="Q89" i="97" s="1"/>
  <c r="Q21" i="79"/>
  <c r="Q21" i="97" s="1"/>
  <c r="Q74" i="97" s="1"/>
  <c r="Q37" i="79"/>
  <c r="Q37" i="97" s="1"/>
  <c r="Q90" i="97" s="1"/>
  <c r="O54" i="93"/>
  <c r="W6" i="84"/>
  <c r="X54" i="93"/>
  <c r="W18" i="83"/>
  <c r="T29" i="97"/>
  <c r="T82" i="97" s="1"/>
  <c r="T19" i="97"/>
  <c r="T72" i="97" s="1"/>
  <c r="X31" i="94"/>
  <c r="Y31" i="94" s="1"/>
  <c r="Q26" i="83"/>
  <c r="AC7" i="79"/>
  <c r="AC31" i="79"/>
  <c r="AC31" i="93"/>
  <c r="AD31" i="93" s="1"/>
  <c r="AC11" i="93"/>
  <c r="AD11" i="93" s="1"/>
  <c r="Q22" i="93"/>
  <c r="Q29" i="93"/>
  <c r="Q30" i="93"/>
  <c r="Q14" i="93"/>
  <c r="Q38" i="83"/>
  <c r="X35" i="97"/>
  <c r="X88" i="97" s="1"/>
  <c r="X49" i="97"/>
  <c r="X102" i="97" s="1"/>
  <c r="AC44" i="79"/>
  <c r="AC14" i="93"/>
  <c r="AD14" i="93" s="1"/>
  <c r="AC22" i="79"/>
  <c r="AC10" i="93"/>
  <c r="AD10" i="93" s="1"/>
  <c r="AC46" i="79"/>
  <c r="Q54" i="80"/>
  <c r="Q23" i="79"/>
  <c r="Q23" i="97" s="1"/>
  <c r="Q76" i="97" s="1"/>
  <c r="Q47" i="79"/>
  <c r="Q47" i="97" s="1"/>
  <c r="Q100" i="97" s="1"/>
  <c r="Q39" i="79"/>
  <c r="Q39" i="97" s="1"/>
  <c r="Q92" i="97" s="1"/>
  <c r="Q41" i="79"/>
  <c r="Q41" i="97" s="1"/>
  <c r="Q94" i="97" s="1"/>
  <c r="Q43" i="79"/>
  <c r="Q43" i="97" s="1"/>
  <c r="Q96" i="97" s="1"/>
  <c r="P54" i="80"/>
  <c r="M54" i="93"/>
  <c r="U44" i="84"/>
  <c r="AI20" i="93"/>
  <c r="AI27" i="93"/>
  <c r="AI35" i="93"/>
  <c r="AI16" i="93"/>
  <c r="AI47" i="93"/>
  <c r="AI14" i="93"/>
  <c r="AI30" i="93"/>
  <c r="AI17" i="93"/>
  <c r="AI23" i="93"/>
  <c r="AI32" i="93"/>
  <c r="AI44" i="93"/>
  <c r="AI52" i="93"/>
  <c r="X32" i="94"/>
  <c r="Y32" i="94" s="1"/>
  <c r="Q37" i="83"/>
  <c r="AC25" i="79"/>
  <c r="AC19" i="93"/>
  <c r="AD19" i="93" s="1"/>
  <c r="AH5" i="79"/>
  <c r="AD5" i="97" s="1"/>
  <c r="AD58" i="97" s="1"/>
  <c r="AH5" i="93"/>
  <c r="Q49" i="93"/>
  <c r="Q26" i="93"/>
  <c r="Q35" i="93"/>
  <c r="AI41" i="93"/>
  <c r="AI15" i="93"/>
  <c r="AI34" i="93"/>
  <c r="AI43" i="93"/>
  <c r="X26" i="94"/>
  <c r="Y26" i="94" s="1"/>
  <c r="L11" i="100"/>
  <c r="AA20" i="97"/>
  <c r="AA73" i="97" s="1"/>
  <c r="N9" i="99"/>
  <c r="N11" i="99"/>
  <c r="V25" i="80"/>
  <c r="V31" i="80"/>
  <c r="AB31" i="80" s="1"/>
  <c r="V45" i="80"/>
  <c r="AB45" i="80" s="1"/>
  <c r="V52" i="80"/>
  <c r="AB52" i="80" s="1"/>
  <c r="AC24" i="93"/>
  <c r="AD24" i="93" s="1"/>
  <c r="X46" i="97"/>
  <c r="X99" i="97" s="1"/>
  <c r="AB25" i="78"/>
  <c r="Q5" i="79"/>
  <c r="Q5" i="93"/>
  <c r="Q28" i="79"/>
  <c r="Q28" i="97" s="1"/>
  <c r="Q81" i="97" s="1"/>
  <c r="T27" i="97"/>
  <c r="T80" i="97" s="1"/>
  <c r="X20" i="83"/>
  <c r="Y20" i="83" s="1"/>
  <c r="AB13" i="83"/>
  <c r="Q5" i="83"/>
  <c r="AC40" i="79"/>
  <c r="AC13" i="93"/>
  <c r="AD13" i="93" s="1"/>
  <c r="AC17" i="79"/>
  <c r="AC51" i="93"/>
  <c r="AD51" i="93" s="1"/>
  <c r="V41" i="80"/>
  <c r="AB41" i="80" s="1"/>
  <c r="AB46" i="78"/>
  <c r="V46" i="80"/>
  <c r="AB46" i="80" s="1"/>
  <c r="V47" i="80"/>
  <c r="V22" i="80"/>
  <c r="AB22" i="80" s="1"/>
  <c r="V18" i="80"/>
  <c r="AB18" i="80" s="1"/>
  <c r="AB34" i="78"/>
  <c r="V34" i="80"/>
  <c r="AB34" i="80" s="1"/>
  <c r="V21" i="80"/>
  <c r="AB21" i="80" s="1"/>
  <c r="Q32" i="83"/>
  <c r="Q16" i="83"/>
  <c r="AC32" i="79"/>
  <c r="AC34" i="93"/>
  <c r="AD34" i="93" s="1"/>
  <c r="W54" i="80"/>
  <c r="Q38" i="79"/>
  <c r="Q38" i="97" s="1"/>
  <c r="Q91" i="97" s="1"/>
  <c r="Q13" i="79"/>
  <c r="Q13" i="97" s="1"/>
  <c r="Q66" i="97" s="1"/>
  <c r="AB41" i="78"/>
  <c r="AD54" i="78"/>
  <c r="AC35" i="79"/>
  <c r="AC12" i="93"/>
  <c r="AD12" i="93" s="1"/>
  <c r="X40" i="84"/>
  <c r="Y40" i="84" s="1"/>
  <c r="AB40" i="84" s="1"/>
  <c r="S30" i="107" s="1"/>
  <c r="AB32" i="83"/>
  <c r="X6" i="83"/>
  <c r="Y6" i="83" s="1"/>
  <c r="AB6" i="83" s="1"/>
  <c r="X30" i="83"/>
  <c r="Y30" i="83" s="1"/>
  <c r="AC15" i="93"/>
  <c r="AD15" i="93" s="1"/>
  <c r="AC13" i="79"/>
  <c r="AC48" i="93"/>
  <c r="AD48" i="93" s="1"/>
  <c r="AC23" i="79"/>
  <c r="AC51" i="79"/>
  <c r="X29" i="97"/>
  <c r="X82" i="97" s="1"/>
  <c r="Q10" i="79"/>
  <c r="Q10" i="97" s="1"/>
  <c r="Q63" i="97" s="1"/>
  <c r="Q8" i="79"/>
  <c r="Q8" i="97" s="1"/>
  <c r="Q61" i="97" s="1"/>
  <c r="Q20" i="79"/>
  <c r="Q20" i="97" s="1"/>
  <c r="Q73" i="97" s="1"/>
  <c r="Q48" i="79"/>
  <c r="Q48" i="97" s="1"/>
  <c r="Q101" i="97" s="1"/>
  <c r="Q32" i="79"/>
  <c r="Q32" i="97" s="1"/>
  <c r="Q85" i="97" s="1"/>
  <c r="Q24" i="79"/>
  <c r="Q24" i="97" s="1"/>
  <c r="Q77" i="97" s="1"/>
  <c r="W22" i="83"/>
  <c r="W44" i="82"/>
  <c r="W19" i="83"/>
  <c r="W10" i="83"/>
  <c r="T44" i="97"/>
  <c r="T97" i="97" s="1"/>
  <c r="O44" i="84"/>
  <c r="W42" i="83"/>
  <c r="AB42" i="83" s="1"/>
  <c r="AI19" i="79"/>
  <c r="AE19" i="97" s="1"/>
  <c r="AE72" i="97" s="1"/>
  <c r="AI31" i="79"/>
  <c r="AE31" i="97" s="1"/>
  <c r="AE84" i="97" s="1"/>
  <c r="AI22" i="79"/>
  <c r="AE22" i="97" s="1"/>
  <c r="AE75" i="97" s="1"/>
  <c r="AI9" i="79"/>
  <c r="AE9" i="97" s="1"/>
  <c r="AE62" i="97" s="1"/>
  <c r="AI6" i="79"/>
  <c r="V33" i="80"/>
  <c r="AB33" i="80" s="1"/>
  <c r="V23" i="80"/>
  <c r="AB23" i="80" s="1"/>
  <c r="V32" i="80"/>
  <c r="AB32" i="80" s="1"/>
  <c r="V54" i="78"/>
  <c r="V59" i="78" s="1"/>
  <c r="V24" i="79" s="1"/>
  <c r="V6" i="80"/>
  <c r="AB6" i="80" s="1"/>
  <c r="V43" i="80"/>
  <c r="AB43" i="80" s="1"/>
  <c r="V26" i="93"/>
  <c r="V26" i="80"/>
  <c r="V49" i="80"/>
  <c r="AB49" i="80" s="1"/>
  <c r="V8" i="80"/>
  <c r="AB8" i="80" s="1"/>
  <c r="V11" i="93"/>
  <c r="V11" i="80"/>
  <c r="AB11" i="80" s="1"/>
  <c r="AB28" i="78"/>
  <c r="V28" i="80"/>
  <c r="AB28" i="80" s="1"/>
  <c r="V48" i="80"/>
  <c r="AB48" i="80" s="1"/>
  <c r="V12" i="93"/>
  <c r="AB12" i="93" s="1"/>
  <c r="V12" i="80"/>
  <c r="AB12" i="80" s="1"/>
  <c r="Q9" i="83"/>
  <c r="X17" i="94"/>
  <c r="Y17" i="94" s="1"/>
  <c r="AC34" i="79"/>
  <c r="AC50" i="93"/>
  <c r="AD50" i="93" s="1"/>
  <c r="P44" i="94"/>
  <c r="Q19" i="79"/>
  <c r="Q19" i="97" s="1"/>
  <c r="Q72" i="97" s="1"/>
  <c r="W37" i="83"/>
  <c r="M44" i="84"/>
  <c r="M5" i="98"/>
  <c r="M48" i="98" s="1"/>
  <c r="S12" i="98"/>
  <c r="S55" i="98" s="1"/>
  <c r="AI49" i="79"/>
  <c r="AE49" i="97" s="1"/>
  <c r="AE102" i="97" s="1"/>
  <c r="X22" i="94"/>
  <c r="Y22" i="94" s="1"/>
  <c r="AD6" i="80"/>
  <c r="AC54" i="80"/>
  <c r="AC30" i="79"/>
  <c r="AC26" i="93"/>
  <c r="AD26" i="93" s="1"/>
  <c r="AC12" i="79"/>
  <c r="AC28" i="93"/>
  <c r="AD28" i="93" s="1"/>
  <c r="AC18" i="79"/>
  <c r="AC39" i="93"/>
  <c r="AD39" i="93" s="1"/>
  <c r="J9" i="100"/>
  <c r="J7" i="100"/>
  <c r="J13" i="100" s="1"/>
  <c r="J11" i="100"/>
  <c r="W8" i="93"/>
  <c r="W50" i="93"/>
  <c r="W42" i="93"/>
  <c r="W11" i="93"/>
  <c r="W46" i="93"/>
  <c r="W41" i="93"/>
  <c r="W25" i="93"/>
  <c r="W33" i="93"/>
  <c r="Q46" i="79"/>
  <c r="Q46" i="97" s="1"/>
  <c r="Q99" i="97" s="1"/>
  <c r="Q9" i="79"/>
  <c r="Q9" i="97" s="1"/>
  <c r="Q62" i="97" s="1"/>
  <c r="Q15" i="79"/>
  <c r="Q15" i="97" s="1"/>
  <c r="Q68" i="97" s="1"/>
  <c r="P9" i="99"/>
  <c r="P7" i="99"/>
  <c r="P13" i="99" s="1"/>
  <c r="P11" i="99"/>
  <c r="O5" i="97"/>
  <c r="O58" i="97" s="1"/>
  <c r="O54" i="79"/>
  <c r="W5" i="97"/>
  <c r="W58" i="97" s="1"/>
  <c r="X54" i="79"/>
  <c r="Q22" i="94"/>
  <c r="Q6" i="94"/>
  <c r="Q28" i="94"/>
  <c r="Q12" i="94"/>
  <c r="T21" i="97"/>
  <c r="T74" i="97" s="1"/>
  <c r="AB22" i="78"/>
  <c r="AI11" i="93"/>
  <c r="AI45" i="93"/>
  <c r="AI42" i="93"/>
  <c r="AI24" i="93"/>
  <c r="AI39" i="93"/>
  <c r="AI25" i="93"/>
  <c r="AI7" i="93"/>
  <c r="AI46" i="93"/>
  <c r="AI38" i="93"/>
  <c r="AI29" i="93"/>
  <c r="X11" i="94"/>
  <c r="Y11" i="94" s="1"/>
  <c r="X23" i="94"/>
  <c r="Y23" i="94" s="1"/>
  <c r="AC7" i="93"/>
  <c r="AD7" i="93" s="1"/>
  <c r="AC11" i="79"/>
  <c r="AC47" i="93"/>
  <c r="AD47" i="93" s="1"/>
  <c r="AH39" i="79"/>
  <c r="AD39" i="97" s="1"/>
  <c r="AD92" i="97" s="1"/>
  <c r="AH45" i="79"/>
  <c r="AD45" i="97" s="1"/>
  <c r="AD98" i="97" s="1"/>
  <c r="W5" i="84"/>
  <c r="W44" i="84" s="1"/>
  <c r="AB49" i="78"/>
  <c r="W25" i="83"/>
  <c r="X34" i="94"/>
  <c r="Y34" i="94" s="1"/>
  <c r="AC16" i="93"/>
  <c r="AD16" i="93" s="1"/>
  <c r="AC14" i="79"/>
  <c r="AC49" i="93"/>
  <c r="AD49" i="93" s="1"/>
  <c r="AC10" i="79"/>
  <c r="AC29" i="93"/>
  <c r="AD29" i="93" s="1"/>
  <c r="AH26" i="79"/>
  <c r="AD26" i="97" s="1"/>
  <c r="AD79" i="97" s="1"/>
  <c r="AH49" i="79"/>
  <c r="AD49" i="97" s="1"/>
  <c r="AD102" i="97" s="1"/>
  <c r="AH43" i="79"/>
  <c r="AD43" i="97" s="1"/>
  <c r="AD96" i="97" s="1"/>
  <c r="AH15" i="79"/>
  <c r="AD15" i="97" s="1"/>
  <c r="AD68" i="97" s="1"/>
  <c r="AH48" i="79"/>
  <c r="AD48" i="97" s="1"/>
  <c r="AD101" i="97" s="1"/>
  <c r="AH41" i="79"/>
  <c r="AD41" i="97" s="1"/>
  <c r="AD94" i="97" s="1"/>
  <c r="AH27" i="79"/>
  <c r="AD27" i="97" s="1"/>
  <c r="AD80" i="97" s="1"/>
  <c r="AH35" i="79"/>
  <c r="AD35" i="97" s="1"/>
  <c r="AD88" i="97" s="1"/>
  <c r="W14" i="79"/>
  <c r="V14" i="97" s="1"/>
  <c r="V67" i="97" s="1"/>
  <c r="W52" i="79"/>
  <c r="V52" i="97" s="1"/>
  <c r="V105" i="97" s="1"/>
  <c r="W47" i="79"/>
  <c r="V47" i="97" s="1"/>
  <c r="V100" i="97" s="1"/>
  <c r="W7" i="79"/>
  <c r="V7" i="97" s="1"/>
  <c r="V60" i="97" s="1"/>
  <c r="W30" i="79"/>
  <c r="V30" i="97" s="1"/>
  <c r="V83" i="97" s="1"/>
  <c r="W35" i="79"/>
  <c r="V35" i="97" s="1"/>
  <c r="V88" i="97" s="1"/>
  <c r="L5" i="79"/>
  <c r="L5" i="93"/>
  <c r="L44" i="79"/>
  <c r="L44" i="97" s="1"/>
  <c r="L97" i="97" s="1"/>
  <c r="Q6" i="93"/>
  <c r="Q34" i="93"/>
  <c r="Q28" i="93"/>
  <c r="Q18" i="93"/>
  <c r="Q27" i="93"/>
  <c r="Q23" i="93"/>
  <c r="Q47" i="93"/>
  <c r="Q39" i="93"/>
  <c r="Q41" i="93"/>
  <c r="Q43" i="93"/>
  <c r="M5" i="97"/>
  <c r="M58" i="97" s="1"/>
  <c r="M54" i="79"/>
  <c r="AB5" i="80"/>
  <c r="Q30" i="94"/>
  <c r="Q38" i="94"/>
  <c r="Q32" i="94"/>
  <c r="Q24" i="94"/>
  <c r="U44" i="83"/>
  <c r="U5" i="79"/>
  <c r="U5" i="93"/>
  <c r="T6" i="97"/>
  <c r="T59" i="97" s="1"/>
  <c r="U48" i="93"/>
  <c r="U37" i="79"/>
  <c r="T37" i="97" s="1"/>
  <c r="T90" i="97" s="1"/>
  <c r="U13" i="79"/>
  <c r="U45" i="93"/>
  <c r="U50" i="93"/>
  <c r="U20" i="93"/>
  <c r="Q28" i="83"/>
  <c r="AB28" i="83" s="1"/>
  <c r="X15" i="94"/>
  <c r="Y15" i="94" s="1"/>
  <c r="X8" i="94"/>
  <c r="Y8" i="94" s="1"/>
  <c r="AC19" i="79"/>
  <c r="AC33" i="93"/>
  <c r="AD33" i="93" s="1"/>
  <c r="AH18" i="79"/>
  <c r="AD18" i="97" s="1"/>
  <c r="AD71" i="97" s="1"/>
  <c r="AH54" i="80"/>
  <c r="AH36" i="79"/>
  <c r="AD36" i="97" s="1"/>
  <c r="AD89" i="97" s="1"/>
  <c r="W38" i="93"/>
  <c r="W45" i="93"/>
  <c r="W29" i="93"/>
  <c r="W49" i="93"/>
  <c r="L35" i="79"/>
  <c r="L35" i="97" s="1"/>
  <c r="L88" i="97" s="1"/>
  <c r="L14" i="79"/>
  <c r="L14" i="97" s="1"/>
  <c r="L67" i="97" s="1"/>
  <c r="R59" i="78"/>
  <c r="S59" i="78"/>
  <c r="W9" i="83"/>
  <c r="Q18" i="94"/>
  <c r="Q20" i="94"/>
  <c r="Q14" i="94"/>
  <c r="Q36" i="94"/>
  <c r="U32" i="79"/>
  <c r="T32" i="97" s="1"/>
  <c r="T85" i="97" s="1"/>
  <c r="U26" i="79"/>
  <c r="T26" i="97" s="1"/>
  <c r="T79" i="97" s="1"/>
  <c r="U31" i="93"/>
  <c r="W31" i="83"/>
  <c r="Q30" i="83"/>
  <c r="Q23" i="83"/>
  <c r="AB23" i="83" s="1"/>
  <c r="B7" i="100"/>
  <c r="B13" i="100" s="1"/>
  <c r="L9" i="100"/>
  <c r="AB14" i="83"/>
  <c r="T8" i="97"/>
  <c r="T61" i="97" s="1"/>
  <c r="O5" i="98"/>
  <c r="O48" i="98" s="1"/>
  <c r="V36" i="93"/>
  <c r="AB36" i="93" s="1"/>
  <c r="V36" i="80"/>
  <c r="V7" i="93"/>
  <c r="AB7" i="93" s="1"/>
  <c r="V7" i="80"/>
  <c r="AB7" i="80" s="1"/>
  <c r="AB9" i="78"/>
  <c r="V9" i="80"/>
  <c r="AB9" i="80" s="1"/>
  <c r="V13" i="79"/>
  <c r="V13" i="80"/>
  <c r="AB13" i="80" s="1"/>
  <c r="X29" i="94"/>
  <c r="Y29" i="94" s="1"/>
  <c r="AC27" i="79"/>
  <c r="AC35" i="93"/>
  <c r="AD35" i="93" s="1"/>
  <c r="AC36" i="93"/>
  <c r="AD36" i="93" s="1"/>
  <c r="AC41" i="79"/>
  <c r="AC22" i="93"/>
  <c r="AD22" i="93" s="1"/>
  <c r="Q12" i="79"/>
  <c r="Q12" i="97" s="1"/>
  <c r="Q65" i="97" s="1"/>
  <c r="Q27" i="79"/>
  <c r="Q27" i="97" s="1"/>
  <c r="Q80" i="97" s="1"/>
  <c r="I9" i="100"/>
  <c r="I11" i="100"/>
  <c r="AB45" i="78"/>
  <c r="Q44" i="82"/>
  <c r="AC8" i="79"/>
  <c r="AC23" i="93"/>
  <c r="AD23" i="93" s="1"/>
  <c r="X44" i="97"/>
  <c r="X97" i="97" s="1"/>
  <c r="V40" i="93"/>
  <c r="V40" i="80"/>
  <c r="AB40" i="80" s="1"/>
  <c r="V40" i="79"/>
  <c r="V16" i="80"/>
  <c r="AB16" i="80" s="1"/>
  <c r="V16" i="79"/>
  <c r="AB51" i="78"/>
  <c r="V51" i="79"/>
  <c r="V51" i="80"/>
  <c r="AB51" i="80" s="1"/>
  <c r="AB42" i="78"/>
  <c r="V42" i="79"/>
  <c r="AB42" i="79" s="1"/>
  <c r="V42" i="80"/>
  <c r="AB42" i="80" s="1"/>
  <c r="X27" i="94"/>
  <c r="Y27" i="94" s="1"/>
  <c r="M44" i="94"/>
  <c r="AC30" i="93"/>
  <c r="AD30" i="93" s="1"/>
  <c r="E29" i="5"/>
  <c r="AM56" i="93" s="1"/>
  <c r="X40" i="83"/>
  <c r="Y40" i="83" s="1"/>
  <c r="AB40" i="83" s="1"/>
  <c r="AB24" i="83"/>
  <c r="X14" i="84"/>
  <c r="Y14" i="84" s="1"/>
  <c r="AB14" i="84" s="1"/>
  <c r="AB22" i="83"/>
  <c r="AB8" i="83"/>
  <c r="X27" i="83"/>
  <c r="Y27" i="83" s="1"/>
  <c r="AB27" i="83" s="1"/>
  <c r="X37" i="84"/>
  <c r="Y37" i="84" s="1"/>
  <c r="AB37" i="84" s="1"/>
  <c r="S28" i="107" s="1"/>
  <c r="AC15" i="79"/>
  <c r="AC43" i="93"/>
  <c r="AD43" i="93" s="1"/>
  <c r="AC48" i="79"/>
  <c r="AC37" i="93"/>
  <c r="AD37" i="93" s="1"/>
  <c r="AC9" i="79"/>
  <c r="AC9" i="93"/>
  <c r="AD9" i="93" s="1"/>
  <c r="AC20" i="93"/>
  <c r="AD20" i="93" s="1"/>
  <c r="G9" i="100"/>
  <c r="G7" i="100"/>
  <c r="G13" i="100" s="1"/>
  <c r="G11" i="100"/>
  <c r="X14" i="97"/>
  <c r="X67" i="97" s="1"/>
  <c r="X42" i="97"/>
  <c r="X95" i="97" s="1"/>
  <c r="Q17" i="79"/>
  <c r="Q17" i="97" s="1"/>
  <c r="Q70" i="97" s="1"/>
  <c r="Q11" i="79"/>
  <c r="Q11" i="97" s="1"/>
  <c r="Q64" i="97" s="1"/>
  <c r="Q16" i="79"/>
  <c r="Q16" i="97" s="1"/>
  <c r="Q69" i="97" s="1"/>
  <c r="Q44" i="79"/>
  <c r="Q44" i="97" s="1"/>
  <c r="Q97" i="97" s="1"/>
  <c r="Q51" i="79"/>
  <c r="Q51" i="97" s="1"/>
  <c r="Q104" i="97" s="1"/>
  <c r="Q31" i="79"/>
  <c r="Q31" i="97" s="1"/>
  <c r="Q84" i="97" s="1"/>
  <c r="W11" i="83"/>
  <c r="Y54" i="93"/>
  <c r="B14" i="100"/>
  <c r="AB10" i="78"/>
  <c r="T52" i="97"/>
  <c r="T105" i="97" s="1"/>
  <c r="AB36" i="80"/>
  <c r="T46" i="97"/>
  <c r="T99" i="97" s="1"/>
  <c r="T38" i="97"/>
  <c r="T91" i="97" s="1"/>
  <c r="T34" i="97"/>
  <c r="T87" i="97" s="1"/>
  <c r="T28" i="97"/>
  <c r="T81" i="97" s="1"/>
  <c r="O14" i="98"/>
  <c r="O57" i="98" s="1"/>
  <c r="O44" i="94"/>
  <c r="AI5" i="79"/>
  <c r="AE5" i="97" s="1"/>
  <c r="AE58" i="97" s="1"/>
  <c r="AI5" i="93"/>
  <c r="AI10" i="79"/>
  <c r="AE10" i="97" s="1"/>
  <c r="AE63" i="97" s="1"/>
  <c r="AI21" i="79"/>
  <c r="AE21" i="97" s="1"/>
  <c r="AE74" i="97" s="1"/>
  <c r="AI37" i="79"/>
  <c r="AE37" i="97" s="1"/>
  <c r="AE90" i="97" s="1"/>
  <c r="V44" i="93"/>
  <c r="AB44" i="93" s="1"/>
  <c r="V44" i="80"/>
  <c r="AB44" i="80" s="1"/>
  <c r="V44" i="79"/>
  <c r="AB50" i="78"/>
  <c r="V50" i="93"/>
  <c r="V50" i="80"/>
  <c r="AB50" i="80" s="1"/>
  <c r="V50" i="79"/>
  <c r="AB17" i="78"/>
  <c r="V17" i="93"/>
  <c r="V17" i="80"/>
  <c r="AB17" i="80" s="1"/>
  <c r="V17" i="79"/>
  <c r="V35" i="80"/>
  <c r="AB35" i="80" s="1"/>
  <c r="V35" i="79"/>
  <c r="V15" i="93"/>
  <c r="V15" i="80"/>
  <c r="AB15" i="80" s="1"/>
  <c r="V15" i="79"/>
  <c r="AB15" i="79" s="1"/>
  <c r="AB39" i="78"/>
  <c r="V39" i="80"/>
  <c r="AB39" i="80" s="1"/>
  <c r="V39" i="79"/>
  <c r="V27" i="79"/>
  <c r="AB27" i="79" s="1"/>
  <c r="V27" i="80"/>
  <c r="AB27" i="80" s="1"/>
  <c r="V19" i="79"/>
  <c r="AB19" i="79" s="1"/>
  <c r="V19" i="80"/>
  <c r="AB19" i="80" s="1"/>
  <c r="V37" i="80"/>
  <c r="V37" i="79"/>
  <c r="AB37" i="79" s="1"/>
  <c r="AB38" i="78"/>
  <c r="V38" i="79"/>
  <c r="V38" i="80"/>
  <c r="AB38" i="80" s="1"/>
  <c r="AB30" i="78"/>
  <c r="V30" i="79"/>
  <c r="AB30" i="79" s="1"/>
  <c r="V30" i="80"/>
  <c r="AB30" i="80" s="1"/>
  <c r="AB20" i="78"/>
  <c r="V20" i="80"/>
  <c r="AB20" i="80" s="1"/>
  <c r="V20" i="79"/>
  <c r="X28" i="94"/>
  <c r="Y28" i="94" s="1"/>
  <c r="Q15" i="83"/>
  <c r="AB15" i="83" s="1"/>
  <c r="Q41" i="83"/>
  <c r="AB41" i="83" s="1"/>
  <c r="Q25" i="83"/>
  <c r="AB25" i="83" s="1"/>
  <c r="AC50" i="79"/>
  <c r="AC42" i="93"/>
  <c r="AD42" i="93" s="1"/>
  <c r="P44" i="84"/>
  <c r="P5" i="98"/>
  <c r="P48" i="98" s="1"/>
  <c r="W5" i="79"/>
  <c r="W5" i="93"/>
  <c r="Q38" i="93"/>
  <c r="Q33" i="93"/>
  <c r="Q13" i="93"/>
  <c r="Q19" i="93"/>
  <c r="M44" i="83"/>
  <c r="T30" i="97"/>
  <c r="T83" i="97" s="1"/>
  <c r="W38" i="83"/>
  <c r="AI13" i="93"/>
  <c r="AI50" i="93"/>
  <c r="AI40" i="93"/>
  <c r="Q31" i="83"/>
  <c r="AB31" i="83" s="1"/>
  <c r="AC6" i="79"/>
  <c r="AC6" i="93"/>
  <c r="AD6" i="93" s="1"/>
  <c r="AC26" i="79"/>
  <c r="AC27" i="93"/>
  <c r="AD27" i="93" s="1"/>
  <c r="AC28" i="79"/>
  <c r="AC39" i="79"/>
  <c r="W24" i="93"/>
  <c r="W26" i="93"/>
  <c r="AB26" i="93" s="1"/>
  <c r="W13" i="93"/>
  <c r="Q50" i="93"/>
  <c r="Q42" i="93"/>
  <c r="Q46" i="93"/>
  <c r="Q9" i="93"/>
  <c r="Q52" i="93"/>
  <c r="Q36" i="93"/>
  <c r="Q21" i="93"/>
  <c r="Q37" i="93"/>
  <c r="Q15" i="93"/>
  <c r="W34" i="83"/>
  <c r="AB34" i="83" s="1"/>
  <c r="M6" i="98"/>
  <c r="M49" i="98" s="1"/>
  <c r="S27" i="98"/>
  <c r="S70" i="98" s="1"/>
  <c r="S24" i="98"/>
  <c r="S67" i="98" s="1"/>
  <c r="I7" i="100" s="1"/>
  <c r="I13" i="100" s="1"/>
  <c r="AB29" i="78"/>
  <c r="AB25" i="80"/>
  <c r="AB47" i="80"/>
  <c r="AB21" i="78"/>
  <c r="T22" i="97"/>
  <c r="T75" i="97" s="1"/>
  <c r="AB33" i="78"/>
  <c r="X18" i="94"/>
  <c r="Y18" i="94" s="1"/>
  <c r="Q35" i="83"/>
  <c r="AB35" i="83" s="1"/>
  <c r="Q17" i="83"/>
  <c r="AD54" i="80"/>
  <c r="AC21" i="93"/>
  <c r="AD21" i="93" s="1"/>
  <c r="AC47" i="79"/>
  <c r="AH39" i="93"/>
  <c r="AH45" i="93"/>
  <c r="AH34" i="93"/>
  <c r="AH28" i="93"/>
  <c r="W44" i="79"/>
  <c r="V44" i="97" s="1"/>
  <c r="V97" i="97" s="1"/>
  <c r="W40" i="79"/>
  <c r="V40" i="97" s="1"/>
  <c r="V93" i="97" s="1"/>
  <c r="W22" i="79"/>
  <c r="V22" i="97" s="1"/>
  <c r="V75" i="97" s="1"/>
  <c r="Q22" i="79"/>
  <c r="Q22" i="97" s="1"/>
  <c r="Q75" i="97" s="1"/>
  <c r="Q29" i="79"/>
  <c r="Q29" i="97" s="1"/>
  <c r="Q82" i="97" s="1"/>
  <c r="Q30" i="79"/>
  <c r="Q30" i="97" s="1"/>
  <c r="Q83" i="97" s="1"/>
  <c r="Y54" i="79"/>
  <c r="AB23" i="78"/>
  <c r="AI51" i="79"/>
  <c r="AE51" i="97" s="1"/>
  <c r="AE104" i="97" s="1"/>
  <c r="AI8" i="79"/>
  <c r="AE8" i="97" s="1"/>
  <c r="AE61" i="97" s="1"/>
  <c r="AI26" i="79"/>
  <c r="AE26" i="97" s="1"/>
  <c r="AE79" i="97" s="1"/>
  <c r="Q20" i="83"/>
  <c r="X32" i="97"/>
  <c r="X85" i="97" s="1"/>
  <c r="AC16" i="79"/>
  <c r="AC52" i="93"/>
  <c r="AD52" i="93" s="1"/>
  <c r="AC49" i="79"/>
  <c r="AC41" i="93"/>
  <c r="AD41" i="93" s="1"/>
  <c r="AC29" i="79"/>
  <c r="AC38" i="93"/>
  <c r="AD38" i="93" s="1"/>
  <c r="AH9" i="79"/>
  <c r="AD9" i="97" s="1"/>
  <c r="AD62" i="97" s="1"/>
  <c r="AH8" i="79"/>
  <c r="AD8" i="97" s="1"/>
  <c r="AD61" i="97" s="1"/>
  <c r="AH24" i="79"/>
  <c r="AD24" i="97" s="1"/>
  <c r="AD77" i="97" s="1"/>
  <c r="AH11" i="79"/>
  <c r="AD11" i="97" s="1"/>
  <c r="AD64" i="97" s="1"/>
  <c r="W18" i="79"/>
  <c r="V18" i="97" s="1"/>
  <c r="V71" i="97" s="1"/>
  <c r="W34" i="79"/>
  <c r="V34" i="97" s="1"/>
  <c r="V87" i="97" s="1"/>
  <c r="W32" i="79"/>
  <c r="V32" i="97" s="1"/>
  <c r="V85" i="97" s="1"/>
  <c r="W16" i="79"/>
  <c r="V16" i="97" s="1"/>
  <c r="V69" i="97" s="1"/>
  <c r="W31" i="79"/>
  <c r="V31" i="97" s="1"/>
  <c r="V84" i="97" s="1"/>
  <c r="W39" i="79"/>
  <c r="V39" i="97" s="1"/>
  <c r="V92" i="97" s="1"/>
  <c r="L52" i="93"/>
  <c r="L33" i="93"/>
  <c r="L9" i="93"/>
  <c r="L20" i="93"/>
  <c r="L34" i="93"/>
  <c r="L28" i="93"/>
  <c r="L31" i="93"/>
  <c r="L39" i="93"/>
  <c r="L27" i="93"/>
  <c r="L54" i="80"/>
  <c r="Q6" i="79"/>
  <c r="Q6" i="97" s="1"/>
  <c r="Q59" i="97" s="1"/>
  <c r="Q12" i="93"/>
  <c r="Q40" i="93"/>
  <c r="O9" i="99"/>
  <c r="O11" i="99"/>
  <c r="O7" i="99"/>
  <c r="O13" i="99" s="1"/>
  <c r="P5" i="79"/>
  <c r="P5" i="93"/>
  <c r="P46" i="93"/>
  <c r="U44" i="94"/>
  <c r="U54" i="80"/>
  <c r="U48" i="79"/>
  <c r="U27" i="93"/>
  <c r="T42" i="97"/>
  <c r="T95" i="97" s="1"/>
  <c r="U17" i="93"/>
  <c r="AB37" i="80"/>
  <c r="AB13" i="78"/>
  <c r="U45" i="79"/>
  <c r="U43" i="93"/>
  <c r="U51" i="93"/>
  <c r="W26" i="83"/>
  <c r="AI20" i="79"/>
  <c r="AE20" i="97" s="1"/>
  <c r="AE73" i="97" s="1"/>
  <c r="AI27" i="79"/>
  <c r="AE27" i="97" s="1"/>
  <c r="AE80" i="97" s="1"/>
  <c r="AI35" i="79"/>
  <c r="AE35" i="97" s="1"/>
  <c r="AE88" i="97" s="1"/>
  <c r="AI47" i="79"/>
  <c r="AE47" i="97" s="1"/>
  <c r="AE100" i="97" s="1"/>
  <c r="AI14" i="79"/>
  <c r="AE14" i="97" s="1"/>
  <c r="AE67" i="97" s="1"/>
  <c r="AI30" i="79"/>
  <c r="AE30" i="97" s="1"/>
  <c r="AE83" i="97" s="1"/>
  <c r="AI52" i="79"/>
  <c r="AE52" i="97" s="1"/>
  <c r="AE105" i="97" s="1"/>
  <c r="Q36" i="83"/>
  <c r="AB36" i="83" s="1"/>
  <c r="AB33" i="82"/>
  <c r="X25" i="94"/>
  <c r="Y25" i="94" s="1"/>
  <c r="AC33" i="79"/>
  <c r="AH18" i="93"/>
  <c r="AH14" i="93"/>
  <c r="AH6" i="79"/>
  <c r="AD6" i="97" s="1"/>
  <c r="AD59" i="97" s="1"/>
  <c r="L15" i="79"/>
  <c r="L15" i="97" s="1"/>
  <c r="L68" i="97" s="1"/>
  <c r="L41" i="79"/>
  <c r="L41" i="97" s="1"/>
  <c r="L94" i="97" s="1"/>
  <c r="Q49" i="79"/>
  <c r="Q49" i="97" s="1"/>
  <c r="Q102" i="97" s="1"/>
  <c r="Q26" i="79"/>
  <c r="Q26" i="97" s="1"/>
  <c r="Q79" i="97" s="1"/>
  <c r="Q35" i="79"/>
  <c r="Q35" i="97" s="1"/>
  <c r="Q88" i="97" s="1"/>
  <c r="R54" i="80"/>
  <c r="P21" i="79"/>
  <c r="P21" i="97" s="1"/>
  <c r="P74" i="97" s="1"/>
  <c r="P40" i="79"/>
  <c r="P40" i="97" s="1"/>
  <c r="P93" i="97" s="1"/>
  <c r="P13" i="79"/>
  <c r="P13" i="97" s="1"/>
  <c r="P66" i="97" s="1"/>
  <c r="U16" i="93"/>
  <c r="AB26" i="80"/>
  <c r="AB31" i="78"/>
  <c r="U40" i="93"/>
  <c r="AI34" i="79"/>
  <c r="AE34" i="97" s="1"/>
  <c r="AE87" i="97" s="1"/>
  <c r="AI43" i="79"/>
  <c r="AE43" i="97" s="1"/>
  <c r="AE96" i="97" s="1"/>
  <c r="X9" i="94"/>
  <c r="Y9" i="94" s="1"/>
  <c r="X41" i="94"/>
  <c r="Y41" i="94" s="1"/>
  <c r="Y34" i="84"/>
  <c r="AB34" i="84" s="1"/>
  <c r="U34" i="98"/>
  <c r="U77" i="98" s="1"/>
  <c r="Y36" i="84"/>
  <c r="AB36" i="84" s="1"/>
  <c r="S27" i="107" s="1"/>
  <c r="U36" i="98"/>
  <c r="U79" i="98" s="1"/>
  <c r="Y11" i="84"/>
  <c r="AB11" i="84" s="1"/>
  <c r="S9" i="107" s="1"/>
  <c r="Y39" i="84"/>
  <c r="AB39" i="84" s="1"/>
  <c r="S31" i="107" s="1"/>
  <c r="Y31" i="84"/>
  <c r="AB31" i="84" s="1"/>
  <c r="S24" i="107" s="1"/>
  <c r="U31" i="98"/>
  <c r="U74" i="98" s="1"/>
  <c r="Y19" i="84"/>
  <c r="AB19" i="84" s="1"/>
  <c r="U19" i="98"/>
  <c r="U62" i="98" s="1"/>
  <c r="Y25" i="84"/>
  <c r="AB25" i="84" s="1"/>
  <c r="S17" i="107" s="1"/>
  <c r="U25" i="98"/>
  <c r="U68" i="98" s="1"/>
  <c r="Y42" i="84"/>
  <c r="AB42" i="84" s="1"/>
  <c r="S33" i="107" s="1"/>
  <c r="U42" i="98"/>
  <c r="U85" i="98" s="1"/>
  <c r="Y32" i="84"/>
  <c r="AB32" i="84" s="1"/>
  <c r="AJ32" i="94" s="1"/>
  <c r="U32" i="98"/>
  <c r="U75" i="98" s="1"/>
  <c r="Y9" i="84"/>
  <c r="AB9" i="84" s="1"/>
  <c r="S6" i="107" s="1"/>
  <c r="U9" i="98"/>
  <c r="U52" i="98" s="1"/>
  <c r="Y22" i="84"/>
  <c r="AB22" i="84" s="1"/>
  <c r="S13" i="107" s="1"/>
  <c r="U22" i="98"/>
  <c r="U65" i="98" s="1"/>
  <c r="Y41" i="84"/>
  <c r="AB41" i="84" s="1"/>
  <c r="S32" i="107" s="1"/>
  <c r="U41" i="98"/>
  <c r="U84" i="98" s="1"/>
  <c r="Y8" i="84"/>
  <c r="AB8" i="84" s="1"/>
  <c r="S5" i="107" s="1"/>
  <c r="U8" i="98"/>
  <c r="U51" i="98" s="1"/>
  <c r="Y21" i="84"/>
  <c r="AB21" i="84" s="1"/>
  <c r="S12" i="107" s="1"/>
  <c r="U21" i="98"/>
  <c r="U64" i="98" s="1"/>
  <c r="Y16" i="84"/>
  <c r="AB16" i="84" s="1"/>
  <c r="S8" i="107" s="1"/>
  <c r="U16" i="98"/>
  <c r="U59" i="98" s="1"/>
  <c r="Y35" i="84"/>
  <c r="AB35" i="84" s="1"/>
  <c r="U35" i="98"/>
  <c r="U78" i="98" s="1"/>
  <c r="Y26" i="84"/>
  <c r="AB26" i="84" s="1"/>
  <c r="S18" i="107" s="1"/>
  <c r="U26" i="98"/>
  <c r="U69" i="98" s="1"/>
  <c r="Y30" i="84"/>
  <c r="AB30" i="84" s="1"/>
  <c r="S23" i="107" s="1"/>
  <c r="Y29" i="84"/>
  <c r="AB29" i="84" s="1"/>
  <c r="S22" i="107" s="1"/>
  <c r="U29" i="98"/>
  <c r="U72" i="98" s="1"/>
  <c r="Y13" i="84"/>
  <c r="AB13" i="84" s="1"/>
  <c r="AJ13" i="94" s="1"/>
  <c r="U13" i="98"/>
  <c r="U56" i="98" s="1"/>
  <c r="Y24" i="84"/>
  <c r="AB24" i="84" s="1"/>
  <c r="AA675" i="87" s="1"/>
  <c r="AG675" i="87" s="1"/>
  <c r="U24" i="98"/>
  <c r="U67" i="98" s="1"/>
  <c r="Y15" i="84"/>
  <c r="AB15" i="84" s="1"/>
  <c r="U15" i="98"/>
  <c r="U58" i="98" s="1"/>
  <c r="Y23" i="84"/>
  <c r="AB23" i="84" s="1"/>
  <c r="S14" i="107" s="1"/>
  <c r="U23" i="98"/>
  <c r="U66" i="98" s="1"/>
  <c r="Y28" i="84"/>
  <c r="AB28" i="84" s="1"/>
  <c r="AJ28" i="94" s="1"/>
  <c r="U28" i="98"/>
  <c r="U71" i="98" s="1"/>
  <c r="Y27" i="84"/>
  <c r="AB27" i="84" s="1"/>
  <c r="S19" i="107" s="1"/>
  <c r="U27" i="98"/>
  <c r="U70" i="98" s="1"/>
  <c r="Y18" i="84"/>
  <c r="AB18" i="84" s="1"/>
  <c r="Y17" i="84"/>
  <c r="AB17" i="84" s="1"/>
  <c r="S10" i="107" s="1"/>
  <c r="AQ15" i="93"/>
  <c r="AA803" i="87"/>
  <c r="AA763" i="87"/>
  <c r="AG763" i="87" s="1"/>
  <c r="AA727" i="87"/>
  <c r="AG727" i="87" s="1"/>
  <c r="AA278" i="88"/>
  <c r="E46" i="5"/>
  <c r="AB46" i="94" s="1"/>
  <c r="Y46" i="84"/>
  <c r="Y46" i="83"/>
  <c r="Y46" i="81"/>
  <c r="Y46" i="82"/>
  <c r="X18" i="83"/>
  <c r="Y18" i="83" s="1"/>
  <c r="X11" i="83"/>
  <c r="Y11" i="83" s="1"/>
  <c r="AB11" i="83" s="1"/>
  <c r="X17" i="83"/>
  <c r="Y17" i="83" s="1"/>
  <c r="X37" i="83"/>
  <c r="Y37" i="83" s="1"/>
  <c r="AB37" i="83" s="1"/>
  <c r="X29" i="83"/>
  <c r="Y29" i="83" s="1"/>
  <c r="AB29" i="83" s="1"/>
  <c r="AM58" i="77"/>
  <c r="AG58" i="77"/>
  <c r="AG56" i="80"/>
  <c r="AG56" i="79"/>
  <c r="AG56" i="78"/>
  <c r="AB44" i="82"/>
  <c r="X5" i="83"/>
  <c r="X5" i="84"/>
  <c r="E47" i="5"/>
  <c r="Q44" i="84"/>
  <c r="X38" i="83"/>
  <c r="Y38" i="83" s="1"/>
  <c r="AB38" i="83" s="1"/>
  <c r="AA285" i="88" l="1"/>
  <c r="AA610" i="87"/>
  <c r="AG610" i="87" s="1"/>
  <c r="AA444" i="88"/>
  <c r="S26" i="107"/>
  <c r="S21" i="107"/>
  <c r="S16" i="107"/>
  <c r="G12" i="107"/>
  <c r="G7" i="107"/>
  <c r="AA434" i="88"/>
  <c r="AA609" i="87"/>
  <c r="AG609" i="87" s="1"/>
  <c r="AA284" i="88"/>
  <c r="AA607" i="87"/>
  <c r="AG607" i="87" s="1"/>
  <c r="AJ21" i="94"/>
  <c r="H15" i="100"/>
  <c r="AA657" i="87"/>
  <c r="AG657" i="87" s="1"/>
  <c r="AA319" i="88"/>
  <c r="AA704" i="87"/>
  <c r="AG704" i="87" s="1"/>
  <c r="AA438" i="88"/>
  <c r="AA746" i="87"/>
  <c r="AG746" i="87" s="1"/>
  <c r="AA345" i="88"/>
  <c r="AA354" i="88"/>
  <c r="AA363" i="88"/>
  <c r="AA360" i="88"/>
  <c r="AA762" i="87"/>
  <c r="AG762" i="87" s="1"/>
  <c r="W44" i="83"/>
  <c r="U39" i="98"/>
  <c r="U82" i="98" s="1"/>
  <c r="AA325" i="88"/>
  <c r="AA326" i="88"/>
  <c r="AA740" i="87"/>
  <c r="AG740" i="87" s="1"/>
  <c r="AA402" i="88"/>
  <c r="Q44" i="94"/>
  <c r="AB9" i="83"/>
  <c r="AA777" i="87"/>
  <c r="U17" i="98"/>
  <c r="U60" i="98" s="1"/>
  <c r="AA370" i="88"/>
  <c r="AA707" i="87"/>
  <c r="AG707" i="87" s="1"/>
  <c r="U5" i="98"/>
  <c r="U48" i="98" s="1"/>
  <c r="AA669" i="87"/>
  <c r="AG669" i="87" s="1"/>
  <c r="AA335" i="88"/>
  <c r="AA648" i="87"/>
  <c r="AG648" i="87" s="1"/>
  <c r="AA346" i="88"/>
  <c r="AA764" i="87"/>
  <c r="AG764" i="87" s="1"/>
  <c r="AA761" i="87"/>
  <c r="AG761" i="87" s="1"/>
  <c r="AA406" i="88"/>
  <c r="Q44" i="83"/>
  <c r="V28" i="93"/>
  <c r="AB28" i="93" s="1"/>
  <c r="V23" i="79"/>
  <c r="AB23" i="79" s="1"/>
  <c r="V31" i="79"/>
  <c r="X20" i="94"/>
  <c r="Y20" i="94" s="1"/>
  <c r="X20" i="84"/>
  <c r="Y20" i="84" s="1"/>
  <c r="AB20" i="84" s="1"/>
  <c r="AJ20" i="94" s="1"/>
  <c r="AB20" i="83"/>
  <c r="V52" i="79"/>
  <c r="AB16" i="83"/>
  <c r="AA695" i="87"/>
  <c r="AG695" i="87" s="1"/>
  <c r="AA655" i="87"/>
  <c r="AG655" i="87" s="1"/>
  <c r="AA682" i="87"/>
  <c r="AG682" i="87" s="1"/>
  <c r="AA386" i="88"/>
  <c r="AA418" i="88"/>
  <c r="AA316" i="88"/>
  <c r="AA353" i="88"/>
  <c r="AA705" i="87"/>
  <c r="AG705" i="87" s="1"/>
  <c r="AA333" i="88"/>
  <c r="AA651" i="87"/>
  <c r="AG651" i="87" s="1"/>
  <c r="AA723" i="87"/>
  <c r="AG723" i="87" s="1"/>
  <c r="AA676" i="87"/>
  <c r="AG676" i="87" s="1"/>
  <c r="AA698" i="87"/>
  <c r="AG698" i="87" s="1"/>
  <c r="AA390" i="88"/>
  <c r="AA422" i="88"/>
  <c r="AB20" i="79"/>
  <c r="AB15" i="93"/>
  <c r="U13" i="97"/>
  <c r="U66" i="97" s="1"/>
  <c r="AB39" i="79"/>
  <c r="AB52" i="79"/>
  <c r="AB35" i="79"/>
  <c r="AB11" i="93"/>
  <c r="AB44" i="79"/>
  <c r="N7" i="99"/>
  <c r="N13" i="99" s="1"/>
  <c r="AB31" i="79"/>
  <c r="U24" i="97"/>
  <c r="U77" i="97" s="1"/>
  <c r="AB24" i="79"/>
  <c r="U38" i="97"/>
  <c r="U91" i="97" s="1"/>
  <c r="U42" i="97"/>
  <c r="U95" i="97" s="1"/>
  <c r="U51" i="97"/>
  <c r="U104" i="97" s="1"/>
  <c r="V41" i="93"/>
  <c r="AB41" i="93" s="1"/>
  <c r="V29" i="79"/>
  <c r="U29" i="97" s="1"/>
  <c r="U82" i="97" s="1"/>
  <c r="V10" i="79"/>
  <c r="AB10" i="79" s="1"/>
  <c r="AB16" i="79"/>
  <c r="AB54" i="78"/>
  <c r="AB40" i="93"/>
  <c r="V20" i="93"/>
  <c r="V30" i="93"/>
  <c r="AB30" i="93" s="1"/>
  <c r="V38" i="93"/>
  <c r="AB38" i="93" s="1"/>
  <c r="V37" i="93"/>
  <c r="AB37" i="93" s="1"/>
  <c r="V19" i="93"/>
  <c r="AB19" i="93" s="1"/>
  <c r="V27" i="93"/>
  <c r="AB27" i="93" s="1"/>
  <c r="V39" i="93"/>
  <c r="AB39" i="93" s="1"/>
  <c r="V35" i="93"/>
  <c r="AB35" i="93" s="1"/>
  <c r="U44" i="97"/>
  <c r="U97" i="97" s="1"/>
  <c r="V42" i="93"/>
  <c r="AB42" i="93" s="1"/>
  <c r="V51" i="93"/>
  <c r="AB51" i="93" s="1"/>
  <c r="V16" i="93"/>
  <c r="V9" i="79"/>
  <c r="V7" i="79"/>
  <c r="U7" i="97" s="1"/>
  <c r="U60" i="97" s="1"/>
  <c r="V36" i="79"/>
  <c r="V32" i="79"/>
  <c r="AB32" i="79" s="1"/>
  <c r="V33" i="79"/>
  <c r="AB33" i="79" s="1"/>
  <c r="V45" i="79"/>
  <c r="U45" i="97" s="1"/>
  <c r="U98" i="97" s="1"/>
  <c r="V25" i="79"/>
  <c r="AB25" i="79" s="1"/>
  <c r="AB16" i="93"/>
  <c r="U37" i="97"/>
  <c r="U90" i="97" s="1"/>
  <c r="U19" i="97"/>
  <c r="U72" i="97" s="1"/>
  <c r="U27" i="97"/>
  <c r="U80" i="97" s="1"/>
  <c r="U39" i="97"/>
  <c r="U92" i="97" s="1"/>
  <c r="AB17" i="79"/>
  <c r="U50" i="97"/>
  <c r="U103" i="97" s="1"/>
  <c r="AB40" i="79"/>
  <c r="AB38" i="79"/>
  <c r="V48" i="93"/>
  <c r="AB48" i="93" s="1"/>
  <c r="V49" i="93"/>
  <c r="AB49" i="93" s="1"/>
  <c r="V43" i="93"/>
  <c r="V21" i="79"/>
  <c r="U21" i="97" s="1"/>
  <c r="U74" i="97" s="1"/>
  <c r="AA286" i="88"/>
  <c r="AA802" i="87"/>
  <c r="AA277" i="88"/>
  <c r="AA287" i="88"/>
  <c r="AA280" i="88"/>
  <c r="AA605" i="87"/>
  <c r="AG605" i="87" s="1"/>
  <c r="AA281" i="88"/>
  <c r="AA608" i="87"/>
  <c r="AG608" i="87" s="1"/>
  <c r="AA611" i="87"/>
  <c r="AG611" i="87" s="1"/>
  <c r="AA602" i="87"/>
  <c r="AG602" i="87" s="1"/>
  <c r="U40" i="98"/>
  <c r="U83" i="98" s="1"/>
  <c r="U7" i="98"/>
  <c r="U50" i="98" s="1"/>
  <c r="AA279" i="88"/>
  <c r="AA604" i="87"/>
  <c r="AG604" i="87" s="1"/>
  <c r="AA612" i="87"/>
  <c r="AG612" i="87" s="1"/>
  <c r="AA282" i="88"/>
  <c r="AA276" i="88"/>
  <c r="AA283" i="88"/>
  <c r="AA603" i="87"/>
  <c r="AG603" i="87" s="1"/>
  <c r="AA601" i="87"/>
  <c r="AG601" i="87" s="1"/>
  <c r="AA606" i="87"/>
  <c r="AG606" i="87" s="1"/>
  <c r="AA805" i="87"/>
  <c r="U14" i="98"/>
  <c r="U57" i="98" s="1"/>
  <c r="AA793" i="87"/>
  <c r="AA784" i="87"/>
  <c r="AA792" i="87"/>
  <c r="AG792" i="87" s="1"/>
  <c r="AA788" i="87"/>
  <c r="AG788" i="87" s="1"/>
  <c r="AA787" i="87"/>
  <c r="AA794" i="87"/>
  <c r="AA617" i="87"/>
  <c r="AG617" i="87" s="1"/>
  <c r="AA622" i="87"/>
  <c r="AG622" i="87" s="1"/>
  <c r="AA615" i="87"/>
  <c r="AG615" i="87" s="1"/>
  <c r="AA295" i="88"/>
  <c r="AA752" i="87"/>
  <c r="AG752" i="87" s="1"/>
  <c r="AA732" i="87"/>
  <c r="AG732" i="87" s="1"/>
  <c r="AA697" i="87"/>
  <c r="AG697" i="87" s="1"/>
  <c r="AA650" i="87"/>
  <c r="AG650" i="87" s="1"/>
  <c r="AA714" i="87"/>
  <c r="AG714" i="87" s="1"/>
  <c r="AA378" i="88"/>
  <c r="AA394" i="88"/>
  <c r="AA410" i="88"/>
  <c r="AA426" i="88"/>
  <c r="AA442" i="88"/>
  <c r="AA795" i="87"/>
  <c r="AA799" i="87"/>
  <c r="AA806" i="87"/>
  <c r="AG806" i="87" s="1"/>
  <c r="AJ29" i="94"/>
  <c r="AA728" i="87"/>
  <c r="AG728" i="87" s="1"/>
  <c r="AA339" i="88"/>
  <c r="AA369" i="88"/>
  <c r="AA667" i="87"/>
  <c r="AG667" i="87" s="1"/>
  <c r="AA647" i="87"/>
  <c r="AG647" i="87" s="1"/>
  <c r="AA760" i="87"/>
  <c r="AG760" i="87" s="1"/>
  <c r="AA719" i="87"/>
  <c r="AG719" i="87" s="1"/>
  <c r="AA666" i="87"/>
  <c r="AG666" i="87" s="1"/>
  <c r="AA730" i="87"/>
  <c r="AG730" i="87" s="1"/>
  <c r="AA382" i="88"/>
  <c r="AA398" i="88"/>
  <c r="AA414" i="88"/>
  <c r="AA430" i="88"/>
  <c r="AA797" i="87"/>
  <c r="AA801" i="87"/>
  <c r="AG801" i="87" s="1"/>
  <c r="AA804" i="87"/>
  <c r="AG804" i="87" s="1"/>
  <c r="AJ37" i="94"/>
  <c r="AA800" i="87"/>
  <c r="AA796" i="87"/>
  <c r="AG796" i="87" s="1"/>
  <c r="AA798" i="87"/>
  <c r="AG798" i="87" s="1"/>
  <c r="AJ36" i="94"/>
  <c r="AJ12" i="94"/>
  <c r="AA582" i="87"/>
  <c r="AG582" i="87" s="1"/>
  <c r="AA589" i="87"/>
  <c r="AG589" i="87" s="1"/>
  <c r="AA581" i="87"/>
  <c r="AG581" i="87" s="1"/>
  <c r="AA270" i="88"/>
  <c r="AA263" i="88"/>
  <c r="AA255" i="88"/>
  <c r="AA273" i="88"/>
  <c r="AA264" i="88"/>
  <c r="AA256" i="88"/>
  <c r="AA597" i="87"/>
  <c r="AG597" i="87" s="1"/>
  <c r="AA265" i="88"/>
  <c r="AA266" i="88"/>
  <c r="AA585" i="87"/>
  <c r="AG585" i="87" s="1"/>
  <c r="AA583" i="87"/>
  <c r="AG583" i="87" s="1"/>
  <c r="AA593" i="87"/>
  <c r="AG593" i="87" s="1"/>
  <c r="AA268" i="88"/>
  <c r="AA261" i="88"/>
  <c r="AA587" i="87"/>
  <c r="AG587" i="87" s="1"/>
  <c r="AA271" i="88"/>
  <c r="AA262" i="88"/>
  <c r="AA600" i="87"/>
  <c r="AG600" i="87" s="1"/>
  <c r="AA588" i="87"/>
  <c r="AG588" i="87" s="1"/>
  <c r="AA257" i="88"/>
  <c r="AA584" i="87"/>
  <c r="AG584" i="87" s="1"/>
  <c r="AA598" i="87"/>
  <c r="AG598" i="87" s="1"/>
  <c r="AA580" i="87"/>
  <c r="AG580" i="87" s="1"/>
  <c r="AA595" i="87"/>
  <c r="AG595" i="87" s="1"/>
  <c r="AA274" i="88"/>
  <c r="AA267" i="88"/>
  <c r="AA259" i="88"/>
  <c r="AA592" i="87"/>
  <c r="AG592" i="87" s="1"/>
  <c r="AA269" i="88"/>
  <c r="AA260" i="88"/>
  <c r="AA599" i="87"/>
  <c r="AG599" i="87" s="1"/>
  <c r="AA586" i="87"/>
  <c r="AG586" i="87" s="1"/>
  <c r="AA272" i="88"/>
  <c r="AA275" i="88"/>
  <c r="AA258" i="88"/>
  <c r="AA684" i="87"/>
  <c r="AG684" i="87" s="1"/>
  <c r="AA741" i="87"/>
  <c r="AG741" i="87" s="1"/>
  <c r="AA685" i="87"/>
  <c r="AG685" i="87" s="1"/>
  <c r="AA318" i="88"/>
  <c r="AA327" i="88"/>
  <c r="AA338" i="88"/>
  <c r="AA347" i="88"/>
  <c r="AA356" i="88"/>
  <c r="AA365" i="88"/>
  <c r="AA372" i="88"/>
  <c r="AA663" i="87"/>
  <c r="AG663" i="87" s="1"/>
  <c r="AA720" i="87"/>
  <c r="AG720" i="87" s="1"/>
  <c r="AA643" i="87"/>
  <c r="AG643" i="87" s="1"/>
  <c r="AA757" i="87"/>
  <c r="AG757" i="87" s="1"/>
  <c r="AA320" i="88"/>
  <c r="AA328" i="88"/>
  <c r="AA334" i="88"/>
  <c r="AA341" i="88"/>
  <c r="AA348" i="88"/>
  <c r="AA355" i="88"/>
  <c r="AA362" i="88"/>
  <c r="AA371" i="88"/>
  <c r="AA664" i="87"/>
  <c r="AG664" i="87" s="1"/>
  <c r="AA721" i="87"/>
  <c r="AG721" i="87" s="1"/>
  <c r="AA645" i="87"/>
  <c r="AG645" i="87" s="1"/>
  <c r="AA673" i="87"/>
  <c r="AG673" i="87" s="1"/>
  <c r="AA701" i="87"/>
  <c r="AG701" i="87" s="1"/>
  <c r="AA731" i="87"/>
  <c r="AG731" i="87" s="1"/>
  <c r="AA759" i="87"/>
  <c r="AG759" i="87" s="1"/>
  <c r="AA653" i="87"/>
  <c r="AG653" i="87" s="1"/>
  <c r="AA683" i="87"/>
  <c r="AG683" i="87" s="1"/>
  <c r="AA711" i="87"/>
  <c r="AG711" i="87" s="1"/>
  <c r="AA739" i="87"/>
  <c r="AG739" i="87" s="1"/>
  <c r="AA768" i="87"/>
  <c r="AG768" i="87" s="1"/>
  <c r="AA660" i="87"/>
  <c r="AG660" i="87" s="1"/>
  <c r="AA681" i="87"/>
  <c r="AG681" i="87" s="1"/>
  <c r="AA703" i="87"/>
  <c r="AG703" i="87" s="1"/>
  <c r="AA724" i="87"/>
  <c r="AG724" i="87" s="1"/>
  <c r="AA745" i="87"/>
  <c r="AG745" i="87" s="1"/>
  <c r="AA767" i="87"/>
  <c r="AG767" i="87" s="1"/>
  <c r="AA654" i="87"/>
  <c r="AG654" i="87" s="1"/>
  <c r="AA670" i="87"/>
  <c r="AG670" i="87" s="1"/>
  <c r="AA686" i="87"/>
  <c r="AG686" i="87" s="1"/>
  <c r="AA702" i="87"/>
  <c r="AG702" i="87" s="1"/>
  <c r="AA718" i="87"/>
  <c r="AG718" i="87" s="1"/>
  <c r="AA734" i="87"/>
  <c r="AG734" i="87" s="1"/>
  <c r="AA750" i="87"/>
  <c r="AG750" i="87" s="1"/>
  <c r="AA766" i="87"/>
  <c r="AG766" i="87" s="1"/>
  <c r="AA379" i="88"/>
  <c r="AA383" i="88"/>
  <c r="AA387" i="88"/>
  <c r="AA391" i="88"/>
  <c r="AA395" i="88"/>
  <c r="AA399" i="88"/>
  <c r="AA403" i="88"/>
  <c r="AA407" i="88"/>
  <c r="AA411" i="88"/>
  <c r="AA415" i="88"/>
  <c r="AA419" i="88"/>
  <c r="AA423" i="88"/>
  <c r="AA427" i="88"/>
  <c r="AA431" i="88"/>
  <c r="AA435" i="88"/>
  <c r="AA439" i="88"/>
  <c r="AA443" i="88"/>
  <c r="AA641" i="87"/>
  <c r="AG641" i="87" s="1"/>
  <c r="AA699" i="87"/>
  <c r="AG699" i="87" s="1"/>
  <c r="AA755" i="87"/>
  <c r="AG755" i="87" s="1"/>
  <c r="AA715" i="87"/>
  <c r="AG715" i="87" s="1"/>
  <c r="AA321" i="88"/>
  <c r="AA330" i="88"/>
  <c r="AA340" i="88"/>
  <c r="AA349" i="88"/>
  <c r="AA358" i="88"/>
  <c r="AA367" i="88"/>
  <c r="AA374" i="88"/>
  <c r="AA677" i="87"/>
  <c r="AG677" i="87" s="1"/>
  <c r="AA733" i="87"/>
  <c r="AG733" i="87" s="1"/>
  <c r="AA672" i="87"/>
  <c r="AG672" i="87" s="1"/>
  <c r="AA315" i="88"/>
  <c r="AA322" i="88"/>
  <c r="AA329" i="88"/>
  <c r="AA336" i="88"/>
  <c r="AA343" i="88"/>
  <c r="AA350" i="88"/>
  <c r="AA357" i="88"/>
  <c r="AA364" i="88"/>
  <c r="AA373" i="88"/>
  <c r="AA679" i="87"/>
  <c r="AG679" i="87" s="1"/>
  <c r="AA736" i="87"/>
  <c r="AG736" i="87" s="1"/>
  <c r="AA652" i="87"/>
  <c r="AG652" i="87" s="1"/>
  <c r="AA680" i="87"/>
  <c r="AG680" i="87" s="1"/>
  <c r="AA709" i="87"/>
  <c r="AG709" i="87" s="1"/>
  <c r="AA737" i="87"/>
  <c r="AG737" i="87" s="1"/>
  <c r="AA765" i="87"/>
  <c r="AG765" i="87" s="1"/>
  <c r="AA661" i="87"/>
  <c r="AG661" i="87" s="1"/>
  <c r="AA689" i="87"/>
  <c r="AG689" i="87" s="1"/>
  <c r="AA717" i="87"/>
  <c r="AG717" i="87" s="1"/>
  <c r="AA747" i="87"/>
  <c r="AG747" i="87" s="1"/>
  <c r="AA644" i="87"/>
  <c r="AG644" i="87" s="1"/>
  <c r="AA665" i="87"/>
  <c r="AG665" i="87" s="1"/>
  <c r="AA687" i="87"/>
  <c r="AG687" i="87" s="1"/>
  <c r="AA708" i="87"/>
  <c r="AG708" i="87" s="1"/>
  <c r="AA729" i="87"/>
  <c r="AG729" i="87" s="1"/>
  <c r="AA751" i="87"/>
  <c r="AG751" i="87" s="1"/>
  <c r="AA642" i="87"/>
  <c r="AG642" i="87" s="1"/>
  <c r="AA658" i="87"/>
  <c r="AG658" i="87" s="1"/>
  <c r="AA674" i="87"/>
  <c r="AG674" i="87" s="1"/>
  <c r="AA690" i="87"/>
  <c r="AG690" i="87" s="1"/>
  <c r="AA706" i="87"/>
  <c r="AG706" i="87" s="1"/>
  <c r="AA722" i="87"/>
  <c r="AG722" i="87" s="1"/>
  <c r="AA738" i="87"/>
  <c r="AG738" i="87" s="1"/>
  <c r="AA754" i="87"/>
  <c r="AG754" i="87" s="1"/>
  <c r="AA770" i="87"/>
  <c r="AG770" i="87" s="1"/>
  <c r="AA380" i="88"/>
  <c r="AA384" i="88"/>
  <c r="AA388" i="88"/>
  <c r="AA392" i="88"/>
  <c r="AA396" i="88"/>
  <c r="AA400" i="88"/>
  <c r="AA404" i="88"/>
  <c r="AA408" i="88"/>
  <c r="AA412" i="88"/>
  <c r="AA416" i="88"/>
  <c r="AA420" i="88"/>
  <c r="AA424" i="88"/>
  <c r="AA428" i="88"/>
  <c r="AA432" i="88"/>
  <c r="AA436" i="88"/>
  <c r="AA440" i="88"/>
  <c r="U10" i="98"/>
  <c r="U53" i="98" s="1"/>
  <c r="U12" i="98"/>
  <c r="U55" i="98" s="1"/>
  <c r="AA531" i="87"/>
  <c r="L531" i="91" s="1"/>
  <c r="O531" i="91" s="1"/>
  <c r="AA532" i="87"/>
  <c r="AG532" i="87" s="1"/>
  <c r="AA538" i="87"/>
  <c r="AG538" i="87" s="1"/>
  <c r="AA656" i="87"/>
  <c r="AG656" i="87" s="1"/>
  <c r="AA712" i="87"/>
  <c r="AG712" i="87" s="1"/>
  <c r="AA769" i="87"/>
  <c r="AG769" i="87" s="1"/>
  <c r="AA743" i="87"/>
  <c r="AG743" i="87" s="1"/>
  <c r="AA323" i="88"/>
  <c r="AA332" i="88"/>
  <c r="AA342" i="88"/>
  <c r="AA351" i="88"/>
  <c r="AA361" i="88"/>
  <c r="AA368" i="88"/>
  <c r="AA376" i="88"/>
  <c r="AA691" i="87"/>
  <c r="AG691" i="87" s="1"/>
  <c r="AA748" i="87"/>
  <c r="AG748" i="87" s="1"/>
  <c r="AA700" i="87"/>
  <c r="AG700" i="87" s="1"/>
  <c r="AA317" i="88"/>
  <c r="AA324" i="88"/>
  <c r="AA331" i="88"/>
  <c r="AA337" i="88"/>
  <c r="AA344" i="88"/>
  <c r="AA352" i="88"/>
  <c r="AA359" i="88"/>
  <c r="AA366" i="88"/>
  <c r="AA375" i="88"/>
  <c r="AA693" i="87"/>
  <c r="AG693" i="87" s="1"/>
  <c r="AA749" i="87"/>
  <c r="AG749" i="87" s="1"/>
  <c r="AA659" i="87"/>
  <c r="AG659" i="87" s="1"/>
  <c r="AA688" i="87"/>
  <c r="AG688" i="87" s="1"/>
  <c r="AA716" i="87"/>
  <c r="AG716" i="87" s="1"/>
  <c r="AA744" i="87"/>
  <c r="AG744" i="87" s="1"/>
  <c r="AA640" i="87"/>
  <c r="AG640" i="87" s="1"/>
  <c r="AA668" i="87"/>
  <c r="AG668" i="87" s="1"/>
  <c r="AA696" i="87"/>
  <c r="AG696" i="87" s="1"/>
  <c r="AA725" i="87"/>
  <c r="AG725" i="87" s="1"/>
  <c r="AA753" i="87"/>
  <c r="AG753" i="87" s="1"/>
  <c r="AA649" i="87"/>
  <c r="AG649" i="87" s="1"/>
  <c r="AA671" i="87"/>
  <c r="AG671" i="87" s="1"/>
  <c r="AA692" i="87"/>
  <c r="AG692" i="87" s="1"/>
  <c r="AA713" i="87"/>
  <c r="AG713" i="87" s="1"/>
  <c r="AA735" i="87"/>
  <c r="AG735" i="87" s="1"/>
  <c r="AA756" i="87"/>
  <c r="AG756" i="87" s="1"/>
  <c r="AA646" i="87"/>
  <c r="AG646" i="87" s="1"/>
  <c r="AA662" i="87"/>
  <c r="AG662" i="87" s="1"/>
  <c r="AA678" i="87"/>
  <c r="AG678" i="87" s="1"/>
  <c r="AA694" i="87"/>
  <c r="AG694" i="87" s="1"/>
  <c r="AA710" i="87"/>
  <c r="AG710" i="87" s="1"/>
  <c r="AA726" i="87"/>
  <c r="AG726" i="87" s="1"/>
  <c r="AA742" i="87"/>
  <c r="AG742" i="87" s="1"/>
  <c r="AA758" i="87"/>
  <c r="AG758" i="87" s="1"/>
  <c r="AA377" i="88"/>
  <c r="AA381" i="88"/>
  <c r="AA385" i="88"/>
  <c r="AA389" i="88"/>
  <c r="AA393" i="88"/>
  <c r="AA397" i="88"/>
  <c r="AA401" i="88"/>
  <c r="AA405" i="88"/>
  <c r="AA409" i="88"/>
  <c r="AA413" i="88"/>
  <c r="AA417" i="88"/>
  <c r="AA421" i="88"/>
  <c r="AA425" i="88"/>
  <c r="AA429" i="88"/>
  <c r="AA433" i="88"/>
  <c r="AA437" i="88"/>
  <c r="AA441" i="88"/>
  <c r="AA445" i="88"/>
  <c r="AJ24" i="94"/>
  <c r="AJ27" i="94"/>
  <c r="AJ31" i="94"/>
  <c r="AA534" i="87"/>
  <c r="AG534" i="87" s="1"/>
  <c r="AA419" i="87"/>
  <c r="AG419" i="87" s="1"/>
  <c r="AA407" i="87"/>
  <c r="AG407" i="87" s="1"/>
  <c r="AA164" i="88"/>
  <c r="AA478" i="87"/>
  <c r="AG478" i="87" s="1"/>
  <c r="AA400" i="87"/>
  <c r="AG400" i="87" s="1"/>
  <c r="AA401" i="87"/>
  <c r="AG401" i="87" s="1"/>
  <c r="AA56" i="88"/>
  <c r="AA418" i="87"/>
  <c r="AG418" i="87" s="1"/>
  <c r="AA472" i="87"/>
  <c r="AG472" i="87" s="1"/>
  <c r="AA153" i="88"/>
  <c r="AA103" i="87"/>
  <c r="AG103" i="87" s="1"/>
  <c r="AA414" i="87"/>
  <c r="AG414" i="87" s="1"/>
  <c r="AA157" i="88"/>
  <c r="AA354" i="87"/>
  <c r="AG354" i="87" s="1"/>
  <c r="AA214" i="87"/>
  <c r="AG214" i="87" s="1"/>
  <c r="AA356" i="87"/>
  <c r="AG356" i="87" s="1"/>
  <c r="AA209" i="87"/>
  <c r="AG209" i="87" s="1"/>
  <c r="AA75" i="87"/>
  <c r="AA213" i="87"/>
  <c r="AG213" i="87" s="1"/>
  <c r="AA77" i="87"/>
  <c r="AG77" i="87" s="1"/>
  <c r="AA212" i="87"/>
  <c r="L212" i="91" s="1"/>
  <c r="O212" i="91" s="1"/>
  <c r="AA157" i="87"/>
  <c r="AA142" i="88"/>
  <c r="AA153" i="87"/>
  <c r="AG153" i="87" s="1"/>
  <c r="AA74" i="87"/>
  <c r="AG74" i="87" s="1"/>
  <c r="AA135" i="88"/>
  <c r="AA146" i="87"/>
  <c r="AG146" i="87" s="1"/>
  <c r="AA299" i="87"/>
  <c r="AG299" i="87" s="1"/>
  <c r="AA152" i="87"/>
  <c r="AG152" i="87" s="1"/>
  <c r="AA20" i="87"/>
  <c r="AG20" i="87" s="1"/>
  <c r="AA469" i="87"/>
  <c r="AG469" i="87" s="1"/>
  <c r="AA148" i="88"/>
  <c r="AA476" i="87"/>
  <c r="AG476" i="87" s="1"/>
  <c r="AA52" i="88"/>
  <c r="AA165" i="88"/>
  <c r="AA107" i="87"/>
  <c r="AG107" i="87" s="1"/>
  <c r="AA167" i="88"/>
  <c r="AA290" i="87"/>
  <c r="AA289" i="87"/>
  <c r="AG289" i="87" s="1"/>
  <c r="AA151" i="87"/>
  <c r="AG151" i="87" s="1"/>
  <c r="AA154" i="87"/>
  <c r="L154" i="91" s="1"/>
  <c r="O154" i="91" s="1"/>
  <c r="AA355" i="87"/>
  <c r="AG355" i="87" s="1"/>
  <c r="AA76" i="87"/>
  <c r="L76" i="91" s="1"/>
  <c r="O76" i="91" s="1"/>
  <c r="AA216" i="87"/>
  <c r="AG216" i="87" s="1"/>
  <c r="AA211" i="87"/>
  <c r="AG211" i="87" s="1"/>
  <c r="AA392" i="87"/>
  <c r="AG392" i="87" s="1"/>
  <c r="AA78" i="87"/>
  <c r="AA411" i="87"/>
  <c r="AG411" i="87" s="1"/>
  <c r="AA59" i="88"/>
  <c r="AA409" i="87"/>
  <c r="AG409" i="87" s="1"/>
  <c r="AA471" i="87"/>
  <c r="AG471" i="87" s="1"/>
  <c r="AA158" i="88"/>
  <c r="AA467" i="87"/>
  <c r="AG467" i="87" s="1"/>
  <c r="AA390" i="87"/>
  <c r="AG390" i="87" s="1"/>
  <c r="AA389" i="87"/>
  <c r="AG389" i="87" s="1"/>
  <c r="AA149" i="87"/>
  <c r="L149" i="91" s="1"/>
  <c r="O149" i="91" s="1"/>
  <c r="AA293" i="87"/>
  <c r="AG293" i="87" s="1"/>
  <c r="AA393" i="87"/>
  <c r="AG393" i="87" s="1"/>
  <c r="AA141" i="88"/>
  <c r="AA352" i="87"/>
  <c r="L352" i="91" s="1"/>
  <c r="O352" i="91" s="1"/>
  <c r="AA25" i="87"/>
  <c r="AG25" i="87" s="1"/>
  <c r="AA473" i="87"/>
  <c r="AG473" i="87" s="1"/>
  <c r="AA227" i="88"/>
  <c r="AA152" i="88"/>
  <c r="AA466" i="87"/>
  <c r="AG466" i="87" s="1"/>
  <c r="AA218" i="88"/>
  <c r="AA161" i="88"/>
  <c r="AA53" i="88"/>
  <c r="AA220" i="88"/>
  <c r="AA397" i="87"/>
  <c r="AG397" i="87" s="1"/>
  <c r="AA108" i="87"/>
  <c r="AG108" i="87" s="1"/>
  <c r="AA100" i="87"/>
  <c r="AG100" i="87" s="1"/>
  <c r="AA216" i="88"/>
  <c r="AA350" i="87"/>
  <c r="AA210" i="87"/>
  <c r="AG210" i="87" s="1"/>
  <c r="AA295" i="87"/>
  <c r="AG295" i="87" s="1"/>
  <c r="AA155" i="87"/>
  <c r="L155" i="91" s="1"/>
  <c r="O155" i="91" s="1"/>
  <c r="AA23" i="87"/>
  <c r="AG23" i="87" s="1"/>
  <c r="AA207" i="87"/>
  <c r="L207" i="91" s="1"/>
  <c r="O207" i="91" s="1"/>
  <c r="AA388" i="87"/>
  <c r="AG388" i="87" s="1"/>
  <c r="AA150" i="87"/>
  <c r="AG150" i="87" s="1"/>
  <c r="AA140" i="88"/>
  <c r="AA385" i="87"/>
  <c r="AG385" i="87" s="1"/>
  <c r="AA22" i="87"/>
  <c r="AG22" i="87" s="1"/>
  <c r="AA287" i="87"/>
  <c r="AG287" i="87" s="1"/>
  <c r="AA80" i="87"/>
  <c r="AG80" i="87" s="1"/>
  <c r="AA285" i="87"/>
  <c r="AG285" i="87" s="1"/>
  <c r="AA85" i="87"/>
  <c r="L109" i="91" s="1"/>
  <c r="AA14" i="87"/>
  <c r="AG14" i="87" s="1"/>
  <c r="G14" i="92"/>
  <c r="I14" i="92" s="1"/>
  <c r="AA223" i="88"/>
  <c r="AA416" i="87"/>
  <c r="AG416" i="87" s="1"/>
  <c r="AA155" i="88"/>
  <c r="AA225" i="88"/>
  <c r="AA99" i="87"/>
  <c r="AG99" i="87" s="1"/>
  <c r="AA394" i="87"/>
  <c r="AG394" i="87" s="1"/>
  <c r="AA349" i="87"/>
  <c r="AA360" i="87"/>
  <c r="L410" i="91" s="1"/>
  <c r="AA134" i="88"/>
  <c r="AA143" i="88"/>
  <c r="AA208" i="87"/>
  <c r="AJ6" i="94"/>
  <c r="AA168" i="88"/>
  <c r="AA404" i="87"/>
  <c r="AG404" i="87" s="1"/>
  <c r="AA57" i="88"/>
  <c r="AA149" i="88"/>
  <c r="AA104" i="87"/>
  <c r="AG104" i="87" s="1"/>
  <c r="AA162" i="88"/>
  <c r="AA286" i="87"/>
  <c r="AG286" i="87" s="1"/>
  <c r="AA215" i="87"/>
  <c r="AA297" i="87"/>
  <c r="AG297" i="87" s="1"/>
  <c r="AA281" i="87"/>
  <c r="L281" i="91" s="1"/>
  <c r="O281" i="91" s="1"/>
  <c r="AA24" i="87"/>
  <c r="L24" i="91" s="1"/>
  <c r="O24" i="91" s="1"/>
  <c r="AA156" i="87"/>
  <c r="AG156" i="87" s="1"/>
  <c r="AA162" i="87"/>
  <c r="AG162" i="87" s="1"/>
  <c r="AA161" i="87"/>
  <c r="AG161" i="87" s="1"/>
  <c r="AA618" i="87"/>
  <c r="AG618" i="87" s="1"/>
  <c r="AA288" i="88"/>
  <c r="AA616" i="87"/>
  <c r="AG616" i="87" s="1"/>
  <c r="U6" i="98"/>
  <c r="U49" i="98" s="1"/>
  <c r="AJ11" i="94"/>
  <c r="AA296" i="88"/>
  <c r="AJ42" i="94"/>
  <c r="AA916" i="87"/>
  <c r="AG916" i="87" s="1"/>
  <c r="AA910" i="87"/>
  <c r="AA918" i="87"/>
  <c r="AG918" i="87" s="1"/>
  <c r="AA919" i="87"/>
  <c r="L919" i="91" s="1"/>
  <c r="O919" i="91" s="1"/>
  <c r="AA911" i="87"/>
  <c r="AA912" i="87"/>
  <c r="AG912" i="87" s="1"/>
  <c r="AA914" i="87"/>
  <c r="AG914" i="87" s="1"/>
  <c r="AA917" i="87"/>
  <c r="AA921" i="87"/>
  <c r="L921" i="91" s="1"/>
  <c r="O921" i="91" s="1"/>
  <c r="AA913" i="87"/>
  <c r="AG913" i="87" s="1"/>
  <c r="AA915" i="87"/>
  <c r="L915" i="91" s="1"/>
  <c r="O915" i="91" s="1"/>
  <c r="AA920" i="87"/>
  <c r="AA634" i="87"/>
  <c r="AG634" i="87" s="1"/>
  <c r="AA633" i="87"/>
  <c r="AG633" i="87" s="1"/>
  <c r="AA631" i="87"/>
  <c r="AG631" i="87" s="1"/>
  <c r="AA308" i="88"/>
  <c r="AA301" i="88"/>
  <c r="AA311" i="88"/>
  <c r="AA302" i="88"/>
  <c r="AA626" i="87"/>
  <c r="L625" i="91" s="1"/>
  <c r="AA313" i="88"/>
  <c r="AA314" i="88"/>
  <c r="AA627" i="87"/>
  <c r="AG627" i="87" s="1"/>
  <c r="AA637" i="87"/>
  <c r="AG637" i="87" s="1"/>
  <c r="AA305" i="88"/>
  <c r="AA630" i="87"/>
  <c r="AG630" i="87" s="1"/>
  <c r="AA628" i="87"/>
  <c r="AG628" i="87" s="1"/>
  <c r="AA636" i="87"/>
  <c r="AG636" i="87" s="1"/>
  <c r="AA306" i="88"/>
  <c r="AA635" i="87"/>
  <c r="AG635" i="87" s="1"/>
  <c r="AA309" i="88"/>
  <c r="AA629" i="87"/>
  <c r="AG629" i="87" s="1"/>
  <c r="AA304" i="88"/>
  <c r="AA639" i="87"/>
  <c r="AG639" i="87" s="1"/>
  <c r="AA303" i="88"/>
  <c r="AA632" i="87"/>
  <c r="AG632" i="87" s="1"/>
  <c r="AA307" i="88"/>
  <c r="AA638" i="87"/>
  <c r="AG638" i="87" s="1"/>
  <c r="AA310" i="88"/>
  <c r="AA312" i="88"/>
  <c r="AJ9" i="94"/>
  <c r="AA527" i="87"/>
  <c r="AG527" i="87" s="1"/>
  <c r="AA524" i="87"/>
  <c r="AG524" i="87" s="1"/>
  <c r="AA528" i="87"/>
  <c r="AG528" i="87" s="1"/>
  <c r="AA519" i="87"/>
  <c r="AA526" i="87"/>
  <c r="AG526" i="87" s="1"/>
  <c r="AA521" i="87"/>
  <c r="L521" i="91" s="1"/>
  <c r="O521" i="91" s="1"/>
  <c r="AA517" i="87"/>
  <c r="AG517" i="87" s="1"/>
  <c r="AA522" i="87"/>
  <c r="AG522" i="87" s="1"/>
  <c r="AA525" i="87"/>
  <c r="AG525" i="87" s="1"/>
  <c r="AA523" i="87"/>
  <c r="AG523" i="87" s="1"/>
  <c r="AA518" i="87"/>
  <c r="AG518" i="87" s="1"/>
  <c r="AA520" i="87"/>
  <c r="AG520" i="87" s="1"/>
  <c r="AA774" i="87"/>
  <c r="AG774" i="87" s="1"/>
  <c r="AA556" i="87"/>
  <c r="AG556" i="87" s="1"/>
  <c r="AA545" i="87"/>
  <c r="L545" i="91" s="1"/>
  <c r="O545" i="91" s="1"/>
  <c r="AA553" i="87"/>
  <c r="AG553" i="87" s="1"/>
  <c r="AA570" i="87"/>
  <c r="AG570" i="87" s="1"/>
  <c r="T48" i="97"/>
  <c r="T101" i="97" s="1"/>
  <c r="AD39" i="79"/>
  <c r="AA39" i="97"/>
  <c r="AA92" i="97" s="1"/>
  <c r="AI54" i="93"/>
  <c r="AD18" i="79"/>
  <c r="AA18" i="97"/>
  <c r="AA71" i="97" s="1"/>
  <c r="AD30" i="79"/>
  <c r="AA30" i="97"/>
  <c r="AA83" i="97" s="1"/>
  <c r="C9" i="100"/>
  <c r="C7" i="100"/>
  <c r="C13" i="100" s="1"/>
  <c r="C11" i="100"/>
  <c r="AD23" i="79"/>
  <c r="AA23" i="97"/>
  <c r="AA76" i="97" s="1"/>
  <c r="Y5" i="94"/>
  <c r="AA290" i="88"/>
  <c r="AA624" i="87"/>
  <c r="AG624" i="87" s="1"/>
  <c r="AA537" i="87"/>
  <c r="AA779" i="87"/>
  <c r="AG779" i="87" s="1"/>
  <c r="AA781" i="87"/>
  <c r="AG781" i="87" s="1"/>
  <c r="AA778" i="87"/>
  <c r="L778" i="91" s="1"/>
  <c r="O778" i="91" s="1"/>
  <c r="AA571" i="87"/>
  <c r="AA563" i="87"/>
  <c r="AG563" i="87" s="1"/>
  <c r="AA551" i="87"/>
  <c r="L551" i="91" s="1"/>
  <c r="O551" i="91" s="1"/>
  <c r="AA552" i="87"/>
  <c r="AG552" i="87" s="1"/>
  <c r="AA547" i="87"/>
  <c r="AA576" i="87"/>
  <c r="AG576" i="87" s="1"/>
  <c r="AA559" i="87"/>
  <c r="AG559" i="87" s="1"/>
  <c r="AA542" i="87"/>
  <c r="L542" i="91" s="1"/>
  <c r="O542" i="91" s="1"/>
  <c r="AA558" i="87"/>
  <c r="AA574" i="87"/>
  <c r="AG574" i="87" s="1"/>
  <c r="AJ8" i="94"/>
  <c r="AJ38" i="94"/>
  <c r="AJ14" i="94"/>
  <c r="AJ15" i="94"/>
  <c r="AJ16" i="94"/>
  <c r="AJ34" i="94"/>
  <c r="P54" i="93"/>
  <c r="AD49" i="79"/>
  <c r="AA49" i="97"/>
  <c r="AA102" i="97" s="1"/>
  <c r="AD47" i="79"/>
  <c r="AA47" i="97"/>
  <c r="AA100" i="97" s="1"/>
  <c r="AD28" i="79"/>
  <c r="AA28" i="97"/>
  <c r="AA81" i="97" s="1"/>
  <c r="AD6" i="79"/>
  <c r="AA6" i="97"/>
  <c r="AA59" i="97" s="1"/>
  <c r="W54" i="93"/>
  <c r="AB17" i="93"/>
  <c r="U9" i="99"/>
  <c r="U11" i="99"/>
  <c r="AD9" i="79"/>
  <c r="AA9" i="97"/>
  <c r="AA62" i="97" s="1"/>
  <c r="AD15" i="79"/>
  <c r="AA15" i="97"/>
  <c r="AA68" i="97" s="1"/>
  <c r="I15" i="100"/>
  <c r="I14" i="100"/>
  <c r="L14" i="100"/>
  <c r="L15" i="100"/>
  <c r="AB13" i="79"/>
  <c r="T13" i="97"/>
  <c r="T66" i="97" s="1"/>
  <c r="AB54" i="80"/>
  <c r="L54" i="93"/>
  <c r="AD11" i="79"/>
  <c r="AA11" i="97"/>
  <c r="AA64" i="97" s="1"/>
  <c r="M9" i="99"/>
  <c r="M7" i="99"/>
  <c r="M13" i="99" s="1"/>
  <c r="M11" i="99"/>
  <c r="J14" i="100"/>
  <c r="J15" i="100"/>
  <c r="AB43" i="93"/>
  <c r="V5" i="79"/>
  <c r="V5" i="93"/>
  <c r="AD32" i="79"/>
  <c r="AA32" i="97"/>
  <c r="AA85" i="97" s="1"/>
  <c r="V34" i="79"/>
  <c r="V22" i="79"/>
  <c r="V47" i="79"/>
  <c r="V46" i="79"/>
  <c r="AD40" i="79"/>
  <c r="AA40" i="97"/>
  <c r="AA93" i="97" s="1"/>
  <c r="Q54" i="93"/>
  <c r="N14" i="99"/>
  <c r="N15" i="99"/>
  <c r="AD25" i="79"/>
  <c r="AA25" i="97"/>
  <c r="AA78" i="97" s="1"/>
  <c r="AD31" i="79"/>
  <c r="AA31" i="97"/>
  <c r="AA84" i="97" s="1"/>
  <c r="AD45" i="79"/>
  <c r="AA45" i="97"/>
  <c r="AA98" i="97" s="1"/>
  <c r="V14" i="79"/>
  <c r="AB50" i="79"/>
  <c r="D14" i="100"/>
  <c r="D15" i="100"/>
  <c r="AD21" i="79"/>
  <c r="AA21" i="97"/>
  <c r="AA74" i="97" s="1"/>
  <c r="AD5" i="93"/>
  <c r="AD54" i="93" s="1"/>
  <c r="AC54" i="93"/>
  <c r="AA775" i="87"/>
  <c r="L775" i="91" s="1"/>
  <c r="O775" i="91" s="1"/>
  <c r="AA549" i="87"/>
  <c r="AG549" i="87" s="1"/>
  <c r="AA573" i="87"/>
  <c r="AA554" i="87"/>
  <c r="AG554" i="87" s="1"/>
  <c r="U38" i="98"/>
  <c r="U81" i="98" s="1"/>
  <c r="X33" i="94"/>
  <c r="Y33" i="94" s="1"/>
  <c r="X33" i="84"/>
  <c r="Y33" i="84" s="1"/>
  <c r="AB33" i="84" s="1"/>
  <c r="X33" i="83"/>
  <c r="AI54" i="79"/>
  <c r="AE6" i="97"/>
  <c r="AE59" i="97" s="1"/>
  <c r="U7" i="99" s="1"/>
  <c r="U13" i="99" s="1"/>
  <c r="AB30" i="83"/>
  <c r="AJ30" i="94" s="1"/>
  <c r="AB51" i="79"/>
  <c r="AB18" i="83"/>
  <c r="AA298" i="88"/>
  <c r="AA297" i="88"/>
  <c r="AA535" i="87"/>
  <c r="AM56" i="79"/>
  <c r="AA292" i="88"/>
  <c r="AA300" i="88"/>
  <c r="AA291" i="88"/>
  <c r="AA299" i="88"/>
  <c r="AA619" i="87"/>
  <c r="AG619" i="87" s="1"/>
  <c r="AA614" i="87"/>
  <c r="AG614" i="87" s="1"/>
  <c r="AA529" i="87"/>
  <c r="AG529" i="87" s="1"/>
  <c r="AA533" i="87"/>
  <c r="AG533" i="87" s="1"/>
  <c r="AA530" i="87"/>
  <c r="L530" i="91" s="1"/>
  <c r="O530" i="91" s="1"/>
  <c r="AA791" i="87"/>
  <c r="AG791" i="87" s="1"/>
  <c r="AA789" i="87"/>
  <c r="L789" i="91" s="1"/>
  <c r="O789" i="91" s="1"/>
  <c r="AA786" i="87"/>
  <c r="L786" i="91" s="1"/>
  <c r="O786" i="91" s="1"/>
  <c r="AA773" i="87"/>
  <c r="AG773" i="87" s="1"/>
  <c r="AA772" i="87"/>
  <c r="L772" i="91" s="1"/>
  <c r="O772" i="91" s="1"/>
  <c r="AA782" i="87"/>
  <c r="L782" i="91" s="1"/>
  <c r="O782" i="91" s="1"/>
  <c r="AA544" i="87"/>
  <c r="AG544" i="87" s="1"/>
  <c r="AA577" i="87"/>
  <c r="AG577" i="87" s="1"/>
  <c r="AA565" i="87"/>
  <c r="AA560" i="87"/>
  <c r="AG560" i="87" s="1"/>
  <c r="AA555" i="87"/>
  <c r="AG555" i="87" s="1"/>
  <c r="AA543" i="87"/>
  <c r="AG543" i="87" s="1"/>
  <c r="AA564" i="87"/>
  <c r="AA546" i="87"/>
  <c r="AG546" i="87" s="1"/>
  <c r="AA562" i="87"/>
  <c r="AG562" i="87" s="1"/>
  <c r="AA578" i="87"/>
  <c r="AG578" i="87" s="1"/>
  <c r="AA591" i="87"/>
  <c r="AG591" i="87" s="1"/>
  <c r="AA590" i="87"/>
  <c r="AG590" i="87" s="1"/>
  <c r="AA137" i="88"/>
  <c r="AA145" i="88"/>
  <c r="AA81" i="87"/>
  <c r="AA292" i="87"/>
  <c r="AG292" i="87" s="1"/>
  <c r="AA16" i="87"/>
  <c r="L16" i="91" s="1"/>
  <c r="O16" i="91" s="1"/>
  <c r="AA301" i="87"/>
  <c r="L301" i="91" s="1"/>
  <c r="O301" i="91" s="1"/>
  <c r="AA136" i="88"/>
  <c r="AA144" i="88"/>
  <c r="AA84" i="87"/>
  <c r="L84" i="91" s="1"/>
  <c r="O84" i="91" s="1"/>
  <c r="AA217" i="87"/>
  <c r="AG217" i="87" s="1"/>
  <c r="AA387" i="87"/>
  <c r="AG387" i="87" s="1"/>
  <c r="AA158" i="87"/>
  <c r="AA288" i="87"/>
  <c r="L288" i="91" s="1"/>
  <c r="O288" i="91" s="1"/>
  <c r="AA396" i="87"/>
  <c r="AG396" i="87" s="1"/>
  <c r="AA82" i="87"/>
  <c r="L82" i="91" s="1"/>
  <c r="O82" i="91" s="1"/>
  <c r="AA160" i="87"/>
  <c r="AG160" i="87" s="1"/>
  <c r="AA283" i="87"/>
  <c r="AG283" i="87" s="1"/>
  <c r="AA357" i="87"/>
  <c r="AG357" i="87" s="1"/>
  <c r="AA15" i="87"/>
  <c r="AA79" i="87"/>
  <c r="AG79" i="87" s="1"/>
  <c r="AA159" i="87"/>
  <c r="AG159" i="87" s="1"/>
  <c r="AA279" i="87"/>
  <c r="AG279" i="87" s="1"/>
  <c r="AA300" i="87"/>
  <c r="AG300" i="87" s="1"/>
  <c r="AA395" i="87"/>
  <c r="AG395" i="87" s="1"/>
  <c r="AA218" i="87"/>
  <c r="AG218" i="87" s="1"/>
  <c r="AA294" i="87"/>
  <c r="AG294" i="87" s="1"/>
  <c r="AA358" i="87"/>
  <c r="AG358" i="87" s="1"/>
  <c r="AA224" i="88"/>
  <c r="AA398" i="87"/>
  <c r="AG398" i="87" s="1"/>
  <c r="AA475" i="87"/>
  <c r="AG475" i="87" s="1"/>
  <c r="AA101" i="87"/>
  <c r="AG101" i="87" s="1"/>
  <c r="AA105" i="87"/>
  <c r="AG105" i="87" s="1"/>
  <c r="AA109" i="87"/>
  <c r="AG109" i="87" s="1"/>
  <c r="AA163" i="88"/>
  <c r="AA405" i="87"/>
  <c r="AG405" i="87" s="1"/>
  <c r="AA154" i="88"/>
  <c r="AA402" i="87"/>
  <c r="AG402" i="87" s="1"/>
  <c r="AA50" i="88"/>
  <c r="AA54" i="88"/>
  <c r="AA58" i="88"/>
  <c r="AA166" i="88"/>
  <c r="AA417" i="87"/>
  <c r="AG417" i="87" s="1"/>
  <c r="AA222" i="88"/>
  <c r="AA408" i="87"/>
  <c r="AG408" i="87" s="1"/>
  <c r="AA470" i="87"/>
  <c r="AG470" i="87" s="1"/>
  <c r="AA60" i="88"/>
  <c r="AA156" i="88"/>
  <c r="AA215" i="88"/>
  <c r="AA399" i="87"/>
  <c r="AG399" i="87" s="1"/>
  <c r="AA415" i="87"/>
  <c r="AG415" i="87" s="1"/>
  <c r="AA477" i="87"/>
  <c r="AG477" i="87" s="1"/>
  <c r="G9" i="92"/>
  <c r="I9" i="92" s="1"/>
  <c r="U18" i="98"/>
  <c r="U61" i="98" s="1"/>
  <c r="U30" i="98"/>
  <c r="U73" i="98" s="1"/>
  <c r="U37" i="98"/>
  <c r="U80" i="98" s="1"/>
  <c r="U20" i="98"/>
  <c r="U63" i="98" s="1"/>
  <c r="AD33" i="79"/>
  <c r="AA33" i="97"/>
  <c r="AA86" i="97" s="1"/>
  <c r="AB45" i="79"/>
  <c r="T45" i="97"/>
  <c r="T98" i="97" s="1"/>
  <c r="P5" i="97"/>
  <c r="P58" i="97" s="1"/>
  <c r="P54" i="79"/>
  <c r="O14" i="99"/>
  <c r="O15" i="99"/>
  <c r="V5" i="97"/>
  <c r="V58" i="97" s="1"/>
  <c r="W54" i="79"/>
  <c r="AD50" i="79"/>
  <c r="AA50" i="97"/>
  <c r="AA103" i="97" s="1"/>
  <c r="U20" i="97"/>
  <c r="U73" i="97" s="1"/>
  <c r="U15" i="97"/>
  <c r="U68" i="97" s="1"/>
  <c r="U35" i="97"/>
  <c r="U88" i="97" s="1"/>
  <c r="U17" i="97"/>
  <c r="U70" i="97" s="1"/>
  <c r="G14" i="100"/>
  <c r="G15" i="100"/>
  <c r="AD41" i="79"/>
  <c r="AA41" i="97"/>
  <c r="AA94" i="97" s="1"/>
  <c r="AD27" i="79"/>
  <c r="AA27" i="97"/>
  <c r="AA80" i="97" s="1"/>
  <c r="AB7" i="79"/>
  <c r="E9" i="100"/>
  <c r="E11" i="100"/>
  <c r="E7" i="100"/>
  <c r="E13" i="100" s="1"/>
  <c r="AB20" i="93"/>
  <c r="U54" i="93"/>
  <c r="L5" i="97"/>
  <c r="L58" i="97" s="1"/>
  <c r="L54" i="79"/>
  <c r="AD10" i="79"/>
  <c r="AA10" i="97"/>
  <c r="AA63" i="97" s="1"/>
  <c r="AH54" i="79"/>
  <c r="AD12" i="79"/>
  <c r="AA12" i="97"/>
  <c r="AA65" i="97" s="1"/>
  <c r="AD34" i="79"/>
  <c r="AA34" i="97"/>
  <c r="AA87" i="97" s="1"/>
  <c r="V48" i="79"/>
  <c r="U48" i="97" s="1"/>
  <c r="U101" i="97" s="1"/>
  <c r="V28" i="79"/>
  <c r="V8" i="93"/>
  <c r="AB8" i="93" s="1"/>
  <c r="V6" i="93"/>
  <c r="AB6" i="93" s="1"/>
  <c r="V32" i="93"/>
  <c r="AB32" i="93" s="1"/>
  <c r="V23" i="93"/>
  <c r="AB23" i="93" s="1"/>
  <c r="U33" i="97"/>
  <c r="U86" i="97" s="1"/>
  <c r="AD13" i="79"/>
  <c r="AA13" i="97"/>
  <c r="AA66" i="97" s="1"/>
  <c r="AD35" i="79"/>
  <c r="AA35" i="97"/>
  <c r="AA88" i="97" s="1"/>
  <c r="V21" i="93"/>
  <c r="AB21" i="93" s="1"/>
  <c r="V34" i="93"/>
  <c r="AB34" i="93" s="1"/>
  <c r="V18" i="79"/>
  <c r="V41" i="79"/>
  <c r="Q5" i="97"/>
  <c r="Q58" i="97" s="1"/>
  <c r="Q54" i="79"/>
  <c r="U52" i="97"/>
  <c r="U105" i="97" s="1"/>
  <c r="V45" i="93"/>
  <c r="AB45" i="93" s="1"/>
  <c r="V31" i="93"/>
  <c r="AB31" i="93" s="1"/>
  <c r="V25" i="93"/>
  <c r="AB25" i="93" s="1"/>
  <c r="AH54" i="93"/>
  <c r="AD46" i="79"/>
  <c r="AA46" i="97"/>
  <c r="AA99" i="97" s="1"/>
  <c r="AD44" i="79"/>
  <c r="AA44" i="97"/>
  <c r="AA97" i="97" s="1"/>
  <c r="AD7" i="79"/>
  <c r="AA7" i="97"/>
  <c r="AA60" i="97" s="1"/>
  <c r="AB29" i="79"/>
  <c r="AD24" i="79"/>
  <c r="AA24" i="97"/>
  <c r="AA77" i="97" s="1"/>
  <c r="AD38" i="79"/>
  <c r="AA38" i="97"/>
  <c r="AA91" i="97" s="1"/>
  <c r="AA5" i="97"/>
  <c r="AA58" i="97" s="1"/>
  <c r="AD5" i="79"/>
  <c r="AC54" i="79"/>
  <c r="V29" i="93"/>
  <c r="AB29" i="93" s="1"/>
  <c r="V24" i="93"/>
  <c r="AB24" i="93" s="1"/>
  <c r="V10" i="93"/>
  <c r="AB10" i="93" s="1"/>
  <c r="AB39" i="83"/>
  <c r="AA776" i="87"/>
  <c r="L776" i="91" s="1"/>
  <c r="O776" i="91" s="1"/>
  <c r="AA254" i="88"/>
  <c r="AA568" i="87"/>
  <c r="L568" i="91" s="1"/>
  <c r="O568" i="91" s="1"/>
  <c r="AA575" i="87"/>
  <c r="AG575" i="87" s="1"/>
  <c r="U11" i="98"/>
  <c r="U54" i="98" s="1"/>
  <c r="R5" i="93"/>
  <c r="R5" i="79"/>
  <c r="R26" i="93"/>
  <c r="R27" i="79"/>
  <c r="R35" i="79"/>
  <c r="R35" i="97" s="1"/>
  <c r="R88" i="97" s="1"/>
  <c r="R42" i="93"/>
  <c r="R18" i="93"/>
  <c r="R29" i="93"/>
  <c r="R29" i="79"/>
  <c r="R15" i="93"/>
  <c r="R22" i="79"/>
  <c r="R49" i="93"/>
  <c r="R41" i="93"/>
  <c r="R51" i="79"/>
  <c r="R51" i="97" s="1"/>
  <c r="R104" i="97" s="1"/>
  <c r="R37" i="93"/>
  <c r="R23" i="93"/>
  <c r="R30" i="79"/>
  <c r="R25" i="93"/>
  <c r="R13" i="79"/>
  <c r="R13" i="97" s="1"/>
  <c r="R66" i="97" s="1"/>
  <c r="R43" i="93"/>
  <c r="R16" i="93"/>
  <c r="R28" i="79"/>
  <c r="R46" i="79"/>
  <c r="R46" i="97" s="1"/>
  <c r="R99" i="97" s="1"/>
  <c r="R45" i="93"/>
  <c r="R45" i="79"/>
  <c r="R45" i="97" s="1"/>
  <c r="R98" i="97" s="1"/>
  <c r="R10" i="93"/>
  <c r="R13" i="93"/>
  <c r="R40" i="93"/>
  <c r="R40" i="79"/>
  <c r="R40" i="97" s="1"/>
  <c r="R93" i="97" s="1"/>
  <c r="R8" i="79"/>
  <c r="R8" i="97" s="1"/>
  <c r="R61" i="97" s="1"/>
  <c r="R7" i="79"/>
  <c r="R7" i="97" s="1"/>
  <c r="R60" i="97" s="1"/>
  <c r="R21" i="93"/>
  <c r="R21" i="79"/>
  <c r="R21" i="97" s="1"/>
  <c r="R74" i="97" s="1"/>
  <c r="R18" i="79"/>
  <c r="R18" i="97" s="1"/>
  <c r="R71" i="97" s="1"/>
  <c r="R15" i="79"/>
  <c r="R15" i="97" s="1"/>
  <c r="R68" i="97" s="1"/>
  <c r="R12" i="93"/>
  <c r="R20" i="79"/>
  <c r="R20" i="97" s="1"/>
  <c r="R73" i="97" s="1"/>
  <c r="R25" i="79"/>
  <c r="R48" i="93"/>
  <c r="R27" i="93"/>
  <c r="R35" i="93"/>
  <c r="R44" i="79"/>
  <c r="R44" i="97" s="1"/>
  <c r="R97" i="97" s="1"/>
  <c r="R34" i="93"/>
  <c r="R34" i="79"/>
  <c r="R34" i="97" s="1"/>
  <c r="R87" i="97" s="1"/>
  <c r="R36" i="79"/>
  <c r="R36" i="97" s="1"/>
  <c r="R89" i="97" s="1"/>
  <c r="R22" i="93"/>
  <c r="R17" i="79"/>
  <c r="R17" i="97" s="1"/>
  <c r="R70" i="97" s="1"/>
  <c r="R52" i="79"/>
  <c r="R52" i="97" s="1"/>
  <c r="R105" i="97" s="1"/>
  <c r="R19" i="79"/>
  <c r="R19" i="97" s="1"/>
  <c r="R72" i="97" s="1"/>
  <c r="R12" i="79"/>
  <c r="R12" i="97" s="1"/>
  <c r="R65" i="97" s="1"/>
  <c r="R33" i="93"/>
  <c r="R50" i="79"/>
  <c r="R50" i="97" s="1"/>
  <c r="R103" i="97" s="1"/>
  <c r="R20" i="93"/>
  <c r="R47" i="79"/>
  <c r="R47" i="97" s="1"/>
  <c r="R100" i="97" s="1"/>
  <c r="R30" i="93"/>
  <c r="R14" i="93"/>
  <c r="R14" i="79"/>
  <c r="R14" i="97" s="1"/>
  <c r="R67" i="97" s="1"/>
  <c r="R9" i="79"/>
  <c r="R9" i="97" s="1"/>
  <c r="R62" i="97" s="1"/>
  <c r="R28" i="93"/>
  <c r="R46" i="93"/>
  <c r="R38" i="79"/>
  <c r="R38" i="97" s="1"/>
  <c r="R91" i="97" s="1"/>
  <c r="R39" i="93"/>
  <c r="R48" i="79"/>
  <c r="R48" i="97" s="1"/>
  <c r="R101" i="97" s="1"/>
  <c r="R43" i="79"/>
  <c r="R43" i="97" s="1"/>
  <c r="R96" i="97" s="1"/>
  <c r="R16" i="79"/>
  <c r="R16" i="97" s="1"/>
  <c r="R69" i="97" s="1"/>
  <c r="R9" i="93"/>
  <c r="R8" i="93"/>
  <c r="R26" i="79"/>
  <c r="R26" i="97" s="1"/>
  <c r="R79" i="97" s="1"/>
  <c r="R36" i="93"/>
  <c r="R41" i="79"/>
  <c r="R41" i="97" s="1"/>
  <c r="R94" i="97" s="1"/>
  <c r="R37" i="79"/>
  <c r="R37" i="97" s="1"/>
  <c r="R90" i="97" s="1"/>
  <c r="R23" i="79"/>
  <c r="R32" i="93"/>
  <c r="R10" i="79"/>
  <c r="R10" i="97" s="1"/>
  <c r="R63" i="97" s="1"/>
  <c r="R6" i="93"/>
  <c r="R42" i="79"/>
  <c r="R42" i="97" s="1"/>
  <c r="R95" i="97" s="1"/>
  <c r="R44" i="93"/>
  <c r="R17" i="93"/>
  <c r="R24" i="93"/>
  <c r="R24" i="79"/>
  <c r="R52" i="93"/>
  <c r="R51" i="93"/>
  <c r="R11" i="79"/>
  <c r="R11" i="97" s="1"/>
  <c r="R64" i="97" s="1"/>
  <c r="R19" i="93"/>
  <c r="R50" i="93"/>
  <c r="R47" i="93"/>
  <c r="R31" i="93"/>
  <c r="R31" i="79"/>
  <c r="R31" i="97" s="1"/>
  <c r="R84" i="97" s="1"/>
  <c r="R32" i="79"/>
  <c r="R32" i="97" s="1"/>
  <c r="R85" i="97" s="1"/>
  <c r="R6" i="79"/>
  <c r="R6" i="97" s="1"/>
  <c r="R59" i="97" s="1"/>
  <c r="R49" i="79"/>
  <c r="R49" i="97" s="1"/>
  <c r="R102" i="97" s="1"/>
  <c r="R11" i="93"/>
  <c r="R33" i="79"/>
  <c r="R33" i="97" s="1"/>
  <c r="R86" i="97" s="1"/>
  <c r="R38" i="93"/>
  <c r="R7" i="93"/>
  <c r="R39" i="79"/>
  <c r="R39" i="97" s="1"/>
  <c r="R92" i="97" s="1"/>
  <c r="AD14" i="79"/>
  <c r="AA14" i="97"/>
  <c r="AA67" i="97" s="1"/>
  <c r="V54" i="80"/>
  <c r="AD22" i="79"/>
  <c r="AA22" i="97"/>
  <c r="AA75" i="97" s="1"/>
  <c r="AD52" i="79"/>
  <c r="AA52" i="97"/>
  <c r="AA105" i="97" s="1"/>
  <c r="AD36" i="79"/>
  <c r="AA36" i="97"/>
  <c r="AA89" i="97" s="1"/>
  <c r="AM56" i="78"/>
  <c r="AA289" i="88"/>
  <c r="AA623" i="87"/>
  <c r="AG623" i="87" s="1"/>
  <c r="AA539" i="87"/>
  <c r="AG539" i="87" s="1"/>
  <c r="AM56" i="80"/>
  <c r="AB17" i="83"/>
  <c r="AJ17" i="94" s="1"/>
  <c r="AA613" i="87"/>
  <c r="AG613" i="87" s="1"/>
  <c r="AA294" i="88"/>
  <c r="AA620" i="87"/>
  <c r="AG620" i="87" s="1"/>
  <c r="AA293" i="88"/>
  <c r="AA621" i="87"/>
  <c r="AG621" i="87" s="1"/>
  <c r="AA625" i="87"/>
  <c r="AG625" i="87" s="1"/>
  <c r="AA536" i="87"/>
  <c r="AA540" i="87"/>
  <c r="AG540" i="87" s="1"/>
  <c r="AA785" i="87"/>
  <c r="L785" i="91" s="1"/>
  <c r="O785" i="91" s="1"/>
  <c r="AA783" i="87"/>
  <c r="AA790" i="87"/>
  <c r="AG790" i="87" s="1"/>
  <c r="AA771" i="87"/>
  <c r="AG771" i="87" s="1"/>
  <c r="AA780" i="87"/>
  <c r="L780" i="91" s="1"/>
  <c r="O780" i="91" s="1"/>
  <c r="AA541" i="87"/>
  <c r="L769" i="91" s="1"/>
  <c r="AA572" i="87"/>
  <c r="AG572" i="87" s="1"/>
  <c r="AA557" i="87"/>
  <c r="AG557" i="87" s="1"/>
  <c r="AA579" i="87"/>
  <c r="AG579" i="87" s="1"/>
  <c r="AA567" i="87"/>
  <c r="AG567" i="87" s="1"/>
  <c r="AA561" i="87"/>
  <c r="AG561" i="87" s="1"/>
  <c r="AA548" i="87"/>
  <c r="AG548" i="87" s="1"/>
  <c r="AA569" i="87"/>
  <c r="AG569" i="87" s="1"/>
  <c r="AA550" i="87"/>
  <c r="AG550" i="87" s="1"/>
  <c r="AA566" i="87"/>
  <c r="AG566" i="87" s="1"/>
  <c r="AA596" i="87"/>
  <c r="AG596" i="87" s="1"/>
  <c r="AA594" i="87"/>
  <c r="AG594" i="87" s="1"/>
  <c r="AA139" i="88"/>
  <c r="AA17" i="87"/>
  <c r="AA148" i="87"/>
  <c r="L148" i="91" s="1"/>
  <c r="O148" i="91" s="1"/>
  <c r="AA359" i="87"/>
  <c r="AG359" i="87" s="1"/>
  <c r="AA21" i="87"/>
  <c r="AA353" i="87"/>
  <c r="AG353" i="87" s="1"/>
  <c r="AA138" i="88"/>
  <c r="AA18" i="87"/>
  <c r="L18" i="91" s="1"/>
  <c r="O18" i="91" s="1"/>
  <c r="AA280" i="87"/>
  <c r="AG280" i="87" s="1"/>
  <c r="AA164" i="87"/>
  <c r="L164" i="91" s="1"/>
  <c r="O164" i="91" s="1"/>
  <c r="AA296" i="87"/>
  <c r="L296" i="91" s="1"/>
  <c r="O296" i="91" s="1"/>
  <c r="AA165" i="87"/>
  <c r="AG165" i="87" s="1"/>
  <c r="AA291" i="87"/>
  <c r="AG291" i="87" s="1"/>
  <c r="AA391" i="87"/>
  <c r="AG391" i="87" s="1"/>
  <c r="AA19" i="87"/>
  <c r="AG19" i="87" s="1"/>
  <c r="AA83" i="87"/>
  <c r="AG83" i="87" s="1"/>
  <c r="AA147" i="87"/>
  <c r="AA163" i="87"/>
  <c r="AG163" i="87" s="1"/>
  <c r="AA284" i="87"/>
  <c r="L284" i="91" s="1"/>
  <c r="O284" i="91" s="1"/>
  <c r="AA351" i="87"/>
  <c r="AG351" i="87" s="1"/>
  <c r="AA282" i="87"/>
  <c r="AA298" i="87"/>
  <c r="L298" i="91" s="1"/>
  <c r="O298" i="91" s="1"/>
  <c r="AA386" i="87"/>
  <c r="AG386" i="87" s="1"/>
  <c r="AA151" i="88"/>
  <c r="AA146" i="88"/>
  <c r="AA406" i="87"/>
  <c r="AG406" i="87" s="1"/>
  <c r="AA98" i="87"/>
  <c r="AG98" i="87" s="1"/>
  <c r="AA102" i="87"/>
  <c r="AG102" i="87" s="1"/>
  <c r="AA106" i="87"/>
  <c r="AG106" i="87" s="1"/>
  <c r="AA147" i="88"/>
  <c r="AA217" i="88"/>
  <c r="AA413" i="87"/>
  <c r="AG413" i="87" s="1"/>
  <c r="AA159" i="88"/>
  <c r="AA410" i="87"/>
  <c r="AG410" i="87" s="1"/>
  <c r="AA51" i="88"/>
  <c r="AA55" i="88"/>
  <c r="AA150" i="88"/>
  <c r="AA221" i="88"/>
  <c r="AA468" i="87"/>
  <c r="AG468" i="87" s="1"/>
  <c r="AA226" i="88"/>
  <c r="AA412" i="87"/>
  <c r="AG412" i="87" s="1"/>
  <c r="AA474" i="87"/>
  <c r="AG474" i="87" s="1"/>
  <c r="AA61" i="88"/>
  <c r="AA160" i="88"/>
  <c r="AA219" i="88"/>
  <c r="AA403" i="87"/>
  <c r="AG403" i="87" s="1"/>
  <c r="AJ22" i="94"/>
  <c r="AJ18" i="94"/>
  <c r="AJ35" i="94"/>
  <c r="AJ41" i="94"/>
  <c r="AJ25" i="94"/>
  <c r="AD29" i="79"/>
  <c r="AA29" i="97"/>
  <c r="AA82" i="97" s="1"/>
  <c r="AD16" i="79"/>
  <c r="AA16" i="97"/>
  <c r="AA69" i="97" s="1"/>
  <c r="AD26" i="79"/>
  <c r="AA26" i="97"/>
  <c r="AA79" i="97" s="1"/>
  <c r="F9" i="100"/>
  <c r="F7" i="100"/>
  <c r="F13" i="100" s="1"/>
  <c r="F11" i="100"/>
  <c r="U30" i="97"/>
  <c r="U83" i="97" s="1"/>
  <c r="AD48" i="79"/>
  <c r="AA48" i="97"/>
  <c r="AA101" i="97" s="1"/>
  <c r="U16" i="97"/>
  <c r="U69" i="97" s="1"/>
  <c r="U40" i="97"/>
  <c r="U93" i="97" s="1"/>
  <c r="AD8" i="79"/>
  <c r="AA8" i="97"/>
  <c r="AA61" i="97" s="1"/>
  <c r="V13" i="93"/>
  <c r="AB13" i="93" s="1"/>
  <c r="V9" i="93"/>
  <c r="AB9" i="93" s="1"/>
  <c r="S5" i="93"/>
  <c r="S5" i="79"/>
  <c r="S27" i="93"/>
  <c r="S35" i="93"/>
  <c r="S44" i="79"/>
  <c r="S21" i="93"/>
  <c r="S34" i="79"/>
  <c r="S15" i="79"/>
  <c r="S17" i="93"/>
  <c r="S17" i="79"/>
  <c r="S52" i="79"/>
  <c r="S11" i="93"/>
  <c r="S37" i="79"/>
  <c r="S33" i="93"/>
  <c r="S33" i="79"/>
  <c r="S20" i="93"/>
  <c r="S20" i="79"/>
  <c r="S30" i="93"/>
  <c r="S14" i="79"/>
  <c r="S40" i="93"/>
  <c r="S9" i="79"/>
  <c r="S32" i="93"/>
  <c r="S28" i="93"/>
  <c r="S46" i="93"/>
  <c r="S39" i="93"/>
  <c r="S39" i="79"/>
  <c r="S10" i="79"/>
  <c r="S38" i="79"/>
  <c r="S48" i="93"/>
  <c r="S26" i="93"/>
  <c r="S6" i="93"/>
  <c r="S42" i="93"/>
  <c r="S29" i="79"/>
  <c r="S50" i="93"/>
  <c r="S23" i="93"/>
  <c r="S30" i="79"/>
  <c r="S43" i="93"/>
  <c r="S16" i="93"/>
  <c r="S8" i="93"/>
  <c r="S35" i="79"/>
  <c r="S44" i="93"/>
  <c r="S29" i="93"/>
  <c r="S15" i="93"/>
  <c r="S22" i="79"/>
  <c r="S24" i="79"/>
  <c r="S52" i="93"/>
  <c r="S51" i="93"/>
  <c r="S51" i="79"/>
  <c r="S37" i="93"/>
  <c r="S31" i="79"/>
  <c r="S13" i="93"/>
  <c r="S13" i="79"/>
  <c r="S9" i="93"/>
  <c r="S8" i="79"/>
  <c r="S45" i="93"/>
  <c r="S7" i="93"/>
  <c r="S7" i="79"/>
  <c r="S10" i="93"/>
  <c r="S14" i="93"/>
  <c r="S42" i="79"/>
  <c r="S49" i="93"/>
  <c r="S41" i="93"/>
  <c r="S11" i="79"/>
  <c r="S19" i="93"/>
  <c r="S47" i="93"/>
  <c r="S31" i="93"/>
  <c r="S43" i="79"/>
  <c r="S16" i="79"/>
  <c r="S45" i="79"/>
  <c r="S26" i="79"/>
  <c r="S6" i="79"/>
  <c r="S21" i="79"/>
  <c r="S34" i="93"/>
  <c r="S18" i="79"/>
  <c r="S36" i="93"/>
  <c r="S36" i="79"/>
  <c r="S22" i="93"/>
  <c r="S49" i="79"/>
  <c r="S41" i="79"/>
  <c r="S19" i="79"/>
  <c r="S12" i="93"/>
  <c r="S12" i="79"/>
  <c r="S50" i="79"/>
  <c r="S47" i="79"/>
  <c r="S23" i="79"/>
  <c r="S25" i="79"/>
  <c r="S38" i="93"/>
  <c r="S48" i="79"/>
  <c r="S27" i="79"/>
  <c r="S18" i="93"/>
  <c r="S24" i="93"/>
  <c r="S25" i="93"/>
  <c r="S40" i="79"/>
  <c r="S32" i="79"/>
  <c r="S28" i="79"/>
  <c r="S46" i="79"/>
  <c r="AD19" i="79"/>
  <c r="AA19" i="97"/>
  <c r="AA72" i="97" s="1"/>
  <c r="AB50" i="93"/>
  <c r="T5" i="97"/>
  <c r="T58" i="97" s="1"/>
  <c r="AB5" i="79"/>
  <c r="U54" i="79"/>
  <c r="C7" i="99"/>
  <c r="C13" i="99" s="1"/>
  <c r="C9" i="99"/>
  <c r="C11" i="99"/>
  <c r="AB21" i="79"/>
  <c r="E9" i="99"/>
  <c r="E11" i="99"/>
  <c r="E7" i="99"/>
  <c r="E13" i="99" s="1"/>
  <c r="P15" i="99"/>
  <c r="P14" i="99"/>
  <c r="V12" i="79"/>
  <c r="V11" i="79"/>
  <c r="V8" i="79"/>
  <c r="V49" i="79"/>
  <c r="V26" i="79"/>
  <c r="V43" i="79"/>
  <c r="V6" i="79"/>
  <c r="U23" i="97"/>
  <c r="U76" i="97" s="1"/>
  <c r="V33" i="93"/>
  <c r="AB33" i="93" s="1"/>
  <c r="AD51" i="79"/>
  <c r="AA51" i="97"/>
  <c r="AA104" i="97" s="1"/>
  <c r="V18" i="93"/>
  <c r="AB18" i="93" s="1"/>
  <c r="V22" i="93"/>
  <c r="AB22" i="93" s="1"/>
  <c r="V47" i="93"/>
  <c r="AB47" i="93" s="1"/>
  <c r="V46" i="93"/>
  <c r="AB46" i="93" s="1"/>
  <c r="AD17" i="79"/>
  <c r="AA17" i="97"/>
  <c r="AA70" i="97" s="1"/>
  <c r="V52" i="93"/>
  <c r="AB52" i="93" s="1"/>
  <c r="U31" i="97"/>
  <c r="U84" i="97" s="1"/>
  <c r="U25" i="97"/>
  <c r="U78" i="97" s="1"/>
  <c r="T9" i="99"/>
  <c r="T11" i="99"/>
  <c r="T7" i="99"/>
  <c r="T13" i="99" s="1"/>
  <c r="AB26" i="83"/>
  <c r="AJ26" i="94" s="1"/>
  <c r="V14" i="93"/>
  <c r="AB14" i="93" s="1"/>
  <c r="AB10" i="83"/>
  <c r="AB19" i="83"/>
  <c r="AJ19" i="94" s="1"/>
  <c r="AJ40" i="94"/>
  <c r="AJ23" i="94"/>
  <c r="AG915" i="87"/>
  <c r="AG794" i="87"/>
  <c r="L794" i="91"/>
  <c r="O794" i="91" s="1"/>
  <c r="AG775" i="87"/>
  <c r="L575" i="91"/>
  <c r="O575" i="91" s="1"/>
  <c r="AG800" i="87"/>
  <c r="L800" i="91"/>
  <c r="O800" i="91" s="1"/>
  <c r="L299" i="91"/>
  <c r="O299" i="91" s="1"/>
  <c r="AG76" i="87"/>
  <c r="L406" i="91"/>
  <c r="O406" i="91" s="1"/>
  <c r="L389" i="91"/>
  <c r="L295" i="91"/>
  <c r="O295" i="91" s="1"/>
  <c r="AG298" i="87"/>
  <c r="AG537" i="87"/>
  <c r="L537" i="91"/>
  <c r="O537" i="91" s="1"/>
  <c r="L913" i="91"/>
  <c r="O913" i="91" s="1"/>
  <c r="AG919" i="87"/>
  <c r="AG784" i="87"/>
  <c r="L784" i="91"/>
  <c r="O784" i="91" s="1"/>
  <c r="AG787" i="87"/>
  <c r="L787" i="91"/>
  <c r="O787" i="91" s="1"/>
  <c r="AG793" i="87"/>
  <c r="L793" i="91"/>
  <c r="O793" i="91" s="1"/>
  <c r="L610" i="91"/>
  <c r="O610" i="91" s="1"/>
  <c r="AG571" i="87"/>
  <c r="L571" i="91"/>
  <c r="O571" i="91" s="1"/>
  <c r="AG547" i="87"/>
  <c r="L547" i="91"/>
  <c r="O547" i="91" s="1"/>
  <c r="AG558" i="87"/>
  <c r="L558" i="91"/>
  <c r="O558" i="91" s="1"/>
  <c r="AG805" i="87"/>
  <c r="L805" i="91"/>
  <c r="O805" i="91" s="1"/>
  <c r="AG803" i="87"/>
  <c r="L803" i="91"/>
  <c r="O803" i="91" s="1"/>
  <c r="AG802" i="87"/>
  <c r="L802" i="91"/>
  <c r="O802" i="91" s="1"/>
  <c r="L102" i="91"/>
  <c r="L100" i="91"/>
  <c r="O100" i="91" s="1"/>
  <c r="AG16" i="87"/>
  <c r="AG84" i="87"/>
  <c r="AG288" i="87"/>
  <c r="AG149" i="87"/>
  <c r="AG207" i="87"/>
  <c r="L279" i="91"/>
  <c r="O279" i="91" s="1"/>
  <c r="L914" i="91"/>
  <c r="O914" i="91" s="1"/>
  <c r="AG786" i="87"/>
  <c r="AG772" i="87"/>
  <c r="AG795" i="87"/>
  <c r="L795" i="91"/>
  <c r="O795" i="91" s="1"/>
  <c r="AG799" i="87"/>
  <c r="L799" i="91"/>
  <c r="O799" i="91" s="1"/>
  <c r="AG521" i="87"/>
  <c r="L20" i="91"/>
  <c r="O20" i="91" s="1"/>
  <c r="AG148" i="87"/>
  <c r="AG296" i="87"/>
  <c r="AG154" i="87"/>
  <c r="AG284" i="87"/>
  <c r="L540" i="91"/>
  <c r="O540" i="91" s="1"/>
  <c r="AG777" i="87"/>
  <c r="L777" i="91"/>
  <c r="O777" i="91" s="1"/>
  <c r="L687" i="91"/>
  <c r="O687" i="91" s="1"/>
  <c r="L655" i="91"/>
  <c r="O655" i="91" s="1"/>
  <c r="L690" i="91"/>
  <c r="O690" i="91" s="1"/>
  <c r="L658" i="91"/>
  <c r="AG797" i="87"/>
  <c r="L797" i="91"/>
  <c r="O797" i="91" s="1"/>
  <c r="L804" i="91"/>
  <c r="O804" i="91" s="1"/>
  <c r="L22" i="91"/>
  <c r="O22" i="91" s="1"/>
  <c r="L283" i="91"/>
  <c r="O283" i="91" s="1"/>
  <c r="Y5" i="84"/>
  <c r="X44" i="84"/>
  <c r="AB46" i="84"/>
  <c r="AB46" i="83"/>
  <c r="AB46" i="81"/>
  <c r="AB46" i="82"/>
  <c r="Y5" i="83"/>
  <c r="L285" i="91" l="1"/>
  <c r="O285" i="91" s="1"/>
  <c r="L214" i="91"/>
  <c r="O214" i="91" s="1"/>
  <c r="L543" i="91"/>
  <c r="O543" i="91" s="1"/>
  <c r="AG530" i="87"/>
  <c r="L297" i="91"/>
  <c r="O297" i="91" s="1"/>
  <c r="AG301" i="87"/>
  <c r="L599" i="91"/>
  <c r="O599" i="91" s="1"/>
  <c r="L162" i="91"/>
  <c r="O162" i="91" s="1"/>
  <c r="L357" i="91"/>
  <c r="O357" i="91" s="1"/>
  <c r="L210" i="91"/>
  <c r="O210" i="91" s="1"/>
  <c r="L591" i="91"/>
  <c r="O389" i="91"/>
  <c r="L213" i="91"/>
  <c r="O213" i="91" s="1"/>
  <c r="L217" i="91"/>
  <c r="O217" i="91" s="1"/>
  <c r="L602" i="91"/>
  <c r="O602" i="91" s="1"/>
  <c r="S20" i="107"/>
  <c r="S25" i="107"/>
  <c r="S15" i="107"/>
  <c r="L529" i="91"/>
  <c r="O529" i="91" s="1"/>
  <c r="AG568" i="87"/>
  <c r="L356" i="91"/>
  <c r="O356" i="91" s="1"/>
  <c r="AG212" i="87"/>
  <c r="L722" i="91"/>
  <c r="L719" i="91"/>
  <c r="O719" i="91" s="1"/>
  <c r="L790" i="91"/>
  <c r="O790" i="91" s="1"/>
  <c r="L163" i="91"/>
  <c r="O163" i="91" s="1"/>
  <c r="L280" i="91"/>
  <c r="O280" i="91" s="1"/>
  <c r="L546" i="91"/>
  <c r="O546" i="91" s="1"/>
  <c r="L912" i="91"/>
  <c r="O912" i="91" s="1"/>
  <c r="L103" i="91"/>
  <c r="O103" i="91" s="1"/>
  <c r="AG281" i="87"/>
  <c r="L153" i="91"/>
  <c r="O153" i="91" s="1"/>
  <c r="L520" i="91"/>
  <c r="O520" i="91" s="1"/>
  <c r="L554" i="91"/>
  <c r="O554" i="91" s="1"/>
  <c r="L774" i="91"/>
  <c r="O774" i="91" s="1"/>
  <c r="L151" i="91"/>
  <c r="O151" i="91" s="1"/>
  <c r="AG24" i="87"/>
  <c r="L25" i="91"/>
  <c r="O25" i="91" s="1"/>
  <c r="L561" i="91"/>
  <c r="O561" i="91" s="1"/>
  <c r="L754" i="91"/>
  <c r="O754" i="91" s="1"/>
  <c r="L751" i="91"/>
  <c r="O751" i="91" s="1"/>
  <c r="AG352" i="87"/>
  <c r="AG85" i="87"/>
  <c r="L539" i="91"/>
  <c r="O539" i="91" s="1"/>
  <c r="L796" i="91"/>
  <c r="O796" i="91" s="1"/>
  <c r="AG531" i="87"/>
  <c r="X44" i="94"/>
  <c r="AB36" i="79"/>
  <c r="U36" i="97"/>
  <c r="U89" i="97" s="1"/>
  <c r="U32" i="97"/>
  <c r="U85" i="97" s="1"/>
  <c r="U10" i="97"/>
  <c r="U63" i="97" s="1"/>
  <c r="AB9" i="79"/>
  <c r="U9" i="97"/>
  <c r="U62" i="97" s="1"/>
  <c r="L209" i="91"/>
  <c r="O209" i="91" s="1"/>
  <c r="L293" i="91"/>
  <c r="O293" i="91" s="1"/>
  <c r="O658" i="91"/>
  <c r="AG785" i="87"/>
  <c r="L578" i="91"/>
  <c r="O578" i="91" s="1"/>
  <c r="L773" i="91"/>
  <c r="O773" i="91" s="1"/>
  <c r="L14" i="91"/>
  <c r="L74" i="91"/>
  <c r="O74" i="91" s="1"/>
  <c r="L798" i="91"/>
  <c r="O798" i="91" s="1"/>
  <c r="L532" i="91"/>
  <c r="O532" i="91" s="1"/>
  <c r="K9" i="100"/>
  <c r="K14" i="100" s="1"/>
  <c r="O109" i="91"/>
  <c r="L527" i="91"/>
  <c r="O527" i="91" s="1"/>
  <c r="L526" i="91"/>
  <c r="O526" i="91" s="1"/>
  <c r="L577" i="91"/>
  <c r="O577" i="91" s="1"/>
  <c r="L211" i="91"/>
  <c r="O211" i="91" s="1"/>
  <c r="L525" i="91"/>
  <c r="O525" i="91" s="1"/>
  <c r="L152" i="91"/>
  <c r="O152" i="91" s="1"/>
  <c r="L570" i="91"/>
  <c r="O570" i="91" s="1"/>
  <c r="L788" i="91"/>
  <c r="O788" i="91" s="1"/>
  <c r="L294" i="91"/>
  <c r="O294" i="91" s="1"/>
  <c r="O722" i="91"/>
  <c r="AG780" i="87"/>
  <c r="AG18" i="87"/>
  <c r="AG155" i="87"/>
  <c r="AG776" i="87"/>
  <c r="O769" i="91"/>
  <c r="L557" i="91"/>
  <c r="O557" i="91" s="1"/>
  <c r="L806" i="91"/>
  <c r="O806" i="91" s="1"/>
  <c r="L562" i="91"/>
  <c r="O562" i="91" s="1"/>
  <c r="L159" i="91"/>
  <c r="O159" i="91" s="1"/>
  <c r="L77" i="91"/>
  <c r="O77" i="91" s="1"/>
  <c r="L161" i="91"/>
  <c r="O161" i="91" s="1"/>
  <c r="L107" i="91"/>
  <c r="O107" i="91" s="1"/>
  <c r="L99" i="91"/>
  <c r="O99" i="91" s="1"/>
  <c r="L101" i="91"/>
  <c r="O101" i="91" s="1"/>
  <c r="K11" i="100"/>
  <c r="L548" i="91"/>
  <c r="O548" i="91" s="1"/>
  <c r="L771" i="91"/>
  <c r="O771" i="91" s="1"/>
  <c r="L534" i="91"/>
  <c r="O534" i="91" s="1"/>
  <c r="L19" i="91"/>
  <c r="O19" i="91" s="1"/>
  <c r="L555" i="91"/>
  <c r="O555" i="91" s="1"/>
  <c r="L106" i="91"/>
  <c r="L216" i="91"/>
  <c r="O216" i="91" s="1"/>
  <c r="L553" i="91"/>
  <c r="O553" i="91" s="1"/>
  <c r="L792" i="91"/>
  <c r="O792" i="91" s="1"/>
  <c r="O410" i="91"/>
  <c r="AC10" i="91"/>
  <c r="L218" i="91"/>
  <c r="O218" i="91" s="1"/>
  <c r="L801" i="91"/>
  <c r="O801" i="91" s="1"/>
  <c r="L544" i="91"/>
  <c r="O544" i="91" s="1"/>
  <c r="L533" i="91"/>
  <c r="O533" i="91" s="1"/>
  <c r="L104" i="91"/>
  <c r="O104" i="91" s="1"/>
  <c r="L105" i="91"/>
  <c r="O105" i="91" s="1"/>
  <c r="L522" i="91"/>
  <c r="O522" i="91" s="1"/>
  <c r="L85" i="91"/>
  <c r="O85" i="91" s="1"/>
  <c r="L98" i="91"/>
  <c r="O98" i="91" s="1"/>
  <c r="L108" i="91"/>
  <c r="O108" i="91" s="1"/>
  <c r="L23" i="91"/>
  <c r="O23" i="91" s="1"/>
  <c r="L541" i="91"/>
  <c r="O541" i="91" s="1"/>
  <c r="L668" i="91"/>
  <c r="O668" i="91" s="1"/>
  <c r="L700" i="91"/>
  <c r="O700" i="91" s="1"/>
  <c r="L732" i="91"/>
  <c r="O732" i="91" s="1"/>
  <c r="L764" i="91"/>
  <c r="O764" i="91" s="1"/>
  <c r="L665" i="91"/>
  <c r="O665" i="91" s="1"/>
  <c r="L697" i="91"/>
  <c r="O697" i="91" s="1"/>
  <c r="L729" i="91"/>
  <c r="O729" i="91" s="1"/>
  <c r="L761" i="91"/>
  <c r="O761" i="91" s="1"/>
  <c r="AG82" i="87"/>
  <c r="O591" i="91"/>
  <c r="L291" i="91"/>
  <c r="O291" i="91" s="1"/>
  <c r="L385" i="91"/>
  <c r="O385" i="91" s="1"/>
  <c r="L417" i="91"/>
  <c r="O417" i="91" s="1"/>
  <c r="L538" i="91"/>
  <c r="O538" i="91" s="1"/>
  <c r="AP5" i="87"/>
  <c r="AQ5" i="87" s="1"/>
  <c r="L355" i="91"/>
  <c r="O355" i="91" s="1"/>
  <c r="L524" i="91"/>
  <c r="O524" i="91" s="1"/>
  <c r="L550" i="91"/>
  <c r="O550" i="91" s="1"/>
  <c r="L642" i="91"/>
  <c r="O642" i="91" s="1"/>
  <c r="L674" i="91"/>
  <c r="O674" i="91" s="1"/>
  <c r="L706" i="91"/>
  <c r="O706" i="91" s="1"/>
  <c r="L738" i="91"/>
  <c r="O738" i="91" s="1"/>
  <c r="L770" i="91"/>
  <c r="O770" i="91" s="1"/>
  <c r="L671" i="91"/>
  <c r="O671" i="91" s="1"/>
  <c r="L703" i="91"/>
  <c r="O703" i="91" s="1"/>
  <c r="L735" i="91"/>
  <c r="O735" i="91" s="1"/>
  <c r="L767" i="91"/>
  <c r="O767" i="91" s="1"/>
  <c r="L918" i="91"/>
  <c r="O918" i="91" s="1"/>
  <c r="L474" i="91"/>
  <c r="O474" i="91" s="1"/>
  <c r="L652" i="91"/>
  <c r="O652" i="91" s="1"/>
  <c r="L684" i="91"/>
  <c r="O684" i="91" s="1"/>
  <c r="L716" i="91"/>
  <c r="O716" i="91" s="1"/>
  <c r="L748" i="91"/>
  <c r="O748" i="91" s="1"/>
  <c r="L649" i="91"/>
  <c r="O649" i="91" s="1"/>
  <c r="L681" i="91"/>
  <c r="O681" i="91" s="1"/>
  <c r="L713" i="91"/>
  <c r="O713" i="91" s="1"/>
  <c r="L745" i="91"/>
  <c r="O745" i="91" s="1"/>
  <c r="O625" i="91"/>
  <c r="AG535" i="87"/>
  <c r="L535" i="91"/>
  <c r="O535" i="91" s="1"/>
  <c r="L573" i="91"/>
  <c r="O573" i="91" s="1"/>
  <c r="AG573" i="87"/>
  <c r="AG519" i="87"/>
  <c r="L519" i="91"/>
  <c r="O519" i="91" s="1"/>
  <c r="L473" i="91"/>
  <c r="O473" i="91" s="1"/>
  <c r="L409" i="91"/>
  <c r="O409" i="91" s="1"/>
  <c r="L467" i="91"/>
  <c r="O467" i="91" s="1"/>
  <c r="L396" i="91"/>
  <c r="O396" i="91" s="1"/>
  <c r="L419" i="91"/>
  <c r="O419" i="91" s="1"/>
  <c r="L398" i="91"/>
  <c r="O398" i="91" s="1"/>
  <c r="L478" i="91"/>
  <c r="O478" i="91" s="1"/>
  <c r="L468" i="91"/>
  <c r="O468" i="91" s="1"/>
  <c r="L401" i="91"/>
  <c r="O401" i="91" s="1"/>
  <c r="L397" i="91"/>
  <c r="O397" i="91" s="1"/>
  <c r="L399" i="91"/>
  <c r="O399" i="91" s="1"/>
  <c r="L402" i="91"/>
  <c r="O402" i="91" s="1"/>
  <c r="L469" i="91"/>
  <c r="O469" i="91" s="1"/>
  <c r="L405" i="91"/>
  <c r="O405" i="91" s="1"/>
  <c r="L414" i="91"/>
  <c r="O414" i="91" s="1"/>
  <c r="L392" i="91"/>
  <c r="O392" i="91" s="1"/>
  <c r="L412" i="91"/>
  <c r="O412" i="91" s="1"/>
  <c r="L395" i="91"/>
  <c r="O395" i="91" s="1"/>
  <c r="L476" i="91"/>
  <c r="O476" i="91" s="1"/>
  <c r="L466" i="91"/>
  <c r="O466" i="91" s="1"/>
  <c r="L393" i="91"/>
  <c r="O393" i="91" s="1"/>
  <c r="L418" i="91"/>
  <c r="O418" i="91" s="1"/>
  <c r="L394" i="91"/>
  <c r="O394" i="91" s="1"/>
  <c r="L391" i="91"/>
  <c r="O391" i="91" s="1"/>
  <c r="AG350" i="87"/>
  <c r="L350" i="91"/>
  <c r="O350" i="91" s="1"/>
  <c r="L560" i="91"/>
  <c r="O560" i="91" s="1"/>
  <c r="L360" i="91"/>
  <c r="O360" i="91" s="1"/>
  <c r="L408" i="91"/>
  <c r="O408" i="91" s="1"/>
  <c r="L387" i="91"/>
  <c r="O387" i="91" s="1"/>
  <c r="L471" i="91"/>
  <c r="O471" i="91" s="1"/>
  <c r="L477" i="91"/>
  <c r="O477" i="91" s="1"/>
  <c r="L518" i="91"/>
  <c r="O518" i="91" s="1"/>
  <c r="AG545" i="87"/>
  <c r="AG282" i="87"/>
  <c r="L282" i="91"/>
  <c r="O282" i="91" s="1"/>
  <c r="AG783" i="87"/>
  <c r="L783" i="91"/>
  <c r="O783" i="91" s="1"/>
  <c r="AG81" i="87"/>
  <c r="L81" i="91"/>
  <c r="O81" i="91" s="1"/>
  <c r="AG917" i="87"/>
  <c r="L917" i="91"/>
  <c r="O917" i="91" s="1"/>
  <c r="AG911" i="87"/>
  <c r="L911" i="91"/>
  <c r="O911" i="91" s="1"/>
  <c r="AG208" i="87"/>
  <c r="L208" i="91"/>
  <c r="O208" i="91" s="1"/>
  <c r="AG290" i="87"/>
  <c r="L290" i="91"/>
  <c r="O290" i="91" s="1"/>
  <c r="AG157" i="87"/>
  <c r="L157" i="91"/>
  <c r="O157" i="91" s="1"/>
  <c r="AG75" i="87"/>
  <c r="L75" i="91"/>
  <c r="O75" i="91" s="1"/>
  <c r="L289" i="91"/>
  <c r="O289" i="91" s="1"/>
  <c r="L160" i="91"/>
  <c r="O160" i="91" s="1"/>
  <c r="L150" i="91"/>
  <c r="O150" i="91" s="1"/>
  <c r="L156" i="91"/>
  <c r="O156" i="91" s="1"/>
  <c r="L146" i="91"/>
  <c r="O146" i="91" s="1"/>
  <c r="L566" i="91"/>
  <c r="O566" i="91" s="1"/>
  <c r="L567" i="91"/>
  <c r="O567" i="91" s="1"/>
  <c r="L572" i="91"/>
  <c r="O572" i="91" s="1"/>
  <c r="L644" i="91"/>
  <c r="O644" i="91" s="1"/>
  <c r="L660" i="91"/>
  <c r="O660" i="91" s="1"/>
  <c r="L676" i="91"/>
  <c r="O676" i="91" s="1"/>
  <c r="L692" i="91"/>
  <c r="O692" i="91" s="1"/>
  <c r="L708" i="91"/>
  <c r="O708" i="91" s="1"/>
  <c r="L724" i="91"/>
  <c r="O724" i="91" s="1"/>
  <c r="L740" i="91"/>
  <c r="O740" i="91" s="1"/>
  <c r="L756" i="91"/>
  <c r="O756" i="91" s="1"/>
  <c r="L641" i="91"/>
  <c r="O641" i="91" s="1"/>
  <c r="L657" i="91"/>
  <c r="O657" i="91" s="1"/>
  <c r="L673" i="91"/>
  <c r="O673" i="91" s="1"/>
  <c r="L689" i="91"/>
  <c r="O689" i="91" s="1"/>
  <c r="L705" i="91"/>
  <c r="O705" i="91" s="1"/>
  <c r="L721" i="91"/>
  <c r="O721" i="91" s="1"/>
  <c r="L737" i="91"/>
  <c r="O737" i="91" s="1"/>
  <c r="L753" i="91"/>
  <c r="O753" i="91" s="1"/>
  <c r="L354" i="91"/>
  <c r="O354" i="91" s="1"/>
  <c r="L353" i="91"/>
  <c r="O353" i="91" s="1"/>
  <c r="L287" i="91"/>
  <c r="O287" i="91" s="1"/>
  <c r="AG789" i="87"/>
  <c r="L286" i="91"/>
  <c r="O286" i="91" s="1"/>
  <c r="L300" i="91"/>
  <c r="O300" i="91" s="1"/>
  <c r="L292" i="91"/>
  <c r="O292" i="91" s="1"/>
  <c r="L80" i="91"/>
  <c r="O80" i="91" s="1"/>
  <c r="AG542" i="87"/>
  <c r="L552" i="91"/>
  <c r="O552" i="91" s="1"/>
  <c r="AG778" i="87"/>
  <c r="L622" i="91"/>
  <c r="O622" i="91" s="1"/>
  <c r="AG921" i="87"/>
  <c r="L386" i="91"/>
  <c r="O386" i="91" s="1"/>
  <c r="L416" i="91"/>
  <c r="O416" i="91" s="1"/>
  <c r="L415" i="91"/>
  <c r="O415" i="91" s="1"/>
  <c r="L390" i="91"/>
  <c r="O390" i="91" s="1"/>
  <c r="L388" i="91"/>
  <c r="O388" i="91" s="1"/>
  <c r="L475" i="91"/>
  <c r="O475" i="91" s="1"/>
  <c r="AG360" i="87"/>
  <c r="L549" i="91"/>
  <c r="O549" i="91" s="1"/>
  <c r="AG17" i="87"/>
  <c r="L17" i="91"/>
  <c r="O17" i="91" s="1"/>
  <c r="AG536" i="87"/>
  <c r="L536" i="91"/>
  <c r="O536" i="91" s="1"/>
  <c r="AG158" i="87"/>
  <c r="L158" i="91"/>
  <c r="O158" i="91" s="1"/>
  <c r="L910" i="91"/>
  <c r="AG910" i="87"/>
  <c r="AG215" i="87"/>
  <c r="L215" i="91"/>
  <c r="O215" i="91" s="1"/>
  <c r="AG78" i="87"/>
  <c r="L78" i="91"/>
  <c r="O78" i="91" s="1"/>
  <c r="L517" i="91"/>
  <c r="O517" i="91" s="1"/>
  <c r="L411" i="91"/>
  <c r="O411" i="91" s="1"/>
  <c r="L472" i="91"/>
  <c r="O472" i="91" s="1"/>
  <c r="AG147" i="87"/>
  <c r="L147" i="91"/>
  <c r="O147" i="91" s="1"/>
  <c r="AG21" i="87"/>
  <c r="L21" i="91"/>
  <c r="O21" i="91" s="1"/>
  <c r="L765" i="91"/>
  <c r="O765" i="91" s="1"/>
  <c r="L757" i="91"/>
  <c r="O757" i="91" s="1"/>
  <c r="L749" i="91"/>
  <c r="O749" i="91" s="1"/>
  <c r="L741" i="91"/>
  <c r="O741" i="91" s="1"/>
  <c r="L733" i="91"/>
  <c r="O733" i="91" s="1"/>
  <c r="L725" i="91"/>
  <c r="O725" i="91" s="1"/>
  <c r="L717" i="91"/>
  <c r="O717" i="91" s="1"/>
  <c r="L709" i="91"/>
  <c r="O709" i="91" s="1"/>
  <c r="L701" i="91"/>
  <c r="O701" i="91" s="1"/>
  <c r="L693" i="91"/>
  <c r="O693" i="91" s="1"/>
  <c r="L685" i="91"/>
  <c r="O685" i="91" s="1"/>
  <c r="L677" i="91"/>
  <c r="O677" i="91" s="1"/>
  <c r="L669" i="91"/>
  <c r="O669" i="91" s="1"/>
  <c r="L661" i="91"/>
  <c r="O661" i="91" s="1"/>
  <c r="L653" i="91"/>
  <c r="O653" i="91" s="1"/>
  <c r="L645" i="91"/>
  <c r="O645" i="91" s="1"/>
  <c r="L768" i="91"/>
  <c r="O768" i="91" s="1"/>
  <c r="L760" i="91"/>
  <c r="O760" i="91" s="1"/>
  <c r="L752" i="91"/>
  <c r="O752" i="91" s="1"/>
  <c r="L744" i="91"/>
  <c r="O744" i="91" s="1"/>
  <c r="L736" i="91"/>
  <c r="O736" i="91" s="1"/>
  <c r="L728" i="91"/>
  <c r="O728" i="91" s="1"/>
  <c r="L720" i="91"/>
  <c r="O720" i="91" s="1"/>
  <c r="L712" i="91"/>
  <c r="O712" i="91" s="1"/>
  <c r="L704" i="91"/>
  <c r="O704" i="91" s="1"/>
  <c r="L696" i="91"/>
  <c r="O696" i="91" s="1"/>
  <c r="L688" i="91"/>
  <c r="O688" i="91" s="1"/>
  <c r="L680" i="91"/>
  <c r="O680" i="91" s="1"/>
  <c r="L672" i="91"/>
  <c r="O672" i="91" s="1"/>
  <c r="L664" i="91"/>
  <c r="O664" i="91" s="1"/>
  <c r="L656" i="91"/>
  <c r="O656" i="91" s="1"/>
  <c r="L648" i="91"/>
  <c r="O648" i="91" s="1"/>
  <c r="L640" i="91"/>
  <c r="O640" i="91" s="1"/>
  <c r="AG541" i="87"/>
  <c r="L763" i="91"/>
  <c r="O763" i="91" s="1"/>
  <c r="L755" i="91"/>
  <c r="O755" i="91" s="1"/>
  <c r="L747" i="91"/>
  <c r="O747" i="91" s="1"/>
  <c r="L739" i="91"/>
  <c r="O739" i="91" s="1"/>
  <c r="L731" i="91"/>
  <c r="O731" i="91" s="1"/>
  <c r="L723" i="91"/>
  <c r="O723" i="91" s="1"/>
  <c r="L715" i="91"/>
  <c r="O715" i="91" s="1"/>
  <c r="L707" i="91"/>
  <c r="O707" i="91" s="1"/>
  <c r="L699" i="91"/>
  <c r="O699" i="91" s="1"/>
  <c r="L691" i="91"/>
  <c r="O691" i="91" s="1"/>
  <c r="L683" i="91"/>
  <c r="O683" i="91" s="1"/>
  <c r="L675" i="91"/>
  <c r="O675" i="91" s="1"/>
  <c r="L667" i="91"/>
  <c r="O667" i="91" s="1"/>
  <c r="L659" i="91"/>
  <c r="O659" i="91" s="1"/>
  <c r="L651" i="91"/>
  <c r="O651" i="91" s="1"/>
  <c r="L643" i="91"/>
  <c r="O643" i="91" s="1"/>
  <c r="L766" i="91"/>
  <c r="O766" i="91" s="1"/>
  <c r="L758" i="91"/>
  <c r="O758" i="91" s="1"/>
  <c r="L750" i="91"/>
  <c r="O750" i="91" s="1"/>
  <c r="L742" i="91"/>
  <c r="O742" i="91" s="1"/>
  <c r="L734" i="91"/>
  <c r="O734" i="91" s="1"/>
  <c r="L726" i="91"/>
  <c r="O726" i="91" s="1"/>
  <c r="L718" i="91"/>
  <c r="O718" i="91" s="1"/>
  <c r="L710" i="91"/>
  <c r="O710" i="91" s="1"/>
  <c r="L702" i="91"/>
  <c r="O702" i="91" s="1"/>
  <c r="L694" i="91"/>
  <c r="O694" i="91" s="1"/>
  <c r="L686" i="91"/>
  <c r="O686" i="91" s="1"/>
  <c r="L678" i="91"/>
  <c r="O678" i="91" s="1"/>
  <c r="L670" i="91"/>
  <c r="O670" i="91" s="1"/>
  <c r="L662" i="91"/>
  <c r="O662" i="91" s="1"/>
  <c r="L654" i="91"/>
  <c r="O654" i="91" s="1"/>
  <c r="L646" i="91"/>
  <c r="O646" i="91" s="1"/>
  <c r="AG15" i="87"/>
  <c r="L15" i="91"/>
  <c r="O15" i="91" s="1"/>
  <c r="L564" i="91"/>
  <c r="O564" i="91" s="1"/>
  <c r="AG564" i="87"/>
  <c r="L565" i="91"/>
  <c r="O565" i="91" s="1"/>
  <c r="AG565" i="87"/>
  <c r="L639" i="91"/>
  <c r="O639" i="91" s="1"/>
  <c r="L632" i="91"/>
  <c r="O632" i="91" s="1"/>
  <c r="L594" i="91"/>
  <c r="O594" i="91" s="1"/>
  <c r="L605" i="91"/>
  <c r="O605" i="91" s="1"/>
  <c r="L595" i="91"/>
  <c r="O595" i="91" s="1"/>
  <c r="AG626" i="87"/>
  <c r="L618" i="91"/>
  <c r="O618" i="91" s="1"/>
  <c r="L586" i="91"/>
  <c r="O586" i="91" s="1"/>
  <c r="L589" i="91"/>
  <c r="O589" i="91" s="1"/>
  <c r="AG920" i="87"/>
  <c r="L920" i="91"/>
  <c r="O920" i="91" s="1"/>
  <c r="AG349" i="87"/>
  <c r="L349" i="91"/>
  <c r="O349" i="91" s="1"/>
  <c r="L358" i="91"/>
  <c r="O358" i="91" s="1"/>
  <c r="L650" i="91"/>
  <c r="O650" i="91" s="1"/>
  <c r="L666" i="91"/>
  <c r="O666" i="91" s="1"/>
  <c r="L682" i="91"/>
  <c r="O682" i="91" s="1"/>
  <c r="L698" i="91"/>
  <c r="O698" i="91" s="1"/>
  <c r="L714" i="91"/>
  <c r="O714" i="91" s="1"/>
  <c r="L730" i="91"/>
  <c r="O730" i="91" s="1"/>
  <c r="L746" i="91"/>
  <c r="O746" i="91" s="1"/>
  <c r="L762" i="91"/>
  <c r="O762" i="91" s="1"/>
  <c r="L647" i="91"/>
  <c r="O647" i="91" s="1"/>
  <c r="L663" i="91"/>
  <c r="O663" i="91" s="1"/>
  <c r="L679" i="91"/>
  <c r="O679" i="91" s="1"/>
  <c r="L695" i="91"/>
  <c r="O695" i="91" s="1"/>
  <c r="L711" i="91"/>
  <c r="O711" i="91" s="1"/>
  <c r="L727" i="91"/>
  <c r="O727" i="91" s="1"/>
  <c r="L743" i="91"/>
  <c r="O743" i="91" s="1"/>
  <c r="L759" i="91"/>
  <c r="O759" i="91" s="1"/>
  <c r="L916" i="91"/>
  <c r="O916" i="91" s="1"/>
  <c r="AG164" i="87"/>
  <c r="AG782" i="87"/>
  <c r="L791" i="91"/>
  <c r="O791" i="91" s="1"/>
  <c r="L79" i="91"/>
  <c r="O79" i="91" s="1"/>
  <c r="L559" i="91"/>
  <c r="O559" i="91" s="1"/>
  <c r="AG551" i="87"/>
  <c r="L781" i="91"/>
  <c r="O781" i="91" s="1"/>
  <c r="L636" i="91"/>
  <c r="O636" i="91" s="1"/>
  <c r="L633" i="91"/>
  <c r="O633" i="91" s="1"/>
  <c r="L407" i="91"/>
  <c r="O407" i="91" s="1"/>
  <c r="L404" i="91"/>
  <c r="O404" i="91" s="1"/>
  <c r="L470" i="91"/>
  <c r="O470" i="91" s="1"/>
  <c r="L403" i="91"/>
  <c r="O403" i="91" s="1"/>
  <c r="L400" i="91"/>
  <c r="O400" i="91" s="1"/>
  <c r="L413" i="91"/>
  <c r="O413" i="91" s="1"/>
  <c r="O106" i="91"/>
  <c r="U6" i="97"/>
  <c r="U59" i="97" s="1"/>
  <c r="AB6" i="79"/>
  <c r="S54" i="79"/>
  <c r="L351" i="91"/>
  <c r="O351" i="91" s="1"/>
  <c r="L83" i="91"/>
  <c r="O83" i="91" s="1"/>
  <c r="L359" i="91"/>
  <c r="O359" i="91" s="1"/>
  <c r="L611" i="91"/>
  <c r="O611" i="91" s="1"/>
  <c r="L615" i="91"/>
  <c r="O615" i="91" s="1"/>
  <c r="L607" i="91"/>
  <c r="O607" i="91" s="1"/>
  <c r="L593" i="91"/>
  <c r="O593" i="91" s="1"/>
  <c r="L609" i="91"/>
  <c r="O609" i="91" s="1"/>
  <c r="L638" i="91"/>
  <c r="O638" i="91" s="1"/>
  <c r="L580" i="91"/>
  <c r="O580" i="91" s="1"/>
  <c r="L588" i="91"/>
  <c r="O588" i="91" s="1"/>
  <c r="L596" i="91"/>
  <c r="O596" i="91" s="1"/>
  <c r="L604" i="91"/>
  <c r="O604" i="91" s="1"/>
  <c r="L612" i="91"/>
  <c r="O612" i="91" s="1"/>
  <c r="L626" i="91"/>
  <c r="O626" i="91" s="1"/>
  <c r="L619" i="91"/>
  <c r="O619" i="91" s="1"/>
  <c r="L627" i="91"/>
  <c r="O627" i="91" s="1"/>
  <c r="L635" i="91"/>
  <c r="O635" i="91" s="1"/>
  <c r="L165" i="91"/>
  <c r="O165" i="91" s="1"/>
  <c r="L556" i="91"/>
  <c r="O556" i="91" s="1"/>
  <c r="T14" i="99"/>
  <c r="T15" i="99"/>
  <c r="U43" i="97"/>
  <c r="U96" i="97" s="1"/>
  <c r="AB43" i="79"/>
  <c r="AB11" i="79"/>
  <c r="U11" i="97"/>
  <c r="U64" i="97" s="1"/>
  <c r="S54" i="93"/>
  <c r="F15" i="100"/>
  <c r="F14" i="100"/>
  <c r="AA909" i="87"/>
  <c r="AG909" i="87" s="1"/>
  <c r="AA898" i="87"/>
  <c r="AG898" i="87" s="1"/>
  <c r="AA907" i="87"/>
  <c r="AG907" i="87" s="1"/>
  <c r="AA448" i="88"/>
  <c r="AA449" i="88"/>
  <c r="AA446" i="88"/>
  <c r="AA896" i="87"/>
  <c r="AA880" i="87"/>
  <c r="AA889" i="87"/>
  <c r="AA870" i="87"/>
  <c r="AA854" i="87"/>
  <c r="AA838" i="87"/>
  <c r="AA822" i="87"/>
  <c r="AA873" i="87"/>
  <c r="AA852" i="87"/>
  <c r="AA831" i="87"/>
  <c r="AA809" i="87"/>
  <c r="AA875" i="87"/>
  <c r="AA845" i="87"/>
  <c r="AA817" i="87"/>
  <c r="AA872" i="87"/>
  <c r="AA844" i="87"/>
  <c r="AA816" i="87"/>
  <c r="AA864" i="87"/>
  <c r="AA807" i="87"/>
  <c r="AA813" i="87"/>
  <c r="AA848" i="87"/>
  <c r="AA871" i="87"/>
  <c r="AA869" i="87"/>
  <c r="AA812" i="87"/>
  <c r="AA906" i="87"/>
  <c r="AG906" i="87" s="1"/>
  <c r="AA453" i="88"/>
  <c r="AA884" i="87"/>
  <c r="AA874" i="87"/>
  <c r="AA826" i="87"/>
  <c r="AA857" i="87"/>
  <c r="AA815" i="87"/>
  <c r="AA853" i="87"/>
  <c r="AA851" i="87"/>
  <c r="AA821" i="87"/>
  <c r="AA908" i="87"/>
  <c r="AG908" i="87" s="1"/>
  <c r="AA905" i="87"/>
  <c r="AG905" i="87" s="1"/>
  <c r="AA455" i="88"/>
  <c r="AA899" i="87"/>
  <c r="AG899" i="87" s="1"/>
  <c r="AA902" i="87"/>
  <c r="AG902" i="87" s="1"/>
  <c r="AA903" i="87"/>
  <c r="AG903" i="87" s="1"/>
  <c r="AA892" i="87"/>
  <c r="AA883" i="87"/>
  <c r="AA866" i="87"/>
  <c r="AA850" i="87"/>
  <c r="AA834" i="87"/>
  <c r="AA818" i="87"/>
  <c r="AA893" i="87"/>
  <c r="AA868" i="87"/>
  <c r="AA847" i="87"/>
  <c r="AA825" i="87"/>
  <c r="AA867" i="87"/>
  <c r="AA839" i="87"/>
  <c r="AA811" i="87"/>
  <c r="AA865" i="87"/>
  <c r="AA837" i="87"/>
  <c r="AA808" i="87"/>
  <c r="AA849" i="87"/>
  <c r="AA887" i="87"/>
  <c r="AA895" i="87"/>
  <c r="AA833" i="87"/>
  <c r="AA828" i="87"/>
  <c r="AA855" i="87"/>
  <c r="AA452" i="88"/>
  <c r="AA894" i="87"/>
  <c r="AA842" i="87"/>
  <c r="AA879" i="87"/>
  <c r="AA882" i="87"/>
  <c r="AA881" i="87"/>
  <c r="AA877" i="87"/>
  <c r="AA861" i="87"/>
  <c r="AA827" i="87"/>
  <c r="AJ39" i="94"/>
  <c r="AA904" i="87"/>
  <c r="AG904" i="87" s="1"/>
  <c r="AA901" i="87"/>
  <c r="AG901" i="87" s="1"/>
  <c r="AA451" i="88"/>
  <c r="AA456" i="88"/>
  <c r="AA457" i="88"/>
  <c r="AA454" i="88"/>
  <c r="AA888" i="87"/>
  <c r="AA878" i="87"/>
  <c r="AA862" i="87"/>
  <c r="AA846" i="87"/>
  <c r="AA830" i="87"/>
  <c r="AA814" i="87"/>
  <c r="AA886" i="87"/>
  <c r="AA863" i="87"/>
  <c r="AA841" i="87"/>
  <c r="AA820" i="87"/>
  <c r="AA891" i="87"/>
  <c r="AA860" i="87"/>
  <c r="AA832" i="87"/>
  <c r="AA890" i="87"/>
  <c r="AA859" i="87"/>
  <c r="AA829" i="87"/>
  <c r="AA897" i="87"/>
  <c r="AA835" i="87"/>
  <c r="AA856" i="87"/>
  <c r="AA876" i="87"/>
  <c r="AA819" i="87"/>
  <c r="AA840" i="87"/>
  <c r="AA900" i="87"/>
  <c r="AG900" i="87" s="1"/>
  <c r="AA447" i="88"/>
  <c r="AA450" i="88"/>
  <c r="AA858" i="87"/>
  <c r="AA810" i="87"/>
  <c r="AA836" i="87"/>
  <c r="AA824" i="87"/>
  <c r="AA823" i="87"/>
  <c r="AA843" i="87"/>
  <c r="AA885" i="87"/>
  <c r="G9" i="99"/>
  <c r="G11" i="99"/>
  <c r="G7" i="99"/>
  <c r="G13" i="99" s="1"/>
  <c r="B9" i="99"/>
  <c r="B11" i="99"/>
  <c r="B7" i="99"/>
  <c r="B13" i="99" s="1"/>
  <c r="L9" i="99"/>
  <c r="L7" i="99"/>
  <c r="L13" i="99" s="1"/>
  <c r="L11" i="99"/>
  <c r="F9" i="99"/>
  <c r="F11" i="99"/>
  <c r="F7" i="99"/>
  <c r="F13" i="99" s="1"/>
  <c r="U34" i="97"/>
  <c r="U87" i="97" s="1"/>
  <c r="AB34" i="79"/>
  <c r="U5" i="97"/>
  <c r="U58" i="97" s="1"/>
  <c r="V54" i="79"/>
  <c r="U14" i="99"/>
  <c r="U15" i="99"/>
  <c r="Y44" i="94"/>
  <c r="U8" i="97"/>
  <c r="U61" i="97" s="1"/>
  <c r="AB8" i="79"/>
  <c r="Y33" i="83"/>
  <c r="AB33" i="83" s="1"/>
  <c r="U33" i="98"/>
  <c r="U76" i="98" s="1"/>
  <c r="K7" i="100" s="1"/>
  <c r="M7" i="100" s="1"/>
  <c r="M13" i="100" s="1"/>
  <c r="AB22" i="79"/>
  <c r="U22" i="97"/>
  <c r="U75" i="97" s="1"/>
  <c r="AB5" i="93"/>
  <c r="AB54" i="93" s="1"/>
  <c r="V54" i="93"/>
  <c r="L528" i="91"/>
  <c r="O528" i="91" s="1"/>
  <c r="L569" i="91"/>
  <c r="O569" i="91" s="1"/>
  <c r="L579" i="91"/>
  <c r="O579" i="91" s="1"/>
  <c r="L523" i="91"/>
  <c r="O523" i="91" s="1"/>
  <c r="L574" i="91"/>
  <c r="O574" i="91" s="1"/>
  <c r="L576" i="91"/>
  <c r="O576" i="91" s="1"/>
  <c r="L563" i="91"/>
  <c r="O563" i="91" s="1"/>
  <c r="L779" i="91"/>
  <c r="O779" i="91" s="1"/>
  <c r="L630" i="91"/>
  <c r="O630" i="91" s="1"/>
  <c r="L587" i="91"/>
  <c r="O587" i="91" s="1"/>
  <c r="L581" i="91"/>
  <c r="O581" i="91" s="1"/>
  <c r="L597" i="91"/>
  <c r="O597" i="91" s="1"/>
  <c r="L613" i="91"/>
  <c r="O613" i="91" s="1"/>
  <c r="L628" i="91"/>
  <c r="O628" i="91" s="1"/>
  <c r="L582" i="91"/>
  <c r="O582" i="91" s="1"/>
  <c r="L590" i="91"/>
  <c r="O590" i="91" s="1"/>
  <c r="L598" i="91"/>
  <c r="O598" i="91" s="1"/>
  <c r="L606" i="91"/>
  <c r="O606" i="91" s="1"/>
  <c r="L614" i="91"/>
  <c r="O614" i="91" s="1"/>
  <c r="L634" i="91"/>
  <c r="O634" i="91" s="1"/>
  <c r="L621" i="91"/>
  <c r="O621" i="91" s="1"/>
  <c r="L629" i="91"/>
  <c r="O629" i="91" s="1"/>
  <c r="L637" i="91"/>
  <c r="O637" i="91" s="1"/>
  <c r="AB26" i="79"/>
  <c r="U26" i="97"/>
  <c r="U79" i="97" s="1"/>
  <c r="U12" i="97"/>
  <c r="U65" i="97" s="1"/>
  <c r="AB12" i="79"/>
  <c r="C14" i="99"/>
  <c r="C15" i="99"/>
  <c r="J9" i="99"/>
  <c r="J11" i="99"/>
  <c r="J7" i="99"/>
  <c r="J13" i="99" s="1"/>
  <c r="R5" i="97"/>
  <c r="R58" i="97" s="1"/>
  <c r="R54" i="79"/>
  <c r="S59" i="79" s="1"/>
  <c r="AD54" i="79"/>
  <c r="AB41" i="79"/>
  <c r="U41" i="97"/>
  <c r="U94" i="97" s="1"/>
  <c r="E14" i="100"/>
  <c r="E15" i="100"/>
  <c r="AB14" i="79"/>
  <c r="U14" i="97"/>
  <c r="U67" i="97" s="1"/>
  <c r="U46" i="97"/>
  <c r="U99" i="97" s="1"/>
  <c r="AB46" i="79"/>
  <c r="C15" i="100"/>
  <c r="C14" i="100"/>
  <c r="X44" i="83"/>
  <c r="O102" i="91"/>
  <c r="L583" i="91"/>
  <c r="O583" i="91" s="1"/>
  <c r="L603" i="91"/>
  <c r="O603" i="91" s="1"/>
  <c r="L585" i="91"/>
  <c r="O585" i="91" s="1"/>
  <c r="L601" i="91"/>
  <c r="O601" i="91" s="1"/>
  <c r="L617" i="91"/>
  <c r="O617" i="91" s="1"/>
  <c r="L620" i="91"/>
  <c r="O620" i="91" s="1"/>
  <c r="L584" i="91"/>
  <c r="O584" i="91" s="1"/>
  <c r="L592" i="91"/>
  <c r="O592" i="91" s="1"/>
  <c r="L600" i="91"/>
  <c r="O600" i="91" s="1"/>
  <c r="L608" i="91"/>
  <c r="O608" i="91" s="1"/>
  <c r="L616" i="91"/>
  <c r="O616" i="91" s="1"/>
  <c r="L624" i="91"/>
  <c r="O624" i="91" s="1"/>
  <c r="L623" i="91"/>
  <c r="O623" i="91" s="1"/>
  <c r="L631" i="91"/>
  <c r="O631" i="91" s="1"/>
  <c r="M11" i="100"/>
  <c r="AA516" i="87"/>
  <c r="AA509" i="87"/>
  <c r="AA513" i="87"/>
  <c r="AA510" i="87"/>
  <c r="AA512" i="87"/>
  <c r="AA514" i="87"/>
  <c r="AA511" i="87"/>
  <c r="AA508" i="87"/>
  <c r="AA505" i="87"/>
  <c r="AA506" i="87"/>
  <c r="AA515" i="87"/>
  <c r="AJ10" i="94"/>
  <c r="AA507" i="87"/>
  <c r="AB49" i="79"/>
  <c r="U49" i="97"/>
  <c r="U102" i="97" s="1"/>
  <c r="E14" i="99"/>
  <c r="E15" i="99"/>
  <c r="R54" i="93"/>
  <c r="S59" i="93" s="1"/>
  <c r="Q9" i="99"/>
  <c r="Q7" i="99"/>
  <c r="Q13" i="99" s="1"/>
  <c r="Q11" i="99"/>
  <c r="AB18" i="79"/>
  <c r="U18" i="97"/>
  <c r="U71" i="97" s="1"/>
  <c r="AB28" i="79"/>
  <c r="U28" i="97"/>
  <c r="U81" i="97" s="1"/>
  <c r="AB47" i="79"/>
  <c r="U47" i="97"/>
  <c r="U100" i="97" s="1"/>
  <c r="M15" i="99"/>
  <c r="M14" i="99"/>
  <c r="AB48" i="79"/>
  <c r="M9" i="100"/>
  <c r="K15" i="100"/>
  <c r="AC12" i="91"/>
  <c r="O14" i="91"/>
  <c r="O910" i="91"/>
  <c r="Y44" i="83"/>
  <c r="AB5" i="83"/>
  <c r="AB44" i="83" s="1"/>
  <c r="Y44" i="84"/>
  <c r="AB5" i="84"/>
  <c r="G11" i="107" l="1"/>
  <c r="G6" i="107"/>
  <c r="AB54" i="79"/>
  <c r="AP7" i="87"/>
  <c r="AQ7" i="87" s="1"/>
  <c r="K13" i="100"/>
  <c r="W10" i="91"/>
  <c r="T10" i="91"/>
  <c r="W12" i="91"/>
  <c r="T12" i="91"/>
  <c r="L14" i="99"/>
  <c r="L15" i="99"/>
  <c r="L843" i="91"/>
  <c r="O843" i="91" s="1"/>
  <c r="AG843" i="87"/>
  <c r="L810" i="91"/>
  <c r="O810" i="91" s="1"/>
  <c r="AG810" i="87"/>
  <c r="AG876" i="87"/>
  <c r="L876" i="91"/>
  <c r="O876" i="91" s="1"/>
  <c r="AG829" i="87"/>
  <c r="L829" i="91"/>
  <c r="O829" i="91" s="1"/>
  <c r="L860" i="91"/>
  <c r="O860" i="91" s="1"/>
  <c r="AG860" i="87"/>
  <c r="AG863" i="87"/>
  <c r="L863" i="91"/>
  <c r="O863" i="91" s="1"/>
  <c r="L846" i="91"/>
  <c r="O846" i="91" s="1"/>
  <c r="AG846" i="87"/>
  <c r="AG861" i="87"/>
  <c r="L861" i="91"/>
  <c r="O861" i="91" s="1"/>
  <c r="L879" i="91"/>
  <c r="O879" i="91" s="1"/>
  <c r="AG879" i="87"/>
  <c r="L855" i="91"/>
  <c r="O855" i="91" s="1"/>
  <c r="AG855" i="87"/>
  <c r="L887" i="91"/>
  <c r="O887" i="91" s="1"/>
  <c r="AG887" i="87"/>
  <c r="L865" i="91"/>
  <c r="O865" i="91" s="1"/>
  <c r="AG865" i="87"/>
  <c r="L825" i="91"/>
  <c r="O825" i="91" s="1"/>
  <c r="AG825" i="87"/>
  <c r="AG818" i="87"/>
  <c r="L818" i="91"/>
  <c r="O818" i="91" s="1"/>
  <c r="AG883" i="87"/>
  <c r="L883" i="91"/>
  <c r="O883" i="91" s="1"/>
  <c r="AG821" i="87"/>
  <c r="L821" i="91"/>
  <c r="O821" i="91" s="1"/>
  <c r="AG857" i="87"/>
  <c r="L857" i="91"/>
  <c r="O857" i="91" s="1"/>
  <c r="AG871" i="87"/>
  <c r="L871" i="91"/>
  <c r="O871" i="91" s="1"/>
  <c r="AG864" i="87"/>
  <c r="L864" i="91"/>
  <c r="O864" i="91" s="1"/>
  <c r="L817" i="91"/>
  <c r="O817" i="91" s="1"/>
  <c r="AG817" i="87"/>
  <c r="L831" i="91"/>
  <c r="O831" i="91" s="1"/>
  <c r="AG831" i="87"/>
  <c r="L838" i="91"/>
  <c r="O838" i="91" s="1"/>
  <c r="AG838" i="87"/>
  <c r="L880" i="91"/>
  <c r="O880" i="91" s="1"/>
  <c r="AG880" i="87"/>
  <c r="AG508" i="87"/>
  <c r="L508" i="91"/>
  <c r="O508" i="91" s="1"/>
  <c r="L510" i="91"/>
  <c r="O510" i="91" s="1"/>
  <c r="AG510" i="87"/>
  <c r="S52" i="80"/>
  <c r="S52" i="97" s="1"/>
  <c r="S105" i="97" s="1"/>
  <c r="S19" i="80"/>
  <c r="S19" i="97" s="1"/>
  <c r="S72" i="97" s="1"/>
  <c r="S36" i="80"/>
  <c r="S36" i="97" s="1"/>
  <c r="S89" i="97" s="1"/>
  <c r="S39" i="80"/>
  <c r="S39" i="97" s="1"/>
  <c r="S92" i="97" s="1"/>
  <c r="S17" i="80"/>
  <c r="S17" i="97" s="1"/>
  <c r="S70" i="97" s="1"/>
  <c r="S24" i="80"/>
  <c r="S24" i="97" s="1"/>
  <c r="S77" i="97" s="1"/>
  <c r="S9" i="80"/>
  <c r="S9" i="97" s="1"/>
  <c r="S62" i="97" s="1"/>
  <c r="S14" i="80"/>
  <c r="S14" i="97" s="1"/>
  <c r="S67" i="97" s="1"/>
  <c r="S48" i="80"/>
  <c r="S48" i="97" s="1"/>
  <c r="S101" i="97" s="1"/>
  <c r="S32" i="80"/>
  <c r="S32" i="97" s="1"/>
  <c r="S85" i="97" s="1"/>
  <c r="S29" i="80"/>
  <c r="S29" i="97" s="1"/>
  <c r="S82" i="97" s="1"/>
  <c r="S15" i="80"/>
  <c r="S15" i="97" s="1"/>
  <c r="S68" i="97" s="1"/>
  <c r="S5" i="80"/>
  <c r="S38" i="80"/>
  <c r="S38" i="97" s="1"/>
  <c r="S91" i="97" s="1"/>
  <c r="S20" i="80"/>
  <c r="S20" i="97" s="1"/>
  <c r="S73" i="97" s="1"/>
  <c r="S46" i="80"/>
  <c r="S46" i="97" s="1"/>
  <c r="S99" i="97" s="1"/>
  <c r="S51" i="80"/>
  <c r="S51" i="97" s="1"/>
  <c r="S104" i="97" s="1"/>
  <c r="S6" i="80"/>
  <c r="S6" i="97" s="1"/>
  <c r="S59" i="97" s="1"/>
  <c r="S16" i="80"/>
  <c r="S16" i="97" s="1"/>
  <c r="S69" i="97" s="1"/>
  <c r="S34" i="80"/>
  <c r="S34" i="97" s="1"/>
  <c r="S87" i="97" s="1"/>
  <c r="S31" i="80"/>
  <c r="S31" i="97" s="1"/>
  <c r="S84" i="97" s="1"/>
  <c r="S21" i="80"/>
  <c r="S21" i="97" s="1"/>
  <c r="S74" i="97" s="1"/>
  <c r="S33" i="80"/>
  <c r="S33" i="97" s="1"/>
  <c r="S86" i="97" s="1"/>
  <c r="S27" i="80"/>
  <c r="S27" i="97" s="1"/>
  <c r="S80" i="97" s="1"/>
  <c r="S47" i="80"/>
  <c r="S47" i="97" s="1"/>
  <c r="S100" i="97" s="1"/>
  <c r="S35" i="80"/>
  <c r="S35" i="97" s="1"/>
  <c r="S88" i="97" s="1"/>
  <c r="S25" i="80"/>
  <c r="S25" i="97" s="1"/>
  <c r="S78" i="97" s="1"/>
  <c r="S41" i="80"/>
  <c r="S41" i="97" s="1"/>
  <c r="S94" i="97" s="1"/>
  <c r="S26" i="80"/>
  <c r="S26" i="97" s="1"/>
  <c r="S79" i="97" s="1"/>
  <c r="S22" i="80"/>
  <c r="S22" i="97" s="1"/>
  <c r="S75" i="97" s="1"/>
  <c r="S44" i="80"/>
  <c r="S44" i="97" s="1"/>
  <c r="S97" i="97" s="1"/>
  <c r="S43" i="80"/>
  <c r="S43" i="97" s="1"/>
  <c r="S96" i="97" s="1"/>
  <c r="S12" i="80"/>
  <c r="S12" i="97" s="1"/>
  <c r="S65" i="97" s="1"/>
  <c r="S7" i="80"/>
  <c r="S7" i="97" s="1"/>
  <c r="S60" i="97" s="1"/>
  <c r="S42" i="80"/>
  <c r="S42" i="97" s="1"/>
  <c r="S95" i="97" s="1"/>
  <c r="S18" i="80"/>
  <c r="S18" i="97" s="1"/>
  <c r="S71" i="97" s="1"/>
  <c r="S45" i="80"/>
  <c r="S45" i="97" s="1"/>
  <c r="S98" i="97" s="1"/>
  <c r="S49" i="80"/>
  <c r="S49" i="97" s="1"/>
  <c r="S102" i="97" s="1"/>
  <c r="S10" i="80"/>
  <c r="S10" i="97" s="1"/>
  <c r="S63" i="97" s="1"/>
  <c r="S40" i="80"/>
  <c r="S40" i="97" s="1"/>
  <c r="S93" i="97" s="1"/>
  <c r="S50" i="80"/>
  <c r="S50" i="97" s="1"/>
  <c r="S103" i="97" s="1"/>
  <c r="S13" i="80"/>
  <c r="S13" i="97" s="1"/>
  <c r="S66" i="97" s="1"/>
  <c r="S30" i="80"/>
  <c r="S30" i="97" s="1"/>
  <c r="S83" i="97" s="1"/>
  <c r="S8" i="80"/>
  <c r="S8" i="97" s="1"/>
  <c r="S61" i="97" s="1"/>
  <c r="S11" i="80"/>
  <c r="S11" i="97" s="1"/>
  <c r="S64" i="97" s="1"/>
  <c r="S23" i="80"/>
  <c r="S23" i="97" s="1"/>
  <c r="S76" i="97" s="1"/>
  <c r="S37" i="80"/>
  <c r="S37" i="97" s="1"/>
  <c r="S90" i="97" s="1"/>
  <c r="S28" i="80"/>
  <c r="S28" i="97" s="1"/>
  <c r="S81" i="97" s="1"/>
  <c r="F14" i="99"/>
  <c r="F15" i="99"/>
  <c r="AG823" i="87"/>
  <c r="L823" i="91"/>
  <c r="O823" i="91" s="1"/>
  <c r="AG858" i="87"/>
  <c r="L858" i="91"/>
  <c r="O858" i="91" s="1"/>
  <c r="L856" i="91"/>
  <c r="O856" i="91" s="1"/>
  <c r="AG856" i="87"/>
  <c r="L859" i="91"/>
  <c r="O859" i="91" s="1"/>
  <c r="AG859" i="87"/>
  <c r="AG891" i="87"/>
  <c r="L891" i="91"/>
  <c r="O891" i="91" s="1"/>
  <c r="AG886" i="87"/>
  <c r="L886" i="91"/>
  <c r="O886" i="91" s="1"/>
  <c r="AG862" i="87"/>
  <c r="L862" i="91"/>
  <c r="O862" i="91" s="1"/>
  <c r="AG877" i="87"/>
  <c r="L877" i="91"/>
  <c r="O877" i="91" s="1"/>
  <c r="L842" i="91"/>
  <c r="O842" i="91" s="1"/>
  <c r="AG842" i="87"/>
  <c r="AG828" i="87"/>
  <c r="L828" i="91"/>
  <c r="O828" i="91" s="1"/>
  <c r="AG849" i="87"/>
  <c r="L849" i="91"/>
  <c r="O849" i="91" s="1"/>
  <c r="AG811" i="87"/>
  <c r="L811" i="91"/>
  <c r="O811" i="91" s="1"/>
  <c r="AG847" i="87"/>
  <c r="L847" i="91"/>
  <c r="O847" i="91" s="1"/>
  <c r="AG834" i="87"/>
  <c r="L834" i="91"/>
  <c r="O834" i="91" s="1"/>
  <c r="L892" i="91"/>
  <c r="O892" i="91" s="1"/>
  <c r="AG892" i="87"/>
  <c r="L851" i="91"/>
  <c r="O851" i="91" s="1"/>
  <c r="AG851" i="87"/>
  <c r="AG826" i="87"/>
  <c r="L826" i="91"/>
  <c r="O826" i="91" s="1"/>
  <c r="L848" i="91"/>
  <c r="O848" i="91" s="1"/>
  <c r="AG848" i="87"/>
  <c r="L816" i="91"/>
  <c r="O816" i="91" s="1"/>
  <c r="AG816" i="87"/>
  <c r="AG845" i="87"/>
  <c r="L845" i="91"/>
  <c r="O845" i="91" s="1"/>
  <c r="AG852" i="87"/>
  <c r="L852" i="91"/>
  <c r="O852" i="91" s="1"/>
  <c r="AG854" i="87"/>
  <c r="L854" i="91"/>
  <c r="O854" i="91" s="1"/>
  <c r="AG896" i="87"/>
  <c r="L896" i="91"/>
  <c r="O896" i="91" s="1"/>
  <c r="AG505" i="87"/>
  <c r="L505" i="91"/>
  <c r="AG512" i="87"/>
  <c r="L512" i="91"/>
  <c r="O512" i="91" s="1"/>
  <c r="Q15" i="99"/>
  <c r="Q14" i="99"/>
  <c r="L515" i="91"/>
  <c r="O515" i="91" s="1"/>
  <c r="AG515" i="87"/>
  <c r="L511" i="91"/>
  <c r="O511" i="91" s="1"/>
  <c r="AG511" i="87"/>
  <c r="AG513" i="87"/>
  <c r="L513" i="91"/>
  <c r="O513" i="91" s="1"/>
  <c r="H9" i="99"/>
  <c r="H11" i="99"/>
  <c r="H7" i="99"/>
  <c r="H13" i="99" s="1"/>
  <c r="G15" i="99"/>
  <c r="G14" i="99"/>
  <c r="L824" i="91"/>
  <c r="O824" i="91" s="1"/>
  <c r="AG824" i="87"/>
  <c r="AG840" i="87"/>
  <c r="L840" i="91"/>
  <c r="O840" i="91" s="1"/>
  <c r="AG835" i="87"/>
  <c r="L835" i="91"/>
  <c r="O835" i="91" s="1"/>
  <c r="AG890" i="87"/>
  <c r="L890" i="91"/>
  <c r="O890" i="91" s="1"/>
  <c r="L820" i="91"/>
  <c r="O820" i="91" s="1"/>
  <c r="AG820" i="87"/>
  <c r="L814" i="91"/>
  <c r="O814" i="91" s="1"/>
  <c r="AG814" i="87"/>
  <c r="L878" i="91"/>
  <c r="O878" i="91" s="1"/>
  <c r="AG878" i="87"/>
  <c r="AG881" i="87"/>
  <c r="L881" i="91"/>
  <c r="O881" i="91" s="1"/>
  <c r="AG894" i="87"/>
  <c r="L894" i="91"/>
  <c r="O894" i="91" s="1"/>
  <c r="L833" i="91"/>
  <c r="O833" i="91" s="1"/>
  <c r="AG833" i="87"/>
  <c r="AG808" i="87"/>
  <c r="L808" i="91"/>
  <c r="O808" i="91" s="1"/>
  <c r="L839" i="91"/>
  <c r="O839" i="91" s="1"/>
  <c r="AG839" i="87"/>
  <c r="L868" i="91"/>
  <c r="O868" i="91" s="1"/>
  <c r="AG868" i="87"/>
  <c r="AG850" i="87"/>
  <c r="L850" i="91"/>
  <c r="O850" i="91" s="1"/>
  <c r="AG853" i="87"/>
  <c r="L853" i="91"/>
  <c r="O853" i="91" s="1"/>
  <c r="AG874" i="87"/>
  <c r="L874" i="91"/>
  <c r="O874" i="91" s="1"/>
  <c r="AG812" i="87"/>
  <c r="L812" i="91"/>
  <c r="O812" i="91" s="1"/>
  <c r="AG813" i="87"/>
  <c r="L813" i="91"/>
  <c r="O813" i="91" s="1"/>
  <c r="AG844" i="87"/>
  <c r="L844" i="91"/>
  <c r="O844" i="91" s="1"/>
  <c r="AG875" i="87"/>
  <c r="L875" i="91"/>
  <c r="O875" i="91" s="1"/>
  <c r="L873" i="91"/>
  <c r="O873" i="91" s="1"/>
  <c r="AG873" i="87"/>
  <c r="L870" i="91"/>
  <c r="O870" i="91" s="1"/>
  <c r="AG870" i="87"/>
  <c r="L507" i="91"/>
  <c r="O507" i="91" s="1"/>
  <c r="AG507" i="87"/>
  <c r="AG516" i="87"/>
  <c r="L516" i="91"/>
  <c r="O516" i="91" s="1"/>
  <c r="J14" i="99"/>
  <c r="J15" i="99"/>
  <c r="L506" i="91"/>
  <c r="O506" i="91" s="1"/>
  <c r="AG506" i="87"/>
  <c r="AG514" i="87"/>
  <c r="L514" i="91"/>
  <c r="O514" i="91" s="1"/>
  <c r="L509" i="91"/>
  <c r="O509" i="91" s="1"/>
  <c r="AG509" i="87"/>
  <c r="AJ33" i="94"/>
  <c r="K9" i="99"/>
  <c r="K7" i="99"/>
  <c r="K13" i="99" s="1"/>
  <c r="K11" i="99"/>
  <c r="B14" i="99"/>
  <c r="B15" i="99"/>
  <c r="L885" i="91"/>
  <c r="O885" i="91" s="1"/>
  <c r="AG885" i="87"/>
  <c r="L836" i="91"/>
  <c r="O836" i="91" s="1"/>
  <c r="AG836" i="87"/>
  <c r="L819" i="91"/>
  <c r="O819" i="91" s="1"/>
  <c r="AG819" i="87"/>
  <c r="L906" i="91"/>
  <c r="O906" i="91" s="1"/>
  <c r="L904" i="91"/>
  <c r="O904" i="91" s="1"/>
  <c r="L903" i="91"/>
  <c r="O903" i="91" s="1"/>
  <c r="L897" i="91"/>
  <c r="O897" i="91" s="1"/>
  <c r="L909" i="91"/>
  <c r="O909" i="91" s="1"/>
  <c r="L902" i="91"/>
  <c r="O902" i="91" s="1"/>
  <c r="L901" i="91"/>
  <c r="O901" i="91" s="1"/>
  <c r="L908" i="91"/>
  <c r="O908" i="91" s="1"/>
  <c r="AG897" i="87"/>
  <c r="L905" i="91"/>
  <c r="O905" i="91" s="1"/>
  <c r="L898" i="91"/>
  <c r="O898" i="91" s="1"/>
  <c r="L907" i="91"/>
  <c r="O907" i="91" s="1"/>
  <c r="L900" i="91"/>
  <c r="O900" i="91" s="1"/>
  <c r="L899" i="91"/>
  <c r="O899" i="91" s="1"/>
  <c r="AG832" i="87"/>
  <c r="L832" i="91"/>
  <c r="O832" i="91" s="1"/>
  <c r="AG841" i="87"/>
  <c r="L841" i="91"/>
  <c r="O841" i="91" s="1"/>
  <c r="AG830" i="87"/>
  <c r="L830" i="91"/>
  <c r="O830" i="91" s="1"/>
  <c r="AG888" i="87"/>
  <c r="L888" i="91"/>
  <c r="O888" i="91" s="1"/>
  <c r="AG827" i="87"/>
  <c r="L827" i="91"/>
  <c r="O827" i="91" s="1"/>
  <c r="L882" i="91"/>
  <c r="O882" i="91" s="1"/>
  <c r="AG882" i="87"/>
  <c r="AG895" i="87"/>
  <c r="L895" i="91"/>
  <c r="O895" i="91" s="1"/>
  <c r="AG837" i="87"/>
  <c r="L837" i="91"/>
  <c r="O837" i="91" s="1"/>
  <c r="AG867" i="87"/>
  <c r="L867" i="91"/>
  <c r="O867" i="91" s="1"/>
  <c r="AG893" i="87"/>
  <c r="L893" i="91"/>
  <c r="O893" i="91" s="1"/>
  <c r="L866" i="91"/>
  <c r="O866" i="91" s="1"/>
  <c r="AG866" i="87"/>
  <c r="AG815" i="87"/>
  <c r="L815" i="91"/>
  <c r="O815" i="91" s="1"/>
  <c r="L884" i="91"/>
  <c r="O884" i="91" s="1"/>
  <c r="AG884" i="87"/>
  <c r="L869" i="91"/>
  <c r="O869" i="91" s="1"/>
  <c r="AG869" i="87"/>
  <c r="L807" i="91"/>
  <c r="AG807" i="87"/>
  <c r="L872" i="91"/>
  <c r="O872" i="91" s="1"/>
  <c r="AG872" i="87"/>
  <c r="AG809" i="87"/>
  <c r="L809" i="91"/>
  <c r="O809" i="91" s="1"/>
  <c r="AG822" i="87"/>
  <c r="L822" i="91"/>
  <c r="O822" i="91" s="1"/>
  <c r="AG889" i="87"/>
  <c r="L889" i="91"/>
  <c r="O889" i="91" s="1"/>
  <c r="M15" i="100"/>
  <c r="M14" i="100"/>
  <c r="G13" i="92"/>
  <c r="I13" i="92" s="1"/>
  <c r="AJ5" i="94"/>
  <c r="G8" i="92"/>
  <c r="I8" i="92" s="1"/>
  <c r="AA503" i="87"/>
  <c r="AA499" i="87"/>
  <c r="AG499" i="87" s="1"/>
  <c r="AA495" i="87"/>
  <c r="AG495" i="87" s="1"/>
  <c r="AA465" i="87"/>
  <c r="AG465" i="87" s="1"/>
  <c r="AA461" i="87"/>
  <c r="AG461" i="87" s="1"/>
  <c r="AA445" i="87"/>
  <c r="AG445" i="87" s="1"/>
  <c r="AA252" i="88"/>
  <c r="AA248" i="88"/>
  <c r="AA244" i="88"/>
  <c r="AA211" i="88"/>
  <c r="AA207" i="88"/>
  <c r="AA203" i="88"/>
  <c r="AA199" i="88"/>
  <c r="AA195" i="88"/>
  <c r="AA68" i="88"/>
  <c r="AA67" i="88"/>
  <c r="AA66" i="88"/>
  <c r="AA65" i="88"/>
  <c r="AA64" i="88"/>
  <c r="AA63" i="88"/>
  <c r="AA62" i="88"/>
  <c r="AA504" i="87"/>
  <c r="AG504" i="87" s="1"/>
  <c r="AA500" i="87"/>
  <c r="AG500" i="87" s="1"/>
  <c r="AA496" i="87"/>
  <c r="AG496" i="87" s="1"/>
  <c r="AA492" i="87"/>
  <c r="AG492" i="87" s="1"/>
  <c r="AA462" i="87"/>
  <c r="AG462" i="87" s="1"/>
  <c r="AA458" i="87"/>
  <c r="AG458" i="87" s="1"/>
  <c r="AA457" i="87"/>
  <c r="AG457" i="87" s="1"/>
  <c r="AA456" i="87"/>
  <c r="AG456" i="87" s="1"/>
  <c r="AA455" i="87"/>
  <c r="AG455" i="87" s="1"/>
  <c r="AA454" i="87"/>
  <c r="AG454" i="87" s="1"/>
  <c r="AA453" i="87"/>
  <c r="AG453" i="87" s="1"/>
  <c r="AA452" i="87"/>
  <c r="AG452" i="87" s="1"/>
  <c r="AA451" i="87"/>
  <c r="AG451" i="87" s="1"/>
  <c r="AA450" i="87"/>
  <c r="AG450" i="87" s="1"/>
  <c r="AA449" i="87"/>
  <c r="AG449" i="87" s="1"/>
  <c r="AA448" i="87"/>
  <c r="AA447" i="87"/>
  <c r="AG447" i="87" s="1"/>
  <c r="AA446" i="87"/>
  <c r="AG446" i="87" s="1"/>
  <c r="AA251" i="88"/>
  <c r="AA247" i="88"/>
  <c r="AA243" i="88"/>
  <c r="AA214" i="88"/>
  <c r="AA210" i="88"/>
  <c r="AA206" i="88"/>
  <c r="AA497" i="87"/>
  <c r="AG497" i="87" s="1"/>
  <c r="AA460" i="87"/>
  <c r="AG460" i="87" s="1"/>
  <c r="AA250" i="88"/>
  <c r="AA242" i="88"/>
  <c r="AA213" i="88"/>
  <c r="AA205" i="88"/>
  <c r="AA200" i="88"/>
  <c r="AA194" i="88"/>
  <c r="AA70" i="88"/>
  <c r="AA69" i="88"/>
  <c r="AA498" i="87"/>
  <c r="AG498" i="87" s="1"/>
  <c r="AA463" i="87"/>
  <c r="AG463" i="87" s="1"/>
  <c r="AA443" i="87"/>
  <c r="AG443" i="87" s="1"/>
  <c r="AA249" i="88"/>
  <c r="AA241" i="88"/>
  <c r="AA212" i="88"/>
  <c r="AA204" i="88"/>
  <c r="AA198" i="88"/>
  <c r="AA193" i="88"/>
  <c r="AA501" i="87"/>
  <c r="AG501" i="87" s="1"/>
  <c r="AA493" i="87"/>
  <c r="AG493" i="87" s="1"/>
  <c r="AA464" i="87"/>
  <c r="AG464" i="87" s="1"/>
  <c r="AA444" i="87"/>
  <c r="AG444" i="87" s="1"/>
  <c r="AA246" i="88"/>
  <c r="AA209" i="88"/>
  <c r="AA202" i="88"/>
  <c r="AA197" i="88"/>
  <c r="AA192" i="88"/>
  <c r="AA121" i="87"/>
  <c r="AG121" i="87" s="1"/>
  <c r="AA120" i="87"/>
  <c r="AG120" i="87" s="1"/>
  <c r="AA119" i="87"/>
  <c r="AG119" i="87" s="1"/>
  <c r="AA118" i="87"/>
  <c r="AG118" i="87" s="1"/>
  <c r="AA117" i="87"/>
  <c r="AG117" i="87" s="1"/>
  <c r="AA116" i="87"/>
  <c r="AG116" i="87" s="1"/>
  <c r="AA115" i="87"/>
  <c r="AG115" i="87" s="1"/>
  <c r="AA114" i="87"/>
  <c r="AG114" i="87" s="1"/>
  <c r="AA113" i="87"/>
  <c r="AG113" i="87" s="1"/>
  <c r="AA112" i="87"/>
  <c r="AG112" i="87" s="1"/>
  <c r="AA111" i="87"/>
  <c r="AG111" i="87" s="1"/>
  <c r="AA110" i="87"/>
  <c r="AG110" i="87" s="1"/>
  <c r="AA73" i="88"/>
  <c r="AA502" i="87"/>
  <c r="AG502" i="87" s="1"/>
  <c r="AA494" i="87"/>
  <c r="AG494" i="87" s="1"/>
  <c r="AA459" i="87"/>
  <c r="AG459" i="87" s="1"/>
  <c r="AA253" i="88"/>
  <c r="AA245" i="88"/>
  <c r="AA71" i="88"/>
  <c r="AA208" i="88"/>
  <c r="AA201" i="88"/>
  <c r="AA196" i="88"/>
  <c r="AA72" i="88"/>
  <c r="AB44" i="84"/>
  <c r="AA382" i="87"/>
  <c r="AA378" i="87"/>
  <c r="AA374" i="87"/>
  <c r="AA346" i="87"/>
  <c r="AA342" i="87"/>
  <c r="AA338" i="87"/>
  <c r="AA334" i="87"/>
  <c r="AA330" i="87"/>
  <c r="AA326" i="87"/>
  <c r="AA242" i="87"/>
  <c r="AA238" i="87"/>
  <c r="AA234" i="87"/>
  <c r="AA206" i="87"/>
  <c r="AA202" i="87"/>
  <c r="AA198" i="87"/>
  <c r="AA194" i="87"/>
  <c r="AA384" i="87"/>
  <c r="AA379" i="87"/>
  <c r="AA373" i="87"/>
  <c r="AA345" i="87"/>
  <c r="AA340" i="87"/>
  <c r="AA335" i="87"/>
  <c r="AA329" i="87"/>
  <c r="AA237" i="87"/>
  <c r="AA232" i="87"/>
  <c r="AA204" i="87"/>
  <c r="AA199" i="87"/>
  <c r="AA193" i="87"/>
  <c r="AA189" i="87"/>
  <c r="AA95" i="87"/>
  <c r="AA91" i="87"/>
  <c r="AA87" i="87"/>
  <c r="AA35" i="87"/>
  <c r="AA31" i="87"/>
  <c r="AA27" i="87"/>
  <c r="AG448" i="87"/>
  <c r="AA383" i="87"/>
  <c r="AA376" i="87"/>
  <c r="AA343" i="87"/>
  <c r="AA336" i="87"/>
  <c r="AA328" i="87"/>
  <c r="AA240" i="87"/>
  <c r="AA233" i="87"/>
  <c r="AA200" i="87"/>
  <c r="AA192" i="87"/>
  <c r="AA93" i="87"/>
  <c r="AA88" i="87"/>
  <c r="AG503" i="87"/>
  <c r="AA381" i="87"/>
  <c r="AA375" i="87"/>
  <c r="AA348" i="87"/>
  <c r="AA341" i="87"/>
  <c r="AA333" i="87"/>
  <c r="AA327" i="87"/>
  <c r="AA239" i="87"/>
  <c r="AA231" i="87"/>
  <c r="AA205" i="87"/>
  <c r="AA197" i="87"/>
  <c r="AA191" i="87"/>
  <c r="AA347" i="87"/>
  <c r="AA332" i="87"/>
  <c r="AA203" i="87"/>
  <c r="AA190" i="87"/>
  <c r="AA97" i="87"/>
  <c r="AA90" i="87"/>
  <c r="AA34" i="87"/>
  <c r="AA29" i="87"/>
  <c r="AA236" i="87"/>
  <c r="AA196" i="87"/>
  <c r="AA86" i="87"/>
  <c r="AA37" i="87"/>
  <c r="AA32" i="87"/>
  <c r="AA344" i="87"/>
  <c r="AA331" i="87"/>
  <c r="AA241" i="87"/>
  <c r="AA201" i="87"/>
  <c r="AA188" i="87"/>
  <c r="AA96" i="87"/>
  <c r="AA89" i="87"/>
  <c r="AA33" i="87"/>
  <c r="AA28" i="87"/>
  <c r="AA380" i="87"/>
  <c r="AA339" i="87"/>
  <c r="AA94" i="87"/>
  <c r="AA26" i="87"/>
  <c r="AA377" i="87"/>
  <c r="AA337" i="87"/>
  <c r="AA235" i="87"/>
  <c r="AA195" i="87"/>
  <c r="AA92" i="87"/>
  <c r="AA36" i="87"/>
  <c r="AA30" i="87"/>
  <c r="Z12" i="91" l="1"/>
  <c r="AH12" i="91" s="1"/>
  <c r="D18" i="92"/>
  <c r="Z10" i="91"/>
  <c r="AH10" i="91" s="1"/>
  <c r="O807" i="91"/>
  <c r="W11" i="91" s="1"/>
  <c r="T11" i="91"/>
  <c r="K14" i="99"/>
  <c r="K15" i="99"/>
  <c r="T9" i="91"/>
  <c r="O505" i="91"/>
  <c r="W9" i="91" s="1"/>
  <c r="AP6" i="87"/>
  <c r="AQ6" i="87" s="1"/>
  <c r="AC11" i="91"/>
  <c r="H15" i="99"/>
  <c r="H14" i="99"/>
  <c r="AC9" i="91"/>
  <c r="AP4" i="87"/>
  <c r="S54" i="80"/>
  <c r="T5" i="80"/>
  <c r="S5" i="97"/>
  <c r="S58" i="97" s="1"/>
  <c r="AG89" i="87"/>
  <c r="L89" i="91"/>
  <c r="O89" i="91" s="1"/>
  <c r="AG32" i="87"/>
  <c r="L32" i="91"/>
  <c r="O32" i="91" s="1"/>
  <c r="AG347" i="87"/>
  <c r="L347" i="91"/>
  <c r="O347" i="91" s="1"/>
  <c r="AG343" i="87"/>
  <c r="L343" i="91"/>
  <c r="O343" i="91" s="1"/>
  <c r="AG91" i="87"/>
  <c r="L91" i="91"/>
  <c r="O91" i="91" s="1"/>
  <c r="AG345" i="87"/>
  <c r="L345" i="91"/>
  <c r="O345" i="91" s="1"/>
  <c r="AG202" i="87"/>
  <c r="L202" i="91"/>
  <c r="O202" i="91" s="1"/>
  <c r="AG378" i="87"/>
  <c r="L378" i="91"/>
  <c r="O378" i="91" s="1"/>
  <c r="AG377" i="87"/>
  <c r="L377" i="91"/>
  <c r="O377" i="91" s="1"/>
  <c r="AG94" i="87"/>
  <c r="L94" i="91"/>
  <c r="O94" i="91" s="1"/>
  <c r="AG96" i="87"/>
  <c r="L96" i="91"/>
  <c r="O96" i="91" s="1"/>
  <c r="AG201" i="87"/>
  <c r="L201" i="91"/>
  <c r="O201" i="91" s="1"/>
  <c r="AG37" i="87"/>
  <c r="L37" i="91"/>
  <c r="O37" i="91" s="1"/>
  <c r="AG236" i="87"/>
  <c r="L236" i="91"/>
  <c r="O236" i="91" s="1"/>
  <c r="AG90" i="87"/>
  <c r="L90" i="91"/>
  <c r="O90" i="91" s="1"/>
  <c r="AG190" i="87"/>
  <c r="L190" i="91"/>
  <c r="O190" i="91" s="1"/>
  <c r="AG205" i="87"/>
  <c r="L205" i="91"/>
  <c r="O205" i="91" s="1"/>
  <c r="AG333" i="87"/>
  <c r="L333" i="91"/>
  <c r="O333" i="91" s="1"/>
  <c r="AG381" i="87"/>
  <c r="L381" i="91"/>
  <c r="O381" i="91" s="1"/>
  <c r="AG240" i="87"/>
  <c r="L240" i="91"/>
  <c r="O240" i="91" s="1"/>
  <c r="AG376" i="87"/>
  <c r="L376" i="91"/>
  <c r="O376" i="91" s="1"/>
  <c r="AG31" i="87"/>
  <c r="L31" i="91"/>
  <c r="O31" i="91" s="1"/>
  <c r="AG95" i="87"/>
  <c r="L95" i="91"/>
  <c r="O95" i="91" s="1"/>
  <c r="AG199" i="87"/>
  <c r="L199" i="91"/>
  <c r="O199" i="91" s="1"/>
  <c r="AG329" i="87"/>
  <c r="L329" i="91"/>
  <c r="O329" i="91" s="1"/>
  <c r="AG373" i="87"/>
  <c r="L373" i="91"/>
  <c r="O373" i="91" s="1"/>
  <c r="AG206" i="87"/>
  <c r="L206" i="91"/>
  <c r="O206" i="91" s="1"/>
  <c r="AG326" i="87"/>
  <c r="L326" i="91"/>
  <c r="O326" i="91" s="1"/>
  <c r="AG342" i="87"/>
  <c r="L342" i="91"/>
  <c r="O342" i="91" s="1"/>
  <c r="AG382" i="87"/>
  <c r="L382" i="91"/>
  <c r="O382" i="91" s="1"/>
  <c r="AG337" i="87"/>
  <c r="L337" i="91"/>
  <c r="O337" i="91" s="1"/>
  <c r="AG188" i="87"/>
  <c r="L188" i="91"/>
  <c r="O188" i="91" s="1"/>
  <c r="AG196" i="87"/>
  <c r="L196" i="91"/>
  <c r="O196" i="91" s="1"/>
  <c r="AG375" i="87"/>
  <c r="L375" i="91"/>
  <c r="O375" i="91" s="1"/>
  <c r="AG193" i="87"/>
  <c r="L193" i="91"/>
  <c r="O193" i="91" s="1"/>
  <c r="AG242" i="87"/>
  <c r="L242" i="91"/>
  <c r="O242" i="91" s="1"/>
  <c r="AG338" i="87"/>
  <c r="L338" i="91"/>
  <c r="O338" i="91" s="1"/>
  <c r="AG30" i="87"/>
  <c r="L30" i="91"/>
  <c r="O30" i="91" s="1"/>
  <c r="AG36" i="87"/>
  <c r="L36" i="91"/>
  <c r="O36" i="91" s="1"/>
  <c r="AG195" i="87"/>
  <c r="L195" i="91"/>
  <c r="O195" i="91" s="1"/>
  <c r="AG339" i="87"/>
  <c r="L339" i="91"/>
  <c r="O339" i="91" s="1"/>
  <c r="AG28" i="87"/>
  <c r="L28" i="91"/>
  <c r="O28" i="91" s="1"/>
  <c r="AG241" i="87"/>
  <c r="L241" i="91"/>
  <c r="O241" i="91" s="1"/>
  <c r="AG86" i="87"/>
  <c r="L86" i="91"/>
  <c r="O86" i="91" s="1"/>
  <c r="AG97" i="87"/>
  <c r="L121" i="91"/>
  <c r="O121" i="91" s="1"/>
  <c r="L117" i="91"/>
  <c r="O117" i="91" s="1"/>
  <c r="L113" i="91"/>
  <c r="O113" i="91" s="1"/>
  <c r="L119" i="91"/>
  <c r="O119" i="91" s="1"/>
  <c r="L112" i="91"/>
  <c r="O112" i="91" s="1"/>
  <c r="L110" i="91"/>
  <c r="O110" i="91" s="1"/>
  <c r="L115" i="91"/>
  <c r="O115" i="91" s="1"/>
  <c r="L120" i="91"/>
  <c r="O120" i="91" s="1"/>
  <c r="L116" i="91"/>
  <c r="O116" i="91" s="1"/>
  <c r="L118" i="91"/>
  <c r="O118" i="91" s="1"/>
  <c r="L111" i="91"/>
  <c r="O111" i="91" s="1"/>
  <c r="L114" i="91"/>
  <c r="O114" i="91" s="1"/>
  <c r="L97" i="91"/>
  <c r="O97" i="91" s="1"/>
  <c r="AG203" i="87"/>
  <c r="L203" i="91"/>
  <c r="O203" i="91" s="1"/>
  <c r="AG231" i="87"/>
  <c r="L231" i="91"/>
  <c r="O231" i="91" s="1"/>
  <c r="AG341" i="87"/>
  <c r="L341" i="91"/>
  <c r="O341" i="91" s="1"/>
  <c r="AG88" i="87"/>
  <c r="L88" i="91"/>
  <c r="O88" i="91" s="1"/>
  <c r="AG192" i="87"/>
  <c r="L192" i="91"/>
  <c r="O192" i="91" s="1"/>
  <c r="AG328" i="87"/>
  <c r="L328" i="91"/>
  <c r="O328" i="91" s="1"/>
  <c r="AG383" i="87"/>
  <c r="L383" i="91"/>
  <c r="O383" i="91" s="1"/>
  <c r="AG35" i="87"/>
  <c r="L35" i="91"/>
  <c r="O35" i="91" s="1"/>
  <c r="AG204" i="87"/>
  <c r="L204" i="91"/>
  <c r="O204" i="91" s="1"/>
  <c r="AG335" i="87"/>
  <c r="L335" i="91"/>
  <c r="O335" i="91" s="1"/>
  <c r="AG379" i="87"/>
  <c r="L379" i="91"/>
  <c r="O379" i="91" s="1"/>
  <c r="AG194" i="87"/>
  <c r="L194" i="91"/>
  <c r="O194" i="91" s="1"/>
  <c r="AG234" i="87"/>
  <c r="L234" i="91"/>
  <c r="O234" i="91" s="1"/>
  <c r="AG330" i="87"/>
  <c r="L330" i="91"/>
  <c r="O330" i="91" s="1"/>
  <c r="AG346" i="87"/>
  <c r="L346" i="91"/>
  <c r="O346" i="91" s="1"/>
  <c r="AG26" i="87"/>
  <c r="L26" i="91"/>
  <c r="AG344" i="87"/>
  <c r="L344" i="91"/>
  <c r="O344" i="91" s="1"/>
  <c r="AG34" i="87"/>
  <c r="L34" i="91"/>
  <c r="O34" i="91" s="1"/>
  <c r="AG197" i="87"/>
  <c r="L197" i="91"/>
  <c r="O197" i="91" s="1"/>
  <c r="AG327" i="87"/>
  <c r="L327" i="91"/>
  <c r="O327" i="91" s="1"/>
  <c r="AG233" i="87"/>
  <c r="L233" i="91"/>
  <c r="O233" i="91" s="1"/>
  <c r="AG27" i="87"/>
  <c r="L27" i="91"/>
  <c r="O27" i="91" s="1"/>
  <c r="AG237" i="87"/>
  <c r="L237" i="91"/>
  <c r="O237" i="91" s="1"/>
  <c r="AG92" i="87"/>
  <c r="L92" i="91"/>
  <c r="O92" i="91" s="1"/>
  <c r="AG235" i="87"/>
  <c r="L235" i="91"/>
  <c r="O235" i="91" s="1"/>
  <c r="AG380" i="87"/>
  <c r="L380" i="91"/>
  <c r="O380" i="91" s="1"/>
  <c r="AG33" i="87"/>
  <c r="L33" i="91"/>
  <c r="O33" i="91" s="1"/>
  <c r="AG331" i="87"/>
  <c r="L331" i="91"/>
  <c r="O331" i="91" s="1"/>
  <c r="AG29" i="87"/>
  <c r="L29" i="91"/>
  <c r="O29" i="91" s="1"/>
  <c r="AG332" i="87"/>
  <c r="L332" i="91"/>
  <c r="O332" i="91" s="1"/>
  <c r="AG191" i="87"/>
  <c r="L191" i="91"/>
  <c r="O191" i="91" s="1"/>
  <c r="AG239" i="87"/>
  <c r="L239" i="91"/>
  <c r="O239" i="91" s="1"/>
  <c r="AG348" i="87"/>
  <c r="L348" i="91"/>
  <c r="O348" i="91" s="1"/>
  <c r="AG93" i="87"/>
  <c r="L93" i="91"/>
  <c r="O93" i="91" s="1"/>
  <c r="AG200" i="87"/>
  <c r="L200" i="91"/>
  <c r="O200" i="91" s="1"/>
  <c r="AG336" i="87"/>
  <c r="L336" i="91"/>
  <c r="O336" i="91" s="1"/>
  <c r="AG87" i="87"/>
  <c r="L87" i="91"/>
  <c r="O87" i="91" s="1"/>
  <c r="AG189" i="87"/>
  <c r="L189" i="91"/>
  <c r="O189" i="91" s="1"/>
  <c r="AG232" i="87"/>
  <c r="L232" i="91"/>
  <c r="O232" i="91" s="1"/>
  <c r="AG340" i="87"/>
  <c r="L340" i="91"/>
  <c r="O340" i="91" s="1"/>
  <c r="AG384" i="87"/>
  <c r="L501" i="91"/>
  <c r="O501" i="91" s="1"/>
  <c r="L497" i="91"/>
  <c r="O497" i="91" s="1"/>
  <c r="L493" i="91"/>
  <c r="O493" i="91" s="1"/>
  <c r="L465" i="91"/>
  <c r="O465" i="91" s="1"/>
  <c r="L461" i="91"/>
  <c r="O461" i="91" s="1"/>
  <c r="L457" i="91"/>
  <c r="O457" i="91" s="1"/>
  <c r="L453" i="91"/>
  <c r="O453" i="91" s="1"/>
  <c r="L449" i="91"/>
  <c r="O449" i="91" s="1"/>
  <c r="L445" i="91"/>
  <c r="O445" i="91" s="1"/>
  <c r="L503" i="91"/>
  <c r="O503" i="91" s="1"/>
  <c r="L500" i="91"/>
  <c r="O500" i="91" s="1"/>
  <c r="L495" i="91"/>
  <c r="O495" i="91" s="1"/>
  <c r="L492" i="91"/>
  <c r="O492" i="91" s="1"/>
  <c r="L464" i="91"/>
  <c r="O464" i="91" s="1"/>
  <c r="L459" i="91"/>
  <c r="O459" i="91" s="1"/>
  <c r="L456" i="91"/>
  <c r="O456" i="91" s="1"/>
  <c r="L451" i="91"/>
  <c r="O451" i="91" s="1"/>
  <c r="L448" i="91"/>
  <c r="O448" i="91" s="1"/>
  <c r="L443" i="91"/>
  <c r="O443" i="91" s="1"/>
  <c r="L463" i="91"/>
  <c r="O463" i="91" s="1"/>
  <c r="L455" i="91"/>
  <c r="O455" i="91" s="1"/>
  <c r="L447" i="91"/>
  <c r="O447" i="91" s="1"/>
  <c r="L502" i="91"/>
  <c r="O502" i="91" s="1"/>
  <c r="L498" i="91"/>
  <c r="O498" i="91" s="1"/>
  <c r="L496" i="91"/>
  <c r="O496" i="91" s="1"/>
  <c r="L494" i="91"/>
  <c r="O494" i="91" s="1"/>
  <c r="L504" i="91"/>
  <c r="O504" i="91" s="1"/>
  <c r="L499" i="91"/>
  <c r="O499" i="91" s="1"/>
  <c r="L462" i="91"/>
  <c r="O462" i="91" s="1"/>
  <c r="L460" i="91"/>
  <c r="O460" i="91" s="1"/>
  <c r="L458" i="91"/>
  <c r="O458" i="91" s="1"/>
  <c r="L454" i="91"/>
  <c r="O454" i="91" s="1"/>
  <c r="L452" i="91"/>
  <c r="O452" i="91" s="1"/>
  <c r="L450" i="91"/>
  <c r="O450" i="91" s="1"/>
  <c r="L446" i="91"/>
  <c r="O446" i="91" s="1"/>
  <c r="L444" i="91"/>
  <c r="O444" i="91" s="1"/>
  <c r="L384" i="91"/>
  <c r="O384" i="91" s="1"/>
  <c r="AG198" i="87"/>
  <c r="L198" i="91"/>
  <c r="O198" i="91" s="1"/>
  <c r="AG238" i="87"/>
  <c r="L238" i="91"/>
  <c r="O238" i="91" s="1"/>
  <c r="AG334" i="87"/>
  <c r="L334" i="91"/>
  <c r="O334" i="91" s="1"/>
  <c r="AG374" i="87"/>
  <c r="L374" i="91"/>
  <c r="O374" i="91" s="1"/>
  <c r="Z9" i="91" l="1"/>
  <c r="AH9" i="91" s="1"/>
  <c r="I9" i="99"/>
  <c r="I11" i="99"/>
  <c r="I7" i="99"/>
  <c r="I13" i="99" s="1"/>
  <c r="AQ4" i="87"/>
  <c r="AP9" i="87"/>
  <c r="AQ9" i="87" s="1"/>
  <c r="Z11" i="91"/>
  <c r="AH11" i="91" s="1"/>
  <c r="AP3" i="87"/>
  <c r="AP8" i="87" s="1"/>
  <c r="O26" i="91"/>
  <c r="W7" i="91" s="1"/>
  <c r="T7" i="91"/>
  <c r="AC7" i="91"/>
  <c r="AQ3" i="87" l="1"/>
  <c r="I15" i="99"/>
  <c r="I14" i="99"/>
  <c r="Z7" i="91"/>
  <c r="AH7" i="91" s="1"/>
  <c r="AQ8" i="87"/>
  <c r="AP10" i="87"/>
  <c r="AQ10" i="87" s="1"/>
  <c r="J2" i="91"/>
  <c r="M2" i="91"/>
  <c r="J3" i="91"/>
  <c r="M3" i="91"/>
  <c r="J4" i="91"/>
  <c r="M4" i="91"/>
  <c r="J5" i="91"/>
  <c r="M5" i="91"/>
  <c r="R5" i="91"/>
  <c r="U5" i="91"/>
  <c r="X5" i="91"/>
  <c r="AA5" i="91"/>
  <c r="AD5" i="91"/>
  <c r="AF5" i="91"/>
  <c r="AI5" i="91"/>
  <c r="J6" i="91"/>
  <c r="M6" i="91"/>
  <c r="J7" i="91"/>
  <c r="M7" i="91"/>
  <c r="R7" i="91"/>
  <c r="S7" i="91"/>
  <c r="U7" i="91"/>
  <c r="V7" i="91"/>
  <c r="X7" i="91"/>
  <c r="Y7" i="91"/>
  <c r="AA7" i="91"/>
  <c r="AB7" i="91"/>
  <c r="AD7" i="91"/>
  <c r="AE7" i="91"/>
  <c r="AF7" i="91"/>
  <c r="AG7" i="91"/>
  <c r="AI7" i="91"/>
  <c r="AJ7" i="91"/>
  <c r="J8" i="91"/>
  <c r="M8" i="91"/>
  <c r="J9" i="91"/>
  <c r="M9" i="91"/>
  <c r="S9" i="91"/>
  <c r="V9" i="91"/>
  <c r="Y9" i="91"/>
  <c r="AB9" i="91"/>
  <c r="AE9" i="91"/>
  <c r="AG9" i="91"/>
  <c r="AJ9" i="91"/>
  <c r="J10" i="91"/>
  <c r="M10" i="91"/>
  <c r="S10" i="91"/>
  <c r="V10" i="91"/>
  <c r="Y10" i="91"/>
  <c r="AB10" i="91"/>
  <c r="AE10" i="91"/>
  <c r="AG10" i="91"/>
  <c r="AJ10" i="91"/>
  <c r="J11" i="91"/>
  <c r="M11" i="91"/>
  <c r="S11" i="91"/>
  <c r="V11" i="91"/>
  <c r="Y11" i="91"/>
  <c r="AB11" i="91"/>
  <c r="AE11" i="91"/>
  <c r="AG11" i="91"/>
  <c r="AJ11" i="91"/>
  <c r="J12" i="91"/>
  <c r="M12" i="91"/>
  <c r="S12" i="91"/>
  <c r="V12" i="91"/>
  <c r="Y12" i="91"/>
  <c r="AB12" i="91"/>
  <c r="AG12" i="91"/>
  <c r="AJ12" i="91"/>
  <c r="J13" i="91"/>
  <c r="M13" i="91"/>
  <c r="J14" i="91"/>
  <c r="K14" i="91"/>
  <c r="M14" i="91"/>
  <c r="N14" i="91"/>
  <c r="J15" i="91"/>
  <c r="K15" i="91"/>
  <c r="M15" i="91"/>
  <c r="N15" i="91"/>
  <c r="J16" i="91"/>
  <c r="K16" i="91"/>
  <c r="M16" i="91"/>
  <c r="N16" i="91"/>
  <c r="J17" i="91"/>
  <c r="K17" i="91"/>
  <c r="M17" i="91"/>
  <c r="N17" i="91"/>
  <c r="J18" i="91"/>
  <c r="K18" i="91"/>
  <c r="M18" i="91"/>
  <c r="N18" i="91"/>
  <c r="J19" i="91"/>
  <c r="K19" i="91"/>
  <c r="M19" i="91"/>
  <c r="N19" i="91"/>
  <c r="J20" i="91"/>
  <c r="K20" i="91"/>
  <c r="M20" i="91"/>
  <c r="N20" i="91"/>
  <c r="J21" i="91"/>
  <c r="K21" i="91"/>
  <c r="M21" i="91"/>
  <c r="N21" i="91"/>
  <c r="J22" i="91"/>
  <c r="K22" i="91"/>
  <c r="M22" i="91"/>
  <c r="N22" i="91"/>
  <c r="J23" i="91"/>
  <c r="K23" i="91"/>
  <c r="M23" i="91"/>
  <c r="N23" i="91"/>
  <c r="J24" i="91"/>
  <c r="K24" i="91"/>
  <c r="M24" i="91"/>
  <c r="N24" i="91"/>
  <c r="J25" i="91"/>
  <c r="K25" i="91"/>
  <c r="M25" i="91"/>
  <c r="N25" i="91"/>
  <c r="J26" i="91"/>
  <c r="K26" i="91"/>
  <c r="M26" i="91"/>
  <c r="N26" i="91"/>
  <c r="J27" i="91"/>
  <c r="K27" i="91"/>
  <c r="M27" i="91"/>
  <c r="N27" i="91"/>
  <c r="J28" i="91"/>
  <c r="K28" i="91"/>
  <c r="M28" i="91"/>
  <c r="N28" i="91"/>
  <c r="J29" i="91"/>
  <c r="K29" i="91"/>
  <c r="M29" i="91"/>
  <c r="N29" i="91"/>
  <c r="J30" i="91"/>
  <c r="K30" i="91"/>
  <c r="M30" i="91"/>
  <c r="N30" i="91"/>
  <c r="J31" i="91"/>
  <c r="K31" i="91"/>
  <c r="M31" i="91"/>
  <c r="N31" i="91"/>
  <c r="J32" i="91"/>
  <c r="K32" i="91"/>
  <c r="M32" i="91"/>
  <c r="N32" i="91"/>
  <c r="J33" i="91"/>
  <c r="K33" i="91"/>
  <c r="M33" i="91"/>
  <c r="N33" i="91"/>
  <c r="J34" i="91"/>
  <c r="K34" i="91"/>
  <c r="M34" i="91"/>
  <c r="N34" i="91"/>
  <c r="J35" i="91"/>
  <c r="K35" i="91"/>
  <c r="M35" i="91"/>
  <c r="N35" i="91"/>
  <c r="J36" i="91"/>
  <c r="K36" i="91"/>
  <c r="M36" i="91"/>
  <c r="N36" i="91"/>
  <c r="J37" i="91"/>
  <c r="K37" i="91"/>
  <c r="M37" i="91"/>
  <c r="N37" i="91"/>
  <c r="J38" i="91"/>
  <c r="K38" i="91"/>
  <c r="M38" i="91"/>
  <c r="N38" i="91"/>
  <c r="J39" i="91"/>
  <c r="K39" i="91"/>
  <c r="M39" i="91"/>
  <c r="N39" i="91"/>
  <c r="J40" i="91"/>
  <c r="K40" i="91"/>
  <c r="M40" i="91"/>
  <c r="N40" i="91"/>
  <c r="J41" i="91"/>
  <c r="K41" i="91"/>
  <c r="M41" i="91"/>
  <c r="N41" i="91"/>
  <c r="J42" i="91"/>
  <c r="K42" i="91"/>
  <c r="M42" i="91"/>
  <c r="N42" i="91"/>
  <c r="J43" i="91"/>
  <c r="K43" i="91"/>
  <c r="M43" i="91"/>
  <c r="N43" i="91"/>
  <c r="J44" i="91"/>
  <c r="K44" i="91"/>
  <c r="M44" i="91"/>
  <c r="N44" i="91"/>
  <c r="J45" i="91"/>
  <c r="K45" i="91"/>
  <c r="M45" i="91"/>
  <c r="N45" i="91"/>
  <c r="J46" i="91"/>
  <c r="K46" i="91"/>
  <c r="M46" i="91"/>
  <c r="N46" i="91"/>
  <c r="J47" i="91"/>
  <c r="K47" i="91"/>
  <c r="M47" i="91"/>
  <c r="N47" i="91"/>
  <c r="J48" i="91"/>
  <c r="K48" i="91"/>
  <c r="M48" i="91"/>
  <c r="N48" i="91"/>
  <c r="J49" i="91"/>
  <c r="K49" i="91"/>
  <c r="M49" i="91"/>
  <c r="N49" i="91"/>
  <c r="K50" i="91"/>
  <c r="N50" i="91"/>
  <c r="K51" i="91"/>
  <c r="N51" i="91"/>
  <c r="K52" i="91"/>
  <c r="N52" i="91"/>
  <c r="K53" i="91"/>
  <c r="N53" i="91"/>
  <c r="K54" i="91"/>
  <c r="N54" i="91"/>
  <c r="K55" i="91"/>
  <c r="N55" i="91"/>
  <c r="K56" i="91"/>
  <c r="N56" i="91"/>
  <c r="K57" i="91"/>
  <c r="N57" i="91"/>
  <c r="K58" i="91"/>
  <c r="N58" i="91"/>
  <c r="K59" i="91"/>
  <c r="N59" i="91"/>
  <c r="K60" i="91"/>
  <c r="N60" i="91"/>
  <c r="K61" i="91"/>
  <c r="N61" i="91"/>
  <c r="J62" i="91"/>
  <c r="K62" i="91"/>
  <c r="M62" i="91"/>
  <c r="N62" i="91"/>
  <c r="J63" i="91"/>
  <c r="K63" i="91"/>
  <c r="M63" i="91"/>
  <c r="N63" i="91"/>
  <c r="J64" i="91"/>
  <c r="K64" i="91"/>
  <c r="M64" i="91"/>
  <c r="N64" i="91"/>
  <c r="J65" i="91"/>
  <c r="K65" i="91"/>
  <c r="M65" i="91"/>
  <c r="N65" i="91"/>
  <c r="J66" i="91"/>
  <c r="K66" i="91"/>
  <c r="M66" i="91"/>
  <c r="N66" i="91"/>
  <c r="J67" i="91"/>
  <c r="K67" i="91"/>
  <c r="M67" i="91"/>
  <c r="N67" i="91"/>
  <c r="J68" i="91"/>
  <c r="K68" i="91"/>
  <c r="M68" i="91"/>
  <c r="N68" i="91"/>
  <c r="J69" i="91"/>
  <c r="K69" i="91"/>
  <c r="M69" i="91"/>
  <c r="N69" i="91"/>
  <c r="J70" i="91"/>
  <c r="K70" i="91"/>
  <c r="M70" i="91"/>
  <c r="N70" i="91"/>
  <c r="J71" i="91"/>
  <c r="K71" i="91"/>
  <c r="M71" i="91"/>
  <c r="N71" i="91"/>
  <c r="J72" i="91"/>
  <c r="K72" i="91"/>
  <c r="M72" i="91"/>
  <c r="N72" i="91"/>
  <c r="J73" i="91"/>
  <c r="K73" i="91"/>
  <c r="M73" i="91"/>
  <c r="N73" i="91"/>
  <c r="J74" i="91"/>
  <c r="K74" i="91"/>
  <c r="M74" i="91"/>
  <c r="N74" i="91"/>
  <c r="J75" i="91"/>
  <c r="K75" i="91"/>
  <c r="M75" i="91"/>
  <c r="N75" i="91"/>
  <c r="J76" i="91"/>
  <c r="K76" i="91"/>
  <c r="M76" i="91"/>
  <c r="N76" i="91"/>
  <c r="J77" i="91"/>
  <c r="K77" i="91"/>
  <c r="M77" i="91"/>
  <c r="N77" i="91"/>
  <c r="J78" i="91"/>
  <c r="K78" i="91"/>
  <c r="M78" i="91"/>
  <c r="N78" i="91"/>
  <c r="J79" i="91"/>
  <c r="K79" i="91"/>
  <c r="M79" i="91"/>
  <c r="N79" i="91"/>
  <c r="J80" i="91"/>
  <c r="K80" i="91"/>
  <c r="M80" i="91"/>
  <c r="N80" i="91"/>
  <c r="J81" i="91"/>
  <c r="K81" i="91"/>
  <c r="M81" i="91"/>
  <c r="N81" i="91"/>
  <c r="J82" i="91"/>
  <c r="K82" i="91"/>
  <c r="M82" i="91"/>
  <c r="N82" i="91"/>
  <c r="J83" i="91"/>
  <c r="K83" i="91"/>
  <c r="M83" i="91"/>
  <c r="N83" i="91"/>
  <c r="J84" i="91"/>
  <c r="K84" i="91"/>
  <c r="M84" i="91"/>
  <c r="N84" i="91"/>
  <c r="J85" i="91"/>
  <c r="K85" i="91"/>
  <c r="M85" i="91"/>
  <c r="N85" i="91"/>
  <c r="J86" i="91"/>
  <c r="K86" i="91"/>
  <c r="M86" i="91"/>
  <c r="N86" i="91"/>
  <c r="J87" i="91"/>
  <c r="K87" i="91"/>
  <c r="M87" i="91"/>
  <c r="N87" i="91"/>
  <c r="J88" i="91"/>
  <c r="K88" i="91"/>
  <c r="M88" i="91"/>
  <c r="N88" i="91"/>
  <c r="J89" i="91"/>
  <c r="K89" i="91"/>
  <c r="M89" i="91"/>
  <c r="N89" i="91"/>
  <c r="J90" i="91"/>
  <c r="K90" i="91"/>
  <c r="M90" i="91"/>
  <c r="N90" i="91"/>
  <c r="J91" i="91"/>
  <c r="K91" i="91"/>
  <c r="M91" i="91"/>
  <c r="N91" i="91"/>
  <c r="J92" i="91"/>
  <c r="K92" i="91"/>
  <c r="M92" i="91"/>
  <c r="N92" i="91"/>
  <c r="J93" i="91"/>
  <c r="K93" i="91"/>
  <c r="M93" i="91"/>
  <c r="N93" i="91"/>
  <c r="J94" i="91"/>
  <c r="K94" i="91"/>
  <c r="M94" i="91"/>
  <c r="N94" i="91"/>
  <c r="J95" i="91"/>
  <c r="K95" i="91"/>
  <c r="M95" i="91"/>
  <c r="N95" i="91"/>
  <c r="J96" i="91"/>
  <c r="K96" i="91"/>
  <c r="M96" i="91"/>
  <c r="N96" i="91"/>
  <c r="J97" i="91"/>
  <c r="K97" i="91"/>
  <c r="M97" i="91"/>
  <c r="N97" i="91"/>
  <c r="J98" i="91"/>
  <c r="K98" i="91"/>
  <c r="M98" i="91"/>
  <c r="N98" i="91"/>
  <c r="J99" i="91"/>
  <c r="K99" i="91"/>
  <c r="M99" i="91"/>
  <c r="N99" i="91"/>
  <c r="J100" i="91"/>
  <c r="K100" i="91"/>
  <c r="M100" i="91"/>
  <c r="N100" i="91"/>
  <c r="J101" i="91"/>
  <c r="K101" i="91"/>
  <c r="M101" i="91"/>
  <c r="N101" i="91"/>
  <c r="J102" i="91"/>
  <c r="K102" i="91"/>
  <c r="M102" i="91"/>
  <c r="N102" i="91"/>
  <c r="J103" i="91"/>
  <c r="K103" i="91"/>
  <c r="M103" i="91"/>
  <c r="N103" i="91"/>
  <c r="J104" i="91"/>
  <c r="K104" i="91"/>
  <c r="M104" i="91"/>
  <c r="N104" i="91"/>
  <c r="J105" i="91"/>
  <c r="K105" i="91"/>
  <c r="M105" i="91"/>
  <c r="N105" i="91"/>
  <c r="J106" i="91"/>
  <c r="K106" i="91"/>
  <c r="M106" i="91"/>
  <c r="N106" i="91"/>
  <c r="J107" i="91"/>
  <c r="K107" i="91"/>
  <c r="M107" i="91"/>
  <c r="N107" i="91"/>
  <c r="J108" i="91"/>
  <c r="K108" i="91"/>
  <c r="M108" i="91"/>
  <c r="N108" i="91"/>
  <c r="J109" i="91"/>
  <c r="K109" i="91"/>
  <c r="M109" i="91"/>
  <c r="N109" i="91"/>
  <c r="J110" i="91"/>
  <c r="K110" i="91"/>
  <c r="M110" i="91"/>
  <c r="N110" i="91"/>
  <c r="J111" i="91"/>
  <c r="K111" i="91"/>
  <c r="M111" i="91"/>
  <c r="N111" i="91"/>
  <c r="J112" i="91"/>
  <c r="K112" i="91"/>
  <c r="M112" i="91"/>
  <c r="N112" i="91"/>
  <c r="J113" i="91"/>
  <c r="K113" i="91"/>
  <c r="M113" i="91"/>
  <c r="N113" i="91"/>
  <c r="J114" i="91"/>
  <c r="K114" i="91"/>
  <c r="M114" i="91"/>
  <c r="N114" i="91"/>
  <c r="J115" i="91"/>
  <c r="K115" i="91"/>
  <c r="M115" i="91"/>
  <c r="N115" i="91"/>
  <c r="J116" i="91"/>
  <c r="K116" i="91"/>
  <c r="M116" i="91"/>
  <c r="N116" i="91"/>
  <c r="J117" i="91"/>
  <c r="K117" i="91"/>
  <c r="M117" i="91"/>
  <c r="N117" i="91"/>
  <c r="J118" i="91"/>
  <c r="K118" i="91"/>
  <c r="M118" i="91"/>
  <c r="N118" i="91"/>
  <c r="J119" i="91"/>
  <c r="K119" i="91"/>
  <c r="M119" i="91"/>
  <c r="N119" i="91"/>
  <c r="J120" i="91"/>
  <c r="K120" i="91"/>
  <c r="M120" i="91"/>
  <c r="N120" i="91"/>
  <c r="J121" i="91"/>
  <c r="K121" i="91"/>
  <c r="M121" i="91"/>
  <c r="N121" i="91"/>
  <c r="J122" i="91"/>
  <c r="M122" i="91"/>
  <c r="J123" i="91"/>
  <c r="M123" i="91"/>
  <c r="J124" i="91"/>
  <c r="M124" i="91"/>
  <c r="J125" i="91"/>
  <c r="M125" i="91"/>
  <c r="J126" i="91"/>
  <c r="M126" i="91"/>
  <c r="J127" i="91"/>
  <c r="M127" i="91"/>
  <c r="J128" i="91"/>
  <c r="M128" i="91"/>
  <c r="J129" i="91"/>
  <c r="M129" i="91"/>
  <c r="J130" i="91"/>
  <c r="M130" i="91"/>
  <c r="J131" i="91"/>
  <c r="M131" i="91"/>
  <c r="J132" i="91"/>
  <c r="M132" i="91"/>
  <c r="J133" i="91"/>
  <c r="M133" i="91"/>
  <c r="J134" i="91"/>
  <c r="M134" i="91"/>
  <c r="J135" i="91"/>
  <c r="M135" i="91"/>
  <c r="J136" i="91"/>
  <c r="M136" i="91"/>
  <c r="J137" i="91"/>
  <c r="M137" i="91"/>
  <c r="J138" i="91"/>
  <c r="M138" i="91"/>
  <c r="J139" i="91"/>
  <c r="M139" i="91"/>
  <c r="J140" i="91"/>
  <c r="M140" i="91"/>
  <c r="J141" i="91"/>
  <c r="M141" i="91"/>
  <c r="J142" i="91"/>
  <c r="M142" i="91"/>
  <c r="J143" i="91"/>
  <c r="M143" i="91"/>
  <c r="J144" i="91"/>
  <c r="M144" i="91"/>
  <c r="J145" i="91"/>
  <c r="M145" i="91"/>
  <c r="K146" i="91"/>
  <c r="N146" i="91"/>
  <c r="K147" i="91"/>
  <c r="N147" i="91"/>
  <c r="K148" i="91"/>
  <c r="N148" i="91"/>
  <c r="K149" i="91"/>
  <c r="N149" i="91"/>
  <c r="K150" i="91"/>
  <c r="N150" i="91"/>
  <c r="K151" i="91"/>
  <c r="N151" i="91"/>
  <c r="K152" i="91"/>
  <c r="N152" i="91"/>
  <c r="K153" i="91"/>
  <c r="N153" i="91"/>
  <c r="K154" i="91"/>
  <c r="N154" i="91"/>
  <c r="K155" i="91"/>
  <c r="N155" i="91"/>
  <c r="K156" i="91"/>
  <c r="N156" i="91"/>
  <c r="K157" i="91"/>
  <c r="N157" i="91"/>
  <c r="K158" i="91"/>
  <c r="N158" i="91"/>
  <c r="K159" i="91"/>
  <c r="N159" i="91"/>
  <c r="K160" i="91"/>
  <c r="N160" i="91"/>
  <c r="K161" i="91"/>
  <c r="N161" i="91"/>
  <c r="K162" i="91"/>
  <c r="N162" i="91"/>
  <c r="K163" i="91"/>
  <c r="N163" i="91"/>
  <c r="K164" i="91"/>
  <c r="N164" i="91"/>
  <c r="K165" i="91"/>
  <c r="N165" i="91"/>
  <c r="J166" i="91"/>
  <c r="M166" i="91"/>
  <c r="J167" i="91"/>
  <c r="M167" i="91"/>
  <c r="J168" i="91"/>
  <c r="M168" i="91"/>
  <c r="J169" i="91"/>
  <c r="M169" i="91"/>
  <c r="J170" i="91"/>
  <c r="M170" i="91"/>
  <c r="J171" i="91"/>
  <c r="M171" i="91"/>
  <c r="J172" i="91"/>
  <c r="M172" i="91"/>
  <c r="J173" i="91"/>
  <c r="M173" i="91"/>
  <c r="J174" i="91"/>
  <c r="M174" i="91"/>
  <c r="J175" i="91"/>
  <c r="M175" i="91"/>
  <c r="J176" i="91"/>
  <c r="M176" i="91"/>
  <c r="J177" i="91"/>
  <c r="M177" i="91"/>
  <c r="J178" i="91"/>
  <c r="M178" i="91"/>
  <c r="J179" i="91"/>
  <c r="M179" i="91"/>
  <c r="J180" i="91"/>
  <c r="M180" i="91"/>
  <c r="J181" i="91"/>
  <c r="M181" i="91"/>
  <c r="J182" i="91"/>
  <c r="M182" i="91"/>
  <c r="J183" i="91"/>
  <c r="M183" i="91"/>
  <c r="J184" i="91"/>
  <c r="M184" i="91"/>
  <c r="J185" i="91"/>
  <c r="M185" i="91"/>
  <c r="J186" i="91"/>
  <c r="M186" i="91"/>
  <c r="J187" i="91"/>
  <c r="M187" i="91"/>
  <c r="K188" i="91"/>
  <c r="N188" i="91"/>
  <c r="K189" i="91"/>
  <c r="N189" i="91"/>
  <c r="K190" i="91"/>
  <c r="N190" i="91"/>
  <c r="K191" i="91"/>
  <c r="N191" i="91"/>
  <c r="K192" i="91"/>
  <c r="N192" i="91"/>
  <c r="K193" i="91"/>
  <c r="N193" i="91"/>
  <c r="K194" i="91"/>
  <c r="N194" i="91"/>
  <c r="K195" i="91"/>
  <c r="N195" i="91"/>
  <c r="K196" i="91"/>
  <c r="N196" i="91"/>
  <c r="K197" i="91"/>
  <c r="N197" i="91"/>
  <c r="K198" i="91"/>
  <c r="N198" i="91"/>
  <c r="K199" i="91"/>
  <c r="N199" i="91"/>
  <c r="K200" i="91"/>
  <c r="N200" i="91"/>
  <c r="K201" i="91"/>
  <c r="N201" i="91"/>
  <c r="K202" i="91"/>
  <c r="N202" i="91"/>
  <c r="K203" i="91"/>
  <c r="N203" i="91"/>
  <c r="K204" i="91"/>
  <c r="N204" i="91"/>
  <c r="K205" i="91"/>
  <c r="N205" i="91"/>
  <c r="K206" i="91"/>
  <c r="N206" i="91"/>
  <c r="K207" i="91"/>
  <c r="N207" i="91"/>
  <c r="K208" i="91"/>
  <c r="N208" i="91"/>
  <c r="K209" i="91"/>
  <c r="N209" i="91"/>
  <c r="K210" i="91"/>
  <c r="N210" i="91"/>
  <c r="K211" i="91"/>
  <c r="N211" i="91"/>
  <c r="K212" i="91"/>
  <c r="N212" i="91"/>
  <c r="K213" i="91"/>
  <c r="N213" i="91"/>
  <c r="K214" i="91"/>
  <c r="N214" i="91"/>
  <c r="K215" i="91"/>
  <c r="N215" i="91"/>
  <c r="K216" i="91"/>
  <c r="N216" i="91"/>
  <c r="K217" i="91"/>
  <c r="N217" i="91"/>
  <c r="K218" i="91"/>
  <c r="N218" i="91"/>
  <c r="J219" i="91"/>
  <c r="M219" i="91"/>
  <c r="J220" i="91"/>
  <c r="M220" i="91"/>
  <c r="J221" i="91"/>
  <c r="M221" i="91"/>
  <c r="J222" i="91"/>
  <c r="M222" i="91"/>
  <c r="J223" i="91"/>
  <c r="M223" i="91"/>
  <c r="J224" i="91"/>
  <c r="M224" i="91"/>
  <c r="J225" i="91"/>
  <c r="M225" i="91"/>
  <c r="J226" i="91"/>
  <c r="M226" i="91"/>
  <c r="J227" i="91"/>
  <c r="M227" i="91"/>
  <c r="J228" i="91"/>
  <c r="M228" i="91"/>
  <c r="J229" i="91"/>
  <c r="M229" i="91"/>
  <c r="J230" i="91"/>
  <c r="M230" i="91"/>
  <c r="K231" i="91"/>
  <c r="N231" i="91"/>
  <c r="K232" i="91"/>
  <c r="N232" i="91"/>
  <c r="K233" i="91"/>
  <c r="N233" i="91"/>
  <c r="K234" i="91"/>
  <c r="N234" i="91"/>
  <c r="K235" i="91"/>
  <c r="N235" i="91"/>
  <c r="K236" i="91"/>
  <c r="N236" i="91"/>
  <c r="K237" i="91"/>
  <c r="N237" i="91"/>
  <c r="K238" i="91"/>
  <c r="N238" i="91"/>
  <c r="K239" i="91"/>
  <c r="N239" i="91"/>
  <c r="K240" i="91"/>
  <c r="N240" i="91"/>
  <c r="K241" i="91"/>
  <c r="N241" i="91"/>
  <c r="K242" i="91"/>
  <c r="N242" i="91"/>
  <c r="K243" i="91"/>
  <c r="N243" i="91"/>
  <c r="K244" i="91"/>
  <c r="N244" i="91"/>
  <c r="K245" i="91"/>
  <c r="N245" i="91"/>
  <c r="K246" i="91"/>
  <c r="N246" i="91"/>
  <c r="K247" i="91"/>
  <c r="N247" i="91"/>
  <c r="K248" i="91"/>
  <c r="N248" i="91"/>
  <c r="K249" i="91"/>
  <c r="N249" i="91"/>
  <c r="K250" i="91"/>
  <c r="N250" i="91"/>
  <c r="K251" i="91"/>
  <c r="N251" i="91"/>
  <c r="K252" i="91"/>
  <c r="N252" i="91"/>
  <c r="K253" i="91"/>
  <c r="N253" i="91"/>
  <c r="K254" i="91"/>
  <c r="N254" i="91"/>
  <c r="J255" i="91"/>
  <c r="M255" i="91"/>
  <c r="J256" i="91"/>
  <c r="M256" i="91"/>
  <c r="J257" i="91"/>
  <c r="M257" i="91"/>
  <c r="J258" i="91"/>
  <c r="M258" i="91"/>
  <c r="J259" i="91"/>
  <c r="M259" i="91"/>
  <c r="J260" i="91"/>
  <c r="M260" i="91"/>
  <c r="J261" i="91"/>
  <c r="M261" i="91"/>
  <c r="J262" i="91"/>
  <c r="M262" i="91"/>
  <c r="J263" i="91"/>
  <c r="M263" i="91"/>
  <c r="J264" i="91"/>
  <c r="M264" i="91"/>
  <c r="J265" i="91"/>
  <c r="M265" i="91"/>
  <c r="J266" i="91"/>
  <c r="M266" i="91"/>
  <c r="K267" i="91"/>
  <c r="N267" i="91"/>
  <c r="K268" i="91"/>
  <c r="N268" i="91"/>
  <c r="K269" i="91"/>
  <c r="N269" i="91"/>
  <c r="K270" i="91"/>
  <c r="N270" i="91"/>
  <c r="K271" i="91"/>
  <c r="N271" i="91"/>
  <c r="K272" i="91"/>
  <c r="N272" i="91"/>
  <c r="K273" i="91"/>
  <c r="N273" i="91"/>
  <c r="K274" i="91"/>
  <c r="N274" i="91"/>
  <c r="K275" i="91"/>
  <c r="N275" i="91"/>
  <c r="K276" i="91"/>
  <c r="N276" i="91"/>
  <c r="K277" i="91"/>
  <c r="N277" i="91"/>
  <c r="K278" i="91"/>
  <c r="N278" i="91"/>
  <c r="K279" i="91"/>
  <c r="N279" i="91"/>
  <c r="K280" i="91"/>
  <c r="N280" i="91"/>
  <c r="K281" i="91"/>
  <c r="N281" i="91"/>
  <c r="K282" i="91"/>
  <c r="N282" i="91"/>
  <c r="K283" i="91"/>
  <c r="N283" i="91"/>
  <c r="K284" i="91"/>
  <c r="N284" i="91"/>
  <c r="K285" i="91"/>
  <c r="N285" i="91"/>
  <c r="K286" i="91"/>
  <c r="N286" i="91"/>
  <c r="K287" i="91"/>
  <c r="N287" i="91"/>
  <c r="K288" i="91"/>
  <c r="N288" i="91"/>
  <c r="K289" i="91"/>
  <c r="N289" i="91"/>
  <c r="K290" i="91"/>
  <c r="N290" i="91"/>
  <c r="K291" i="91"/>
  <c r="N291" i="91"/>
  <c r="K292" i="91"/>
  <c r="N292" i="91"/>
  <c r="K293" i="91"/>
  <c r="N293" i="91"/>
  <c r="K294" i="91"/>
  <c r="N294" i="91"/>
  <c r="K295" i="91"/>
  <c r="N295" i="91"/>
  <c r="K296" i="91"/>
  <c r="N296" i="91"/>
  <c r="K297" i="91"/>
  <c r="N297" i="91"/>
  <c r="K298" i="91"/>
  <c r="N298" i="91"/>
  <c r="K299" i="91"/>
  <c r="N299" i="91"/>
  <c r="K300" i="91"/>
  <c r="N300" i="91"/>
  <c r="K301" i="91"/>
  <c r="N301" i="91"/>
  <c r="J302" i="91"/>
  <c r="M302" i="91"/>
  <c r="J303" i="91"/>
  <c r="M303" i="91"/>
  <c r="J304" i="91"/>
  <c r="M304" i="91"/>
  <c r="J305" i="91"/>
  <c r="M305" i="91"/>
  <c r="J306" i="91"/>
  <c r="M306" i="91"/>
  <c r="J307" i="91"/>
  <c r="M307" i="91"/>
  <c r="J308" i="91"/>
  <c r="M308" i="91"/>
  <c r="J309" i="91"/>
  <c r="M309" i="91"/>
  <c r="J310" i="91"/>
  <c r="M310" i="91"/>
  <c r="J311" i="91"/>
  <c r="M311" i="91"/>
  <c r="J312" i="91"/>
  <c r="M312" i="91"/>
  <c r="J313" i="91"/>
  <c r="M313" i="91"/>
  <c r="J314" i="91"/>
  <c r="M314" i="91"/>
  <c r="J315" i="91"/>
  <c r="M315" i="91"/>
  <c r="J316" i="91"/>
  <c r="M316" i="91"/>
  <c r="J317" i="91"/>
  <c r="M317" i="91"/>
  <c r="J318" i="91"/>
  <c r="M318" i="91"/>
  <c r="J319" i="91"/>
  <c r="M319" i="91"/>
  <c r="J320" i="91"/>
  <c r="M320" i="91"/>
  <c r="J321" i="91"/>
  <c r="M321" i="91"/>
  <c r="J322" i="91"/>
  <c r="M322" i="91"/>
  <c r="J323" i="91"/>
  <c r="M323" i="91"/>
  <c r="J324" i="91"/>
  <c r="M324" i="91"/>
  <c r="J325" i="91"/>
  <c r="M325" i="91"/>
  <c r="K326" i="91"/>
  <c r="N326" i="91"/>
  <c r="K327" i="91"/>
  <c r="N327" i="91"/>
  <c r="K328" i="91"/>
  <c r="N328" i="91"/>
  <c r="K329" i="91"/>
  <c r="N329" i="91"/>
  <c r="K330" i="91"/>
  <c r="N330" i="91"/>
  <c r="K331" i="91"/>
  <c r="N331" i="91"/>
  <c r="K332" i="91"/>
  <c r="N332" i="91"/>
  <c r="K333" i="91"/>
  <c r="N333" i="91"/>
  <c r="K334" i="91"/>
  <c r="N334" i="91"/>
  <c r="K335" i="91"/>
  <c r="N335" i="91"/>
  <c r="K336" i="91"/>
  <c r="N336" i="91"/>
  <c r="K337" i="91"/>
  <c r="N337" i="91"/>
  <c r="K338" i="91"/>
  <c r="N338" i="91"/>
  <c r="K339" i="91"/>
  <c r="N339" i="91"/>
  <c r="K340" i="91"/>
  <c r="N340" i="91"/>
  <c r="K341" i="91"/>
  <c r="N341" i="91"/>
  <c r="K342" i="91"/>
  <c r="N342" i="91"/>
  <c r="K343" i="91"/>
  <c r="N343" i="91"/>
  <c r="K344" i="91"/>
  <c r="N344" i="91"/>
  <c r="K345" i="91"/>
  <c r="N345" i="91"/>
  <c r="K346" i="91"/>
  <c r="N346" i="91"/>
  <c r="K347" i="91"/>
  <c r="N347" i="91"/>
  <c r="K348" i="91"/>
  <c r="N348" i="91"/>
  <c r="K349" i="91"/>
  <c r="N349" i="91"/>
  <c r="K350" i="91"/>
  <c r="N350" i="91"/>
  <c r="K351" i="91"/>
  <c r="N351" i="91"/>
  <c r="K352" i="91"/>
  <c r="N352" i="91"/>
  <c r="K353" i="91"/>
  <c r="N353" i="91"/>
  <c r="K354" i="91"/>
  <c r="N354" i="91"/>
  <c r="K355" i="91"/>
  <c r="N355" i="91"/>
  <c r="K356" i="91"/>
  <c r="N356" i="91"/>
  <c r="K357" i="91"/>
  <c r="N357" i="91"/>
  <c r="K358" i="91"/>
  <c r="N358" i="91"/>
  <c r="K359" i="91"/>
  <c r="N359" i="91"/>
  <c r="K360" i="91"/>
  <c r="N360" i="91"/>
  <c r="J361" i="91"/>
  <c r="M361" i="91"/>
  <c r="J362" i="91"/>
  <c r="M362" i="91"/>
  <c r="J363" i="91"/>
  <c r="M363" i="91"/>
  <c r="J364" i="91"/>
  <c r="M364" i="91"/>
  <c r="J365" i="91"/>
  <c r="M365" i="91"/>
  <c r="J366" i="91"/>
  <c r="M366" i="91"/>
  <c r="J367" i="91"/>
  <c r="M367" i="91"/>
  <c r="J368" i="91"/>
  <c r="M368" i="91"/>
  <c r="J369" i="91"/>
  <c r="M369" i="91"/>
  <c r="J370" i="91"/>
  <c r="M370" i="91"/>
  <c r="J371" i="91"/>
  <c r="M371" i="91"/>
  <c r="J372" i="91"/>
  <c r="M372" i="91"/>
  <c r="K373" i="91"/>
  <c r="N373" i="91"/>
  <c r="K374" i="91"/>
  <c r="N374" i="91"/>
  <c r="K375" i="91"/>
  <c r="N375" i="91"/>
  <c r="K376" i="91"/>
  <c r="N376" i="91"/>
  <c r="K377" i="91"/>
  <c r="N377" i="91"/>
  <c r="K378" i="91"/>
  <c r="N378" i="91"/>
  <c r="K379" i="91"/>
  <c r="N379" i="91"/>
  <c r="K380" i="91"/>
  <c r="N380" i="91"/>
  <c r="K381" i="91"/>
  <c r="N381" i="91"/>
  <c r="K382" i="91"/>
  <c r="N382" i="91"/>
  <c r="K383" i="91"/>
  <c r="N383" i="91"/>
  <c r="K384" i="91"/>
  <c r="N384" i="91"/>
  <c r="K385" i="91"/>
  <c r="N385" i="91"/>
  <c r="K386" i="91"/>
  <c r="N386" i="91"/>
  <c r="K387" i="91"/>
  <c r="N387" i="91"/>
  <c r="K388" i="91"/>
  <c r="N388" i="91"/>
  <c r="K389" i="91"/>
  <c r="N389" i="91"/>
  <c r="K390" i="91"/>
  <c r="N390" i="91"/>
  <c r="K391" i="91"/>
  <c r="N391" i="91"/>
  <c r="K392" i="91"/>
  <c r="N392" i="91"/>
  <c r="K393" i="91"/>
  <c r="N393" i="91"/>
  <c r="K394" i="91"/>
  <c r="N394" i="91"/>
  <c r="K395" i="91"/>
  <c r="N395" i="91"/>
  <c r="K396" i="91"/>
  <c r="N396" i="91"/>
  <c r="K397" i="91"/>
  <c r="N397" i="91"/>
  <c r="K398" i="91"/>
  <c r="N398" i="91"/>
  <c r="K399" i="91"/>
  <c r="N399" i="91"/>
  <c r="K400" i="91"/>
  <c r="N400" i="91"/>
  <c r="K401" i="91"/>
  <c r="N401" i="91"/>
  <c r="K402" i="91"/>
  <c r="N402" i="91"/>
  <c r="K403" i="91"/>
  <c r="N403" i="91"/>
  <c r="K404" i="91"/>
  <c r="N404" i="91"/>
  <c r="K405" i="91"/>
  <c r="N405" i="91"/>
  <c r="K406" i="91"/>
  <c r="N406" i="91"/>
  <c r="K407" i="91"/>
  <c r="N407" i="91"/>
  <c r="K408" i="91"/>
  <c r="N408" i="91"/>
  <c r="K409" i="91"/>
  <c r="N409" i="91"/>
  <c r="K410" i="91"/>
  <c r="N410" i="91"/>
  <c r="K411" i="91"/>
  <c r="N411" i="91"/>
  <c r="K412" i="91"/>
  <c r="N412" i="91"/>
  <c r="K413" i="91"/>
  <c r="N413" i="91"/>
  <c r="K414" i="91"/>
  <c r="N414" i="91"/>
  <c r="K415" i="91"/>
  <c r="N415" i="91"/>
  <c r="K416" i="91"/>
  <c r="N416" i="91"/>
  <c r="K417" i="91"/>
  <c r="N417" i="91"/>
  <c r="K418" i="91"/>
  <c r="N418" i="91"/>
  <c r="K419" i="91"/>
  <c r="N419" i="91"/>
  <c r="J420" i="91"/>
  <c r="M420" i="91"/>
  <c r="J421" i="91"/>
  <c r="M421" i="91"/>
  <c r="J422" i="91"/>
  <c r="M422" i="91"/>
  <c r="J423" i="91"/>
  <c r="M423" i="91"/>
  <c r="J424" i="91"/>
  <c r="M424" i="91"/>
  <c r="J425" i="91"/>
  <c r="M425" i="91"/>
  <c r="J426" i="91"/>
  <c r="M426" i="91"/>
  <c r="J427" i="91"/>
  <c r="M427" i="91"/>
  <c r="J428" i="91"/>
  <c r="M428" i="91"/>
  <c r="J429" i="91"/>
  <c r="M429" i="91"/>
  <c r="J430" i="91"/>
  <c r="M430" i="91"/>
  <c r="J431" i="91"/>
  <c r="M431" i="91"/>
  <c r="J432" i="91"/>
  <c r="M432" i="91"/>
  <c r="J433" i="91"/>
  <c r="M433" i="91"/>
  <c r="J434" i="91"/>
  <c r="M434" i="91"/>
  <c r="J435" i="91"/>
  <c r="M435" i="91"/>
  <c r="J436" i="91"/>
  <c r="M436" i="91"/>
  <c r="J437" i="91"/>
  <c r="M437" i="91"/>
  <c r="J438" i="91"/>
  <c r="M438" i="91"/>
  <c r="J439" i="91"/>
  <c r="M439" i="91"/>
  <c r="J440" i="91"/>
  <c r="M440" i="91"/>
  <c r="J441" i="91"/>
  <c r="M441" i="91"/>
  <c r="J442" i="91"/>
  <c r="M442" i="91"/>
  <c r="K443" i="91"/>
  <c r="N443" i="91"/>
  <c r="K444" i="91"/>
  <c r="N444" i="91"/>
  <c r="K445" i="91"/>
  <c r="N445" i="91"/>
  <c r="K446" i="91"/>
  <c r="N446" i="91"/>
  <c r="K447" i="91"/>
  <c r="N447" i="91"/>
  <c r="K448" i="91"/>
  <c r="N448" i="91"/>
  <c r="K449" i="91"/>
  <c r="N449" i="91"/>
  <c r="K450" i="91"/>
  <c r="N450" i="91"/>
  <c r="K451" i="91"/>
  <c r="N451" i="91"/>
  <c r="K452" i="91"/>
  <c r="N452" i="91"/>
  <c r="K453" i="91"/>
  <c r="N453" i="91"/>
  <c r="K454" i="91"/>
  <c r="N454" i="91"/>
  <c r="K455" i="91"/>
  <c r="N455" i="91"/>
  <c r="K456" i="91"/>
  <c r="N456" i="91"/>
  <c r="K457" i="91"/>
  <c r="N457" i="91"/>
  <c r="K458" i="91"/>
  <c r="N458" i="91"/>
  <c r="K459" i="91"/>
  <c r="N459" i="91"/>
  <c r="K460" i="91"/>
  <c r="N460" i="91"/>
  <c r="K461" i="91"/>
  <c r="N461" i="91"/>
  <c r="K462" i="91"/>
  <c r="N462" i="91"/>
  <c r="K463" i="91"/>
  <c r="N463" i="91"/>
  <c r="K464" i="91"/>
  <c r="N464" i="91"/>
  <c r="K465" i="91"/>
  <c r="N465" i="91"/>
  <c r="K466" i="91"/>
  <c r="N466" i="91"/>
  <c r="K467" i="91"/>
  <c r="N467" i="91"/>
  <c r="K468" i="91"/>
  <c r="N468" i="91"/>
  <c r="K469" i="91"/>
  <c r="N469" i="91"/>
  <c r="K470" i="91"/>
  <c r="N470" i="91"/>
  <c r="K471" i="91"/>
  <c r="N471" i="91"/>
  <c r="K472" i="91"/>
  <c r="N472" i="91"/>
  <c r="K473" i="91"/>
  <c r="N473" i="91"/>
  <c r="K474" i="91"/>
  <c r="N474" i="91"/>
  <c r="K475" i="91"/>
  <c r="N475" i="91"/>
  <c r="K476" i="91"/>
  <c r="N476" i="91"/>
  <c r="K477" i="91"/>
  <c r="N477" i="91"/>
  <c r="K478" i="91"/>
  <c r="N478" i="91"/>
  <c r="J479" i="91"/>
  <c r="M479" i="91"/>
  <c r="J480" i="91"/>
  <c r="M480" i="91"/>
  <c r="J481" i="91"/>
  <c r="M481" i="91"/>
  <c r="J482" i="91"/>
  <c r="M482" i="91"/>
  <c r="J483" i="91"/>
  <c r="M483" i="91"/>
  <c r="J484" i="91"/>
  <c r="M484" i="91"/>
  <c r="J485" i="91"/>
  <c r="M485" i="91"/>
  <c r="J486" i="91"/>
  <c r="M486" i="91"/>
  <c r="J487" i="91"/>
  <c r="M487" i="91"/>
  <c r="J488" i="91"/>
  <c r="M488" i="91"/>
  <c r="J489" i="91"/>
  <c r="M489" i="91"/>
  <c r="J490" i="91"/>
  <c r="M490" i="91"/>
  <c r="J491" i="91"/>
  <c r="M491" i="91"/>
  <c r="K492" i="91"/>
  <c r="N492" i="91"/>
  <c r="K493" i="91"/>
  <c r="N493" i="91"/>
  <c r="K494" i="91"/>
  <c r="N494" i="91"/>
  <c r="K495" i="91"/>
  <c r="N495" i="91"/>
  <c r="K496" i="91"/>
  <c r="N496" i="91"/>
  <c r="K497" i="91"/>
  <c r="N497" i="91"/>
  <c r="K498" i="91"/>
  <c r="N498" i="91"/>
  <c r="K499" i="91"/>
  <c r="N499" i="91"/>
  <c r="K500" i="91"/>
  <c r="N500" i="91"/>
  <c r="K501" i="91"/>
  <c r="N501" i="91"/>
  <c r="K502" i="91"/>
  <c r="N502" i="91"/>
  <c r="K503" i="91"/>
  <c r="N503" i="91"/>
  <c r="K504" i="91"/>
  <c r="N504" i="91"/>
  <c r="K505" i="91"/>
  <c r="N505" i="91"/>
  <c r="K506" i="91"/>
  <c r="N506" i="91"/>
  <c r="K507" i="91"/>
  <c r="N507" i="91"/>
  <c r="K508" i="91"/>
  <c r="N508" i="91"/>
  <c r="K509" i="91"/>
  <c r="N509" i="91"/>
  <c r="K510" i="91"/>
  <c r="N510" i="91"/>
  <c r="K511" i="91"/>
  <c r="N511" i="91"/>
  <c r="K512" i="91"/>
  <c r="N512" i="91"/>
  <c r="K513" i="91"/>
  <c r="N513" i="91"/>
  <c r="K514" i="91"/>
  <c r="N514" i="91"/>
  <c r="K515" i="91"/>
  <c r="N515" i="91"/>
  <c r="K516" i="91"/>
  <c r="N516" i="91"/>
  <c r="K517" i="91"/>
  <c r="N517" i="91"/>
  <c r="K518" i="91"/>
  <c r="N518" i="91"/>
  <c r="K519" i="91"/>
  <c r="N519" i="91"/>
  <c r="K520" i="91"/>
  <c r="N520" i="91"/>
  <c r="K521" i="91"/>
  <c r="N521" i="91"/>
  <c r="K522" i="91"/>
  <c r="N522" i="91"/>
  <c r="K523" i="91"/>
  <c r="N523" i="91"/>
  <c r="K524" i="91"/>
  <c r="N524" i="91"/>
  <c r="K525" i="91"/>
  <c r="N525" i="91"/>
  <c r="K526" i="91"/>
  <c r="N526" i="91"/>
  <c r="K527" i="91"/>
  <c r="N527" i="91"/>
  <c r="K528" i="91"/>
  <c r="N528" i="91"/>
  <c r="K529" i="91"/>
  <c r="N529" i="91"/>
  <c r="K530" i="91"/>
  <c r="N530" i="91"/>
  <c r="K531" i="91"/>
  <c r="N531" i="91"/>
  <c r="K532" i="91"/>
  <c r="N532" i="91"/>
  <c r="K533" i="91"/>
  <c r="N533" i="91"/>
  <c r="K534" i="91"/>
  <c r="N534" i="91"/>
  <c r="K535" i="91"/>
  <c r="N535" i="91"/>
  <c r="K536" i="91"/>
  <c r="N536" i="91"/>
  <c r="K537" i="91"/>
  <c r="N537" i="91"/>
  <c r="K538" i="91"/>
  <c r="N538" i="91"/>
  <c r="K539" i="91"/>
  <c r="N539" i="91"/>
  <c r="K540" i="91"/>
  <c r="N540" i="91"/>
  <c r="K541" i="91"/>
  <c r="N541" i="91"/>
  <c r="K542" i="91"/>
  <c r="N542" i="91"/>
  <c r="K543" i="91"/>
  <c r="N543" i="91"/>
  <c r="K544" i="91"/>
  <c r="N544" i="91"/>
  <c r="K545" i="91"/>
  <c r="N545" i="91"/>
  <c r="K546" i="91"/>
  <c r="N546" i="91"/>
  <c r="K547" i="91"/>
  <c r="N547" i="91"/>
  <c r="K548" i="91"/>
  <c r="N548" i="91"/>
  <c r="K549" i="91"/>
  <c r="N549" i="91"/>
  <c r="K550" i="91"/>
  <c r="N550" i="91"/>
  <c r="K551" i="91"/>
  <c r="N551" i="91"/>
  <c r="K552" i="91"/>
  <c r="N552" i="91"/>
  <c r="K553" i="91"/>
  <c r="N553" i="91"/>
  <c r="K554" i="91"/>
  <c r="N554" i="91"/>
  <c r="K555" i="91"/>
  <c r="N555" i="91"/>
  <c r="K556" i="91"/>
  <c r="N556" i="91"/>
  <c r="K557" i="91"/>
  <c r="N557" i="91"/>
  <c r="K558" i="91"/>
  <c r="N558" i="91"/>
  <c r="K559" i="91"/>
  <c r="N559" i="91"/>
  <c r="K560" i="91"/>
  <c r="N560" i="91"/>
  <c r="K561" i="91"/>
  <c r="N561" i="91"/>
  <c r="K562" i="91"/>
  <c r="N562" i="91"/>
  <c r="K563" i="91"/>
  <c r="N563" i="91"/>
  <c r="K564" i="91"/>
  <c r="N564" i="91"/>
  <c r="K565" i="91"/>
  <c r="N565" i="91"/>
  <c r="K566" i="91"/>
  <c r="N566" i="91"/>
  <c r="K567" i="91"/>
  <c r="N567" i="91"/>
  <c r="K568" i="91"/>
  <c r="N568" i="91"/>
  <c r="K569" i="91"/>
  <c r="N569" i="91"/>
  <c r="K570" i="91"/>
  <c r="N570" i="91"/>
  <c r="K571" i="91"/>
  <c r="N571" i="91"/>
  <c r="K572" i="91"/>
  <c r="N572" i="91"/>
  <c r="K573" i="91"/>
  <c r="N573" i="91"/>
  <c r="K574" i="91"/>
  <c r="N574" i="91"/>
  <c r="K575" i="91"/>
  <c r="N575" i="91"/>
  <c r="K576" i="91"/>
  <c r="N576" i="91"/>
  <c r="K577" i="91"/>
  <c r="N577" i="91"/>
  <c r="K578" i="91"/>
  <c r="N578" i="91"/>
  <c r="K579" i="91"/>
  <c r="N579" i="91"/>
  <c r="K580" i="91"/>
  <c r="N580" i="91"/>
  <c r="K581" i="91"/>
  <c r="N581" i="91"/>
  <c r="K582" i="91"/>
  <c r="N582" i="91"/>
  <c r="K583" i="91"/>
  <c r="N583" i="91"/>
  <c r="K584" i="91"/>
  <c r="N584" i="91"/>
  <c r="K585" i="91"/>
  <c r="N585" i="91"/>
  <c r="K586" i="91"/>
  <c r="N586" i="91"/>
  <c r="K587" i="91"/>
  <c r="N587" i="91"/>
  <c r="K588" i="91"/>
  <c r="N588" i="91"/>
  <c r="K589" i="91"/>
  <c r="N589" i="91"/>
  <c r="K590" i="91"/>
  <c r="N590" i="91"/>
  <c r="K591" i="91"/>
  <c r="N591" i="91"/>
  <c r="K592" i="91"/>
  <c r="N592" i="91"/>
  <c r="K593" i="91"/>
  <c r="N593" i="91"/>
  <c r="K594" i="91"/>
  <c r="N594" i="91"/>
  <c r="K595" i="91"/>
  <c r="N595" i="91"/>
  <c r="K596" i="91"/>
  <c r="N596" i="91"/>
  <c r="K597" i="91"/>
  <c r="N597" i="91"/>
  <c r="K598" i="91"/>
  <c r="N598" i="91"/>
  <c r="K599" i="91"/>
  <c r="N599" i="91"/>
  <c r="K600" i="91"/>
  <c r="N600" i="91"/>
  <c r="K601" i="91"/>
  <c r="N601" i="91"/>
  <c r="K602" i="91"/>
  <c r="N602" i="91"/>
  <c r="K603" i="91"/>
  <c r="N603" i="91"/>
  <c r="K604" i="91"/>
  <c r="N604" i="91"/>
  <c r="K605" i="91"/>
  <c r="N605" i="91"/>
  <c r="K606" i="91"/>
  <c r="N606" i="91"/>
  <c r="K607" i="91"/>
  <c r="N607" i="91"/>
  <c r="K608" i="91"/>
  <c r="N608" i="91"/>
  <c r="K609" i="91"/>
  <c r="N609" i="91"/>
  <c r="K610" i="91"/>
  <c r="N610" i="91"/>
  <c r="K611" i="91"/>
  <c r="N611" i="91"/>
  <c r="K612" i="91"/>
  <c r="N612" i="91"/>
  <c r="K613" i="91"/>
  <c r="N613" i="91"/>
  <c r="K614" i="91"/>
  <c r="N614" i="91"/>
  <c r="K615" i="91"/>
  <c r="N615" i="91"/>
  <c r="K616" i="91"/>
  <c r="N616" i="91"/>
  <c r="K617" i="91"/>
  <c r="N617" i="91"/>
  <c r="K618" i="91"/>
  <c r="N618" i="91"/>
  <c r="K619" i="91"/>
  <c r="N619" i="91"/>
  <c r="K620" i="91"/>
  <c r="N620" i="91"/>
  <c r="K621" i="91"/>
  <c r="N621" i="91"/>
  <c r="K622" i="91"/>
  <c r="N622" i="91"/>
  <c r="K623" i="91"/>
  <c r="N623" i="91"/>
  <c r="K624" i="91"/>
  <c r="N624" i="91"/>
  <c r="K625" i="91"/>
  <c r="N625" i="91"/>
  <c r="K626" i="91"/>
  <c r="N626" i="91"/>
  <c r="K627" i="91"/>
  <c r="N627" i="91"/>
  <c r="K628" i="91"/>
  <c r="N628" i="91"/>
  <c r="K629" i="91"/>
  <c r="N629" i="91"/>
  <c r="K630" i="91"/>
  <c r="N630" i="91"/>
  <c r="K631" i="91"/>
  <c r="N631" i="91"/>
  <c r="K632" i="91"/>
  <c r="N632" i="91"/>
  <c r="K633" i="91"/>
  <c r="N633" i="91"/>
  <c r="K634" i="91"/>
  <c r="N634" i="91"/>
  <c r="K635" i="91"/>
  <c r="N635" i="91"/>
  <c r="K636" i="91"/>
  <c r="N636" i="91"/>
  <c r="K637" i="91"/>
  <c r="N637" i="91"/>
  <c r="K638" i="91"/>
  <c r="N638" i="91"/>
  <c r="K639" i="91"/>
  <c r="N639" i="91"/>
  <c r="K640" i="91"/>
  <c r="N640" i="91"/>
  <c r="K641" i="91"/>
  <c r="N641" i="91"/>
  <c r="K642" i="91"/>
  <c r="N642" i="91"/>
  <c r="K643" i="91"/>
  <c r="N643" i="91"/>
  <c r="K644" i="91"/>
  <c r="N644" i="91"/>
  <c r="K645" i="91"/>
  <c r="N645" i="91"/>
  <c r="K646" i="91"/>
  <c r="N646" i="91"/>
  <c r="K647" i="91"/>
  <c r="N647" i="91"/>
  <c r="K648" i="91"/>
  <c r="N648" i="91"/>
  <c r="K649" i="91"/>
  <c r="N649" i="91"/>
  <c r="K650" i="91"/>
  <c r="N650" i="91"/>
  <c r="K651" i="91"/>
  <c r="N651" i="91"/>
  <c r="K652" i="91"/>
  <c r="N652" i="91"/>
  <c r="K653" i="91"/>
  <c r="N653" i="91"/>
  <c r="K654" i="91"/>
  <c r="N654" i="91"/>
  <c r="K655" i="91"/>
  <c r="N655" i="91"/>
  <c r="K656" i="91"/>
  <c r="N656" i="91"/>
  <c r="K657" i="91"/>
  <c r="N657" i="91"/>
  <c r="K658" i="91"/>
  <c r="N658" i="91"/>
  <c r="K659" i="91"/>
  <c r="N659" i="91"/>
  <c r="K660" i="91"/>
  <c r="N660" i="91"/>
  <c r="K661" i="91"/>
  <c r="N661" i="91"/>
  <c r="K662" i="91"/>
  <c r="N662" i="91"/>
  <c r="K663" i="91"/>
  <c r="N663" i="91"/>
  <c r="K664" i="91"/>
  <c r="N664" i="91"/>
  <c r="K665" i="91"/>
  <c r="N665" i="91"/>
  <c r="K666" i="91"/>
  <c r="N666" i="91"/>
  <c r="K667" i="91"/>
  <c r="N667" i="91"/>
  <c r="K668" i="91"/>
  <c r="N668" i="91"/>
  <c r="K669" i="91"/>
  <c r="N669" i="91"/>
  <c r="K670" i="91"/>
  <c r="N670" i="91"/>
  <c r="K671" i="91"/>
  <c r="N671" i="91"/>
  <c r="K672" i="91"/>
  <c r="N672" i="91"/>
  <c r="K673" i="91"/>
  <c r="N673" i="91"/>
  <c r="K674" i="91"/>
  <c r="N674" i="91"/>
  <c r="K675" i="91"/>
  <c r="N675" i="91"/>
  <c r="K676" i="91"/>
  <c r="N676" i="91"/>
  <c r="K677" i="91"/>
  <c r="N677" i="91"/>
  <c r="K678" i="91"/>
  <c r="N678" i="91"/>
  <c r="K679" i="91"/>
  <c r="N679" i="91"/>
  <c r="K680" i="91"/>
  <c r="N680" i="91"/>
  <c r="K681" i="91"/>
  <c r="N681" i="91"/>
  <c r="K682" i="91"/>
  <c r="N682" i="91"/>
  <c r="K683" i="91"/>
  <c r="N683" i="91"/>
  <c r="K684" i="91"/>
  <c r="N684" i="91"/>
  <c r="K685" i="91"/>
  <c r="N685" i="91"/>
  <c r="K686" i="91"/>
  <c r="N686" i="91"/>
  <c r="K687" i="91"/>
  <c r="N687" i="91"/>
  <c r="K688" i="91"/>
  <c r="N688" i="91"/>
  <c r="K689" i="91"/>
  <c r="N689" i="91"/>
  <c r="K690" i="91"/>
  <c r="N690" i="91"/>
  <c r="K691" i="91"/>
  <c r="N691" i="91"/>
  <c r="K692" i="91"/>
  <c r="N692" i="91"/>
  <c r="K693" i="91"/>
  <c r="N693" i="91"/>
  <c r="K694" i="91"/>
  <c r="N694" i="91"/>
  <c r="K695" i="91"/>
  <c r="N695" i="91"/>
  <c r="K696" i="91"/>
  <c r="N696" i="91"/>
  <c r="K697" i="91"/>
  <c r="N697" i="91"/>
  <c r="K698" i="91"/>
  <c r="N698" i="91"/>
  <c r="K699" i="91"/>
  <c r="N699" i="91"/>
  <c r="K700" i="91"/>
  <c r="N700" i="91"/>
  <c r="K701" i="91"/>
  <c r="N701" i="91"/>
  <c r="K702" i="91"/>
  <c r="N702" i="91"/>
  <c r="K703" i="91"/>
  <c r="N703" i="91"/>
  <c r="K704" i="91"/>
  <c r="N704" i="91"/>
  <c r="K705" i="91"/>
  <c r="N705" i="91"/>
  <c r="K706" i="91"/>
  <c r="N706" i="91"/>
  <c r="K707" i="91"/>
  <c r="N707" i="91"/>
  <c r="K708" i="91"/>
  <c r="N708" i="91"/>
  <c r="K709" i="91"/>
  <c r="N709" i="91"/>
  <c r="K710" i="91"/>
  <c r="N710" i="91"/>
  <c r="K711" i="91"/>
  <c r="N711" i="91"/>
  <c r="K712" i="91"/>
  <c r="N712" i="91"/>
  <c r="K713" i="91"/>
  <c r="N713" i="91"/>
  <c r="K714" i="91"/>
  <c r="N714" i="91"/>
  <c r="K715" i="91"/>
  <c r="N715" i="91"/>
  <c r="K716" i="91"/>
  <c r="N716" i="91"/>
  <c r="K717" i="91"/>
  <c r="N717" i="91"/>
  <c r="K718" i="91"/>
  <c r="N718" i="91"/>
  <c r="K719" i="91"/>
  <c r="N719" i="91"/>
  <c r="K720" i="91"/>
  <c r="N720" i="91"/>
  <c r="K721" i="91"/>
  <c r="N721" i="91"/>
  <c r="K722" i="91"/>
  <c r="N722" i="91"/>
  <c r="K723" i="91"/>
  <c r="N723" i="91"/>
  <c r="K724" i="91"/>
  <c r="N724" i="91"/>
  <c r="K725" i="91"/>
  <c r="N725" i="91"/>
  <c r="K726" i="91"/>
  <c r="N726" i="91"/>
  <c r="K727" i="91"/>
  <c r="N727" i="91"/>
  <c r="K728" i="91"/>
  <c r="N728" i="91"/>
  <c r="K729" i="91"/>
  <c r="N729" i="91"/>
  <c r="K730" i="91"/>
  <c r="N730" i="91"/>
  <c r="K731" i="91"/>
  <c r="N731" i="91"/>
  <c r="K732" i="91"/>
  <c r="N732" i="91"/>
  <c r="K733" i="91"/>
  <c r="N733" i="91"/>
  <c r="K734" i="91"/>
  <c r="N734" i="91"/>
  <c r="K735" i="91"/>
  <c r="N735" i="91"/>
  <c r="K736" i="91"/>
  <c r="N736" i="91"/>
  <c r="K737" i="91"/>
  <c r="N737" i="91"/>
  <c r="K738" i="91"/>
  <c r="N738" i="91"/>
  <c r="K739" i="91"/>
  <c r="N739" i="91"/>
  <c r="K740" i="91"/>
  <c r="N740" i="91"/>
  <c r="K741" i="91"/>
  <c r="N741" i="91"/>
  <c r="K742" i="91"/>
  <c r="N742" i="91"/>
  <c r="K743" i="91"/>
  <c r="N743" i="91"/>
  <c r="K744" i="91"/>
  <c r="N744" i="91"/>
  <c r="K745" i="91"/>
  <c r="N745" i="91"/>
  <c r="K746" i="91"/>
  <c r="N746" i="91"/>
  <c r="K747" i="91"/>
  <c r="N747" i="91"/>
  <c r="K748" i="91"/>
  <c r="N748" i="91"/>
  <c r="K749" i="91"/>
  <c r="N749" i="91"/>
  <c r="K750" i="91"/>
  <c r="N750" i="91"/>
  <c r="K751" i="91"/>
  <c r="N751" i="91"/>
  <c r="K752" i="91"/>
  <c r="N752" i="91"/>
  <c r="K753" i="91"/>
  <c r="N753" i="91"/>
  <c r="K754" i="91"/>
  <c r="N754" i="91"/>
  <c r="K755" i="91"/>
  <c r="N755" i="91"/>
  <c r="K756" i="91"/>
  <c r="N756" i="91"/>
  <c r="K757" i="91"/>
  <c r="N757" i="91"/>
  <c r="K758" i="91"/>
  <c r="N758" i="91"/>
  <c r="K759" i="91"/>
  <c r="N759" i="91"/>
  <c r="K760" i="91"/>
  <c r="N760" i="91"/>
  <c r="K761" i="91"/>
  <c r="N761" i="91"/>
  <c r="K762" i="91"/>
  <c r="N762" i="91"/>
  <c r="K763" i="91"/>
  <c r="N763" i="91"/>
  <c r="K764" i="91"/>
  <c r="N764" i="91"/>
  <c r="K765" i="91"/>
  <c r="N765" i="91"/>
  <c r="K766" i="91"/>
  <c r="N766" i="91"/>
  <c r="K767" i="91"/>
  <c r="N767" i="91"/>
  <c r="K768" i="91"/>
  <c r="N768" i="91"/>
  <c r="K769" i="91"/>
  <c r="N769" i="91"/>
  <c r="K770" i="91"/>
  <c r="N770" i="91"/>
  <c r="K771" i="91"/>
  <c r="N771" i="91"/>
  <c r="K772" i="91"/>
  <c r="N772" i="91"/>
  <c r="K773" i="91"/>
  <c r="N773" i="91"/>
  <c r="K774" i="91"/>
  <c r="N774" i="91"/>
  <c r="K775" i="91"/>
  <c r="N775" i="91"/>
  <c r="K776" i="91"/>
  <c r="N776" i="91"/>
  <c r="K777" i="91"/>
  <c r="N777" i="91"/>
  <c r="K778" i="91"/>
  <c r="N778" i="91"/>
  <c r="K779" i="91"/>
  <c r="N779" i="91"/>
  <c r="K780" i="91"/>
  <c r="N780" i="91"/>
  <c r="K781" i="91"/>
  <c r="N781" i="91"/>
  <c r="K782" i="91"/>
  <c r="N782" i="91"/>
  <c r="K783" i="91"/>
  <c r="N783" i="91"/>
  <c r="K784" i="91"/>
  <c r="N784" i="91"/>
  <c r="K785" i="91"/>
  <c r="N785" i="91"/>
  <c r="K786" i="91"/>
  <c r="N786" i="91"/>
  <c r="K787" i="91"/>
  <c r="N787" i="91"/>
  <c r="K788" i="91"/>
  <c r="N788" i="91"/>
  <c r="K789" i="91"/>
  <c r="N789" i="91"/>
  <c r="K790" i="91"/>
  <c r="N790" i="91"/>
  <c r="K791" i="91"/>
  <c r="N791" i="91"/>
  <c r="K792" i="91"/>
  <c r="N792" i="91"/>
  <c r="K793" i="91"/>
  <c r="N793" i="91"/>
  <c r="K794" i="91"/>
  <c r="N794" i="91"/>
  <c r="K795" i="91"/>
  <c r="N795" i="91"/>
  <c r="K796" i="91"/>
  <c r="N796" i="91"/>
  <c r="K797" i="91"/>
  <c r="N797" i="91"/>
  <c r="K798" i="91"/>
  <c r="N798" i="91"/>
  <c r="K799" i="91"/>
  <c r="N799" i="91"/>
  <c r="K800" i="91"/>
  <c r="N800" i="91"/>
  <c r="K801" i="91"/>
  <c r="N801" i="91"/>
  <c r="K802" i="91"/>
  <c r="N802" i="91"/>
  <c r="K803" i="91"/>
  <c r="N803" i="91"/>
  <c r="K804" i="91"/>
  <c r="N804" i="91"/>
  <c r="K805" i="91"/>
  <c r="N805" i="91"/>
  <c r="K806" i="91"/>
  <c r="N806" i="91"/>
  <c r="K807" i="91"/>
  <c r="N807" i="91"/>
  <c r="K808" i="91"/>
  <c r="N808" i="91"/>
  <c r="K809" i="91"/>
  <c r="N809" i="91"/>
  <c r="K810" i="91"/>
  <c r="N810" i="91"/>
  <c r="K811" i="91"/>
  <c r="N811" i="91"/>
  <c r="K812" i="91"/>
  <c r="N812" i="91"/>
  <c r="K813" i="91"/>
  <c r="N813" i="91"/>
  <c r="K814" i="91"/>
  <c r="N814" i="91"/>
  <c r="K815" i="91"/>
  <c r="N815" i="91"/>
  <c r="K816" i="91"/>
  <c r="N816" i="91"/>
  <c r="K817" i="91"/>
  <c r="N817" i="91"/>
  <c r="K818" i="91"/>
  <c r="N818" i="91"/>
  <c r="K819" i="91"/>
  <c r="N819" i="91"/>
  <c r="K820" i="91"/>
  <c r="N820" i="91"/>
  <c r="K821" i="91"/>
  <c r="N821" i="91"/>
  <c r="K822" i="91"/>
  <c r="N822" i="91"/>
  <c r="K823" i="91"/>
  <c r="N823" i="91"/>
  <c r="K824" i="91"/>
  <c r="N824" i="91"/>
  <c r="K825" i="91"/>
  <c r="N825" i="91"/>
  <c r="K826" i="91"/>
  <c r="N826" i="91"/>
  <c r="K827" i="91"/>
  <c r="N827" i="91"/>
  <c r="K828" i="91"/>
  <c r="N828" i="91"/>
  <c r="K829" i="91"/>
  <c r="N829" i="91"/>
  <c r="K830" i="91"/>
  <c r="N830" i="91"/>
  <c r="K831" i="91"/>
  <c r="N831" i="91"/>
  <c r="K832" i="91"/>
  <c r="N832" i="91"/>
  <c r="K833" i="91"/>
  <c r="N833" i="91"/>
  <c r="K834" i="91"/>
  <c r="N834" i="91"/>
  <c r="K835" i="91"/>
  <c r="N835" i="91"/>
  <c r="K836" i="91"/>
  <c r="N836" i="91"/>
  <c r="K837" i="91"/>
  <c r="N837" i="91"/>
  <c r="K838" i="91"/>
  <c r="N838" i="91"/>
  <c r="K839" i="91"/>
  <c r="N839" i="91"/>
  <c r="K840" i="91"/>
  <c r="N840" i="91"/>
  <c r="K841" i="91"/>
  <c r="N841" i="91"/>
  <c r="K842" i="91"/>
  <c r="N842" i="91"/>
  <c r="K843" i="91"/>
  <c r="N843" i="91"/>
  <c r="K844" i="91"/>
  <c r="N844" i="91"/>
  <c r="K845" i="91"/>
  <c r="N845" i="91"/>
  <c r="K846" i="91"/>
  <c r="N846" i="91"/>
  <c r="K847" i="91"/>
  <c r="N847" i="91"/>
  <c r="K848" i="91"/>
  <c r="N848" i="91"/>
  <c r="K849" i="91"/>
  <c r="N849" i="91"/>
  <c r="K850" i="91"/>
  <c r="N850" i="91"/>
  <c r="K851" i="91"/>
  <c r="N851" i="91"/>
  <c r="K852" i="91"/>
  <c r="N852" i="91"/>
  <c r="K853" i="91"/>
  <c r="N853" i="91"/>
  <c r="K854" i="91"/>
  <c r="N854" i="91"/>
  <c r="K855" i="91"/>
  <c r="N855" i="91"/>
  <c r="K856" i="91"/>
  <c r="N856" i="91"/>
  <c r="K857" i="91"/>
  <c r="N857" i="91"/>
  <c r="K858" i="91"/>
  <c r="N858" i="91"/>
  <c r="K859" i="91"/>
  <c r="N859" i="91"/>
  <c r="K860" i="91"/>
  <c r="N860" i="91"/>
  <c r="K861" i="91"/>
  <c r="N861" i="91"/>
  <c r="K862" i="91"/>
  <c r="N862" i="91"/>
  <c r="K863" i="91"/>
  <c r="N863" i="91"/>
  <c r="K864" i="91"/>
  <c r="N864" i="91"/>
  <c r="K865" i="91"/>
  <c r="N865" i="91"/>
  <c r="K866" i="91"/>
  <c r="N866" i="91"/>
  <c r="K867" i="91"/>
  <c r="N867" i="91"/>
  <c r="K868" i="91"/>
  <c r="N868" i="91"/>
  <c r="K869" i="91"/>
  <c r="N869" i="91"/>
  <c r="K870" i="91"/>
  <c r="N870" i="91"/>
  <c r="K871" i="91"/>
  <c r="N871" i="91"/>
  <c r="K872" i="91"/>
  <c r="N872" i="91"/>
  <c r="K873" i="91"/>
  <c r="N873" i="91"/>
  <c r="K874" i="91"/>
  <c r="N874" i="91"/>
  <c r="K875" i="91"/>
  <c r="N875" i="91"/>
  <c r="K876" i="91"/>
  <c r="N876" i="91"/>
  <c r="K877" i="91"/>
  <c r="N877" i="91"/>
  <c r="K878" i="91"/>
  <c r="N878" i="91"/>
  <c r="K879" i="91"/>
  <c r="N879" i="91"/>
  <c r="K880" i="91"/>
  <c r="N880" i="91"/>
  <c r="K881" i="91"/>
  <c r="N881" i="91"/>
  <c r="K882" i="91"/>
  <c r="N882" i="91"/>
  <c r="K883" i="91"/>
  <c r="N883" i="91"/>
  <c r="K884" i="91"/>
  <c r="N884" i="91"/>
  <c r="K885" i="91"/>
  <c r="N885" i="91"/>
  <c r="K886" i="91"/>
  <c r="N886" i="91"/>
  <c r="K887" i="91"/>
  <c r="N887" i="91"/>
  <c r="K888" i="91"/>
  <c r="N888" i="91"/>
  <c r="K889" i="91"/>
  <c r="N889" i="91"/>
  <c r="K890" i="91"/>
  <c r="N890" i="91"/>
  <c r="K891" i="91"/>
  <c r="N891" i="91"/>
  <c r="K892" i="91"/>
  <c r="N892" i="91"/>
  <c r="K893" i="91"/>
  <c r="N893" i="91"/>
  <c r="K894" i="91"/>
  <c r="N894" i="91"/>
  <c r="K895" i="91"/>
  <c r="N895" i="91"/>
  <c r="K896" i="91"/>
  <c r="N896" i="91"/>
  <c r="K897" i="91"/>
  <c r="N897" i="91"/>
  <c r="K898" i="91"/>
  <c r="N898" i="91"/>
  <c r="K899" i="91"/>
  <c r="N899" i="91"/>
  <c r="K900" i="91"/>
  <c r="N900" i="91"/>
  <c r="K901" i="91"/>
  <c r="N901" i="91"/>
  <c r="K902" i="91"/>
  <c r="N902" i="91"/>
  <c r="K903" i="91"/>
  <c r="N903" i="91"/>
  <c r="K904" i="91"/>
  <c r="N904" i="91"/>
  <c r="K905" i="91"/>
  <c r="N905" i="91"/>
  <c r="K906" i="91"/>
  <c r="N906" i="91"/>
  <c r="K907" i="91"/>
  <c r="N907" i="91"/>
  <c r="K908" i="91"/>
  <c r="N908" i="91"/>
  <c r="K909" i="91"/>
  <c r="N909" i="91"/>
  <c r="K910" i="91"/>
  <c r="N910" i="91"/>
  <c r="K911" i="91"/>
  <c r="N911" i="91"/>
  <c r="K912" i="91"/>
  <c r="N912" i="91"/>
  <c r="K913" i="91"/>
  <c r="N913" i="91"/>
  <c r="K914" i="91"/>
  <c r="N914" i="91"/>
  <c r="K915" i="91"/>
  <c r="N915" i="91"/>
  <c r="K916" i="91"/>
  <c r="N916" i="91"/>
  <c r="K917" i="91"/>
  <c r="N917" i="91"/>
  <c r="K918" i="91"/>
  <c r="N918" i="91"/>
  <c r="K919" i="91"/>
  <c r="N919" i="91"/>
  <c r="K920" i="91"/>
  <c r="N920" i="91"/>
  <c r="K921" i="91"/>
  <c r="N921" i="91"/>
  <c r="D48" i="5"/>
  <c r="E48" i="5"/>
  <c r="F48" i="5"/>
  <c r="D49" i="5"/>
  <c r="E49" i="5"/>
  <c r="F49" i="5"/>
  <c r="Y2" i="87"/>
  <c r="AE2" i="87"/>
  <c r="AK2" i="87"/>
  <c r="AL2" i="87"/>
  <c r="AU2" i="87"/>
  <c r="AV2" i="87"/>
  <c r="Y3" i="87"/>
  <c r="AE3" i="87"/>
  <c r="AK3" i="87"/>
  <c r="AL3" i="87"/>
  <c r="AU3" i="87"/>
  <c r="AV3" i="87"/>
  <c r="Y4" i="87"/>
  <c r="AE4" i="87"/>
  <c r="AK4" i="87"/>
  <c r="AL4" i="87"/>
  <c r="AU4" i="87"/>
  <c r="AV4" i="87"/>
  <c r="Y5" i="87"/>
  <c r="AE5" i="87"/>
  <c r="AK5" i="87"/>
  <c r="AL5" i="87"/>
  <c r="AU5" i="87"/>
  <c r="AV5" i="87"/>
  <c r="Y6" i="87"/>
  <c r="AE6" i="87"/>
  <c r="AK6" i="87"/>
  <c r="AL6" i="87"/>
  <c r="AU6" i="87"/>
  <c r="AV6" i="87"/>
  <c r="Y7" i="87"/>
  <c r="AE7" i="87"/>
  <c r="AK7" i="87"/>
  <c r="AL7" i="87"/>
  <c r="AU7" i="87"/>
  <c r="AV7" i="87"/>
  <c r="Y8" i="87"/>
  <c r="AE8" i="87"/>
  <c r="AK8" i="87"/>
  <c r="AL8" i="87"/>
  <c r="AU8" i="87"/>
  <c r="AV8" i="87"/>
  <c r="Y9" i="87"/>
  <c r="AE9" i="87"/>
  <c r="AK9" i="87"/>
  <c r="AL9" i="87"/>
  <c r="AU9" i="87"/>
  <c r="AV9" i="87"/>
  <c r="Y10" i="87"/>
  <c r="AE10" i="87"/>
  <c r="AK10" i="87"/>
  <c r="AL10" i="87"/>
  <c r="AU10" i="87"/>
  <c r="AV10" i="87"/>
  <c r="Y11" i="87"/>
  <c r="AE11" i="87"/>
  <c r="Y12" i="87"/>
  <c r="AE12" i="87"/>
  <c r="Y13" i="87"/>
  <c r="AE13" i="87"/>
  <c r="Y14" i="87"/>
  <c r="Z14" i="87"/>
  <c r="AE14" i="87"/>
  <c r="AF14" i="87"/>
  <c r="Y15" i="87"/>
  <c r="Z15" i="87"/>
  <c r="AE15" i="87"/>
  <c r="AF15" i="87"/>
  <c r="Y16" i="87"/>
  <c r="Z16" i="87"/>
  <c r="AE16" i="87"/>
  <c r="AF16" i="87"/>
  <c r="Y17" i="87"/>
  <c r="Z17" i="87"/>
  <c r="AE17" i="87"/>
  <c r="AF17" i="87"/>
  <c r="Y18" i="87"/>
  <c r="Z18" i="87"/>
  <c r="AE18" i="87"/>
  <c r="AF18" i="87"/>
  <c r="Y19" i="87"/>
  <c r="Z19" i="87"/>
  <c r="AE19" i="87"/>
  <c r="AF19" i="87"/>
  <c r="Y20" i="87"/>
  <c r="Z20" i="87"/>
  <c r="AE20" i="87"/>
  <c r="AF20" i="87"/>
  <c r="Y21" i="87"/>
  <c r="Z21" i="87"/>
  <c r="AE21" i="87"/>
  <c r="AF21" i="87"/>
  <c r="Y22" i="87"/>
  <c r="Z22" i="87"/>
  <c r="AE22" i="87"/>
  <c r="AF22" i="87"/>
  <c r="Y23" i="87"/>
  <c r="Z23" i="87"/>
  <c r="AE23" i="87"/>
  <c r="AF23" i="87"/>
  <c r="Y24" i="87"/>
  <c r="Z24" i="87"/>
  <c r="AE24" i="87"/>
  <c r="AF24" i="87"/>
  <c r="Y25" i="87"/>
  <c r="Z25" i="87"/>
  <c r="AE25" i="87"/>
  <c r="AF25" i="87"/>
  <c r="Y26" i="87"/>
  <c r="Z26" i="87"/>
  <c r="AE26" i="87"/>
  <c r="AF26" i="87"/>
  <c r="Y27" i="87"/>
  <c r="Z27" i="87"/>
  <c r="AE27" i="87"/>
  <c r="AF27" i="87"/>
  <c r="Y28" i="87"/>
  <c r="Z28" i="87"/>
  <c r="AE28" i="87"/>
  <c r="AF28" i="87"/>
  <c r="Y29" i="87"/>
  <c r="Z29" i="87"/>
  <c r="AE29" i="87"/>
  <c r="AF29" i="87"/>
  <c r="Y30" i="87"/>
  <c r="Z30" i="87"/>
  <c r="AE30" i="87"/>
  <c r="AF30" i="87"/>
  <c r="Y31" i="87"/>
  <c r="Z31" i="87"/>
  <c r="AE31" i="87"/>
  <c r="AF31" i="87"/>
  <c r="Y32" i="87"/>
  <c r="Z32" i="87"/>
  <c r="AE32" i="87"/>
  <c r="AF32" i="87"/>
  <c r="Y33" i="87"/>
  <c r="Z33" i="87"/>
  <c r="AE33" i="87"/>
  <c r="AF33" i="87"/>
  <c r="Y34" i="87"/>
  <c r="Z34" i="87"/>
  <c r="AE34" i="87"/>
  <c r="AF34" i="87"/>
  <c r="Y35" i="87"/>
  <c r="Z35" i="87"/>
  <c r="AE35" i="87"/>
  <c r="AF35" i="87"/>
  <c r="Y36" i="87"/>
  <c r="Z36" i="87"/>
  <c r="AE36" i="87"/>
  <c r="AF36" i="87"/>
  <c r="Y37" i="87"/>
  <c r="Z37" i="87"/>
  <c r="AE37" i="87"/>
  <c r="AF37" i="87"/>
  <c r="Y38" i="87"/>
  <c r="Z38" i="87"/>
  <c r="AE38" i="87"/>
  <c r="AF38" i="87"/>
  <c r="Y39" i="87"/>
  <c r="Z39" i="87"/>
  <c r="AE39" i="87"/>
  <c r="AF39" i="87"/>
  <c r="Y40" i="87"/>
  <c r="Z40" i="87"/>
  <c r="AE40" i="87"/>
  <c r="AF40" i="87"/>
  <c r="Y41" i="87"/>
  <c r="Z41" i="87"/>
  <c r="AE41" i="87"/>
  <c r="AF41" i="87"/>
  <c r="Y42" i="87"/>
  <c r="Z42" i="87"/>
  <c r="AE42" i="87"/>
  <c r="AF42" i="87"/>
  <c r="Y43" i="87"/>
  <c r="Z43" i="87"/>
  <c r="AE43" i="87"/>
  <c r="AF43" i="87"/>
  <c r="Y44" i="87"/>
  <c r="Z44" i="87"/>
  <c r="AE44" i="87"/>
  <c r="AF44" i="87"/>
  <c r="Y45" i="87"/>
  <c r="Z45" i="87"/>
  <c r="AE45" i="87"/>
  <c r="AF45" i="87"/>
  <c r="Y46" i="87"/>
  <c r="Z46" i="87"/>
  <c r="AE46" i="87"/>
  <c r="AF46" i="87"/>
  <c r="Y47" i="87"/>
  <c r="Z47" i="87"/>
  <c r="AE47" i="87"/>
  <c r="AF47" i="87"/>
  <c r="Y48" i="87"/>
  <c r="Z48" i="87"/>
  <c r="AE48" i="87"/>
  <c r="AF48" i="87"/>
  <c r="Y49" i="87"/>
  <c r="Z49" i="87"/>
  <c r="AE49" i="87"/>
  <c r="AF49" i="87"/>
  <c r="Z50" i="87"/>
  <c r="AF50" i="87"/>
  <c r="Z51" i="87"/>
  <c r="AF51" i="87"/>
  <c r="Z52" i="87"/>
  <c r="AF52" i="87"/>
  <c r="Z53" i="87"/>
  <c r="AF53" i="87"/>
  <c r="Z54" i="87"/>
  <c r="AF54" i="87"/>
  <c r="Z55" i="87"/>
  <c r="AF55" i="87"/>
  <c r="Z56" i="87"/>
  <c r="AF56" i="87"/>
  <c r="Z57" i="87"/>
  <c r="AF57" i="87"/>
  <c r="Z58" i="87"/>
  <c r="AF58" i="87"/>
  <c r="Z59" i="87"/>
  <c r="AF59" i="87"/>
  <c r="Z60" i="87"/>
  <c r="AF60" i="87"/>
  <c r="Z61" i="87"/>
  <c r="AF61" i="87"/>
  <c r="Y62" i="87"/>
  <c r="Z62" i="87"/>
  <c r="AE62" i="87"/>
  <c r="AF62" i="87"/>
  <c r="Y63" i="87"/>
  <c r="Z63" i="87"/>
  <c r="AE63" i="87"/>
  <c r="AF63" i="87"/>
  <c r="Y64" i="87"/>
  <c r="Z64" i="87"/>
  <c r="AE64" i="87"/>
  <c r="AF64" i="87"/>
  <c r="Y65" i="87"/>
  <c r="Z65" i="87"/>
  <c r="AE65" i="87"/>
  <c r="AF65" i="87"/>
  <c r="Y66" i="87"/>
  <c r="Z66" i="87"/>
  <c r="AE66" i="87"/>
  <c r="AF66" i="87"/>
  <c r="Y67" i="87"/>
  <c r="Z67" i="87"/>
  <c r="AE67" i="87"/>
  <c r="AF67" i="87"/>
  <c r="Y68" i="87"/>
  <c r="Z68" i="87"/>
  <c r="AE68" i="87"/>
  <c r="AF68" i="87"/>
  <c r="Y69" i="87"/>
  <c r="Z69" i="87"/>
  <c r="AE69" i="87"/>
  <c r="AF69" i="87"/>
  <c r="Y70" i="87"/>
  <c r="Z70" i="87"/>
  <c r="AE70" i="87"/>
  <c r="AF70" i="87"/>
  <c r="Y71" i="87"/>
  <c r="Z71" i="87"/>
  <c r="AE71" i="87"/>
  <c r="AF71" i="87"/>
  <c r="Y72" i="87"/>
  <c r="Z72" i="87"/>
  <c r="AE72" i="87"/>
  <c r="AF72" i="87"/>
  <c r="Y73" i="87"/>
  <c r="Z73" i="87"/>
  <c r="AE73" i="87"/>
  <c r="AF73" i="87"/>
  <c r="Y74" i="87"/>
  <c r="Z74" i="87"/>
  <c r="AE74" i="87"/>
  <c r="AF74" i="87"/>
  <c r="Y75" i="87"/>
  <c r="Z75" i="87"/>
  <c r="AE75" i="87"/>
  <c r="AF75" i="87"/>
  <c r="Y76" i="87"/>
  <c r="Z76" i="87"/>
  <c r="AE76" i="87"/>
  <c r="AF76" i="87"/>
  <c r="Y77" i="87"/>
  <c r="Z77" i="87"/>
  <c r="AE77" i="87"/>
  <c r="AF77" i="87"/>
  <c r="Y78" i="87"/>
  <c r="Z78" i="87"/>
  <c r="AE78" i="87"/>
  <c r="AF78" i="87"/>
  <c r="Y79" i="87"/>
  <c r="Z79" i="87"/>
  <c r="AE79" i="87"/>
  <c r="AF79" i="87"/>
  <c r="Y80" i="87"/>
  <c r="Z80" i="87"/>
  <c r="AE80" i="87"/>
  <c r="AF80" i="87"/>
  <c r="Y81" i="87"/>
  <c r="Z81" i="87"/>
  <c r="AE81" i="87"/>
  <c r="AF81" i="87"/>
  <c r="Y82" i="87"/>
  <c r="Z82" i="87"/>
  <c r="AE82" i="87"/>
  <c r="AF82" i="87"/>
  <c r="Y83" i="87"/>
  <c r="Z83" i="87"/>
  <c r="AE83" i="87"/>
  <c r="AF83" i="87"/>
  <c r="Y84" i="87"/>
  <c r="Z84" i="87"/>
  <c r="AE84" i="87"/>
  <c r="AF84" i="87"/>
  <c r="Y85" i="87"/>
  <c r="Z85" i="87"/>
  <c r="AE85" i="87"/>
  <c r="AF85" i="87"/>
  <c r="Y86" i="87"/>
  <c r="Z86" i="87"/>
  <c r="AE86" i="87"/>
  <c r="AF86" i="87"/>
  <c r="Y87" i="87"/>
  <c r="Z87" i="87"/>
  <c r="AE87" i="87"/>
  <c r="AF87" i="87"/>
  <c r="Y88" i="87"/>
  <c r="Z88" i="87"/>
  <c r="AE88" i="87"/>
  <c r="AF88" i="87"/>
  <c r="Y89" i="87"/>
  <c r="Z89" i="87"/>
  <c r="AE89" i="87"/>
  <c r="AF89" i="87"/>
  <c r="Y90" i="87"/>
  <c r="Z90" i="87"/>
  <c r="AE90" i="87"/>
  <c r="AF90" i="87"/>
  <c r="Y91" i="87"/>
  <c r="Z91" i="87"/>
  <c r="AE91" i="87"/>
  <c r="AF91" i="87"/>
  <c r="Y92" i="87"/>
  <c r="Z92" i="87"/>
  <c r="AE92" i="87"/>
  <c r="AF92" i="87"/>
  <c r="Y93" i="87"/>
  <c r="Z93" i="87"/>
  <c r="AE93" i="87"/>
  <c r="AF93" i="87"/>
  <c r="Y94" i="87"/>
  <c r="Z94" i="87"/>
  <c r="AE94" i="87"/>
  <c r="AF94" i="87"/>
  <c r="Y95" i="87"/>
  <c r="Z95" i="87"/>
  <c r="AE95" i="87"/>
  <c r="AF95" i="87"/>
  <c r="Y96" i="87"/>
  <c r="Z96" i="87"/>
  <c r="AE96" i="87"/>
  <c r="AF96" i="87"/>
  <c r="Y97" i="87"/>
  <c r="Z97" i="87"/>
  <c r="AE97" i="87"/>
  <c r="AF97" i="87"/>
  <c r="Y98" i="87"/>
  <c r="Z98" i="87"/>
  <c r="AE98" i="87"/>
  <c r="AF98" i="87"/>
  <c r="Y99" i="87"/>
  <c r="Z99" i="87"/>
  <c r="AE99" i="87"/>
  <c r="AF99" i="87"/>
  <c r="Y100" i="87"/>
  <c r="Z100" i="87"/>
  <c r="AE100" i="87"/>
  <c r="AF100" i="87"/>
  <c r="Y101" i="87"/>
  <c r="Z101" i="87"/>
  <c r="AE101" i="87"/>
  <c r="AF101" i="87"/>
  <c r="Y102" i="87"/>
  <c r="Z102" i="87"/>
  <c r="AE102" i="87"/>
  <c r="AF102" i="87"/>
  <c r="Y103" i="87"/>
  <c r="Z103" i="87"/>
  <c r="AE103" i="87"/>
  <c r="AF103" i="87"/>
  <c r="Y104" i="87"/>
  <c r="Z104" i="87"/>
  <c r="AE104" i="87"/>
  <c r="AF104" i="87"/>
  <c r="Y105" i="87"/>
  <c r="Z105" i="87"/>
  <c r="AE105" i="87"/>
  <c r="AF105" i="87"/>
  <c r="Y106" i="87"/>
  <c r="Z106" i="87"/>
  <c r="AE106" i="87"/>
  <c r="AF106" i="87"/>
  <c r="Y107" i="87"/>
  <c r="Z107" i="87"/>
  <c r="AE107" i="87"/>
  <c r="AF107" i="87"/>
  <c r="Y108" i="87"/>
  <c r="Z108" i="87"/>
  <c r="AE108" i="87"/>
  <c r="AF108" i="87"/>
  <c r="Y109" i="87"/>
  <c r="Z109" i="87"/>
  <c r="AE109" i="87"/>
  <c r="AF109" i="87"/>
  <c r="Y110" i="87"/>
  <c r="Z110" i="87"/>
  <c r="AE110" i="87"/>
  <c r="AF110" i="87"/>
  <c r="Y111" i="87"/>
  <c r="Z111" i="87"/>
  <c r="AE111" i="87"/>
  <c r="AF111" i="87"/>
  <c r="Y112" i="87"/>
  <c r="Z112" i="87"/>
  <c r="AE112" i="87"/>
  <c r="AF112" i="87"/>
  <c r="Y113" i="87"/>
  <c r="Z113" i="87"/>
  <c r="AE113" i="87"/>
  <c r="AF113" i="87"/>
  <c r="Y114" i="87"/>
  <c r="Z114" i="87"/>
  <c r="AE114" i="87"/>
  <c r="AF114" i="87"/>
  <c r="Y115" i="87"/>
  <c r="Z115" i="87"/>
  <c r="AE115" i="87"/>
  <c r="AF115" i="87"/>
  <c r="Y116" i="87"/>
  <c r="Z116" i="87"/>
  <c r="AE116" i="87"/>
  <c r="AF116" i="87"/>
  <c r="Y117" i="87"/>
  <c r="Z117" i="87"/>
  <c r="AE117" i="87"/>
  <c r="AF117" i="87"/>
  <c r="Y118" i="87"/>
  <c r="Z118" i="87"/>
  <c r="AE118" i="87"/>
  <c r="AF118" i="87"/>
  <c r="Y119" i="87"/>
  <c r="Z119" i="87"/>
  <c r="AE119" i="87"/>
  <c r="AF119" i="87"/>
  <c r="Y120" i="87"/>
  <c r="Z120" i="87"/>
  <c r="AE120" i="87"/>
  <c r="AF120" i="87"/>
  <c r="Y121" i="87"/>
  <c r="Z121" i="87"/>
  <c r="AE121" i="87"/>
  <c r="AF121" i="87"/>
  <c r="Y122" i="87"/>
  <c r="AE122" i="87"/>
  <c r="Y123" i="87"/>
  <c r="AE123" i="87"/>
  <c r="Y124" i="87"/>
  <c r="AE124" i="87"/>
  <c r="Y125" i="87"/>
  <c r="AE125" i="87"/>
  <c r="Y126" i="87"/>
  <c r="AE126" i="87"/>
  <c r="Y127" i="87"/>
  <c r="AE127" i="87"/>
  <c r="Y128" i="87"/>
  <c r="AE128" i="87"/>
  <c r="Y129" i="87"/>
  <c r="AE129" i="87"/>
  <c r="Y130" i="87"/>
  <c r="AE130" i="87"/>
  <c r="Y131" i="87"/>
  <c r="AE131" i="87"/>
  <c r="Y132" i="87"/>
  <c r="AE132" i="87"/>
  <c r="Y133" i="87"/>
  <c r="AE133" i="87"/>
  <c r="Y134" i="87"/>
  <c r="AE134" i="87"/>
  <c r="Y135" i="87"/>
  <c r="AE135" i="87"/>
  <c r="Y136" i="87"/>
  <c r="AE136" i="87"/>
  <c r="Y137" i="87"/>
  <c r="AE137" i="87"/>
  <c r="Y138" i="87"/>
  <c r="AE138" i="87"/>
  <c r="Y139" i="87"/>
  <c r="AE139" i="87"/>
  <c r="Y140" i="87"/>
  <c r="AE140" i="87"/>
  <c r="Y141" i="87"/>
  <c r="AE141" i="87"/>
  <c r="Y142" i="87"/>
  <c r="AE142" i="87"/>
  <c r="Y143" i="87"/>
  <c r="AE143" i="87"/>
  <c r="Y144" i="87"/>
  <c r="AE144" i="87"/>
  <c r="Y145" i="87"/>
  <c r="AE145" i="87"/>
  <c r="Z146" i="87"/>
  <c r="AF146" i="87"/>
  <c r="Z147" i="87"/>
  <c r="AF147" i="87"/>
  <c r="Z148" i="87"/>
  <c r="AF148" i="87"/>
  <c r="Z149" i="87"/>
  <c r="AF149" i="87"/>
  <c r="Z150" i="87"/>
  <c r="AF150" i="87"/>
  <c r="Z151" i="87"/>
  <c r="AF151" i="87"/>
  <c r="Z152" i="87"/>
  <c r="AF152" i="87"/>
  <c r="Z153" i="87"/>
  <c r="AF153" i="87"/>
  <c r="Z154" i="87"/>
  <c r="AF154" i="87"/>
  <c r="Z155" i="87"/>
  <c r="AF155" i="87"/>
  <c r="Z156" i="87"/>
  <c r="AF156" i="87"/>
  <c r="Z157" i="87"/>
  <c r="AF157" i="87"/>
  <c r="Z158" i="87"/>
  <c r="AF158" i="87"/>
  <c r="Z159" i="87"/>
  <c r="AF159" i="87"/>
  <c r="Z160" i="87"/>
  <c r="AF160" i="87"/>
  <c r="Z161" i="87"/>
  <c r="AF161" i="87"/>
  <c r="Z162" i="87"/>
  <c r="AF162" i="87"/>
  <c r="Z163" i="87"/>
  <c r="AF163" i="87"/>
  <c r="Z164" i="87"/>
  <c r="AF164" i="87"/>
  <c r="Z165" i="87"/>
  <c r="AF165" i="87"/>
  <c r="Y166" i="87"/>
  <c r="AE166" i="87"/>
  <c r="Y167" i="87"/>
  <c r="AE167" i="87"/>
  <c r="Y168" i="87"/>
  <c r="AE168" i="87"/>
  <c r="Y169" i="87"/>
  <c r="AE169" i="87"/>
  <c r="Y170" i="87"/>
  <c r="AE170" i="87"/>
  <c r="Y171" i="87"/>
  <c r="AE171" i="87"/>
  <c r="Y172" i="87"/>
  <c r="AE172" i="87"/>
  <c r="Y173" i="87"/>
  <c r="AE173" i="87"/>
  <c r="Y174" i="87"/>
  <c r="AE174" i="87"/>
  <c r="Y175" i="87"/>
  <c r="AE175" i="87"/>
  <c r="Y176" i="87"/>
  <c r="AE176" i="87"/>
  <c r="Y177" i="87"/>
  <c r="AE177" i="87"/>
  <c r="Y178" i="87"/>
  <c r="AE178" i="87"/>
  <c r="Y179" i="87"/>
  <c r="AE179" i="87"/>
  <c r="Y180" i="87"/>
  <c r="AE180" i="87"/>
  <c r="Y181" i="87"/>
  <c r="AE181" i="87"/>
  <c r="Y182" i="87"/>
  <c r="AE182" i="87"/>
  <c r="Y183" i="87"/>
  <c r="AE183" i="87"/>
  <c r="Y184" i="87"/>
  <c r="AE184" i="87"/>
  <c r="Y185" i="87"/>
  <c r="AE185" i="87"/>
  <c r="Y186" i="87"/>
  <c r="AE186" i="87"/>
  <c r="Y187" i="87"/>
  <c r="AE187" i="87"/>
  <c r="Z188" i="87"/>
  <c r="AF188" i="87"/>
  <c r="Z189" i="87"/>
  <c r="AF189" i="87"/>
  <c r="Z190" i="87"/>
  <c r="AF190" i="87"/>
  <c r="Z191" i="87"/>
  <c r="AF191" i="87"/>
  <c r="Z192" i="87"/>
  <c r="AF192" i="87"/>
  <c r="Z193" i="87"/>
  <c r="AF193" i="87"/>
  <c r="Z194" i="87"/>
  <c r="AF194" i="87"/>
  <c r="Z195" i="87"/>
  <c r="AF195" i="87"/>
  <c r="Z196" i="87"/>
  <c r="AF196" i="87"/>
  <c r="Z197" i="87"/>
  <c r="AF197" i="87"/>
  <c r="Z198" i="87"/>
  <c r="AF198" i="87"/>
  <c r="Z199" i="87"/>
  <c r="AF199" i="87"/>
  <c r="Z200" i="87"/>
  <c r="AF200" i="87"/>
  <c r="Z201" i="87"/>
  <c r="AF201" i="87"/>
  <c r="Z202" i="87"/>
  <c r="AF202" i="87"/>
  <c r="Z203" i="87"/>
  <c r="AF203" i="87"/>
  <c r="Z204" i="87"/>
  <c r="AF204" i="87"/>
  <c r="Z205" i="87"/>
  <c r="AF205" i="87"/>
  <c r="Z206" i="87"/>
  <c r="AF206" i="87"/>
  <c r="Z207" i="87"/>
  <c r="AF207" i="87"/>
  <c r="Z208" i="87"/>
  <c r="AF208" i="87"/>
  <c r="Z209" i="87"/>
  <c r="AF209" i="87"/>
  <c r="Z210" i="87"/>
  <c r="AF210" i="87"/>
  <c r="Z211" i="87"/>
  <c r="AF211" i="87"/>
  <c r="Z212" i="87"/>
  <c r="AF212" i="87"/>
  <c r="Z213" i="87"/>
  <c r="AF213" i="87"/>
  <c r="Z214" i="87"/>
  <c r="AF214" i="87"/>
  <c r="Z215" i="87"/>
  <c r="AF215" i="87"/>
  <c r="Z216" i="87"/>
  <c r="AF216" i="87"/>
  <c r="Z217" i="87"/>
  <c r="AF217" i="87"/>
  <c r="Z218" i="87"/>
  <c r="AF218" i="87"/>
  <c r="Y219" i="87"/>
  <c r="AE219" i="87"/>
  <c r="Y220" i="87"/>
  <c r="AE220" i="87"/>
  <c r="Y221" i="87"/>
  <c r="AE221" i="87"/>
  <c r="Y222" i="87"/>
  <c r="AE222" i="87"/>
  <c r="Y223" i="87"/>
  <c r="AE223" i="87"/>
  <c r="Y224" i="87"/>
  <c r="AE224" i="87"/>
  <c r="Y225" i="87"/>
  <c r="AE225" i="87"/>
  <c r="Y226" i="87"/>
  <c r="AE226" i="87"/>
  <c r="Y227" i="87"/>
  <c r="AE227" i="87"/>
  <c r="Y228" i="87"/>
  <c r="AE228" i="87"/>
  <c r="Y229" i="87"/>
  <c r="AE229" i="87"/>
  <c r="Y230" i="87"/>
  <c r="AE230" i="87"/>
  <c r="Z231" i="87"/>
  <c r="AF231" i="87"/>
  <c r="Z232" i="87"/>
  <c r="AF232" i="87"/>
  <c r="Z233" i="87"/>
  <c r="AF233" i="87"/>
  <c r="Z234" i="87"/>
  <c r="AF234" i="87"/>
  <c r="Z235" i="87"/>
  <c r="AF235" i="87"/>
  <c r="Z236" i="87"/>
  <c r="AF236" i="87"/>
  <c r="Z237" i="87"/>
  <c r="AF237" i="87"/>
  <c r="Z238" i="87"/>
  <c r="AF238" i="87"/>
  <c r="Z239" i="87"/>
  <c r="AF239" i="87"/>
  <c r="Z240" i="87"/>
  <c r="AF240" i="87"/>
  <c r="Z241" i="87"/>
  <c r="AF241" i="87"/>
  <c r="Z242" i="87"/>
  <c r="AF242" i="87"/>
  <c r="Z243" i="87"/>
  <c r="AF243" i="87"/>
  <c r="Z244" i="87"/>
  <c r="AF244" i="87"/>
  <c r="Z245" i="87"/>
  <c r="AF245" i="87"/>
  <c r="Z246" i="87"/>
  <c r="AF246" i="87"/>
  <c r="Z247" i="87"/>
  <c r="AF247" i="87"/>
  <c r="Z248" i="87"/>
  <c r="AF248" i="87"/>
  <c r="Z249" i="87"/>
  <c r="AF249" i="87"/>
  <c r="Z250" i="87"/>
  <c r="AF250" i="87"/>
  <c r="Z251" i="87"/>
  <c r="AF251" i="87"/>
  <c r="Z252" i="87"/>
  <c r="AF252" i="87"/>
  <c r="Z253" i="87"/>
  <c r="AF253" i="87"/>
  <c r="Z254" i="87"/>
  <c r="AF254" i="87"/>
  <c r="Y255" i="87"/>
  <c r="AE255" i="87"/>
  <c r="Y256" i="87"/>
  <c r="AE256" i="87"/>
  <c r="Y257" i="87"/>
  <c r="AE257" i="87"/>
  <c r="Y258" i="87"/>
  <c r="AE258" i="87"/>
  <c r="Y259" i="87"/>
  <c r="AE259" i="87"/>
  <c r="Y260" i="87"/>
  <c r="AE260" i="87"/>
  <c r="Y261" i="87"/>
  <c r="AE261" i="87"/>
  <c r="Y262" i="87"/>
  <c r="AE262" i="87"/>
  <c r="Y263" i="87"/>
  <c r="AE263" i="87"/>
  <c r="Y264" i="87"/>
  <c r="AE264" i="87"/>
  <c r="Y265" i="87"/>
  <c r="AE265" i="87"/>
  <c r="Y266" i="87"/>
  <c r="AE266" i="87"/>
  <c r="Z267" i="87"/>
  <c r="AF267" i="87"/>
  <c r="Z268" i="87"/>
  <c r="AF268" i="87"/>
  <c r="Z269" i="87"/>
  <c r="AF269" i="87"/>
  <c r="Z270" i="87"/>
  <c r="AF270" i="87"/>
  <c r="Z271" i="87"/>
  <c r="AF271" i="87"/>
  <c r="Z272" i="87"/>
  <c r="AF272" i="87"/>
  <c r="Z273" i="87"/>
  <c r="AF273" i="87"/>
  <c r="Z274" i="87"/>
  <c r="AF274" i="87"/>
  <c r="Z275" i="87"/>
  <c r="AF275" i="87"/>
  <c r="Z276" i="87"/>
  <c r="AF276" i="87"/>
  <c r="Z277" i="87"/>
  <c r="AF277" i="87"/>
  <c r="Z278" i="87"/>
  <c r="AF278" i="87"/>
  <c r="Z279" i="87"/>
  <c r="AF279" i="87"/>
  <c r="Z280" i="87"/>
  <c r="AF280" i="87"/>
  <c r="Z281" i="87"/>
  <c r="AF281" i="87"/>
  <c r="Z282" i="87"/>
  <c r="AF282" i="87"/>
  <c r="Z283" i="87"/>
  <c r="AF283" i="87"/>
  <c r="Z284" i="87"/>
  <c r="AF284" i="87"/>
  <c r="Z285" i="87"/>
  <c r="AF285" i="87"/>
  <c r="Z286" i="87"/>
  <c r="AF286" i="87"/>
  <c r="Z287" i="87"/>
  <c r="AF287" i="87"/>
  <c r="Z288" i="87"/>
  <c r="AF288" i="87"/>
  <c r="Z289" i="87"/>
  <c r="AF289" i="87"/>
  <c r="Z290" i="87"/>
  <c r="AF290" i="87"/>
  <c r="Z291" i="87"/>
  <c r="AF291" i="87"/>
  <c r="Z292" i="87"/>
  <c r="AF292" i="87"/>
  <c r="Z293" i="87"/>
  <c r="AF293" i="87"/>
  <c r="Z294" i="87"/>
  <c r="AF294" i="87"/>
  <c r="Z295" i="87"/>
  <c r="AF295" i="87"/>
  <c r="Z296" i="87"/>
  <c r="AF296" i="87"/>
  <c r="Z297" i="87"/>
  <c r="AF297" i="87"/>
  <c r="Z298" i="87"/>
  <c r="AF298" i="87"/>
  <c r="Z299" i="87"/>
  <c r="AF299" i="87"/>
  <c r="Z300" i="87"/>
  <c r="AF300" i="87"/>
  <c r="Z301" i="87"/>
  <c r="AF301" i="87"/>
  <c r="Y302" i="87"/>
  <c r="AE302" i="87"/>
  <c r="Y303" i="87"/>
  <c r="AE303" i="87"/>
  <c r="Y304" i="87"/>
  <c r="AE304" i="87"/>
  <c r="Y305" i="87"/>
  <c r="AE305" i="87"/>
  <c r="Y306" i="87"/>
  <c r="AE306" i="87"/>
  <c r="Y307" i="87"/>
  <c r="AE307" i="87"/>
  <c r="Y308" i="87"/>
  <c r="AE308" i="87"/>
  <c r="Y309" i="87"/>
  <c r="AE309" i="87"/>
  <c r="Y310" i="87"/>
  <c r="AE310" i="87"/>
  <c r="Y311" i="87"/>
  <c r="AE311" i="87"/>
  <c r="Y312" i="87"/>
  <c r="AE312" i="87"/>
  <c r="Y313" i="87"/>
  <c r="AE313" i="87"/>
  <c r="Y314" i="87"/>
  <c r="AE314" i="87"/>
  <c r="Y315" i="87"/>
  <c r="AE315" i="87"/>
  <c r="Y316" i="87"/>
  <c r="AE316" i="87"/>
  <c r="Y317" i="87"/>
  <c r="AE317" i="87"/>
  <c r="Y318" i="87"/>
  <c r="AE318" i="87"/>
  <c r="Y319" i="87"/>
  <c r="AE319" i="87"/>
  <c r="Y320" i="87"/>
  <c r="AE320" i="87"/>
  <c r="Y321" i="87"/>
  <c r="AE321" i="87"/>
  <c r="Y322" i="87"/>
  <c r="AE322" i="87"/>
  <c r="Y323" i="87"/>
  <c r="AE323" i="87"/>
  <c r="Y324" i="87"/>
  <c r="AE324" i="87"/>
  <c r="Y325" i="87"/>
  <c r="AE325" i="87"/>
  <c r="Z326" i="87"/>
  <c r="AF326" i="87"/>
  <c r="Z327" i="87"/>
  <c r="AF327" i="87"/>
  <c r="Z328" i="87"/>
  <c r="AF328" i="87"/>
  <c r="Z329" i="87"/>
  <c r="AF329" i="87"/>
  <c r="Z330" i="87"/>
  <c r="AF330" i="87"/>
  <c r="Z331" i="87"/>
  <c r="AF331" i="87"/>
  <c r="Z332" i="87"/>
  <c r="AF332" i="87"/>
  <c r="Z333" i="87"/>
  <c r="AF333" i="87"/>
  <c r="Z334" i="87"/>
  <c r="AF334" i="87"/>
  <c r="Z335" i="87"/>
  <c r="AF335" i="87"/>
  <c r="Z336" i="87"/>
  <c r="AF336" i="87"/>
  <c r="Z337" i="87"/>
  <c r="AF337" i="87"/>
  <c r="Z338" i="87"/>
  <c r="AF338" i="87"/>
  <c r="Z339" i="87"/>
  <c r="AF339" i="87"/>
  <c r="Z340" i="87"/>
  <c r="AF340" i="87"/>
  <c r="Z341" i="87"/>
  <c r="AF341" i="87"/>
  <c r="Z342" i="87"/>
  <c r="AF342" i="87"/>
  <c r="Z343" i="87"/>
  <c r="AF343" i="87"/>
  <c r="Z344" i="87"/>
  <c r="AF344" i="87"/>
  <c r="Z345" i="87"/>
  <c r="AF345" i="87"/>
  <c r="Z346" i="87"/>
  <c r="AF346" i="87"/>
  <c r="Z347" i="87"/>
  <c r="AF347" i="87"/>
  <c r="Z348" i="87"/>
  <c r="AF348" i="87"/>
  <c r="Z349" i="87"/>
  <c r="AF349" i="87"/>
  <c r="Z350" i="87"/>
  <c r="AF350" i="87"/>
  <c r="Z351" i="87"/>
  <c r="AF351" i="87"/>
  <c r="Z352" i="87"/>
  <c r="AF352" i="87"/>
  <c r="Z353" i="87"/>
  <c r="AF353" i="87"/>
  <c r="Z354" i="87"/>
  <c r="AF354" i="87"/>
  <c r="Z355" i="87"/>
  <c r="AF355" i="87"/>
  <c r="Z356" i="87"/>
  <c r="AF356" i="87"/>
  <c r="Z357" i="87"/>
  <c r="AF357" i="87"/>
  <c r="Z358" i="87"/>
  <c r="AF358" i="87"/>
  <c r="Z359" i="87"/>
  <c r="AF359" i="87"/>
  <c r="Z360" i="87"/>
  <c r="AF360" i="87"/>
  <c r="Y361" i="87"/>
  <c r="AE361" i="87"/>
  <c r="Y362" i="87"/>
  <c r="AE362" i="87"/>
  <c r="Y363" i="87"/>
  <c r="AE363" i="87"/>
  <c r="Y364" i="87"/>
  <c r="AE364" i="87"/>
  <c r="Y365" i="87"/>
  <c r="AE365" i="87"/>
  <c r="Y366" i="87"/>
  <c r="AE366" i="87"/>
  <c r="Y367" i="87"/>
  <c r="AE367" i="87"/>
  <c r="Y368" i="87"/>
  <c r="AE368" i="87"/>
  <c r="Y369" i="87"/>
  <c r="AE369" i="87"/>
  <c r="Y370" i="87"/>
  <c r="AE370" i="87"/>
  <c r="Y371" i="87"/>
  <c r="AE371" i="87"/>
  <c r="Y372" i="87"/>
  <c r="AE372" i="87"/>
  <c r="Z373" i="87"/>
  <c r="AF373" i="87"/>
  <c r="Z374" i="87"/>
  <c r="AF374" i="87"/>
  <c r="Z375" i="87"/>
  <c r="AF375" i="87"/>
  <c r="Z376" i="87"/>
  <c r="AF376" i="87"/>
  <c r="Z377" i="87"/>
  <c r="AF377" i="87"/>
  <c r="Z378" i="87"/>
  <c r="AF378" i="87"/>
  <c r="Z379" i="87"/>
  <c r="AF379" i="87"/>
  <c r="Z380" i="87"/>
  <c r="AF380" i="87"/>
  <c r="Z381" i="87"/>
  <c r="AF381" i="87"/>
  <c r="Z382" i="87"/>
  <c r="AF382" i="87"/>
  <c r="Z383" i="87"/>
  <c r="AF383" i="87"/>
  <c r="Z384" i="87"/>
  <c r="AF384" i="87"/>
  <c r="Z385" i="87"/>
  <c r="AF385" i="87"/>
  <c r="Z386" i="87"/>
  <c r="AF386" i="87"/>
  <c r="Z387" i="87"/>
  <c r="AF387" i="87"/>
  <c r="Z388" i="87"/>
  <c r="AF388" i="87"/>
  <c r="Z389" i="87"/>
  <c r="AF389" i="87"/>
  <c r="Z390" i="87"/>
  <c r="AF390" i="87"/>
  <c r="Z391" i="87"/>
  <c r="AF391" i="87"/>
  <c r="Z392" i="87"/>
  <c r="AF392" i="87"/>
  <c r="Z393" i="87"/>
  <c r="AF393" i="87"/>
  <c r="Z394" i="87"/>
  <c r="AF394" i="87"/>
  <c r="Z395" i="87"/>
  <c r="AF395" i="87"/>
  <c r="Z396" i="87"/>
  <c r="AF396" i="87"/>
  <c r="Z397" i="87"/>
  <c r="AF397" i="87"/>
  <c r="Z398" i="87"/>
  <c r="AF398" i="87"/>
  <c r="Z399" i="87"/>
  <c r="AF399" i="87"/>
  <c r="Z400" i="87"/>
  <c r="AF400" i="87"/>
  <c r="Z401" i="87"/>
  <c r="AF401" i="87"/>
  <c r="Z402" i="87"/>
  <c r="AF402" i="87"/>
  <c r="Z403" i="87"/>
  <c r="AF403" i="87"/>
  <c r="Z404" i="87"/>
  <c r="AF404" i="87"/>
  <c r="Z405" i="87"/>
  <c r="AF405" i="87"/>
  <c r="Z406" i="87"/>
  <c r="AF406" i="87"/>
  <c r="Z407" i="87"/>
  <c r="AF407" i="87"/>
  <c r="Z408" i="87"/>
  <c r="AF408" i="87"/>
  <c r="Z409" i="87"/>
  <c r="AF409" i="87"/>
  <c r="Z410" i="87"/>
  <c r="AF410" i="87"/>
  <c r="Z411" i="87"/>
  <c r="AF411" i="87"/>
  <c r="Z412" i="87"/>
  <c r="AF412" i="87"/>
  <c r="Z413" i="87"/>
  <c r="AF413" i="87"/>
  <c r="Z414" i="87"/>
  <c r="AF414" i="87"/>
  <c r="Z415" i="87"/>
  <c r="AF415" i="87"/>
  <c r="Z416" i="87"/>
  <c r="AF416" i="87"/>
  <c r="Z417" i="87"/>
  <c r="AF417" i="87"/>
  <c r="Z418" i="87"/>
  <c r="AF418" i="87"/>
  <c r="Z419" i="87"/>
  <c r="AF419" i="87"/>
  <c r="Y420" i="87"/>
  <c r="AE420" i="87"/>
  <c r="Y421" i="87"/>
  <c r="AE421" i="87"/>
  <c r="Y422" i="87"/>
  <c r="AE422" i="87"/>
  <c r="Y423" i="87"/>
  <c r="AE423" i="87"/>
  <c r="Y424" i="87"/>
  <c r="AE424" i="87"/>
  <c r="Y425" i="87"/>
  <c r="AE425" i="87"/>
  <c r="Y426" i="87"/>
  <c r="AE426" i="87"/>
  <c r="Y427" i="87"/>
  <c r="AE427" i="87"/>
  <c r="Y428" i="87"/>
  <c r="AE428" i="87"/>
  <c r="Y429" i="87"/>
  <c r="AE429" i="87"/>
  <c r="Y430" i="87"/>
  <c r="AE430" i="87"/>
  <c r="Y431" i="87"/>
  <c r="AE431" i="87"/>
  <c r="Y432" i="87"/>
  <c r="AE432" i="87"/>
  <c r="Y433" i="87"/>
  <c r="AE433" i="87"/>
  <c r="Y434" i="87"/>
  <c r="AE434" i="87"/>
  <c r="Y435" i="87"/>
  <c r="AE435" i="87"/>
  <c r="Y436" i="87"/>
  <c r="AE436" i="87"/>
  <c r="Y437" i="87"/>
  <c r="AE437" i="87"/>
  <c r="Y438" i="87"/>
  <c r="AE438" i="87"/>
  <c r="Y439" i="87"/>
  <c r="AE439" i="87"/>
  <c r="Y440" i="87"/>
  <c r="AE440" i="87"/>
  <c r="Y441" i="87"/>
  <c r="AE441" i="87"/>
  <c r="Y442" i="87"/>
  <c r="AE442" i="87"/>
  <c r="Z443" i="87"/>
  <c r="AF443" i="87"/>
  <c r="Z444" i="87"/>
  <c r="AF444" i="87"/>
  <c r="Z445" i="87"/>
  <c r="AF445" i="87"/>
  <c r="Z446" i="87"/>
  <c r="AF446" i="87"/>
  <c r="Z447" i="87"/>
  <c r="AF447" i="87"/>
  <c r="Z448" i="87"/>
  <c r="AF448" i="87"/>
  <c r="Z449" i="87"/>
  <c r="AF449" i="87"/>
  <c r="Z450" i="87"/>
  <c r="AF450" i="87"/>
  <c r="Z451" i="87"/>
  <c r="AF451" i="87"/>
  <c r="Z452" i="87"/>
  <c r="AF452" i="87"/>
  <c r="Z453" i="87"/>
  <c r="AF453" i="87"/>
  <c r="Z454" i="87"/>
  <c r="AF454" i="87"/>
  <c r="Z455" i="87"/>
  <c r="AF455" i="87"/>
  <c r="Z456" i="87"/>
  <c r="AF456" i="87"/>
  <c r="Z457" i="87"/>
  <c r="AF457" i="87"/>
  <c r="Z458" i="87"/>
  <c r="AF458" i="87"/>
  <c r="Z459" i="87"/>
  <c r="AF459" i="87"/>
  <c r="Z460" i="87"/>
  <c r="AF460" i="87"/>
  <c r="Z461" i="87"/>
  <c r="AF461" i="87"/>
  <c r="Z462" i="87"/>
  <c r="AF462" i="87"/>
  <c r="Z463" i="87"/>
  <c r="AF463" i="87"/>
  <c r="Z464" i="87"/>
  <c r="AF464" i="87"/>
  <c r="Z465" i="87"/>
  <c r="AF465" i="87"/>
  <c r="Z466" i="87"/>
  <c r="AF466" i="87"/>
  <c r="Z467" i="87"/>
  <c r="AF467" i="87"/>
  <c r="Z468" i="87"/>
  <c r="AF468" i="87"/>
  <c r="Z469" i="87"/>
  <c r="AF469" i="87"/>
  <c r="Z470" i="87"/>
  <c r="AF470" i="87"/>
  <c r="Z471" i="87"/>
  <c r="AF471" i="87"/>
  <c r="Z472" i="87"/>
  <c r="AF472" i="87"/>
  <c r="Z473" i="87"/>
  <c r="AF473" i="87"/>
  <c r="Z474" i="87"/>
  <c r="AF474" i="87"/>
  <c r="Z475" i="87"/>
  <c r="AF475" i="87"/>
  <c r="Z476" i="87"/>
  <c r="AF476" i="87"/>
  <c r="Z477" i="87"/>
  <c r="AF477" i="87"/>
  <c r="Z478" i="87"/>
  <c r="AF478" i="87"/>
  <c r="Y479" i="87"/>
  <c r="AE479" i="87"/>
  <c r="Y480" i="87"/>
  <c r="AE480" i="87"/>
  <c r="Y481" i="87"/>
  <c r="AE481" i="87"/>
  <c r="Y482" i="87"/>
  <c r="AE482" i="87"/>
  <c r="Y483" i="87"/>
  <c r="AE483" i="87"/>
  <c r="Y484" i="87"/>
  <c r="AE484" i="87"/>
  <c r="Y485" i="87"/>
  <c r="AE485" i="87"/>
  <c r="Y486" i="87"/>
  <c r="AE486" i="87"/>
  <c r="Y487" i="87"/>
  <c r="AE487" i="87"/>
  <c r="Y488" i="87"/>
  <c r="AE488" i="87"/>
  <c r="Y489" i="87"/>
  <c r="AE489" i="87"/>
  <c r="Y490" i="87"/>
  <c r="AE490" i="87"/>
  <c r="Y491" i="87"/>
  <c r="AE491" i="87"/>
  <c r="Z492" i="87"/>
  <c r="AF492" i="87"/>
  <c r="Z493" i="87"/>
  <c r="AF493" i="87"/>
  <c r="Z494" i="87"/>
  <c r="AF494" i="87"/>
  <c r="Z495" i="87"/>
  <c r="AF495" i="87"/>
  <c r="Z496" i="87"/>
  <c r="AF496" i="87"/>
  <c r="Z497" i="87"/>
  <c r="AF497" i="87"/>
  <c r="Z498" i="87"/>
  <c r="AF498" i="87"/>
  <c r="Z499" i="87"/>
  <c r="AF499" i="87"/>
  <c r="Z500" i="87"/>
  <c r="AF500" i="87"/>
  <c r="Z501" i="87"/>
  <c r="AF501" i="87"/>
  <c r="Z502" i="87"/>
  <c r="AF502" i="87"/>
  <c r="Z503" i="87"/>
  <c r="AF503" i="87"/>
  <c r="Z504" i="87"/>
  <c r="AF504" i="87"/>
  <c r="Z505" i="87"/>
  <c r="AF505" i="87"/>
  <c r="Z506" i="87"/>
  <c r="AF506" i="87"/>
  <c r="Z507" i="87"/>
  <c r="AF507" i="87"/>
  <c r="Z508" i="87"/>
  <c r="AF508" i="87"/>
  <c r="Z509" i="87"/>
  <c r="AF509" i="87"/>
  <c r="Z510" i="87"/>
  <c r="AF510" i="87"/>
  <c r="Z511" i="87"/>
  <c r="AF511" i="87"/>
  <c r="Z512" i="87"/>
  <c r="AF512" i="87"/>
  <c r="Z513" i="87"/>
  <c r="AF513" i="87"/>
  <c r="Z514" i="87"/>
  <c r="AF514" i="87"/>
  <c r="Z515" i="87"/>
  <c r="AF515" i="87"/>
  <c r="Z516" i="87"/>
  <c r="AF516" i="87"/>
  <c r="Z517" i="87"/>
  <c r="AF517" i="87"/>
  <c r="Z518" i="87"/>
  <c r="AF518" i="87"/>
  <c r="Z519" i="87"/>
  <c r="AF519" i="87"/>
  <c r="Z520" i="87"/>
  <c r="AF520" i="87"/>
  <c r="Z521" i="87"/>
  <c r="AF521" i="87"/>
  <c r="Z522" i="87"/>
  <c r="AF522" i="87"/>
  <c r="Z523" i="87"/>
  <c r="AF523" i="87"/>
  <c r="Z524" i="87"/>
  <c r="AF524" i="87"/>
  <c r="Z525" i="87"/>
  <c r="AF525" i="87"/>
  <c r="Z526" i="87"/>
  <c r="AF526" i="87"/>
  <c r="Z527" i="87"/>
  <c r="AF527" i="87"/>
  <c r="Z528" i="87"/>
  <c r="AF528" i="87"/>
  <c r="Z529" i="87"/>
  <c r="AF529" i="87"/>
  <c r="Z530" i="87"/>
  <c r="AF530" i="87"/>
  <c r="Z531" i="87"/>
  <c r="AF531" i="87"/>
  <c r="Z532" i="87"/>
  <c r="AF532" i="87"/>
  <c r="Z533" i="87"/>
  <c r="AF533" i="87"/>
  <c r="Z534" i="87"/>
  <c r="AF534" i="87"/>
  <c r="Z535" i="87"/>
  <c r="AF535" i="87"/>
  <c r="Z536" i="87"/>
  <c r="AF536" i="87"/>
  <c r="Z537" i="87"/>
  <c r="AF537" i="87"/>
  <c r="Z538" i="87"/>
  <c r="AF538" i="87"/>
  <c r="Z539" i="87"/>
  <c r="AF539" i="87"/>
  <c r="Z540" i="87"/>
  <c r="AF540" i="87"/>
  <c r="Z541" i="87"/>
  <c r="AF541" i="87"/>
  <c r="Z542" i="87"/>
  <c r="AF542" i="87"/>
  <c r="Z543" i="87"/>
  <c r="AF543" i="87"/>
  <c r="Z544" i="87"/>
  <c r="AF544" i="87"/>
  <c r="Z545" i="87"/>
  <c r="AF545" i="87"/>
  <c r="Z546" i="87"/>
  <c r="AF546" i="87"/>
  <c r="Z547" i="87"/>
  <c r="AF547" i="87"/>
  <c r="Z548" i="87"/>
  <c r="AF548" i="87"/>
  <c r="Z549" i="87"/>
  <c r="AF549" i="87"/>
  <c r="Z550" i="87"/>
  <c r="AF550" i="87"/>
  <c r="Z551" i="87"/>
  <c r="AF551" i="87"/>
  <c r="Z552" i="87"/>
  <c r="AF552" i="87"/>
  <c r="Z553" i="87"/>
  <c r="AF553" i="87"/>
  <c r="Z554" i="87"/>
  <c r="AF554" i="87"/>
  <c r="Z555" i="87"/>
  <c r="AF555" i="87"/>
  <c r="Z556" i="87"/>
  <c r="AF556" i="87"/>
  <c r="Z557" i="87"/>
  <c r="AF557" i="87"/>
  <c r="Z558" i="87"/>
  <c r="AF558" i="87"/>
  <c r="Z559" i="87"/>
  <c r="AF559" i="87"/>
  <c r="Z560" i="87"/>
  <c r="AF560" i="87"/>
  <c r="Z561" i="87"/>
  <c r="AF561" i="87"/>
  <c r="Z562" i="87"/>
  <c r="AF562" i="87"/>
  <c r="Z563" i="87"/>
  <c r="AF563" i="87"/>
  <c r="Z564" i="87"/>
  <c r="AF564" i="87"/>
  <c r="Z565" i="87"/>
  <c r="AF565" i="87"/>
  <c r="Z566" i="87"/>
  <c r="AF566" i="87"/>
  <c r="Z567" i="87"/>
  <c r="AF567" i="87"/>
  <c r="Z568" i="87"/>
  <c r="AF568" i="87"/>
  <c r="Z569" i="87"/>
  <c r="AF569" i="87"/>
  <c r="Z570" i="87"/>
  <c r="AF570" i="87"/>
  <c r="Z571" i="87"/>
  <c r="AF571" i="87"/>
  <c r="Z572" i="87"/>
  <c r="AF572" i="87"/>
  <c r="Z573" i="87"/>
  <c r="AF573" i="87"/>
  <c r="Z574" i="87"/>
  <c r="AF574" i="87"/>
  <c r="Z575" i="87"/>
  <c r="AF575" i="87"/>
  <c r="Z576" i="87"/>
  <c r="AF576" i="87"/>
  <c r="Z577" i="87"/>
  <c r="AF577" i="87"/>
  <c r="Z578" i="87"/>
  <c r="AF578" i="87"/>
  <c r="Z579" i="87"/>
  <c r="AF579" i="87"/>
  <c r="Z580" i="87"/>
  <c r="AF580" i="87"/>
  <c r="Z581" i="87"/>
  <c r="AF581" i="87"/>
  <c r="Z582" i="87"/>
  <c r="AF582" i="87"/>
  <c r="Z583" i="87"/>
  <c r="AF583" i="87"/>
  <c r="Z584" i="87"/>
  <c r="AF584" i="87"/>
  <c r="Z585" i="87"/>
  <c r="AF585" i="87"/>
  <c r="Z586" i="87"/>
  <c r="AF586" i="87"/>
  <c r="Z587" i="87"/>
  <c r="AF587" i="87"/>
  <c r="Z588" i="87"/>
  <c r="AF588" i="87"/>
  <c r="Z589" i="87"/>
  <c r="AF589" i="87"/>
  <c r="Z590" i="87"/>
  <c r="AF590" i="87"/>
  <c r="Z591" i="87"/>
  <c r="AF591" i="87"/>
  <c r="Z592" i="87"/>
  <c r="AF592" i="87"/>
  <c r="Z593" i="87"/>
  <c r="AF593" i="87"/>
  <c r="Z594" i="87"/>
  <c r="AF594" i="87"/>
  <c r="Z595" i="87"/>
  <c r="AF595" i="87"/>
  <c r="Z596" i="87"/>
  <c r="AF596" i="87"/>
  <c r="Z597" i="87"/>
  <c r="AF597" i="87"/>
  <c r="Z598" i="87"/>
  <c r="AF598" i="87"/>
  <c r="Z599" i="87"/>
  <c r="AF599" i="87"/>
  <c r="Z600" i="87"/>
  <c r="AF600" i="87"/>
  <c r="Z601" i="87"/>
  <c r="AF601" i="87"/>
  <c r="Z602" i="87"/>
  <c r="AF602" i="87"/>
  <c r="Z603" i="87"/>
  <c r="AF603" i="87"/>
  <c r="Z604" i="87"/>
  <c r="AF604" i="87"/>
  <c r="Z605" i="87"/>
  <c r="AF605" i="87"/>
  <c r="Z606" i="87"/>
  <c r="AF606" i="87"/>
  <c r="Z607" i="87"/>
  <c r="AF607" i="87"/>
  <c r="Z608" i="87"/>
  <c r="AF608" i="87"/>
  <c r="Z609" i="87"/>
  <c r="AF609" i="87"/>
  <c r="Z610" i="87"/>
  <c r="AF610" i="87"/>
  <c r="Z611" i="87"/>
  <c r="AF611" i="87"/>
  <c r="Z612" i="87"/>
  <c r="AF612" i="87"/>
  <c r="Z613" i="87"/>
  <c r="AF613" i="87"/>
  <c r="Z614" i="87"/>
  <c r="AF614" i="87"/>
  <c r="Z615" i="87"/>
  <c r="AF615" i="87"/>
  <c r="Z616" i="87"/>
  <c r="AF616" i="87"/>
  <c r="Z617" i="87"/>
  <c r="AF617" i="87"/>
  <c r="Z618" i="87"/>
  <c r="AF618" i="87"/>
  <c r="Z619" i="87"/>
  <c r="AF619" i="87"/>
  <c r="Z620" i="87"/>
  <c r="AF620" i="87"/>
  <c r="Z621" i="87"/>
  <c r="AF621" i="87"/>
  <c r="Z622" i="87"/>
  <c r="AF622" i="87"/>
  <c r="Z623" i="87"/>
  <c r="AF623" i="87"/>
  <c r="Z624" i="87"/>
  <c r="AF624" i="87"/>
  <c r="Z625" i="87"/>
  <c r="AF625" i="87"/>
  <c r="Z626" i="87"/>
  <c r="AF626" i="87"/>
  <c r="Z627" i="87"/>
  <c r="AF627" i="87"/>
  <c r="Z628" i="87"/>
  <c r="AF628" i="87"/>
  <c r="Z629" i="87"/>
  <c r="AF629" i="87"/>
  <c r="Z630" i="87"/>
  <c r="AF630" i="87"/>
  <c r="Z631" i="87"/>
  <c r="AF631" i="87"/>
  <c r="Z632" i="87"/>
  <c r="AF632" i="87"/>
  <c r="Z633" i="87"/>
  <c r="AF633" i="87"/>
  <c r="Z634" i="87"/>
  <c r="AF634" i="87"/>
  <c r="Z635" i="87"/>
  <c r="AF635" i="87"/>
  <c r="Z636" i="87"/>
  <c r="AF636" i="87"/>
  <c r="Z637" i="87"/>
  <c r="AF637" i="87"/>
  <c r="Z638" i="87"/>
  <c r="AF638" i="87"/>
  <c r="Z639" i="87"/>
  <c r="AF639" i="87"/>
  <c r="Z640" i="87"/>
  <c r="AF640" i="87"/>
  <c r="Z641" i="87"/>
  <c r="AF641" i="87"/>
  <c r="Z642" i="87"/>
  <c r="AF642" i="87"/>
  <c r="Z643" i="87"/>
  <c r="AF643" i="87"/>
  <c r="Z644" i="87"/>
  <c r="AF644" i="87"/>
  <c r="Z645" i="87"/>
  <c r="AF645" i="87"/>
  <c r="Z646" i="87"/>
  <c r="AF646" i="87"/>
  <c r="Z647" i="87"/>
  <c r="AF647" i="87"/>
  <c r="Z648" i="87"/>
  <c r="AF648" i="87"/>
  <c r="Z649" i="87"/>
  <c r="AF649" i="87"/>
  <c r="Z650" i="87"/>
  <c r="AF650" i="87"/>
  <c r="Z651" i="87"/>
  <c r="AF651" i="87"/>
  <c r="Z652" i="87"/>
  <c r="AF652" i="87"/>
  <c r="Z653" i="87"/>
  <c r="AF653" i="87"/>
  <c r="Z654" i="87"/>
  <c r="AF654" i="87"/>
  <c r="Z655" i="87"/>
  <c r="AF655" i="87"/>
  <c r="Z656" i="87"/>
  <c r="AF656" i="87"/>
  <c r="Z657" i="87"/>
  <c r="AF657" i="87"/>
  <c r="Z658" i="87"/>
  <c r="AF658" i="87"/>
  <c r="Z659" i="87"/>
  <c r="AF659" i="87"/>
  <c r="Z660" i="87"/>
  <c r="AF660" i="87"/>
  <c r="Z661" i="87"/>
  <c r="AF661" i="87"/>
  <c r="Z662" i="87"/>
  <c r="AF662" i="87"/>
  <c r="Z663" i="87"/>
  <c r="AF663" i="87"/>
  <c r="Z664" i="87"/>
  <c r="AF664" i="87"/>
  <c r="Z665" i="87"/>
  <c r="AF665" i="87"/>
  <c r="Z666" i="87"/>
  <c r="AF666" i="87"/>
  <c r="Z667" i="87"/>
  <c r="AF667" i="87"/>
  <c r="Z668" i="87"/>
  <c r="AF668" i="87"/>
  <c r="Z669" i="87"/>
  <c r="AF669" i="87"/>
  <c r="Z670" i="87"/>
  <c r="AF670" i="87"/>
  <c r="Z671" i="87"/>
  <c r="AF671" i="87"/>
  <c r="Z672" i="87"/>
  <c r="AF672" i="87"/>
  <c r="Z673" i="87"/>
  <c r="AF673" i="87"/>
  <c r="Z674" i="87"/>
  <c r="AF674" i="87"/>
  <c r="Z675" i="87"/>
  <c r="AF675" i="87"/>
  <c r="Z676" i="87"/>
  <c r="AF676" i="87"/>
  <c r="Z677" i="87"/>
  <c r="AF677" i="87"/>
  <c r="Z678" i="87"/>
  <c r="AF678" i="87"/>
  <c r="Z679" i="87"/>
  <c r="AF679" i="87"/>
  <c r="Z680" i="87"/>
  <c r="AF680" i="87"/>
  <c r="Z681" i="87"/>
  <c r="AF681" i="87"/>
  <c r="Z682" i="87"/>
  <c r="AF682" i="87"/>
  <c r="Z683" i="87"/>
  <c r="AF683" i="87"/>
  <c r="Z684" i="87"/>
  <c r="AF684" i="87"/>
  <c r="Z685" i="87"/>
  <c r="AF685" i="87"/>
  <c r="Z686" i="87"/>
  <c r="AF686" i="87"/>
  <c r="Z687" i="87"/>
  <c r="AF687" i="87"/>
  <c r="Z688" i="87"/>
  <c r="AF688" i="87"/>
  <c r="Z689" i="87"/>
  <c r="AF689" i="87"/>
  <c r="Z690" i="87"/>
  <c r="AF690" i="87"/>
  <c r="Z691" i="87"/>
  <c r="AF691" i="87"/>
  <c r="Z692" i="87"/>
  <c r="AF692" i="87"/>
  <c r="Z693" i="87"/>
  <c r="AF693" i="87"/>
  <c r="Z694" i="87"/>
  <c r="AF694" i="87"/>
  <c r="Z695" i="87"/>
  <c r="AF695" i="87"/>
  <c r="Z696" i="87"/>
  <c r="AF696" i="87"/>
  <c r="Z697" i="87"/>
  <c r="AF697" i="87"/>
  <c r="Z698" i="87"/>
  <c r="AF698" i="87"/>
  <c r="Z699" i="87"/>
  <c r="AF699" i="87"/>
  <c r="Z700" i="87"/>
  <c r="AF700" i="87"/>
  <c r="Z701" i="87"/>
  <c r="AF701" i="87"/>
  <c r="Z702" i="87"/>
  <c r="AF702" i="87"/>
  <c r="Z703" i="87"/>
  <c r="AF703" i="87"/>
  <c r="Z704" i="87"/>
  <c r="AF704" i="87"/>
  <c r="Z705" i="87"/>
  <c r="AF705" i="87"/>
  <c r="Z706" i="87"/>
  <c r="AF706" i="87"/>
  <c r="Z707" i="87"/>
  <c r="AF707" i="87"/>
  <c r="Z708" i="87"/>
  <c r="AF708" i="87"/>
  <c r="Z709" i="87"/>
  <c r="AF709" i="87"/>
  <c r="Z710" i="87"/>
  <c r="AF710" i="87"/>
  <c r="Z711" i="87"/>
  <c r="AF711" i="87"/>
  <c r="Z712" i="87"/>
  <c r="AF712" i="87"/>
  <c r="Z713" i="87"/>
  <c r="AF713" i="87"/>
  <c r="Z714" i="87"/>
  <c r="AF714" i="87"/>
  <c r="Z715" i="87"/>
  <c r="AF715" i="87"/>
  <c r="Z716" i="87"/>
  <c r="AF716" i="87"/>
  <c r="Z717" i="87"/>
  <c r="AF717" i="87"/>
  <c r="Z718" i="87"/>
  <c r="AF718" i="87"/>
  <c r="Z719" i="87"/>
  <c r="AF719" i="87"/>
  <c r="Z720" i="87"/>
  <c r="AF720" i="87"/>
  <c r="Z721" i="87"/>
  <c r="AF721" i="87"/>
  <c r="Z722" i="87"/>
  <c r="AF722" i="87"/>
  <c r="Z723" i="87"/>
  <c r="AF723" i="87"/>
  <c r="Z724" i="87"/>
  <c r="AF724" i="87"/>
  <c r="Z725" i="87"/>
  <c r="AF725" i="87"/>
  <c r="Z726" i="87"/>
  <c r="AF726" i="87"/>
  <c r="Z727" i="87"/>
  <c r="AF727" i="87"/>
  <c r="Z728" i="87"/>
  <c r="AF728" i="87"/>
  <c r="Z729" i="87"/>
  <c r="AF729" i="87"/>
  <c r="Z730" i="87"/>
  <c r="AF730" i="87"/>
  <c r="Z731" i="87"/>
  <c r="AF731" i="87"/>
  <c r="Z732" i="87"/>
  <c r="AF732" i="87"/>
  <c r="Z733" i="87"/>
  <c r="AF733" i="87"/>
  <c r="Z734" i="87"/>
  <c r="AF734" i="87"/>
  <c r="Z735" i="87"/>
  <c r="AF735" i="87"/>
  <c r="Z736" i="87"/>
  <c r="AF736" i="87"/>
  <c r="Z737" i="87"/>
  <c r="AF737" i="87"/>
  <c r="Z738" i="87"/>
  <c r="AF738" i="87"/>
  <c r="Z739" i="87"/>
  <c r="AF739" i="87"/>
  <c r="Z740" i="87"/>
  <c r="AF740" i="87"/>
  <c r="Z741" i="87"/>
  <c r="AF741" i="87"/>
  <c r="Z742" i="87"/>
  <c r="AF742" i="87"/>
  <c r="Z743" i="87"/>
  <c r="AF743" i="87"/>
  <c r="Z744" i="87"/>
  <c r="AF744" i="87"/>
  <c r="Z745" i="87"/>
  <c r="AF745" i="87"/>
  <c r="Z746" i="87"/>
  <c r="AF746" i="87"/>
  <c r="Z747" i="87"/>
  <c r="AF747" i="87"/>
  <c r="Z748" i="87"/>
  <c r="AF748" i="87"/>
  <c r="Z749" i="87"/>
  <c r="AF749" i="87"/>
  <c r="Z750" i="87"/>
  <c r="AF750" i="87"/>
  <c r="Z751" i="87"/>
  <c r="AF751" i="87"/>
  <c r="Z752" i="87"/>
  <c r="AF752" i="87"/>
  <c r="Z753" i="87"/>
  <c r="AF753" i="87"/>
  <c r="Z754" i="87"/>
  <c r="AF754" i="87"/>
  <c r="Z755" i="87"/>
  <c r="AF755" i="87"/>
  <c r="Z756" i="87"/>
  <c r="AF756" i="87"/>
  <c r="Z757" i="87"/>
  <c r="AF757" i="87"/>
  <c r="Z758" i="87"/>
  <c r="AF758" i="87"/>
  <c r="Z759" i="87"/>
  <c r="AF759" i="87"/>
  <c r="Z760" i="87"/>
  <c r="AF760" i="87"/>
  <c r="Z761" i="87"/>
  <c r="AF761" i="87"/>
  <c r="Z762" i="87"/>
  <c r="AF762" i="87"/>
  <c r="Z763" i="87"/>
  <c r="AF763" i="87"/>
  <c r="Z764" i="87"/>
  <c r="AF764" i="87"/>
  <c r="Z765" i="87"/>
  <c r="AF765" i="87"/>
  <c r="Z766" i="87"/>
  <c r="AF766" i="87"/>
  <c r="Z767" i="87"/>
  <c r="AF767" i="87"/>
  <c r="Z768" i="87"/>
  <c r="AF768" i="87"/>
  <c r="Z769" i="87"/>
  <c r="AF769" i="87"/>
  <c r="Z770" i="87"/>
  <c r="AF770" i="87"/>
  <c r="Z771" i="87"/>
  <c r="AF771" i="87"/>
  <c r="Z772" i="87"/>
  <c r="AF772" i="87"/>
  <c r="Z773" i="87"/>
  <c r="AF773" i="87"/>
  <c r="Z774" i="87"/>
  <c r="AF774" i="87"/>
  <c r="Z775" i="87"/>
  <c r="AF775" i="87"/>
  <c r="Z776" i="87"/>
  <c r="AF776" i="87"/>
  <c r="Z777" i="87"/>
  <c r="AF777" i="87"/>
  <c r="Z778" i="87"/>
  <c r="AF778" i="87"/>
  <c r="Z779" i="87"/>
  <c r="AF779" i="87"/>
  <c r="Z780" i="87"/>
  <c r="AF780" i="87"/>
  <c r="Z781" i="87"/>
  <c r="AF781" i="87"/>
  <c r="Z782" i="87"/>
  <c r="AF782" i="87"/>
  <c r="Z783" i="87"/>
  <c r="AF783" i="87"/>
  <c r="Z784" i="87"/>
  <c r="AF784" i="87"/>
  <c r="Z785" i="87"/>
  <c r="AF785" i="87"/>
  <c r="Z786" i="87"/>
  <c r="AF786" i="87"/>
  <c r="Z787" i="87"/>
  <c r="AF787" i="87"/>
  <c r="Z788" i="87"/>
  <c r="AF788" i="87"/>
  <c r="Z789" i="87"/>
  <c r="AF789" i="87"/>
  <c r="Z790" i="87"/>
  <c r="AF790" i="87"/>
  <c r="Z791" i="87"/>
  <c r="AF791" i="87"/>
  <c r="Z792" i="87"/>
  <c r="AF792" i="87"/>
  <c r="Z793" i="87"/>
  <c r="AF793" i="87"/>
  <c r="Z794" i="87"/>
  <c r="AF794" i="87"/>
  <c r="Z795" i="87"/>
  <c r="AF795" i="87"/>
  <c r="Z796" i="87"/>
  <c r="AF796" i="87"/>
  <c r="Z797" i="87"/>
  <c r="AF797" i="87"/>
  <c r="Z798" i="87"/>
  <c r="AF798" i="87"/>
  <c r="Z799" i="87"/>
  <c r="AF799" i="87"/>
  <c r="Z800" i="87"/>
  <c r="AF800" i="87"/>
  <c r="Z801" i="87"/>
  <c r="AF801" i="87"/>
  <c r="Z802" i="87"/>
  <c r="AF802" i="87"/>
  <c r="Z803" i="87"/>
  <c r="AF803" i="87"/>
  <c r="Z804" i="87"/>
  <c r="AF804" i="87"/>
  <c r="Z805" i="87"/>
  <c r="AF805" i="87"/>
  <c r="Z806" i="87"/>
  <c r="AF806" i="87"/>
  <c r="Z807" i="87"/>
  <c r="AF807" i="87"/>
  <c r="Z808" i="87"/>
  <c r="AF808" i="87"/>
  <c r="Z809" i="87"/>
  <c r="AF809" i="87"/>
  <c r="Z810" i="87"/>
  <c r="AF810" i="87"/>
  <c r="Z811" i="87"/>
  <c r="AF811" i="87"/>
  <c r="Z812" i="87"/>
  <c r="AF812" i="87"/>
  <c r="Z813" i="87"/>
  <c r="AF813" i="87"/>
  <c r="Z814" i="87"/>
  <c r="AF814" i="87"/>
  <c r="Z815" i="87"/>
  <c r="AF815" i="87"/>
  <c r="Z816" i="87"/>
  <c r="AF816" i="87"/>
  <c r="Z817" i="87"/>
  <c r="AF817" i="87"/>
  <c r="Z818" i="87"/>
  <c r="AF818" i="87"/>
  <c r="Z819" i="87"/>
  <c r="AF819" i="87"/>
  <c r="Z820" i="87"/>
  <c r="AF820" i="87"/>
  <c r="Z821" i="87"/>
  <c r="AF821" i="87"/>
  <c r="Z822" i="87"/>
  <c r="AF822" i="87"/>
  <c r="Z823" i="87"/>
  <c r="AF823" i="87"/>
  <c r="Z824" i="87"/>
  <c r="AF824" i="87"/>
  <c r="Z825" i="87"/>
  <c r="AF825" i="87"/>
  <c r="Z826" i="87"/>
  <c r="AF826" i="87"/>
  <c r="Z827" i="87"/>
  <c r="AF827" i="87"/>
  <c r="Z828" i="87"/>
  <c r="AF828" i="87"/>
  <c r="Z829" i="87"/>
  <c r="AF829" i="87"/>
  <c r="Z830" i="87"/>
  <c r="AF830" i="87"/>
  <c r="Z831" i="87"/>
  <c r="AF831" i="87"/>
  <c r="Z832" i="87"/>
  <c r="AF832" i="87"/>
  <c r="Z833" i="87"/>
  <c r="AF833" i="87"/>
  <c r="Z834" i="87"/>
  <c r="AF834" i="87"/>
  <c r="Z835" i="87"/>
  <c r="AF835" i="87"/>
  <c r="Z836" i="87"/>
  <c r="AF836" i="87"/>
  <c r="Z837" i="87"/>
  <c r="AF837" i="87"/>
  <c r="Z838" i="87"/>
  <c r="AF838" i="87"/>
  <c r="Z839" i="87"/>
  <c r="AF839" i="87"/>
  <c r="Z840" i="87"/>
  <c r="AF840" i="87"/>
  <c r="Z841" i="87"/>
  <c r="AF841" i="87"/>
  <c r="Z842" i="87"/>
  <c r="AF842" i="87"/>
  <c r="Z843" i="87"/>
  <c r="AF843" i="87"/>
  <c r="Z844" i="87"/>
  <c r="AF844" i="87"/>
  <c r="Z845" i="87"/>
  <c r="AF845" i="87"/>
  <c r="Z846" i="87"/>
  <c r="AF846" i="87"/>
  <c r="Z847" i="87"/>
  <c r="AF847" i="87"/>
  <c r="Z848" i="87"/>
  <c r="AF848" i="87"/>
  <c r="Z849" i="87"/>
  <c r="AF849" i="87"/>
  <c r="Z850" i="87"/>
  <c r="AF850" i="87"/>
  <c r="Z851" i="87"/>
  <c r="AF851" i="87"/>
  <c r="Z852" i="87"/>
  <c r="AF852" i="87"/>
  <c r="Z853" i="87"/>
  <c r="AF853" i="87"/>
  <c r="Z854" i="87"/>
  <c r="AF854" i="87"/>
  <c r="Z855" i="87"/>
  <c r="AF855" i="87"/>
  <c r="Z856" i="87"/>
  <c r="AF856" i="87"/>
  <c r="Z857" i="87"/>
  <c r="AF857" i="87"/>
  <c r="Z858" i="87"/>
  <c r="AF858" i="87"/>
  <c r="Z859" i="87"/>
  <c r="AF859" i="87"/>
  <c r="Z860" i="87"/>
  <c r="AF860" i="87"/>
  <c r="Z861" i="87"/>
  <c r="AF861" i="87"/>
  <c r="Z862" i="87"/>
  <c r="AF862" i="87"/>
  <c r="Z863" i="87"/>
  <c r="AF863" i="87"/>
  <c r="Z864" i="87"/>
  <c r="AF864" i="87"/>
  <c r="Z865" i="87"/>
  <c r="AF865" i="87"/>
  <c r="Z866" i="87"/>
  <c r="AF866" i="87"/>
  <c r="Z867" i="87"/>
  <c r="AF867" i="87"/>
  <c r="Z868" i="87"/>
  <c r="AF868" i="87"/>
  <c r="Z869" i="87"/>
  <c r="AF869" i="87"/>
  <c r="Z870" i="87"/>
  <c r="AF870" i="87"/>
  <c r="Z871" i="87"/>
  <c r="AF871" i="87"/>
  <c r="Z872" i="87"/>
  <c r="AF872" i="87"/>
  <c r="Z873" i="87"/>
  <c r="AF873" i="87"/>
  <c r="Z874" i="87"/>
  <c r="AF874" i="87"/>
  <c r="Z875" i="87"/>
  <c r="AF875" i="87"/>
  <c r="Z876" i="87"/>
  <c r="AF876" i="87"/>
  <c r="Z877" i="87"/>
  <c r="AF877" i="87"/>
  <c r="Z878" i="87"/>
  <c r="AF878" i="87"/>
  <c r="Z879" i="87"/>
  <c r="AF879" i="87"/>
  <c r="Z880" i="87"/>
  <c r="AF880" i="87"/>
  <c r="Z881" i="87"/>
  <c r="AF881" i="87"/>
  <c r="Z882" i="87"/>
  <c r="AF882" i="87"/>
  <c r="Z883" i="87"/>
  <c r="AF883" i="87"/>
  <c r="Z884" i="87"/>
  <c r="AF884" i="87"/>
  <c r="Z885" i="87"/>
  <c r="AF885" i="87"/>
  <c r="Z886" i="87"/>
  <c r="AF886" i="87"/>
  <c r="Z887" i="87"/>
  <c r="AF887" i="87"/>
  <c r="Z888" i="87"/>
  <c r="AF888" i="87"/>
  <c r="Z889" i="87"/>
  <c r="AF889" i="87"/>
  <c r="Z890" i="87"/>
  <c r="AF890" i="87"/>
  <c r="Z891" i="87"/>
  <c r="AF891" i="87"/>
  <c r="Z892" i="87"/>
  <c r="AF892" i="87"/>
  <c r="Z893" i="87"/>
  <c r="AF893" i="87"/>
  <c r="Z894" i="87"/>
  <c r="AF894" i="87"/>
  <c r="Z895" i="87"/>
  <c r="AF895" i="87"/>
  <c r="Z896" i="87"/>
  <c r="AF896" i="87"/>
  <c r="Z897" i="87"/>
  <c r="AF897" i="87"/>
  <c r="Z898" i="87"/>
  <c r="AF898" i="87"/>
  <c r="Z899" i="87"/>
  <c r="AF899" i="87"/>
  <c r="Z900" i="87"/>
  <c r="AF900" i="87"/>
  <c r="Z901" i="87"/>
  <c r="AF901" i="87"/>
  <c r="Z902" i="87"/>
  <c r="AF902" i="87"/>
  <c r="Z903" i="87"/>
  <c r="AF903" i="87"/>
  <c r="Z904" i="87"/>
  <c r="AF904" i="87"/>
  <c r="Z905" i="87"/>
  <c r="AF905" i="87"/>
  <c r="Z906" i="87"/>
  <c r="AF906" i="87"/>
  <c r="Z907" i="87"/>
  <c r="AF907" i="87"/>
  <c r="Z908" i="87"/>
  <c r="AF908" i="87"/>
  <c r="Z909" i="87"/>
  <c r="AF909" i="87"/>
  <c r="Z910" i="87"/>
  <c r="AF910" i="87"/>
  <c r="Z911" i="87"/>
  <c r="AF911" i="87"/>
  <c r="Z912" i="87"/>
  <c r="AF912" i="87"/>
  <c r="Z913" i="87"/>
  <c r="AF913" i="87"/>
  <c r="Z914" i="87"/>
  <c r="AF914" i="87"/>
  <c r="Z915" i="87"/>
  <c r="AF915" i="87"/>
  <c r="Z916" i="87"/>
  <c r="AF916" i="87"/>
  <c r="Z917" i="87"/>
  <c r="AF917" i="87"/>
  <c r="Z918" i="87"/>
  <c r="AF918" i="87"/>
  <c r="Z919" i="87"/>
  <c r="AF919" i="87"/>
  <c r="Z920" i="87"/>
  <c r="AF920" i="87"/>
  <c r="Z921" i="87"/>
  <c r="AF921" i="87"/>
  <c r="Y2" i="95"/>
  <c r="AE2" i="95"/>
  <c r="AK2" i="95"/>
  <c r="AL2" i="95"/>
  <c r="AU2" i="95"/>
  <c r="AV2" i="95"/>
  <c r="Y3" i="95"/>
  <c r="AE3" i="95"/>
  <c r="AK3" i="95"/>
  <c r="AL3" i="95"/>
  <c r="AP3" i="95"/>
  <c r="AQ3" i="95"/>
  <c r="AU3" i="95"/>
  <c r="AV3" i="95"/>
  <c r="Y4" i="95"/>
  <c r="AE4" i="95"/>
  <c r="AK4" i="95"/>
  <c r="AL4" i="95"/>
  <c r="AP4" i="95"/>
  <c r="AQ4" i="95"/>
  <c r="AU4" i="95"/>
  <c r="AV4" i="95"/>
  <c r="Y5" i="95"/>
  <c r="AE5" i="95"/>
  <c r="AK5" i="95"/>
  <c r="AL5" i="95"/>
  <c r="AP5" i="95"/>
  <c r="AQ5" i="95"/>
  <c r="AU5" i="95"/>
  <c r="AV5" i="95"/>
  <c r="Y6" i="95"/>
  <c r="AE6" i="95"/>
  <c r="AK6" i="95"/>
  <c r="AL6" i="95"/>
  <c r="AP6" i="95"/>
  <c r="AQ6" i="95"/>
  <c r="AU6" i="95"/>
  <c r="AV6" i="95"/>
  <c r="Y7" i="95"/>
  <c r="AE7" i="95"/>
  <c r="AK7" i="95"/>
  <c r="AL7" i="95"/>
  <c r="AP7" i="95"/>
  <c r="AQ7" i="95"/>
  <c r="AU7" i="95"/>
  <c r="AV7" i="95"/>
  <c r="Y8" i="95"/>
  <c r="AE8" i="95"/>
  <c r="AK8" i="95"/>
  <c r="AL8" i="95"/>
  <c r="AP8" i="95"/>
  <c r="AQ8" i="95"/>
  <c r="AU8" i="95"/>
  <c r="AV8" i="95"/>
  <c r="Y9" i="95"/>
  <c r="AE9" i="95"/>
  <c r="AK9" i="95"/>
  <c r="AL9" i="95"/>
  <c r="AP9" i="95"/>
  <c r="AQ9" i="95"/>
  <c r="AU9" i="95"/>
  <c r="AV9" i="95"/>
  <c r="Y10" i="95"/>
  <c r="AE10" i="95"/>
  <c r="AK10" i="95"/>
  <c r="AL10" i="95"/>
  <c r="AP10" i="95"/>
  <c r="AQ10" i="95"/>
  <c r="AU10" i="95"/>
  <c r="AV10" i="95"/>
  <c r="Y11" i="95"/>
  <c r="AE11" i="95"/>
  <c r="Y12" i="95"/>
  <c r="AE12" i="95"/>
  <c r="Y13" i="95"/>
  <c r="AE13" i="95"/>
  <c r="Y14" i="95"/>
  <c r="Z14" i="95"/>
  <c r="AA14" i="95"/>
  <c r="AE14" i="95"/>
  <c r="AF14" i="95"/>
  <c r="AG14" i="95"/>
  <c r="Y15" i="95"/>
  <c r="Z15" i="95"/>
  <c r="AA15" i="95"/>
  <c r="AE15" i="95"/>
  <c r="AF15" i="95"/>
  <c r="AG15" i="95"/>
  <c r="Y16" i="95"/>
  <c r="Z16" i="95"/>
  <c r="AA16" i="95"/>
  <c r="AE16" i="95"/>
  <c r="AF16" i="95"/>
  <c r="AG16" i="95"/>
  <c r="Y17" i="95"/>
  <c r="Z17" i="95"/>
  <c r="AA17" i="95"/>
  <c r="AE17" i="95"/>
  <c r="AF17" i="95"/>
  <c r="AG17" i="95"/>
  <c r="Y18" i="95"/>
  <c r="Z18" i="95"/>
  <c r="AA18" i="95"/>
  <c r="AE18" i="95"/>
  <c r="AF18" i="95"/>
  <c r="AG18" i="95"/>
  <c r="Y19" i="95"/>
  <c r="Z19" i="95"/>
  <c r="AA19" i="95"/>
  <c r="AE19" i="95"/>
  <c r="AF19" i="95"/>
  <c r="AG19" i="95"/>
  <c r="Y20" i="95"/>
  <c r="Z20" i="95"/>
  <c r="AA20" i="95"/>
  <c r="AE20" i="95"/>
  <c r="AF20" i="95"/>
  <c r="AG20" i="95"/>
  <c r="Y21" i="95"/>
  <c r="Z21" i="95"/>
  <c r="AA21" i="95"/>
  <c r="AE21" i="95"/>
  <c r="AF21" i="95"/>
  <c r="AG21" i="95"/>
  <c r="Y22" i="95"/>
  <c r="Z22" i="95"/>
  <c r="AA22" i="95"/>
  <c r="AE22" i="95"/>
  <c r="AF22" i="95"/>
  <c r="AG22" i="95"/>
  <c r="Y23" i="95"/>
  <c r="Z23" i="95"/>
  <c r="AA23" i="95"/>
  <c r="AE23" i="95"/>
  <c r="AF23" i="95"/>
  <c r="AG23" i="95"/>
  <c r="Y24" i="95"/>
  <c r="Z24" i="95"/>
  <c r="AA24" i="95"/>
  <c r="AE24" i="95"/>
  <c r="AF24" i="95"/>
  <c r="AG24" i="95"/>
  <c r="Y25" i="95"/>
  <c r="Z25" i="95"/>
  <c r="AA25" i="95"/>
  <c r="AE25" i="95"/>
  <c r="AF25" i="95"/>
  <c r="AG25" i="95"/>
  <c r="Y26" i="95"/>
  <c r="Z26" i="95"/>
  <c r="AA26" i="95"/>
  <c r="AE26" i="95"/>
  <c r="AF26" i="95"/>
  <c r="AG26" i="95"/>
  <c r="Y27" i="95"/>
  <c r="Z27" i="95"/>
  <c r="AA27" i="95"/>
  <c r="AE27" i="95"/>
  <c r="AF27" i="95"/>
  <c r="AG27" i="95"/>
  <c r="Y28" i="95"/>
  <c r="Z28" i="95"/>
  <c r="AA28" i="95"/>
  <c r="AE28" i="95"/>
  <c r="AF28" i="95"/>
  <c r="AG28" i="95"/>
  <c r="Y29" i="95"/>
  <c r="Z29" i="95"/>
  <c r="AA29" i="95"/>
  <c r="AE29" i="95"/>
  <c r="AF29" i="95"/>
  <c r="AG29" i="95"/>
  <c r="Y30" i="95"/>
  <c r="Z30" i="95"/>
  <c r="AA30" i="95"/>
  <c r="AE30" i="95"/>
  <c r="AF30" i="95"/>
  <c r="AG30" i="95"/>
  <c r="Y31" i="95"/>
  <c r="Z31" i="95"/>
  <c r="AA31" i="95"/>
  <c r="AE31" i="95"/>
  <c r="AF31" i="95"/>
  <c r="AG31" i="95"/>
  <c r="Y32" i="95"/>
  <c r="Z32" i="95"/>
  <c r="AA32" i="95"/>
  <c r="AE32" i="95"/>
  <c r="AF32" i="95"/>
  <c r="AG32" i="95"/>
  <c r="Y33" i="95"/>
  <c r="Z33" i="95"/>
  <c r="AA33" i="95"/>
  <c r="AE33" i="95"/>
  <c r="AF33" i="95"/>
  <c r="AG33" i="95"/>
  <c r="Y34" i="95"/>
  <c r="Z34" i="95"/>
  <c r="AA34" i="95"/>
  <c r="AE34" i="95"/>
  <c r="AF34" i="95"/>
  <c r="AG34" i="95"/>
  <c r="Y35" i="95"/>
  <c r="Z35" i="95"/>
  <c r="AA35" i="95"/>
  <c r="AE35" i="95"/>
  <c r="AF35" i="95"/>
  <c r="AG35" i="95"/>
  <c r="Y36" i="95"/>
  <c r="Z36" i="95"/>
  <c r="AA36" i="95"/>
  <c r="AE36" i="95"/>
  <c r="AF36" i="95"/>
  <c r="AG36" i="95"/>
  <c r="Y37" i="95"/>
  <c r="Z37" i="95"/>
  <c r="AA37" i="95"/>
  <c r="AE37" i="95"/>
  <c r="AF37" i="95"/>
  <c r="AG37" i="95"/>
  <c r="Y38" i="95"/>
  <c r="Z38" i="95"/>
  <c r="AE38" i="95"/>
  <c r="AF38" i="95"/>
  <c r="Y39" i="95"/>
  <c r="Z39" i="95"/>
  <c r="AE39" i="95"/>
  <c r="AF39" i="95"/>
  <c r="Y40" i="95"/>
  <c r="Z40" i="95"/>
  <c r="AE40" i="95"/>
  <c r="AF40" i="95"/>
  <c r="Y41" i="95"/>
  <c r="Z41" i="95"/>
  <c r="AE41" i="95"/>
  <c r="AF41" i="95"/>
  <c r="Y42" i="95"/>
  <c r="Z42" i="95"/>
  <c r="AE42" i="95"/>
  <c r="AF42" i="95"/>
  <c r="Y43" i="95"/>
  <c r="Z43" i="95"/>
  <c r="AE43" i="95"/>
  <c r="AF43" i="95"/>
  <c r="Y44" i="95"/>
  <c r="Z44" i="95"/>
  <c r="AE44" i="95"/>
  <c r="AF44" i="95"/>
  <c r="Y45" i="95"/>
  <c r="Z45" i="95"/>
  <c r="AE45" i="95"/>
  <c r="AF45" i="95"/>
  <c r="Y46" i="95"/>
  <c r="Z46" i="95"/>
  <c r="AE46" i="95"/>
  <c r="AF46" i="95"/>
  <c r="Y47" i="95"/>
  <c r="Z47" i="95"/>
  <c r="AE47" i="95"/>
  <c r="AF47" i="95"/>
  <c r="Y48" i="95"/>
  <c r="Z48" i="95"/>
  <c r="AE48" i="95"/>
  <c r="AF48" i="95"/>
  <c r="Y49" i="95"/>
  <c r="Z49" i="95"/>
  <c r="AE49" i="95"/>
  <c r="AF49" i="95"/>
  <c r="Z50" i="95"/>
  <c r="AF50" i="95"/>
  <c r="Z51" i="95"/>
  <c r="AF51" i="95"/>
  <c r="Z52" i="95"/>
  <c r="AF52" i="95"/>
  <c r="Z53" i="95"/>
  <c r="AF53" i="95"/>
  <c r="Z54" i="95"/>
  <c r="AF54" i="95"/>
  <c r="Z55" i="95"/>
  <c r="AF55" i="95"/>
  <c r="Z56" i="95"/>
  <c r="AF56" i="95"/>
  <c r="Z57" i="95"/>
  <c r="AF57" i="95"/>
  <c r="Z58" i="95"/>
  <c r="AF58" i="95"/>
  <c r="Z59" i="95"/>
  <c r="AF59" i="95"/>
  <c r="Z60" i="95"/>
  <c r="AF60" i="95"/>
  <c r="Z61" i="95"/>
  <c r="AF61" i="95"/>
  <c r="Y62" i="95"/>
  <c r="Z62" i="95"/>
  <c r="AE62" i="95"/>
  <c r="AF62" i="95"/>
  <c r="Y63" i="95"/>
  <c r="Z63" i="95"/>
  <c r="AE63" i="95"/>
  <c r="AF63" i="95"/>
  <c r="Y64" i="95"/>
  <c r="Z64" i="95"/>
  <c r="AE64" i="95"/>
  <c r="AF64" i="95"/>
  <c r="Y65" i="95"/>
  <c r="Z65" i="95"/>
  <c r="AE65" i="95"/>
  <c r="AF65" i="95"/>
  <c r="Y66" i="95"/>
  <c r="Z66" i="95"/>
  <c r="AE66" i="95"/>
  <c r="AF66" i="95"/>
  <c r="Y67" i="95"/>
  <c r="Z67" i="95"/>
  <c r="AE67" i="95"/>
  <c r="AF67" i="95"/>
  <c r="Y68" i="95"/>
  <c r="Z68" i="95"/>
  <c r="AE68" i="95"/>
  <c r="AF68" i="95"/>
  <c r="Y69" i="95"/>
  <c r="Z69" i="95"/>
  <c r="AE69" i="95"/>
  <c r="AF69" i="95"/>
  <c r="Y70" i="95"/>
  <c r="Z70" i="95"/>
  <c r="AE70" i="95"/>
  <c r="AF70" i="95"/>
  <c r="Y71" i="95"/>
  <c r="Z71" i="95"/>
  <c r="AE71" i="95"/>
  <c r="AF71" i="95"/>
  <c r="Y72" i="95"/>
  <c r="Z72" i="95"/>
  <c r="AE72" i="95"/>
  <c r="AF72" i="95"/>
  <c r="Y73" i="95"/>
  <c r="Z73" i="95"/>
  <c r="AE73" i="95"/>
  <c r="AF73" i="95"/>
  <c r="Y74" i="95"/>
  <c r="Z74" i="95"/>
  <c r="AA74" i="95"/>
  <c r="AE74" i="95"/>
  <c r="AF74" i="95"/>
  <c r="AG74" i="95"/>
  <c r="Y75" i="95"/>
  <c r="Z75" i="95"/>
  <c r="AA75" i="95"/>
  <c r="AE75" i="95"/>
  <c r="AF75" i="95"/>
  <c r="AG75" i="95"/>
  <c r="Y76" i="95"/>
  <c r="Z76" i="95"/>
  <c r="AA76" i="95"/>
  <c r="AE76" i="95"/>
  <c r="AF76" i="95"/>
  <c r="AG76" i="95"/>
  <c r="Y77" i="95"/>
  <c r="Z77" i="95"/>
  <c r="AA77" i="95"/>
  <c r="AE77" i="95"/>
  <c r="AF77" i="95"/>
  <c r="AG77" i="95"/>
  <c r="Y78" i="95"/>
  <c r="Z78" i="95"/>
  <c r="AA78" i="95"/>
  <c r="AE78" i="95"/>
  <c r="AF78" i="95"/>
  <c r="AG78" i="95"/>
  <c r="Y79" i="95"/>
  <c r="Z79" i="95"/>
  <c r="AA79" i="95"/>
  <c r="AE79" i="95"/>
  <c r="AF79" i="95"/>
  <c r="AG79" i="95"/>
  <c r="Y80" i="95"/>
  <c r="Z80" i="95"/>
  <c r="AA80" i="95"/>
  <c r="AE80" i="95"/>
  <c r="AF80" i="95"/>
  <c r="AG80" i="95"/>
  <c r="Y81" i="95"/>
  <c r="Z81" i="95"/>
  <c r="AA81" i="95"/>
  <c r="AE81" i="95"/>
  <c r="AF81" i="95"/>
  <c r="AG81" i="95"/>
  <c r="Y82" i="95"/>
  <c r="Z82" i="95"/>
  <c r="AA82" i="95"/>
  <c r="AE82" i="95"/>
  <c r="AF82" i="95"/>
  <c r="AG82" i="95"/>
  <c r="Y83" i="95"/>
  <c r="Z83" i="95"/>
  <c r="AA83" i="95"/>
  <c r="AE83" i="95"/>
  <c r="AF83" i="95"/>
  <c r="AG83" i="95"/>
  <c r="Y84" i="95"/>
  <c r="Z84" i="95"/>
  <c r="AA84" i="95"/>
  <c r="AE84" i="95"/>
  <c r="AF84" i="95"/>
  <c r="AG84" i="95"/>
  <c r="Y85" i="95"/>
  <c r="Z85" i="95"/>
  <c r="AA85" i="95"/>
  <c r="AE85" i="95"/>
  <c r="AF85" i="95"/>
  <c r="AG85" i="95"/>
  <c r="Y86" i="95"/>
  <c r="Z86" i="95"/>
  <c r="AA86" i="95"/>
  <c r="AE86" i="95"/>
  <c r="AF86" i="95"/>
  <c r="AG86" i="95"/>
  <c r="Y87" i="95"/>
  <c r="Z87" i="95"/>
  <c r="AA87" i="95"/>
  <c r="AE87" i="95"/>
  <c r="AF87" i="95"/>
  <c r="AG87" i="95"/>
  <c r="Y88" i="95"/>
  <c r="Z88" i="95"/>
  <c r="AA88" i="95"/>
  <c r="AE88" i="95"/>
  <c r="AF88" i="95"/>
  <c r="AG88" i="95"/>
  <c r="Y89" i="95"/>
  <c r="Z89" i="95"/>
  <c r="AA89" i="95"/>
  <c r="AE89" i="95"/>
  <c r="AF89" i="95"/>
  <c r="AG89" i="95"/>
  <c r="Y90" i="95"/>
  <c r="Z90" i="95"/>
  <c r="AA90" i="95"/>
  <c r="AE90" i="95"/>
  <c r="AF90" i="95"/>
  <c r="AG90" i="95"/>
  <c r="Y91" i="95"/>
  <c r="Z91" i="95"/>
  <c r="AA91" i="95"/>
  <c r="AE91" i="95"/>
  <c r="AF91" i="95"/>
  <c r="AG91" i="95"/>
  <c r="Y92" i="95"/>
  <c r="Z92" i="95"/>
  <c r="AA92" i="95"/>
  <c r="AE92" i="95"/>
  <c r="AF92" i="95"/>
  <c r="AG92" i="95"/>
  <c r="Y93" i="95"/>
  <c r="Z93" i="95"/>
  <c r="AA93" i="95"/>
  <c r="AE93" i="95"/>
  <c r="AF93" i="95"/>
  <c r="AG93" i="95"/>
  <c r="Y94" i="95"/>
  <c r="Z94" i="95"/>
  <c r="AA94" i="95"/>
  <c r="AE94" i="95"/>
  <c r="AF94" i="95"/>
  <c r="AG94" i="95"/>
  <c r="Y95" i="95"/>
  <c r="Z95" i="95"/>
  <c r="AA95" i="95"/>
  <c r="AE95" i="95"/>
  <c r="AF95" i="95"/>
  <c r="AG95" i="95"/>
  <c r="Y96" i="95"/>
  <c r="Z96" i="95"/>
  <c r="AA96" i="95"/>
  <c r="AE96" i="95"/>
  <c r="AF96" i="95"/>
  <c r="AG96" i="95"/>
  <c r="Y97" i="95"/>
  <c r="Z97" i="95"/>
  <c r="AA97" i="95"/>
  <c r="AE97" i="95"/>
  <c r="AF97" i="95"/>
  <c r="AG97" i="95"/>
  <c r="Y98" i="95"/>
  <c r="Z98" i="95"/>
  <c r="AA98" i="95"/>
  <c r="AE98" i="95"/>
  <c r="AF98" i="95"/>
  <c r="AG98" i="95"/>
  <c r="Y99" i="95"/>
  <c r="Z99" i="95"/>
  <c r="AA99" i="95"/>
  <c r="AE99" i="95"/>
  <c r="AF99" i="95"/>
  <c r="AG99" i="95"/>
  <c r="Y100" i="95"/>
  <c r="Z100" i="95"/>
  <c r="AA100" i="95"/>
  <c r="AE100" i="95"/>
  <c r="AF100" i="95"/>
  <c r="AG100" i="95"/>
  <c r="Y101" i="95"/>
  <c r="Z101" i="95"/>
  <c r="AA101" i="95"/>
  <c r="AE101" i="95"/>
  <c r="AF101" i="95"/>
  <c r="AG101" i="95"/>
  <c r="Y102" i="95"/>
  <c r="Z102" i="95"/>
  <c r="AA102" i="95"/>
  <c r="AE102" i="95"/>
  <c r="AF102" i="95"/>
  <c r="AG102" i="95"/>
  <c r="Y103" i="95"/>
  <c r="Z103" i="95"/>
  <c r="AA103" i="95"/>
  <c r="AE103" i="95"/>
  <c r="AF103" i="95"/>
  <c r="AG103" i="95"/>
  <c r="Y104" i="95"/>
  <c r="Z104" i="95"/>
  <c r="AA104" i="95"/>
  <c r="AE104" i="95"/>
  <c r="AF104" i="95"/>
  <c r="AG104" i="95"/>
  <c r="Y105" i="95"/>
  <c r="Z105" i="95"/>
  <c r="AA105" i="95"/>
  <c r="AE105" i="95"/>
  <c r="AF105" i="95"/>
  <c r="AG105" i="95"/>
  <c r="Y106" i="95"/>
  <c r="Z106" i="95"/>
  <c r="AA106" i="95"/>
  <c r="AE106" i="95"/>
  <c r="AF106" i="95"/>
  <c r="AG106" i="95"/>
  <c r="Y107" i="95"/>
  <c r="Z107" i="95"/>
  <c r="AA107" i="95"/>
  <c r="AE107" i="95"/>
  <c r="AF107" i="95"/>
  <c r="AG107" i="95"/>
  <c r="Y108" i="95"/>
  <c r="Z108" i="95"/>
  <c r="AA108" i="95"/>
  <c r="AE108" i="95"/>
  <c r="AF108" i="95"/>
  <c r="AG108" i="95"/>
  <c r="Y109" i="95"/>
  <c r="Z109" i="95"/>
  <c r="AA109" i="95"/>
  <c r="AE109" i="95"/>
  <c r="AF109" i="95"/>
  <c r="AG109" i="95"/>
  <c r="Y110" i="95"/>
  <c r="Z110" i="95"/>
  <c r="AA110" i="95"/>
  <c r="AE110" i="95"/>
  <c r="AF110" i="95"/>
  <c r="AG110" i="95"/>
  <c r="Y111" i="95"/>
  <c r="Z111" i="95"/>
  <c r="AA111" i="95"/>
  <c r="AE111" i="95"/>
  <c r="AF111" i="95"/>
  <c r="AG111" i="95"/>
  <c r="Y112" i="95"/>
  <c r="Z112" i="95"/>
  <c r="AA112" i="95"/>
  <c r="AE112" i="95"/>
  <c r="AF112" i="95"/>
  <c r="AG112" i="95"/>
  <c r="Y113" i="95"/>
  <c r="Z113" i="95"/>
  <c r="AA113" i="95"/>
  <c r="AE113" i="95"/>
  <c r="AF113" i="95"/>
  <c r="AG113" i="95"/>
  <c r="Y114" i="95"/>
  <c r="Z114" i="95"/>
  <c r="AA114" i="95"/>
  <c r="AE114" i="95"/>
  <c r="AF114" i="95"/>
  <c r="AG114" i="95"/>
  <c r="Y115" i="95"/>
  <c r="Z115" i="95"/>
  <c r="AA115" i="95"/>
  <c r="AE115" i="95"/>
  <c r="AF115" i="95"/>
  <c r="AG115" i="95"/>
  <c r="Y116" i="95"/>
  <c r="Z116" i="95"/>
  <c r="AA116" i="95"/>
  <c r="AE116" i="95"/>
  <c r="AF116" i="95"/>
  <c r="AG116" i="95"/>
  <c r="Y117" i="95"/>
  <c r="Z117" i="95"/>
  <c r="AA117" i="95"/>
  <c r="AE117" i="95"/>
  <c r="AF117" i="95"/>
  <c r="AG117" i="95"/>
  <c r="Y118" i="95"/>
  <c r="Z118" i="95"/>
  <c r="AA118" i="95"/>
  <c r="AE118" i="95"/>
  <c r="AF118" i="95"/>
  <c r="AG118" i="95"/>
  <c r="Y119" i="95"/>
  <c r="Z119" i="95"/>
  <c r="AA119" i="95"/>
  <c r="AE119" i="95"/>
  <c r="AF119" i="95"/>
  <c r="AG119" i="95"/>
  <c r="Y120" i="95"/>
  <c r="Z120" i="95"/>
  <c r="AA120" i="95"/>
  <c r="AE120" i="95"/>
  <c r="AF120" i="95"/>
  <c r="AG120" i="95"/>
  <c r="Y121" i="95"/>
  <c r="Z121" i="95"/>
  <c r="AA121" i="95"/>
  <c r="AE121" i="95"/>
  <c r="AF121" i="95"/>
  <c r="AG121" i="95"/>
  <c r="Y122" i="95"/>
  <c r="AE122" i="95"/>
  <c r="Y123" i="95"/>
  <c r="AE123" i="95"/>
  <c r="Y124" i="95"/>
  <c r="AE124" i="95"/>
  <c r="Y125" i="95"/>
  <c r="AE125" i="95"/>
  <c r="Y126" i="95"/>
  <c r="AE126" i="95"/>
  <c r="Y127" i="95"/>
  <c r="AE127" i="95"/>
  <c r="Y128" i="95"/>
  <c r="AE128" i="95"/>
  <c r="Y129" i="95"/>
  <c r="AE129" i="95"/>
  <c r="Y130" i="95"/>
  <c r="AE130" i="95"/>
  <c r="Y131" i="95"/>
  <c r="AE131" i="95"/>
  <c r="Y132" i="95"/>
  <c r="AE132" i="95"/>
  <c r="Y133" i="95"/>
  <c r="AE133" i="95"/>
  <c r="Y134" i="95"/>
  <c r="AE134" i="95"/>
  <c r="Y135" i="95"/>
  <c r="AE135" i="95"/>
  <c r="Y136" i="95"/>
  <c r="AE136" i="95"/>
  <c r="Y137" i="95"/>
  <c r="AE137" i="95"/>
  <c r="Y138" i="95"/>
  <c r="AE138" i="95"/>
  <c r="Y139" i="95"/>
  <c r="AE139" i="95"/>
  <c r="Y140" i="95"/>
  <c r="AE140" i="95"/>
  <c r="Y141" i="95"/>
  <c r="AE141" i="95"/>
  <c r="Y142" i="95"/>
  <c r="AE142" i="95"/>
  <c r="Y143" i="95"/>
  <c r="AE143" i="95"/>
  <c r="Y144" i="95"/>
  <c r="AE144" i="95"/>
  <c r="Y145" i="95"/>
  <c r="AE145" i="95"/>
  <c r="Z146" i="95"/>
  <c r="AA146" i="95"/>
  <c r="AF146" i="95"/>
  <c r="AG146" i="95"/>
  <c r="Z147" i="95"/>
  <c r="AA147" i="95"/>
  <c r="AF147" i="95"/>
  <c r="AG147" i="95"/>
  <c r="Z148" i="95"/>
  <c r="AA148" i="95"/>
  <c r="AF148" i="95"/>
  <c r="AG148" i="95"/>
  <c r="Z149" i="95"/>
  <c r="AA149" i="95"/>
  <c r="AF149" i="95"/>
  <c r="AG149" i="95"/>
  <c r="Z150" i="95"/>
  <c r="AA150" i="95"/>
  <c r="AF150" i="95"/>
  <c r="AG150" i="95"/>
  <c r="Z151" i="95"/>
  <c r="AA151" i="95"/>
  <c r="AF151" i="95"/>
  <c r="AG151" i="95"/>
  <c r="Z152" i="95"/>
  <c r="AA152" i="95"/>
  <c r="AF152" i="95"/>
  <c r="AG152" i="95"/>
  <c r="Z153" i="95"/>
  <c r="AA153" i="95"/>
  <c r="AF153" i="95"/>
  <c r="AG153" i="95"/>
  <c r="Z154" i="95"/>
  <c r="AA154" i="95"/>
  <c r="AF154" i="95"/>
  <c r="AG154" i="95"/>
  <c r="Z155" i="95"/>
  <c r="AA155" i="95"/>
  <c r="AF155" i="95"/>
  <c r="AG155" i="95"/>
  <c r="Z156" i="95"/>
  <c r="AA156" i="95"/>
  <c r="AF156" i="95"/>
  <c r="AG156" i="95"/>
  <c r="Z157" i="95"/>
  <c r="AA157" i="95"/>
  <c r="AF157" i="95"/>
  <c r="AG157" i="95"/>
  <c r="Z158" i="95"/>
  <c r="AA158" i="95"/>
  <c r="AF158" i="95"/>
  <c r="AG158" i="95"/>
  <c r="Z159" i="95"/>
  <c r="AA159" i="95"/>
  <c r="AF159" i="95"/>
  <c r="AG159" i="95"/>
  <c r="Z160" i="95"/>
  <c r="AA160" i="95"/>
  <c r="AF160" i="95"/>
  <c r="AG160" i="95"/>
  <c r="Z161" i="95"/>
  <c r="AA161" i="95"/>
  <c r="AF161" i="95"/>
  <c r="AG161" i="95"/>
  <c r="Z162" i="95"/>
  <c r="AA162" i="95"/>
  <c r="AF162" i="95"/>
  <c r="AG162" i="95"/>
  <c r="Z163" i="95"/>
  <c r="AA163" i="95"/>
  <c r="AF163" i="95"/>
  <c r="AG163" i="95"/>
  <c r="Z164" i="95"/>
  <c r="AA164" i="95"/>
  <c r="AF164" i="95"/>
  <c r="AG164" i="95"/>
  <c r="Z165" i="95"/>
  <c r="AA165" i="95"/>
  <c r="AF165" i="95"/>
  <c r="AG165" i="95"/>
  <c r="Y166" i="95"/>
  <c r="AE166" i="95"/>
  <c r="Y167" i="95"/>
  <c r="AE167" i="95"/>
  <c r="Y168" i="95"/>
  <c r="AE168" i="95"/>
  <c r="Y169" i="95"/>
  <c r="AE169" i="95"/>
  <c r="Y170" i="95"/>
  <c r="AE170" i="95"/>
  <c r="Y171" i="95"/>
  <c r="AE171" i="95"/>
  <c r="Y172" i="95"/>
  <c r="AE172" i="95"/>
  <c r="Y173" i="95"/>
  <c r="AE173" i="95"/>
  <c r="Y174" i="95"/>
  <c r="AE174" i="95"/>
  <c r="Y175" i="95"/>
  <c r="AE175" i="95"/>
  <c r="Y176" i="95"/>
  <c r="AE176" i="95"/>
  <c r="Y177" i="95"/>
  <c r="AE177" i="95"/>
  <c r="Y178" i="95"/>
  <c r="AE178" i="95"/>
  <c r="Y179" i="95"/>
  <c r="AE179" i="95"/>
  <c r="Y180" i="95"/>
  <c r="AE180" i="95"/>
  <c r="Y181" i="95"/>
  <c r="AE181" i="95"/>
  <c r="Y182" i="95"/>
  <c r="AE182" i="95"/>
  <c r="Y183" i="95"/>
  <c r="AE183" i="95"/>
  <c r="Y184" i="95"/>
  <c r="AE184" i="95"/>
  <c r="Y185" i="95"/>
  <c r="AE185" i="95"/>
  <c r="Y186" i="95"/>
  <c r="AE186" i="95"/>
  <c r="Y187" i="95"/>
  <c r="AE187" i="95"/>
  <c r="Z188" i="95"/>
  <c r="AA188" i="95"/>
  <c r="AF188" i="95"/>
  <c r="AG188" i="95"/>
  <c r="Z189" i="95"/>
  <c r="AA189" i="95"/>
  <c r="AF189" i="95"/>
  <c r="AG189" i="95"/>
  <c r="Z190" i="95"/>
  <c r="AA190" i="95"/>
  <c r="AF190" i="95"/>
  <c r="AG190" i="95"/>
  <c r="Z191" i="95"/>
  <c r="AA191" i="95"/>
  <c r="AF191" i="95"/>
  <c r="AG191" i="95"/>
  <c r="Z192" i="95"/>
  <c r="AA192" i="95"/>
  <c r="AF192" i="95"/>
  <c r="AG192" i="95"/>
  <c r="Z193" i="95"/>
  <c r="AA193" i="95"/>
  <c r="AF193" i="95"/>
  <c r="AG193" i="95"/>
  <c r="Z194" i="95"/>
  <c r="AA194" i="95"/>
  <c r="AF194" i="95"/>
  <c r="AG194" i="95"/>
  <c r="Z195" i="95"/>
  <c r="AA195" i="95"/>
  <c r="AF195" i="95"/>
  <c r="AG195" i="95"/>
  <c r="Z196" i="95"/>
  <c r="AA196" i="95"/>
  <c r="AF196" i="95"/>
  <c r="AG196" i="95"/>
  <c r="Z197" i="95"/>
  <c r="AA197" i="95"/>
  <c r="AF197" i="95"/>
  <c r="AG197" i="95"/>
  <c r="Z198" i="95"/>
  <c r="AA198" i="95"/>
  <c r="AF198" i="95"/>
  <c r="AG198" i="95"/>
  <c r="Z199" i="95"/>
  <c r="AA199" i="95"/>
  <c r="AF199" i="95"/>
  <c r="AG199" i="95"/>
  <c r="Z200" i="95"/>
  <c r="AA200" i="95"/>
  <c r="AF200" i="95"/>
  <c r="AG200" i="95"/>
  <c r="Z201" i="95"/>
  <c r="AA201" i="95"/>
  <c r="AF201" i="95"/>
  <c r="AG201" i="95"/>
  <c r="Z202" i="95"/>
  <c r="AA202" i="95"/>
  <c r="AF202" i="95"/>
  <c r="AG202" i="95"/>
  <c r="Z203" i="95"/>
  <c r="AA203" i="95"/>
  <c r="AF203" i="95"/>
  <c r="AG203" i="95"/>
  <c r="Z204" i="95"/>
  <c r="AA204" i="95"/>
  <c r="AF204" i="95"/>
  <c r="AG204" i="95"/>
  <c r="Z205" i="95"/>
  <c r="AA205" i="95"/>
  <c r="AF205" i="95"/>
  <c r="AG205" i="95"/>
  <c r="Z206" i="95"/>
  <c r="AA206" i="95"/>
  <c r="AF206" i="95"/>
  <c r="AG206" i="95"/>
  <c r="Z207" i="95"/>
  <c r="AA207" i="95"/>
  <c r="AF207" i="95"/>
  <c r="AG207" i="95"/>
  <c r="Z208" i="95"/>
  <c r="AA208" i="95"/>
  <c r="AF208" i="95"/>
  <c r="AG208" i="95"/>
  <c r="Z209" i="95"/>
  <c r="AA209" i="95"/>
  <c r="AF209" i="95"/>
  <c r="AG209" i="95"/>
  <c r="Z210" i="95"/>
  <c r="AA210" i="95"/>
  <c r="AF210" i="95"/>
  <c r="AG210" i="95"/>
  <c r="Z211" i="95"/>
  <c r="AA211" i="95"/>
  <c r="AF211" i="95"/>
  <c r="AG211" i="95"/>
  <c r="Z212" i="95"/>
  <c r="AA212" i="95"/>
  <c r="AF212" i="95"/>
  <c r="AG212" i="95"/>
  <c r="Z213" i="95"/>
  <c r="AA213" i="95"/>
  <c r="AF213" i="95"/>
  <c r="AG213" i="95"/>
  <c r="Z214" i="95"/>
  <c r="AA214" i="95"/>
  <c r="AF214" i="95"/>
  <c r="AG214" i="95"/>
  <c r="Z215" i="95"/>
  <c r="AA215" i="95"/>
  <c r="AF215" i="95"/>
  <c r="AG215" i="95"/>
  <c r="Z216" i="95"/>
  <c r="AA216" i="95"/>
  <c r="AF216" i="95"/>
  <c r="AG216" i="95"/>
  <c r="Z217" i="95"/>
  <c r="AA217" i="95"/>
  <c r="AF217" i="95"/>
  <c r="AG217" i="95"/>
  <c r="Z218" i="95"/>
  <c r="AA218" i="95"/>
  <c r="AF218" i="95"/>
  <c r="AG218" i="95"/>
  <c r="Y219" i="95"/>
  <c r="AE219" i="95"/>
  <c r="Y220" i="95"/>
  <c r="AE220" i="95"/>
  <c r="Y221" i="95"/>
  <c r="AE221" i="95"/>
  <c r="Y222" i="95"/>
  <c r="AE222" i="95"/>
  <c r="Y223" i="95"/>
  <c r="AE223" i="95"/>
  <c r="Y224" i="95"/>
  <c r="AE224" i="95"/>
  <c r="Y225" i="95"/>
  <c r="AE225" i="95"/>
  <c r="Y226" i="95"/>
  <c r="AE226" i="95"/>
  <c r="Y227" i="95"/>
  <c r="AE227" i="95"/>
  <c r="Y228" i="95"/>
  <c r="AE228" i="95"/>
  <c r="Y229" i="95"/>
  <c r="AE229" i="95"/>
  <c r="Y230" i="95"/>
  <c r="AE230" i="95"/>
  <c r="Z231" i="95"/>
  <c r="AA231" i="95"/>
  <c r="AF231" i="95"/>
  <c r="AG231" i="95"/>
  <c r="Z232" i="95"/>
  <c r="AA232" i="95"/>
  <c r="AF232" i="95"/>
  <c r="AG232" i="95"/>
  <c r="Z233" i="95"/>
  <c r="AA233" i="95"/>
  <c r="AF233" i="95"/>
  <c r="AG233" i="95"/>
  <c r="Z234" i="95"/>
  <c r="AA234" i="95"/>
  <c r="AF234" i="95"/>
  <c r="AG234" i="95"/>
  <c r="Z235" i="95"/>
  <c r="AA235" i="95"/>
  <c r="AF235" i="95"/>
  <c r="AG235" i="95"/>
  <c r="Z236" i="95"/>
  <c r="AA236" i="95"/>
  <c r="AF236" i="95"/>
  <c r="AG236" i="95"/>
  <c r="Z237" i="95"/>
  <c r="AA237" i="95"/>
  <c r="AF237" i="95"/>
  <c r="AG237" i="95"/>
  <c r="Z238" i="95"/>
  <c r="AA238" i="95"/>
  <c r="AF238" i="95"/>
  <c r="AG238" i="95"/>
  <c r="Z239" i="95"/>
  <c r="AA239" i="95"/>
  <c r="AF239" i="95"/>
  <c r="AG239" i="95"/>
  <c r="Z240" i="95"/>
  <c r="AA240" i="95"/>
  <c r="AF240" i="95"/>
  <c r="AG240" i="95"/>
  <c r="Z241" i="95"/>
  <c r="AA241" i="95"/>
  <c r="AF241" i="95"/>
  <c r="AG241" i="95"/>
  <c r="Z242" i="95"/>
  <c r="AA242" i="95"/>
  <c r="AF242" i="95"/>
  <c r="AG242" i="95"/>
  <c r="Z243" i="95"/>
  <c r="AF243" i="95"/>
  <c r="Z244" i="95"/>
  <c r="AF244" i="95"/>
  <c r="Z245" i="95"/>
  <c r="AF245" i="95"/>
  <c r="Z246" i="95"/>
  <c r="AF246" i="95"/>
  <c r="Z247" i="95"/>
  <c r="AF247" i="95"/>
  <c r="Z248" i="95"/>
  <c r="AF248" i="95"/>
  <c r="Z249" i="95"/>
  <c r="AF249" i="95"/>
  <c r="Z250" i="95"/>
  <c r="AF250" i="95"/>
  <c r="Z251" i="95"/>
  <c r="AF251" i="95"/>
  <c r="Z252" i="95"/>
  <c r="AF252" i="95"/>
  <c r="Z253" i="95"/>
  <c r="AF253" i="95"/>
  <c r="Z254" i="95"/>
  <c r="AF254" i="95"/>
  <c r="Y255" i="95"/>
  <c r="AE255" i="95"/>
  <c r="Y256" i="95"/>
  <c r="AE256" i="95"/>
  <c r="Y257" i="95"/>
  <c r="AE257" i="95"/>
  <c r="Y258" i="95"/>
  <c r="AE258" i="95"/>
  <c r="Y259" i="95"/>
  <c r="AE259" i="95"/>
  <c r="Y260" i="95"/>
  <c r="AE260" i="95"/>
  <c r="Y261" i="95"/>
  <c r="AE261" i="95"/>
  <c r="Y262" i="95"/>
  <c r="AE262" i="95"/>
  <c r="Y263" i="95"/>
  <c r="AE263" i="95"/>
  <c r="Y264" i="95"/>
  <c r="AE264" i="95"/>
  <c r="Y265" i="95"/>
  <c r="AE265" i="95"/>
  <c r="Y266" i="95"/>
  <c r="AE266" i="95"/>
  <c r="Z267" i="95"/>
  <c r="AF267" i="95"/>
  <c r="Z268" i="95"/>
  <c r="AF268" i="95"/>
  <c r="Z269" i="95"/>
  <c r="AF269" i="95"/>
  <c r="Z270" i="95"/>
  <c r="AF270" i="95"/>
  <c r="Z271" i="95"/>
  <c r="AF271" i="95"/>
  <c r="Z272" i="95"/>
  <c r="AF272" i="95"/>
  <c r="Z273" i="95"/>
  <c r="AF273" i="95"/>
  <c r="Z274" i="95"/>
  <c r="AF274" i="95"/>
  <c r="Z275" i="95"/>
  <c r="AF275" i="95"/>
  <c r="Z276" i="95"/>
  <c r="AF276" i="95"/>
  <c r="Z277" i="95"/>
  <c r="AF277" i="95"/>
  <c r="Z278" i="95"/>
  <c r="AF278" i="95"/>
  <c r="Z279" i="95"/>
  <c r="AA279" i="95"/>
  <c r="AF279" i="95"/>
  <c r="AG279" i="95"/>
  <c r="Z280" i="95"/>
  <c r="AA280" i="95"/>
  <c r="AF280" i="95"/>
  <c r="AG280" i="95"/>
  <c r="Z281" i="95"/>
  <c r="AA281" i="95"/>
  <c r="AF281" i="95"/>
  <c r="AG281" i="95"/>
  <c r="Z282" i="95"/>
  <c r="AA282" i="95"/>
  <c r="AF282" i="95"/>
  <c r="AG282" i="95"/>
  <c r="Z283" i="95"/>
  <c r="AA283" i="95"/>
  <c r="AF283" i="95"/>
  <c r="AG283" i="95"/>
  <c r="Z284" i="95"/>
  <c r="AA284" i="95"/>
  <c r="AF284" i="95"/>
  <c r="AG284" i="95"/>
  <c r="Z285" i="95"/>
  <c r="AA285" i="95"/>
  <c r="AF285" i="95"/>
  <c r="AG285" i="95"/>
  <c r="Z286" i="95"/>
  <c r="AA286" i="95"/>
  <c r="AF286" i="95"/>
  <c r="AG286" i="95"/>
  <c r="Z287" i="95"/>
  <c r="AA287" i="95"/>
  <c r="AF287" i="95"/>
  <c r="AG287" i="95"/>
  <c r="Z288" i="95"/>
  <c r="AA288" i="95"/>
  <c r="AF288" i="95"/>
  <c r="AG288" i="95"/>
  <c r="Z289" i="95"/>
  <c r="AA289" i="95"/>
  <c r="AF289" i="95"/>
  <c r="AG289" i="95"/>
  <c r="Z290" i="95"/>
  <c r="AA290" i="95"/>
  <c r="AF290" i="95"/>
  <c r="AG290" i="95"/>
  <c r="Z291" i="95"/>
  <c r="AA291" i="95"/>
  <c r="AF291" i="95"/>
  <c r="AG291" i="95"/>
  <c r="Z292" i="95"/>
  <c r="AA292" i="95"/>
  <c r="AF292" i="95"/>
  <c r="AG292" i="95"/>
  <c r="Z293" i="95"/>
  <c r="AA293" i="95"/>
  <c r="AF293" i="95"/>
  <c r="AG293" i="95"/>
  <c r="Z294" i="95"/>
  <c r="AA294" i="95"/>
  <c r="AF294" i="95"/>
  <c r="AG294" i="95"/>
  <c r="Z295" i="95"/>
  <c r="AA295" i="95"/>
  <c r="AF295" i="95"/>
  <c r="AG295" i="95"/>
  <c r="Z296" i="95"/>
  <c r="AA296" i="95"/>
  <c r="AF296" i="95"/>
  <c r="AG296" i="95"/>
  <c r="Z297" i="95"/>
  <c r="AA297" i="95"/>
  <c r="AF297" i="95"/>
  <c r="AG297" i="95"/>
  <c r="Z298" i="95"/>
  <c r="AA298" i="95"/>
  <c r="AF298" i="95"/>
  <c r="AG298" i="95"/>
  <c r="Z299" i="95"/>
  <c r="AA299" i="95"/>
  <c r="AF299" i="95"/>
  <c r="AG299" i="95"/>
  <c r="Z300" i="95"/>
  <c r="AA300" i="95"/>
  <c r="AF300" i="95"/>
  <c r="AG300" i="95"/>
  <c r="Z301" i="95"/>
  <c r="AA301" i="95"/>
  <c r="AF301" i="95"/>
  <c r="AG301" i="95"/>
  <c r="Y302" i="95"/>
  <c r="AE302" i="95"/>
  <c r="Y303" i="95"/>
  <c r="AE303" i="95"/>
  <c r="Y304" i="95"/>
  <c r="AE304" i="95"/>
  <c r="Y305" i="95"/>
  <c r="AE305" i="95"/>
  <c r="Y306" i="95"/>
  <c r="AE306" i="95"/>
  <c r="Y307" i="95"/>
  <c r="AE307" i="95"/>
  <c r="Y308" i="95"/>
  <c r="AE308" i="95"/>
  <c r="Y309" i="95"/>
  <c r="AE309" i="95"/>
  <c r="Y310" i="95"/>
  <c r="AE310" i="95"/>
  <c r="Y311" i="95"/>
  <c r="AE311" i="95"/>
  <c r="Y312" i="95"/>
  <c r="AE312" i="95"/>
  <c r="Y313" i="95"/>
  <c r="AE313" i="95"/>
  <c r="Y314" i="95"/>
  <c r="AE314" i="95"/>
  <c r="Y315" i="95"/>
  <c r="AE315" i="95"/>
  <c r="Y316" i="95"/>
  <c r="AE316" i="95"/>
  <c r="Y317" i="95"/>
  <c r="AE317" i="95"/>
  <c r="Y318" i="95"/>
  <c r="AE318" i="95"/>
  <c r="Y319" i="95"/>
  <c r="AE319" i="95"/>
  <c r="Y320" i="95"/>
  <c r="AE320" i="95"/>
  <c r="Y321" i="95"/>
  <c r="AE321" i="95"/>
  <c r="Y322" i="95"/>
  <c r="AE322" i="95"/>
  <c r="Y323" i="95"/>
  <c r="AE323" i="95"/>
  <c r="Y324" i="95"/>
  <c r="AE324" i="95"/>
  <c r="Y325" i="95"/>
  <c r="AE325" i="95"/>
  <c r="Z326" i="95"/>
  <c r="AA326" i="95"/>
  <c r="AF326" i="95"/>
  <c r="AG326" i="95"/>
  <c r="Z327" i="95"/>
  <c r="AA327" i="95"/>
  <c r="AF327" i="95"/>
  <c r="AG327" i="95"/>
  <c r="Z328" i="95"/>
  <c r="AA328" i="95"/>
  <c r="AF328" i="95"/>
  <c r="AG328" i="95"/>
  <c r="Z329" i="95"/>
  <c r="AA329" i="95"/>
  <c r="AF329" i="95"/>
  <c r="AG329" i="95"/>
  <c r="Z330" i="95"/>
  <c r="AA330" i="95"/>
  <c r="AF330" i="95"/>
  <c r="AG330" i="95"/>
  <c r="Z331" i="95"/>
  <c r="AA331" i="95"/>
  <c r="AF331" i="95"/>
  <c r="AG331" i="95"/>
  <c r="Z332" i="95"/>
  <c r="AA332" i="95"/>
  <c r="AF332" i="95"/>
  <c r="AG332" i="95"/>
  <c r="Z333" i="95"/>
  <c r="AA333" i="95"/>
  <c r="AF333" i="95"/>
  <c r="AG333" i="95"/>
  <c r="Z334" i="95"/>
  <c r="AA334" i="95"/>
  <c r="AF334" i="95"/>
  <c r="AG334" i="95"/>
  <c r="Z335" i="95"/>
  <c r="AA335" i="95"/>
  <c r="AF335" i="95"/>
  <c r="AG335" i="95"/>
  <c r="Z336" i="95"/>
  <c r="AA336" i="95"/>
  <c r="AF336" i="95"/>
  <c r="AG336" i="95"/>
  <c r="Z337" i="95"/>
  <c r="AA337" i="95"/>
  <c r="AF337" i="95"/>
  <c r="AG337" i="95"/>
  <c r="Z338" i="95"/>
  <c r="AA338" i="95"/>
  <c r="AF338" i="95"/>
  <c r="AG338" i="95"/>
  <c r="Z339" i="95"/>
  <c r="AA339" i="95"/>
  <c r="AF339" i="95"/>
  <c r="AG339" i="95"/>
  <c r="Z340" i="95"/>
  <c r="AA340" i="95"/>
  <c r="AF340" i="95"/>
  <c r="AG340" i="95"/>
  <c r="Z341" i="95"/>
  <c r="AA341" i="95"/>
  <c r="AF341" i="95"/>
  <c r="AG341" i="95"/>
  <c r="Z342" i="95"/>
  <c r="AA342" i="95"/>
  <c r="AF342" i="95"/>
  <c r="AG342" i="95"/>
  <c r="Z343" i="95"/>
  <c r="AA343" i="95"/>
  <c r="AF343" i="95"/>
  <c r="AG343" i="95"/>
  <c r="Z344" i="95"/>
  <c r="AA344" i="95"/>
  <c r="AF344" i="95"/>
  <c r="AG344" i="95"/>
  <c r="Z345" i="95"/>
  <c r="AA345" i="95"/>
  <c r="AF345" i="95"/>
  <c r="AG345" i="95"/>
  <c r="Z346" i="95"/>
  <c r="AA346" i="95"/>
  <c r="AF346" i="95"/>
  <c r="AG346" i="95"/>
  <c r="Z347" i="95"/>
  <c r="AA347" i="95"/>
  <c r="AF347" i="95"/>
  <c r="AG347" i="95"/>
  <c r="Z348" i="95"/>
  <c r="AA348" i="95"/>
  <c r="AF348" i="95"/>
  <c r="AG348" i="95"/>
  <c r="Z349" i="95"/>
  <c r="AA349" i="95"/>
  <c r="AF349" i="95"/>
  <c r="AG349" i="95"/>
  <c r="Z350" i="95"/>
  <c r="AA350" i="95"/>
  <c r="AF350" i="95"/>
  <c r="AG350" i="95"/>
  <c r="Z351" i="95"/>
  <c r="AA351" i="95"/>
  <c r="AF351" i="95"/>
  <c r="AG351" i="95"/>
  <c r="Z352" i="95"/>
  <c r="AA352" i="95"/>
  <c r="AF352" i="95"/>
  <c r="AG352" i="95"/>
  <c r="Z353" i="95"/>
  <c r="AA353" i="95"/>
  <c r="AF353" i="95"/>
  <c r="AG353" i="95"/>
  <c r="Z354" i="95"/>
  <c r="AA354" i="95"/>
  <c r="AF354" i="95"/>
  <c r="AG354" i="95"/>
  <c r="Z355" i="95"/>
  <c r="AA355" i="95"/>
  <c r="AF355" i="95"/>
  <c r="AG355" i="95"/>
  <c r="Z356" i="95"/>
  <c r="AA356" i="95"/>
  <c r="AF356" i="95"/>
  <c r="AG356" i="95"/>
  <c r="Z357" i="95"/>
  <c r="AA357" i="95"/>
  <c r="AF357" i="95"/>
  <c r="AG357" i="95"/>
  <c r="Z358" i="95"/>
  <c r="AA358" i="95"/>
  <c r="AF358" i="95"/>
  <c r="AG358" i="95"/>
  <c r="Z359" i="95"/>
  <c r="AA359" i="95"/>
  <c r="AF359" i="95"/>
  <c r="AG359" i="95"/>
  <c r="Z360" i="95"/>
  <c r="AA360" i="95"/>
  <c r="AF360" i="95"/>
  <c r="AG360" i="95"/>
  <c r="Y361" i="95"/>
  <c r="AE361" i="95"/>
  <c r="Y362" i="95"/>
  <c r="AE362" i="95"/>
  <c r="Y363" i="95"/>
  <c r="AE363" i="95"/>
  <c r="Y364" i="95"/>
  <c r="AE364" i="95"/>
  <c r="Y365" i="95"/>
  <c r="AE365" i="95"/>
  <c r="Y366" i="95"/>
  <c r="AE366" i="95"/>
  <c r="Y367" i="95"/>
  <c r="AE367" i="95"/>
  <c r="Y368" i="95"/>
  <c r="AE368" i="95"/>
  <c r="Y369" i="95"/>
  <c r="AE369" i="95"/>
  <c r="Y370" i="95"/>
  <c r="AE370" i="95"/>
  <c r="Y371" i="95"/>
  <c r="AE371" i="95"/>
  <c r="Y372" i="95"/>
  <c r="AE372" i="95"/>
  <c r="Z373" i="95"/>
  <c r="AA373" i="95"/>
  <c r="AF373" i="95"/>
  <c r="AG373" i="95"/>
  <c r="Z374" i="95"/>
  <c r="AA374" i="95"/>
  <c r="AF374" i="95"/>
  <c r="AG374" i="95"/>
  <c r="Z375" i="95"/>
  <c r="AA375" i="95"/>
  <c r="AF375" i="95"/>
  <c r="AG375" i="95"/>
  <c r="Z376" i="95"/>
  <c r="AA376" i="95"/>
  <c r="AF376" i="95"/>
  <c r="AG376" i="95"/>
  <c r="Z377" i="95"/>
  <c r="AA377" i="95"/>
  <c r="AF377" i="95"/>
  <c r="AG377" i="95"/>
  <c r="Z378" i="95"/>
  <c r="AA378" i="95"/>
  <c r="AF378" i="95"/>
  <c r="AG378" i="95"/>
  <c r="Z379" i="95"/>
  <c r="AA379" i="95"/>
  <c r="AF379" i="95"/>
  <c r="AG379" i="95"/>
  <c r="Z380" i="95"/>
  <c r="AA380" i="95"/>
  <c r="AF380" i="95"/>
  <c r="AG380" i="95"/>
  <c r="Z381" i="95"/>
  <c r="AA381" i="95"/>
  <c r="AF381" i="95"/>
  <c r="AG381" i="95"/>
  <c r="Z382" i="95"/>
  <c r="AA382" i="95"/>
  <c r="AF382" i="95"/>
  <c r="AG382" i="95"/>
  <c r="Z383" i="95"/>
  <c r="AA383" i="95"/>
  <c r="AF383" i="95"/>
  <c r="AG383" i="95"/>
  <c r="Z384" i="95"/>
  <c r="AA384" i="95"/>
  <c r="AF384" i="95"/>
  <c r="AG384" i="95"/>
  <c r="Z385" i="95"/>
  <c r="AA385" i="95"/>
  <c r="AF385" i="95"/>
  <c r="AG385" i="95"/>
  <c r="Z386" i="95"/>
  <c r="AA386" i="95"/>
  <c r="AF386" i="95"/>
  <c r="AG386" i="95"/>
  <c r="Z387" i="95"/>
  <c r="AA387" i="95"/>
  <c r="AF387" i="95"/>
  <c r="AG387" i="95"/>
  <c r="Z388" i="95"/>
  <c r="AA388" i="95"/>
  <c r="AF388" i="95"/>
  <c r="AG388" i="95"/>
  <c r="Z389" i="95"/>
  <c r="AA389" i="95"/>
  <c r="AF389" i="95"/>
  <c r="AG389" i="95"/>
  <c r="Z390" i="95"/>
  <c r="AA390" i="95"/>
  <c r="AF390" i="95"/>
  <c r="AG390" i="95"/>
  <c r="Z391" i="95"/>
  <c r="AA391" i="95"/>
  <c r="AF391" i="95"/>
  <c r="AG391" i="95"/>
  <c r="Z392" i="95"/>
  <c r="AA392" i="95"/>
  <c r="AF392" i="95"/>
  <c r="AG392" i="95"/>
  <c r="Z393" i="95"/>
  <c r="AA393" i="95"/>
  <c r="AF393" i="95"/>
  <c r="AG393" i="95"/>
  <c r="Z394" i="95"/>
  <c r="AA394" i="95"/>
  <c r="AF394" i="95"/>
  <c r="AG394" i="95"/>
  <c r="Z395" i="95"/>
  <c r="AA395" i="95"/>
  <c r="AF395" i="95"/>
  <c r="AG395" i="95"/>
  <c r="Z396" i="95"/>
  <c r="AA396" i="95"/>
  <c r="AF396" i="95"/>
  <c r="AG396" i="95"/>
  <c r="Z397" i="95"/>
  <c r="AA397" i="95"/>
  <c r="AF397" i="95"/>
  <c r="AG397" i="95"/>
  <c r="Z398" i="95"/>
  <c r="AA398" i="95"/>
  <c r="AF398" i="95"/>
  <c r="AG398" i="95"/>
  <c r="Z399" i="95"/>
  <c r="AA399" i="95"/>
  <c r="AF399" i="95"/>
  <c r="AG399" i="95"/>
  <c r="Z400" i="95"/>
  <c r="AA400" i="95"/>
  <c r="AF400" i="95"/>
  <c r="AG400" i="95"/>
  <c r="Z401" i="95"/>
  <c r="AA401" i="95"/>
  <c r="AF401" i="95"/>
  <c r="AG401" i="95"/>
  <c r="Z402" i="95"/>
  <c r="AA402" i="95"/>
  <c r="AF402" i="95"/>
  <c r="AG402" i="95"/>
  <c r="Z403" i="95"/>
  <c r="AA403" i="95"/>
  <c r="AF403" i="95"/>
  <c r="AG403" i="95"/>
  <c r="Z404" i="95"/>
  <c r="AA404" i="95"/>
  <c r="AF404" i="95"/>
  <c r="AG404" i="95"/>
  <c r="Z405" i="95"/>
  <c r="AA405" i="95"/>
  <c r="AF405" i="95"/>
  <c r="AG405" i="95"/>
  <c r="Z406" i="95"/>
  <c r="AA406" i="95"/>
  <c r="AF406" i="95"/>
  <c r="AG406" i="95"/>
  <c r="Z407" i="95"/>
  <c r="AA407" i="95"/>
  <c r="AF407" i="95"/>
  <c r="AG407" i="95"/>
  <c r="Z408" i="95"/>
  <c r="AA408" i="95"/>
  <c r="AF408" i="95"/>
  <c r="AG408" i="95"/>
  <c r="Z409" i="95"/>
  <c r="AA409" i="95"/>
  <c r="AF409" i="95"/>
  <c r="AG409" i="95"/>
  <c r="Z410" i="95"/>
  <c r="AA410" i="95"/>
  <c r="AF410" i="95"/>
  <c r="AG410" i="95"/>
  <c r="Z411" i="95"/>
  <c r="AA411" i="95"/>
  <c r="AF411" i="95"/>
  <c r="AG411" i="95"/>
  <c r="Z412" i="95"/>
  <c r="AA412" i="95"/>
  <c r="AF412" i="95"/>
  <c r="AG412" i="95"/>
  <c r="Z413" i="95"/>
  <c r="AA413" i="95"/>
  <c r="AF413" i="95"/>
  <c r="AG413" i="95"/>
  <c r="Z414" i="95"/>
  <c r="AA414" i="95"/>
  <c r="AF414" i="95"/>
  <c r="AG414" i="95"/>
  <c r="Z415" i="95"/>
  <c r="AA415" i="95"/>
  <c r="AF415" i="95"/>
  <c r="AG415" i="95"/>
  <c r="Z416" i="95"/>
  <c r="AA416" i="95"/>
  <c r="AF416" i="95"/>
  <c r="AG416" i="95"/>
  <c r="Z417" i="95"/>
  <c r="AA417" i="95"/>
  <c r="AF417" i="95"/>
  <c r="AG417" i="95"/>
  <c r="Z418" i="95"/>
  <c r="AA418" i="95"/>
  <c r="AF418" i="95"/>
  <c r="AG418" i="95"/>
  <c r="Z419" i="95"/>
  <c r="AA419" i="95"/>
  <c r="AF419" i="95"/>
  <c r="AG419" i="95"/>
  <c r="Y420" i="95"/>
  <c r="AE420" i="95"/>
  <c r="Y421" i="95"/>
  <c r="AE421" i="95"/>
  <c r="Y422" i="95"/>
  <c r="AE422" i="95"/>
  <c r="Y423" i="95"/>
  <c r="AE423" i="95"/>
  <c r="Y424" i="95"/>
  <c r="AE424" i="95"/>
  <c r="Y425" i="95"/>
  <c r="AE425" i="95"/>
  <c r="Y426" i="95"/>
  <c r="AE426" i="95"/>
  <c r="Y427" i="95"/>
  <c r="AE427" i="95"/>
  <c r="Y428" i="95"/>
  <c r="AE428" i="95"/>
  <c r="Y429" i="95"/>
  <c r="AE429" i="95"/>
  <c r="Y430" i="95"/>
  <c r="AE430" i="95"/>
  <c r="Y431" i="95"/>
  <c r="AE431" i="95"/>
  <c r="Y432" i="95"/>
  <c r="AE432" i="95"/>
  <c r="Y433" i="95"/>
  <c r="AE433" i="95"/>
  <c r="Y434" i="95"/>
  <c r="AE434" i="95"/>
  <c r="Y435" i="95"/>
  <c r="AE435" i="95"/>
  <c r="Y436" i="95"/>
  <c r="AE436" i="95"/>
  <c r="Y437" i="95"/>
  <c r="AE437" i="95"/>
  <c r="Y438" i="95"/>
  <c r="AE438" i="95"/>
  <c r="Y439" i="95"/>
  <c r="AE439" i="95"/>
  <c r="Y440" i="95"/>
  <c r="AE440" i="95"/>
  <c r="Y441" i="95"/>
  <c r="AE441" i="95"/>
  <c r="Y442" i="95"/>
  <c r="AE442" i="95"/>
  <c r="Z443" i="95"/>
  <c r="AA443" i="95"/>
  <c r="AF443" i="95"/>
  <c r="AG443" i="95"/>
  <c r="Z444" i="95"/>
  <c r="AA444" i="95"/>
  <c r="AF444" i="95"/>
  <c r="AG444" i="95"/>
  <c r="Z445" i="95"/>
  <c r="AA445" i="95"/>
  <c r="AF445" i="95"/>
  <c r="AG445" i="95"/>
  <c r="Z446" i="95"/>
  <c r="AA446" i="95"/>
  <c r="AF446" i="95"/>
  <c r="AG446" i="95"/>
  <c r="Z447" i="95"/>
  <c r="AA447" i="95"/>
  <c r="AF447" i="95"/>
  <c r="AG447" i="95"/>
  <c r="Z448" i="95"/>
  <c r="AA448" i="95"/>
  <c r="AF448" i="95"/>
  <c r="AG448" i="95"/>
  <c r="Z449" i="95"/>
  <c r="AA449" i="95"/>
  <c r="AF449" i="95"/>
  <c r="AG449" i="95"/>
  <c r="Z450" i="95"/>
  <c r="AA450" i="95"/>
  <c r="AF450" i="95"/>
  <c r="AG450" i="95"/>
  <c r="Z451" i="95"/>
  <c r="AA451" i="95"/>
  <c r="AF451" i="95"/>
  <c r="AG451" i="95"/>
  <c r="Z452" i="95"/>
  <c r="AA452" i="95"/>
  <c r="AF452" i="95"/>
  <c r="AG452" i="95"/>
  <c r="Z453" i="95"/>
  <c r="AA453" i="95"/>
  <c r="AF453" i="95"/>
  <c r="AG453" i="95"/>
  <c r="Z454" i="95"/>
  <c r="AA454" i="95"/>
  <c r="AF454" i="95"/>
  <c r="AG454" i="95"/>
  <c r="Z455" i="95"/>
  <c r="AA455" i="95"/>
  <c r="AF455" i="95"/>
  <c r="AG455" i="95"/>
  <c r="Z456" i="95"/>
  <c r="AA456" i="95"/>
  <c r="AF456" i="95"/>
  <c r="AG456" i="95"/>
  <c r="Z457" i="95"/>
  <c r="AA457" i="95"/>
  <c r="AF457" i="95"/>
  <c r="AG457" i="95"/>
  <c r="Z458" i="95"/>
  <c r="AA458" i="95"/>
  <c r="AF458" i="95"/>
  <c r="AG458" i="95"/>
  <c r="Z459" i="95"/>
  <c r="AA459" i="95"/>
  <c r="AF459" i="95"/>
  <c r="AG459" i="95"/>
  <c r="Z460" i="95"/>
  <c r="AA460" i="95"/>
  <c r="AF460" i="95"/>
  <c r="AG460" i="95"/>
  <c r="Z461" i="95"/>
  <c r="AA461" i="95"/>
  <c r="AF461" i="95"/>
  <c r="AG461" i="95"/>
  <c r="Z462" i="95"/>
  <c r="AA462" i="95"/>
  <c r="AF462" i="95"/>
  <c r="AG462" i="95"/>
  <c r="Z463" i="95"/>
  <c r="AA463" i="95"/>
  <c r="AF463" i="95"/>
  <c r="AG463" i="95"/>
  <c r="Z464" i="95"/>
  <c r="AA464" i="95"/>
  <c r="AF464" i="95"/>
  <c r="AG464" i="95"/>
  <c r="Z465" i="95"/>
  <c r="AA465" i="95"/>
  <c r="AF465" i="95"/>
  <c r="AG465" i="95"/>
  <c r="Z466" i="95"/>
  <c r="AA466" i="95"/>
  <c r="AF466" i="95"/>
  <c r="AG466" i="95"/>
  <c r="Z467" i="95"/>
  <c r="AA467" i="95"/>
  <c r="AF467" i="95"/>
  <c r="AG467" i="95"/>
  <c r="Z468" i="95"/>
  <c r="AA468" i="95"/>
  <c r="AF468" i="95"/>
  <c r="AG468" i="95"/>
  <c r="Z469" i="95"/>
  <c r="AA469" i="95"/>
  <c r="AF469" i="95"/>
  <c r="AG469" i="95"/>
  <c r="Z470" i="95"/>
  <c r="AA470" i="95"/>
  <c r="AF470" i="95"/>
  <c r="AG470" i="95"/>
  <c r="Z471" i="95"/>
  <c r="AA471" i="95"/>
  <c r="AF471" i="95"/>
  <c r="AG471" i="95"/>
  <c r="Z472" i="95"/>
  <c r="AA472" i="95"/>
  <c r="AF472" i="95"/>
  <c r="AG472" i="95"/>
  <c r="Z473" i="95"/>
  <c r="AA473" i="95"/>
  <c r="AF473" i="95"/>
  <c r="AG473" i="95"/>
  <c r="Z474" i="95"/>
  <c r="AA474" i="95"/>
  <c r="AF474" i="95"/>
  <c r="AG474" i="95"/>
  <c r="Z475" i="95"/>
  <c r="AA475" i="95"/>
  <c r="AF475" i="95"/>
  <c r="AG475" i="95"/>
  <c r="Z476" i="95"/>
  <c r="AA476" i="95"/>
  <c r="AF476" i="95"/>
  <c r="AG476" i="95"/>
  <c r="Z477" i="95"/>
  <c r="AA477" i="95"/>
  <c r="AF477" i="95"/>
  <c r="AG477" i="95"/>
  <c r="Z478" i="95"/>
  <c r="AA478" i="95"/>
  <c r="AF478" i="95"/>
  <c r="AG478" i="95"/>
  <c r="Y479" i="95"/>
  <c r="AE479" i="95"/>
  <c r="Y480" i="95"/>
  <c r="AE480" i="95"/>
  <c r="Y481" i="95"/>
  <c r="AE481" i="95"/>
  <c r="Y482" i="95"/>
  <c r="AE482" i="95"/>
  <c r="Y483" i="95"/>
  <c r="AE483" i="95"/>
  <c r="Y484" i="95"/>
  <c r="AE484" i="95"/>
  <c r="Y485" i="95"/>
  <c r="AE485" i="95"/>
  <c r="Y486" i="95"/>
  <c r="AE486" i="95"/>
  <c r="Y487" i="95"/>
  <c r="AE487" i="95"/>
  <c r="Y488" i="95"/>
  <c r="AE488" i="95"/>
  <c r="Y489" i="95"/>
  <c r="AE489" i="95"/>
  <c r="Y490" i="95"/>
  <c r="AE490" i="95"/>
  <c r="Y491" i="95"/>
  <c r="AE491" i="95"/>
  <c r="Z492" i="95"/>
  <c r="AA492" i="95"/>
  <c r="AF492" i="95"/>
  <c r="AG492" i="95"/>
  <c r="Z493" i="95"/>
  <c r="AA493" i="95"/>
  <c r="AF493" i="95"/>
  <c r="AG493" i="95"/>
  <c r="Z494" i="95"/>
  <c r="AA494" i="95"/>
  <c r="AF494" i="95"/>
  <c r="AG494" i="95"/>
  <c r="Z495" i="95"/>
  <c r="AA495" i="95"/>
  <c r="AF495" i="95"/>
  <c r="AG495" i="95"/>
  <c r="Z496" i="95"/>
  <c r="AA496" i="95"/>
  <c r="AF496" i="95"/>
  <c r="AG496" i="95"/>
  <c r="Z497" i="95"/>
  <c r="AA497" i="95"/>
  <c r="AF497" i="95"/>
  <c r="AG497" i="95"/>
  <c r="Z498" i="95"/>
  <c r="AA498" i="95"/>
  <c r="AF498" i="95"/>
  <c r="AG498" i="95"/>
  <c r="Z499" i="95"/>
  <c r="AA499" i="95"/>
  <c r="AF499" i="95"/>
  <c r="AG499" i="95"/>
  <c r="Z500" i="95"/>
  <c r="AA500" i="95"/>
  <c r="AF500" i="95"/>
  <c r="AG500" i="95"/>
  <c r="Z501" i="95"/>
  <c r="AA501" i="95"/>
  <c r="AF501" i="95"/>
  <c r="AG501" i="95"/>
  <c r="Z502" i="95"/>
  <c r="AA502" i="95"/>
  <c r="AF502" i="95"/>
  <c r="AG502" i="95"/>
  <c r="Z503" i="95"/>
  <c r="AA503" i="95"/>
  <c r="AF503" i="95"/>
  <c r="AG503" i="95"/>
  <c r="Z504" i="95"/>
  <c r="AA504" i="95"/>
  <c r="AF504" i="95"/>
  <c r="AG504" i="95"/>
  <c r="Z505" i="95"/>
  <c r="AA505" i="95"/>
  <c r="AF505" i="95"/>
  <c r="AG505" i="95"/>
  <c r="Z506" i="95"/>
  <c r="AA506" i="95"/>
  <c r="AF506" i="95"/>
  <c r="AG506" i="95"/>
  <c r="Z507" i="95"/>
  <c r="AA507" i="95"/>
  <c r="AF507" i="95"/>
  <c r="AG507" i="95"/>
  <c r="Z508" i="95"/>
  <c r="AA508" i="95"/>
  <c r="AF508" i="95"/>
  <c r="AG508" i="95"/>
  <c r="Z509" i="95"/>
  <c r="AA509" i="95"/>
  <c r="AF509" i="95"/>
  <c r="AG509" i="95"/>
  <c r="Z510" i="95"/>
  <c r="AA510" i="95"/>
  <c r="AF510" i="95"/>
  <c r="AG510" i="95"/>
  <c r="Z511" i="95"/>
  <c r="AA511" i="95"/>
  <c r="AF511" i="95"/>
  <c r="AG511" i="95"/>
  <c r="Z512" i="95"/>
  <c r="AA512" i="95"/>
  <c r="AF512" i="95"/>
  <c r="AG512" i="95"/>
  <c r="Z513" i="95"/>
  <c r="AA513" i="95"/>
  <c r="AF513" i="95"/>
  <c r="AG513" i="95"/>
  <c r="Z514" i="95"/>
  <c r="AA514" i="95"/>
  <c r="AF514" i="95"/>
  <c r="AG514" i="95"/>
  <c r="Z515" i="95"/>
  <c r="AA515" i="95"/>
  <c r="AF515" i="95"/>
  <c r="AG515" i="95"/>
  <c r="Z516" i="95"/>
  <c r="AA516" i="95"/>
  <c r="AF516" i="95"/>
  <c r="AG516" i="95"/>
  <c r="Z517" i="95"/>
  <c r="AA517" i="95"/>
  <c r="AF517" i="95"/>
  <c r="AG517" i="95"/>
  <c r="Z518" i="95"/>
  <c r="AA518" i="95"/>
  <c r="AF518" i="95"/>
  <c r="AG518" i="95"/>
  <c r="Z519" i="95"/>
  <c r="AA519" i="95"/>
  <c r="AF519" i="95"/>
  <c r="AG519" i="95"/>
  <c r="Z520" i="95"/>
  <c r="AA520" i="95"/>
  <c r="AF520" i="95"/>
  <c r="AG520" i="95"/>
  <c r="Z521" i="95"/>
  <c r="AA521" i="95"/>
  <c r="AF521" i="95"/>
  <c r="AG521" i="95"/>
  <c r="Z522" i="95"/>
  <c r="AA522" i="95"/>
  <c r="AF522" i="95"/>
  <c r="AG522" i="95"/>
  <c r="Z523" i="95"/>
  <c r="AA523" i="95"/>
  <c r="AF523" i="95"/>
  <c r="AG523" i="95"/>
  <c r="Z524" i="95"/>
  <c r="AA524" i="95"/>
  <c r="AF524" i="95"/>
  <c r="AG524" i="95"/>
  <c r="Z525" i="95"/>
  <c r="AA525" i="95"/>
  <c r="AF525" i="95"/>
  <c r="AG525" i="95"/>
  <c r="Z526" i="95"/>
  <c r="AA526" i="95"/>
  <c r="AF526" i="95"/>
  <c r="AG526" i="95"/>
  <c r="Z527" i="95"/>
  <c r="AA527" i="95"/>
  <c r="AF527" i="95"/>
  <c r="AG527" i="95"/>
  <c r="Z528" i="95"/>
  <c r="AA528" i="95"/>
  <c r="AF528" i="95"/>
  <c r="AG528" i="95"/>
  <c r="Z529" i="95"/>
  <c r="AA529" i="95"/>
  <c r="AF529" i="95"/>
  <c r="AG529" i="95"/>
  <c r="Z530" i="95"/>
  <c r="AA530" i="95"/>
  <c r="AF530" i="95"/>
  <c r="AG530" i="95"/>
  <c r="Z531" i="95"/>
  <c r="AA531" i="95"/>
  <c r="AF531" i="95"/>
  <c r="AG531" i="95"/>
  <c r="Z532" i="95"/>
  <c r="AA532" i="95"/>
  <c r="AF532" i="95"/>
  <c r="AG532" i="95"/>
  <c r="Z533" i="95"/>
  <c r="AA533" i="95"/>
  <c r="AF533" i="95"/>
  <c r="AG533" i="95"/>
  <c r="Z534" i="95"/>
  <c r="AA534" i="95"/>
  <c r="AF534" i="95"/>
  <c r="AG534" i="95"/>
  <c r="Z535" i="95"/>
  <c r="AA535" i="95"/>
  <c r="AF535" i="95"/>
  <c r="AG535" i="95"/>
  <c r="Z536" i="95"/>
  <c r="AA536" i="95"/>
  <c r="AF536" i="95"/>
  <c r="AG536" i="95"/>
  <c r="Z537" i="95"/>
  <c r="AA537" i="95"/>
  <c r="AF537" i="95"/>
  <c r="AG537" i="95"/>
  <c r="Z538" i="95"/>
  <c r="AA538" i="95"/>
  <c r="AF538" i="95"/>
  <c r="AG538" i="95"/>
  <c r="Z539" i="95"/>
  <c r="AA539" i="95"/>
  <c r="AF539" i="95"/>
  <c r="AG539" i="95"/>
  <c r="Z540" i="95"/>
  <c r="AA540" i="95"/>
  <c r="AF540" i="95"/>
  <c r="AG540" i="95"/>
  <c r="Z541" i="95"/>
  <c r="AA541" i="95"/>
  <c r="AF541" i="95"/>
  <c r="AG541" i="95"/>
  <c r="Z542" i="95"/>
  <c r="AA542" i="95"/>
  <c r="AF542" i="95"/>
  <c r="AG542" i="95"/>
  <c r="Z543" i="95"/>
  <c r="AA543" i="95"/>
  <c r="AF543" i="95"/>
  <c r="AG543" i="95"/>
  <c r="Z544" i="95"/>
  <c r="AA544" i="95"/>
  <c r="AF544" i="95"/>
  <c r="AG544" i="95"/>
  <c r="Z545" i="95"/>
  <c r="AA545" i="95"/>
  <c r="AF545" i="95"/>
  <c r="AG545" i="95"/>
  <c r="Z546" i="95"/>
  <c r="AA546" i="95"/>
  <c r="AF546" i="95"/>
  <c r="AG546" i="95"/>
  <c r="Z547" i="95"/>
  <c r="AA547" i="95"/>
  <c r="AF547" i="95"/>
  <c r="AG547" i="95"/>
  <c r="Z548" i="95"/>
  <c r="AA548" i="95"/>
  <c r="AF548" i="95"/>
  <c r="AG548" i="95"/>
  <c r="Z549" i="95"/>
  <c r="AA549" i="95"/>
  <c r="AF549" i="95"/>
  <c r="AG549" i="95"/>
  <c r="Z550" i="95"/>
  <c r="AA550" i="95"/>
  <c r="AF550" i="95"/>
  <c r="AG550" i="95"/>
  <c r="Z551" i="95"/>
  <c r="AA551" i="95"/>
  <c r="AF551" i="95"/>
  <c r="AG551" i="95"/>
  <c r="Z552" i="95"/>
  <c r="AA552" i="95"/>
  <c r="AF552" i="95"/>
  <c r="AG552" i="95"/>
  <c r="Z553" i="95"/>
  <c r="AA553" i="95"/>
  <c r="AF553" i="95"/>
  <c r="AG553" i="95"/>
  <c r="Z554" i="95"/>
  <c r="AA554" i="95"/>
  <c r="AF554" i="95"/>
  <c r="AG554" i="95"/>
  <c r="Z555" i="95"/>
  <c r="AA555" i="95"/>
  <c r="AF555" i="95"/>
  <c r="AG555" i="95"/>
  <c r="Z556" i="95"/>
  <c r="AA556" i="95"/>
  <c r="AF556" i="95"/>
  <c r="AG556" i="95"/>
  <c r="Z557" i="95"/>
  <c r="AA557" i="95"/>
  <c r="AF557" i="95"/>
  <c r="AG557" i="95"/>
  <c r="Z558" i="95"/>
  <c r="AA558" i="95"/>
  <c r="AF558" i="95"/>
  <c r="AG558" i="95"/>
  <c r="Z559" i="95"/>
  <c r="AA559" i="95"/>
  <c r="AF559" i="95"/>
  <c r="AG559" i="95"/>
  <c r="Z560" i="95"/>
  <c r="AA560" i="95"/>
  <c r="AF560" i="95"/>
  <c r="AG560" i="95"/>
  <c r="Z561" i="95"/>
  <c r="AA561" i="95"/>
  <c r="AF561" i="95"/>
  <c r="AG561" i="95"/>
  <c r="Z562" i="95"/>
  <c r="AA562" i="95"/>
  <c r="AF562" i="95"/>
  <c r="AG562" i="95"/>
  <c r="Z563" i="95"/>
  <c r="AA563" i="95"/>
  <c r="AF563" i="95"/>
  <c r="AG563" i="95"/>
  <c r="Z564" i="95"/>
  <c r="AA564" i="95"/>
  <c r="AF564" i="95"/>
  <c r="AG564" i="95"/>
  <c r="Z565" i="95"/>
  <c r="AA565" i="95"/>
  <c r="AF565" i="95"/>
  <c r="AG565" i="95"/>
  <c r="Z566" i="95"/>
  <c r="AA566" i="95"/>
  <c r="AF566" i="95"/>
  <c r="AG566" i="95"/>
  <c r="Z567" i="95"/>
  <c r="AA567" i="95"/>
  <c r="AF567" i="95"/>
  <c r="AG567" i="95"/>
  <c r="Z568" i="95"/>
  <c r="AA568" i="95"/>
  <c r="AF568" i="95"/>
  <c r="AG568" i="95"/>
  <c r="Z569" i="95"/>
  <c r="AA569" i="95"/>
  <c r="AF569" i="95"/>
  <c r="AG569" i="95"/>
  <c r="Z570" i="95"/>
  <c r="AA570" i="95"/>
  <c r="AF570" i="95"/>
  <c r="AG570" i="95"/>
  <c r="Z571" i="95"/>
  <c r="AA571" i="95"/>
  <c r="AF571" i="95"/>
  <c r="AG571" i="95"/>
  <c r="Z572" i="95"/>
  <c r="AA572" i="95"/>
  <c r="AF572" i="95"/>
  <c r="AG572" i="95"/>
  <c r="Z573" i="95"/>
  <c r="AA573" i="95"/>
  <c r="AF573" i="95"/>
  <c r="AG573" i="95"/>
  <c r="Z574" i="95"/>
  <c r="AA574" i="95"/>
  <c r="AF574" i="95"/>
  <c r="AG574" i="95"/>
  <c r="Z575" i="95"/>
  <c r="AA575" i="95"/>
  <c r="AF575" i="95"/>
  <c r="AG575" i="95"/>
  <c r="Z576" i="95"/>
  <c r="AA576" i="95"/>
  <c r="AF576" i="95"/>
  <c r="AG576" i="95"/>
  <c r="Z577" i="95"/>
  <c r="AA577" i="95"/>
  <c r="AF577" i="95"/>
  <c r="AG577" i="95"/>
  <c r="Z578" i="95"/>
  <c r="AA578" i="95"/>
  <c r="AF578" i="95"/>
  <c r="AG578" i="95"/>
  <c r="Z579" i="95"/>
  <c r="AA579" i="95"/>
  <c r="AF579" i="95"/>
  <c r="AG579" i="95"/>
  <c r="Z580" i="95"/>
  <c r="AA580" i="95"/>
  <c r="AF580" i="95"/>
  <c r="AG580" i="95"/>
  <c r="Z581" i="95"/>
  <c r="AA581" i="95"/>
  <c r="AF581" i="95"/>
  <c r="AG581" i="95"/>
  <c r="Z582" i="95"/>
  <c r="AA582" i="95"/>
  <c r="AF582" i="95"/>
  <c r="AG582" i="95"/>
  <c r="Z583" i="95"/>
  <c r="AA583" i="95"/>
  <c r="AF583" i="95"/>
  <c r="AG583" i="95"/>
  <c r="Z584" i="95"/>
  <c r="AA584" i="95"/>
  <c r="AF584" i="95"/>
  <c r="AG584" i="95"/>
  <c r="Z585" i="95"/>
  <c r="AA585" i="95"/>
  <c r="AF585" i="95"/>
  <c r="AG585" i="95"/>
  <c r="Z586" i="95"/>
  <c r="AA586" i="95"/>
  <c r="AF586" i="95"/>
  <c r="AG586" i="95"/>
  <c r="Z587" i="95"/>
  <c r="AA587" i="95"/>
  <c r="AF587" i="95"/>
  <c r="AG587" i="95"/>
  <c r="Z588" i="95"/>
  <c r="AA588" i="95"/>
  <c r="AF588" i="95"/>
  <c r="AG588" i="95"/>
  <c r="Z589" i="95"/>
  <c r="AA589" i="95"/>
  <c r="AF589" i="95"/>
  <c r="AG589" i="95"/>
  <c r="Z590" i="95"/>
  <c r="AA590" i="95"/>
  <c r="AF590" i="95"/>
  <c r="AG590" i="95"/>
  <c r="Z591" i="95"/>
  <c r="AA591" i="95"/>
  <c r="AF591" i="95"/>
  <c r="AG591" i="95"/>
  <c r="Z592" i="95"/>
  <c r="AA592" i="95"/>
  <c r="AF592" i="95"/>
  <c r="AG592" i="95"/>
  <c r="Z593" i="95"/>
  <c r="AA593" i="95"/>
  <c r="AF593" i="95"/>
  <c r="AG593" i="95"/>
  <c r="Z594" i="95"/>
  <c r="AA594" i="95"/>
  <c r="AF594" i="95"/>
  <c r="AG594" i="95"/>
  <c r="Z595" i="95"/>
  <c r="AA595" i="95"/>
  <c r="AF595" i="95"/>
  <c r="AG595" i="95"/>
  <c r="Z596" i="95"/>
  <c r="AA596" i="95"/>
  <c r="AF596" i="95"/>
  <c r="AG596" i="95"/>
  <c r="Z597" i="95"/>
  <c r="AA597" i="95"/>
  <c r="AF597" i="95"/>
  <c r="AG597" i="95"/>
  <c r="Z598" i="95"/>
  <c r="AA598" i="95"/>
  <c r="AF598" i="95"/>
  <c r="AG598" i="95"/>
  <c r="Z599" i="95"/>
  <c r="AA599" i="95"/>
  <c r="AF599" i="95"/>
  <c r="AG599" i="95"/>
  <c r="Z600" i="95"/>
  <c r="AA600" i="95"/>
  <c r="AF600" i="95"/>
  <c r="AG600" i="95"/>
  <c r="Z601" i="95"/>
  <c r="AA601" i="95"/>
  <c r="AF601" i="95"/>
  <c r="AG601" i="95"/>
  <c r="Z602" i="95"/>
  <c r="AA602" i="95"/>
  <c r="AF602" i="95"/>
  <c r="AG602" i="95"/>
  <c r="Z603" i="95"/>
  <c r="AA603" i="95"/>
  <c r="AF603" i="95"/>
  <c r="AG603" i="95"/>
  <c r="Z604" i="95"/>
  <c r="AA604" i="95"/>
  <c r="AF604" i="95"/>
  <c r="AG604" i="95"/>
  <c r="Z605" i="95"/>
  <c r="AA605" i="95"/>
  <c r="AF605" i="95"/>
  <c r="AG605" i="95"/>
  <c r="Z606" i="95"/>
  <c r="AA606" i="95"/>
  <c r="AF606" i="95"/>
  <c r="AG606" i="95"/>
  <c r="Z607" i="95"/>
  <c r="AA607" i="95"/>
  <c r="AF607" i="95"/>
  <c r="AG607" i="95"/>
  <c r="Z608" i="95"/>
  <c r="AA608" i="95"/>
  <c r="AF608" i="95"/>
  <c r="AG608" i="95"/>
  <c r="Z609" i="95"/>
  <c r="AA609" i="95"/>
  <c r="AF609" i="95"/>
  <c r="AG609" i="95"/>
  <c r="Z610" i="95"/>
  <c r="AA610" i="95"/>
  <c r="AF610" i="95"/>
  <c r="AG610" i="95"/>
  <c r="Z611" i="95"/>
  <c r="AA611" i="95"/>
  <c r="AF611" i="95"/>
  <c r="AG611" i="95"/>
  <c r="Z612" i="95"/>
  <c r="AA612" i="95"/>
  <c r="AF612" i="95"/>
  <c r="AG612" i="95"/>
  <c r="Z613" i="95"/>
  <c r="AA613" i="95"/>
  <c r="AF613" i="95"/>
  <c r="AG613" i="95"/>
  <c r="Z614" i="95"/>
  <c r="AA614" i="95"/>
  <c r="AF614" i="95"/>
  <c r="AG614" i="95"/>
  <c r="Z615" i="95"/>
  <c r="AA615" i="95"/>
  <c r="AF615" i="95"/>
  <c r="AG615" i="95"/>
  <c r="Z616" i="95"/>
  <c r="AA616" i="95"/>
  <c r="AF616" i="95"/>
  <c r="AG616" i="95"/>
  <c r="Z617" i="95"/>
  <c r="AA617" i="95"/>
  <c r="AF617" i="95"/>
  <c r="AG617" i="95"/>
  <c r="Z618" i="95"/>
  <c r="AA618" i="95"/>
  <c r="AF618" i="95"/>
  <c r="AG618" i="95"/>
  <c r="Z619" i="95"/>
  <c r="AA619" i="95"/>
  <c r="AF619" i="95"/>
  <c r="AG619" i="95"/>
  <c r="Z620" i="95"/>
  <c r="AA620" i="95"/>
  <c r="AF620" i="95"/>
  <c r="AG620" i="95"/>
  <c r="Z621" i="95"/>
  <c r="AA621" i="95"/>
  <c r="AF621" i="95"/>
  <c r="AG621" i="95"/>
  <c r="Z622" i="95"/>
  <c r="AA622" i="95"/>
  <c r="AF622" i="95"/>
  <c r="AG622" i="95"/>
  <c r="Z623" i="95"/>
  <c r="AA623" i="95"/>
  <c r="AF623" i="95"/>
  <c r="AG623" i="95"/>
  <c r="Z624" i="95"/>
  <c r="AA624" i="95"/>
  <c r="AF624" i="95"/>
  <c r="AG624" i="95"/>
  <c r="Z625" i="95"/>
  <c r="AA625" i="95"/>
  <c r="AF625" i="95"/>
  <c r="AG625" i="95"/>
  <c r="Z626" i="95"/>
  <c r="AA626" i="95"/>
  <c r="AF626" i="95"/>
  <c r="AG626" i="95"/>
  <c r="Z627" i="95"/>
  <c r="AA627" i="95"/>
  <c r="AF627" i="95"/>
  <c r="AG627" i="95"/>
  <c r="Z628" i="95"/>
  <c r="AA628" i="95"/>
  <c r="AF628" i="95"/>
  <c r="AG628" i="95"/>
  <c r="Z629" i="95"/>
  <c r="AA629" i="95"/>
  <c r="AF629" i="95"/>
  <c r="AG629" i="95"/>
  <c r="Z630" i="95"/>
  <c r="AA630" i="95"/>
  <c r="AF630" i="95"/>
  <c r="AG630" i="95"/>
  <c r="Z631" i="95"/>
  <c r="AA631" i="95"/>
  <c r="AF631" i="95"/>
  <c r="AG631" i="95"/>
  <c r="Z632" i="95"/>
  <c r="AA632" i="95"/>
  <c r="AF632" i="95"/>
  <c r="AG632" i="95"/>
  <c r="Z633" i="95"/>
  <c r="AA633" i="95"/>
  <c r="AF633" i="95"/>
  <c r="AG633" i="95"/>
  <c r="Z634" i="95"/>
  <c r="AA634" i="95"/>
  <c r="AF634" i="95"/>
  <c r="AG634" i="95"/>
  <c r="Z635" i="95"/>
  <c r="AA635" i="95"/>
  <c r="AF635" i="95"/>
  <c r="AG635" i="95"/>
  <c r="Z636" i="95"/>
  <c r="AA636" i="95"/>
  <c r="AF636" i="95"/>
  <c r="AG636" i="95"/>
  <c r="Z637" i="95"/>
  <c r="AA637" i="95"/>
  <c r="AF637" i="95"/>
  <c r="AG637" i="95"/>
  <c r="Z638" i="95"/>
  <c r="AA638" i="95"/>
  <c r="AF638" i="95"/>
  <c r="AG638" i="95"/>
  <c r="Z639" i="95"/>
  <c r="AA639" i="95"/>
  <c r="AF639" i="95"/>
  <c r="AG639" i="95"/>
  <c r="Z640" i="95"/>
  <c r="AA640" i="95"/>
  <c r="AF640" i="95"/>
  <c r="AG640" i="95"/>
  <c r="Z641" i="95"/>
  <c r="AA641" i="95"/>
  <c r="AF641" i="95"/>
  <c r="AG641" i="95"/>
  <c r="Z642" i="95"/>
  <c r="AA642" i="95"/>
  <c r="AF642" i="95"/>
  <c r="AG642" i="95"/>
  <c r="Z643" i="95"/>
  <c r="AA643" i="95"/>
  <c r="AF643" i="95"/>
  <c r="AG643" i="95"/>
  <c r="Z644" i="95"/>
  <c r="AA644" i="95"/>
  <c r="AF644" i="95"/>
  <c r="AG644" i="95"/>
  <c r="Z645" i="95"/>
  <c r="AA645" i="95"/>
  <c r="AF645" i="95"/>
  <c r="AG645" i="95"/>
  <c r="Z646" i="95"/>
  <c r="AA646" i="95"/>
  <c r="AF646" i="95"/>
  <c r="AG646" i="95"/>
  <c r="Z647" i="95"/>
  <c r="AA647" i="95"/>
  <c r="AF647" i="95"/>
  <c r="AG647" i="95"/>
  <c r="Z648" i="95"/>
  <c r="AA648" i="95"/>
  <c r="AF648" i="95"/>
  <c r="AG648" i="95"/>
  <c r="Z649" i="95"/>
  <c r="AA649" i="95"/>
  <c r="AF649" i="95"/>
  <c r="AG649" i="95"/>
  <c r="Z650" i="95"/>
  <c r="AA650" i="95"/>
  <c r="AF650" i="95"/>
  <c r="AG650" i="95"/>
  <c r="Z651" i="95"/>
  <c r="AA651" i="95"/>
  <c r="AF651" i="95"/>
  <c r="AG651" i="95"/>
  <c r="Z652" i="95"/>
  <c r="AA652" i="95"/>
  <c r="AF652" i="95"/>
  <c r="AG652" i="95"/>
  <c r="Z653" i="95"/>
  <c r="AA653" i="95"/>
  <c r="AF653" i="95"/>
  <c r="AG653" i="95"/>
  <c r="Z654" i="95"/>
  <c r="AA654" i="95"/>
  <c r="AF654" i="95"/>
  <c r="AG654" i="95"/>
  <c r="Z655" i="95"/>
  <c r="AA655" i="95"/>
  <c r="AF655" i="95"/>
  <c r="AG655" i="95"/>
  <c r="Z656" i="95"/>
  <c r="AA656" i="95"/>
  <c r="AF656" i="95"/>
  <c r="AG656" i="95"/>
  <c r="Z657" i="95"/>
  <c r="AA657" i="95"/>
  <c r="AF657" i="95"/>
  <c r="AG657" i="95"/>
  <c r="Z658" i="95"/>
  <c r="AA658" i="95"/>
  <c r="AF658" i="95"/>
  <c r="AG658" i="95"/>
  <c r="Z659" i="95"/>
  <c r="AA659" i="95"/>
  <c r="AF659" i="95"/>
  <c r="AG659" i="95"/>
  <c r="Z660" i="95"/>
  <c r="AA660" i="95"/>
  <c r="AF660" i="95"/>
  <c r="AG660" i="95"/>
  <c r="Z661" i="95"/>
  <c r="AA661" i="95"/>
  <c r="AF661" i="95"/>
  <c r="AG661" i="95"/>
  <c r="Z662" i="95"/>
  <c r="AA662" i="95"/>
  <c r="AF662" i="95"/>
  <c r="AG662" i="95"/>
  <c r="Z663" i="95"/>
  <c r="AA663" i="95"/>
  <c r="AF663" i="95"/>
  <c r="AG663" i="95"/>
  <c r="Z664" i="95"/>
  <c r="AA664" i="95"/>
  <c r="AF664" i="95"/>
  <c r="AG664" i="95"/>
  <c r="Z665" i="95"/>
  <c r="AA665" i="95"/>
  <c r="AF665" i="95"/>
  <c r="AG665" i="95"/>
  <c r="Z666" i="95"/>
  <c r="AA666" i="95"/>
  <c r="AF666" i="95"/>
  <c r="AG666" i="95"/>
  <c r="Z667" i="95"/>
  <c r="AA667" i="95"/>
  <c r="AF667" i="95"/>
  <c r="AG667" i="95"/>
  <c r="Z668" i="95"/>
  <c r="AA668" i="95"/>
  <c r="AF668" i="95"/>
  <c r="AG668" i="95"/>
  <c r="Z669" i="95"/>
  <c r="AA669" i="95"/>
  <c r="AF669" i="95"/>
  <c r="AG669" i="95"/>
  <c r="Z670" i="95"/>
  <c r="AA670" i="95"/>
  <c r="AF670" i="95"/>
  <c r="AG670" i="95"/>
  <c r="Z671" i="95"/>
  <c r="AA671" i="95"/>
  <c r="AF671" i="95"/>
  <c r="AG671" i="95"/>
  <c r="Z672" i="95"/>
  <c r="AA672" i="95"/>
  <c r="AF672" i="95"/>
  <c r="AG672" i="95"/>
  <c r="Z673" i="95"/>
  <c r="AA673" i="95"/>
  <c r="AF673" i="95"/>
  <c r="AG673" i="95"/>
  <c r="Z674" i="95"/>
  <c r="AA674" i="95"/>
  <c r="AF674" i="95"/>
  <c r="AG674" i="95"/>
  <c r="Z675" i="95"/>
  <c r="AA675" i="95"/>
  <c r="AF675" i="95"/>
  <c r="AG675" i="95"/>
  <c r="Z676" i="95"/>
  <c r="AA676" i="95"/>
  <c r="AF676" i="95"/>
  <c r="AG676" i="95"/>
  <c r="Z677" i="95"/>
  <c r="AA677" i="95"/>
  <c r="AF677" i="95"/>
  <c r="AG677" i="95"/>
  <c r="Z678" i="95"/>
  <c r="AA678" i="95"/>
  <c r="AF678" i="95"/>
  <c r="AG678" i="95"/>
  <c r="Z679" i="95"/>
  <c r="AA679" i="95"/>
  <c r="AF679" i="95"/>
  <c r="AG679" i="95"/>
  <c r="Z680" i="95"/>
  <c r="AA680" i="95"/>
  <c r="AF680" i="95"/>
  <c r="AG680" i="95"/>
  <c r="Z681" i="95"/>
  <c r="AA681" i="95"/>
  <c r="AF681" i="95"/>
  <c r="AG681" i="95"/>
  <c r="Z682" i="95"/>
  <c r="AA682" i="95"/>
  <c r="AF682" i="95"/>
  <c r="AG682" i="95"/>
  <c r="Z683" i="95"/>
  <c r="AA683" i="95"/>
  <c r="AF683" i="95"/>
  <c r="AG683" i="95"/>
  <c r="Z684" i="95"/>
  <c r="AA684" i="95"/>
  <c r="AF684" i="95"/>
  <c r="AG684" i="95"/>
  <c r="Z685" i="95"/>
  <c r="AA685" i="95"/>
  <c r="AF685" i="95"/>
  <c r="AG685" i="95"/>
  <c r="Z686" i="95"/>
  <c r="AA686" i="95"/>
  <c r="AF686" i="95"/>
  <c r="AG686" i="95"/>
  <c r="Z687" i="95"/>
  <c r="AA687" i="95"/>
  <c r="AF687" i="95"/>
  <c r="AG687" i="95"/>
  <c r="Z688" i="95"/>
  <c r="AA688" i="95"/>
  <c r="AF688" i="95"/>
  <c r="AG688" i="95"/>
  <c r="Z689" i="95"/>
  <c r="AA689" i="95"/>
  <c r="AF689" i="95"/>
  <c r="AG689" i="95"/>
  <c r="Z690" i="95"/>
  <c r="AA690" i="95"/>
  <c r="AF690" i="95"/>
  <c r="AG690" i="95"/>
  <c r="Z691" i="95"/>
  <c r="AA691" i="95"/>
  <c r="AF691" i="95"/>
  <c r="AG691" i="95"/>
  <c r="Z692" i="95"/>
  <c r="AA692" i="95"/>
  <c r="AF692" i="95"/>
  <c r="AG692" i="95"/>
  <c r="Z693" i="95"/>
  <c r="AA693" i="95"/>
  <c r="AF693" i="95"/>
  <c r="AG693" i="95"/>
  <c r="Z694" i="95"/>
  <c r="AA694" i="95"/>
  <c r="AF694" i="95"/>
  <c r="AG694" i="95"/>
  <c r="Z695" i="95"/>
  <c r="AA695" i="95"/>
  <c r="AF695" i="95"/>
  <c r="AG695" i="95"/>
  <c r="Z696" i="95"/>
  <c r="AA696" i="95"/>
  <c r="AF696" i="95"/>
  <c r="AG696" i="95"/>
  <c r="Z697" i="95"/>
  <c r="AA697" i="95"/>
  <c r="AF697" i="95"/>
  <c r="AG697" i="95"/>
  <c r="Z698" i="95"/>
  <c r="AA698" i="95"/>
  <c r="AF698" i="95"/>
  <c r="AG698" i="95"/>
  <c r="Z699" i="95"/>
  <c r="AA699" i="95"/>
  <c r="AF699" i="95"/>
  <c r="AG699" i="95"/>
  <c r="Z700" i="95"/>
  <c r="AA700" i="95"/>
  <c r="AF700" i="95"/>
  <c r="AG700" i="95"/>
  <c r="Z701" i="95"/>
  <c r="AA701" i="95"/>
  <c r="AF701" i="95"/>
  <c r="AG701" i="95"/>
  <c r="Z702" i="95"/>
  <c r="AA702" i="95"/>
  <c r="AF702" i="95"/>
  <c r="AG702" i="95"/>
  <c r="Z703" i="95"/>
  <c r="AA703" i="95"/>
  <c r="AF703" i="95"/>
  <c r="AG703" i="95"/>
  <c r="Z704" i="95"/>
  <c r="AA704" i="95"/>
  <c r="AF704" i="95"/>
  <c r="AG704" i="95"/>
  <c r="Z705" i="95"/>
  <c r="AA705" i="95"/>
  <c r="AF705" i="95"/>
  <c r="AG705" i="95"/>
  <c r="Z706" i="95"/>
  <c r="AA706" i="95"/>
  <c r="AF706" i="95"/>
  <c r="AG706" i="95"/>
  <c r="Z707" i="95"/>
  <c r="AA707" i="95"/>
  <c r="AF707" i="95"/>
  <c r="AG707" i="95"/>
  <c r="Z708" i="95"/>
  <c r="AA708" i="95"/>
  <c r="AF708" i="95"/>
  <c r="AG708" i="95"/>
  <c r="Z709" i="95"/>
  <c r="AA709" i="95"/>
  <c r="AF709" i="95"/>
  <c r="AG709" i="95"/>
  <c r="Z710" i="95"/>
  <c r="AA710" i="95"/>
  <c r="AF710" i="95"/>
  <c r="AG710" i="95"/>
  <c r="Z711" i="95"/>
  <c r="AA711" i="95"/>
  <c r="AF711" i="95"/>
  <c r="AG711" i="95"/>
  <c r="Z712" i="95"/>
  <c r="AA712" i="95"/>
  <c r="AF712" i="95"/>
  <c r="AG712" i="95"/>
  <c r="Z713" i="95"/>
  <c r="AA713" i="95"/>
  <c r="AF713" i="95"/>
  <c r="AG713" i="95"/>
  <c r="Z714" i="95"/>
  <c r="AA714" i="95"/>
  <c r="AF714" i="95"/>
  <c r="AG714" i="95"/>
  <c r="Z715" i="95"/>
  <c r="AA715" i="95"/>
  <c r="AF715" i="95"/>
  <c r="AG715" i="95"/>
  <c r="Z716" i="95"/>
  <c r="AA716" i="95"/>
  <c r="AF716" i="95"/>
  <c r="AG716" i="95"/>
  <c r="Z717" i="95"/>
  <c r="AA717" i="95"/>
  <c r="AF717" i="95"/>
  <c r="AG717" i="95"/>
  <c r="Z718" i="95"/>
  <c r="AA718" i="95"/>
  <c r="AF718" i="95"/>
  <c r="AG718" i="95"/>
  <c r="Z719" i="95"/>
  <c r="AA719" i="95"/>
  <c r="AF719" i="95"/>
  <c r="AG719" i="95"/>
  <c r="Z720" i="95"/>
  <c r="AA720" i="95"/>
  <c r="AF720" i="95"/>
  <c r="AG720" i="95"/>
  <c r="Z721" i="95"/>
  <c r="AA721" i="95"/>
  <c r="AF721" i="95"/>
  <c r="AG721" i="95"/>
  <c r="Z722" i="95"/>
  <c r="AA722" i="95"/>
  <c r="AF722" i="95"/>
  <c r="AG722" i="95"/>
  <c r="Z723" i="95"/>
  <c r="AA723" i="95"/>
  <c r="AF723" i="95"/>
  <c r="AG723" i="95"/>
  <c r="Z724" i="95"/>
  <c r="AA724" i="95"/>
  <c r="AF724" i="95"/>
  <c r="AG724" i="95"/>
  <c r="Z725" i="95"/>
  <c r="AA725" i="95"/>
  <c r="AF725" i="95"/>
  <c r="AG725" i="95"/>
  <c r="Z726" i="95"/>
  <c r="AA726" i="95"/>
  <c r="AF726" i="95"/>
  <c r="AG726" i="95"/>
  <c r="Z727" i="95"/>
  <c r="AA727" i="95"/>
  <c r="AF727" i="95"/>
  <c r="AG727" i="95"/>
  <c r="Z728" i="95"/>
  <c r="AA728" i="95"/>
  <c r="AF728" i="95"/>
  <c r="AG728" i="95"/>
  <c r="Z729" i="95"/>
  <c r="AA729" i="95"/>
  <c r="AF729" i="95"/>
  <c r="AG729" i="95"/>
  <c r="Z730" i="95"/>
  <c r="AA730" i="95"/>
  <c r="AF730" i="95"/>
  <c r="AG730" i="95"/>
  <c r="Z731" i="95"/>
  <c r="AA731" i="95"/>
  <c r="AF731" i="95"/>
  <c r="AG731" i="95"/>
  <c r="Z732" i="95"/>
  <c r="AA732" i="95"/>
  <c r="AF732" i="95"/>
  <c r="AG732" i="95"/>
  <c r="Z733" i="95"/>
  <c r="AA733" i="95"/>
  <c r="AF733" i="95"/>
  <c r="AG733" i="95"/>
  <c r="Z734" i="95"/>
  <c r="AA734" i="95"/>
  <c r="AF734" i="95"/>
  <c r="AG734" i="95"/>
  <c r="Z735" i="95"/>
  <c r="AA735" i="95"/>
  <c r="AF735" i="95"/>
  <c r="AG735" i="95"/>
  <c r="Z736" i="95"/>
  <c r="AA736" i="95"/>
  <c r="AF736" i="95"/>
  <c r="AG736" i="95"/>
  <c r="Z737" i="95"/>
  <c r="AA737" i="95"/>
  <c r="AF737" i="95"/>
  <c r="AG737" i="95"/>
  <c r="Z738" i="95"/>
  <c r="AA738" i="95"/>
  <c r="AF738" i="95"/>
  <c r="AG738" i="95"/>
  <c r="Z739" i="95"/>
  <c r="AA739" i="95"/>
  <c r="AF739" i="95"/>
  <c r="AG739" i="95"/>
  <c r="Z740" i="95"/>
  <c r="AA740" i="95"/>
  <c r="AF740" i="95"/>
  <c r="AG740" i="95"/>
  <c r="Z741" i="95"/>
  <c r="AA741" i="95"/>
  <c r="AF741" i="95"/>
  <c r="AG741" i="95"/>
  <c r="Z742" i="95"/>
  <c r="AA742" i="95"/>
  <c r="AF742" i="95"/>
  <c r="AG742" i="95"/>
  <c r="Z743" i="95"/>
  <c r="AA743" i="95"/>
  <c r="AF743" i="95"/>
  <c r="AG743" i="95"/>
  <c r="Z744" i="95"/>
  <c r="AA744" i="95"/>
  <c r="AF744" i="95"/>
  <c r="AG744" i="95"/>
  <c r="Z745" i="95"/>
  <c r="AA745" i="95"/>
  <c r="AF745" i="95"/>
  <c r="AG745" i="95"/>
  <c r="Z746" i="95"/>
  <c r="AA746" i="95"/>
  <c r="AF746" i="95"/>
  <c r="AG746" i="95"/>
  <c r="Z747" i="95"/>
  <c r="AA747" i="95"/>
  <c r="AF747" i="95"/>
  <c r="AG747" i="95"/>
  <c r="Z748" i="95"/>
  <c r="AA748" i="95"/>
  <c r="AF748" i="95"/>
  <c r="AG748" i="95"/>
  <c r="Z749" i="95"/>
  <c r="AA749" i="95"/>
  <c r="AF749" i="95"/>
  <c r="AG749" i="95"/>
  <c r="Z750" i="95"/>
  <c r="AA750" i="95"/>
  <c r="AF750" i="95"/>
  <c r="AG750" i="95"/>
  <c r="Z751" i="95"/>
  <c r="AA751" i="95"/>
  <c r="AF751" i="95"/>
  <c r="AG751" i="95"/>
  <c r="Z752" i="95"/>
  <c r="AA752" i="95"/>
  <c r="AF752" i="95"/>
  <c r="AG752" i="95"/>
  <c r="Z753" i="95"/>
  <c r="AA753" i="95"/>
  <c r="AF753" i="95"/>
  <c r="AG753" i="95"/>
  <c r="Z754" i="95"/>
  <c r="AA754" i="95"/>
  <c r="AF754" i="95"/>
  <c r="AG754" i="95"/>
  <c r="Z755" i="95"/>
  <c r="AA755" i="95"/>
  <c r="AF755" i="95"/>
  <c r="AG755" i="95"/>
  <c r="Z756" i="95"/>
  <c r="AA756" i="95"/>
  <c r="AF756" i="95"/>
  <c r="AG756" i="95"/>
  <c r="Z757" i="95"/>
  <c r="AA757" i="95"/>
  <c r="AF757" i="95"/>
  <c r="AG757" i="95"/>
  <c r="Z758" i="95"/>
  <c r="AA758" i="95"/>
  <c r="AF758" i="95"/>
  <c r="AG758" i="95"/>
  <c r="Z759" i="95"/>
  <c r="AA759" i="95"/>
  <c r="AF759" i="95"/>
  <c r="AG759" i="95"/>
  <c r="Z760" i="95"/>
  <c r="AA760" i="95"/>
  <c r="AF760" i="95"/>
  <c r="AG760" i="95"/>
  <c r="Z761" i="95"/>
  <c r="AA761" i="95"/>
  <c r="AF761" i="95"/>
  <c r="AG761" i="95"/>
  <c r="Z762" i="95"/>
  <c r="AA762" i="95"/>
  <c r="AF762" i="95"/>
  <c r="AG762" i="95"/>
  <c r="Z763" i="95"/>
  <c r="AA763" i="95"/>
  <c r="AF763" i="95"/>
  <c r="AG763" i="95"/>
  <c r="Z764" i="95"/>
  <c r="AA764" i="95"/>
  <c r="AF764" i="95"/>
  <c r="AG764" i="95"/>
  <c r="Z765" i="95"/>
  <c r="AA765" i="95"/>
  <c r="AF765" i="95"/>
  <c r="AG765" i="95"/>
  <c r="Z766" i="95"/>
  <c r="AA766" i="95"/>
  <c r="AF766" i="95"/>
  <c r="AG766" i="95"/>
  <c r="Z767" i="95"/>
  <c r="AA767" i="95"/>
  <c r="AF767" i="95"/>
  <c r="AG767" i="95"/>
  <c r="Z768" i="95"/>
  <c r="AA768" i="95"/>
  <c r="AF768" i="95"/>
  <c r="AG768" i="95"/>
  <c r="Z769" i="95"/>
  <c r="AA769" i="95"/>
  <c r="AF769" i="95"/>
  <c r="AG769" i="95"/>
  <c r="Z770" i="95"/>
  <c r="AA770" i="95"/>
  <c r="AF770" i="95"/>
  <c r="AG770" i="95"/>
  <c r="Z771" i="95"/>
  <c r="AA771" i="95"/>
  <c r="AF771" i="95"/>
  <c r="AG771" i="95"/>
  <c r="Z772" i="95"/>
  <c r="AA772" i="95"/>
  <c r="AF772" i="95"/>
  <c r="AG772" i="95"/>
  <c r="Z773" i="95"/>
  <c r="AA773" i="95"/>
  <c r="AF773" i="95"/>
  <c r="AG773" i="95"/>
  <c r="Z774" i="95"/>
  <c r="AA774" i="95"/>
  <c r="AF774" i="95"/>
  <c r="AG774" i="95"/>
  <c r="Z775" i="95"/>
  <c r="AA775" i="95"/>
  <c r="AF775" i="95"/>
  <c r="AG775" i="95"/>
  <c r="Z776" i="95"/>
  <c r="AA776" i="95"/>
  <c r="AF776" i="95"/>
  <c r="AG776" i="95"/>
  <c r="Z777" i="95"/>
  <c r="AA777" i="95"/>
  <c r="AF777" i="95"/>
  <c r="AG777" i="95"/>
  <c r="Z778" i="95"/>
  <c r="AA778" i="95"/>
  <c r="AF778" i="95"/>
  <c r="AG778" i="95"/>
  <c r="Z779" i="95"/>
  <c r="AA779" i="95"/>
  <c r="AF779" i="95"/>
  <c r="AG779" i="95"/>
  <c r="Z780" i="95"/>
  <c r="AA780" i="95"/>
  <c r="AF780" i="95"/>
  <c r="AG780" i="95"/>
  <c r="Z781" i="95"/>
  <c r="AA781" i="95"/>
  <c r="AF781" i="95"/>
  <c r="AG781" i="95"/>
  <c r="Z782" i="95"/>
  <c r="AA782" i="95"/>
  <c r="AF782" i="95"/>
  <c r="AG782" i="95"/>
  <c r="Z783" i="95"/>
  <c r="AA783" i="95"/>
  <c r="AF783" i="95"/>
  <c r="AG783" i="95"/>
  <c r="Z784" i="95"/>
  <c r="AA784" i="95"/>
  <c r="AF784" i="95"/>
  <c r="AG784" i="95"/>
  <c r="Z785" i="95"/>
  <c r="AA785" i="95"/>
  <c r="AF785" i="95"/>
  <c r="AG785" i="95"/>
  <c r="Z786" i="95"/>
  <c r="AA786" i="95"/>
  <c r="AF786" i="95"/>
  <c r="AG786" i="95"/>
  <c r="Z787" i="95"/>
  <c r="AA787" i="95"/>
  <c r="AF787" i="95"/>
  <c r="AG787" i="95"/>
  <c r="Z788" i="95"/>
  <c r="AA788" i="95"/>
  <c r="AF788" i="95"/>
  <c r="AG788" i="95"/>
  <c r="Z789" i="95"/>
  <c r="AA789" i="95"/>
  <c r="AF789" i="95"/>
  <c r="AG789" i="95"/>
  <c r="Z790" i="95"/>
  <c r="AA790" i="95"/>
  <c r="AF790" i="95"/>
  <c r="AG790" i="95"/>
  <c r="Z791" i="95"/>
  <c r="AA791" i="95"/>
  <c r="AF791" i="95"/>
  <c r="AG791" i="95"/>
  <c r="Z792" i="95"/>
  <c r="AA792" i="95"/>
  <c r="AF792" i="95"/>
  <c r="AG792" i="95"/>
  <c r="Z793" i="95"/>
  <c r="AA793" i="95"/>
  <c r="AF793" i="95"/>
  <c r="AG793" i="95"/>
  <c r="Z794" i="95"/>
  <c r="AA794" i="95"/>
  <c r="AF794" i="95"/>
  <c r="AG794" i="95"/>
  <c r="Z795" i="95"/>
  <c r="AA795" i="95"/>
  <c r="AF795" i="95"/>
  <c r="AG795" i="95"/>
  <c r="Z796" i="95"/>
  <c r="AA796" i="95"/>
  <c r="AF796" i="95"/>
  <c r="AG796" i="95"/>
  <c r="Z797" i="95"/>
  <c r="AA797" i="95"/>
  <c r="AF797" i="95"/>
  <c r="AG797" i="95"/>
  <c r="Z798" i="95"/>
  <c r="AA798" i="95"/>
  <c r="AF798" i="95"/>
  <c r="AG798" i="95"/>
  <c r="Z799" i="95"/>
  <c r="AA799" i="95"/>
  <c r="AF799" i="95"/>
  <c r="AG799" i="95"/>
  <c r="Z800" i="95"/>
  <c r="AA800" i="95"/>
  <c r="AF800" i="95"/>
  <c r="AG800" i="95"/>
  <c r="Z801" i="95"/>
  <c r="AA801" i="95"/>
  <c r="AF801" i="95"/>
  <c r="AG801" i="95"/>
  <c r="Z802" i="95"/>
  <c r="AA802" i="95"/>
  <c r="AF802" i="95"/>
  <c r="AG802" i="95"/>
  <c r="Z803" i="95"/>
  <c r="AA803" i="95"/>
  <c r="AF803" i="95"/>
  <c r="AG803" i="95"/>
  <c r="Z804" i="95"/>
  <c r="AA804" i="95"/>
  <c r="AF804" i="95"/>
  <c r="AG804" i="95"/>
  <c r="Z805" i="95"/>
  <c r="AA805" i="95"/>
  <c r="AF805" i="95"/>
  <c r="AG805" i="95"/>
  <c r="Z806" i="95"/>
  <c r="AA806" i="95"/>
  <c r="AF806" i="95"/>
  <c r="AG806" i="95"/>
  <c r="Z807" i="95"/>
  <c r="AA807" i="95"/>
  <c r="AF807" i="95"/>
  <c r="AG807" i="95"/>
  <c r="Z808" i="95"/>
  <c r="AA808" i="95"/>
  <c r="AF808" i="95"/>
  <c r="AG808" i="95"/>
  <c r="Z809" i="95"/>
  <c r="AA809" i="95"/>
  <c r="AF809" i="95"/>
  <c r="AG809" i="95"/>
  <c r="Z810" i="95"/>
  <c r="AA810" i="95"/>
  <c r="AF810" i="95"/>
  <c r="AG810" i="95"/>
  <c r="Z811" i="95"/>
  <c r="AA811" i="95"/>
  <c r="AF811" i="95"/>
  <c r="AG811" i="95"/>
  <c r="Z812" i="95"/>
  <c r="AA812" i="95"/>
  <c r="AF812" i="95"/>
  <c r="AG812" i="95"/>
  <c r="Z813" i="95"/>
  <c r="AA813" i="95"/>
  <c r="AF813" i="95"/>
  <c r="AG813" i="95"/>
  <c r="Z814" i="95"/>
  <c r="AA814" i="95"/>
  <c r="AF814" i="95"/>
  <c r="AG814" i="95"/>
  <c r="Z815" i="95"/>
  <c r="AA815" i="95"/>
  <c r="AF815" i="95"/>
  <c r="AG815" i="95"/>
  <c r="Z816" i="95"/>
  <c r="AA816" i="95"/>
  <c r="AF816" i="95"/>
  <c r="AG816" i="95"/>
  <c r="Z817" i="95"/>
  <c r="AA817" i="95"/>
  <c r="AF817" i="95"/>
  <c r="AG817" i="95"/>
  <c r="Z818" i="95"/>
  <c r="AA818" i="95"/>
  <c r="AF818" i="95"/>
  <c r="AG818" i="95"/>
  <c r="Z819" i="95"/>
  <c r="AA819" i="95"/>
  <c r="AF819" i="95"/>
  <c r="AG819" i="95"/>
  <c r="Z820" i="95"/>
  <c r="AA820" i="95"/>
  <c r="AF820" i="95"/>
  <c r="AG820" i="95"/>
  <c r="Z821" i="95"/>
  <c r="AA821" i="95"/>
  <c r="AF821" i="95"/>
  <c r="AG821" i="95"/>
  <c r="Z822" i="95"/>
  <c r="AA822" i="95"/>
  <c r="AF822" i="95"/>
  <c r="AG822" i="95"/>
  <c r="Z823" i="95"/>
  <c r="AA823" i="95"/>
  <c r="AF823" i="95"/>
  <c r="AG823" i="95"/>
  <c r="Z824" i="95"/>
  <c r="AA824" i="95"/>
  <c r="AF824" i="95"/>
  <c r="AG824" i="95"/>
  <c r="Z825" i="95"/>
  <c r="AA825" i="95"/>
  <c r="AF825" i="95"/>
  <c r="AG825" i="95"/>
  <c r="Z826" i="95"/>
  <c r="AA826" i="95"/>
  <c r="AF826" i="95"/>
  <c r="AG826" i="95"/>
  <c r="Z827" i="95"/>
  <c r="AA827" i="95"/>
  <c r="AF827" i="95"/>
  <c r="AG827" i="95"/>
  <c r="Z828" i="95"/>
  <c r="AA828" i="95"/>
  <c r="AF828" i="95"/>
  <c r="AG828" i="95"/>
  <c r="Z829" i="95"/>
  <c r="AA829" i="95"/>
  <c r="AF829" i="95"/>
  <c r="AG829" i="95"/>
  <c r="Z830" i="95"/>
  <c r="AA830" i="95"/>
  <c r="AF830" i="95"/>
  <c r="AG830" i="95"/>
  <c r="Z831" i="95"/>
  <c r="AA831" i="95"/>
  <c r="AF831" i="95"/>
  <c r="AG831" i="95"/>
  <c r="Z832" i="95"/>
  <c r="AA832" i="95"/>
  <c r="AF832" i="95"/>
  <c r="AG832" i="95"/>
  <c r="Z833" i="95"/>
  <c r="AA833" i="95"/>
  <c r="AF833" i="95"/>
  <c r="AG833" i="95"/>
  <c r="Z834" i="95"/>
  <c r="AA834" i="95"/>
  <c r="AF834" i="95"/>
  <c r="AG834" i="95"/>
  <c r="Z835" i="95"/>
  <c r="AA835" i="95"/>
  <c r="AF835" i="95"/>
  <c r="AG835" i="95"/>
  <c r="Z836" i="95"/>
  <c r="AA836" i="95"/>
  <c r="AF836" i="95"/>
  <c r="AG836" i="95"/>
  <c r="Z837" i="95"/>
  <c r="AA837" i="95"/>
  <c r="AF837" i="95"/>
  <c r="AG837" i="95"/>
  <c r="Z838" i="95"/>
  <c r="AA838" i="95"/>
  <c r="AF838" i="95"/>
  <c r="AG838" i="95"/>
  <c r="Z839" i="95"/>
  <c r="AA839" i="95"/>
  <c r="AF839" i="95"/>
  <c r="AG839" i="95"/>
  <c r="Z840" i="95"/>
  <c r="AA840" i="95"/>
  <c r="AF840" i="95"/>
  <c r="AG840" i="95"/>
  <c r="Z841" i="95"/>
  <c r="AA841" i="95"/>
  <c r="AF841" i="95"/>
  <c r="AG841" i="95"/>
  <c r="Z842" i="95"/>
  <c r="AA842" i="95"/>
  <c r="AF842" i="95"/>
  <c r="AG842" i="95"/>
  <c r="Z843" i="95"/>
  <c r="AA843" i="95"/>
  <c r="AF843" i="95"/>
  <c r="AG843" i="95"/>
  <c r="Z844" i="95"/>
  <c r="AA844" i="95"/>
  <c r="AF844" i="95"/>
  <c r="AG844" i="95"/>
  <c r="Z845" i="95"/>
  <c r="AA845" i="95"/>
  <c r="AF845" i="95"/>
  <c r="AG845" i="95"/>
  <c r="Z846" i="95"/>
  <c r="AA846" i="95"/>
  <c r="AF846" i="95"/>
  <c r="AG846" i="95"/>
  <c r="Z847" i="95"/>
  <c r="AA847" i="95"/>
  <c r="AF847" i="95"/>
  <c r="AG847" i="95"/>
  <c r="Z848" i="95"/>
  <c r="AA848" i="95"/>
  <c r="AF848" i="95"/>
  <c r="AG848" i="95"/>
  <c r="Z849" i="95"/>
  <c r="AA849" i="95"/>
  <c r="AF849" i="95"/>
  <c r="AG849" i="95"/>
  <c r="Z850" i="95"/>
  <c r="AA850" i="95"/>
  <c r="AF850" i="95"/>
  <c r="AG850" i="95"/>
  <c r="Z851" i="95"/>
  <c r="AA851" i="95"/>
  <c r="AF851" i="95"/>
  <c r="AG851" i="95"/>
  <c r="Z852" i="95"/>
  <c r="AA852" i="95"/>
  <c r="AF852" i="95"/>
  <c r="AG852" i="95"/>
  <c r="Z853" i="95"/>
  <c r="AA853" i="95"/>
  <c r="AF853" i="95"/>
  <c r="AG853" i="95"/>
  <c r="Z854" i="95"/>
  <c r="AA854" i="95"/>
  <c r="AF854" i="95"/>
  <c r="AG854" i="95"/>
  <c r="Z855" i="95"/>
  <c r="AA855" i="95"/>
  <c r="AF855" i="95"/>
  <c r="AG855" i="95"/>
  <c r="Z856" i="95"/>
  <c r="AA856" i="95"/>
  <c r="AF856" i="95"/>
  <c r="AG856" i="95"/>
  <c r="Z857" i="95"/>
  <c r="AA857" i="95"/>
  <c r="AF857" i="95"/>
  <c r="AG857" i="95"/>
  <c r="Z858" i="95"/>
  <c r="AA858" i="95"/>
  <c r="AF858" i="95"/>
  <c r="AG858" i="95"/>
  <c r="Z859" i="95"/>
  <c r="AA859" i="95"/>
  <c r="AF859" i="95"/>
  <c r="AG859" i="95"/>
  <c r="Z860" i="95"/>
  <c r="AA860" i="95"/>
  <c r="AF860" i="95"/>
  <c r="AG860" i="95"/>
  <c r="Z861" i="95"/>
  <c r="AA861" i="95"/>
  <c r="AF861" i="95"/>
  <c r="AG861" i="95"/>
  <c r="Z862" i="95"/>
  <c r="AA862" i="95"/>
  <c r="AF862" i="95"/>
  <c r="AG862" i="95"/>
  <c r="Z863" i="95"/>
  <c r="AA863" i="95"/>
  <c r="AF863" i="95"/>
  <c r="AG863" i="95"/>
  <c r="Z864" i="95"/>
  <c r="AA864" i="95"/>
  <c r="AF864" i="95"/>
  <c r="AG864" i="95"/>
  <c r="Z865" i="95"/>
  <c r="AA865" i="95"/>
  <c r="AF865" i="95"/>
  <c r="AG865" i="95"/>
  <c r="Z866" i="95"/>
  <c r="AA866" i="95"/>
  <c r="AF866" i="95"/>
  <c r="AG866" i="95"/>
  <c r="Z867" i="95"/>
  <c r="AA867" i="95"/>
  <c r="AF867" i="95"/>
  <c r="AG867" i="95"/>
  <c r="Z868" i="95"/>
  <c r="AA868" i="95"/>
  <c r="AF868" i="95"/>
  <c r="AG868" i="95"/>
  <c r="Z869" i="95"/>
  <c r="AA869" i="95"/>
  <c r="AF869" i="95"/>
  <c r="AG869" i="95"/>
  <c r="Z870" i="95"/>
  <c r="AA870" i="95"/>
  <c r="AF870" i="95"/>
  <c r="AG870" i="95"/>
  <c r="Z871" i="95"/>
  <c r="AA871" i="95"/>
  <c r="AF871" i="95"/>
  <c r="AG871" i="95"/>
  <c r="Z872" i="95"/>
  <c r="AA872" i="95"/>
  <c r="AF872" i="95"/>
  <c r="AG872" i="95"/>
  <c r="Z873" i="95"/>
  <c r="AA873" i="95"/>
  <c r="AF873" i="95"/>
  <c r="AG873" i="95"/>
  <c r="Z874" i="95"/>
  <c r="AA874" i="95"/>
  <c r="AF874" i="95"/>
  <c r="AG874" i="95"/>
  <c r="Z875" i="95"/>
  <c r="AA875" i="95"/>
  <c r="AF875" i="95"/>
  <c r="AG875" i="95"/>
  <c r="Z876" i="95"/>
  <c r="AA876" i="95"/>
  <c r="AF876" i="95"/>
  <c r="AG876" i="95"/>
  <c r="Z877" i="95"/>
  <c r="AA877" i="95"/>
  <c r="AF877" i="95"/>
  <c r="AG877" i="95"/>
  <c r="Z878" i="95"/>
  <c r="AA878" i="95"/>
  <c r="AF878" i="95"/>
  <c r="AG878" i="95"/>
  <c r="Z879" i="95"/>
  <c r="AA879" i="95"/>
  <c r="AF879" i="95"/>
  <c r="AG879" i="95"/>
  <c r="Z880" i="95"/>
  <c r="AA880" i="95"/>
  <c r="AF880" i="95"/>
  <c r="AG880" i="95"/>
  <c r="Z881" i="95"/>
  <c r="AA881" i="95"/>
  <c r="AF881" i="95"/>
  <c r="AG881" i="95"/>
  <c r="Z882" i="95"/>
  <c r="AA882" i="95"/>
  <c r="AF882" i="95"/>
  <c r="AG882" i="95"/>
  <c r="Z883" i="95"/>
  <c r="AA883" i="95"/>
  <c r="AF883" i="95"/>
  <c r="AG883" i="95"/>
  <c r="Z884" i="95"/>
  <c r="AA884" i="95"/>
  <c r="AF884" i="95"/>
  <c r="AG884" i="95"/>
  <c r="Z885" i="95"/>
  <c r="AA885" i="95"/>
  <c r="AF885" i="95"/>
  <c r="AG885" i="95"/>
  <c r="Z886" i="95"/>
  <c r="AA886" i="95"/>
  <c r="AF886" i="95"/>
  <c r="AG886" i="95"/>
  <c r="Z887" i="95"/>
  <c r="AA887" i="95"/>
  <c r="AF887" i="95"/>
  <c r="AG887" i="95"/>
  <c r="Z888" i="95"/>
  <c r="AA888" i="95"/>
  <c r="AF888" i="95"/>
  <c r="AG888" i="95"/>
  <c r="Z889" i="95"/>
  <c r="AA889" i="95"/>
  <c r="AF889" i="95"/>
  <c r="AG889" i="95"/>
  <c r="Z890" i="95"/>
  <c r="AA890" i="95"/>
  <c r="AF890" i="95"/>
  <c r="AG890" i="95"/>
  <c r="Z891" i="95"/>
  <c r="AA891" i="95"/>
  <c r="AF891" i="95"/>
  <c r="AG891" i="95"/>
  <c r="Z892" i="95"/>
  <c r="AA892" i="95"/>
  <c r="AF892" i="95"/>
  <c r="AG892" i="95"/>
  <c r="Z893" i="95"/>
  <c r="AA893" i="95"/>
  <c r="AF893" i="95"/>
  <c r="AG893" i="95"/>
  <c r="Z894" i="95"/>
  <c r="AA894" i="95"/>
  <c r="AF894" i="95"/>
  <c r="AG894" i="95"/>
  <c r="Z895" i="95"/>
  <c r="AA895" i="95"/>
  <c r="AF895" i="95"/>
  <c r="AG895" i="95"/>
  <c r="Z896" i="95"/>
  <c r="AA896" i="95"/>
  <c r="AF896" i="95"/>
  <c r="AG896" i="95"/>
  <c r="Z897" i="95"/>
  <c r="AA897" i="95"/>
  <c r="AF897" i="95"/>
  <c r="AG897" i="95"/>
  <c r="Z898" i="95"/>
  <c r="AA898" i="95"/>
  <c r="AF898" i="95"/>
  <c r="AG898" i="95"/>
  <c r="Z899" i="95"/>
  <c r="AA899" i="95"/>
  <c r="AF899" i="95"/>
  <c r="AG899" i="95"/>
  <c r="Z900" i="95"/>
  <c r="AA900" i="95"/>
  <c r="AF900" i="95"/>
  <c r="AG900" i="95"/>
  <c r="Z901" i="95"/>
  <c r="AA901" i="95"/>
  <c r="AF901" i="95"/>
  <c r="AG901" i="95"/>
  <c r="Z902" i="95"/>
  <c r="AA902" i="95"/>
  <c r="AF902" i="95"/>
  <c r="AG902" i="95"/>
  <c r="Z903" i="95"/>
  <c r="AA903" i="95"/>
  <c r="AF903" i="95"/>
  <c r="AG903" i="95"/>
  <c r="Z904" i="95"/>
  <c r="AA904" i="95"/>
  <c r="AF904" i="95"/>
  <c r="AG904" i="95"/>
  <c r="Z905" i="95"/>
  <c r="AA905" i="95"/>
  <c r="AF905" i="95"/>
  <c r="AG905" i="95"/>
  <c r="Z906" i="95"/>
  <c r="AA906" i="95"/>
  <c r="AF906" i="95"/>
  <c r="AG906" i="95"/>
  <c r="Z907" i="95"/>
  <c r="AA907" i="95"/>
  <c r="AF907" i="95"/>
  <c r="AG907" i="95"/>
  <c r="Z908" i="95"/>
  <c r="AA908" i="95"/>
  <c r="AF908" i="95"/>
  <c r="AG908" i="95"/>
  <c r="Z909" i="95"/>
  <c r="AA909" i="95"/>
  <c r="AF909" i="95"/>
  <c r="AG909" i="95"/>
  <c r="Z910" i="95"/>
  <c r="AA910" i="95"/>
  <c r="AF910" i="95"/>
  <c r="AG910" i="95"/>
  <c r="Z911" i="95"/>
  <c r="AA911" i="95"/>
  <c r="AF911" i="95"/>
  <c r="AG911" i="95"/>
  <c r="Z912" i="95"/>
  <c r="AA912" i="95"/>
  <c r="AF912" i="95"/>
  <c r="AG912" i="95"/>
  <c r="Z913" i="95"/>
  <c r="AA913" i="95"/>
  <c r="AF913" i="95"/>
  <c r="AG913" i="95"/>
  <c r="Z914" i="95"/>
  <c r="AA914" i="95"/>
  <c r="AF914" i="95"/>
  <c r="AG914" i="95"/>
  <c r="Z915" i="95"/>
  <c r="AA915" i="95"/>
  <c r="AF915" i="95"/>
  <c r="AG915" i="95"/>
  <c r="Z916" i="95"/>
  <c r="AA916" i="95"/>
  <c r="AF916" i="95"/>
  <c r="AG916" i="95"/>
  <c r="Z917" i="95"/>
  <c r="AA917" i="95"/>
  <c r="AF917" i="95"/>
  <c r="AG917" i="95"/>
  <c r="Z918" i="95"/>
  <c r="AA918" i="95"/>
  <c r="AF918" i="95"/>
  <c r="AG918" i="95"/>
  <c r="Z919" i="95"/>
  <c r="AA919" i="95"/>
  <c r="AF919" i="95"/>
  <c r="AG919" i="95"/>
  <c r="Z920" i="95"/>
  <c r="AA920" i="95"/>
  <c r="AF920" i="95"/>
  <c r="AG920" i="95"/>
  <c r="Z921" i="95"/>
  <c r="AA921" i="95"/>
  <c r="AF921" i="95"/>
  <c r="AG921" i="95"/>
  <c r="D7" i="99"/>
  <c r="R7" i="99"/>
  <c r="S7" i="99"/>
  <c r="V7" i="99"/>
  <c r="W7" i="99"/>
  <c r="X7" i="99"/>
  <c r="D9" i="99"/>
  <c r="R9" i="99"/>
  <c r="S9" i="99"/>
  <c r="V9" i="99"/>
  <c r="W9" i="99"/>
  <c r="X9" i="99"/>
  <c r="D11" i="99"/>
  <c r="R11" i="99"/>
  <c r="S11" i="99"/>
  <c r="V11" i="99"/>
  <c r="W11" i="99"/>
  <c r="X11" i="99"/>
  <c r="D13" i="99"/>
  <c r="R13" i="99"/>
  <c r="S13" i="99"/>
  <c r="V13" i="99"/>
  <c r="W13" i="99"/>
  <c r="X13" i="99"/>
  <c r="D14" i="99"/>
  <c r="R14" i="99"/>
  <c r="S14" i="99"/>
  <c r="V14" i="99"/>
  <c r="W14" i="99"/>
  <c r="X14" i="99"/>
  <c r="D15" i="99"/>
  <c r="R15" i="99"/>
  <c r="S15" i="99"/>
  <c r="V15" i="99"/>
  <c r="W15" i="99"/>
  <c r="X15" i="99"/>
  <c r="Y2" i="88"/>
  <c r="AD2" i="88"/>
  <c r="AJ2" i="88"/>
  <c r="Y3" i="88"/>
  <c r="AD3" i="88"/>
  <c r="AJ3" i="88"/>
  <c r="Y4" i="88"/>
  <c r="AD4" i="88"/>
  <c r="Y5" i="88"/>
  <c r="AD5" i="88"/>
  <c r="AJ5" i="88"/>
  <c r="Y6" i="88"/>
  <c r="AD6" i="88"/>
  <c r="AJ6" i="88"/>
  <c r="Y7" i="88"/>
  <c r="AD7" i="88"/>
  <c r="AJ7" i="88"/>
  <c r="Y8" i="88"/>
  <c r="AD8" i="88"/>
  <c r="AJ8" i="88"/>
  <c r="Y9" i="88"/>
  <c r="AD9" i="88"/>
  <c r="Y10" i="88"/>
  <c r="AD10" i="88"/>
  <c r="Y11" i="88"/>
  <c r="AD11" i="88"/>
  <c r="Y12" i="88"/>
  <c r="AD12" i="88"/>
  <c r="Y13" i="88"/>
  <c r="AD13" i="88"/>
  <c r="Y14" i="88"/>
  <c r="Z14" i="88"/>
  <c r="AD14" i="88"/>
  <c r="AE14" i="88"/>
  <c r="Y15" i="88"/>
  <c r="Z15" i="88"/>
  <c r="AD15" i="88"/>
  <c r="AE15" i="88"/>
  <c r="Y16" i="88"/>
  <c r="Z16" i="88"/>
  <c r="AD16" i="88"/>
  <c r="AE16" i="88"/>
  <c r="Y17" i="88"/>
  <c r="Z17" i="88"/>
  <c r="AD17" i="88"/>
  <c r="AE17" i="88"/>
  <c r="Y18" i="88"/>
  <c r="Z18" i="88"/>
  <c r="AD18" i="88"/>
  <c r="AE18" i="88"/>
  <c r="Y19" i="88"/>
  <c r="Z19" i="88"/>
  <c r="AD19" i="88"/>
  <c r="AE19" i="88"/>
  <c r="Y20" i="88"/>
  <c r="Z20" i="88"/>
  <c r="AD20" i="88"/>
  <c r="AE20" i="88"/>
  <c r="Y21" i="88"/>
  <c r="Z21" i="88"/>
  <c r="AD21" i="88"/>
  <c r="AE21" i="88"/>
  <c r="Y22" i="88"/>
  <c r="Z22" i="88"/>
  <c r="AD22" i="88"/>
  <c r="AE22" i="88"/>
  <c r="Y23" i="88"/>
  <c r="Z23" i="88"/>
  <c r="AD23" i="88"/>
  <c r="AE23" i="88"/>
  <c r="Y24" i="88"/>
  <c r="Z24" i="88"/>
  <c r="AD24" i="88"/>
  <c r="AE24" i="88"/>
  <c r="Y25" i="88"/>
  <c r="Z25" i="88"/>
  <c r="AD25" i="88"/>
  <c r="AE25" i="88"/>
  <c r="Z26" i="88"/>
  <c r="AE26" i="88"/>
  <c r="Z27" i="88"/>
  <c r="AE27" i="88"/>
  <c r="Z28" i="88"/>
  <c r="AE28" i="88"/>
  <c r="Z29" i="88"/>
  <c r="AE29" i="88"/>
  <c r="Z30" i="88"/>
  <c r="AE30" i="88"/>
  <c r="Z31" i="88"/>
  <c r="AE31" i="88"/>
  <c r="Z32" i="88"/>
  <c r="AE32" i="88"/>
  <c r="Z33" i="88"/>
  <c r="AE33" i="88"/>
  <c r="Z34" i="88"/>
  <c r="AE34" i="88"/>
  <c r="Z35" i="88"/>
  <c r="AE35" i="88"/>
  <c r="Z36" i="88"/>
  <c r="AE36" i="88"/>
  <c r="Z37" i="88"/>
  <c r="AE37" i="88"/>
  <c r="Y38" i="88"/>
  <c r="Z38" i="88"/>
  <c r="AD38" i="88"/>
  <c r="AE38" i="88"/>
  <c r="Y39" i="88"/>
  <c r="Z39" i="88"/>
  <c r="AD39" i="88"/>
  <c r="AE39" i="88"/>
  <c r="Y40" i="88"/>
  <c r="Z40" i="88"/>
  <c r="AD40" i="88"/>
  <c r="AE40" i="88"/>
  <c r="Y41" i="88"/>
  <c r="Z41" i="88"/>
  <c r="AD41" i="88"/>
  <c r="AE41" i="88"/>
  <c r="Y42" i="88"/>
  <c r="Z42" i="88"/>
  <c r="AD42" i="88"/>
  <c r="AE42" i="88"/>
  <c r="Y43" i="88"/>
  <c r="Z43" i="88"/>
  <c r="AD43" i="88"/>
  <c r="AE43" i="88"/>
  <c r="Y44" i="88"/>
  <c r="Z44" i="88"/>
  <c r="AD44" i="88"/>
  <c r="AE44" i="88"/>
  <c r="Y45" i="88"/>
  <c r="Z45" i="88"/>
  <c r="AD45" i="88"/>
  <c r="AE45" i="88"/>
  <c r="Y46" i="88"/>
  <c r="Z46" i="88"/>
  <c r="AD46" i="88"/>
  <c r="AE46" i="88"/>
  <c r="Y47" i="88"/>
  <c r="Z47" i="88"/>
  <c r="AD47" i="88"/>
  <c r="AE47" i="88"/>
  <c r="Y48" i="88"/>
  <c r="Z48" i="88"/>
  <c r="AD48" i="88"/>
  <c r="AE48" i="88"/>
  <c r="Y49" i="88"/>
  <c r="Z49" i="88"/>
  <c r="AD49" i="88"/>
  <c r="AE49" i="88"/>
  <c r="Y50" i="88"/>
  <c r="Z50" i="88"/>
  <c r="AD50" i="88"/>
  <c r="AE50" i="88"/>
  <c r="Y51" i="88"/>
  <c r="Z51" i="88"/>
  <c r="AD51" i="88"/>
  <c r="AE51" i="88"/>
  <c r="Y52" i="88"/>
  <c r="Z52" i="88"/>
  <c r="AD52" i="88"/>
  <c r="AE52" i="88"/>
  <c r="Y53" i="88"/>
  <c r="Z53" i="88"/>
  <c r="AD53" i="88"/>
  <c r="AE53" i="88"/>
  <c r="Y54" i="88"/>
  <c r="Z54" i="88"/>
  <c r="AD54" i="88"/>
  <c r="AE54" i="88"/>
  <c r="Y55" i="88"/>
  <c r="Z55" i="88"/>
  <c r="AD55" i="88"/>
  <c r="AE55" i="88"/>
  <c r="Y56" i="88"/>
  <c r="Z56" i="88"/>
  <c r="AD56" i="88"/>
  <c r="AE56" i="88"/>
  <c r="Y57" i="88"/>
  <c r="Z57" i="88"/>
  <c r="AD57" i="88"/>
  <c r="AE57" i="88"/>
  <c r="Y58" i="88"/>
  <c r="Z58" i="88"/>
  <c r="AD58" i="88"/>
  <c r="AE58" i="88"/>
  <c r="Y59" i="88"/>
  <c r="Z59" i="88"/>
  <c r="AD59" i="88"/>
  <c r="AE59" i="88"/>
  <c r="Y60" i="88"/>
  <c r="Z60" i="88"/>
  <c r="AD60" i="88"/>
  <c r="AE60" i="88"/>
  <c r="Y61" i="88"/>
  <c r="Z61" i="88"/>
  <c r="AD61" i="88"/>
  <c r="AE61" i="88"/>
  <c r="Y62" i="88"/>
  <c r="Z62" i="88"/>
  <c r="AD62" i="88"/>
  <c r="AE62" i="88"/>
  <c r="Y63" i="88"/>
  <c r="Z63" i="88"/>
  <c r="AD63" i="88"/>
  <c r="AE63" i="88"/>
  <c r="Y64" i="88"/>
  <c r="Z64" i="88"/>
  <c r="AD64" i="88"/>
  <c r="AE64" i="88"/>
  <c r="Y65" i="88"/>
  <c r="Z65" i="88"/>
  <c r="AD65" i="88"/>
  <c r="AE65" i="88"/>
  <c r="Y66" i="88"/>
  <c r="Z66" i="88"/>
  <c r="AD66" i="88"/>
  <c r="AE66" i="88"/>
  <c r="Y67" i="88"/>
  <c r="Z67" i="88"/>
  <c r="AD67" i="88"/>
  <c r="AE67" i="88"/>
  <c r="Y68" i="88"/>
  <c r="Z68" i="88"/>
  <c r="AD68" i="88"/>
  <c r="AE68" i="88"/>
  <c r="Y69" i="88"/>
  <c r="Z69" i="88"/>
  <c r="AD69" i="88"/>
  <c r="AE69" i="88"/>
  <c r="Y70" i="88"/>
  <c r="Z70" i="88"/>
  <c r="AD70" i="88"/>
  <c r="AE70" i="88"/>
  <c r="Y71" i="88"/>
  <c r="Z71" i="88"/>
  <c r="AD71" i="88"/>
  <c r="AE71" i="88"/>
  <c r="Y72" i="88"/>
  <c r="Z72" i="88"/>
  <c r="AD72" i="88"/>
  <c r="AE72" i="88"/>
  <c r="Y73" i="88"/>
  <c r="Z73" i="88"/>
  <c r="AD73" i="88"/>
  <c r="AE73" i="88"/>
  <c r="Y74" i="88"/>
  <c r="AD74" i="88"/>
  <c r="Y75" i="88"/>
  <c r="AD75" i="88"/>
  <c r="Y76" i="88"/>
  <c r="AD76" i="88"/>
  <c r="Y77" i="88"/>
  <c r="AD77" i="88"/>
  <c r="Y78" i="88"/>
  <c r="AD78" i="88"/>
  <c r="Y79" i="88"/>
  <c r="AD79" i="88"/>
  <c r="Y80" i="88"/>
  <c r="AD80" i="88"/>
  <c r="Y81" i="88"/>
  <c r="AD81" i="88"/>
  <c r="Y82" i="88"/>
  <c r="AD82" i="88"/>
  <c r="Y83" i="88"/>
  <c r="AD83" i="88"/>
  <c r="Y84" i="88"/>
  <c r="AD84" i="88"/>
  <c r="Y85" i="88"/>
  <c r="AD85" i="88"/>
  <c r="Y86" i="88"/>
  <c r="AD86" i="88"/>
  <c r="Y87" i="88"/>
  <c r="AD87" i="88"/>
  <c r="Y88" i="88"/>
  <c r="AD88" i="88"/>
  <c r="Y89" i="88"/>
  <c r="AD89" i="88"/>
  <c r="Y90" i="88"/>
  <c r="AD90" i="88"/>
  <c r="Y91" i="88"/>
  <c r="AD91" i="88"/>
  <c r="Y92" i="88"/>
  <c r="AD92" i="88"/>
  <c r="Y93" i="88"/>
  <c r="AD93" i="88"/>
  <c r="Y94" i="88"/>
  <c r="AD94" i="88"/>
  <c r="Y95" i="88"/>
  <c r="AD95" i="88"/>
  <c r="Y96" i="88"/>
  <c r="AD96" i="88"/>
  <c r="Y97" i="88"/>
  <c r="AD97" i="88"/>
  <c r="Z98" i="88"/>
  <c r="AE98" i="88"/>
  <c r="Z99" i="88"/>
  <c r="AE99" i="88"/>
  <c r="Z100" i="88"/>
  <c r="AE100" i="88"/>
  <c r="Z101" i="88"/>
  <c r="AE101" i="88"/>
  <c r="Z102" i="88"/>
  <c r="AE102" i="88"/>
  <c r="Z103" i="88"/>
  <c r="AE103" i="88"/>
  <c r="Z104" i="88"/>
  <c r="AE104" i="88"/>
  <c r="Z105" i="88"/>
  <c r="AE105" i="88"/>
  <c r="Z106" i="88"/>
  <c r="AE106" i="88"/>
  <c r="Z107" i="88"/>
  <c r="AE107" i="88"/>
  <c r="Z108" i="88"/>
  <c r="AE108" i="88"/>
  <c r="Z109" i="88"/>
  <c r="AE109" i="88"/>
  <c r="Y110" i="88"/>
  <c r="AD110" i="88"/>
  <c r="Y111" i="88"/>
  <c r="AD111" i="88"/>
  <c r="Y112" i="88"/>
  <c r="AD112" i="88"/>
  <c r="Y113" i="88"/>
  <c r="AD113" i="88"/>
  <c r="Y114" i="88"/>
  <c r="AD114" i="88"/>
  <c r="Y115" i="88"/>
  <c r="AD115" i="88"/>
  <c r="Y116" i="88"/>
  <c r="AD116" i="88"/>
  <c r="Y117" i="88"/>
  <c r="AD117" i="88"/>
  <c r="Y118" i="88"/>
  <c r="AD118" i="88"/>
  <c r="Y119" i="88"/>
  <c r="AD119" i="88"/>
  <c r="Y120" i="88"/>
  <c r="AD120" i="88"/>
  <c r="Y121" i="88"/>
  <c r="AD121" i="88"/>
  <c r="Z122" i="88"/>
  <c r="AE122" i="88"/>
  <c r="Z123" i="88"/>
  <c r="AE123" i="88"/>
  <c r="Z124" i="88"/>
  <c r="AE124" i="88"/>
  <c r="Z125" i="88"/>
  <c r="AE125" i="88"/>
  <c r="Z126" i="88"/>
  <c r="AE126" i="88"/>
  <c r="Z127" i="88"/>
  <c r="AE127" i="88"/>
  <c r="Z128" i="88"/>
  <c r="AE128" i="88"/>
  <c r="Z129" i="88"/>
  <c r="AE129" i="88"/>
  <c r="Z130" i="88"/>
  <c r="AE130" i="88"/>
  <c r="Z131" i="88"/>
  <c r="AE131" i="88"/>
  <c r="Z132" i="88"/>
  <c r="AE132" i="88"/>
  <c r="Z133" i="88"/>
  <c r="AE133" i="88"/>
  <c r="Z134" i="88"/>
  <c r="AE134" i="88"/>
  <c r="Z135" i="88"/>
  <c r="AE135" i="88"/>
  <c r="Z136" i="88"/>
  <c r="AE136" i="88"/>
  <c r="Z137" i="88"/>
  <c r="AE137" i="88"/>
  <c r="Z138" i="88"/>
  <c r="AE138" i="88"/>
  <c r="Z139" i="88"/>
  <c r="AE139" i="88"/>
  <c r="Z140" i="88"/>
  <c r="AE140" i="88"/>
  <c r="Z141" i="88"/>
  <c r="AE141" i="88"/>
  <c r="Z142" i="88"/>
  <c r="AE142" i="88"/>
  <c r="Z143" i="88"/>
  <c r="AE143" i="88"/>
  <c r="Z144" i="88"/>
  <c r="AE144" i="88"/>
  <c r="Z145" i="88"/>
  <c r="AE145" i="88"/>
  <c r="Z146" i="88"/>
  <c r="AE146" i="88"/>
  <c r="Z147" i="88"/>
  <c r="AE147" i="88"/>
  <c r="Z148" i="88"/>
  <c r="AE148" i="88"/>
  <c r="Z149" i="88"/>
  <c r="AE149" i="88"/>
  <c r="Z150" i="88"/>
  <c r="AE150" i="88"/>
  <c r="Z151" i="88"/>
  <c r="AE151" i="88"/>
  <c r="Z152" i="88"/>
  <c r="AE152" i="88"/>
  <c r="Z153" i="88"/>
  <c r="AE153" i="88"/>
  <c r="Z154" i="88"/>
  <c r="AE154" i="88"/>
  <c r="Z155" i="88"/>
  <c r="AE155" i="88"/>
  <c r="Z156" i="88"/>
  <c r="AE156" i="88"/>
  <c r="Z157" i="88"/>
  <c r="AE157" i="88"/>
  <c r="Z158" i="88"/>
  <c r="AE158" i="88"/>
  <c r="Z159" i="88"/>
  <c r="AE159" i="88"/>
  <c r="Z160" i="88"/>
  <c r="AE160" i="88"/>
  <c r="Z161" i="88"/>
  <c r="AE161" i="88"/>
  <c r="Z162" i="88"/>
  <c r="AE162" i="88"/>
  <c r="Z163" i="88"/>
  <c r="AE163" i="88"/>
  <c r="Z164" i="88"/>
  <c r="AE164" i="88"/>
  <c r="Z165" i="88"/>
  <c r="AE165" i="88"/>
  <c r="Z166" i="88"/>
  <c r="AE166" i="88"/>
  <c r="Z167" i="88"/>
  <c r="AE167" i="88"/>
  <c r="Z168" i="88"/>
  <c r="AE168" i="88"/>
  <c r="Y169" i="88"/>
  <c r="AD169" i="88"/>
  <c r="Y170" i="88"/>
  <c r="AD170" i="88"/>
  <c r="Y171" i="88"/>
  <c r="AD171" i="88"/>
  <c r="Y172" i="88"/>
  <c r="AD172" i="88"/>
  <c r="Y173" i="88"/>
  <c r="AD173" i="88"/>
  <c r="Y174" i="88"/>
  <c r="AD174" i="88"/>
  <c r="Y175" i="88"/>
  <c r="AD175" i="88"/>
  <c r="Y176" i="88"/>
  <c r="AD176" i="88"/>
  <c r="Y177" i="88"/>
  <c r="AD177" i="88"/>
  <c r="Y178" i="88"/>
  <c r="AD178" i="88"/>
  <c r="Y179" i="88"/>
  <c r="AD179" i="88"/>
  <c r="Y180" i="88"/>
  <c r="AD180" i="88"/>
  <c r="Y181" i="88"/>
  <c r="AD181" i="88"/>
  <c r="Y182" i="88"/>
  <c r="AD182" i="88"/>
  <c r="Y183" i="88"/>
  <c r="AD183" i="88"/>
  <c r="Y184" i="88"/>
  <c r="AD184" i="88"/>
  <c r="Y185" i="88"/>
  <c r="AD185" i="88"/>
  <c r="Y186" i="88"/>
  <c r="AD186" i="88"/>
  <c r="Y187" i="88"/>
  <c r="AD187" i="88"/>
  <c r="Y188" i="88"/>
  <c r="AD188" i="88"/>
  <c r="Y189" i="88"/>
  <c r="AD189" i="88"/>
  <c r="Y190" i="88"/>
  <c r="AD190" i="88"/>
  <c r="Y191" i="88"/>
  <c r="AD191" i="88"/>
  <c r="Z192" i="88"/>
  <c r="AE192" i="88"/>
  <c r="Z193" i="88"/>
  <c r="AE193" i="88"/>
  <c r="Z194" i="88"/>
  <c r="AE194" i="88"/>
  <c r="Z195" i="88"/>
  <c r="AE195" i="88"/>
  <c r="Z196" i="88"/>
  <c r="AE196" i="88"/>
  <c r="Z197" i="88"/>
  <c r="AE197" i="88"/>
  <c r="Z198" i="88"/>
  <c r="AE198" i="88"/>
  <c r="Z199" i="88"/>
  <c r="AE199" i="88"/>
  <c r="Z200" i="88"/>
  <c r="AE200" i="88"/>
  <c r="Z201" i="88"/>
  <c r="AE201" i="88"/>
  <c r="Z202" i="88"/>
  <c r="AE202" i="88"/>
  <c r="Z203" i="88"/>
  <c r="AE203" i="88"/>
  <c r="Z204" i="88"/>
  <c r="AE204" i="88"/>
  <c r="Z205" i="88"/>
  <c r="AE205" i="88"/>
  <c r="Z206" i="88"/>
  <c r="AE206" i="88"/>
  <c r="Z207" i="88"/>
  <c r="AE207" i="88"/>
  <c r="Z208" i="88"/>
  <c r="AE208" i="88"/>
  <c r="Z209" i="88"/>
  <c r="AE209" i="88"/>
  <c r="Z210" i="88"/>
  <c r="AE210" i="88"/>
  <c r="Z211" i="88"/>
  <c r="AE211" i="88"/>
  <c r="Z212" i="88"/>
  <c r="AE212" i="88"/>
  <c r="Z213" i="88"/>
  <c r="AE213" i="88"/>
  <c r="Z214" i="88"/>
  <c r="AE214" i="88"/>
  <c r="Z215" i="88"/>
  <c r="AE215" i="88"/>
  <c r="Z216" i="88"/>
  <c r="AE216" i="88"/>
  <c r="Z217" i="88"/>
  <c r="AE217" i="88"/>
  <c r="Z218" i="88"/>
  <c r="AE218" i="88"/>
  <c r="Z219" i="88"/>
  <c r="AE219" i="88"/>
  <c r="Z220" i="88"/>
  <c r="AE220" i="88"/>
  <c r="Z221" i="88"/>
  <c r="AE221" i="88"/>
  <c r="Z222" i="88"/>
  <c r="AE222" i="88"/>
  <c r="Z223" i="88"/>
  <c r="AE223" i="88"/>
  <c r="Z224" i="88"/>
  <c r="AE224" i="88"/>
  <c r="Z225" i="88"/>
  <c r="AE225" i="88"/>
  <c r="Z226" i="88"/>
  <c r="AE226" i="88"/>
  <c r="Z227" i="88"/>
  <c r="AE227" i="88"/>
  <c r="Y228" i="88"/>
  <c r="AD228" i="88"/>
  <c r="Y229" i="88"/>
  <c r="AD229" i="88"/>
  <c r="Y230" i="88"/>
  <c r="AD230" i="88"/>
  <c r="Y231" i="88"/>
  <c r="AD231" i="88"/>
  <c r="Y232" i="88"/>
  <c r="AD232" i="88"/>
  <c r="Y233" i="88"/>
  <c r="AD233" i="88"/>
  <c r="Y234" i="88"/>
  <c r="AD234" i="88"/>
  <c r="Y235" i="88"/>
  <c r="AD235" i="88"/>
  <c r="Y236" i="88"/>
  <c r="AD236" i="88"/>
  <c r="Y237" i="88"/>
  <c r="AD237" i="88"/>
  <c r="Y238" i="88"/>
  <c r="AD238" i="88"/>
  <c r="Y239" i="88"/>
  <c r="AD239" i="88"/>
  <c r="Y240" i="88"/>
  <c r="AD240" i="88"/>
  <c r="Z241" i="88"/>
  <c r="AE241" i="88"/>
  <c r="Z242" i="88"/>
  <c r="AE242" i="88"/>
  <c r="Z243" i="88"/>
  <c r="AE243" i="88"/>
  <c r="Z244" i="88"/>
  <c r="AE244" i="88"/>
  <c r="Z245" i="88"/>
  <c r="AE245" i="88"/>
  <c r="Z246" i="88"/>
  <c r="AE246" i="88"/>
  <c r="Z247" i="88"/>
  <c r="AE247" i="88"/>
  <c r="Z248" i="88"/>
  <c r="AE248" i="88"/>
  <c r="Z249" i="88"/>
  <c r="AE249" i="88"/>
  <c r="Z250" i="88"/>
  <c r="AE250" i="88"/>
  <c r="Z251" i="88"/>
  <c r="AE251" i="88"/>
  <c r="Z252" i="88"/>
  <c r="AE252" i="88"/>
  <c r="Z253" i="88"/>
  <c r="AE253" i="88"/>
  <c r="Z254" i="88"/>
  <c r="AE254" i="88"/>
  <c r="Z255" i="88"/>
  <c r="AE255" i="88"/>
  <c r="Z256" i="88"/>
  <c r="AE256" i="88"/>
  <c r="Z257" i="88"/>
  <c r="AE257" i="88"/>
  <c r="Z258" i="88"/>
  <c r="AE258" i="88"/>
  <c r="Z259" i="88"/>
  <c r="AE259" i="88"/>
  <c r="Z260" i="88"/>
  <c r="AE260" i="88"/>
  <c r="Z261" i="88"/>
  <c r="AE261" i="88"/>
  <c r="Z262" i="88"/>
  <c r="AE262" i="88"/>
  <c r="Z263" i="88"/>
  <c r="AE263" i="88"/>
  <c r="Z264" i="88"/>
  <c r="AE264" i="88"/>
  <c r="Z265" i="88"/>
  <c r="AE265" i="88"/>
  <c r="Z266" i="88"/>
  <c r="AE266" i="88"/>
  <c r="Z267" i="88"/>
  <c r="AE267" i="88"/>
  <c r="Z268" i="88"/>
  <c r="AE268" i="88"/>
  <c r="Z269" i="88"/>
  <c r="AE269" i="88"/>
  <c r="Z270" i="88"/>
  <c r="AE270" i="88"/>
  <c r="Z271" i="88"/>
  <c r="AE271" i="88"/>
  <c r="Z272" i="88"/>
  <c r="AE272" i="88"/>
  <c r="Z273" i="88"/>
  <c r="AE273" i="88"/>
  <c r="Z274" i="88"/>
  <c r="AE274" i="88"/>
  <c r="Z275" i="88"/>
  <c r="AE275" i="88"/>
  <c r="Z276" i="88"/>
  <c r="AE276" i="88"/>
  <c r="Z277" i="88"/>
  <c r="AE277" i="88"/>
  <c r="Z278" i="88"/>
  <c r="AE278" i="88"/>
  <c r="Z279" i="88"/>
  <c r="AE279" i="88"/>
  <c r="Z280" i="88"/>
  <c r="AE280" i="88"/>
  <c r="Z281" i="88"/>
  <c r="AE281" i="88"/>
  <c r="Z282" i="88"/>
  <c r="AE282" i="88"/>
  <c r="Z283" i="88"/>
  <c r="AE283" i="88"/>
  <c r="Z284" i="88"/>
  <c r="AE284" i="88"/>
  <c r="Z285" i="88"/>
  <c r="AE285" i="88"/>
  <c r="Z286" i="88"/>
  <c r="AE286" i="88"/>
  <c r="Z287" i="88"/>
  <c r="AE287" i="88"/>
  <c r="Z288" i="88"/>
  <c r="AE288" i="88"/>
  <c r="Z289" i="88"/>
  <c r="AE289" i="88"/>
  <c r="Z290" i="88"/>
  <c r="AE290" i="88"/>
  <c r="Z291" i="88"/>
  <c r="AE291" i="88"/>
  <c r="Z292" i="88"/>
  <c r="AE292" i="88"/>
  <c r="Z293" i="88"/>
  <c r="AE293" i="88"/>
  <c r="Z294" i="88"/>
  <c r="AE294" i="88"/>
  <c r="Z295" i="88"/>
  <c r="AE295" i="88"/>
  <c r="Z296" i="88"/>
  <c r="AE296" i="88"/>
  <c r="Z297" i="88"/>
  <c r="AE297" i="88"/>
  <c r="Z298" i="88"/>
  <c r="AE298" i="88"/>
  <c r="Z299" i="88"/>
  <c r="AE299" i="88"/>
  <c r="Z300" i="88"/>
  <c r="AE300" i="88"/>
  <c r="Z301" i="88"/>
  <c r="AE301" i="88"/>
  <c r="Z302" i="88"/>
  <c r="AE302" i="88"/>
  <c r="Z303" i="88"/>
  <c r="AE303" i="88"/>
  <c r="Z304" i="88"/>
  <c r="AE304" i="88"/>
  <c r="Z305" i="88"/>
  <c r="AE305" i="88"/>
  <c r="Z306" i="88"/>
  <c r="AE306" i="88"/>
  <c r="Z307" i="88"/>
  <c r="AE307" i="88"/>
  <c r="Z308" i="88"/>
  <c r="AE308" i="88"/>
  <c r="Z309" i="88"/>
  <c r="AE309" i="88"/>
  <c r="Z310" i="88"/>
  <c r="AE310" i="88"/>
  <c r="Z311" i="88"/>
  <c r="AE311" i="88"/>
  <c r="Z312" i="88"/>
  <c r="AE312" i="88"/>
  <c r="Z313" i="88"/>
  <c r="AE313" i="88"/>
  <c r="Z314" i="88"/>
  <c r="AE314" i="88"/>
  <c r="Z315" i="88"/>
  <c r="AE315" i="88"/>
  <c r="Z316" i="88"/>
  <c r="AE316" i="88"/>
  <c r="Z317" i="88"/>
  <c r="AE317" i="88"/>
  <c r="Z318" i="88"/>
  <c r="AE318" i="88"/>
  <c r="Z319" i="88"/>
  <c r="AE319" i="88"/>
  <c r="Z320" i="88"/>
  <c r="AE320" i="88"/>
  <c r="Z321" i="88"/>
  <c r="AE321" i="88"/>
  <c r="Z322" i="88"/>
  <c r="AE322" i="88"/>
  <c r="Z323" i="88"/>
  <c r="AE323" i="88"/>
  <c r="Z324" i="88"/>
  <c r="AE324" i="88"/>
  <c r="Z325" i="88"/>
  <c r="AE325" i="88"/>
  <c r="Z326" i="88"/>
  <c r="AE326" i="88"/>
  <c r="Z327" i="88"/>
  <c r="AE327" i="88"/>
  <c r="Z328" i="88"/>
  <c r="AE328" i="88"/>
  <c r="Z329" i="88"/>
  <c r="AE329" i="88"/>
  <c r="Z330" i="88"/>
  <c r="AE330" i="88"/>
  <c r="Z331" i="88"/>
  <c r="AE331" i="88"/>
  <c r="Z332" i="88"/>
  <c r="AE332" i="88"/>
  <c r="Z333" i="88"/>
  <c r="AE333" i="88"/>
  <c r="Z334" i="88"/>
  <c r="AE334" i="88"/>
  <c r="Z335" i="88"/>
  <c r="AE335" i="88"/>
  <c r="Z336" i="88"/>
  <c r="AE336" i="88"/>
  <c r="Z337" i="88"/>
  <c r="AE337" i="88"/>
  <c r="Z338" i="88"/>
  <c r="AE338" i="88"/>
  <c r="Z339" i="88"/>
  <c r="AE339" i="88"/>
  <c r="Z340" i="88"/>
  <c r="AE340" i="88"/>
  <c r="Z341" i="88"/>
  <c r="AE341" i="88"/>
  <c r="Z342" i="88"/>
  <c r="AE342" i="88"/>
  <c r="Z343" i="88"/>
  <c r="AE343" i="88"/>
  <c r="Z344" i="88"/>
  <c r="AE344" i="88"/>
  <c r="Z345" i="88"/>
  <c r="AE345" i="88"/>
  <c r="Z346" i="88"/>
  <c r="AE346" i="88"/>
  <c r="Z347" i="88"/>
  <c r="AE347" i="88"/>
  <c r="Z348" i="88"/>
  <c r="AE348" i="88"/>
  <c r="Z349" i="88"/>
  <c r="AE349" i="88"/>
  <c r="Z350" i="88"/>
  <c r="AE350" i="88"/>
  <c r="Z351" i="88"/>
  <c r="AE351" i="88"/>
  <c r="Z352" i="88"/>
  <c r="AE352" i="88"/>
  <c r="Z353" i="88"/>
  <c r="AE353" i="88"/>
  <c r="Z354" i="88"/>
  <c r="AE354" i="88"/>
  <c r="Z355" i="88"/>
  <c r="AE355" i="88"/>
  <c r="Z356" i="88"/>
  <c r="AE356" i="88"/>
  <c r="Z357" i="88"/>
  <c r="AE357" i="88"/>
  <c r="Z358" i="88"/>
  <c r="AE358" i="88"/>
  <c r="Z359" i="88"/>
  <c r="AE359" i="88"/>
  <c r="Z360" i="88"/>
  <c r="AE360" i="88"/>
  <c r="Z361" i="88"/>
  <c r="AE361" i="88"/>
  <c r="Z362" i="88"/>
  <c r="AE362" i="88"/>
  <c r="Z363" i="88"/>
  <c r="AE363" i="88"/>
  <c r="Z364" i="88"/>
  <c r="AE364" i="88"/>
  <c r="Z365" i="88"/>
  <c r="AE365" i="88"/>
  <c r="Z366" i="88"/>
  <c r="AE366" i="88"/>
  <c r="Z367" i="88"/>
  <c r="AE367" i="88"/>
  <c r="Z368" i="88"/>
  <c r="AE368" i="88"/>
  <c r="Z369" i="88"/>
  <c r="AE369" i="88"/>
  <c r="Z370" i="88"/>
  <c r="AE370" i="88"/>
  <c r="Z371" i="88"/>
  <c r="AE371" i="88"/>
  <c r="Z372" i="88"/>
  <c r="AE372" i="88"/>
  <c r="Z373" i="88"/>
  <c r="AE373" i="88"/>
  <c r="Z374" i="88"/>
  <c r="AE374" i="88"/>
  <c r="Z375" i="88"/>
  <c r="AE375" i="88"/>
  <c r="Z376" i="88"/>
  <c r="AE376" i="88"/>
  <c r="Z377" i="88"/>
  <c r="AE377" i="88"/>
  <c r="Z378" i="88"/>
  <c r="AE378" i="88"/>
  <c r="Z379" i="88"/>
  <c r="AE379" i="88"/>
  <c r="Z380" i="88"/>
  <c r="AE380" i="88"/>
  <c r="Z381" i="88"/>
  <c r="AE381" i="88"/>
  <c r="Z382" i="88"/>
  <c r="AE382" i="88"/>
  <c r="Z383" i="88"/>
  <c r="AE383" i="88"/>
  <c r="Z384" i="88"/>
  <c r="AE384" i="88"/>
  <c r="Z385" i="88"/>
  <c r="AE385" i="88"/>
  <c r="Z386" i="88"/>
  <c r="AE386" i="88"/>
  <c r="Z387" i="88"/>
  <c r="AE387" i="88"/>
  <c r="Z388" i="88"/>
  <c r="AE388" i="88"/>
  <c r="Z389" i="88"/>
  <c r="AE389" i="88"/>
  <c r="Z390" i="88"/>
  <c r="AE390" i="88"/>
  <c r="Z391" i="88"/>
  <c r="AE391" i="88"/>
  <c r="Z392" i="88"/>
  <c r="AE392" i="88"/>
  <c r="Z393" i="88"/>
  <c r="AE393" i="88"/>
  <c r="Z394" i="88"/>
  <c r="AE394" i="88"/>
  <c r="Z395" i="88"/>
  <c r="AE395" i="88"/>
  <c r="Z396" i="88"/>
  <c r="AE396" i="88"/>
  <c r="Z397" i="88"/>
  <c r="AE397" i="88"/>
  <c r="Z398" i="88"/>
  <c r="AE398" i="88"/>
  <c r="Z399" i="88"/>
  <c r="AE399" i="88"/>
  <c r="Z400" i="88"/>
  <c r="AE400" i="88"/>
  <c r="Z401" i="88"/>
  <c r="AE401" i="88"/>
  <c r="Z402" i="88"/>
  <c r="AE402" i="88"/>
  <c r="Z403" i="88"/>
  <c r="AE403" i="88"/>
  <c r="Z404" i="88"/>
  <c r="AE404" i="88"/>
  <c r="Z405" i="88"/>
  <c r="AE405" i="88"/>
  <c r="Z406" i="88"/>
  <c r="AE406" i="88"/>
  <c r="Z407" i="88"/>
  <c r="AE407" i="88"/>
  <c r="Z408" i="88"/>
  <c r="AE408" i="88"/>
  <c r="Z409" i="88"/>
  <c r="AE409" i="88"/>
  <c r="Z410" i="88"/>
  <c r="AE410" i="88"/>
  <c r="Z411" i="88"/>
  <c r="AE411" i="88"/>
  <c r="Z412" i="88"/>
  <c r="AE412" i="88"/>
  <c r="Z413" i="88"/>
  <c r="AE413" i="88"/>
  <c r="Z414" i="88"/>
  <c r="AE414" i="88"/>
  <c r="Z415" i="88"/>
  <c r="AE415" i="88"/>
  <c r="Z416" i="88"/>
  <c r="AE416" i="88"/>
  <c r="Z417" i="88"/>
  <c r="AE417" i="88"/>
  <c r="Z418" i="88"/>
  <c r="AE418" i="88"/>
  <c r="Z419" i="88"/>
  <c r="AE419" i="88"/>
  <c r="Z420" i="88"/>
  <c r="AE420" i="88"/>
  <c r="Z421" i="88"/>
  <c r="AE421" i="88"/>
  <c r="Z422" i="88"/>
  <c r="AE422" i="88"/>
  <c r="Z423" i="88"/>
  <c r="AE423" i="88"/>
  <c r="Z424" i="88"/>
  <c r="AE424" i="88"/>
  <c r="Z425" i="88"/>
  <c r="AE425" i="88"/>
  <c r="Z426" i="88"/>
  <c r="AE426" i="88"/>
  <c r="Z427" i="88"/>
  <c r="AE427" i="88"/>
  <c r="Z428" i="88"/>
  <c r="AE428" i="88"/>
  <c r="Z429" i="88"/>
  <c r="AE429" i="88"/>
  <c r="Z430" i="88"/>
  <c r="AE430" i="88"/>
  <c r="Z431" i="88"/>
  <c r="AE431" i="88"/>
  <c r="Z432" i="88"/>
  <c r="AE432" i="88"/>
  <c r="Z433" i="88"/>
  <c r="AE433" i="88"/>
  <c r="Z434" i="88"/>
  <c r="AE434" i="88"/>
  <c r="Z435" i="88"/>
  <c r="AE435" i="88"/>
  <c r="Z436" i="88"/>
  <c r="AE436" i="88"/>
  <c r="Z437" i="88"/>
  <c r="AE437" i="88"/>
  <c r="Z438" i="88"/>
  <c r="AE438" i="88"/>
  <c r="Z439" i="88"/>
  <c r="AE439" i="88"/>
  <c r="Z440" i="88"/>
  <c r="AE440" i="88"/>
  <c r="Z441" i="88"/>
  <c r="AE441" i="88"/>
  <c r="Z442" i="88"/>
  <c r="AE442" i="88"/>
  <c r="Z443" i="88"/>
  <c r="AE443" i="88"/>
  <c r="Z444" i="88"/>
  <c r="AE444" i="88"/>
  <c r="Z445" i="88"/>
  <c r="AE445" i="88"/>
  <c r="Z446" i="88"/>
  <c r="AE446" i="88"/>
  <c r="Z447" i="88"/>
  <c r="AE447" i="88"/>
  <c r="Z448" i="88"/>
  <c r="AE448" i="88"/>
  <c r="Z449" i="88"/>
  <c r="AE449" i="88"/>
  <c r="Z450" i="88"/>
  <c r="AE450" i="88"/>
  <c r="Z451" i="88"/>
  <c r="AE451" i="88"/>
  <c r="Z452" i="88"/>
  <c r="AE452" i="88"/>
  <c r="Z453" i="88"/>
  <c r="AE453" i="88"/>
  <c r="Z454" i="88"/>
  <c r="AE454" i="88"/>
  <c r="Z455" i="88"/>
  <c r="AE455" i="88"/>
  <c r="Z456" i="88"/>
  <c r="AE456" i="88"/>
  <c r="Z457" i="88"/>
  <c r="AE457" i="88"/>
  <c r="E5" i="107"/>
  <c r="R5" i="107"/>
  <c r="U5" i="107"/>
  <c r="W5" i="107"/>
  <c r="E6" i="107"/>
  <c r="F6" i="107"/>
  <c r="H6" i="107"/>
  <c r="I6" i="107"/>
  <c r="R6" i="107"/>
  <c r="U6" i="107"/>
  <c r="W6" i="107"/>
  <c r="E7" i="107"/>
  <c r="F7" i="107"/>
  <c r="H7" i="107"/>
  <c r="I7" i="107"/>
  <c r="R7" i="107"/>
  <c r="U7" i="107"/>
  <c r="W7" i="107"/>
  <c r="E8" i="107"/>
  <c r="F8" i="107"/>
  <c r="H8" i="107"/>
  <c r="I8" i="107"/>
  <c r="R8" i="107"/>
  <c r="U8" i="107"/>
  <c r="W8" i="107"/>
  <c r="E9" i="107"/>
  <c r="F9" i="107"/>
  <c r="H9" i="107"/>
  <c r="I9" i="107"/>
  <c r="R9" i="107"/>
  <c r="U9" i="107"/>
  <c r="W9" i="107"/>
  <c r="E10" i="107"/>
  <c r="H10" i="107"/>
  <c r="R10" i="107"/>
  <c r="U10" i="107"/>
  <c r="W10" i="107"/>
  <c r="F11" i="107"/>
  <c r="I11" i="107"/>
  <c r="R11" i="107"/>
  <c r="U11" i="107"/>
  <c r="W11" i="107"/>
  <c r="F12" i="107"/>
  <c r="I12" i="107"/>
  <c r="R12" i="107"/>
  <c r="U12" i="107"/>
  <c r="W12" i="107"/>
  <c r="E13" i="107"/>
  <c r="H13" i="107"/>
  <c r="R13" i="107"/>
  <c r="U13" i="107"/>
  <c r="W13" i="107"/>
  <c r="F14" i="107"/>
  <c r="I14" i="107"/>
  <c r="R14" i="107"/>
  <c r="U14" i="107"/>
  <c r="W14" i="107"/>
  <c r="F15" i="107"/>
  <c r="I15" i="107"/>
  <c r="R15" i="107"/>
  <c r="U15" i="107"/>
  <c r="W15" i="107"/>
  <c r="E16" i="107"/>
  <c r="H16" i="107"/>
  <c r="R16" i="107"/>
  <c r="U16" i="107"/>
  <c r="W16" i="107"/>
  <c r="R17" i="107"/>
  <c r="U17" i="107"/>
  <c r="W17" i="107"/>
  <c r="R18" i="107"/>
  <c r="U18" i="107"/>
  <c r="W18" i="107"/>
  <c r="R19" i="107"/>
  <c r="U19" i="107"/>
  <c r="W19" i="107"/>
  <c r="R20" i="107"/>
  <c r="U20" i="107"/>
  <c r="W20" i="107"/>
  <c r="R21" i="107"/>
  <c r="U21" i="107"/>
  <c r="W21" i="107"/>
  <c r="R22" i="107"/>
  <c r="U22" i="107"/>
  <c r="W22" i="107"/>
  <c r="R23" i="107"/>
  <c r="U23" i="107"/>
  <c r="W23" i="107"/>
  <c r="R24" i="107"/>
  <c r="U24" i="107"/>
  <c r="W24" i="107"/>
  <c r="R25" i="107"/>
  <c r="U25" i="107"/>
  <c r="W25" i="107"/>
  <c r="R26" i="107"/>
  <c r="U26" i="107"/>
  <c r="W26" i="107"/>
  <c r="R27" i="107"/>
  <c r="U27" i="107"/>
  <c r="W27" i="107"/>
  <c r="R28" i="107"/>
  <c r="U28" i="107"/>
  <c r="W28" i="107"/>
  <c r="R29" i="107"/>
  <c r="U29" i="107"/>
  <c r="W29" i="107"/>
  <c r="R30" i="107"/>
  <c r="U30" i="107"/>
  <c r="W30" i="107"/>
  <c r="R31" i="107"/>
  <c r="U31" i="107"/>
  <c r="W31" i="107"/>
  <c r="R32" i="107"/>
  <c r="U32" i="107"/>
  <c r="W32" i="107"/>
  <c r="R33" i="107"/>
  <c r="U33" i="107"/>
  <c r="W33" i="107"/>
  <c r="Q34" i="107"/>
  <c r="T34" i="107"/>
  <c r="Q35" i="107"/>
  <c r="T35" i="107"/>
  <c r="G5" i="92"/>
  <c r="I5" i="92"/>
  <c r="G6" i="92"/>
  <c r="I6" i="92"/>
  <c r="G7" i="92"/>
  <c r="I7" i="92"/>
  <c r="G10" i="92"/>
  <c r="I10" i="92"/>
  <c r="G11" i="92"/>
  <c r="I11" i="92"/>
  <c r="G12" i="92"/>
  <c r="I12" i="92"/>
  <c r="D17" i="92"/>
  <c r="F17" i="92"/>
  <c r="G17" i="92"/>
  <c r="F18" i="92"/>
  <c r="G18" i="92"/>
  <c r="D19" i="92"/>
  <c r="F19" i="92"/>
  <c r="G19" i="92"/>
  <c r="D20" i="92"/>
  <c r="F20" i="92"/>
  <c r="G20" i="92"/>
  <c r="AB5" i="94"/>
  <c r="AI5" i="94"/>
  <c r="AL5" i="94"/>
  <c r="AB6" i="94"/>
  <c r="AI6" i="94"/>
  <c r="AL6" i="94"/>
  <c r="AB7" i="94"/>
  <c r="AI7" i="94"/>
  <c r="AL7" i="94"/>
  <c r="AB8" i="94"/>
  <c r="AI8" i="94"/>
  <c r="AL8" i="94"/>
  <c r="AB9" i="94"/>
  <c r="AI9" i="94"/>
  <c r="AL9" i="94"/>
  <c r="AB10" i="94"/>
  <c r="AI10" i="94"/>
  <c r="AL10" i="94"/>
  <c r="AB11" i="94"/>
  <c r="AI11" i="94"/>
  <c r="AL11" i="94"/>
  <c r="AB12" i="94"/>
  <c r="AI12" i="94"/>
  <c r="AL12" i="94"/>
  <c r="AB13" i="94"/>
  <c r="AI13" i="94"/>
  <c r="AL13" i="94"/>
  <c r="AB14" i="94"/>
  <c r="AI14" i="94"/>
  <c r="AL14" i="94"/>
  <c r="AB15" i="94"/>
  <c r="AI15" i="94"/>
  <c r="AL15" i="94"/>
  <c r="AB16" i="94"/>
  <c r="AI16" i="94"/>
  <c r="AL16" i="94"/>
  <c r="AB17" i="94"/>
  <c r="AI17" i="94"/>
  <c r="AL17" i="94"/>
  <c r="AB18" i="94"/>
  <c r="AI18" i="94"/>
  <c r="AL18" i="94"/>
  <c r="AB19" i="94"/>
  <c r="AI19" i="94"/>
  <c r="AL19" i="94"/>
  <c r="AB20" i="94"/>
  <c r="AI20" i="94"/>
  <c r="AL20" i="94"/>
  <c r="AB21" i="94"/>
  <c r="AI21" i="94"/>
  <c r="AL21" i="94"/>
  <c r="AB22" i="94"/>
  <c r="AI22" i="94"/>
  <c r="AL22" i="94"/>
  <c r="AB23" i="94"/>
  <c r="AI23" i="94"/>
  <c r="AL23" i="94"/>
  <c r="AB24" i="94"/>
  <c r="AI24" i="94"/>
  <c r="AL24" i="94"/>
  <c r="AB25" i="94"/>
  <c r="AI25" i="94"/>
  <c r="AL25" i="94"/>
  <c r="AB26" i="94"/>
  <c r="AI26" i="94"/>
  <c r="AL26" i="94"/>
  <c r="AB27" i="94"/>
  <c r="AI27" i="94"/>
  <c r="AL27" i="94"/>
  <c r="AB28" i="94"/>
  <c r="AI28" i="94"/>
  <c r="AL28" i="94"/>
  <c r="AB29" i="94"/>
  <c r="AI29" i="94"/>
  <c r="AL29" i="94"/>
  <c r="AB30" i="94"/>
  <c r="AI30" i="94"/>
  <c r="AL30" i="94"/>
  <c r="AB31" i="94"/>
  <c r="AI31" i="94"/>
  <c r="AL31" i="94"/>
  <c r="AB32" i="94"/>
  <c r="AI32" i="94"/>
  <c r="AL32" i="94"/>
  <c r="AB33" i="94"/>
  <c r="AI33" i="94"/>
  <c r="AL33" i="94"/>
  <c r="AB34" i="94"/>
  <c r="AI34" i="94"/>
  <c r="AL34" i="94"/>
  <c r="AB35" i="94"/>
  <c r="AI35" i="94"/>
  <c r="AL35" i="94"/>
  <c r="AB36" i="94"/>
  <c r="AI36" i="94"/>
  <c r="AL36" i="94"/>
  <c r="AB37" i="94"/>
  <c r="AI37" i="94"/>
  <c r="AL37" i="94"/>
  <c r="AB38" i="94"/>
  <c r="AI38" i="94"/>
  <c r="AL38" i="94"/>
  <c r="AB39" i="94"/>
  <c r="AI39" i="94"/>
  <c r="AL39" i="94"/>
  <c r="AB40" i="94"/>
  <c r="AI40" i="94"/>
  <c r="AL40" i="94"/>
  <c r="AB41" i="94"/>
  <c r="AI41" i="94"/>
  <c r="AL41" i="94"/>
  <c r="AB42" i="94"/>
  <c r="AI42" i="94"/>
  <c r="AL42" i="94"/>
  <c r="AB44" i="94"/>
  <c r="N8" i="77"/>
  <c r="AJ8" i="77"/>
  <c r="AK8" i="77"/>
  <c r="N9" i="77"/>
  <c r="AJ9" i="77"/>
  <c r="AK9" i="77"/>
  <c r="N12" i="77"/>
  <c r="AJ12" i="77"/>
  <c r="AK12" i="77"/>
  <c r="N13" i="77"/>
  <c r="AJ13" i="77"/>
  <c r="AK13" i="77"/>
  <c r="N14" i="77"/>
  <c r="AJ14" i="77"/>
  <c r="AK14" i="77"/>
  <c r="N15" i="77"/>
  <c r="AJ15" i="77"/>
  <c r="AK15" i="77"/>
  <c r="N18" i="77"/>
  <c r="AJ18" i="77"/>
  <c r="AK18" i="77"/>
  <c r="N19" i="77"/>
  <c r="AJ19" i="77"/>
  <c r="AK19" i="77"/>
  <c r="N20" i="77"/>
  <c r="AJ20" i="77"/>
  <c r="AK20" i="77"/>
  <c r="N21" i="77"/>
  <c r="AJ21" i="77"/>
  <c r="AK21" i="77"/>
  <c r="N22" i="77"/>
  <c r="AJ22" i="77"/>
  <c r="AK22" i="77"/>
  <c r="N23" i="77"/>
  <c r="AJ23" i="77"/>
  <c r="AK23" i="77"/>
  <c r="N24" i="77"/>
  <c r="AJ24" i="77"/>
  <c r="AK24" i="77"/>
  <c r="N25" i="77"/>
  <c r="AJ25" i="77"/>
  <c r="AK25" i="77"/>
  <c r="N26" i="77"/>
  <c r="AJ26" i="77"/>
  <c r="AK26" i="77"/>
  <c r="N27" i="77"/>
  <c r="AJ27" i="77"/>
  <c r="AK27" i="77"/>
  <c r="N28" i="77"/>
  <c r="AJ28" i="77"/>
  <c r="AK28" i="77"/>
  <c r="N29" i="77"/>
  <c r="AJ29" i="77"/>
  <c r="AK29" i="77"/>
  <c r="N30" i="77"/>
  <c r="AJ30" i="77"/>
  <c r="AK30" i="77"/>
  <c r="N31" i="77"/>
  <c r="AJ31" i="77"/>
  <c r="AK31" i="77"/>
  <c r="N32" i="77"/>
  <c r="AJ32" i="77"/>
  <c r="AK32" i="77"/>
  <c r="N33" i="77"/>
  <c r="AJ33" i="77"/>
  <c r="AK33" i="77"/>
  <c r="N34" i="77"/>
  <c r="AJ34" i="77"/>
  <c r="AK34" i="77"/>
  <c r="N35" i="77"/>
  <c r="AJ35" i="77"/>
  <c r="AK35" i="77"/>
  <c r="N36" i="77"/>
  <c r="AJ36" i="77"/>
  <c r="AK36" i="77"/>
  <c r="N37" i="77"/>
  <c r="AJ37" i="77"/>
  <c r="AK37" i="77"/>
  <c r="N38" i="77"/>
  <c r="AJ38" i="77"/>
  <c r="AK38" i="77"/>
  <c r="N39" i="77"/>
  <c r="AJ39" i="77"/>
  <c r="AK39" i="77"/>
  <c r="N40" i="77"/>
  <c r="AJ40" i="77"/>
  <c r="AK40" i="77"/>
  <c r="N41" i="77"/>
  <c r="AJ41" i="77"/>
  <c r="AK41" i="77"/>
  <c r="N42" i="77"/>
  <c r="AJ42" i="77"/>
  <c r="AK42" i="77"/>
  <c r="N43" i="77"/>
  <c r="AJ43" i="77"/>
  <c r="AK43" i="77"/>
  <c r="N44" i="77"/>
  <c r="AJ44" i="77"/>
  <c r="AK44" i="77"/>
  <c r="N45" i="77"/>
  <c r="AJ45" i="77"/>
  <c r="AK45" i="77"/>
  <c r="N46" i="77"/>
  <c r="AJ46" i="77"/>
  <c r="AK46" i="77"/>
  <c r="N47" i="77"/>
  <c r="AJ47" i="77"/>
  <c r="AK47" i="77"/>
  <c r="N48" i="77"/>
  <c r="AJ48" i="77"/>
  <c r="AK48" i="77"/>
  <c r="N49" i="77"/>
  <c r="AJ49" i="77"/>
  <c r="AK49" i="77"/>
  <c r="N50" i="77"/>
  <c r="AJ50" i="77"/>
  <c r="AK50" i="77"/>
  <c r="N51" i="77"/>
  <c r="AJ51" i="77"/>
  <c r="AK51" i="77"/>
  <c r="N52" i="77"/>
  <c r="AJ52" i="77"/>
  <c r="AK52" i="77"/>
  <c r="N56" i="77"/>
  <c r="AJ56" i="77"/>
  <c r="AK56" i="77"/>
  <c r="N61" i="77"/>
  <c r="AJ61" i="77"/>
  <c r="AK61" i="77"/>
  <c r="N64" i="77"/>
  <c r="L65" i="77"/>
  <c r="N65" i="77"/>
  <c r="L66" i="77"/>
  <c r="N66" i="77"/>
  <c r="N67" i="77"/>
  <c r="L68" i="77"/>
  <c r="L69" i="77"/>
  <c r="L70" i="77"/>
  <c r="L71" i="77"/>
  <c r="L72" i="77"/>
  <c r="N5" i="97"/>
  <c r="AB5" i="97"/>
  <c r="AC5" i="97"/>
  <c r="AF5" i="97"/>
  <c r="AG5" i="97"/>
  <c r="N6" i="97"/>
  <c r="AB6" i="97"/>
  <c r="AC6" i="97"/>
  <c r="AF6" i="97"/>
  <c r="AG6" i="97"/>
  <c r="N7" i="97"/>
  <c r="AB7" i="97"/>
  <c r="AC7" i="97"/>
  <c r="AF7" i="97"/>
  <c r="AG7" i="97"/>
  <c r="N8" i="97"/>
  <c r="AB8" i="97"/>
  <c r="AC8" i="97"/>
  <c r="AF8" i="97"/>
  <c r="AG8" i="97"/>
  <c r="N9" i="97"/>
  <c r="AB9" i="97"/>
  <c r="AC9" i="97"/>
  <c r="AF9" i="97"/>
  <c r="AG9" i="97"/>
  <c r="N10" i="97"/>
  <c r="AB10" i="97"/>
  <c r="AC10" i="97"/>
  <c r="AF10" i="97"/>
  <c r="AG10" i="97"/>
  <c r="N11" i="97"/>
  <c r="AB11" i="97"/>
  <c r="AC11" i="97"/>
  <c r="AF11" i="97"/>
  <c r="AG11" i="97"/>
  <c r="N12" i="97"/>
  <c r="AB12" i="97"/>
  <c r="AC12" i="97"/>
  <c r="AF12" i="97"/>
  <c r="AG12" i="97"/>
  <c r="N13" i="97"/>
  <c r="AB13" i="97"/>
  <c r="AC13" i="97"/>
  <c r="AF13" i="97"/>
  <c r="AG13" i="97"/>
  <c r="N14" i="97"/>
  <c r="AB14" i="97"/>
  <c r="AC14" i="97"/>
  <c r="AF14" i="97"/>
  <c r="AG14" i="97"/>
  <c r="N15" i="97"/>
  <c r="AB15" i="97"/>
  <c r="AC15" i="97"/>
  <c r="AF15" i="97"/>
  <c r="AG15" i="97"/>
  <c r="N16" i="97"/>
  <c r="AB16" i="97"/>
  <c r="AC16" i="97"/>
  <c r="AF16" i="97"/>
  <c r="AG16" i="97"/>
  <c r="N17" i="97"/>
  <c r="AB17" i="97"/>
  <c r="AC17" i="97"/>
  <c r="AF17" i="97"/>
  <c r="AG17" i="97"/>
  <c r="N18" i="97"/>
  <c r="AB18" i="97"/>
  <c r="AC18" i="97"/>
  <c r="AF18" i="97"/>
  <c r="AG18" i="97"/>
  <c r="N19" i="97"/>
  <c r="AB19" i="97"/>
  <c r="AC19" i="97"/>
  <c r="AF19" i="97"/>
  <c r="AG19" i="97"/>
  <c r="N20" i="97"/>
  <c r="AB20" i="97"/>
  <c r="AC20" i="97"/>
  <c r="AF20" i="97"/>
  <c r="AG20" i="97"/>
  <c r="N21" i="97"/>
  <c r="AB21" i="97"/>
  <c r="AC21" i="97"/>
  <c r="AF21" i="97"/>
  <c r="AG21" i="97"/>
  <c r="N22" i="97"/>
  <c r="AB22" i="97"/>
  <c r="AC22" i="97"/>
  <c r="AF22" i="97"/>
  <c r="AG22" i="97"/>
  <c r="N23" i="97"/>
  <c r="AB23" i="97"/>
  <c r="AC23" i="97"/>
  <c r="AF23" i="97"/>
  <c r="AG23" i="97"/>
  <c r="N24" i="97"/>
  <c r="AB24" i="97"/>
  <c r="AC24" i="97"/>
  <c r="AF24" i="97"/>
  <c r="AG24" i="97"/>
  <c r="N25" i="97"/>
  <c r="AB25" i="97"/>
  <c r="AC25" i="97"/>
  <c r="AF25" i="97"/>
  <c r="AG25" i="97"/>
  <c r="N26" i="97"/>
  <c r="AB26" i="97"/>
  <c r="AC26" i="97"/>
  <c r="AF26" i="97"/>
  <c r="AG26" i="97"/>
  <c r="N27" i="97"/>
  <c r="AB27" i="97"/>
  <c r="AC27" i="97"/>
  <c r="AF27" i="97"/>
  <c r="AG27" i="97"/>
  <c r="N28" i="97"/>
  <c r="AB28" i="97"/>
  <c r="AC28" i="97"/>
  <c r="AF28" i="97"/>
  <c r="AG28" i="97"/>
  <c r="N29" i="97"/>
  <c r="AB29" i="97"/>
  <c r="AC29" i="97"/>
  <c r="AF29" i="97"/>
  <c r="AG29" i="97"/>
  <c r="N30" i="97"/>
  <c r="AB30" i="97"/>
  <c r="AC30" i="97"/>
  <c r="AF30" i="97"/>
  <c r="AG30" i="97"/>
  <c r="N31" i="97"/>
  <c r="AB31" i="97"/>
  <c r="AC31" i="97"/>
  <c r="AF31" i="97"/>
  <c r="AG31" i="97"/>
  <c r="N32" i="97"/>
  <c r="AB32" i="97"/>
  <c r="AC32" i="97"/>
  <c r="AF32" i="97"/>
  <c r="AG32" i="97"/>
  <c r="N33" i="97"/>
  <c r="AB33" i="97"/>
  <c r="AC33" i="97"/>
  <c r="AF33" i="97"/>
  <c r="AG33" i="97"/>
  <c r="N34" i="97"/>
  <c r="AB34" i="97"/>
  <c r="AC34" i="97"/>
  <c r="AF34" i="97"/>
  <c r="AG34" i="97"/>
  <c r="N35" i="97"/>
  <c r="AB35" i="97"/>
  <c r="AC35" i="97"/>
  <c r="AF35" i="97"/>
  <c r="AG35" i="97"/>
  <c r="N36" i="97"/>
  <c r="AB36" i="97"/>
  <c r="AC36" i="97"/>
  <c r="AF36" i="97"/>
  <c r="AG36" i="97"/>
  <c r="N37" i="97"/>
  <c r="AB37" i="97"/>
  <c r="AC37" i="97"/>
  <c r="AF37" i="97"/>
  <c r="AG37" i="97"/>
  <c r="N38" i="97"/>
  <c r="AB38" i="97"/>
  <c r="AC38" i="97"/>
  <c r="AF38" i="97"/>
  <c r="AG38" i="97"/>
  <c r="N39" i="97"/>
  <c r="AB39" i="97"/>
  <c r="AC39" i="97"/>
  <c r="AF39" i="97"/>
  <c r="AG39" i="97"/>
  <c r="N40" i="97"/>
  <c r="AB40" i="97"/>
  <c r="AC40" i="97"/>
  <c r="AF40" i="97"/>
  <c r="AG40" i="97"/>
  <c r="N41" i="97"/>
  <c r="AB41" i="97"/>
  <c r="AC41" i="97"/>
  <c r="AF41" i="97"/>
  <c r="AG41" i="97"/>
  <c r="N42" i="97"/>
  <c r="AB42" i="97"/>
  <c r="AC42" i="97"/>
  <c r="AF42" i="97"/>
  <c r="AG42" i="97"/>
  <c r="N43" i="97"/>
  <c r="AB43" i="97"/>
  <c r="AC43" i="97"/>
  <c r="AF43" i="97"/>
  <c r="AG43" i="97"/>
  <c r="N44" i="97"/>
  <c r="AB44" i="97"/>
  <c r="AC44" i="97"/>
  <c r="AF44" i="97"/>
  <c r="AG44" i="97"/>
  <c r="N45" i="97"/>
  <c r="AB45" i="97"/>
  <c r="AC45" i="97"/>
  <c r="AF45" i="97"/>
  <c r="AG45" i="97"/>
  <c r="N46" i="97"/>
  <c r="AB46" i="97"/>
  <c r="AC46" i="97"/>
  <c r="AF46" i="97"/>
  <c r="AG46" i="97"/>
  <c r="N47" i="97"/>
  <c r="AB47" i="97"/>
  <c r="AC47" i="97"/>
  <c r="AF47" i="97"/>
  <c r="AG47" i="97"/>
  <c r="N48" i="97"/>
  <c r="AB48" i="97"/>
  <c r="AC48" i="97"/>
  <c r="AF48" i="97"/>
  <c r="AG48" i="97"/>
  <c r="N49" i="97"/>
  <c r="AB49" i="97"/>
  <c r="AC49" i="97"/>
  <c r="AF49" i="97"/>
  <c r="AG49" i="97"/>
  <c r="N50" i="97"/>
  <c r="AB50" i="97"/>
  <c r="AC50" i="97"/>
  <c r="AF50" i="97"/>
  <c r="AG50" i="97"/>
  <c r="N51" i="97"/>
  <c r="AB51" i="97"/>
  <c r="AC51" i="97"/>
  <c r="AF51" i="97"/>
  <c r="AG51" i="97"/>
  <c r="N52" i="97"/>
  <c r="AB52" i="97"/>
  <c r="AC52" i="97"/>
  <c r="AF52" i="97"/>
  <c r="AG52" i="97"/>
  <c r="N58" i="97"/>
  <c r="AB58" i="97"/>
  <c r="AC58" i="97"/>
  <c r="AF58" i="97"/>
  <c r="AG58" i="97"/>
  <c r="N59" i="97"/>
  <c r="AB59" i="97"/>
  <c r="AC59" i="97"/>
  <c r="AF59" i="97"/>
  <c r="AG59" i="97"/>
  <c r="N60" i="97"/>
  <c r="AB60" i="97"/>
  <c r="AC60" i="97"/>
  <c r="AF60" i="97"/>
  <c r="AG60" i="97"/>
  <c r="N61" i="97"/>
  <c r="AB61" i="97"/>
  <c r="AC61" i="97"/>
  <c r="AF61" i="97"/>
  <c r="AG61" i="97"/>
  <c r="N62" i="97"/>
  <c r="AB62" i="97"/>
  <c r="AC62" i="97"/>
  <c r="AF62" i="97"/>
  <c r="AG62" i="97"/>
  <c r="N63" i="97"/>
  <c r="AB63" i="97"/>
  <c r="AC63" i="97"/>
  <c r="AF63" i="97"/>
  <c r="AG63" i="97"/>
  <c r="N64" i="97"/>
  <c r="AB64" i="97"/>
  <c r="AC64" i="97"/>
  <c r="AF64" i="97"/>
  <c r="AG64" i="97"/>
  <c r="N65" i="97"/>
  <c r="AB65" i="97"/>
  <c r="AC65" i="97"/>
  <c r="AF65" i="97"/>
  <c r="AG65" i="97"/>
  <c r="N66" i="97"/>
  <c r="AB66" i="97"/>
  <c r="AC66" i="97"/>
  <c r="AF66" i="97"/>
  <c r="AG66" i="97"/>
  <c r="N67" i="97"/>
  <c r="AB67" i="97"/>
  <c r="AC67" i="97"/>
  <c r="AF67" i="97"/>
  <c r="AG67" i="97"/>
  <c r="N68" i="97"/>
  <c r="AB68" i="97"/>
  <c r="AC68" i="97"/>
  <c r="AF68" i="97"/>
  <c r="AG68" i="97"/>
  <c r="N69" i="97"/>
  <c r="AB69" i="97"/>
  <c r="AC69" i="97"/>
  <c r="AF69" i="97"/>
  <c r="AG69" i="97"/>
  <c r="N70" i="97"/>
  <c r="AB70" i="97"/>
  <c r="AC70" i="97"/>
  <c r="AF70" i="97"/>
  <c r="AG70" i="97"/>
  <c r="N71" i="97"/>
  <c r="AB71" i="97"/>
  <c r="AC71" i="97"/>
  <c r="AF71" i="97"/>
  <c r="AG71" i="97"/>
  <c r="N72" i="97"/>
  <c r="AB72" i="97"/>
  <c r="AC72" i="97"/>
  <c r="AF72" i="97"/>
  <c r="AG72" i="97"/>
  <c r="N73" i="97"/>
  <c r="AB73" i="97"/>
  <c r="AC73" i="97"/>
  <c r="AF73" i="97"/>
  <c r="AG73" i="97"/>
  <c r="N74" i="97"/>
  <c r="AB74" i="97"/>
  <c r="AC74" i="97"/>
  <c r="AF74" i="97"/>
  <c r="AG74" i="97"/>
  <c r="N75" i="97"/>
  <c r="AB75" i="97"/>
  <c r="AC75" i="97"/>
  <c r="AF75" i="97"/>
  <c r="AG75" i="97"/>
  <c r="N76" i="97"/>
  <c r="AB76" i="97"/>
  <c r="AC76" i="97"/>
  <c r="AF76" i="97"/>
  <c r="AG76" i="97"/>
  <c r="N77" i="97"/>
  <c r="AB77" i="97"/>
  <c r="AC77" i="97"/>
  <c r="AF77" i="97"/>
  <c r="AG77" i="97"/>
  <c r="N78" i="97"/>
  <c r="AB78" i="97"/>
  <c r="AC78" i="97"/>
  <c r="AF78" i="97"/>
  <c r="AG78" i="97"/>
  <c r="N79" i="97"/>
  <c r="AB79" i="97"/>
  <c r="AC79" i="97"/>
  <c r="AF79" i="97"/>
  <c r="AG79" i="97"/>
  <c r="N80" i="97"/>
  <c r="AB80" i="97"/>
  <c r="AC80" i="97"/>
  <c r="AF80" i="97"/>
  <c r="AG80" i="97"/>
  <c r="N81" i="97"/>
  <c r="AB81" i="97"/>
  <c r="AC81" i="97"/>
  <c r="AF81" i="97"/>
  <c r="AG81" i="97"/>
  <c r="N82" i="97"/>
  <c r="AB82" i="97"/>
  <c r="AC82" i="97"/>
  <c r="AF82" i="97"/>
  <c r="AG82" i="97"/>
  <c r="N83" i="97"/>
  <c r="AB83" i="97"/>
  <c r="AC83" i="97"/>
  <c r="AF83" i="97"/>
  <c r="AG83" i="97"/>
  <c r="N84" i="97"/>
  <c r="AB84" i="97"/>
  <c r="AC84" i="97"/>
  <c r="AF84" i="97"/>
  <c r="AG84" i="97"/>
  <c r="N85" i="97"/>
  <c r="AB85" i="97"/>
  <c r="AC85" i="97"/>
  <c r="AF85" i="97"/>
  <c r="AG85" i="97"/>
  <c r="N86" i="97"/>
  <c r="AB86" i="97"/>
  <c r="AC86" i="97"/>
  <c r="AF86" i="97"/>
  <c r="AG86" i="97"/>
  <c r="N87" i="97"/>
  <c r="AB87" i="97"/>
  <c r="AC87" i="97"/>
  <c r="AF87" i="97"/>
  <c r="AG87" i="97"/>
  <c r="N88" i="97"/>
  <c r="AB88" i="97"/>
  <c r="AC88" i="97"/>
  <c r="AF88" i="97"/>
  <c r="AG88" i="97"/>
  <c r="N89" i="97"/>
  <c r="AB89" i="97"/>
  <c r="AC89" i="97"/>
  <c r="AF89" i="97"/>
  <c r="AG89" i="97"/>
  <c r="N90" i="97"/>
  <c r="AB90" i="97"/>
  <c r="AC90" i="97"/>
  <c r="AF90" i="97"/>
  <c r="AG90" i="97"/>
  <c r="N91" i="97"/>
  <c r="AB91" i="97"/>
  <c r="AC91" i="97"/>
  <c r="AF91" i="97"/>
  <c r="AG91" i="97"/>
  <c r="N92" i="97"/>
  <c r="AB92" i="97"/>
  <c r="AC92" i="97"/>
  <c r="AF92" i="97"/>
  <c r="AG92" i="97"/>
  <c r="N93" i="97"/>
  <c r="AB93" i="97"/>
  <c r="AC93" i="97"/>
  <c r="AF93" i="97"/>
  <c r="AG93" i="97"/>
  <c r="N94" i="97"/>
  <c r="AB94" i="97"/>
  <c r="AC94" i="97"/>
  <c r="AF94" i="97"/>
  <c r="AG94" i="97"/>
  <c r="N95" i="97"/>
  <c r="AB95" i="97"/>
  <c r="AC95" i="97"/>
  <c r="AF95" i="97"/>
  <c r="AG95" i="97"/>
  <c r="N96" i="97"/>
  <c r="AB96" i="97"/>
  <c r="AC96" i="97"/>
  <c r="AF96" i="97"/>
  <c r="AG96" i="97"/>
  <c r="N97" i="97"/>
  <c r="AB97" i="97"/>
  <c r="AC97" i="97"/>
  <c r="AF97" i="97"/>
  <c r="AG97" i="97"/>
  <c r="N98" i="97"/>
  <c r="AB98" i="97"/>
  <c r="AC98" i="97"/>
  <c r="AF98" i="97"/>
  <c r="AG98" i="97"/>
  <c r="N99" i="97"/>
  <c r="AB99" i="97"/>
  <c r="AC99" i="97"/>
  <c r="AF99" i="97"/>
  <c r="AG99" i="97"/>
  <c r="N100" i="97"/>
  <c r="AB100" i="97"/>
  <c r="AC100" i="97"/>
  <c r="AF100" i="97"/>
  <c r="AG100" i="97"/>
  <c r="N101" i="97"/>
  <c r="AB101" i="97"/>
  <c r="AC101" i="97"/>
  <c r="AF101" i="97"/>
  <c r="AG101" i="97"/>
  <c r="N102" i="97"/>
  <c r="AB102" i="97"/>
  <c r="AC102" i="97"/>
  <c r="AF102" i="97"/>
  <c r="AG102" i="97"/>
  <c r="N103" i="97"/>
  <c r="AB103" i="97"/>
  <c r="AC103" i="97"/>
  <c r="AF103" i="97"/>
  <c r="AG103" i="97"/>
  <c r="N104" i="97"/>
  <c r="AB104" i="97"/>
  <c r="AC104" i="97"/>
  <c r="AF104" i="97"/>
  <c r="AG104" i="97"/>
  <c r="N105" i="97"/>
  <c r="AB105" i="97"/>
  <c r="AC105" i="97"/>
  <c r="AF105" i="97"/>
  <c r="AG105" i="97"/>
  <c r="N6" i="78"/>
  <c r="T6" i="78"/>
  <c r="AJ6" i="78"/>
  <c r="AK6" i="78"/>
  <c r="AL6" i="78"/>
  <c r="AM6" i="78"/>
  <c r="N7" i="78"/>
  <c r="T7" i="78"/>
  <c r="AJ7" i="78"/>
  <c r="AK7" i="78"/>
  <c r="AL7" i="78"/>
  <c r="AM7" i="78"/>
  <c r="N8" i="78"/>
  <c r="T8" i="78"/>
  <c r="AJ8" i="78"/>
  <c r="AK8" i="78"/>
  <c r="AL8" i="78"/>
  <c r="AM8" i="78"/>
  <c r="N9" i="78"/>
  <c r="T9" i="78"/>
  <c r="AJ9" i="78"/>
  <c r="AK9" i="78"/>
  <c r="AL9" i="78"/>
  <c r="AM9" i="78"/>
  <c r="N10" i="78"/>
  <c r="T10" i="78"/>
  <c r="AJ10" i="78"/>
  <c r="AK10" i="78"/>
  <c r="AL10" i="78"/>
  <c r="AM10" i="78"/>
  <c r="N11" i="78"/>
  <c r="T11" i="78"/>
  <c r="AJ11" i="78"/>
  <c r="AK11" i="78"/>
  <c r="AL11" i="78"/>
  <c r="AM11" i="78"/>
  <c r="N12" i="78"/>
  <c r="T12" i="78"/>
  <c r="AJ12" i="78"/>
  <c r="AK12" i="78"/>
  <c r="AL12" i="78"/>
  <c r="AM12" i="78"/>
  <c r="N13" i="78"/>
  <c r="T13" i="78"/>
  <c r="AJ13" i="78"/>
  <c r="AK13" i="78"/>
  <c r="AL13" i="78"/>
  <c r="AM13" i="78"/>
  <c r="N14" i="78"/>
  <c r="T14" i="78"/>
  <c r="AJ14" i="78"/>
  <c r="AK14" i="78"/>
  <c r="AL14" i="78"/>
  <c r="AM14" i="78"/>
  <c r="N15" i="78"/>
  <c r="T15" i="78"/>
  <c r="AJ15" i="78"/>
  <c r="AK15" i="78"/>
  <c r="AL15" i="78"/>
  <c r="AM15" i="78"/>
  <c r="N16" i="78"/>
  <c r="T16" i="78"/>
  <c r="AJ16" i="78"/>
  <c r="AK16" i="78"/>
  <c r="AL16" i="78"/>
  <c r="AM16" i="78"/>
  <c r="N17" i="78"/>
  <c r="T17" i="78"/>
  <c r="AJ17" i="78"/>
  <c r="AK17" i="78"/>
  <c r="AL17" i="78"/>
  <c r="AM17" i="78"/>
  <c r="N18" i="78"/>
  <c r="T18" i="78"/>
  <c r="AJ18" i="78"/>
  <c r="AK18" i="78"/>
  <c r="AL18" i="78"/>
  <c r="AM18" i="78"/>
  <c r="N19" i="78"/>
  <c r="T19" i="78"/>
  <c r="AJ19" i="78"/>
  <c r="AK19" i="78"/>
  <c r="AL19" i="78"/>
  <c r="AM19" i="78"/>
  <c r="N20" i="78"/>
  <c r="T20" i="78"/>
  <c r="AJ20" i="78"/>
  <c r="AK20" i="78"/>
  <c r="AL20" i="78"/>
  <c r="AM20" i="78"/>
  <c r="N21" i="78"/>
  <c r="T21" i="78"/>
  <c r="AJ21" i="78"/>
  <c r="AK21" i="78"/>
  <c r="AL21" i="78"/>
  <c r="AM21" i="78"/>
  <c r="N22" i="78"/>
  <c r="T22" i="78"/>
  <c r="AJ22" i="78"/>
  <c r="AK22" i="78"/>
  <c r="AL22" i="78"/>
  <c r="AM22" i="78"/>
  <c r="N23" i="78"/>
  <c r="T23" i="78"/>
  <c r="AJ23" i="78"/>
  <c r="AK23" i="78"/>
  <c r="AL23" i="78"/>
  <c r="AM23" i="78"/>
  <c r="N24" i="78"/>
  <c r="T24" i="78"/>
  <c r="AJ24" i="78"/>
  <c r="AK24" i="78"/>
  <c r="AL24" i="78"/>
  <c r="AM24" i="78"/>
  <c r="N25" i="78"/>
  <c r="T25" i="78"/>
  <c r="AJ25" i="78"/>
  <c r="AK25" i="78"/>
  <c r="AL25" i="78"/>
  <c r="AM25" i="78"/>
  <c r="N26" i="78"/>
  <c r="T26" i="78"/>
  <c r="AJ26" i="78"/>
  <c r="AK26" i="78"/>
  <c r="AL26" i="78"/>
  <c r="AM26" i="78"/>
  <c r="N27" i="78"/>
  <c r="T27" i="78"/>
  <c r="AJ27" i="78"/>
  <c r="AK27" i="78"/>
  <c r="AL27" i="78"/>
  <c r="AM27" i="78"/>
  <c r="N28" i="78"/>
  <c r="T28" i="78"/>
  <c r="AJ28" i="78"/>
  <c r="AK28" i="78"/>
  <c r="AL28" i="78"/>
  <c r="AM28" i="78"/>
  <c r="N29" i="78"/>
  <c r="T29" i="78"/>
  <c r="AJ29" i="78"/>
  <c r="AK29" i="78"/>
  <c r="AL29" i="78"/>
  <c r="AM29" i="78"/>
  <c r="N30" i="78"/>
  <c r="T30" i="78"/>
  <c r="AJ30" i="78"/>
  <c r="AK30" i="78"/>
  <c r="AL30" i="78"/>
  <c r="AM30" i="78"/>
  <c r="N31" i="78"/>
  <c r="T31" i="78"/>
  <c r="AJ31" i="78"/>
  <c r="AK31" i="78"/>
  <c r="AL31" i="78"/>
  <c r="AM31" i="78"/>
  <c r="N32" i="78"/>
  <c r="T32" i="78"/>
  <c r="AJ32" i="78"/>
  <c r="AK32" i="78"/>
  <c r="AL32" i="78"/>
  <c r="AM32" i="78"/>
  <c r="N33" i="78"/>
  <c r="T33" i="78"/>
  <c r="AJ33" i="78"/>
  <c r="AK33" i="78"/>
  <c r="AL33" i="78"/>
  <c r="AM33" i="78"/>
  <c r="N34" i="78"/>
  <c r="T34" i="78"/>
  <c r="AJ34" i="78"/>
  <c r="AK34" i="78"/>
  <c r="AL34" i="78"/>
  <c r="AM34" i="78"/>
  <c r="N35" i="78"/>
  <c r="T35" i="78"/>
  <c r="AJ35" i="78"/>
  <c r="AK35" i="78"/>
  <c r="AL35" i="78"/>
  <c r="AM35" i="78"/>
  <c r="N36" i="78"/>
  <c r="T36" i="78"/>
  <c r="AJ36" i="78"/>
  <c r="AK36" i="78"/>
  <c r="AL36" i="78"/>
  <c r="AM36" i="78"/>
  <c r="N37" i="78"/>
  <c r="T37" i="78"/>
  <c r="AJ37" i="78"/>
  <c r="AK37" i="78"/>
  <c r="AL37" i="78"/>
  <c r="AM37" i="78"/>
  <c r="N38" i="78"/>
  <c r="T38" i="78"/>
  <c r="AJ38" i="78"/>
  <c r="AK38" i="78"/>
  <c r="AL38" i="78"/>
  <c r="AM38" i="78"/>
  <c r="N39" i="78"/>
  <c r="T39" i="78"/>
  <c r="AJ39" i="78"/>
  <c r="AK39" i="78"/>
  <c r="AL39" i="78"/>
  <c r="AM39" i="78"/>
  <c r="N40" i="78"/>
  <c r="T40" i="78"/>
  <c r="AJ40" i="78"/>
  <c r="AK40" i="78"/>
  <c r="AL40" i="78"/>
  <c r="AM40" i="78"/>
  <c r="N41" i="78"/>
  <c r="T41" i="78"/>
  <c r="AJ41" i="78"/>
  <c r="AK41" i="78"/>
  <c r="AL41" i="78"/>
  <c r="AM41" i="78"/>
  <c r="N42" i="78"/>
  <c r="T42" i="78"/>
  <c r="AJ42" i="78"/>
  <c r="AK42" i="78"/>
  <c r="AL42" i="78"/>
  <c r="AM42" i="78"/>
  <c r="N43" i="78"/>
  <c r="T43" i="78"/>
  <c r="AJ43" i="78"/>
  <c r="AK43" i="78"/>
  <c r="AL43" i="78"/>
  <c r="AM43" i="78"/>
  <c r="N44" i="78"/>
  <c r="T44" i="78"/>
  <c r="AJ44" i="78"/>
  <c r="AK44" i="78"/>
  <c r="AL44" i="78"/>
  <c r="AM44" i="78"/>
  <c r="N45" i="78"/>
  <c r="T45" i="78"/>
  <c r="AJ45" i="78"/>
  <c r="AK45" i="78"/>
  <c r="AL45" i="78"/>
  <c r="AM45" i="78"/>
  <c r="N46" i="78"/>
  <c r="T46" i="78"/>
  <c r="AJ46" i="78"/>
  <c r="AK46" i="78"/>
  <c r="AL46" i="78"/>
  <c r="AM46" i="78"/>
  <c r="N47" i="78"/>
  <c r="T47" i="78"/>
  <c r="AJ47" i="78"/>
  <c r="AK47" i="78"/>
  <c r="AL47" i="78"/>
  <c r="AM47" i="78"/>
  <c r="N48" i="78"/>
  <c r="T48" i="78"/>
  <c r="AJ48" i="78"/>
  <c r="AK48" i="78"/>
  <c r="AL48" i="78"/>
  <c r="AM48" i="78"/>
  <c r="N49" i="78"/>
  <c r="T49" i="78"/>
  <c r="AJ49" i="78"/>
  <c r="AK49" i="78"/>
  <c r="AL49" i="78"/>
  <c r="AM49" i="78"/>
  <c r="N50" i="78"/>
  <c r="T50" i="78"/>
  <c r="AJ50" i="78"/>
  <c r="AK50" i="78"/>
  <c r="AL50" i="78"/>
  <c r="AM50" i="78"/>
  <c r="N51" i="78"/>
  <c r="T51" i="78"/>
  <c r="AJ51" i="78"/>
  <c r="AK51" i="78"/>
  <c r="AL51" i="78"/>
  <c r="AM51" i="78"/>
  <c r="N52" i="78"/>
  <c r="T52" i="78"/>
  <c r="AJ52" i="78"/>
  <c r="AK52" i="78"/>
  <c r="AL52" i="78"/>
  <c r="AM52" i="78"/>
  <c r="N54" i="78"/>
  <c r="T54" i="78"/>
  <c r="AJ54" i="78"/>
  <c r="AK54" i="78"/>
  <c r="AL54" i="78"/>
  <c r="AM54" i="78"/>
  <c r="N59" i="78"/>
  <c r="AE59" i="78"/>
  <c r="AF59" i="78"/>
  <c r="AJ59" i="78"/>
  <c r="AK59" i="78"/>
  <c r="N5" i="79"/>
  <c r="T5" i="79"/>
  <c r="AE5" i="79"/>
  <c r="AF5" i="79"/>
  <c r="AG5" i="79"/>
  <c r="AJ5" i="79"/>
  <c r="AK5" i="79"/>
  <c r="AL5" i="79"/>
  <c r="AM5" i="79"/>
  <c r="N6" i="79"/>
  <c r="T6" i="79"/>
  <c r="AE6" i="79"/>
  <c r="AF6" i="79"/>
  <c r="AG6" i="79"/>
  <c r="AJ6" i="79"/>
  <c r="AK6" i="79"/>
  <c r="AL6" i="79"/>
  <c r="AM6" i="79"/>
  <c r="AO6" i="79"/>
  <c r="AP6" i="79"/>
  <c r="N7" i="79"/>
  <c r="T7" i="79"/>
  <c r="AE7" i="79"/>
  <c r="AF7" i="79"/>
  <c r="AG7" i="79"/>
  <c r="AJ7" i="79"/>
  <c r="AK7" i="79"/>
  <c r="AL7" i="79"/>
  <c r="AM7" i="79"/>
  <c r="AO7" i="79"/>
  <c r="AP7" i="79"/>
  <c r="N8" i="79"/>
  <c r="T8" i="79"/>
  <c r="AE8" i="79"/>
  <c r="AF8" i="79"/>
  <c r="AG8" i="79"/>
  <c r="AJ8" i="79"/>
  <c r="AK8" i="79"/>
  <c r="AL8" i="79"/>
  <c r="AM8" i="79"/>
  <c r="AO8" i="79"/>
  <c r="AP8" i="79"/>
  <c r="N9" i="79"/>
  <c r="T9" i="79"/>
  <c r="AE9" i="79"/>
  <c r="AF9" i="79"/>
  <c r="AG9" i="79"/>
  <c r="AJ9" i="79"/>
  <c r="AK9" i="79"/>
  <c r="AL9" i="79"/>
  <c r="AM9" i="79"/>
  <c r="AO9" i="79"/>
  <c r="AP9" i="79"/>
  <c r="N10" i="79"/>
  <c r="T10" i="79"/>
  <c r="AE10" i="79"/>
  <c r="AF10" i="79"/>
  <c r="AG10" i="79"/>
  <c r="AJ10" i="79"/>
  <c r="AK10" i="79"/>
  <c r="AL10" i="79"/>
  <c r="AM10" i="79"/>
  <c r="AO10" i="79"/>
  <c r="AP10" i="79"/>
  <c r="N11" i="79"/>
  <c r="T11" i="79"/>
  <c r="AE11" i="79"/>
  <c r="AF11" i="79"/>
  <c r="AG11" i="79"/>
  <c r="AJ11" i="79"/>
  <c r="AK11" i="79"/>
  <c r="AL11" i="79"/>
  <c r="AM11" i="79"/>
  <c r="AO11" i="79"/>
  <c r="AP11" i="79"/>
  <c r="N12" i="79"/>
  <c r="T12" i="79"/>
  <c r="AE12" i="79"/>
  <c r="AF12" i="79"/>
  <c r="AG12" i="79"/>
  <c r="AJ12" i="79"/>
  <c r="AK12" i="79"/>
  <c r="AL12" i="79"/>
  <c r="AM12" i="79"/>
  <c r="AO12" i="79"/>
  <c r="AP12" i="79"/>
  <c r="N13" i="79"/>
  <c r="T13" i="79"/>
  <c r="AE13" i="79"/>
  <c r="AF13" i="79"/>
  <c r="AG13" i="79"/>
  <c r="AJ13" i="79"/>
  <c r="AK13" i="79"/>
  <c r="AL13" i="79"/>
  <c r="AM13" i="79"/>
  <c r="AO13" i="79"/>
  <c r="AP13" i="79"/>
  <c r="N14" i="79"/>
  <c r="T14" i="79"/>
  <c r="AE14" i="79"/>
  <c r="AF14" i="79"/>
  <c r="AG14" i="79"/>
  <c r="AJ14" i="79"/>
  <c r="AK14" i="79"/>
  <c r="AL14" i="79"/>
  <c r="AM14" i="79"/>
  <c r="AO14" i="79"/>
  <c r="AP14" i="79"/>
  <c r="N15" i="79"/>
  <c r="T15" i="79"/>
  <c r="AE15" i="79"/>
  <c r="AF15" i="79"/>
  <c r="AG15" i="79"/>
  <c r="AJ15" i="79"/>
  <c r="AK15" i="79"/>
  <c r="AL15" i="79"/>
  <c r="AM15" i="79"/>
  <c r="AO15" i="79"/>
  <c r="AP15" i="79"/>
  <c r="N16" i="79"/>
  <c r="T16" i="79"/>
  <c r="AE16" i="79"/>
  <c r="AF16" i="79"/>
  <c r="AG16" i="79"/>
  <c r="AJ16" i="79"/>
  <c r="AK16" i="79"/>
  <c r="AL16" i="79"/>
  <c r="AM16" i="79"/>
  <c r="AO16" i="79"/>
  <c r="AP16" i="79"/>
  <c r="N17" i="79"/>
  <c r="T17" i="79"/>
  <c r="AE17" i="79"/>
  <c r="AF17" i="79"/>
  <c r="AG17" i="79"/>
  <c r="AJ17" i="79"/>
  <c r="AK17" i="79"/>
  <c r="AL17" i="79"/>
  <c r="AM17" i="79"/>
  <c r="AO17" i="79"/>
  <c r="AP17" i="79"/>
  <c r="N18" i="79"/>
  <c r="T18" i="79"/>
  <c r="AE18" i="79"/>
  <c r="AF18" i="79"/>
  <c r="AG18" i="79"/>
  <c r="AJ18" i="79"/>
  <c r="AK18" i="79"/>
  <c r="AL18" i="79"/>
  <c r="AM18" i="79"/>
  <c r="AO18" i="79"/>
  <c r="AP18" i="79"/>
  <c r="N19" i="79"/>
  <c r="T19" i="79"/>
  <c r="AE19" i="79"/>
  <c r="AF19" i="79"/>
  <c r="AG19" i="79"/>
  <c r="AJ19" i="79"/>
  <c r="AK19" i="79"/>
  <c r="AL19" i="79"/>
  <c r="AM19" i="79"/>
  <c r="AO19" i="79"/>
  <c r="AP19" i="79"/>
  <c r="N20" i="79"/>
  <c r="T20" i="79"/>
  <c r="AE20" i="79"/>
  <c r="AF20" i="79"/>
  <c r="AG20" i="79"/>
  <c r="AJ20" i="79"/>
  <c r="AK20" i="79"/>
  <c r="AL20" i="79"/>
  <c r="AM20" i="79"/>
  <c r="AO20" i="79"/>
  <c r="AP20" i="79"/>
  <c r="N21" i="79"/>
  <c r="T21" i="79"/>
  <c r="AE21" i="79"/>
  <c r="AF21" i="79"/>
  <c r="AG21" i="79"/>
  <c r="AJ21" i="79"/>
  <c r="AK21" i="79"/>
  <c r="AL21" i="79"/>
  <c r="AM21" i="79"/>
  <c r="AO21" i="79"/>
  <c r="AP21" i="79"/>
  <c r="N22" i="79"/>
  <c r="T22" i="79"/>
  <c r="AE22" i="79"/>
  <c r="AF22" i="79"/>
  <c r="AG22" i="79"/>
  <c r="AJ22" i="79"/>
  <c r="AK22" i="79"/>
  <c r="AL22" i="79"/>
  <c r="AM22" i="79"/>
  <c r="AO22" i="79"/>
  <c r="AP22" i="79"/>
  <c r="N23" i="79"/>
  <c r="T23" i="79"/>
  <c r="AE23" i="79"/>
  <c r="AF23" i="79"/>
  <c r="AG23" i="79"/>
  <c r="AJ23" i="79"/>
  <c r="AK23" i="79"/>
  <c r="AL23" i="79"/>
  <c r="AM23" i="79"/>
  <c r="AO23" i="79"/>
  <c r="AP23" i="79"/>
  <c r="N24" i="79"/>
  <c r="T24" i="79"/>
  <c r="AE24" i="79"/>
  <c r="AF24" i="79"/>
  <c r="AG24" i="79"/>
  <c r="AJ24" i="79"/>
  <c r="AK24" i="79"/>
  <c r="AL24" i="79"/>
  <c r="AM24" i="79"/>
  <c r="AO24" i="79"/>
  <c r="AP24" i="79"/>
  <c r="N25" i="79"/>
  <c r="T25" i="79"/>
  <c r="AE25" i="79"/>
  <c r="AF25" i="79"/>
  <c r="AG25" i="79"/>
  <c r="AJ25" i="79"/>
  <c r="AK25" i="79"/>
  <c r="AL25" i="79"/>
  <c r="AM25" i="79"/>
  <c r="AO25" i="79"/>
  <c r="AP25" i="79"/>
  <c r="N26" i="79"/>
  <c r="T26" i="79"/>
  <c r="AE26" i="79"/>
  <c r="AF26" i="79"/>
  <c r="AG26" i="79"/>
  <c r="AJ26" i="79"/>
  <c r="AK26" i="79"/>
  <c r="AL26" i="79"/>
  <c r="AM26" i="79"/>
  <c r="AO26" i="79"/>
  <c r="AP26" i="79"/>
  <c r="N27" i="79"/>
  <c r="T27" i="79"/>
  <c r="AE27" i="79"/>
  <c r="AF27" i="79"/>
  <c r="AG27" i="79"/>
  <c r="AJ27" i="79"/>
  <c r="AK27" i="79"/>
  <c r="AL27" i="79"/>
  <c r="AM27" i="79"/>
  <c r="AO27" i="79"/>
  <c r="AP27" i="79"/>
  <c r="N28" i="79"/>
  <c r="T28" i="79"/>
  <c r="AE28" i="79"/>
  <c r="AF28" i="79"/>
  <c r="AG28" i="79"/>
  <c r="AJ28" i="79"/>
  <c r="AK28" i="79"/>
  <c r="AL28" i="79"/>
  <c r="AM28" i="79"/>
  <c r="AO28" i="79"/>
  <c r="AP28" i="79"/>
  <c r="N29" i="79"/>
  <c r="T29" i="79"/>
  <c r="AE29" i="79"/>
  <c r="AF29" i="79"/>
  <c r="AG29" i="79"/>
  <c r="AJ29" i="79"/>
  <c r="AK29" i="79"/>
  <c r="AL29" i="79"/>
  <c r="AM29" i="79"/>
  <c r="AO29" i="79"/>
  <c r="AP29" i="79"/>
  <c r="N30" i="79"/>
  <c r="T30" i="79"/>
  <c r="AE30" i="79"/>
  <c r="AF30" i="79"/>
  <c r="AG30" i="79"/>
  <c r="AJ30" i="79"/>
  <c r="AK30" i="79"/>
  <c r="AL30" i="79"/>
  <c r="AM30" i="79"/>
  <c r="AO30" i="79"/>
  <c r="AP30" i="79"/>
  <c r="N31" i="79"/>
  <c r="T31" i="79"/>
  <c r="AE31" i="79"/>
  <c r="AF31" i="79"/>
  <c r="AG31" i="79"/>
  <c r="AJ31" i="79"/>
  <c r="AK31" i="79"/>
  <c r="AL31" i="79"/>
  <c r="AM31" i="79"/>
  <c r="AO31" i="79"/>
  <c r="AP31" i="79"/>
  <c r="N32" i="79"/>
  <c r="T32" i="79"/>
  <c r="AE32" i="79"/>
  <c r="AF32" i="79"/>
  <c r="AG32" i="79"/>
  <c r="AJ32" i="79"/>
  <c r="AK32" i="79"/>
  <c r="AL32" i="79"/>
  <c r="AM32" i="79"/>
  <c r="AO32" i="79"/>
  <c r="AP32" i="79"/>
  <c r="N33" i="79"/>
  <c r="T33" i="79"/>
  <c r="AE33" i="79"/>
  <c r="AF33" i="79"/>
  <c r="AG33" i="79"/>
  <c r="AJ33" i="79"/>
  <c r="AK33" i="79"/>
  <c r="AL33" i="79"/>
  <c r="AM33" i="79"/>
  <c r="AO33" i="79"/>
  <c r="AP33" i="79"/>
  <c r="N34" i="79"/>
  <c r="T34" i="79"/>
  <c r="AE34" i="79"/>
  <c r="AF34" i="79"/>
  <c r="AG34" i="79"/>
  <c r="AJ34" i="79"/>
  <c r="AK34" i="79"/>
  <c r="AL34" i="79"/>
  <c r="AM34" i="79"/>
  <c r="AO34" i="79"/>
  <c r="AP34" i="79"/>
  <c r="N35" i="79"/>
  <c r="T35" i="79"/>
  <c r="AE35" i="79"/>
  <c r="AF35" i="79"/>
  <c r="AG35" i="79"/>
  <c r="AJ35" i="79"/>
  <c r="AK35" i="79"/>
  <c r="AL35" i="79"/>
  <c r="AM35" i="79"/>
  <c r="AO35" i="79"/>
  <c r="AP35" i="79"/>
  <c r="N36" i="79"/>
  <c r="T36" i="79"/>
  <c r="AE36" i="79"/>
  <c r="AF36" i="79"/>
  <c r="AG36" i="79"/>
  <c r="AJ36" i="79"/>
  <c r="AK36" i="79"/>
  <c r="AL36" i="79"/>
  <c r="AM36" i="79"/>
  <c r="AO36" i="79"/>
  <c r="AP36" i="79"/>
  <c r="N37" i="79"/>
  <c r="T37" i="79"/>
  <c r="AE37" i="79"/>
  <c r="AF37" i="79"/>
  <c r="AG37" i="79"/>
  <c r="AJ37" i="79"/>
  <c r="AK37" i="79"/>
  <c r="AL37" i="79"/>
  <c r="AM37" i="79"/>
  <c r="AO37" i="79"/>
  <c r="AP37" i="79"/>
  <c r="N38" i="79"/>
  <c r="T38" i="79"/>
  <c r="AE38" i="79"/>
  <c r="AF38" i="79"/>
  <c r="AG38" i="79"/>
  <c r="AJ38" i="79"/>
  <c r="AK38" i="79"/>
  <c r="AL38" i="79"/>
  <c r="AM38" i="79"/>
  <c r="AO38" i="79"/>
  <c r="AP38" i="79"/>
  <c r="N39" i="79"/>
  <c r="T39" i="79"/>
  <c r="AE39" i="79"/>
  <c r="AF39" i="79"/>
  <c r="AG39" i="79"/>
  <c r="AJ39" i="79"/>
  <c r="AK39" i="79"/>
  <c r="AL39" i="79"/>
  <c r="AM39" i="79"/>
  <c r="AO39" i="79"/>
  <c r="AP39" i="79"/>
  <c r="N40" i="79"/>
  <c r="T40" i="79"/>
  <c r="AE40" i="79"/>
  <c r="AF40" i="79"/>
  <c r="AG40" i="79"/>
  <c r="AJ40" i="79"/>
  <c r="AK40" i="79"/>
  <c r="AL40" i="79"/>
  <c r="AM40" i="79"/>
  <c r="AO40" i="79"/>
  <c r="AP40" i="79"/>
  <c r="N41" i="79"/>
  <c r="T41" i="79"/>
  <c r="AE41" i="79"/>
  <c r="AF41" i="79"/>
  <c r="AG41" i="79"/>
  <c r="AJ41" i="79"/>
  <c r="AK41" i="79"/>
  <c r="AL41" i="79"/>
  <c r="AM41" i="79"/>
  <c r="AO41" i="79"/>
  <c r="AP41" i="79"/>
  <c r="N42" i="79"/>
  <c r="T42" i="79"/>
  <c r="AE42" i="79"/>
  <c r="AF42" i="79"/>
  <c r="AG42" i="79"/>
  <c r="AJ42" i="79"/>
  <c r="AK42" i="79"/>
  <c r="AL42" i="79"/>
  <c r="AM42" i="79"/>
  <c r="AO42" i="79"/>
  <c r="AP42" i="79"/>
  <c r="N43" i="79"/>
  <c r="T43" i="79"/>
  <c r="AE43" i="79"/>
  <c r="AF43" i="79"/>
  <c r="AG43" i="79"/>
  <c r="AJ43" i="79"/>
  <c r="AK43" i="79"/>
  <c r="AL43" i="79"/>
  <c r="AM43" i="79"/>
  <c r="AO43" i="79"/>
  <c r="AP43" i="79"/>
  <c r="N44" i="79"/>
  <c r="T44" i="79"/>
  <c r="AE44" i="79"/>
  <c r="AF44" i="79"/>
  <c r="AG44" i="79"/>
  <c r="AJ44" i="79"/>
  <c r="AK44" i="79"/>
  <c r="AL44" i="79"/>
  <c r="AM44" i="79"/>
  <c r="AO44" i="79"/>
  <c r="AP44" i="79"/>
  <c r="N45" i="79"/>
  <c r="T45" i="79"/>
  <c r="AE45" i="79"/>
  <c r="AF45" i="79"/>
  <c r="AG45" i="79"/>
  <c r="AJ45" i="79"/>
  <c r="AK45" i="79"/>
  <c r="AL45" i="79"/>
  <c r="AM45" i="79"/>
  <c r="AO45" i="79"/>
  <c r="AP45" i="79"/>
  <c r="N46" i="79"/>
  <c r="T46" i="79"/>
  <c r="AE46" i="79"/>
  <c r="AF46" i="79"/>
  <c r="AG46" i="79"/>
  <c r="AJ46" i="79"/>
  <c r="AK46" i="79"/>
  <c r="AL46" i="79"/>
  <c r="AM46" i="79"/>
  <c r="AO46" i="79"/>
  <c r="AP46" i="79"/>
  <c r="N47" i="79"/>
  <c r="T47" i="79"/>
  <c r="AE47" i="79"/>
  <c r="AF47" i="79"/>
  <c r="AG47" i="79"/>
  <c r="AJ47" i="79"/>
  <c r="AK47" i="79"/>
  <c r="AL47" i="79"/>
  <c r="AM47" i="79"/>
  <c r="AO47" i="79"/>
  <c r="AP47" i="79"/>
  <c r="N48" i="79"/>
  <c r="T48" i="79"/>
  <c r="AE48" i="79"/>
  <c r="AF48" i="79"/>
  <c r="AG48" i="79"/>
  <c r="AJ48" i="79"/>
  <c r="AK48" i="79"/>
  <c r="AL48" i="79"/>
  <c r="AM48" i="79"/>
  <c r="AO48" i="79"/>
  <c r="AP48" i="79"/>
  <c r="N49" i="79"/>
  <c r="T49" i="79"/>
  <c r="AE49" i="79"/>
  <c r="AF49" i="79"/>
  <c r="AG49" i="79"/>
  <c r="AJ49" i="79"/>
  <c r="AK49" i="79"/>
  <c r="AL49" i="79"/>
  <c r="AM49" i="79"/>
  <c r="AO49" i="79"/>
  <c r="AP49" i="79"/>
  <c r="N50" i="79"/>
  <c r="T50" i="79"/>
  <c r="AE50" i="79"/>
  <c r="AF50" i="79"/>
  <c r="AG50" i="79"/>
  <c r="AJ50" i="79"/>
  <c r="AK50" i="79"/>
  <c r="AL50" i="79"/>
  <c r="AM50" i="79"/>
  <c r="AO50" i="79"/>
  <c r="AP50" i="79"/>
  <c r="N51" i="79"/>
  <c r="T51" i="79"/>
  <c r="AE51" i="79"/>
  <c r="AF51" i="79"/>
  <c r="AG51" i="79"/>
  <c r="AJ51" i="79"/>
  <c r="AK51" i="79"/>
  <c r="AL51" i="79"/>
  <c r="AM51" i="79"/>
  <c r="AO51" i="79"/>
  <c r="AP51" i="79"/>
  <c r="N52" i="79"/>
  <c r="T52" i="79"/>
  <c r="AE52" i="79"/>
  <c r="AF52" i="79"/>
  <c r="AG52" i="79"/>
  <c r="AJ52" i="79"/>
  <c r="AK52" i="79"/>
  <c r="AL52" i="79"/>
  <c r="AM52" i="79"/>
  <c r="AO52" i="79"/>
  <c r="AP52" i="79"/>
  <c r="N54" i="79"/>
  <c r="T54" i="79"/>
  <c r="AE54" i="79"/>
  <c r="AF54" i="79"/>
  <c r="AG54" i="79"/>
  <c r="AJ54" i="79"/>
  <c r="AK54" i="79"/>
  <c r="AL54" i="79"/>
  <c r="AM54" i="79"/>
  <c r="AO54" i="79"/>
  <c r="AP54" i="79"/>
  <c r="AO56" i="79"/>
  <c r="AP56" i="79"/>
  <c r="AE59" i="79"/>
  <c r="AF59" i="79"/>
  <c r="N5" i="93"/>
  <c r="T5" i="93"/>
  <c r="AE5" i="93"/>
  <c r="AF5" i="93"/>
  <c r="AG5" i="93"/>
  <c r="AJ5" i="93"/>
  <c r="AK5" i="93"/>
  <c r="AL5" i="93"/>
  <c r="AM5" i="93"/>
  <c r="AX5" i="93"/>
  <c r="AZ5" i="93"/>
  <c r="N6" i="93"/>
  <c r="T6" i="93"/>
  <c r="AE6" i="93"/>
  <c r="AF6" i="93"/>
  <c r="AG6" i="93"/>
  <c r="AJ6" i="93"/>
  <c r="AK6" i="93"/>
  <c r="AL6" i="93"/>
  <c r="AM6" i="93"/>
  <c r="AO6" i="93"/>
  <c r="AP6" i="93"/>
  <c r="AW6" i="93"/>
  <c r="AX6" i="93"/>
  <c r="AZ6" i="93"/>
  <c r="N7" i="93"/>
  <c r="T7" i="93"/>
  <c r="AE7" i="93"/>
  <c r="AF7" i="93"/>
  <c r="AG7" i="93"/>
  <c r="AJ7" i="93"/>
  <c r="AK7" i="93"/>
  <c r="AL7" i="93"/>
  <c r="AM7" i="93"/>
  <c r="AO7" i="93"/>
  <c r="AP7" i="93"/>
  <c r="AW7" i="93"/>
  <c r="AX7" i="93"/>
  <c r="AZ7" i="93"/>
  <c r="N8" i="93"/>
  <c r="T8" i="93"/>
  <c r="AE8" i="93"/>
  <c r="AF8" i="93"/>
  <c r="AG8" i="93"/>
  <c r="AJ8" i="93"/>
  <c r="AK8" i="93"/>
  <c r="AL8" i="93"/>
  <c r="AM8" i="93"/>
  <c r="AO8" i="93"/>
  <c r="AP8" i="93"/>
  <c r="AW8" i="93"/>
  <c r="AX8" i="93"/>
  <c r="AZ8" i="93"/>
  <c r="N9" i="93"/>
  <c r="T9" i="93"/>
  <c r="AE9" i="93"/>
  <c r="AF9" i="93"/>
  <c r="AG9" i="93"/>
  <c r="AJ9" i="93"/>
  <c r="AK9" i="93"/>
  <c r="AL9" i="93"/>
  <c r="AM9" i="93"/>
  <c r="AO9" i="93"/>
  <c r="AP9" i="93"/>
  <c r="AW9" i="93"/>
  <c r="AX9" i="93"/>
  <c r="AZ9" i="93"/>
  <c r="N10" i="93"/>
  <c r="T10" i="93"/>
  <c r="AE10" i="93"/>
  <c r="AF10" i="93"/>
  <c r="AG10" i="93"/>
  <c r="AJ10" i="93"/>
  <c r="AK10" i="93"/>
  <c r="AL10" i="93"/>
  <c r="AM10" i="93"/>
  <c r="AO10" i="93"/>
  <c r="AP10" i="93"/>
  <c r="AW10" i="93"/>
  <c r="AX10" i="93"/>
  <c r="AZ10" i="93"/>
  <c r="N11" i="93"/>
  <c r="T11" i="93"/>
  <c r="AE11" i="93"/>
  <c r="AF11" i="93"/>
  <c r="AG11" i="93"/>
  <c r="AJ11" i="93"/>
  <c r="AK11" i="93"/>
  <c r="AL11" i="93"/>
  <c r="AM11" i="93"/>
  <c r="AO11" i="93"/>
  <c r="AP11" i="93"/>
  <c r="AW11" i="93"/>
  <c r="AX11" i="93"/>
  <c r="AZ11" i="93"/>
  <c r="N12" i="93"/>
  <c r="T12" i="93"/>
  <c r="AE12" i="93"/>
  <c r="AF12" i="93"/>
  <c r="AG12" i="93"/>
  <c r="AJ12" i="93"/>
  <c r="AK12" i="93"/>
  <c r="AL12" i="93"/>
  <c r="AM12" i="93"/>
  <c r="AO12" i="93"/>
  <c r="AP12" i="93"/>
  <c r="AW12" i="93"/>
  <c r="AX12" i="93"/>
  <c r="AZ12" i="93"/>
  <c r="N13" i="93"/>
  <c r="T13" i="93"/>
  <c r="AE13" i="93"/>
  <c r="AF13" i="93"/>
  <c r="AG13" i="93"/>
  <c r="AJ13" i="93"/>
  <c r="AK13" i="93"/>
  <c r="AL13" i="93"/>
  <c r="AM13" i="93"/>
  <c r="AO13" i="93"/>
  <c r="AP13" i="93"/>
  <c r="AW13" i="93"/>
  <c r="AX13" i="93"/>
  <c r="AZ13" i="93"/>
  <c r="N14" i="93"/>
  <c r="T14" i="93"/>
  <c r="AE14" i="93"/>
  <c r="AF14" i="93"/>
  <c r="AG14" i="93"/>
  <c r="AJ14" i="93"/>
  <c r="AK14" i="93"/>
  <c r="AL14" i="93"/>
  <c r="AM14" i="93"/>
  <c r="AO14" i="93"/>
  <c r="AP14" i="93"/>
  <c r="AW14" i="93"/>
  <c r="AX14" i="93"/>
  <c r="AZ14" i="93"/>
  <c r="N15" i="93"/>
  <c r="T15" i="93"/>
  <c r="AE15" i="93"/>
  <c r="AF15" i="93"/>
  <c r="AG15" i="93"/>
  <c r="AJ15" i="93"/>
  <c r="AK15" i="93"/>
  <c r="AL15" i="93"/>
  <c r="AM15" i="93"/>
  <c r="AO15" i="93"/>
  <c r="AP15" i="93"/>
  <c r="AW15" i="93"/>
  <c r="AX15" i="93"/>
  <c r="AZ15" i="93"/>
  <c r="N16" i="93"/>
  <c r="T16" i="93"/>
  <c r="AE16" i="93"/>
  <c r="AF16" i="93"/>
  <c r="AG16" i="93"/>
  <c r="AJ16" i="93"/>
  <c r="AK16" i="93"/>
  <c r="AL16" i="93"/>
  <c r="AM16" i="93"/>
  <c r="AO16" i="93"/>
  <c r="AP16" i="93"/>
  <c r="AW16" i="93"/>
  <c r="AX16" i="93"/>
  <c r="AZ16" i="93"/>
  <c r="N17" i="93"/>
  <c r="T17" i="93"/>
  <c r="AE17" i="93"/>
  <c r="AF17" i="93"/>
  <c r="AG17" i="93"/>
  <c r="AJ17" i="93"/>
  <c r="AK17" i="93"/>
  <c r="AL17" i="93"/>
  <c r="AM17" i="93"/>
  <c r="AO17" i="93"/>
  <c r="AP17" i="93"/>
  <c r="AW17" i="93"/>
  <c r="AX17" i="93"/>
  <c r="AZ17" i="93"/>
  <c r="N18" i="93"/>
  <c r="T18" i="93"/>
  <c r="AE18" i="93"/>
  <c r="AF18" i="93"/>
  <c r="AG18" i="93"/>
  <c r="AJ18" i="93"/>
  <c r="AK18" i="93"/>
  <c r="AL18" i="93"/>
  <c r="AM18" i="93"/>
  <c r="AO18" i="93"/>
  <c r="AP18" i="93"/>
  <c r="AW18" i="93"/>
  <c r="AX18" i="93"/>
  <c r="AZ18" i="93"/>
  <c r="N19" i="93"/>
  <c r="T19" i="93"/>
  <c r="AE19" i="93"/>
  <c r="AF19" i="93"/>
  <c r="AG19" i="93"/>
  <c r="AJ19" i="93"/>
  <c r="AK19" i="93"/>
  <c r="AL19" i="93"/>
  <c r="AM19" i="93"/>
  <c r="AO19" i="93"/>
  <c r="AP19" i="93"/>
  <c r="AW19" i="93"/>
  <c r="AX19" i="93"/>
  <c r="AZ19" i="93"/>
  <c r="N20" i="93"/>
  <c r="T20" i="93"/>
  <c r="AE20" i="93"/>
  <c r="AF20" i="93"/>
  <c r="AG20" i="93"/>
  <c r="AJ20" i="93"/>
  <c r="AK20" i="93"/>
  <c r="AL20" i="93"/>
  <c r="AM20" i="93"/>
  <c r="AO20" i="93"/>
  <c r="AP20" i="93"/>
  <c r="AW20" i="93"/>
  <c r="AX20" i="93"/>
  <c r="AZ20" i="93"/>
  <c r="N21" i="93"/>
  <c r="T21" i="93"/>
  <c r="AE21" i="93"/>
  <c r="AF21" i="93"/>
  <c r="AG21" i="93"/>
  <c r="AJ21" i="93"/>
  <c r="AK21" i="93"/>
  <c r="AL21" i="93"/>
  <c r="AM21" i="93"/>
  <c r="AO21" i="93"/>
  <c r="AP21" i="93"/>
  <c r="AW21" i="93"/>
  <c r="AX21" i="93"/>
  <c r="AZ21" i="93"/>
  <c r="N22" i="93"/>
  <c r="T22" i="93"/>
  <c r="AE22" i="93"/>
  <c r="AF22" i="93"/>
  <c r="AG22" i="93"/>
  <c r="AJ22" i="93"/>
  <c r="AK22" i="93"/>
  <c r="AL22" i="93"/>
  <c r="AM22" i="93"/>
  <c r="AO22" i="93"/>
  <c r="AP22" i="93"/>
  <c r="AW22" i="93"/>
  <c r="AX22" i="93"/>
  <c r="AZ22" i="93"/>
  <c r="N23" i="93"/>
  <c r="T23" i="93"/>
  <c r="AE23" i="93"/>
  <c r="AF23" i="93"/>
  <c r="AG23" i="93"/>
  <c r="AJ23" i="93"/>
  <c r="AK23" i="93"/>
  <c r="AL23" i="93"/>
  <c r="AM23" i="93"/>
  <c r="AO23" i="93"/>
  <c r="AP23" i="93"/>
  <c r="AW23" i="93"/>
  <c r="AX23" i="93"/>
  <c r="AZ23" i="93"/>
  <c r="N24" i="93"/>
  <c r="T24" i="93"/>
  <c r="AE24" i="93"/>
  <c r="AF24" i="93"/>
  <c r="AG24" i="93"/>
  <c r="AJ24" i="93"/>
  <c r="AK24" i="93"/>
  <c r="AL24" i="93"/>
  <c r="AM24" i="93"/>
  <c r="AO24" i="93"/>
  <c r="AP24" i="93"/>
  <c r="AW24" i="93"/>
  <c r="AX24" i="93"/>
  <c r="AZ24" i="93"/>
  <c r="N25" i="93"/>
  <c r="T25" i="93"/>
  <c r="AE25" i="93"/>
  <c r="AF25" i="93"/>
  <c r="AG25" i="93"/>
  <c r="AJ25" i="93"/>
  <c r="AK25" i="93"/>
  <c r="AL25" i="93"/>
  <c r="AM25" i="93"/>
  <c r="AO25" i="93"/>
  <c r="AP25" i="93"/>
  <c r="AW25" i="93"/>
  <c r="AX25" i="93"/>
  <c r="AZ25" i="93"/>
  <c r="N26" i="93"/>
  <c r="T26" i="93"/>
  <c r="AE26" i="93"/>
  <c r="AF26" i="93"/>
  <c r="AG26" i="93"/>
  <c r="AJ26" i="93"/>
  <c r="AK26" i="93"/>
  <c r="AL26" i="93"/>
  <c r="AM26" i="93"/>
  <c r="AO26" i="93"/>
  <c r="AP26" i="93"/>
  <c r="AW26" i="93"/>
  <c r="AX26" i="93"/>
  <c r="AZ26" i="93"/>
  <c r="N27" i="93"/>
  <c r="T27" i="93"/>
  <c r="AE27" i="93"/>
  <c r="AF27" i="93"/>
  <c r="AG27" i="93"/>
  <c r="AJ27" i="93"/>
  <c r="AK27" i="93"/>
  <c r="AL27" i="93"/>
  <c r="AM27" i="93"/>
  <c r="AO27" i="93"/>
  <c r="AP27" i="93"/>
  <c r="AW27" i="93"/>
  <c r="AX27" i="93"/>
  <c r="AZ27" i="93"/>
  <c r="N28" i="93"/>
  <c r="T28" i="93"/>
  <c r="AE28" i="93"/>
  <c r="AF28" i="93"/>
  <c r="AG28" i="93"/>
  <c r="AJ28" i="93"/>
  <c r="AK28" i="93"/>
  <c r="AL28" i="93"/>
  <c r="AM28" i="93"/>
  <c r="AO28" i="93"/>
  <c r="AP28" i="93"/>
  <c r="AW28" i="93"/>
  <c r="AX28" i="93"/>
  <c r="AZ28" i="93"/>
  <c r="N29" i="93"/>
  <c r="T29" i="93"/>
  <c r="AE29" i="93"/>
  <c r="AF29" i="93"/>
  <c r="AG29" i="93"/>
  <c r="AJ29" i="93"/>
  <c r="AK29" i="93"/>
  <c r="AL29" i="93"/>
  <c r="AM29" i="93"/>
  <c r="AO29" i="93"/>
  <c r="AP29" i="93"/>
  <c r="AW29" i="93"/>
  <c r="AX29" i="93"/>
  <c r="AZ29" i="93"/>
  <c r="N30" i="93"/>
  <c r="T30" i="93"/>
  <c r="AE30" i="93"/>
  <c r="AF30" i="93"/>
  <c r="AG30" i="93"/>
  <c r="AJ30" i="93"/>
  <c r="AK30" i="93"/>
  <c r="AL30" i="93"/>
  <c r="AM30" i="93"/>
  <c r="AO30" i="93"/>
  <c r="AP30" i="93"/>
  <c r="AW30" i="93"/>
  <c r="AX30" i="93"/>
  <c r="AZ30" i="93"/>
  <c r="N31" i="93"/>
  <c r="T31" i="93"/>
  <c r="AE31" i="93"/>
  <c r="AF31" i="93"/>
  <c r="AG31" i="93"/>
  <c r="AJ31" i="93"/>
  <c r="AK31" i="93"/>
  <c r="AL31" i="93"/>
  <c r="AM31" i="93"/>
  <c r="AO31" i="93"/>
  <c r="AP31" i="93"/>
  <c r="AW31" i="93"/>
  <c r="AX31" i="93"/>
  <c r="AZ31" i="93"/>
  <c r="N32" i="93"/>
  <c r="T32" i="93"/>
  <c r="AE32" i="93"/>
  <c r="AF32" i="93"/>
  <c r="AG32" i="93"/>
  <c r="AJ32" i="93"/>
  <c r="AK32" i="93"/>
  <c r="AL32" i="93"/>
  <c r="AM32" i="93"/>
  <c r="AO32" i="93"/>
  <c r="AP32" i="93"/>
  <c r="AW32" i="93"/>
  <c r="AX32" i="93"/>
  <c r="AZ32" i="93"/>
  <c r="N33" i="93"/>
  <c r="T33" i="93"/>
  <c r="AE33" i="93"/>
  <c r="AF33" i="93"/>
  <c r="AG33" i="93"/>
  <c r="AJ33" i="93"/>
  <c r="AK33" i="93"/>
  <c r="AL33" i="93"/>
  <c r="AM33" i="93"/>
  <c r="AO33" i="93"/>
  <c r="AP33" i="93"/>
  <c r="AW33" i="93"/>
  <c r="AX33" i="93"/>
  <c r="AZ33" i="93"/>
  <c r="N34" i="93"/>
  <c r="T34" i="93"/>
  <c r="AE34" i="93"/>
  <c r="AF34" i="93"/>
  <c r="AG34" i="93"/>
  <c r="AJ34" i="93"/>
  <c r="AK34" i="93"/>
  <c r="AL34" i="93"/>
  <c r="AM34" i="93"/>
  <c r="AO34" i="93"/>
  <c r="AP34" i="93"/>
  <c r="AW34" i="93"/>
  <c r="AX34" i="93"/>
  <c r="AZ34" i="93"/>
  <c r="N35" i="93"/>
  <c r="T35" i="93"/>
  <c r="AE35" i="93"/>
  <c r="AF35" i="93"/>
  <c r="AG35" i="93"/>
  <c r="AJ35" i="93"/>
  <c r="AK35" i="93"/>
  <c r="AL35" i="93"/>
  <c r="AM35" i="93"/>
  <c r="AO35" i="93"/>
  <c r="AP35" i="93"/>
  <c r="AW35" i="93"/>
  <c r="AX35" i="93"/>
  <c r="AZ35" i="93"/>
  <c r="N36" i="93"/>
  <c r="T36" i="93"/>
  <c r="AE36" i="93"/>
  <c r="AF36" i="93"/>
  <c r="AG36" i="93"/>
  <c r="AJ36" i="93"/>
  <c r="AK36" i="93"/>
  <c r="AL36" i="93"/>
  <c r="AM36" i="93"/>
  <c r="AO36" i="93"/>
  <c r="AP36" i="93"/>
  <c r="AW36" i="93"/>
  <c r="AX36" i="93"/>
  <c r="AZ36" i="93"/>
  <c r="N37" i="93"/>
  <c r="T37" i="93"/>
  <c r="AE37" i="93"/>
  <c r="AF37" i="93"/>
  <c r="AG37" i="93"/>
  <c r="AJ37" i="93"/>
  <c r="AK37" i="93"/>
  <c r="AL37" i="93"/>
  <c r="AM37" i="93"/>
  <c r="AO37" i="93"/>
  <c r="AP37" i="93"/>
  <c r="AW37" i="93"/>
  <c r="AX37" i="93"/>
  <c r="AZ37" i="93"/>
  <c r="N38" i="93"/>
  <c r="T38" i="93"/>
  <c r="AE38" i="93"/>
  <c r="AF38" i="93"/>
  <c r="AG38" i="93"/>
  <c r="AJ38" i="93"/>
  <c r="AK38" i="93"/>
  <c r="AL38" i="93"/>
  <c r="AM38" i="93"/>
  <c r="AO38" i="93"/>
  <c r="AP38" i="93"/>
  <c r="AW38" i="93"/>
  <c r="AX38" i="93"/>
  <c r="AZ38" i="93"/>
  <c r="N39" i="93"/>
  <c r="T39" i="93"/>
  <c r="AE39" i="93"/>
  <c r="AF39" i="93"/>
  <c r="AG39" i="93"/>
  <c r="AJ39" i="93"/>
  <c r="AK39" i="93"/>
  <c r="AL39" i="93"/>
  <c r="AM39" i="93"/>
  <c r="AO39" i="93"/>
  <c r="AP39" i="93"/>
  <c r="AW39" i="93"/>
  <c r="AX39" i="93"/>
  <c r="AZ39" i="93"/>
  <c r="N40" i="93"/>
  <c r="T40" i="93"/>
  <c r="AE40" i="93"/>
  <c r="AF40" i="93"/>
  <c r="AG40" i="93"/>
  <c r="AJ40" i="93"/>
  <c r="AK40" i="93"/>
  <c r="AL40" i="93"/>
  <c r="AM40" i="93"/>
  <c r="AO40" i="93"/>
  <c r="AP40" i="93"/>
  <c r="AW40" i="93"/>
  <c r="AX40" i="93"/>
  <c r="AZ40" i="93"/>
  <c r="N41" i="93"/>
  <c r="T41" i="93"/>
  <c r="AE41" i="93"/>
  <c r="AF41" i="93"/>
  <c r="AG41" i="93"/>
  <c r="AJ41" i="93"/>
  <c r="AK41" i="93"/>
  <c r="AL41" i="93"/>
  <c r="AM41" i="93"/>
  <c r="AO41" i="93"/>
  <c r="AP41" i="93"/>
  <c r="AW41" i="93"/>
  <c r="AX41" i="93"/>
  <c r="AZ41" i="93"/>
  <c r="N42" i="93"/>
  <c r="T42" i="93"/>
  <c r="AE42" i="93"/>
  <c r="AF42" i="93"/>
  <c r="AG42" i="93"/>
  <c r="AJ42" i="93"/>
  <c r="AK42" i="93"/>
  <c r="AL42" i="93"/>
  <c r="AM42" i="93"/>
  <c r="AO42" i="93"/>
  <c r="AP42" i="93"/>
  <c r="AW42" i="93"/>
  <c r="AX42" i="93"/>
  <c r="AZ42" i="93"/>
  <c r="N43" i="93"/>
  <c r="T43" i="93"/>
  <c r="AE43" i="93"/>
  <c r="AF43" i="93"/>
  <c r="AG43" i="93"/>
  <c r="AJ43" i="93"/>
  <c r="AK43" i="93"/>
  <c r="AL43" i="93"/>
  <c r="AM43" i="93"/>
  <c r="AO43" i="93"/>
  <c r="AP43" i="93"/>
  <c r="AW43" i="93"/>
  <c r="AX43" i="93"/>
  <c r="AZ43" i="93"/>
  <c r="N44" i="93"/>
  <c r="T44" i="93"/>
  <c r="AE44" i="93"/>
  <c r="AF44" i="93"/>
  <c r="AG44" i="93"/>
  <c r="AJ44" i="93"/>
  <c r="AK44" i="93"/>
  <c r="AL44" i="93"/>
  <c r="AM44" i="93"/>
  <c r="AO44" i="93"/>
  <c r="AP44" i="93"/>
  <c r="AW44" i="93"/>
  <c r="AX44" i="93"/>
  <c r="AZ44" i="93"/>
  <c r="N45" i="93"/>
  <c r="T45" i="93"/>
  <c r="AE45" i="93"/>
  <c r="AF45" i="93"/>
  <c r="AG45" i="93"/>
  <c r="AJ45" i="93"/>
  <c r="AK45" i="93"/>
  <c r="AL45" i="93"/>
  <c r="AM45" i="93"/>
  <c r="AO45" i="93"/>
  <c r="AP45" i="93"/>
  <c r="AW45" i="93"/>
  <c r="AX45" i="93"/>
  <c r="AZ45" i="93"/>
  <c r="N46" i="93"/>
  <c r="T46" i="93"/>
  <c r="AE46" i="93"/>
  <c r="AF46" i="93"/>
  <c r="AG46" i="93"/>
  <c r="AJ46" i="93"/>
  <c r="AK46" i="93"/>
  <c r="AL46" i="93"/>
  <c r="AM46" i="93"/>
  <c r="AO46" i="93"/>
  <c r="AP46" i="93"/>
  <c r="AW46" i="93"/>
  <c r="AX46" i="93"/>
  <c r="AZ46" i="93"/>
  <c r="N47" i="93"/>
  <c r="T47" i="93"/>
  <c r="AE47" i="93"/>
  <c r="AF47" i="93"/>
  <c r="AG47" i="93"/>
  <c r="AJ47" i="93"/>
  <c r="AK47" i="93"/>
  <c r="AL47" i="93"/>
  <c r="AM47" i="93"/>
  <c r="AO47" i="93"/>
  <c r="AP47" i="93"/>
  <c r="AW47" i="93"/>
  <c r="AX47" i="93"/>
  <c r="AZ47" i="93"/>
  <c r="N48" i="93"/>
  <c r="T48" i="93"/>
  <c r="AE48" i="93"/>
  <c r="AF48" i="93"/>
  <c r="AG48" i="93"/>
  <c r="AJ48" i="93"/>
  <c r="AK48" i="93"/>
  <c r="AL48" i="93"/>
  <c r="AM48" i="93"/>
  <c r="AO48" i="93"/>
  <c r="AP48" i="93"/>
  <c r="AW48" i="93"/>
  <c r="AX48" i="93"/>
  <c r="AZ48" i="93"/>
  <c r="N49" i="93"/>
  <c r="T49" i="93"/>
  <c r="AE49" i="93"/>
  <c r="AF49" i="93"/>
  <c r="AG49" i="93"/>
  <c r="AJ49" i="93"/>
  <c r="AK49" i="93"/>
  <c r="AL49" i="93"/>
  <c r="AM49" i="93"/>
  <c r="AO49" i="93"/>
  <c r="AP49" i="93"/>
  <c r="AW49" i="93"/>
  <c r="AX49" i="93"/>
  <c r="AZ49" i="93"/>
  <c r="N50" i="93"/>
  <c r="T50" i="93"/>
  <c r="AE50" i="93"/>
  <c r="AF50" i="93"/>
  <c r="AG50" i="93"/>
  <c r="AJ50" i="93"/>
  <c r="AK50" i="93"/>
  <c r="AL50" i="93"/>
  <c r="AM50" i="93"/>
  <c r="AO50" i="93"/>
  <c r="AP50" i="93"/>
  <c r="AW50" i="93"/>
  <c r="AX50" i="93"/>
  <c r="AZ50" i="93"/>
  <c r="N51" i="93"/>
  <c r="T51" i="93"/>
  <c r="AE51" i="93"/>
  <c r="AF51" i="93"/>
  <c r="AG51" i="93"/>
  <c r="AJ51" i="93"/>
  <c r="AK51" i="93"/>
  <c r="AL51" i="93"/>
  <c r="AM51" i="93"/>
  <c r="AO51" i="93"/>
  <c r="AP51" i="93"/>
  <c r="AW51" i="93"/>
  <c r="AX51" i="93"/>
  <c r="AZ51" i="93"/>
  <c r="N52" i="93"/>
  <c r="T52" i="93"/>
  <c r="AE52" i="93"/>
  <c r="AF52" i="93"/>
  <c r="AG52" i="93"/>
  <c r="AJ52" i="93"/>
  <c r="AK52" i="93"/>
  <c r="AL52" i="93"/>
  <c r="AM52" i="93"/>
  <c r="AO52" i="93"/>
  <c r="AP52" i="93"/>
  <c r="AW52" i="93"/>
  <c r="AX52" i="93"/>
  <c r="AZ52" i="93"/>
  <c r="N54" i="93"/>
  <c r="T54" i="93"/>
  <c r="AE54" i="93"/>
  <c r="AF54" i="93"/>
  <c r="AG54" i="93"/>
  <c r="AJ54" i="93"/>
  <c r="AK54" i="93"/>
  <c r="AL54" i="93"/>
  <c r="AM54" i="93"/>
  <c r="AO54" i="93"/>
  <c r="AP54" i="93"/>
  <c r="AO56" i="93"/>
  <c r="AP56" i="93"/>
  <c r="AE59" i="93"/>
  <c r="AF59" i="93"/>
  <c r="AE5" i="80"/>
  <c r="AF5" i="80"/>
  <c r="AG5" i="80"/>
  <c r="AM5" i="80"/>
  <c r="N6" i="80"/>
  <c r="T6" i="80"/>
  <c r="AE6" i="80"/>
  <c r="AF6" i="80"/>
  <c r="AG6" i="80"/>
  <c r="AJ6" i="80"/>
  <c r="AK6" i="80"/>
  <c r="AL6" i="80"/>
  <c r="AM6" i="80"/>
  <c r="AO6" i="80"/>
  <c r="AP6" i="80"/>
  <c r="N7" i="80"/>
  <c r="T7" i="80"/>
  <c r="AE7" i="80"/>
  <c r="AF7" i="80"/>
  <c r="AG7" i="80"/>
  <c r="AJ7" i="80"/>
  <c r="AK7" i="80"/>
  <c r="AL7" i="80"/>
  <c r="AM7" i="80"/>
  <c r="AO7" i="80"/>
  <c r="AP7" i="80"/>
  <c r="N8" i="80"/>
  <c r="T8" i="80"/>
  <c r="AE8" i="80"/>
  <c r="AF8" i="80"/>
  <c r="AG8" i="80"/>
  <c r="AJ8" i="80"/>
  <c r="AK8" i="80"/>
  <c r="AL8" i="80"/>
  <c r="AM8" i="80"/>
  <c r="AO8" i="80"/>
  <c r="AP8" i="80"/>
  <c r="N9" i="80"/>
  <c r="T9" i="80"/>
  <c r="AE9" i="80"/>
  <c r="AF9" i="80"/>
  <c r="AG9" i="80"/>
  <c r="AJ9" i="80"/>
  <c r="AK9" i="80"/>
  <c r="AL9" i="80"/>
  <c r="AM9" i="80"/>
  <c r="AO9" i="80"/>
  <c r="AP9" i="80"/>
  <c r="N10" i="80"/>
  <c r="T10" i="80"/>
  <c r="AE10" i="80"/>
  <c r="AF10" i="80"/>
  <c r="AG10" i="80"/>
  <c r="AJ10" i="80"/>
  <c r="AK10" i="80"/>
  <c r="AL10" i="80"/>
  <c r="AM10" i="80"/>
  <c r="AO10" i="80"/>
  <c r="AP10" i="80"/>
  <c r="N11" i="80"/>
  <c r="T11" i="80"/>
  <c r="AE11" i="80"/>
  <c r="AF11" i="80"/>
  <c r="AG11" i="80"/>
  <c r="AJ11" i="80"/>
  <c r="AK11" i="80"/>
  <c r="AL11" i="80"/>
  <c r="AM11" i="80"/>
  <c r="AO11" i="80"/>
  <c r="AP11" i="80"/>
  <c r="N12" i="80"/>
  <c r="T12" i="80"/>
  <c r="AE12" i="80"/>
  <c r="AF12" i="80"/>
  <c r="AG12" i="80"/>
  <c r="AJ12" i="80"/>
  <c r="AK12" i="80"/>
  <c r="AL12" i="80"/>
  <c r="AM12" i="80"/>
  <c r="AO12" i="80"/>
  <c r="AP12" i="80"/>
  <c r="N13" i="80"/>
  <c r="T13" i="80"/>
  <c r="AE13" i="80"/>
  <c r="AF13" i="80"/>
  <c r="AG13" i="80"/>
  <c r="AJ13" i="80"/>
  <c r="AK13" i="80"/>
  <c r="AL13" i="80"/>
  <c r="AM13" i="80"/>
  <c r="AO13" i="80"/>
  <c r="AP13" i="80"/>
  <c r="N14" i="80"/>
  <c r="T14" i="80"/>
  <c r="AE14" i="80"/>
  <c r="AF14" i="80"/>
  <c r="AG14" i="80"/>
  <c r="AJ14" i="80"/>
  <c r="AK14" i="80"/>
  <c r="AL14" i="80"/>
  <c r="AM14" i="80"/>
  <c r="AO14" i="80"/>
  <c r="AP14" i="80"/>
  <c r="N15" i="80"/>
  <c r="T15" i="80"/>
  <c r="AE15" i="80"/>
  <c r="AF15" i="80"/>
  <c r="AG15" i="80"/>
  <c r="AJ15" i="80"/>
  <c r="AK15" i="80"/>
  <c r="AL15" i="80"/>
  <c r="AM15" i="80"/>
  <c r="AO15" i="80"/>
  <c r="AP15" i="80"/>
  <c r="N16" i="80"/>
  <c r="T16" i="80"/>
  <c r="AE16" i="80"/>
  <c r="AF16" i="80"/>
  <c r="AG16" i="80"/>
  <c r="AJ16" i="80"/>
  <c r="AK16" i="80"/>
  <c r="AL16" i="80"/>
  <c r="AM16" i="80"/>
  <c r="AO16" i="80"/>
  <c r="AP16" i="80"/>
  <c r="N17" i="80"/>
  <c r="T17" i="80"/>
  <c r="AE17" i="80"/>
  <c r="AF17" i="80"/>
  <c r="AG17" i="80"/>
  <c r="AJ17" i="80"/>
  <c r="AK17" i="80"/>
  <c r="AL17" i="80"/>
  <c r="AM17" i="80"/>
  <c r="AO17" i="80"/>
  <c r="AP17" i="80"/>
  <c r="N18" i="80"/>
  <c r="T18" i="80"/>
  <c r="AE18" i="80"/>
  <c r="AF18" i="80"/>
  <c r="AG18" i="80"/>
  <c r="AJ18" i="80"/>
  <c r="AK18" i="80"/>
  <c r="AL18" i="80"/>
  <c r="AM18" i="80"/>
  <c r="AO18" i="80"/>
  <c r="AP18" i="80"/>
  <c r="N19" i="80"/>
  <c r="T19" i="80"/>
  <c r="AE19" i="80"/>
  <c r="AF19" i="80"/>
  <c r="AG19" i="80"/>
  <c r="AJ19" i="80"/>
  <c r="AK19" i="80"/>
  <c r="AL19" i="80"/>
  <c r="AM19" i="80"/>
  <c r="AO19" i="80"/>
  <c r="AP19" i="80"/>
  <c r="N20" i="80"/>
  <c r="T20" i="80"/>
  <c r="AE20" i="80"/>
  <c r="AF20" i="80"/>
  <c r="AG20" i="80"/>
  <c r="AJ20" i="80"/>
  <c r="AK20" i="80"/>
  <c r="AL20" i="80"/>
  <c r="AM20" i="80"/>
  <c r="AO20" i="80"/>
  <c r="AP20" i="80"/>
  <c r="N21" i="80"/>
  <c r="T21" i="80"/>
  <c r="AE21" i="80"/>
  <c r="AF21" i="80"/>
  <c r="AG21" i="80"/>
  <c r="AJ21" i="80"/>
  <c r="AK21" i="80"/>
  <c r="AL21" i="80"/>
  <c r="AM21" i="80"/>
  <c r="AO21" i="80"/>
  <c r="AP21" i="80"/>
  <c r="N22" i="80"/>
  <c r="T22" i="80"/>
  <c r="AE22" i="80"/>
  <c r="AF22" i="80"/>
  <c r="AG22" i="80"/>
  <c r="AJ22" i="80"/>
  <c r="AK22" i="80"/>
  <c r="AL22" i="80"/>
  <c r="AM22" i="80"/>
  <c r="AO22" i="80"/>
  <c r="AP22" i="80"/>
  <c r="N23" i="80"/>
  <c r="T23" i="80"/>
  <c r="AE23" i="80"/>
  <c r="AF23" i="80"/>
  <c r="AG23" i="80"/>
  <c r="AJ23" i="80"/>
  <c r="AK23" i="80"/>
  <c r="AL23" i="80"/>
  <c r="AM23" i="80"/>
  <c r="AO23" i="80"/>
  <c r="AP23" i="80"/>
  <c r="N24" i="80"/>
  <c r="T24" i="80"/>
  <c r="AE24" i="80"/>
  <c r="AF24" i="80"/>
  <c r="AG24" i="80"/>
  <c r="AJ24" i="80"/>
  <c r="AK24" i="80"/>
  <c r="AL24" i="80"/>
  <c r="AM24" i="80"/>
  <c r="AO24" i="80"/>
  <c r="AP24" i="80"/>
  <c r="N25" i="80"/>
  <c r="T25" i="80"/>
  <c r="AE25" i="80"/>
  <c r="AF25" i="80"/>
  <c r="AG25" i="80"/>
  <c r="AJ25" i="80"/>
  <c r="AK25" i="80"/>
  <c r="AL25" i="80"/>
  <c r="AM25" i="80"/>
  <c r="AO25" i="80"/>
  <c r="AP25" i="80"/>
  <c r="N26" i="80"/>
  <c r="T26" i="80"/>
  <c r="AE26" i="80"/>
  <c r="AF26" i="80"/>
  <c r="AG26" i="80"/>
  <c r="AJ26" i="80"/>
  <c r="AK26" i="80"/>
  <c r="AL26" i="80"/>
  <c r="AM26" i="80"/>
  <c r="AO26" i="80"/>
  <c r="AP26" i="80"/>
  <c r="N27" i="80"/>
  <c r="T27" i="80"/>
  <c r="AE27" i="80"/>
  <c r="AF27" i="80"/>
  <c r="AG27" i="80"/>
  <c r="AJ27" i="80"/>
  <c r="AK27" i="80"/>
  <c r="AL27" i="80"/>
  <c r="AM27" i="80"/>
  <c r="AO27" i="80"/>
  <c r="AP27" i="80"/>
  <c r="N28" i="80"/>
  <c r="T28" i="80"/>
  <c r="AE28" i="80"/>
  <c r="AF28" i="80"/>
  <c r="AG28" i="80"/>
  <c r="AJ28" i="80"/>
  <c r="AK28" i="80"/>
  <c r="AL28" i="80"/>
  <c r="AM28" i="80"/>
  <c r="AO28" i="80"/>
  <c r="AP28" i="80"/>
  <c r="N29" i="80"/>
  <c r="T29" i="80"/>
  <c r="AE29" i="80"/>
  <c r="AF29" i="80"/>
  <c r="AG29" i="80"/>
  <c r="AJ29" i="80"/>
  <c r="AK29" i="80"/>
  <c r="AL29" i="80"/>
  <c r="AM29" i="80"/>
  <c r="AO29" i="80"/>
  <c r="AP29" i="80"/>
  <c r="N30" i="80"/>
  <c r="T30" i="80"/>
  <c r="AE30" i="80"/>
  <c r="AF30" i="80"/>
  <c r="AG30" i="80"/>
  <c r="AJ30" i="80"/>
  <c r="AK30" i="80"/>
  <c r="AL30" i="80"/>
  <c r="AM30" i="80"/>
  <c r="AO30" i="80"/>
  <c r="AP30" i="80"/>
  <c r="N31" i="80"/>
  <c r="T31" i="80"/>
  <c r="AE31" i="80"/>
  <c r="AF31" i="80"/>
  <c r="AG31" i="80"/>
  <c r="AJ31" i="80"/>
  <c r="AK31" i="80"/>
  <c r="AL31" i="80"/>
  <c r="AM31" i="80"/>
  <c r="AO31" i="80"/>
  <c r="AP31" i="80"/>
  <c r="N32" i="80"/>
  <c r="T32" i="80"/>
  <c r="AE32" i="80"/>
  <c r="AF32" i="80"/>
  <c r="AG32" i="80"/>
  <c r="AJ32" i="80"/>
  <c r="AK32" i="80"/>
  <c r="AL32" i="80"/>
  <c r="AM32" i="80"/>
  <c r="AO32" i="80"/>
  <c r="AP32" i="80"/>
  <c r="N33" i="80"/>
  <c r="T33" i="80"/>
  <c r="AE33" i="80"/>
  <c r="AF33" i="80"/>
  <c r="AG33" i="80"/>
  <c r="AJ33" i="80"/>
  <c r="AK33" i="80"/>
  <c r="AL33" i="80"/>
  <c r="AM33" i="80"/>
  <c r="AO33" i="80"/>
  <c r="AP33" i="80"/>
  <c r="N34" i="80"/>
  <c r="T34" i="80"/>
  <c r="AE34" i="80"/>
  <c r="AF34" i="80"/>
  <c r="AG34" i="80"/>
  <c r="AJ34" i="80"/>
  <c r="AK34" i="80"/>
  <c r="AL34" i="80"/>
  <c r="AM34" i="80"/>
  <c r="AO34" i="80"/>
  <c r="AP34" i="80"/>
  <c r="N35" i="80"/>
  <c r="T35" i="80"/>
  <c r="AE35" i="80"/>
  <c r="AF35" i="80"/>
  <c r="AG35" i="80"/>
  <c r="AJ35" i="80"/>
  <c r="AK35" i="80"/>
  <c r="AL35" i="80"/>
  <c r="AM35" i="80"/>
  <c r="AO35" i="80"/>
  <c r="AP35" i="80"/>
  <c r="N36" i="80"/>
  <c r="T36" i="80"/>
  <c r="AE36" i="80"/>
  <c r="AF36" i="80"/>
  <c r="AG36" i="80"/>
  <c r="AJ36" i="80"/>
  <c r="AK36" i="80"/>
  <c r="AL36" i="80"/>
  <c r="AM36" i="80"/>
  <c r="AO36" i="80"/>
  <c r="AP36" i="80"/>
  <c r="N37" i="80"/>
  <c r="T37" i="80"/>
  <c r="AE37" i="80"/>
  <c r="AF37" i="80"/>
  <c r="AG37" i="80"/>
  <c r="AJ37" i="80"/>
  <c r="AK37" i="80"/>
  <c r="AL37" i="80"/>
  <c r="AM37" i="80"/>
  <c r="AO37" i="80"/>
  <c r="AP37" i="80"/>
  <c r="N38" i="80"/>
  <c r="T38" i="80"/>
  <c r="AE38" i="80"/>
  <c r="AF38" i="80"/>
  <c r="AG38" i="80"/>
  <c r="AJ38" i="80"/>
  <c r="AK38" i="80"/>
  <c r="AL38" i="80"/>
  <c r="AM38" i="80"/>
  <c r="AO38" i="80"/>
  <c r="AP38" i="80"/>
  <c r="N39" i="80"/>
  <c r="T39" i="80"/>
  <c r="AE39" i="80"/>
  <c r="AF39" i="80"/>
  <c r="AG39" i="80"/>
  <c r="AJ39" i="80"/>
  <c r="AK39" i="80"/>
  <c r="AL39" i="80"/>
  <c r="AM39" i="80"/>
  <c r="AO39" i="80"/>
  <c r="AP39" i="80"/>
  <c r="N40" i="80"/>
  <c r="T40" i="80"/>
  <c r="AE40" i="80"/>
  <c r="AF40" i="80"/>
  <c r="AG40" i="80"/>
  <c r="AJ40" i="80"/>
  <c r="AK40" i="80"/>
  <c r="AL40" i="80"/>
  <c r="AM40" i="80"/>
  <c r="AO40" i="80"/>
  <c r="AP40" i="80"/>
  <c r="N41" i="80"/>
  <c r="T41" i="80"/>
  <c r="AE41" i="80"/>
  <c r="AF41" i="80"/>
  <c r="AG41" i="80"/>
  <c r="AJ41" i="80"/>
  <c r="AK41" i="80"/>
  <c r="AL41" i="80"/>
  <c r="AM41" i="80"/>
  <c r="AO41" i="80"/>
  <c r="AP41" i="80"/>
  <c r="N42" i="80"/>
  <c r="T42" i="80"/>
  <c r="AE42" i="80"/>
  <c r="AF42" i="80"/>
  <c r="AG42" i="80"/>
  <c r="AJ42" i="80"/>
  <c r="AK42" i="80"/>
  <c r="AL42" i="80"/>
  <c r="AM42" i="80"/>
  <c r="AO42" i="80"/>
  <c r="AP42" i="80"/>
  <c r="N43" i="80"/>
  <c r="T43" i="80"/>
  <c r="AE43" i="80"/>
  <c r="AF43" i="80"/>
  <c r="AG43" i="80"/>
  <c r="AJ43" i="80"/>
  <c r="AK43" i="80"/>
  <c r="AL43" i="80"/>
  <c r="AM43" i="80"/>
  <c r="AO43" i="80"/>
  <c r="AP43" i="80"/>
  <c r="N44" i="80"/>
  <c r="T44" i="80"/>
  <c r="AE44" i="80"/>
  <c r="AF44" i="80"/>
  <c r="AG44" i="80"/>
  <c r="AJ44" i="80"/>
  <c r="AK44" i="80"/>
  <c r="AL44" i="80"/>
  <c r="AM44" i="80"/>
  <c r="AO44" i="80"/>
  <c r="AP44" i="80"/>
  <c r="N45" i="80"/>
  <c r="T45" i="80"/>
  <c r="AE45" i="80"/>
  <c r="AF45" i="80"/>
  <c r="AG45" i="80"/>
  <c r="AJ45" i="80"/>
  <c r="AK45" i="80"/>
  <c r="AL45" i="80"/>
  <c r="AM45" i="80"/>
  <c r="AO45" i="80"/>
  <c r="AP45" i="80"/>
  <c r="N46" i="80"/>
  <c r="T46" i="80"/>
  <c r="AE46" i="80"/>
  <c r="AF46" i="80"/>
  <c r="AG46" i="80"/>
  <c r="AJ46" i="80"/>
  <c r="AK46" i="80"/>
  <c r="AL46" i="80"/>
  <c r="AM46" i="80"/>
  <c r="AO46" i="80"/>
  <c r="AP46" i="80"/>
  <c r="N47" i="80"/>
  <c r="T47" i="80"/>
  <c r="AE47" i="80"/>
  <c r="AF47" i="80"/>
  <c r="AG47" i="80"/>
  <c r="AJ47" i="80"/>
  <c r="AK47" i="80"/>
  <c r="AL47" i="80"/>
  <c r="AM47" i="80"/>
  <c r="AO47" i="80"/>
  <c r="AP47" i="80"/>
  <c r="N48" i="80"/>
  <c r="T48" i="80"/>
  <c r="AE48" i="80"/>
  <c r="AF48" i="80"/>
  <c r="AG48" i="80"/>
  <c r="AJ48" i="80"/>
  <c r="AK48" i="80"/>
  <c r="AL48" i="80"/>
  <c r="AM48" i="80"/>
  <c r="AO48" i="80"/>
  <c r="AP48" i="80"/>
  <c r="N49" i="80"/>
  <c r="T49" i="80"/>
  <c r="AE49" i="80"/>
  <c r="AF49" i="80"/>
  <c r="AG49" i="80"/>
  <c r="AJ49" i="80"/>
  <c r="AK49" i="80"/>
  <c r="AL49" i="80"/>
  <c r="AM49" i="80"/>
  <c r="AO49" i="80"/>
  <c r="AP49" i="80"/>
  <c r="N50" i="80"/>
  <c r="T50" i="80"/>
  <c r="AE50" i="80"/>
  <c r="AF50" i="80"/>
  <c r="AG50" i="80"/>
  <c r="AJ50" i="80"/>
  <c r="AK50" i="80"/>
  <c r="AL50" i="80"/>
  <c r="AM50" i="80"/>
  <c r="AO50" i="80"/>
  <c r="AP50" i="80"/>
  <c r="N51" i="80"/>
  <c r="T51" i="80"/>
  <c r="AE51" i="80"/>
  <c r="AF51" i="80"/>
  <c r="AG51" i="80"/>
  <c r="AJ51" i="80"/>
  <c r="AK51" i="80"/>
  <c r="AL51" i="80"/>
  <c r="AM51" i="80"/>
  <c r="AO51" i="80"/>
  <c r="AP51" i="80"/>
  <c r="N52" i="80"/>
  <c r="T52" i="80"/>
  <c r="AE52" i="80"/>
  <c r="AF52" i="80"/>
  <c r="AG52" i="80"/>
  <c r="AJ52" i="80"/>
  <c r="AK52" i="80"/>
  <c r="AL52" i="80"/>
  <c r="AM52" i="80"/>
  <c r="AO52" i="80"/>
  <c r="AP52" i="80"/>
  <c r="N54" i="80"/>
  <c r="T54" i="80"/>
  <c r="AE54" i="80"/>
  <c r="AF54" i="80"/>
  <c r="AG54" i="80"/>
  <c r="AJ54" i="80"/>
  <c r="AK54" i="80"/>
  <c r="AL54" i="80"/>
  <c r="AM54" i="80"/>
  <c r="AO54" i="80"/>
  <c r="AP54" i="80"/>
  <c r="AO56" i="80"/>
  <c r="AP56" i="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ANEEL</author>
  </authors>
  <commentList>
    <comment ref="C33" authorId="0" shapeId="0" xr:uid="{284B9D10-D495-4F98-9100-8CCEE238B2E0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20CDCF-79DF-4443-A48E-B14D5DF59F46}" name="Conexão" type="7" refreshedVersion="8" background="1" saveData="1"/>
  <connection id="2" xr16:uid="{31E0F484-46B5-40E6-AEF5-879AF434D9CB}" name="Conexão1" type="7" refreshedVersion="8" background="1" saveData="1"/>
  <connection id="3" xr16:uid="{BAE7D423-DEDD-4108-BDED-97FDB7017B69}" name="Conexão2" type="7" refreshedVersion="8" background="1" saveData="1"/>
</connections>
</file>

<file path=xl/sharedStrings.xml><?xml version="1.0" encoding="utf-8"?>
<sst xmlns="http://schemas.openxmlformats.org/spreadsheetml/2006/main" count="46876" uniqueCount="1327">
  <si>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</si>
  <si>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</si>
  <si>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</si>
  <si>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</si>
  <si>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</si>
  <si>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</si>
  <si>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</si>
  <si>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</si>
  <si>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</si>
  <si>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</si>
  <si>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</si>
  <si>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</si>
  <si>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</si>
  <si>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</si>
  <si>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</si>
  <si>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</si>
  <si>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</si>
  <si>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</si>
  <si>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</si>
  <si>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</si>
  <si>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</si>
  <si>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</si>
  <si>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</si>
  <si>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</si>
  <si>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</si>
  <si>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</si>
  <si>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</si>
  <si>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</si>
  <si>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</si>
  <si>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</si>
  <si>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</si>
  <si>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</si>
  <si>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</si>
  <si>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</si>
  <si>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</si>
  <si>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</si>
  <si>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</si>
  <si>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</si>
  <si>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</si>
  <si>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</si>
  <si>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</si>
  <si>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</si>
  <si>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</si>
  <si>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</si>
  <si>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</si>
  <si>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</si>
  <si>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</si>
  <si>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</si>
  <si>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</si>
  <si>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</si>
  <si>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</si>
  <si>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</si>
  <si>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</si>
  <si>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</si>
  <si>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</si>
  <si>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Sistema de Compensação</t>
  </si>
  <si>
    <t>PROJETADO</t>
  </si>
  <si>
    <t>Fonte incentivada</t>
  </si>
  <si>
    <t>LIVRE</t>
  </si>
  <si>
    <t>Geração</t>
  </si>
  <si>
    <t>COLORADO</t>
  </si>
  <si>
    <t>GERAÇÃO</t>
  </si>
  <si>
    <t>A3</t>
  </si>
  <si>
    <t>MATA COBRA</t>
  </si>
  <si>
    <t>OSVALDO DINO PIGOZZI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</si>
  <si>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</si>
  <si>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</si>
  <si>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</si>
  <si>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</si>
  <si>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</si>
  <si>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</si>
  <si>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</si>
  <si>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</si>
  <si>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</si>
  <si>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</si>
  <si>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</si>
  <si>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</si>
  <si>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</si>
  <si>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</si>
  <si>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</si>
  <si>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kW</t>
  </si>
  <si>
    <t>Energia horária</t>
  </si>
  <si>
    <t>MWh</t>
  </si>
  <si>
    <t>EP</t>
  </si>
  <si>
    <t>EFP</t>
  </si>
  <si>
    <t>Energia convencional</t>
  </si>
  <si>
    <t>E</t>
  </si>
  <si>
    <t>DP</t>
  </si>
  <si>
    <t>DFP</t>
  </si>
  <si>
    <t>APE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</si>
  <si>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</si>
  <si>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</si>
  <si>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</si>
  <si>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</si>
  <si>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</si>
  <si>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</si>
  <si>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</si>
  <si>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</si>
  <si>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</si>
  <si>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</si>
  <si>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44378A3GeraçãoNão se aplicaNão se aplicaNão se aplicaNão se aplicaNão se aplica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</si>
  <si>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</si>
  <si>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</si>
  <si>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</si>
  <si>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</si>
  <si>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</si>
  <si>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</si>
  <si>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</si>
  <si>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</si>
  <si>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44652A3GeraçãoNão se aplicaNão se aplicaNão se aplicaNão se aplicaNão se aplica</t>
  </si>
  <si>
    <t>44682A3GeraçãoNão se aplicaNão se aplicaNão se aplicaNão se aplicaNão se aplica</t>
  </si>
  <si>
    <t>44713A3GeraçãoNão se aplicaNão se aplicaNão se aplicaNão se aplicaNão se aplica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</si>
  <si>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</si>
  <si>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</si>
  <si>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</si>
  <si>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</si>
  <si>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</si>
  <si>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</si>
  <si>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</si>
  <si>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</si>
  <si>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</si>
  <si>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</si>
  <si>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</si>
  <si>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</si>
  <si>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</si>
  <si>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</si>
  <si>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</si>
  <si>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</si>
  <si>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</si>
  <si>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</si>
  <si>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</si>
  <si>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</si>
  <si>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</si>
  <si>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</si>
  <si>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</si>
  <si>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</si>
  <si>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</si>
  <si>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</si>
  <si>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</si>
  <si>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</si>
  <si>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</si>
  <si>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</si>
  <si>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</si>
  <si>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</si>
  <si>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</si>
  <si>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</si>
  <si>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</si>
  <si>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</si>
  <si>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</si>
  <si>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</si>
  <si>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</si>
  <si>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</si>
  <si>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</si>
  <si>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</si>
  <si>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</si>
  <si>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</si>
  <si>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</si>
  <si>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</si>
  <si>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</si>
  <si>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</si>
  <si>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</si>
  <si>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</si>
  <si>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</si>
  <si>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</si>
  <si>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</si>
  <si>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</si>
  <si>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</si>
  <si>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</si>
  <si>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</si>
  <si>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</si>
  <si>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</si>
  <si>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</si>
  <si>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</si>
  <si>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</si>
  <si>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</si>
  <si>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</si>
  <si>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</si>
  <si>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</si>
  <si>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</si>
  <si>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</si>
  <si>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</si>
  <si>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</si>
  <si>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</si>
  <si>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</si>
  <si>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</si>
  <si>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</si>
  <si>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</si>
  <si>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</si>
  <si>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</si>
  <si>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</si>
  <si>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</si>
  <si>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</si>
  <si>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</si>
  <si>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</si>
  <si>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</si>
  <si>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</si>
  <si>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</si>
  <si>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</si>
  <si>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</si>
  <si>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</si>
  <si>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</si>
  <si>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</si>
  <si>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</si>
  <si>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</si>
  <si>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</si>
  <si>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</si>
  <si>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</si>
  <si>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</si>
  <si>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</si>
  <si>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</si>
  <si>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</si>
  <si>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</si>
  <si>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</si>
  <si>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</si>
  <si>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</si>
  <si>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</si>
  <si>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</si>
  <si>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</si>
  <si>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</si>
  <si>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</si>
  <si>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</si>
  <si>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</si>
  <si>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</si>
  <si>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</si>
  <si>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</si>
  <si>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</si>
  <si>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</si>
  <si>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</si>
  <si>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</si>
  <si>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</si>
  <si>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</si>
  <si>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</si>
  <si>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</si>
  <si>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</si>
  <si>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</si>
  <si>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</si>
  <si>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</si>
  <si>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</si>
  <si>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</si>
  <si>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</si>
  <si>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</si>
  <si>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</si>
  <si>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</si>
  <si>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</si>
  <si>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</si>
  <si>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</si>
  <si>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</si>
  <si>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</si>
  <si>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</si>
  <si>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</si>
  <si>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</si>
  <si>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</si>
  <si>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</si>
  <si>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</si>
  <si>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</si>
  <si>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</si>
  <si>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</si>
  <si>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</si>
  <si>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</si>
  <si>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</si>
  <si>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</si>
  <si>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</si>
  <si>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</si>
  <si>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</si>
  <si>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</si>
  <si>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</si>
  <si>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</si>
  <si>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</si>
  <si>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</si>
  <si>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</si>
  <si>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</si>
  <si>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</si>
  <si>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</si>
  <si>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</si>
  <si>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</si>
  <si>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</si>
  <si>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</si>
  <si>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</si>
  <si>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</si>
  <si>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</si>
  <si>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</si>
  <si>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</si>
  <si>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</si>
  <si>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</si>
  <si>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</si>
  <si>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</si>
  <si>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</si>
  <si>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</si>
  <si>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</si>
  <si>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</si>
  <si>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</si>
  <si>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</si>
  <si>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</si>
  <si>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</si>
  <si>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</si>
  <si>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</si>
  <si>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</si>
  <si>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</si>
  <si>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</si>
  <si>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</si>
  <si>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</si>
  <si>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</si>
  <si>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</si>
  <si>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</si>
  <si>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</si>
  <si>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</si>
  <si>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</si>
  <si>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</si>
  <si>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</si>
  <si>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</si>
  <si>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</si>
  <si>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</si>
  <si>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</si>
  <si>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</si>
  <si>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</si>
  <si>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</si>
  <si>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</si>
  <si>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</si>
  <si>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</si>
  <si>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</si>
  <si>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</si>
  <si>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</si>
  <si>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</si>
  <si>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</si>
  <si>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</si>
  <si>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</si>
  <si>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</si>
  <si>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</si>
  <si>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</si>
  <si>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</si>
  <si>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</si>
  <si>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</si>
  <si>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</si>
  <si>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</si>
  <si>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</si>
  <si>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</si>
  <si>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</si>
  <si>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</si>
  <si>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</si>
  <si>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</si>
  <si>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</si>
  <si>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</si>
  <si>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</si>
  <si>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</si>
  <si>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</si>
  <si>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</si>
  <si>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</si>
  <si>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</si>
  <si>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</si>
  <si>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</si>
  <si>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</si>
  <si>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</si>
  <si>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</si>
  <si>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</si>
  <si>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</si>
  <si>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</si>
  <si>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</si>
  <si>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</si>
  <si>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</si>
  <si>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</si>
  <si>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</si>
  <si>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</si>
  <si>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</si>
  <si>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</si>
  <si>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</si>
  <si>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</si>
  <si>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</si>
  <si>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</si>
  <si>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</si>
  <si>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</si>
  <si>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</si>
  <si>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</si>
  <si>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</si>
  <si>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</si>
  <si>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</si>
  <si>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</si>
  <si>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</si>
  <si>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</si>
  <si>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</si>
  <si>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</si>
  <si>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</si>
  <si>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</si>
  <si>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</si>
  <si>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</si>
  <si>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</si>
  <si>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</si>
  <si>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</si>
  <si>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</si>
  <si>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</si>
  <si>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</si>
  <si>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</si>
  <si>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</si>
  <si>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</si>
  <si>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</si>
  <si>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</si>
  <si>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</si>
  <si>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</si>
  <si>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</si>
  <si>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</si>
  <si>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</si>
  <si>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</si>
  <si>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</si>
  <si>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</si>
  <si>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</si>
  <si>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</si>
  <si>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</si>
  <si>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</si>
  <si>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</si>
  <si>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</si>
  <si>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</si>
  <si>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</si>
  <si>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</si>
  <si>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</si>
  <si>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</si>
  <si>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</si>
  <si>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</si>
  <si>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</si>
  <si>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</si>
  <si>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</si>
  <si>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</si>
  <si>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</si>
  <si>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</si>
  <si>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</si>
  <si>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</si>
  <si>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</si>
  <si>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</si>
  <si>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</si>
  <si>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</si>
  <si>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</si>
  <si>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</si>
  <si>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</si>
  <si>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</si>
  <si>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</si>
  <si>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</si>
  <si>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</si>
  <si>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</si>
  <si>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</si>
  <si>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</si>
  <si>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</si>
  <si>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</si>
  <si>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</si>
  <si>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</si>
  <si>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</si>
  <si>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</si>
  <si>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</si>
  <si>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</si>
  <si>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</si>
  <si>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</si>
  <si>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</si>
  <si>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</si>
  <si>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</si>
  <si>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</si>
  <si>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</si>
  <si>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</si>
  <si>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</si>
  <si>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</si>
  <si>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</si>
  <si>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</si>
  <si>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</si>
  <si>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</si>
  <si>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</si>
  <si>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</si>
  <si>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</si>
  <si>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</si>
  <si>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</si>
  <si>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</si>
  <si>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</si>
  <si>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</si>
  <si>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</si>
  <si>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</si>
  <si>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</si>
  <si>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</si>
  <si>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</si>
  <si>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</si>
  <si>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</si>
  <si>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</si>
  <si>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</si>
  <si>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</si>
  <si>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</si>
  <si>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</si>
  <si>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</si>
  <si>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</si>
  <si>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</si>
  <si>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</si>
  <si>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</si>
  <si>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</si>
  <si>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</si>
  <si>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</si>
  <si>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</si>
  <si>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</si>
  <si>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</si>
  <si>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</si>
  <si>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</si>
  <si>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</si>
  <si>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</si>
  <si>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</si>
  <si>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</si>
  <si>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</si>
  <si>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</si>
  <si>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</si>
  <si>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</si>
  <si>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</si>
  <si>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</si>
  <si>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</si>
  <si>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</si>
  <si>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</si>
  <si>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</si>
  <si>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</si>
  <si>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</si>
  <si>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</si>
  <si>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</si>
  <si>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</si>
  <si>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</si>
  <si>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</si>
  <si>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</si>
  <si>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</si>
  <si>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</si>
  <si>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</si>
  <si>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</si>
  <si>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</si>
  <si>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</si>
  <si>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</si>
  <si>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</si>
  <si>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</si>
  <si>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</si>
  <si>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</si>
  <si>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</si>
  <si>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</si>
  <si>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</si>
  <si>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</si>
  <si>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</si>
  <si>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</si>
  <si>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</si>
  <si>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</si>
  <si>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</si>
  <si>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</si>
  <si>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</si>
  <si>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</si>
  <si>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</si>
  <si>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</si>
  <si>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</si>
  <si>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</si>
  <si>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</si>
  <si>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</si>
  <si>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</si>
  <si>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</si>
  <si>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</si>
  <si>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</si>
  <si>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</si>
  <si>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</si>
  <si>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</si>
  <si>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</si>
  <si>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</si>
  <si>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</si>
  <si>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</si>
  <si>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</si>
  <si>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</si>
  <si>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</si>
  <si>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</si>
  <si>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</si>
  <si>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</si>
  <si>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</si>
  <si>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</si>
  <si>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</si>
  <si>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</si>
  <si>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</si>
  <si>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</si>
  <si>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</si>
  <si>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</si>
  <si>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</si>
  <si>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</si>
  <si>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</si>
  <si>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</si>
  <si>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</si>
  <si>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</si>
  <si>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</si>
  <si>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</si>
  <si>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</si>
  <si>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</si>
  <si>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</si>
  <si>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</si>
  <si>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</si>
  <si>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</si>
  <si>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</si>
  <si>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</si>
  <si>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</si>
  <si>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</si>
  <si>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</si>
  <si>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</si>
  <si>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</si>
  <si>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</si>
  <si>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</si>
  <si>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</si>
  <si>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</si>
  <si>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</si>
  <si>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</si>
  <si>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</si>
  <si>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</si>
  <si>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</si>
  <si>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</si>
  <si>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</si>
  <si>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</si>
  <si>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</si>
  <si>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</si>
  <si>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</si>
  <si>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</si>
  <si>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</si>
  <si>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</si>
  <si>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</si>
  <si>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</si>
  <si>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</si>
  <si>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</si>
  <si>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</si>
  <si>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</si>
  <si>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</si>
  <si>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</si>
  <si>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</si>
  <si>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</si>
  <si>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</si>
  <si>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</si>
  <si>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</si>
  <si>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</si>
  <si>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</si>
  <si>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</si>
  <si>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</si>
  <si>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</si>
  <si>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</si>
  <si>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</si>
  <si>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</si>
  <si>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</si>
  <si>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</si>
  <si>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</si>
  <si>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</si>
  <si>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</si>
  <si>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</si>
  <si>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</si>
  <si>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</si>
  <si>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</si>
  <si>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</si>
  <si>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</si>
  <si>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</si>
  <si>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</si>
  <si>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</si>
  <si>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</si>
  <si>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</si>
  <si>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</si>
  <si>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</si>
  <si>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</si>
  <si>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</si>
  <si>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</si>
  <si>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</si>
  <si>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</si>
  <si>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</si>
  <si>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</si>
  <si>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</si>
  <si>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</si>
  <si>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</si>
  <si>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</si>
  <si>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</si>
  <si>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</si>
  <si>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</si>
  <si>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</si>
  <si>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</si>
  <si>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</si>
  <si>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</si>
  <si>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</si>
  <si>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</si>
  <si>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</si>
  <si>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</si>
  <si>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</si>
  <si>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</si>
  <si>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</si>
  <si>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</si>
  <si>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</si>
  <si>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</si>
  <si>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</si>
  <si>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A3a</t>
  </si>
  <si>
    <t>AS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</si>
  <si>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</si>
  <si>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</si>
  <si>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</si>
  <si>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</si>
  <si>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</si>
  <si>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</si>
  <si>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</si>
  <si>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</si>
  <si>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</si>
  <si>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</si>
  <si>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</si>
  <si>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</si>
  <si>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</si>
  <si>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</si>
  <si>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</si>
  <si>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</si>
  <si>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</si>
  <si>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</si>
  <si>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</si>
  <si>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</si>
  <si>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</si>
  <si>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</si>
  <si>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</si>
  <si>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</si>
  <si>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</si>
  <si>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</si>
  <si>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</si>
  <si>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</si>
  <si>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</si>
  <si>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</si>
  <si>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</si>
  <si>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</si>
  <si>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</si>
  <si>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</si>
  <si>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</si>
  <si>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</si>
  <si>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</si>
  <si>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</si>
  <si>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</si>
  <si>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</si>
  <si>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</si>
  <si>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</si>
  <si>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</si>
  <si>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</si>
  <si>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</si>
  <si>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</si>
  <si>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GERAÇÃO FONTE INCENTIVADA</t>
  </si>
  <si>
    <t>SUBSIDIO CARGA FONTE INCENTIVADA</t>
  </si>
  <si>
    <t>SUBSIDIO ÁGUA, ESGOTO E SANEAMENTO</t>
  </si>
  <si>
    <t>SUBSIDIO RURAL</t>
  </si>
  <si>
    <t>SUBSIDIO IRRIGANTE/AQUICULTOR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</si>
  <si>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</si>
  <si>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</si>
  <si>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</si>
  <si>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</si>
  <si>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</si>
  <si>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</si>
  <si>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</si>
  <si>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</si>
  <si>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</si>
  <si>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</si>
  <si>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</si>
  <si>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</si>
  <si>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</si>
  <si>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2021</t>
  </si>
  <si>
    <t>Planilha Custo</t>
  </si>
  <si>
    <t>Verde1RuralNão se aplicaPlanilha CustoA4</t>
  </si>
  <si>
    <t>Convencional1RuralNão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</si>
  <si>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</si>
  <si>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</si>
  <si>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</si>
  <si>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</si>
  <si>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</si>
  <si>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</si>
  <si>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</si>
  <si>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</si>
  <si>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</si>
  <si>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</si>
  <si>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</si>
  <si>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</si>
  <si>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</si>
  <si>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</si>
  <si>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</si>
  <si>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</si>
  <si>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</si>
  <si>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</si>
  <si>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</si>
  <si>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</si>
  <si>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</si>
  <si>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</si>
  <si>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</si>
  <si>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</si>
  <si>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</si>
  <si>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</si>
  <si>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</si>
  <si>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</si>
  <si>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</si>
  <si>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</si>
  <si>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</si>
  <si>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</si>
  <si>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</si>
  <si>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</si>
  <si>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</si>
  <si>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</si>
  <si>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</si>
  <si>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</si>
  <si>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</si>
  <si>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</si>
  <si>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</si>
  <si>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</si>
  <si>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</si>
  <si>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</si>
  <si>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</si>
  <si>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</si>
  <si>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</si>
  <si>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</si>
  <si>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</si>
  <si>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</si>
  <si>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</si>
  <si>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</si>
  <si>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</si>
  <si>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</si>
  <si>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</si>
  <si>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</si>
  <si>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</si>
  <si>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</si>
  <si>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</si>
  <si>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</si>
  <si>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</si>
  <si>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</si>
  <si>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</si>
  <si>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NA</t>
  </si>
  <si>
    <t>P</t>
  </si>
  <si>
    <t>FP</t>
  </si>
  <si>
    <t>Azul APE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</si>
  <si>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</si>
  <si>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</si>
  <si>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</si>
  <si>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</si>
  <si>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</si>
  <si>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</si>
  <si>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</si>
  <si>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</si>
  <si>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</si>
  <si>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</si>
  <si>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</si>
  <si>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</si>
  <si>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</si>
  <si>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</si>
  <si>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</si>
  <si>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</si>
  <si>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</si>
  <si>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</si>
  <si>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</si>
  <si>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</si>
  <si>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</si>
  <si>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</si>
  <si>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</si>
  <si>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</si>
  <si>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</si>
  <si>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</si>
  <si>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</si>
  <si>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</si>
  <si>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</si>
  <si>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</si>
  <si>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</si>
  <si>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</si>
  <si>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</si>
  <si>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</si>
  <si>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</si>
  <si>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</si>
  <si>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</si>
  <si>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</si>
  <si>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</si>
  <si>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</si>
  <si>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</si>
  <si>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</si>
  <si>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</si>
  <si>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</si>
  <si>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</si>
  <si>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</si>
  <si>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</si>
  <si>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</si>
  <si>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</si>
  <si>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</si>
  <si>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</si>
  <si>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</si>
  <si>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</si>
  <si>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</si>
  <si>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</si>
  <si>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</si>
  <si>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</si>
  <si>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</si>
  <si>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</si>
  <si>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</si>
  <si>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</si>
  <si>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</si>
  <si>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</si>
  <si>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</si>
  <si>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</si>
  <si>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</si>
  <si>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</si>
  <si>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</si>
  <si>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</si>
  <si>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</si>
  <si>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</si>
  <si>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</si>
  <si>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</si>
  <si>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</si>
  <si>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</si>
  <si>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</si>
  <si>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</si>
  <si>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</si>
  <si>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</si>
  <si>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</si>
  <si>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</si>
  <si>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</si>
  <si>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</si>
  <si>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</si>
  <si>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</si>
  <si>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</si>
  <si>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</si>
  <si>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</si>
  <si>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</si>
  <si>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</si>
  <si>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</si>
  <si>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</si>
  <si>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</si>
  <si>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</si>
  <si>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</si>
  <si>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</si>
  <si>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</si>
  <si>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</si>
  <si>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</si>
  <si>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</si>
  <si>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</si>
  <si>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</si>
  <si>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</si>
  <si>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</si>
  <si>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</si>
  <si>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</si>
  <si>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</si>
  <si>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</si>
  <si>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</si>
  <si>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</si>
  <si>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</si>
  <si>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</si>
  <si>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</si>
  <si>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</si>
  <si>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</si>
  <si>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</si>
  <si>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</si>
  <si>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</si>
  <si>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</si>
  <si>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</si>
  <si>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</si>
  <si>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</si>
  <si>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</si>
  <si>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</si>
  <si>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</si>
  <si>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</si>
  <si>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</si>
  <si>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</si>
  <si>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</si>
  <si>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</si>
  <si>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</si>
  <si>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</si>
  <si>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</si>
  <si>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</si>
  <si>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</si>
  <si>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</si>
  <si>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</si>
  <si>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</si>
  <si>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</si>
  <si>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</si>
  <si>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</si>
  <si>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</si>
  <si>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</si>
  <si>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</si>
  <si>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</si>
  <si>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</si>
  <si>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</si>
  <si>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</si>
  <si>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</si>
  <si>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</si>
  <si>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</si>
  <si>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</si>
  <si>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</si>
  <si>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</si>
  <si>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</si>
  <si>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</si>
  <si>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</si>
  <si>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</si>
  <si>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</si>
  <si>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</si>
  <si>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</si>
  <si>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</si>
  <si>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</si>
  <si>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</si>
  <si>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</si>
  <si>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</si>
  <si>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</si>
  <si>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</si>
  <si>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</si>
  <si>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</si>
  <si>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</si>
  <si>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</si>
  <si>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</si>
  <si>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</si>
  <si>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</si>
  <si>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</si>
  <si>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</si>
  <si>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</si>
  <si>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</si>
  <si>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</si>
  <si>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</si>
  <si>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</si>
  <si>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</si>
  <si>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</si>
  <si>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</si>
  <si>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</si>
  <si>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</si>
  <si>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</si>
  <si>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</si>
  <si>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</si>
  <si>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</si>
  <si>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</si>
  <si>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</si>
  <si>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</si>
  <si>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</si>
  <si>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</si>
  <si>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</si>
  <si>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</si>
  <si>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</si>
  <si>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</si>
  <si>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</si>
  <si>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</si>
  <si>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</si>
  <si>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</si>
  <si>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</si>
  <si>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</si>
  <si>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</si>
  <si>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</si>
  <si>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</si>
  <si>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</si>
  <si>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</si>
  <si>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</si>
  <si>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</si>
  <si>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</si>
  <si>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</si>
  <si>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</si>
  <si>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</si>
  <si>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</si>
  <si>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</si>
  <si>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</si>
  <si>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</si>
  <si>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</si>
  <si>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</si>
  <si>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</si>
  <si>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</si>
  <si>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</si>
  <si>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</si>
  <si>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</si>
  <si>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</si>
  <si>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</si>
  <si>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</si>
  <si>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</si>
  <si>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</si>
  <si>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</si>
  <si>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</si>
  <si>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</si>
  <si>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</si>
  <si>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</si>
  <si>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</si>
  <si>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</si>
  <si>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</si>
  <si>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</si>
  <si>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</si>
  <si>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</si>
  <si>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</si>
  <si>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</si>
  <si>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</si>
  <si>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</si>
  <si>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</si>
  <si>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</si>
  <si>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</si>
  <si>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</si>
  <si>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</si>
  <si>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</si>
  <si>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</si>
  <si>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</si>
  <si>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</si>
  <si>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</si>
  <si>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</si>
  <si>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</si>
  <si>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</si>
  <si>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</si>
  <si>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</si>
  <si>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</si>
  <si>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</si>
  <si>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</si>
  <si>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</si>
  <si>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</si>
  <si>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</si>
  <si>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</si>
  <si>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</si>
  <si>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</si>
  <si>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</si>
  <si>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</si>
  <si>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</si>
  <si>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</si>
  <si>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</si>
  <si>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</si>
  <si>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</si>
  <si>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</si>
  <si>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</si>
  <si>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</si>
  <si>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</si>
  <si>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</si>
  <si>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</si>
  <si>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</si>
  <si>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</si>
  <si>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</si>
  <si>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</si>
  <si>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</si>
  <si>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</si>
  <si>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</si>
  <si>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</si>
  <si>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</si>
  <si>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</si>
  <si>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</si>
  <si>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</si>
  <si>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</si>
  <si>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</si>
  <si>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</si>
  <si>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</si>
  <si>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</si>
  <si>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</si>
  <si>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</si>
  <si>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</si>
  <si>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</si>
  <si>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</si>
  <si>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</si>
  <si>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</si>
  <si>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</si>
  <si>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</si>
  <si>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</si>
  <si>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</si>
  <si>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</si>
  <si>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</si>
  <si>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</si>
  <si>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</si>
  <si>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</si>
  <si>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</si>
  <si>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</si>
  <si>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</si>
  <si>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</si>
  <si>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</si>
  <si>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</si>
  <si>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</si>
  <si>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</si>
  <si>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</si>
  <si>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</si>
  <si>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</si>
  <si>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</si>
  <si>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</si>
  <si>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</si>
  <si>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</si>
  <si>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</si>
  <si>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</si>
  <si>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</si>
  <si>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</si>
  <si>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</si>
  <si>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</si>
  <si>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</si>
  <si>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</si>
  <si>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</si>
  <si>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</si>
  <si>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</si>
  <si>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</si>
  <si>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</si>
  <si>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</si>
  <si>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IdAgente</t>
  </si>
  <si>
    <t>Ano</t>
  </si>
  <si>
    <t>MERCADO Eletrocar</t>
  </si>
  <si>
    <t>TARIFAS Eletrocar</t>
  </si>
  <si>
    <t>TARIFAS Adjacente (RGE (agrupada))</t>
  </si>
  <si>
    <t>RECEITA Eletrocar</t>
  </si>
  <si>
    <t>RECEITA Adjacente (RGE (agrupada))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</si>
  <si>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</si>
  <si>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</si>
  <si>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</si>
  <si>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</si>
  <si>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</si>
  <si>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</si>
  <si>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</si>
  <si>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</si>
  <si>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</si>
  <si>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</si>
  <si>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</si>
  <si>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</si>
  <si>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</si>
  <si>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</si>
  <si>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</si>
  <si>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</si>
  <si>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</si>
  <si>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</si>
  <si>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</si>
  <si>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</si>
  <si>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</si>
  <si>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2040601001010000000000000001022025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</si>
  <si>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</si>
  <si>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</si>
  <si>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</si>
  <si>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</si>
  <si>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</si>
  <si>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</si>
  <si>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</si>
  <si>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</si>
  <si>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</si>
  <si>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</si>
  <si>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</si>
  <si>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</si>
  <si>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</si>
  <si>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</si>
  <si>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</si>
  <si>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</si>
  <si>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</si>
  <si>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</si>
  <si>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</si>
  <si>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</si>
  <si>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</si>
  <si>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</si>
  <si>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</si>
  <si>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</si>
  <si>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</si>
  <si>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</si>
  <si>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</si>
  <si>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</si>
  <si>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</si>
  <si>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</si>
  <si>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3060801001010000000000000004032035</t>
  </si>
  <si>
    <t>3060801001010000000000000002032035</t>
  </si>
  <si>
    <t>3060901001010000000000000001032035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</si>
  <si>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</si>
  <si>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</si>
  <si>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</si>
  <si>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</si>
  <si>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</si>
  <si>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</si>
  <si>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</si>
  <si>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</si>
  <si>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</si>
  <si>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</si>
  <si>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</si>
  <si>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</si>
  <si>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</si>
  <si>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</si>
  <si>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</si>
  <si>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</si>
  <si>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</si>
  <si>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</si>
  <si>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</si>
  <si>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</si>
  <si>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</si>
  <si>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</si>
  <si>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</si>
  <si>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</si>
  <si>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</si>
  <si>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</si>
  <si>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</si>
  <si>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</si>
  <si>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</si>
  <si>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</si>
  <si>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</si>
  <si>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</si>
  <si>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</si>
  <si>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</si>
  <si>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</si>
  <si>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</si>
  <si>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</si>
  <si>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</si>
  <si>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</si>
  <si>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</si>
  <si>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</si>
  <si>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</si>
  <si>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2.897, DE 20 DE JULHO DE 2021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</si>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</sst>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;[Red]#,##0.00"/>
    <numFmt numFmtId="169" formatCode="#,##0.00_);[Red]\(#,##0.00\)"/>
    <numFmt numFmtId="171" formatCode="#,##0.00_ ;[Red]\-#,##0.00\ "/>
  </numFmts>
  <fonts count="1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  <font>
      <sz val="8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65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0" fontId="6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64" fontId="0" fillId="0" borderId="9" xfId="1" applyFont="1" applyBorder="1"/>
    <xf numFmtId="164" fontId="0" fillId="0" borderId="13" xfId="1" applyFont="1" applyBorder="1"/>
    <xf numFmtId="164" fontId="0" fillId="0" borderId="14" xfId="1" applyFont="1" applyBorder="1"/>
    <xf numFmtId="164" fontId="0" fillId="0" borderId="11" xfId="1" applyFont="1" applyBorder="1"/>
    <xf numFmtId="164" fontId="0" fillId="0" borderId="15" xfId="1" applyFont="1" applyBorder="1"/>
    <xf numFmtId="0" fontId="0" fillId="0" borderId="16" xfId="0" applyBorder="1"/>
    <xf numFmtId="164" fontId="0" fillId="0" borderId="17" xfId="1" applyFont="1" applyBorder="1"/>
    <xf numFmtId="0" fontId="0" fillId="0" borderId="18" xfId="0" applyBorder="1"/>
    <xf numFmtId="0" fontId="0" fillId="0" borderId="12" xfId="0" applyBorder="1"/>
    <xf numFmtId="0" fontId="0" fillId="0" borderId="19" xfId="0" applyBorder="1"/>
    <xf numFmtId="0" fontId="0" fillId="0" borderId="20" xfId="0" applyBorder="1"/>
    <xf numFmtId="164" fontId="0" fillId="0" borderId="19" xfId="1" applyFont="1" applyBorder="1"/>
    <xf numFmtId="164" fontId="0" fillId="0" borderId="16" xfId="1" applyFont="1" applyBorder="1"/>
    <xf numFmtId="0" fontId="0" fillId="0" borderId="21" xfId="0" applyBorder="1"/>
    <xf numFmtId="0" fontId="3" fillId="0" borderId="0" xfId="0" quotePrefix="1" applyFont="1" applyAlignme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0" fontId="3" fillId="0" borderId="25" xfId="0" applyNumberFormat="1" applyFont="1" applyBorder="1" applyAlignment="1">
      <alignment vertical="center"/>
    </xf>
    <xf numFmtId="40" fontId="3" fillId="0" borderId="25" xfId="0" applyNumberFormat="1" applyFont="1" applyBorder="1" applyAlignment="1">
      <alignment horizontal="center" vertical="center"/>
    </xf>
    <xf numFmtId="0" fontId="3" fillId="0" borderId="25" xfId="0" applyFont="1" applyBorder="1"/>
    <xf numFmtId="40" fontId="3" fillId="0" borderId="25" xfId="0" applyNumberFormat="1" applyFont="1" applyBorder="1"/>
    <xf numFmtId="10" fontId="3" fillId="0" borderId="0" xfId="0" applyNumberFormat="1" applyFont="1"/>
    <xf numFmtId="2" fontId="9" fillId="2" borderId="26" xfId="0" applyNumberFormat="1" applyFont="1" applyFill="1" applyBorder="1" applyAlignment="1">
      <alignment horizontal="center" vertical="center"/>
    </xf>
    <xf numFmtId="0" fontId="9" fillId="2" borderId="26" xfId="0" applyFont="1" applyFill="1" applyBorder="1" applyAlignment="1">
      <alignment horizontal="left" vertical="center" indent="1"/>
    </xf>
    <xf numFmtId="4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2" borderId="0" xfId="0" applyNumberFormat="1" applyFont="1" applyFill="1" applyAlignment="1">
      <alignment vertical="center"/>
    </xf>
    <xf numFmtId="0" fontId="9" fillId="2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10" fillId="4" borderId="27" xfId="0" applyFont="1" applyFill="1" applyBorder="1" applyAlignment="1">
      <alignment horizontal="center" vertical="center"/>
    </xf>
    <xf numFmtId="40" fontId="9" fillId="2" borderId="26" xfId="0" applyNumberFormat="1" applyFont="1" applyFill="1" applyBorder="1" applyAlignment="1">
      <alignment horizontal="center" vertical="center"/>
    </xf>
    <xf numFmtId="168" fontId="9" fillId="3" borderId="0" xfId="0" applyNumberFormat="1" applyFont="1" applyFill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4" fillId="0" borderId="25" xfId="0" applyFont="1" applyBorder="1" applyAlignment="1">
      <alignment horizontal="center" vertical="center"/>
    </xf>
    <xf numFmtId="165" fontId="3" fillId="0" borderId="25" xfId="0" applyNumberFormat="1" applyFont="1" applyBorder="1" applyAlignment="1">
      <alignment vertical="center"/>
    </xf>
    <xf numFmtId="40" fontId="3" fillId="0" borderId="25" xfId="0" applyNumberFormat="1" applyFont="1" applyBorder="1" applyAlignment="1">
      <alignment horizontal="left" vertical="center" indent="1"/>
    </xf>
    <xf numFmtId="40" fontId="3" fillId="0" borderId="25" xfId="0" quotePrefix="1" applyNumberFormat="1" applyFont="1" applyBorder="1" applyAlignment="1">
      <alignment horizontal="left" vertical="center" indent="1"/>
    </xf>
    <xf numFmtId="40" fontId="3" fillId="0" borderId="28" xfId="0" applyNumberFormat="1" applyFont="1" applyBorder="1" applyAlignment="1">
      <alignment horizontal="left" vertical="center"/>
    </xf>
    <xf numFmtId="40" fontId="3" fillId="0" borderId="28" xfId="0" applyNumberFormat="1" applyFont="1" applyBorder="1" applyAlignment="1">
      <alignment vertical="center"/>
    </xf>
    <xf numFmtId="40" fontId="4" fillId="0" borderId="28" xfId="0" applyNumberFormat="1" applyFont="1" applyBorder="1" applyAlignment="1">
      <alignment horizontal="center" vertical="center"/>
    </xf>
    <xf numFmtId="40" fontId="3" fillId="0" borderId="29" xfId="0" applyNumberFormat="1" applyFont="1" applyBorder="1" applyAlignment="1">
      <alignment vertical="center"/>
    </xf>
    <xf numFmtId="40" fontId="4" fillId="0" borderId="29" xfId="0" applyNumberFormat="1" applyFont="1" applyBorder="1" applyAlignment="1">
      <alignment horizontal="center" vertical="center"/>
    </xf>
    <xf numFmtId="40" fontId="3" fillId="0" borderId="33" xfId="0" applyNumberFormat="1" applyFont="1" applyBorder="1" applyAlignment="1">
      <alignment vertical="center"/>
    </xf>
    <xf numFmtId="40" fontId="3" fillId="0" borderId="33" xfId="0" applyNumberFormat="1" applyFont="1" applyBorder="1" applyAlignment="1">
      <alignment horizontal="left" vertical="center"/>
    </xf>
    <xf numFmtId="0" fontId="4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vertical="center"/>
    </xf>
    <xf numFmtId="40" fontId="3" fillId="0" borderId="33" xfId="0" applyNumberFormat="1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40" fontId="4" fillId="0" borderId="33" xfId="0" applyNumberFormat="1" applyFont="1" applyBorder="1" applyAlignment="1">
      <alignment horizontal="center" vertical="center"/>
    </xf>
    <xf numFmtId="40" fontId="3" fillId="0" borderId="33" xfId="0" applyNumberFormat="1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" fillId="0" borderId="3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40" fontId="1" fillId="0" borderId="33" xfId="0" applyNumberFormat="1" applyFont="1" applyBorder="1" applyAlignment="1">
      <alignment horizontal="center" vertical="center"/>
    </xf>
    <xf numFmtId="166" fontId="1" fillId="0" borderId="33" xfId="0" applyNumberFormat="1" applyFont="1" applyBorder="1" applyAlignment="1">
      <alignment horizontal="center" vertical="center"/>
    </xf>
    <xf numFmtId="0" fontId="3" fillId="0" borderId="33" xfId="0" applyFont="1" applyBorder="1"/>
    <xf numFmtId="0" fontId="4" fillId="0" borderId="33" xfId="0" applyFont="1" applyBorder="1"/>
    <xf numFmtId="40" fontId="7" fillId="5" borderId="0" xfId="0" applyNumberFormat="1" applyFont="1" applyFill="1" applyAlignment="1">
      <alignment horizontal="center" vertical="center"/>
    </xf>
    <xf numFmtId="40" fontId="1" fillId="5" borderId="0" xfId="0" applyNumberFormat="1" applyFont="1" applyFill="1" applyAlignment="1">
      <alignment horizontal="center" vertical="center"/>
    </xf>
    <xf numFmtId="14" fontId="2" fillId="0" borderId="33" xfId="0" applyNumberFormat="1" applyFont="1" applyBorder="1" applyAlignment="1">
      <alignment horizontal="center" vertical="center"/>
    </xf>
    <xf numFmtId="14" fontId="1" fillId="0" borderId="33" xfId="0" applyNumberFormat="1" applyFont="1" applyBorder="1" applyAlignment="1">
      <alignment horizontal="center" vertical="center"/>
    </xf>
    <xf numFmtId="40" fontId="3" fillId="0" borderId="33" xfId="0" applyNumberFormat="1" applyFont="1" applyBorder="1"/>
    <xf numFmtId="40" fontId="2" fillId="0" borderId="33" xfId="0" applyNumberFormat="1" applyFont="1" applyBorder="1" applyAlignment="1">
      <alignment horizontal="center" vertical="center"/>
    </xf>
    <xf numFmtId="164" fontId="0" fillId="0" borderId="33" xfId="1" applyFont="1" applyBorder="1"/>
    <xf numFmtId="164" fontId="0" fillId="0" borderId="30" xfId="1" applyFont="1" applyBorder="1"/>
    <xf numFmtId="4" fontId="12" fillId="6" borderId="35" xfId="0" applyNumberFormat="1" applyFont="1" applyFill="1" applyBorder="1"/>
    <xf numFmtId="4" fontId="12" fillId="6" borderId="32" xfId="0" applyNumberFormat="1" applyFont="1" applyFill="1" applyBorder="1"/>
    <xf numFmtId="4" fontId="12" fillId="6" borderId="36" xfId="0" applyNumberFormat="1" applyFont="1" applyFill="1" applyBorder="1"/>
    <xf numFmtId="4" fontId="12" fillId="6" borderId="3" xfId="0" applyNumberFormat="1" applyFont="1" applyFill="1" applyBorder="1"/>
    <xf numFmtId="4" fontId="12" fillId="6" borderId="33" xfId="0" applyNumberFormat="1" applyFont="1" applyFill="1" applyBorder="1"/>
    <xf numFmtId="4" fontId="12" fillId="6" borderId="2" xfId="0" applyNumberFormat="1" applyFont="1" applyFill="1" applyBorder="1"/>
    <xf numFmtId="4" fontId="12" fillId="6" borderId="37" xfId="0" applyNumberFormat="1" applyFont="1" applyFill="1" applyBorder="1"/>
    <xf numFmtId="4" fontId="12" fillId="6" borderId="30" xfId="0" applyNumberFormat="1" applyFont="1" applyFill="1" applyBorder="1"/>
    <xf numFmtId="4" fontId="12" fillId="6" borderId="34" xfId="0" applyNumberFormat="1" applyFont="1" applyFill="1" applyBorder="1"/>
    <xf numFmtId="40" fontId="3" fillId="5" borderId="33" xfId="0" applyNumberFormat="1" applyFont="1" applyFill="1" applyBorder="1" applyAlignment="1">
      <alignment horizontal="center" vertical="center"/>
    </xf>
    <xf numFmtId="4" fontId="12" fillId="6" borderId="32" xfId="0" applyNumberFormat="1" applyFont="1" applyFill="1" applyBorder="1" applyAlignment="1">
      <alignment horizontal="center"/>
    </xf>
    <xf numFmtId="4" fontId="12" fillId="6" borderId="36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33" xfId="0" applyFont="1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0" xfId="0" applyFont="1" applyAlignment="1">
      <alignment horizontal="center" vertical="center"/>
    </xf>
    <xf numFmtId="40" fontId="3" fillId="0" borderId="28" xfId="0" applyNumberFormat="1" applyFont="1" applyBorder="1" applyAlignment="1">
      <alignment horizontal="left" vertical="center"/>
    </xf>
    <xf numFmtId="0" fontId="4" fillId="0" borderId="28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40" fontId="4" fillId="0" borderId="30" xfId="0" applyNumberFormat="1" applyFont="1" applyBorder="1" applyAlignment="1">
      <alignment horizontal="center" vertical="center"/>
    </xf>
    <xf numFmtId="40" fontId="6" fillId="0" borderId="31" xfId="0" applyNumberFormat="1" applyFont="1" applyBorder="1" applyAlignment="1">
      <alignment horizontal="center" vertical="center"/>
    </xf>
    <xf numFmtId="40" fontId="6" fillId="0" borderId="32" xfId="0" applyNumberFormat="1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vertical="center"/>
    </xf>
    <xf numFmtId="0" fontId="4" fillId="0" borderId="33" xfId="0" applyFont="1" applyBorder="1" applyAlignment="1">
      <alignment horizontal="center" vertical="center"/>
    </xf>
    <xf numFmtId="40" fontId="3" fillId="0" borderId="33" xfId="0" applyNumberFormat="1" applyFont="1" applyBorder="1" applyAlignment="1">
      <alignment horizontal="left" vertical="center"/>
    </xf>
    <xf numFmtId="0" fontId="3" fillId="0" borderId="30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4" fontId="12" fillId="6" borderId="33" xfId="0" applyNumberFormat="1" applyFont="1" applyFill="1" applyBorder="1" applyAlignment="1">
      <alignment horizontal="center"/>
    </xf>
    <xf numFmtId="4" fontId="12" fillId="6" borderId="2" xfId="0" applyNumberFormat="1" applyFont="1" applyFill="1" applyBorder="1" applyAlignment="1">
      <alignment horizontal="center"/>
    </xf>
    <xf numFmtId="4" fontId="12" fillId="6" borderId="32" xfId="0" applyNumberFormat="1" applyFont="1" applyFill="1" applyBorder="1" applyAlignment="1">
      <alignment horizontal="center"/>
    </xf>
    <xf numFmtId="4" fontId="12" fillId="6" borderId="36" xfId="0" applyNumberFormat="1" applyFont="1" applyFill="1" applyBorder="1" applyAlignment="1">
      <alignment horizontal="center"/>
    </xf>
    <xf numFmtId="0" fontId="13" fillId="0" borderId="0" xfId="0" pivotButton="1" applyFont="1"/>
    <xf numFmtId="169" fontId="13" fillId="0" borderId="0" xfId="0" applyNumberFormat="1" applyFont="1"/>
    <xf numFmtId="167" fontId="13" fillId="0" borderId="0" xfId="0" applyNumberFormat="1" applyFont="1"/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 indent="1"/>
    </xf>
    <xf numFmtId="0" fontId="13" fillId="0" borderId="0" xfId="0" applyFont="1" applyAlignment="1">
      <alignment horizontal="left" indent="2"/>
    </xf>
    <xf numFmtId="171" fontId="3" fillId="0" borderId="0" xfId="0" applyNumberFormat="1" applyFont="1" applyAlignment="1">
      <alignment horizontal="center" vertical="center"/>
    </xf>
  </cellXfs>
  <cellStyles count="2">
    <cellStyle name="Normal" xfId="0" builtinId="0"/>
    <cellStyle name="Vírgula" xfId="1" builtinId="3"/>
  </cellStyles>
  <dxfs count="1294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1" defaultTableStyle="TableStyleMedium2" defaultPivotStyle="PivotStyleLight16">
    <tableStyle name="Invisible" pivot="0" table="0" count="0" xr9:uid="{1BD964CA-545C-4817-89C4-B704050D98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-7.9983562454838712E-4</c:v>
                </c:pt>
                <c:pt idx="1">
                  <c:v>-1.495544318484214E-4</c:v>
                </c:pt>
                <c:pt idx="2">
                  <c:v>-2.0861040506157075E-3</c:v>
                </c:pt>
                <c:pt idx="3">
                  <c:v>0</c:v>
                </c:pt>
                <c:pt idx="4">
                  <c:v>0</c:v>
                </c:pt>
                <c:pt idx="5">
                  <c:v>0.13826932744344639</c:v>
                </c:pt>
                <c:pt idx="6">
                  <c:v>2.0724367664563453E-2</c:v>
                </c:pt>
                <c:pt idx="7">
                  <c:v>0</c:v>
                </c:pt>
                <c:pt idx="8">
                  <c:v>4.6153552528656439E-2</c:v>
                </c:pt>
                <c:pt idx="9">
                  <c:v>4.3348624515997221E-3</c:v>
                </c:pt>
                <c:pt idx="10">
                  <c:v>3.3158956345698806E-2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-3.5514985845532136E-2</c:v>
                </c:pt>
                <c:pt idx="16">
                  <c:v>-0.21253937722304309</c:v>
                </c:pt>
                <c:pt idx="17">
                  <c:v>0</c:v>
                </c:pt>
                <c:pt idx="18">
                  <c:v>-4.314548937341095E-3</c:v>
                </c:pt>
                <c:pt idx="19">
                  <c:v>1.1982633119863894E-4</c:v>
                </c:pt>
                <c:pt idx="20">
                  <c:v>8.0277429367370896E-4</c:v>
                </c:pt>
                <c:pt idx="21">
                  <c:v>-3.6553725782883995E-5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B-41B2-8118-58670BF71181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2.8542650256396459E-4</c:v>
                </c:pt>
                <c:pt idx="2">
                  <c:v>1.0694472844996182E-3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9.6840247232250223E-2</c:v>
                </c:pt>
                <c:pt idx="16">
                  <c:v>-0.20678528754186185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6B-41B2-8118-58670BF71181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2.8542650256396459E-4</c:v>
                </c:pt>
                <c:pt idx="2">
                  <c:v>1.0694472844996182E-3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9.6840247232250223E-2</c:v>
                </c:pt>
                <c:pt idx="16">
                  <c:v>-0.20678528754186185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6B-41B2-8118-58670BF71181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7F6B-41B2-8118-58670BF71181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7F6B-41B2-8118-58670BF71181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7F6B-41B2-8118-58670BF71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552424"/>
        <c:axId val="1136550784"/>
      </c:radarChart>
      <c:catAx>
        <c:axId val="11365524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136550784"/>
        <c:crosses val="autoZero"/>
        <c:auto val="1"/>
        <c:lblAlgn val="ctr"/>
        <c:lblOffset val="100"/>
        <c:noMultiLvlLbl val="0"/>
      </c:catAx>
      <c:valAx>
        <c:axId val="1136550784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13655242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1.0109624633673567E-3</c:v>
                </c:pt>
                <c:pt idx="1">
                  <c:v>1.1762739899045008E-2</c:v>
                </c:pt>
                <c:pt idx="2">
                  <c:v>0</c:v>
                </c:pt>
                <c:pt idx="3">
                  <c:v>3.9334480073287811E-2</c:v>
                </c:pt>
                <c:pt idx="4">
                  <c:v>-7.6836341970658015E-2</c:v>
                </c:pt>
                <c:pt idx="5">
                  <c:v>0.11948101366737679</c:v>
                </c:pt>
                <c:pt idx="6">
                  <c:v>1.4439341495761608E-2</c:v>
                </c:pt>
                <c:pt idx="7">
                  <c:v>3.3594978344871837E-3</c:v>
                </c:pt>
                <c:pt idx="8">
                  <c:v>0</c:v>
                </c:pt>
                <c:pt idx="9">
                  <c:v>-0.19098373496548768</c:v>
                </c:pt>
                <c:pt idx="10">
                  <c:v>6.8340139343929926E-3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D-4341-AC2B-44A54FC2C13D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9.3353616949234562E-4</c:v>
                </c:pt>
                <c:pt idx="1">
                  <c:v>1.1057383660447683E-2</c:v>
                </c:pt>
                <c:pt idx="2">
                  <c:v>0</c:v>
                </c:pt>
                <c:pt idx="3">
                  <c:v>3.9332996165889478E-2</c:v>
                </c:pt>
                <c:pt idx="4">
                  <c:v>-7.6833443292040685E-2</c:v>
                </c:pt>
                <c:pt idx="5">
                  <c:v>0.1116890631623574</c:v>
                </c:pt>
                <c:pt idx="6">
                  <c:v>1.4267766386671092E-2</c:v>
                </c:pt>
                <c:pt idx="7">
                  <c:v>3.2045641903210081E-3</c:v>
                </c:pt>
                <c:pt idx="8">
                  <c:v>0</c:v>
                </c:pt>
                <c:pt idx="9">
                  <c:v>-0.18942757616859221</c:v>
                </c:pt>
                <c:pt idx="10">
                  <c:v>6.6643909231441853E-3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D-4341-AC2B-44A54FC2C13D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9.3353616949234562E-4</c:v>
                </c:pt>
                <c:pt idx="1">
                  <c:v>1.1057383660447683E-2</c:v>
                </c:pt>
                <c:pt idx="2">
                  <c:v>0</c:v>
                </c:pt>
                <c:pt idx="3">
                  <c:v>3.9332996165889478E-2</c:v>
                </c:pt>
                <c:pt idx="4">
                  <c:v>-7.6833443292040685E-2</c:v>
                </c:pt>
                <c:pt idx="5">
                  <c:v>0.1116890631623574</c:v>
                </c:pt>
                <c:pt idx="6">
                  <c:v>1.4267766386671092E-2</c:v>
                </c:pt>
                <c:pt idx="7">
                  <c:v>3.2045641903210081E-3</c:v>
                </c:pt>
                <c:pt idx="8">
                  <c:v>0</c:v>
                </c:pt>
                <c:pt idx="9">
                  <c:v>-0.18942757616859221</c:v>
                </c:pt>
                <c:pt idx="10">
                  <c:v>6.6643909231441853E-3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D-4341-AC2B-44A54FC2C13D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B14D-4341-AC2B-44A54FC2C13D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B14D-4341-AC2B-44A54FC2C13D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B14D-4341-AC2B-44A54FC2C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357104"/>
        <c:axId val="1138350872"/>
      </c:radarChart>
      <c:catAx>
        <c:axId val="11383571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138350872"/>
        <c:crosses val="autoZero"/>
        <c:auto val="1"/>
        <c:lblAlgn val="ctr"/>
        <c:lblOffset val="100"/>
        <c:noMultiLvlLbl val="0"/>
      </c:catAx>
      <c:valAx>
        <c:axId val="113835087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13835710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16</xdr:col>
      <xdr:colOff>238126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632DF47-3AB6-4FE0-0CCA-3FEE8A46D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15</xdr:col>
      <xdr:colOff>371476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D1F8AC-65C2-1227-C888-773929B62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57.505588194443" createdVersion="5" refreshedVersion="8" minRefreshableVersion="3" recordCount="456" xr:uid="{5F3664A4-9D0F-407E-BE15-B85AF545B052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4">
        <s v="Geração"/>
        <s v="Azul"/>
        <s v="Verde"/>
        <s v="Convencional"/>
      </sharedItems>
    </cacheField>
    <cacheField name="Classe" numFmtId="0">
      <sharedItems count="5">
        <s v="Não se aplica"/>
        <s v="Industrial"/>
        <s v="Serviço público"/>
        <s v="Rural"/>
        <s v="Residencial"/>
      </sharedItems>
    </cacheField>
    <cacheField name="Subclasse" numFmtId="0">
      <sharedItems count="9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4">
        <s v="MATA COBRA"/>
        <s v="Não se aplica"/>
        <s v="COLORADO"/>
        <s v="OSVALDO DINO PIGOZZI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7918"/>
    </cacheField>
    <cacheField name="Daj" numFmtId="40">
      <sharedItems containsSemiMixedTypes="0" containsString="0" containsNumber="1" minValue="0" maxValue="3504"/>
    </cacheField>
    <cacheField name="TUSD_E" numFmtId="40">
      <sharedItems containsSemiMixedTypes="0" containsString="0" containsNumber="1" minValue="-196.922" maxValue="5560.54"/>
    </cacheField>
    <cacheField name="TUSD_Eaj" numFmtId="40">
      <sharedItems containsSemiMixedTypes="0" containsString="0" containsNumber="1" minValue="-196.922" maxValue="5560.54"/>
    </cacheField>
    <cacheField name="TE_E" numFmtId="40">
      <sharedItems containsSemiMixedTypes="0" containsString="0" containsNumber="1" minValue="-196.922" maxValue="5560.54"/>
    </cacheField>
    <cacheField name="TE_Eaj" numFmtId="40">
      <sharedItems containsSemiMixedTypes="0" containsString="0" containsNumber="1" minValue="-196.922" maxValue="5560.54"/>
    </cacheField>
    <cacheField name="UC" numFmtId="40">
      <sharedItems containsSemiMixedTypes="0" containsString="0" containsNumber="1" containsInteger="1" minValue="0" maxValue="28902"/>
    </cacheField>
    <cacheField name="OPÇÃO" numFmtId="0">
      <sharedItems/>
    </cacheField>
    <cacheField name="CóD. AUX." numFmtId="0">
      <sharedItems containsString="0" containsBlank="1" containsNumber="1" containsInteger="1" minValue="0" maxValue="1433"/>
    </cacheField>
    <cacheField name="CóD. AUX. TUSD R$/kW" numFmtId="0">
      <sharedItems containsSemiMixedTypes="0" containsString="0" containsNumber="1" containsInteger="1" minValue="0" maxValue="29"/>
    </cacheField>
    <cacheField name="CóD. AUX. TUSD R$/MWh" numFmtId="0">
      <sharedItems containsSemiMixedTypes="0" containsString="0" containsNumber="1" containsInteger="1" minValue="0" maxValue="34"/>
    </cacheField>
    <cacheField name="CóD. AUX. TE R$/MWh" numFmtId="0">
      <sharedItems containsSemiMixedTypes="0" containsString="0" containsNumber="1" containsInteger="1" minValue="0" maxValue="80"/>
    </cacheField>
    <cacheField name="TUSD (R$/kW)" numFmtId="40">
      <sharedItems containsSemiMixedTypes="0" containsString="0" containsNumber="1" minValue="0" maxValue="51.41"/>
    </cacheField>
    <cacheField name="TUSD (R$/MWh)" numFmtId="40">
      <sharedItems containsSemiMixedTypes="0" containsString="0" containsNumber="1" minValue="0" maxValue="1329.67"/>
    </cacheField>
    <cacheField name="TE (R$/MWh)" numFmtId="40">
      <sharedItems containsSemiMixedTypes="0" containsString="0" containsNumber="1" minValue="0" maxValue="389.21"/>
    </cacheField>
    <cacheField name="TUSD (R$/kW) NOVA" numFmtId="40">
      <sharedItems containsString="0" containsBlank="1" containsNumber="1" minValue="4.4149230953225524" maxValue="36.097670015976888"/>
    </cacheField>
    <cacheField name="TUSD (R$/MWh) NOVA" numFmtId="40">
      <sharedItems containsString="0" containsBlank="1" containsNumber="1" minValue="82.3224508377875" maxValue="975.12024846292354"/>
    </cacheField>
    <cacheField name="TE (R$/MWh) NOVA" numFmtId="40">
      <sharedItems containsString="0" containsBlank="1" containsNumber="1" minValue="80.703906972005015" maxValue="353.55100010229148"/>
    </cacheField>
    <cacheField name="SUBSIDIO kW - TV" numFmtId="40">
      <sharedItems containsSemiMixedTypes="0" containsString="0" containsNumber="1" minValue="0" maxValue="138961.22999999998"/>
    </cacheField>
    <cacheField name="SUBSIDIO MWh - TV" numFmtId="40">
      <sharedItems containsSemiMixedTypes="0" containsString="0" containsNumber="1" minValue="-13768.786240000009" maxValue="204247.13639976198"/>
    </cacheField>
    <cacheField name="SUBSIDIO kW - TN" numFmtId="40">
      <sharedItems containsSemiMixedTypes="0" containsString="0" containsNumber="1" minValue="0" maxValue="97572.002053185526"/>
    </cacheField>
    <cacheField name="SUBSIDIO MWh - TN" numFmtId="40">
      <sharedItems containsSemiMixedTypes="0" containsString="0" containsNumber="1" minValue="-6758.7032069553852" maxValue="149785.67493737282"/>
    </cacheField>
    <cacheField name="TIPO" numFmtId="0">
      <sharedItems containsBlank="1" count="7">
        <s v="SUBSIDIO GERAÇÃO FONTE INCENTIVADA"/>
        <s v="SUBSIDIO CARGA FONTE INCENTIVADA"/>
        <s v="SUBSIDIO ÁGUA, ESGOTO E SANEAMENTO"/>
        <s v="SUBSIDIO IRRIGANTE/AQUICULTOR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0.622284837962" createdVersion="5" refreshedVersion="8" minRefreshableVersion="3" recordCount="920" xr:uid="{C632B742-7B2F-48C9-BF58-4413078E3CF2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5">
        <s v="Geração"/>
        <s v="Azul"/>
        <s v="Verde"/>
        <s v="Branca"/>
        <s v="Convencional"/>
      </sharedItems>
    </cacheField>
    <cacheField name="Classe" numFmtId="0">
      <sharedItems count="9">
        <s v="Não se aplica"/>
        <s v="Comercial"/>
        <s v="Industrial"/>
        <s v="Serviço público"/>
        <s v="Consumo próprio"/>
        <s v="Poder público"/>
        <s v="Rural"/>
        <s v="Residencial"/>
        <s v="Iluminação pública"/>
      </sharedItems>
    </cacheField>
    <cacheField name="Subclasse" numFmtId="0">
      <sharedItems count="10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4">
        <s v="MATA COBRA"/>
        <s v="Não se aplica"/>
        <s v="COLORADO"/>
        <s v="OSVALDO DINO PIGOZZI"/>
      </sharedItems>
    </cacheField>
    <cacheField name="Posto" numFmtId="0">
      <sharedItems count="4">
        <s v="Não se aplica"/>
        <s v="Fora ponta"/>
        <s v="Pont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58" maxValue="7918"/>
    </cacheField>
    <cacheField name="Daj" numFmtId="40">
      <sharedItems containsSemiMixedTypes="0" containsString="0" containsNumber="1" minValue="-58" maxValue="7286"/>
    </cacheField>
    <cacheField name="TUSD_E" numFmtId="40">
      <sharedItems containsSemiMixedTypes="0" containsString="0" containsNumber="1" minValue="-211.714" maxValue="5967.1880000000001"/>
    </cacheField>
    <cacheField name="TUSD_Eaj" numFmtId="40">
      <sharedItems containsSemiMixedTypes="0" containsString="0" containsNumber="1" minValue="-211.714" maxValue="5967.1880000000001"/>
    </cacheField>
    <cacheField name="TE_E" numFmtId="40">
      <sharedItems containsSemiMixedTypes="0" containsString="0" containsNumber="1" minValue="-211.714" maxValue="5967.1880000000001"/>
    </cacheField>
    <cacheField name="TE_Eaj" numFmtId="40">
      <sharedItems containsSemiMixedTypes="0" containsString="0" containsNumber="1" minValue="-211.714" maxValue="5967.1880000000001"/>
    </cacheField>
    <cacheField name="UC" numFmtId="40">
      <sharedItems containsSemiMixedTypes="0" containsString="0" containsNumber="1" containsInteger="1" minValue="0" maxValue="28948"/>
    </cacheField>
    <cacheField name="OPÇÃO" numFmtId="0">
      <sharedItems count="3">
        <s v="GERAÇÃO"/>
        <s v="CATIVO"/>
        <s v="LIVRE"/>
      </sharedItems>
    </cacheField>
    <cacheField name="CóD. AUX." numFmtId="0">
      <sharedItems containsString="0" containsBlank="1" containsNumber="1" containsInteger="1" minValue="0" maxValue="1433"/>
    </cacheField>
    <cacheField name="CóD. AUX. TUSD R$/kW" numFmtId="40">
      <sharedItems containsSemiMixedTypes="0" containsString="0" containsNumber="1" containsInteger="1" minValue="0" maxValue="29"/>
    </cacheField>
    <cacheField name="CóD. AUX. TUSD R$/MWh" numFmtId="40">
      <sharedItems containsSemiMixedTypes="0" containsString="0" containsNumber="1" containsInteger="1" minValue="0" maxValue="65"/>
    </cacheField>
    <cacheField name="CóD. AUX. TE R$/MWh" numFmtId="40">
      <sharedItems containsSemiMixedTypes="0" containsString="0" containsNumber="1" containsInteger="1" minValue="0" maxValue="82"/>
    </cacheField>
    <cacheField name="TUSD (R$/kW)" numFmtId="40">
      <sharedItems containsSemiMixedTypes="0" containsString="0" containsNumber="1" minValue="0" maxValue="51.41"/>
    </cacheField>
    <cacheField name="TUSD (R$/MWh)" numFmtId="40">
      <sharedItems containsSemiMixedTypes="0" containsString="0" containsNumber="1" minValue="0" maxValue="1329.67"/>
    </cacheField>
    <cacheField name="TE (R$/MWh)" numFmtId="40">
      <sharedItems containsSemiMixedTypes="0" containsString="0" containsNumber="1" minValue="0" maxValue="389.21"/>
    </cacheField>
    <cacheField name="TUSD (R$/kW) NOVA" numFmtId="40">
      <sharedItems containsString="0" containsBlank="1" containsNumber="1" minValue="5.4509137424633414" maxValue="40.182791243128264"/>
    </cacheField>
    <cacheField name="TUSD (R$/MWh) NOVA" numFmtId="40">
      <sharedItems containsString="0" containsBlank="1" containsNumber="1" minValue="78.370676899809226" maxValue="1111.2627392273312"/>
    </cacheField>
    <cacheField name="TE (R$/MWh) NOVA" numFmtId="40">
      <sharedItems containsString="0" containsBlank="1" containsNumber="1" minValue="80.703906972005015" maxValue="353.55100010229148"/>
    </cacheField>
    <cacheField name="RA0 ou RV - TUSD (kW)" numFmtId="40">
      <sharedItems containsSemiMixedTypes="0" containsString="0" containsNumber="1" minValue="-1115.9199999999998" maxValue="140182.63999999998"/>
    </cacheField>
    <cacheField name="RA0 ou RV - TUSD (MWh)" numFmtId="40">
      <sharedItems containsSemiMixedTypes="0" containsString="0" containsNumber="1" minValue="-68701.192999999999" maxValue="1936352.5060000001"/>
    </cacheField>
    <cacheField name="RA0 ou RV - TE (MWh)" numFmtId="40">
      <sharedItems containsSemiMixedTypes="0" containsString="0" containsNumber="1" minValue="-54666.671939999993" maxValue="1540787.6134799998"/>
    </cacheField>
    <cacheField name="RA1 ou RRD - TUSD (kW)" numFmtId="40">
      <sharedItems containsSemiMixedTypes="0" containsString="0" containsNumber="1" minValue="-881.19155940179371" maxValue="110695.89141037015"/>
    </cacheField>
    <cacheField name="RA1 ou RRD - TUSD (MWh)" numFmtId="40">
      <sharedItems containsSemiMixedTypes="0" containsString="0" containsNumber="1" minValue="-69898.689015871685" maxValue="1970104.0947279886"/>
    </cacheField>
    <cacheField name="RA1 ou RRD - TE (MWh)" numFmtId="40">
      <sharedItems containsSemiMixedTypes="0" containsString="0" containsNumber="1" minValue="-48817.562744774485" maxValue="1375929.6721041847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6">
  <r>
    <s v="Regular"/>
    <x v="0"/>
    <x v="0"/>
    <x v="0"/>
    <x v="0"/>
    <x v="0"/>
    <x v="0"/>
    <x v="0"/>
    <x v="0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1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2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3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4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5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6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7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8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9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0"/>
    <x v="0"/>
    <x v="0"/>
    <x v="0"/>
    <x v="0"/>
    <x v="0"/>
    <x v="0"/>
    <x v="10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PROJETADO"/>
    <x v="0"/>
    <x v="0"/>
    <x v="0"/>
    <x v="0"/>
    <x v="0"/>
    <x v="0"/>
    <x v="0"/>
    <x v="11"/>
    <n v="2300"/>
    <n v="1150"/>
    <n v="0"/>
    <n v="0"/>
    <n v="0"/>
    <n v="0"/>
    <n v="0"/>
    <s v="GERAÇÃO"/>
    <n v="1433"/>
    <n v="29"/>
    <n v="0"/>
    <n v="0"/>
    <n v="13.17"/>
    <n v="0"/>
    <n v="0"/>
    <n v="11.740652626592427"/>
    <m/>
    <m/>
    <n v="15145.5"/>
    <n v="0"/>
    <n v="13501.75052058129"/>
    <n v="0"/>
    <x v="0"/>
  </r>
  <r>
    <s v="Regular"/>
    <x v="1"/>
    <x v="1"/>
    <x v="1"/>
    <x v="0"/>
    <x v="1"/>
    <x v="1"/>
    <x v="1"/>
    <x v="0"/>
    <n v="5515"/>
    <n v="2757.5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3054.299999999996"/>
    <n v="0"/>
    <n v="37880.4576586158"/>
    <n v="0"/>
    <x v="1"/>
  </r>
  <r>
    <s v="Regular"/>
    <x v="1"/>
    <x v="1"/>
    <x v="1"/>
    <x v="0"/>
    <x v="1"/>
    <x v="1"/>
    <x v="1"/>
    <x v="1"/>
    <n v="5578"/>
    <n v="2789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3660.359999999993"/>
    <n v="0"/>
    <n v="38313.180928333437"/>
    <n v="0"/>
    <x v="1"/>
  </r>
  <r>
    <s v="Regular"/>
    <x v="1"/>
    <x v="1"/>
    <x v="1"/>
    <x v="0"/>
    <x v="1"/>
    <x v="1"/>
    <x v="1"/>
    <x v="2"/>
    <n v="5550"/>
    <n v="2775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3390.999999999993"/>
    <n v="0"/>
    <n v="38120.859475125602"/>
    <n v="0"/>
    <x v="1"/>
  </r>
  <r>
    <s v="Regular"/>
    <x v="1"/>
    <x v="1"/>
    <x v="1"/>
    <x v="0"/>
    <x v="1"/>
    <x v="1"/>
    <x v="1"/>
    <x v="3"/>
    <n v="5570"/>
    <n v="2785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3583.399999999994"/>
    <n v="0"/>
    <n v="38258.23194170263"/>
    <n v="0"/>
    <x v="1"/>
  </r>
  <r>
    <s v="Regular"/>
    <x v="1"/>
    <x v="1"/>
    <x v="1"/>
    <x v="0"/>
    <x v="1"/>
    <x v="1"/>
    <x v="1"/>
    <x v="4"/>
    <n v="5615"/>
    <n v="2807.5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016.299999999996"/>
    <n v="0"/>
    <n v="38567.319991500946"/>
    <n v="0"/>
    <x v="1"/>
  </r>
  <r>
    <s v="Regular"/>
    <x v="1"/>
    <x v="1"/>
    <x v="1"/>
    <x v="0"/>
    <x v="1"/>
    <x v="1"/>
    <x v="1"/>
    <x v="5"/>
    <n v="5648"/>
    <n v="2824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333.759999999995"/>
    <n v="0"/>
    <n v="38793.984561353041"/>
    <n v="0"/>
    <x v="1"/>
  </r>
  <r>
    <s v="Regular"/>
    <x v="1"/>
    <x v="1"/>
    <x v="1"/>
    <x v="0"/>
    <x v="1"/>
    <x v="1"/>
    <x v="1"/>
    <x v="6"/>
    <n v="5716"/>
    <n v="2858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987.92"/>
    <n v="0"/>
    <n v="39261.050947714939"/>
    <n v="0"/>
    <x v="1"/>
  </r>
  <r>
    <s v="Regular"/>
    <x v="1"/>
    <x v="1"/>
    <x v="1"/>
    <x v="0"/>
    <x v="1"/>
    <x v="1"/>
    <x v="1"/>
    <x v="7"/>
    <n v="5640"/>
    <n v="2820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256.799999999996"/>
    <n v="0"/>
    <n v="38739.035574722227"/>
    <n v="0"/>
    <x v="1"/>
  </r>
  <r>
    <s v="Regular"/>
    <x v="1"/>
    <x v="1"/>
    <x v="1"/>
    <x v="0"/>
    <x v="1"/>
    <x v="1"/>
    <x v="1"/>
    <x v="8"/>
    <n v="5643"/>
    <n v="2821.5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285.659999999996"/>
    <n v="0"/>
    <n v="38759.641444708788"/>
    <n v="0"/>
    <x v="1"/>
  </r>
  <r>
    <s v="Regular"/>
    <x v="1"/>
    <x v="1"/>
    <x v="1"/>
    <x v="0"/>
    <x v="1"/>
    <x v="1"/>
    <x v="1"/>
    <x v="9"/>
    <n v="5618"/>
    <n v="2809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045.159999999996"/>
    <n v="0"/>
    <n v="38587.9258614875"/>
    <n v="0"/>
    <x v="1"/>
  </r>
  <r>
    <s v="Regular"/>
    <x v="1"/>
    <x v="1"/>
    <x v="1"/>
    <x v="0"/>
    <x v="1"/>
    <x v="1"/>
    <x v="1"/>
    <x v="10"/>
    <n v="5674"/>
    <n v="2837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583.88"/>
    <n v="0"/>
    <n v="38972.568767903183"/>
    <n v="0"/>
    <x v="1"/>
  </r>
  <r>
    <s v="PROJETADO"/>
    <x v="1"/>
    <x v="1"/>
    <x v="1"/>
    <x v="0"/>
    <x v="1"/>
    <x v="1"/>
    <x v="1"/>
    <x v="11"/>
    <n v="5674"/>
    <n v="2837"/>
    <n v="0"/>
    <n v="0"/>
    <n v="0"/>
    <n v="0"/>
    <n v="0"/>
    <s v="LIVRE"/>
    <n v="0"/>
    <n v="22"/>
    <n v="0"/>
    <n v="0"/>
    <n v="19.239999999999998"/>
    <n v="0"/>
    <n v="0"/>
    <n v="13.737246657702919"/>
    <n v="100.0658904363724"/>
    <m/>
    <n v="54583.88"/>
    <n v="0"/>
    <n v="38972.568767903183"/>
    <n v="0"/>
    <x v="1"/>
  </r>
  <r>
    <s v="Regular"/>
    <x v="1"/>
    <x v="1"/>
    <x v="1"/>
    <x v="0"/>
    <x v="1"/>
    <x v="1"/>
    <x v="0"/>
    <x v="0"/>
    <n v="0"/>
    <n v="0"/>
    <n v="2527.2869999999998"/>
    <n v="1263.6434999999999"/>
    <n v="0"/>
    <n v="0"/>
    <n v="4"/>
    <s v="LIVRE"/>
    <n v="0"/>
    <n v="0"/>
    <n v="7"/>
    <n v="0"/>
    <n v="0"/>
    <n v="78.680000000000007"/>
    <n v="0"/>
    <m/>
    <n v="100.0658904363724"/>
    <m/>
    <n v="0"/>
    <n v="99423.470579999994"/>
    <n v="0"/>
    <n v="126447.61202163414"/>
    <x v="1"/>
  </r>
  <r>
    <s v="Regular"/>
    <x v="1"/>
    <x v="1"/>
    <x v="1"/>
    <x v="0"/>
    <x v="1"/>
    <x v="1"/>
    <x v="0"/>
    <x v="1"/>
    <n v="0"/>
    <n v="0"/>
    <n v="2597.9349999999999"/>
    <n v="1298.9675"/>
    <n v="0"/>
    <n v="0"/>
    <n v="4"/>
    <s v="LIVRE"/>
    <n v="0"/>
    <n v="0"/>
    <n v="7"/>
    <n v="0"/>
    <n v="0"/>
    <n v="78.680000000000007"/>
    <n v="0"/>
    <m/>
    <n v="100.0658904363724"/>
    <m/>
    <n v="0"/>
    <n v="102202.7629"/>
    <n v="0"/>
    <n v="129982.33953540857"/>
    <x v="1"/>
  </r>
  <r>
    <s v="Regular"/>
    <x v="1"/>
    <x v="1"/>
    <x v="1"/>
    <x v="0"/>
    <x v="1"/>
    <x v="1"/>
    <x v="0"/>
    <x v="2"/>
    <n v="0"/>
    <n v="0"/>
    <n v="2547.232"/>
    <n v="1273.616"/>
    <n v="0"/>
    <n v="0"/>
    <n v="4"/>
    <s v="LIVRE"/>
    <n v="0"/>
    <n v="0"/>
    <n v="7"/>
    <n v="0"/>
    <n v="0"/>
    <n v="78.680000000000007"/>
    <n v="0"/>
    <m/>
    <n v="100.0658904363724"/>
    <m/>
    <n v="0"/>
    <n v="100208.10688000001"/>
    <n v="0"/>
    <n v="127445.51911401087"/>
    <x v="1"/>
  </r>
  <r>
    <s v="Regular"/>
    <x v="1"/>
    <x v="1"/>
    <x v="1"/>
    <x v="0"/>
    <x v="1"/>
    <x v="1"/>
    <x v="0"/>
    <x v="3"/>
    <n v="0"/>
    <n v="0"/>
    <n v="2494.2710000000002"/>
    <n v="1247.1355000000001"/>
    <n v="0"/>
    <n v="0"/>
    <n v="4"/>
    <s v="LIVRE"/>
    <n v="0"/>
    <n v="0"/>
    <n v="7"/>
    <n v="0"/>
    <n v="0"/>
    <n v="78.680000000000007"/>
    <n v="0"/>
    <m/>
    <n v="100.0658904363724"/>
    <m/>
    <n v="0"/>
    <n v="98124.621140000017"/>
    <n v="0"/>
    <n v="124795.72430231053"/>
    <x v="1"/>
  </r>
  <r>
    <s v="Regular"/>
    <x v="1"/>
    <x v="1"/>
    <x v="1"/>
    <x v="0"/>
    <x v="1"/>
    <x v="1"/>
    <x v="0"/>
    <x v="4"/>
    <n v="0"/>
    <n v="0"/>
    <n v="2493.67"/>
    <n v="1246.835"/>
    <n v="0"/>
    <n v="0"/>
    <n v="4"/>
    <s v="LIVRE"/>
    <n v="0"/>
    <n v="0"/>
    <n v="7"/>
    <n v="0"/>
    <n v="0"/>
    <n v="78.680000000000007"/>
    <n v="0"/>
    <m/>
    <n v="100.0658904363724"/>
    <m/>
    <n v="0"/>
    <n v="98100.977800000008"/>
    <n v="0"/>
    <n v="124765.65450223438"/>
    <x v="1"/>
  </r>
  <r>
    <s v="Regular"/>
    <x v="1"/>
    <x v="1"/>
    <x v="1"/>
    <x v="0"/>
    <x v="1"/>
    <x v="1"/>
    <x v="0"/>
    <x v="5"/>
    <n v="0"/>
    <n v="0"/>
    <n v="2788.4180000000001"/>
    <n v="1394.2090000000001"/>
    <n v="0"/>
    <n v="0"/>
    <n v="4"/>
    <s v="LIVRE"/>
    <n v="0"/>
    <n v="0"/>
    <n v="7"/>
    <n v="0"/>
    <n v="0"/>
    <n v="78.680000000000007"/>
    <n v="0"/>
    <m/>
    <n v="100.0658904363724"/>
    <m/>
    <n v="0"/>
    <n v="109696.36412000001"/>
    <n v="0"/>
    <n v="139512.76503940433"/>
    <x v="1"/>
  </r>
  <r>
    <s v="Regular"/>
    <x v="1"/>
    <x v="1"/>
    <x v="1"/>
    <x v="0"/>
    <x v="1"/>
    <x v="1"/>
    <x v="0"/>
    <x v="6"/>
    <n v="0"/>
    <n v="0"/>
    <n v="2800.7049999999999"/>
    <n v="1400.3525"/>
    <n v="0"/>
    <n v="0"/>
    <n v="4"/>
    <s v="LIVRE"/>
    <n v="0"/>
    <n v="0"/>
    <n v="7"/>
    <n v="0"/>
    <n v="0"/>
    <n v="78.680000000000007"/>
    <n v="0"/>
    <m/>
    <n v="100.0658904363724"/>
    <m/>
    <n v="0"/>
    <n v="110179.7347"/>
    <n v="0"/>
    <n v="140127.51983730018"/>
    <x v="1"/>
  </r>
  <r>
    <s v="Regular"/>
    <x v="1"/>
    <x v="1"/>
    <x v="1"/>
    <x v="0"/>
    <x v="1"/>
    <x v="1"/>
    <x v="0"/>
    <x v="7"/>
    <n v="0"/>
    <n v="0"/>
    <n v="2477.1469999999999"/>
    <n v="1238.5735"/>
    <n v="0"/>
    <n v="0"/>
    <n v="4"/>
    <s v="LIVRE"/>
    <n v="0"/>
    <n v="0"/>
    <n v="7"/>
    <n v="0"/>
    <n v="0"/>
    <n v="78.680000000000007"/>
    <n v="0"/>
    <m/>
    <n v="100.0658904363724"/>
    <m/>
    <n v="0"/>
    <n v="97450.962980000011"/>
    <n v="0"/>
    <n v="123938.96014839428"/>
    <x v="1"/>
  </r>
  <r>
    <s v="Regular"/>
    <x v="1"/>
    <x v="1"/>
    <x v="1"/>
    <x v="0"/>
    <x v="1"/>
    <x v="1"/>
    <x v="0"/>
    <x v="8"/>
    <n v="0"/>
    <n v="0"/>
    <n v="2716.36"/>
    <n v="1358.18"/>
    <n v="0"/>
    <n v="0"/>
    <n v="4"/>
    <s v="LIVRE"/>
    <n v="0"/>
    <n v="0"/>
    <n v="7"/>
    <n v="0"/>
    <n v="0"/>
    <n v="78.680000000000007"/>
    <n v="0"/>
    <m/>
    <n v="100.0658904363724"/>
    <m/>
    <n v="0"/>
    <n v="106861.60240000002"/>
    <n v="0"/>
    <n v="135907.49107287228"/>
    <x v="1"/>
  </r>
  <r>
    <s v="Regular"/>
    <x v="1"/>
    <x v="1"/>
    <x v="1"/>
    <x v="0"/>
    <x v="1"/>
    <x v="1"/>
    <x v="0"/>
    <x v="9"/>
    <n v="0"/>
    <n v="0"/>
    <n v="2357.3380000000002"/>
    <n v="1178.6690000000001"/>
    <n v="0"/>
    <n v="0"/>
    <n v="4"/>
    <s v="LIVRE"/>
    <n v="0"/>
    <n v="0"/>
    <n v="7"/>
    <n v="0"/>
    <n v="0"/>
    <n v="78.680000000000007"/>
    <n v="0"/>
    <m/>
    <n v="100.0658904363724"/>
    <m/>
    <n v="0"/>
    <n v="92737.676920000013"/>
    <n v="0"/>
    <n v="117944.56301474862"/>
    <x v="1"/>
  </r>
  <r>
    <s v="Regular"/>
    <x v="1"/>
    <x v="1"/>
    <x v="1"/>
    <x v="0"/>
    <x v="1"/>
    <x v="1"/>
    <x v="0"/>
    <x v="10"/>
    <n v="0"/>
    <n v="0"/>
    <n v="2365.0210000000002"/>
    <n v="1182.5105000000001"/>
    <n v="0"/>
    <n v="0"/>
    <n v="4"/>
    <s v="LIVRE"/>
    <n v="0"/>
    <n v="0"/>
    <n v="7"/>
    <n v="0"/>
    <n v="0"/>
    <n v="78.680000000000007"/>
    <n v="0"/>
    <m/>
    <n v="100.0658904363724"/>
    <m/>
    <n v="0"/>
    <n v="93039.92614000001"/>
    <n v="0"/>
    <n v="118328.96613285995"/>
    <x v="1"/>
  </r>
  <r>
    <s v="PROJETADO"/>
    <x v="1"/>
    <x v="1"/>
    <x v="1"/>
    <x v="0"/>
    <x v="1"/>
    <x v="1"/>
    <x v="0"/>
    <x v="11"/>
    <n v="0"/>
    <n v="0"/>
    <n v="2365.0210000000002"/>
    <n v="1182.5105000000001"/>
    <n v="0"/>
    <n v="0"/>
    <n v="4"/>
    <s v="LIVRE"/>
    <n v="0"/>
    <n v="0"/>
    <n v="7"/>
    <n v="0"/>
    <n v="0"/>
    <n v="78.680000000000007"/>
    <n v="0"/>
    <m/>
    <n v="100.0658904363724"/>
    <m/>
    <n v="0"/>
    <n v="93039.92614000001"/>
    <n v="0"/>
    <n v="118328.96613285995"/>
    <x v="1"/>
  </r>
  <r>
    <s v="Regular"/>
    <x v="1"/>
    <x v="1"/>
    <x v="1"/>
    <x v="0"/>
    <x v="1"/>
    <x v="1"/>
    <x v="2"/>
    <x v="0"/>
    <n v="5232"/>
    <n v="2616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4488.56"/>
    <n v="0"/>
    <n v="94431.504761795542"/>
    <n v="0"/>
    <x v="1"/>
  </r>
  <r>
    <s v="Regular"/>
    <x v="1"/>
    <x v="1"/>
    <x v="1"/>
    <x v="0"/>
    <x v="1"/>
    <x v="1"/>
    <x v="2"/>
    <x v="1"/>
    <n v="5286"/>
    <n v="2643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5876.63"/>
    <n v="0"/>
    <n v="95406.141852226909"/>
    <n v="0"/>
    <x v="1"/>
  </r>
  <r>
    <s v="Regular"/>
    <x v="1"/>
    <x v="1"/>
    <x v="1"/>
    <x v="0"/>
    <x v="1"/>
    <x v="1"/>
    <x v="2"/>
    <x v="2"/>
    <n v="5291"/>
    <n v="2645.5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6005.155"/>
    <n v="0"/>
    <n v="95496.386027266853"/>
    <n v="0"/>
    <x v="1"/>
  </r>
  <r>
    <s v="Regular"/>
    <x v="1"/>
    <x v="1"/>
    <x v="1"/>
    <x v="0"/>
    <x v="1"/>
    <x v="1"/>
    <x v="2"/>
    <x v="3"/>
    <n v="5310"/>
    <n v="2655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6493.54999999999"/>
    <n v="0"/>
    <n v="95839.313892418635"/>
    <n v="0"/>
    <x v="1"/>
  </r>
  <r>
    <s v="Regular"/>
    <x v="1"/>
    <x v="1"/>
    <x v="1"/>
    <x v="0"/>
    <x v="1"/>
    <x v="1"/>
    <x v="2"/>
    <x v="4"/>
    <n v="5312"/>
    <n v="2656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6544.95999999999"/>
    <n v="0"/>
    <n v="95875.411562434616"/>
    <n v="0"/>
    <x v="1"/>
  </r>
  <r>
    <s v="Regular"/>
    <x v="1"/>
    <x v="1"/>
    <x v="1"/>
    <x v="0"/>
    <x v="1"/>
    <x v="1"/>
    <x v="2"/>
    <x v="5"/>
    <n v="5357"/>
    <n v="2678.5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7701.685"/>
    <n v="0"/>
    <n v="96687.60913779409"/>
    <n v="0"/>
    <x v="1"/>
  </r>
  <r>
    <s v="Regular"/>
    <x v="1"/>
    <x v="1"/>
    <x v="1"/>
    <x v="0"/>
    <x v="1"/>
    <x v="1"/>
    <x v="2"/>
    <x v="6"/>
    <n v="5406"/>
    <n v="2703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8961.22999999998"/>
    <n v="0"/>
    <n v="97572.002053185526"/>
    <n v="0"/>
    <x v="1"/>
  </r>
  <r>
    <s v="Regular"/>
    <x v="1"/>
    <x v="1"/>
    <x v="1"/>
    <x v="0"/>
    <x v="1"/>
    <x v="1"/>
    <x v="2"/>
    <x v="7"/>
    <n v="5387"/>
    <n v="2693.5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8472.83499999999"/>
    <n v="0"/>
    <n v="97229.074188033745"/>
    <n v="0"/>
    <x v="1"/>
  </r>
  <r>
    <s v="Regular"/>
    <x v="1"/>
    <x v="1"/>
    <x v="1"/>
    <x v="0"/>
    <x v="1"/>
    <x v="1"/>
    <x v="2"/>
    <x v="8"/>
    <n v="5395"/>
    <n v="2697.5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8678.47499999998"/>
    <n v="0"/>
    <n v="97373.464868097653"/>
    <n v="0"/>
    <x v="1"/>
  </r>
  <r>
    <s v="Regular"/>
    <x v="1"/>
    <x v="1"/>
    <x v="1"/>
    <x v="0"/>
    <x v="1"/>
    <x v="1"/>
    <x v="2"/>
    <x v="9"/>
    <n v="5332"/>
    <n v="2666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7059.06"/>
    <n v="0"/>
    <n v="96236.388262594381"/>
    <n v="0"/>
    <x v="1"/>
  </r>
  <r>
    <s v="Regular"/>
    <x v="1"/>
    <x v="1"/>
    <x v="1"/>
    <x v="0"/>
    <x v="1"/>
    <x v="1"/>
    <x v="2"/>
    <x v="10"/>
    <n v="5385"/>
    <n v="2692.5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8421.42499999999"/>
    <n v="0"/>
    <n v="97192.976518017778"/>
    <n v="0"/>
    <x v="1"/>
  </r>
  <r>
    <s v="PROJETADO"/>
    <x v="1"/>
    <x v="1"/>
    <x v="1"/>
    <x v="0"/>
    <x v="1"/>
    <x v="1"/>
    <x v="2"/>
    <x v="11"/>
    <n v="5385"/>
    <n v="2692.5"/>
    <n v="0"/>
    <n v="0"/>
    <n v="0"/>
    <n v="0"/>
    <n v="0"/>
    <s v="LIVRE"/>
    <n v="0"/>
    <n v="3"/>
    <n v="0"/>
    <n v="0"/>
    <n v="51.41"/>
    <n v="0"/>
    <n v="0"/>
    <n v="36.097670015976888"/>
    <n v="100.0658904363724"/>
    <m/>
    <n v="138421.42499999999"/>
    <n v="0"/>
    <n v="97192.976518017778"/>
    <n v="0"/>
    <x v="1"/>
  </r>
  <r>
    <s v="Regular"/>
    <x v="1"/>
    <x v="1"/>
    <x v="2"/>
    <x v="1"/>
    <x v="0"/>
    <x v="1"/>
    <x v="1"/>
    <x v="0"/>
    <n v="677"/>
    <n v="575.44999999999993"/>
    <n v="362.75799999999998"/>
    <n v="340.99251999999996"/>
    <n v="362.75799999999998"/>
    <n v="340.99251999999996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953.8220000000013"/>
    <n v="7073.3456904000086"/>
    <n v="1395.0173980897323"/>
    <n v="6953.4077862880958"/>
    <x v="2"/>
  </r>
  <r>
    <s v="Regular"/>
    <x v="1"/>
    <x v="1"/>
    <x v="2"/>
    <x v="1"/>
    <x v="0"/>
    <x v="1"/>
    <x v="1"/>
    <x v="1"/>
    <n v="642"/>
    <n v="545.69999999999993"/>
    <n v="360.85899999999998"/>
    <n v="339.20746000000003"/>
    <n v="360.85899999999998"/>
    <n v="339.20746000000003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852.8120000000013"/>
    <n v="7036.3174691999857"/>
    <n v="1322.8968531367921"/>
    <n v="6917.0074274092585"/>
    <x v="2"/>
  </r>
  <r>
    <s v="Regular"/>
    <x v="1"/>
    <x v="1"/>
    <x v="2"/>
    <x v="1"/>
    <x v="0"/>
    <x v="1"/>
    <x v="1"/>
    <x v="2"/>
    <n v="642"/>
    <n v="545.69999999999993"/>
    <n v="350.08800000000002"/>
    <n v="329.08271999999999"/>
    <n v="350.08800000000002"/>
    <n v="329.08271999999999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852.8120000000013"/>
    <n v="6826.2958944000093"/>
    <n v="1322.8968531367921"/>
    <n v="6710.5470453746775"/>
    <x v="2"/>
  </r>
  <r>
    <s v="Regular"/>
    <x v="1"/>
    <x v="1"/>
    <x v="2"/>
    <x v="1"/>
    <x v="0"/>
    <x v="1"/>
    <x v="1"/>
    <x v="3"/>
    <n v="640"/>
    <n v="544"/>
    <n v="362.85399999999998"/>
    <n v="341.08276000000001"/>
    <n v="362.85399999999998"/>
    <n v="341.08276000000001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847.04"/>
    <n v="7075.217575199993"/>
    <n v="1318.7756791394802"/>
    <n v="6955.2479308127604"/>
    <x v="2"/>
  </r>
  <r>
    <s v="Regular"/>
    <x v="1"/>
    <x v="1"/>
    <x v="2"/>
    <x v="1"/>
    <x v="0"/>
    <x v="1"/>
    <x v="1"/>
    <x v="4"/>
    <n v="652"/>
    <n v="554.19999999999993"/>
    <n v="367.28899999999999"/>
    <n v="345.25166000000002"/>
    <n v="367.28899999999999"/>
    <n v="345.25166000000002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881.6720000000012"/>
    <n v="7161.6947531999913"/>
    <n v="1343.5027231233464"/>
    <n v="7040.2587742185206"/>
    <x v="2"/>
  </r>
  <r>
    <s v="Regular"/>
    <x v="1"/>
    <x v="1"/>
    <x v="2"/>
    <x v="1"/>
    <x v="0"/>
    <x v="1"/>
    <x v="1"/>
    <x v="5"/>
    <n v="654"/>
    <n v="555.9"/>
    <n v="390.88799999999998"/>
    <n v="367.43472000000003"/>
    <n v="390.88799999999998"/>
    <n v="367.43472000000003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887.4440000000002"/>
    <n v="7621.8469343999841"/>
    <n v="1347.6238971206567"/>
    <n v="7492.6084683634053"/>
    <x v="2"/>
  </r>
  <r>
    <s v="Regular"/>
    <x v="1"/>
    <x v="1"/>
    <x v="2"/>
    <x v="1"/>
    <x v="0"/>
    <x v="1"/>
    <x v="1"/>
    <x v="6"/>
    <n v="669"/>
    <n v="568.65"/>
    <n v="398.32"/>
    <n v="374.42079999999999"/>
    <n v="398.32"/>
    <n v="374.42079999999999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930.7340000000004"/>
    <n v="7766.7620160000033"/>
    <n v="1378.5327021004882"/>
    <n v="7635.0663236490218"/>
    <x v="2"/>
  </r>
  <r>
    <s v="Regular"/>
    <x v="1"/>
    <x v="1"/>
    <x v="2"/>
    <x v="1"/>
    <x v="0"/>
    <x v="1"/>
    <x v="1"/>
    <x v="7"/>
    <n v="684"/>
    <n v="581.4"/>
    <n v="360.32400000000001"/>
    <n v="338.70456000000001"/>
    <n v="360.32400000000001"/>
    <n v="338.70456000000001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974.0240000000003"/>
    <n v="7025.8856111999994"/>
    <n v="1409.4415070803198"/>
    <n v="6906.7524553186104"/>
    <x v="2"/>
  </r>
  <r>
    <s v="Regular"/>
    <x v="1"/>
    <x v="1"/>
    <x v="2"/>
    <x v="1"/>
    <x v="0"/>
    <x v="1"/>
    <x v="1"/>
    <x v="8"/>
    <n v="709"/>
    <n v="602.65"/>
    <n v="396.178"/>
    <n v="372.40732000000003"/>
    <n v="396.178"/>
    <n v="372.40732000000003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2046.1740000000002"/>
    <n v="7724.9955863999903"/>
    <n v="1460.9561820467056"/>
    <n v="7594.0080989421003"/>
    <x v="2"/>
  </r>
  <r>
    <s v="Regular"/>
    <x v="1"/>
    <x v="1"/>
    <x v="2"/>
    <x v="1"/>
    <x v="0"/>
    <x v="1"/>
    <x v="1"/>
    <x v="9"/>
    <n v="669"/>
    <n v="568.65"/>
    <n v="384.61700000000002"/>
    <n v="361.53998000000001"/>
    <n v="384.61700000000002"/>
    <n v="361.53998000000001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930.7340000000004"/>
    <n v="7499.5699596000022"/>
    <n v="1378.5327021004882"/>
    <n v="7372.4048609231668"/>
    <x v="2"/>
  </r>
  <r>
    <s v="Regular"/>
    <x v="1"/>
    <x v="1"/>
    <x v="2"/>
    <x v="1"/>
    <x v="0"/>
    <x v="1"/>
    <x v="1"/>
    <x v="10"/>
    <n v="683"/>
    <n v="580.54999999999995"/>
    <n v="384.69600000000003"/>
    <n v="361.61424"/>
    <n v="384.69600000000003"/>
    <n v="361.61424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971.1380000000006"/>
    <n v="7501.1103648000108"/>
    <n v="1407.3809200816647"/>
    <n v="7373.9191465216081"/>
    <x v="2"/>
  </r>
  <r>
    <s v="PROJETADO"/>
    <x v="1"/>
    <x v="1"/>
    <x v="2"/>
    <x v="1"/>
    <x v="0"/>
    <x v="1"/>
    <x v="1"/>
    <x v="11"/>
    <n v="683"/>
    <n v="580.54999999999995"/>
    <n v="384.69600000000003"/>
    <n v="361.61424"/>
    <n v="384.69600000000003"/>
    <n v="361.61424"/>
    <n v="0"/>
    <s v="CATIVO"/>
    <n v="0"/>
    <n v="22"/>
    <n v="7"/>
    <n v="42"/>
    <n v="19.239999999999998"/>
    <n v="78.680000000000007"/>
    <n v="246.3"/>
    <n v="13.737246657702919"/>
    <n v="100.0658904363724"/>
    <n v="219.40364509824883"/>
    <n v="1971.1380000000006"/>
    <n v="7501.1103648000108"/>
    <n v="1407.3809200816647"/>
    <n v="7373.9191465216081"/>
    <x v="2"/>
  </r>
  <r>
    <s v="Regular"/>
    <x v="1"/>
    <x v="1"/>
    <x v="2"/>
    <x v="1"/>
    <x v="0"/>
    <x v="1"/>
    <x v="2"/>
    <x v="0"/>
    <n v="640"/>
    <n v="544"/>
    <n v="37.576999999999998"/>
    <n v="35.322379999999995"/>
    <n v="37.576999999999998"/>
    <n v="35.322379999999995"/>
    <n v="0"/>
    <s v="CATIVO"/>
    <n v="0"/>
    <n v="3"/>
    <n v="7"/>
    <n v="47"/>
    <n v="51.41"/>
    <n v="78.680000000000007"/>
    <n v="389.21"/>
    <n v="36.097670015976888"/>
    <n v="100.0658904363724"/>
    <n v="353.55100010229148"/>
    <n v="4935.3599999999997"/>
    <n v="1054.9141518000013"/>
    <n v="3465.3763215337813"/>
    <n v="1022.7337137462836"/>
    <x v="2"/>
  </r>
  <r>
    <s v="Regular"/>
    <x v="1"/>
    <x v="1"/>
    <x v="2"/>
    <x v="1"/>
    <x v="0"/>
    <x v="1"/>
    <x v="2"/>
    <x v="1"/>
    <n v="640"/>
    <n v="544"/>
    <n v="37.415999999999997"/>
    <n v="35.171039999999998"/>
    <n v="37.415999999999997"/>
    <n v="35.171039999999998"/>
    <n v="0"/>
    <s v="CATIVO"/>
    <n v="0"/>
    <n v="3"/>
    <n v="7"/>
    <n v="47"/>
    <n v="51.41"/>
    <n v="78.680000000000007"/>
    <n v="389.21"/>
    <n v="36.097670015976888"/>
    <n v="100.0658904363724"/>
    <n v="353.55100010229148"/>
    <n v="4935.3599999999997"/>
    <n v="1050.3943343999995"/>
    <n v="3465.3763215337813"/>
    <n v="1018.3517745836783"/>
    <x v="2"/>
  </r>
  <r>
    <s v="Regular"/>
    <x v="1"/>
    <x v="1"/>
    <x v="2"/>
    <x v="1"/>
    <x v="0"/>
    <x v="1"/>
    <x v="2"/>
    <x v="2"/>
    <n v="640"/>
    <n v="544"/>
    <n v="36.036999999999999"/>
    <n v="33.874780000000001"/>
    <n v="36.036999999999999"/>
    <n v="33.874780000000001"/>
    <n v="0"/>
    <s v="CATIVO"/>
    <n v="0"/>
    <n v="3"/>
    <n v="7"/>
    <n v="47"/>
    <n v="51.41"/>
    <n v="78.680000000000007"/>
    <n v="389.21"/>
    <n v="36.097670015976888"/>
    <n v="100.0658904363724"/>
    <n v="353.55100010229148"/>
    <n v="4935.3599999999997"/>
    <n v="1011.6811157999989"/>
    <n v="3465.3763215337813"/>
    <n v="980.81951306050883"/>
    <x v="2"/>
  </r>
  <r>
    <s v="Regular"/>
    <x v="1"/>
    <x v="1"/>
    <x v="2"/>
    <x v="1"/>
    <x v="0"/>
    <x v="1"/>
    <x v="2"/>
    <x v="3"/>
    <n v="640"/>
    <n v="544"/>
    <n v="33.704999999999998"/>
    <n v="31.682700000000001"/>
    <n v="33.704999999999998"/>
    <n v="31.682700000000001"/>
    <n v="0"/>
    <s v="CATIVO"/>
    <n v="0"/>
    <n v="3"/>
    <n v="7"/>
    <n v="47"/>
    <n v="51.41"/>
    <n v="78.680000000000007"/>
    <n v="389.21"/>
    <n v="36.097670015976888"/>
    <n v="100.0658904363724"/>
    <n v="353.55100010229148"/>
    <n v="4935.3599999999997"/>
    <n v="946.21394699999894"/>
    <n v="3465.3763215337813"/>
    <n v="917.34943773633904"/>
    <x v="2"/>
  </r>
  <r>
    <s v="Regular"/>
    <x v="1"/>
    <x v="1"/>
    <x v="2"/>
    <x v="1"/>
    <x v="0"/>
    <x v="1"/>
    <x v="2"/>
    <x v="4"/>
    <n v="648"/>
    <n v="550.79999999999995"/>
    <n v="35.029000000000003"/>
    <n v="32.927259999999997"/>
    <n v="35.029000000000003"/>
    <n v="32.927259999999997"/>
    <n v="0"/>
    <s v="CATIVO"/>
    <n v="0"/>
    <n v="3"/>
    <n v="7"/>
    <n v="47"/>
    <n v="51.41"/>
    <n v="78.680000000000007"/>
    <n v="389.21"/>
    <n v="36.097670015976888"/>
    <n v="100.0658904363724"/>
    <n v="353.55100010229148"/>
    <n v="4997.0520000000024"/>
    <n v="983.38312860000303"/>
    <n v="3508.6935255529552"/>
    <n v="953.3847635207344"/>
    <x v="2"/>
  </r>
  <r>
    <s v="Regular"/>
    <x v="1"/>
    <x v="1"/>
    <x v="2"/>
    <x v="1"/>
    <x v="0"/>
    <x v="1"/>
    <x v="2"/>
    <x v="5"/>
    <n v="651"/>
    <n v="553.35"/>
    <n v="41.866"/>
    <n v="39.354039999999998"/>
    <n v="41.866"/>
    <n v="39.354039999999998"/>
    <n v="0"/>
    <s v="CATIVO"/>
    <n v="0"/>
    <n v="3"/>
    <n v="7"/>
    <n v="47"/>
    <n v="51.41"/>
    <n v="78.680000000000007"/>
    <n v="389.21"/>
    <n v="36.097670015976888"/>
    <n v="100.0658904363724"/>
    <n v="353.55100010229148"/>
    <n v="5020.1864999999989"/>
    <n v="1175.3209644000008"/>
    <n v="3524.9374770601421"/>
    <n v="1139.4674843575031"/>
    <x v="2"/>
  </r>
  <r>
    <s v="Regular"/>
    <x v="1"/>
    <x v="1"/>
    <x v="2"/>
    <x v="1"/>
    <x v="0"/>
    <x v="1"/>
    <x v="2"/>
    <x v="6"/>
    <n v="655"/>
    <n v="556.75"/>
    <n v="38.148000000000003"/>
    <n v="35.859119999999997"/>
    <n v="38.148000000000003"/>
    <n v="35.859119999999997"/>
    <n v="0"/>
    <s v="CATIVO"/>
    <n v="0"/>
    <n v="3"/>
    <n v="7"/>
    <n v="47"/>
    <n v="51.41"/>
    <n v="78.680000000000007"/>
    <n v="389.21"/>
    <n v="36.097670015976888"/>
    <n v="100.0658904363724"/>
    <n v="353.55100010229148"/>
    <n v="5051.0324999999993"/>
    <n v="1070.9440632000028"/>
    <n v="3546.5960790697291"/>
    <n v="1038.2746284161399"/>
    <x v="2"/>
  </r>
  <r>
    <s v="Regular"/>
    <x v="1"/>
    <x v="1"/>
    <x v="2"/>
    <x v="1"/>
    <x v="0"/>
    <x v="1"/>
    <x v="2"/>
    <x v="7"/>
    <n v="683"/>
    <n v="580.54999999999995"/>
    <n v="36.609000000000002"/>
    <n v="34.412460000000003"/>
    <n v="36.609000000000002"/>
    <n v="34.412460000000003"/>
    <n v="0"/>
    <s v="CATIVO"/>
    <n v="0"/>
    <n v="3"/>
    <n v="7"/>
    <n v="47"/>
    <n v="51.41"/>
    <n v="78.680000000000007"/>
    <n v="389.21"/>
    <n v="36.097670015976888"/>
    <n v="100.0658904363724"/>
    <n v="353.55100010229148"/>
    <n v="5266.9545000000016"/>
    <n v="1027.7391005999996"/>
    <n v="3698.2062931368337"/>
    <n v="996.38764474379627"/>
    <x v="2"/>
  </r>
  <r>
    <s v="Regular"/>
    <x v="1"/>
    <x v="1"/>
    <x v="2"/>
    <x v="1"/>
    <x v="0"/>
    <x v="1"/>
    <x v="2"/>
    <x v="8"/>
    <n v="651"/>
    <n v="553.35"/>
    <n v="39.953000000000003"/>
    <n v="37.555819999999997"/>
    <n v="39.953000000000003"/>
    <n v="37.555819999999997"/>
    <n v="0"/>
    <s v="CATIVO"/>
    <n v="0"/>
    <n v="3"/>
    <n v="7"/>
    <n v="47"/>
    <n v="51.41"/>
    <n v="78.680000000000007"/>
    <n v="389.21"/>
    <n v="36.097670015976888"/>
    <n v="100.0658904363724"/>
    <n v="353.55100010229148"/>
    <n v="5020.1864999999989"/>
    <n v="1121.6165502000026"/>
    <n v="3524.9374770601421"/>
    <n v="1087.4013376614769"/>
    <x v="2"/>
  </r>
  <r>
    <s v="Regular"/>
    <x v="1"/>
    <x v="1"/>
    <x v="2"/>
    <x v="1"/>
    <x v="0"/>
    <x v="1"/>
    <x v="2"/>
    <x v="9"/>
    <n v="650"/>
    <n v="552.5"/>
    <n v="34.774999999999999"/>
    <n v="32.688499999999998"/>
    <n v="34.774999999999999"/>
    <n v="32.688499999999998"/>
    <n v="0"/>
    <s v="CATIVO"/>
    <n v="0"/>
    <n v="3"/>
    <n v="7"/>
    <n v="47"/>
    <n v="51.41"/>
    <n v="78.680000000000007"/>
    <n v="389.21"/>
    <n v="36.097670015976888"/>
    <n v="100.0658904363724"/>
    <n v="353.55100010229148"/>
    <n v="5012.4749999999995"/>
    <n v="976.25248500000032"/>
    <n v="3519.5228265577466"/>
    <n v="946.47164210892265"/>
    <x v="2"/>
  </r>
  <r>
    <s v="Regular"/>
    <x v="1"/>
    <x v="1"/>
    <x v="2"/>
    <x v="1"/>
    <x v="0"/>
    <x v="1"/>
    <x v="2"/>
    <x v="10"/>
    <n v="669"/>
    <n v="568.65"/>
    <n v="39.667000000000002"/>
    <n v="37.28698"/>
    <n v="39.667000000000002"/>
    <n v="37.28698"/>
    <n v="0"/>
    <s v="CATIVO"/>
    <n v="0"/>
    <n v="3"/>
    <n v="7"/>
    <n v="47"/>
    <n v="51.41"/>
    <n v="78.680000000000007"/>
    <n v="389.21"/>
    <n v="36.097670015976888"/>
    <n v="100.0658904363724"/>
    <n v="353.55100010229148"/>
    <n v="5158.9935000000005"/>
    <n v="1113.5875578000007"/>
    <n v="3622.4011861032814"/>
    <n v="1079.6172718198316"/>
    <x v="2"/>
  </r>
  <r>
    <s v="PROJETADO"/>
    <x v="1"/>
    <x v="1"/>
    <x v="2"/>
    <x v="1"/>
    <x v="0"/>
    <x v="1"/>
    <x v="2"/>
    <x v="11"/>
    <n v="669"/>
    <n v="568.65"/>
    <n v="39.667000000000002"/>
    <n v="37.28698"/>
    <n v="39.667000000000002"/>
    <n v="37.28698"/>
    <n v="0"/>
    <s v="CATIVO"/>
    <n v="0"/>
    <n v="3"/>
    <n v="7"/>
    <n v="47"/>
    <n v="51.41"/>
    <n v="78.680000000000007"/>
    <n v="389.21"/>
    <n v="36.097670015976888"/>
    <n v="100.0658904363724"/>
    <n v="353.55100010229148"/>
    <n v="5158.9935000000005"/>
    <n v="1113.5875578000007"/>
    <n v="3622.4011861032814"/>
    <n v="1079.6172718198316"/>
    <x v="2"/>
  </r>
  <r>
    <s v="Regular"/>
    <x v="1"/>
    <x v="0"/>
    <x v="0"/>
    <x v="0"/>
    <x v="0"/>
    <x v="2"/>
    <x v="0"/>
    <x v="0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0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1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1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2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2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3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3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4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4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5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5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6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6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7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7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8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8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9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9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0"/>
    <x v="0"/>
    <x v="0"/>
    <x v="0"/>
    <x v="2"/>
    <x v="0"/>
    <x v="10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Regular"/>
    <x v="1"/>
    <x v="0"/>
    <x v="0"/>
    <x v="0"/>
    <x v="0"/>
    <x v="3"/>
    <x v="0"/>
    <x v="10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PROJETADO"/>
    <x v="1"/>
    <x v="0"/>
    <x v="0"/>
    <x v="0"/>
    <x v="0"/>
    <x v="2"/>
    <x v="0"/>
    <x v="11"/>
    <n v="1000"/>
    <n v="500"/>
    <n v="0"/>
    <n v="0"/>
    <n v="0"/>
    <n v="0"/>
    <n v="0"/>
    <s v="GERAÇÃO"/>
    <n v="797"/>
    <n v="12"/>
    <n v="0"/>
    <n v="0"/>
    <n v="8.14"/>
    <n v="0"/>
    <n v="0"/>
    <n v="4.4149230953225524"/>
    <m/>
    <m/>
    <n v="4070.0000000000005"/>
    <n v="0"/>
    <n v="2207.4615476612762"/>
    <n v="0"/>
    <x v="0"/>
  </r>
  <r>
    <s v="PROJETADO"/>
    <x v="1"/>
    <x v="0"/>
    <x v="0"/>
    <x v="0"/>
    <x v="0"/>
    <x v="3"/>
    <x v="0"/>
    <x v="11"/>
    <n v="280"/>
    <n v="140"/>
    <n v="0"/>
    <n v="0"/>
    <n v="0"/>
    <n v="0"/>
    <n v="0"/>
    <s v="GERAÇÃO"/>
    <m/>
    <n v="12"/>
    <n v="0"/>
    <n v="0"/>
    <n v="8.14"/>
    <n v="0"/>
    <n v="0"/>
    <n v="4.4149230953225524"/>
    <m/>
    <m/>
    <n v="1139.6000000000001"/>
    <n v="0"/>
    <n v="618.08923334515737"/>
    <n v="0"/>
    <x v="0"/>
  </r>
  <r>
    <s v="Regular"/>
    <x v="1"/>
    <x v="2"/>
    <x v="1"/>
    <x v="0"/>
    <x v="1"/>
    <x v="1"/>
    <x v="1"/>
    <x v="0"/>
    <n v="0"/>
    <n v="0"/>
    <n v="1883.799"/>
    <n v="784.97904329999994"/>
    <n v="0"/>
    <n v="0"/>
    <n v="0"/>
    <s v="LIVRE"/>
    <n v="0"/>
    <n v="0"/>
    <n v="14"/>
    <n v="0"/>
    <n v="0"/>
    <n v="78.680000000000007"/>
    <n v="0"/>
    <m/>
    <n v="100.0658904363724"/>
    <m/>
    <n v="0"/>
    <n v="86455.15419315602"/>
    <n v="0"/>
    <n v="109954.39739644168"/>
    <x v="1"/>
  </r>
  <r>
    <s v="Regular"/>
    <x v="1"/>
    <x v="2"/>
    <x v="1"/>
    <x v="0"/>
    <x v="1"/>
    <x v="1"/>
    <x v="1"/>
    <x v="1"/>
    <n v="0"/>
    <n v="0"/>
    <n v="1935.373"/>
    <n v="806.46992909999994"/>
    <n v="0"/>
    <n v="0"/>
    <n v="0"/>
    <s v="LIVRE"/>
    <n v="0"/>
    <n v="0"/>
    <n v="14"/>
    <n v="0"/>
    <n v="0"/>
    <n v="78.680000000000007"/>
    <n v="0"/>
    <m/>
    <n v="100.0658904363724"/>
    <m/>
    <n v="0"/>
    <n v="88822.093618412022"/>
    <n v="0"/>
    <n v="112964.69100596376"/>
    <x v="1"/>
  </r>
  <r>
    <s v="Regular"/>
    <x v="1"/>
    <x v="2"/>
    <x v="1"/>
    <x v="0"/>
    <x v="1"/>
    <x v="1"/>
    <x v="1"/>
    <x v="2"/>
    <n v="0"/>
    <n v="0"/>
    <n v="1840.393"/>
    <n v="766.89176310000005"/>
    <n v="0"/>
    <n v="0"/>
    <n v="0"/>
    <s v="LIVRE"/>
    <n v="0"/>
    <n v="0"/>
    <n v="14"/>
    <n v="0"/>
    <n v="0"/>
    <n v="78.680000000000007"/>
    <n v="0"/>
    <m/>
    <n v="100.0658904363724"/>
    <m/>
    <n v="0"/>
    <n v="84463.077319292017"/>
    <n v="0"/>
    <n v="107420.85715494565"/>
    <x v="1"/>
  </r>
  <r>
    <s v="Regular"/>
    <x v="1"/>
    <x v="2"/>
    <x v="1"/>
    <x v="0"/>
    <x v="1"/>
    <x v="1"/>
    <x v="1"/>
    <x v="3"/>
    <n v="0"/>
    <n v="0"/>
    <n v="1864.7190000000001"/>
    <n v="822.71402279999995"/>
    <n v="0"/>
    <n v="0"/>
    <n v="0"/>
    <s v="LIVRE"/>
    <n v="0"/>
    <n v="0"/>
    <n v="14"/>
    <n v="0"/>
    <n v="0"/>
    <n v="78.680000000000007"/>
    <n v="0"/>
    <m/>
    <n v="100.0658904363724"/>
    <m/>
    <n v="0"/>
    <n v="81984.95160609603"/>
    <n v="0"/>
    <n v="104269.15588264994"/>
    <x v="1"/>
  </r>
  <r>
    <s v="Regular"/>
    <x v="1"/>
    <x v="2"/>
    <x v="1"/>
    <x v="0"/>
    <x v="1"/>
    <x v="1"/>
    <x v="1"/>
    <x v="4"/>
    <n v="0"/>
    <n v="0"/>
    <n v="1907.606"/>
    <n v="715.35225000000003"/>
    <n v="0"/>
    <n v="0"/>
    <n v="0"/>
    <s v="LIVRE"/>
    <n v="0"/>
    <n v="0"/>
    <n v="14"/>
    <n v="0"/>
    <n v="0"/>
    <n v="78.680000000000007"/>
    <n v="0"/>
    <m/>
    <n v="100.0658904363724"/>
    <m/>
    <n v="0"/>
    <n v="93806.525049999997"/>
    <n v="0"/>
    <n v="119303.93311985412"/>
    <x v="1"/>
  </r>
  <r>
    <s v="Regular"/>
    <x v="1"/>
    <x v="2"/>
    <x v="1"/>
    <x v="0"/>
    <x v="1"/>
    <x v="1"/>
    <x v="1"/>
    <x v="5"/>
    <n v="0"/>
    <n v="0"/>
    <n v="1807.9570000000001"/>
    <n v="761.33069269999999"/>
    <n v="0"/>
    <n v="0"/>
    <n v="0"/>
    <s v="LIVRE"/>
    <n v="0"/>
    <n v="0"/>
    <n v="14"/>
    <n v="0"/>
    <n v="0"/>
    <n v="78.680000000000007"/>
    <n v="0"/>
    <m/>
    <n v="100.0658904363724"/>
    <m/>
    <n v="0"/>
    <n v="82348.557858364002"/>
    <n v="0"/>
    <n v="104731.59339410684"/>
    <x v="1"/>
  </r>
  <r>
    <s v="Regular"/>
    <x v="1"/>
    <x v="2"/>
    <x v="1"/>
    <x v="0"/>
    <x v="1"/>
    <x v="1"/>
    <x v="1"/>
    <x v="6"/>
    <n v="0"/>
    <n v="0"/>
    <n v="1675.7439999999999"/>
    <n v="680.6872128"/>
    <n v="0"/>
    <n v="0"/>
    <n v="0"/>
    <s v="LIVRE"/>
    <n v="0"/>
    <n v="0"/>
    <n v="14"/>
    <n v="0"/>
    <n v="0"/>
    <n v="78.680000000000007"/>
    <n v="0"/>
    <m/>
    <n v="100.0658904363724"/>
    <m/>
    <n v="0"/>
    <n v="78291.068016895995"/>
    <n v="0"/>
    <n v="99571.243445923916"/>
    <x v="1"/>
  </r>
  <r>
    <s v="Regular"/>
    <x v="1"/>
    <x v="2"/>
    <x v="1"/>
    <x v="0"/>
    <x v="1"/>
    <x v="1"/>
    <x v="1"/>
    <x v="7"/>
    <n v="0"/>
    <n v="0"/>
    <n v="1959.9670000000001"/>
    <n v="825.34210370000005"/>
    <n v="0"/>
    <n v="0"/>
    <n v="0"/>
    <s v="LIVRE"/>
    <n v="0"/>
    <n v="0"/>
    <n v="14"/>
    <n v="0"/>
    <n v="0"/>
    <n v="78.680000000000007"/>
    <n v="0"/>
    <m/>
    <n v="100.0658904363724"/>
    <m/>
    <n v="0"/>
    <n v="89272.286840884015"/>
    <n v="0"/>
    <n v="113537.2505595362"/>
    <x v="1"/>
  </r>
  <r>
    <s v="Regular"/>
    <x v="1"/>
    <x v="2"/>
    <x v="1"/>
    <x v="0"/>
    <x v="1"/>
    <x v="1"/>
    <x v="1"/>
    <x v="8"/>
    <n v="0"/>
    <n v="0"/>
    <n v="2313.5279999999998"/>
    <n v="964.04711759999998"/>
    <n v="0"/>
    <n v="0"/>
    <n v="0"/>
    <s v="LIVRE"/>
    <n v="0"/>
    <n v="0"/>
    <n v="14"/>
    <n v="0"/>
    <n v="0"/>
    <n v="78.680000000000007"/>
    <n v="0"/>
    <m/>
    <n v="100.0658904363724"/>
    <m/>
    <n v="0"/>
    <n v="106177.15582723198"/>
    <n v="0"/>
    <n v="135037.00612421753"/>
    <x v="1"/>
  </r>
  <r>
    <s v="Regular"/>
    <x v="1"/>
    <x v="2"/>
    <x v="1"/>
    <x v="0"/>
    <x v="1"/>
    <x v="1"/>
    <x v="1"/>
    <x v="9"/>
    <n v="0"/>
    <n v="0"/>
    <n v="1907.172"/>
    <n v="794.71857239999997"/>
    <n v="0"/>
    <n v="0"/>
    <n v="0"/>
    <s v="LIVRE"/>
    <n v="0"/>
    <n v="0"/>
    <n v="14"/>
    <n v="0"/>
    <n v="0"/>
    <n v="78.680000000000007"/>
    <n v="0"/>
    <m/>
    <n v="100.0658904363724"/>
    <m/>
    <n v="0"/>
    <n v="87527.835683568002"/>
    <n v="0"/>
    <n v="111318.64280178853"/>
    <x v="1"/>
  </r>
  <r>
    <s v="Regular"/>
    <x v="1"/>
    <x v="2"/>
    <x v="1"/>
    <x v="0"/>
    <x v="1"/>
    <x v="1"/>
    <x v="1"/>
    <x v="10"/>
    <n v="0"/>
    <n v="0"/>
    <n v="2127.2240000000002"/>
    <n v="886.41424080000002"/>
    <n v="0"/>
    <n v="0"/>
    <n v="0"/>
    <s v="LIVRE"/>
    <n v="0"/>
    <n v="0"/>
    <n v="14"/>
    <n v="0"/>
    <n v="0"/>
    <n v="78.680000000000007"/>
    <n v="0"/>
    <m/>
    <n v="100.0658904363724"/>
    <m/>
    <n v="0"/>
    <n v="97626.911853856014"/>
    <n v="0"/>
    <n v="124162.73341648883"/>
    <x v="1"/>
  </r>
  <r>
    <s v="PROJETADO"/>
    <x v="1"/>
    <x v="2"/>
    <x v="1"/>
    <x v="0"/>
    <x v="1"/>
    <x v="1"/>
    <x v="1"/>
    <x v="11"/>
    <n v="0"/>
    <n v="0"/>
    <n v="2127.2240000000002"/>
    <n v="886.41424080000002"/>
    <n v="0"/>
    <n v="0"/>
    <n v="0"/>
    <s v="LIVRE"/>
    <n v="0"/>
    <n v="0"/>
    <n v="14"/>
    <n v="0"/>
    <n v="0"/>
    <n v="78.680000000000007"/>
    <n v="0"/>
    <m/>
    <n v="100.0658904363724"/>
    <m/>
    <n v="0"/>
    <n v="97626.911853856014"/>
    <n v="0"/>
    <n v="124162.73341648883"/>
    <x v="1"/>
  </r>
  <r>
    <s v="Regular"/>
    <x v="1"/>
    <x v="2"/>
    <x v="1"/>
    <x v="0"/>
    <x v="1"/>
    <x v="1"/>
    <x v="0"/>
    <x v="0"/>
    <n v="7485"/>
    <n v="3118.9994999999999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4001.849619999994"/>
    <n v="0"/>
    <n v="59976.82577615427"/>
    <n v="0"/>
    <x v="1"/>
  </r>
  <r>
    <s v="Regular"/>
    <x v="1"/>
    <x v="2"/>
    <x v="1"/>
    <x v="0"/>
    <x v="1"/>
    <x v="1"/>
    <x v="0"/>
    <x v="1"/>
    <n v="7309"/>
    <n v="3045.6603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2026.655828000003"/>
    <n v="0"/>
    <n v="58566.549044477171"/>
    <n v="0"/>
    <x v="1"/>
  </r>
  <r>
    <s v="Regular"/>
    <x v="1"/>
    <x v="2"/>
    <x v="1"/>
    <x v="0"/>
    <x v="1"/>
    <x v="1"/>
    <x v="0"/>
    <x v="2"/>
    <n v="7360"/>
    <n v="3066.9119999999998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2599.013119999989"/>
    <n v="0"/>
    <n v="58975.208779224507"/>
    <n v="0"/>
    <x v="1"/>
  </r>
  <r>
    <s v="Regular"/>
    <x v="1"/>
    <x v="2"/>
    <x v="1"/>
    <x v="0"/>
    <x v="1"/>
    <x v="1"/>
    <x v="0"/>
    <x v="3"/>
    <n v="7363"/>
    <n v="3068.1621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2632.681196000005"/>
    <n v="0"/>
    <n v="58999.247587150829"/>
    <n v="0"/>
    <x v="1"/>
  </r>
  <r>
    <s v="Regular"/>
    <x v="1"/>
    <x v="2"/>
    <x v="1"/>
    <x v="0"/>
    <x v="1"/>
    <x v="1"/>
    <x v="0"/>
    <x v="4"/>
    <n v="7578"/>
    <n v="2841.75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91125.45"/>
    <n v="0"/>
    <n v="65063.034482545445"/>
    <n v="0"/>
    <x v="1"/>
  </r>
  <r>
    <s v="Regular"/>
    <x v="1"/>
    <x v="2"/>
    <x v="1"/>
    <x v="0"/>
    <x v="1"/>
    <x v="1"/>
    <x v="0"/>
    <x v="5"/>
    <n v="7655"/>
    <n v="3223.5205000000001"/>
    <n v="0"/>
    <n v="0"/>
    <n v="0"/>
    <n v="0"/>
    <n v="19"/>
    <s v="LIVRE"/>
    <n v="0"/>
    <n v="18"/>
    <n v="0"/>
    <n v="0"/>
    <n v="19.239999999999998"/>
    <n v="0"/>
    <n v="0"/>
    <n v="13.737246657702919"/>
    <m/>
    <m/>
    <n v="85261.665579999986"/>
    <n v="0"/>
    <n v="60876.326950053997"/>
    <n v="0"/>
    <x v="1"/>
  </r>
  <r>
    <s v="Regular"/>
    <x v="1"/>
    <x v="2"/>
    <x v="1"/>
    <x v="0"/>
    <x v="1"/>
    <x v="1"/>
    <x v="0"/>
    <x v="6"/>
    <n v="7910"/>
    <n v="3213.0419999999999"/>
    <n v="0"/>
    <n v="0"/>
    <n v="0"/>
    <n v="0"/>
    <n v="19"/>
    <s v="LIVRE"/>
    <n v="0"/>
    <n v="18"/>
    <n v="0"/>
    <n v="0"/>
    <n v="19.239999999999998"/>
    <n v="0"/>
    <n v="0"/>
    <n v="13.737246657702919"/>
    <m/>
    <m/>
    <n v="90369.471919999996"/>
    <n v="0"/>
    <n v="64523.270586870996"/>
    <n v="0"/>
    <x v="1"/>
  </r>
  <r>
    <s v="Regular"/>
    <x v="1"/>
    <x v="2"/>
    <x v="1"/>
    <x v="0"/>
    <x v="1"/>
    <x v="1"/>
    <x v="0"/>
    <x v="7"/>
    <n v="7814"/>
    <n v="3290.4753999999998"/>
    <n v="0"/>
    <n v="0"/>
    <n v="0"/>
    <n v="0"/>
    <n v="19"/>
    <s v="LIVRE"/>
    <n v="0"/>
    <n v="18"/>
    <n v="0"/>
    <n v="0"/>
    <n v="19.239999999999998"/>
    <n v="0"/>
    <n v="0"/>
    <n v="13.737246657702919"/>
    <m/>
    <m/>
    <n v="87032.613303999999"/>
    <n v="0"/>
    <n v="62140.773192386943"/>
    <n v="0"/>
    <x v="1"/>
  </r>
  <r>
    <s v="Regular"/>
    <x v="1"/>
    <x v="2"/>
    <x v="1"/>
    <x v="0"/>
    <x v="1"/>
    <x v="1"/>
    <x v="0"/>
    <x v="8"/>
    <n v="7899"/>
    <n v="3291.5133000000001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8648.044107999987"/>
    <n v="0"/>
    <n v="63294.181269985645"/>
    <n v="0"/>
    <x v="1"/>
  </r>
  <r>
    <s v="Regular"/>
    <x v="1"/>
    <x v="2"/>
    <x v="1"/>
    <x v="0"/>
    <x v="1"/>
    <x v="1"/>
    <x v="0"/>
    <x v="9"/>
    <n v="7918"/>
    <n v="3299.4306000000001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8861.275255999994"/>
    <n v="0"/>
    <n v="63446.427053518979"/>
    <n v="0"/>
    <x v="1"/>
  </r>
  <r>
    <s v="Regular"/>
    <x v="1"/>
    <x v="2"/>
    <x v="1"/>
    <x v="0"/>
    <x v="1"/>
    <x v="1"/>
    <x v="0"/>
    <x v="10"/>
    <n v="7718"/>
    <n v="3216.0906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6616.736856000003"/>
    <n v="0"/>
    <n v="61843.839858431355"/>
    <n v="0"/>
    <x v="1"/>
  </r>
  <r>
    <s v="PROJETADO"/>
    <x v="1"/>
    <x v="2"/>
    <x v="1"/>
    <x v="0"/>
    <x v="1"/>
    <x v="1"/>
    <x v="0"/>
    <x v="11"/>
    <n v="7718"/>
    <n v="3216.0906"/>
    <n v="0"/>
    <n v="0"/>
    <n v="0"/>
    <n v="0"/>
    <n v="18"/>
    <s v="LIVRE"/>
    <n v="0"/>
    <n v="18"/>
    <n v="0"/>
    <n v="0"/>
    <n v="19.239999999999998"/>
    <n v="0"/>
    <n v="0"/>
    <n v="13.737246657702919"/>
    <m/>
    <m/>
    <n v="86616.736856000003"/>
    <n v="0"/>
    <n v="61843.839858431355"/>
    <n v="0"/>
    <x v="1"/>
  </r>
  <r>
    <s v="Regular"/>
    <x v="1"/>
    <x v="2"/>
    <x v="1"/>
    <x v="0"/>
    <x v="1"/>
    <x v="1"/>
    <x v="2"/>
    <x v="0"/>
    <n v="0"/>
    <n v="0"/>
    <n v="219.119"/>
    <n v="91.3068873"/>
    <n v="0"/>
    <n v="0"/>
    <n v="0"/>
    <s v="LIVRE"/>
    <n v="0"/>
    <n v="0"/>
    <n v="16"/>
    <n v="0"/>
    <n v="0"/>
    <n v="1329.67"/>
    <n v="0"/>
    <m/>
    <n v="975.12024846292354"/>
    <m/>
    <n v="0"/>
    <n v="169947.931893809"/>
    <n v="0"/>
    <n v="124632.17909259518"/>
    <x v="1"/>
  </r>
  <r>
    <s v="Regular"/>
    <x v="1"/>
    <x v="2"/>
    <x v="1"/>
    <x v="0"/>
    <x v="1"/>
    <x v="1"/>
    <x v="2"/>
    <x v="1"/>
    <n v="0"/>
    <n v="0"/>
    <n v="221.024"/>
    <n v="92.100700799999998"/>
    <n v="0"/>
    <n v="0"/>
    <n v="0"/>
    <s v="LIVRE"/>
    <n v="0"/>
    <n v="0"/>
    <n v="16"/>
    <n v="0"/>
    <n v="0"/>
    <n v="1329.67"/>
    <n v="0"/>
    <m/>
    <n v="975.12024846292354"/>
    <m/>
    <n v="0"/>
    <n v="171425.44324726402"/>
    <n v="0"/>
    <n v="125715.71954856384"/>
    <x v="1"/>
  </r>
  <r>
    <s v="Regular"/>
    <x v="1"/>
    <x v="2"/>
    <x v="1"/>
    <x v="0"/>
    <x v="1"/>
    <x v="1"/>
    <x v="2"/>
    <x v="2"/>
    <n v="0"/>
    <n v="0"/>
    <n v="206.77799999999999"/>
    <n v="86.164392599999999"/>
    <n v="0"/>
    <n v="0"/>
    <n v="0"/>
    <s v="LIVRE"/>
    <n v="0"/>
    <n v="0"/>
    <n v="16"/>
    <n v="0"/>
    <n v="0"/>
    <n v="1329.67"/>
    <n v="0"/>
    <m/>
    <n v="975.12024846292354"/>
    <m/>
    <n v="0"/>
    <n v="160376.29535155799"/>
    <n v="0"/>
    <n v="117612.7708158975"/>
    <x v="1"/>
  </r>
  <r>
    <s v="Regular"/>
    <x v="1"/>
    <x v="2"/>
    <x v="1"/>
    <x v="0"/>
    <x v="1"/>
    <x v="1"/>
    <x v="2"/>
    <x v="3"/>
    <n v="0"/>
    <n v="0"/>
    <n v="183.97499999999999"/>
    <n v="81.16977"/>
    <n v="0"/>
    <n v="0"/>
    <n v="0"/>
    <s v="LIVRE"/>
    <n v="0"/>
    <n v="0"/>
    <n v="16"/>
    <n v="0"/>
    <n v="0"/>
    <n v="1329.67"/>
    <n v="0"/>
    <m/>
    <n v="975.12024846292354"/>
    <m/>
    <n v="0"/>
    <n v="136697.03017409999"/>
    <n v="0"/>
    <n v="100247.46142088799"/>
    <x v="1"/>
  </r>
  <r>
    <s v="Regular"/>
    <x v="1"/>
    <x v="2"/>
    <x v="1"/>
    <x v="0"/>
    <x v="1"/>
    <x v="1"/>
    <x v="2"/>
    <x v="4"/>
    <n v="0"/>
    <n v="0"/>
    <n v="214.07900000000001"/>
    <n v="80.279624999999996"/>
    <n v="0"/>
    <n v="0"/>
    <n v="0"/>
    <s v="LIVRE"/>
    <n v="0"/>
    <n v="0"/>
    <n v="16"/>
    <n v="0"/>
    <n v="0"/>
    <n v="1329.67"/>
    <n v="0"/>
    <m/>
    <n v="975.12024846292354"/>
    <m/>
    <n v="0"/>
    <n v="177909.01495625"/>
    <n v="0"/>
    <n v="130470.47979418388"/>
    <x v="1"/>
  </r>
  <r>
    <s v="Regular"/>
    <x v="1"/>
    <x v="2"/>
    <x v="1"/>
    <x v="0"/>
    <x v="1"/>
    <x v="1"/>
    <x v="2"/>
    <x v="5"/>
    <n v="0"/>
    <n v="0"/>
    <n v="213.55799999999999"/>
    <n v="89.929273800000004"/>
    <n v="0"/>
    <n v="0"/>
    <n v="0"/>
    <s v="LIVRE"/>
    <n v="0"/>
    <n v="0"/>
    <n v="16"/>
    <n v="0"/>
    <n v="0"/>
    <n v="1329.67"/>
    <n v="0"/>
    <m/>
    <n v="975.12024846292354"/>
    <m/>
    <n v="0"/>
    <n v="164385.40836635401"/>
    <n v="0"/>
    <n v="120552.87420929874"/>
    <x v="1"/>
  </r>
  <r>
    <s v="Regular"/>
    <x v="1"/>
    <x v="2"/>
    <x v="1"/>
    <x v="0"/>
    <x v="1"/>
    <x v="1"/>
    <x v="2"/>
    <x v="6"/>
    <n v="0"/>
    <n v="0"/>
    <n v="159.66800000000001"/>
    <n v="64.857141600000006"/>
    <n v="0"/>
    <n v="0"/>
    <n v="0"/>
    <s v="LIVRE"/>
    <n v="0"/>
    <n v="0"/>
    <n v="16"/>
    <n v="0"/>
    <n v="0"/>
    <n v="1329.67"/>
    <n v="0"/>
    <m/>
    <n v="975.12024846292354"/>
    <m/>
    <n v="0"/>
    <n v="126067.15408872801"/>
    <n v="0"/>
    <n v="92451.987799991068"/>
    <x v="1"/>
  </r>
  <r>
    <s v="Regular"/>
    <x v="1"/>
    <x v="2"/>
    <x v="1"/>
    <x v="0"/>
    <x v="1"/>
    <x v="1"/>
    <x v="2"/>
    <x v="7"/>
    <n v="0"/>
    <n v="0"/>
    <n v="223.99700000000001"/>
    <n v="94.325136700000002"/>
    <n v="0"/>
    <n v="0"/>
    <n v="0"/>
    <s v="LIVRE"/>
    <n v="0"/>
    <n v="0"/>
    <n v="16"/>
    <n v="0"/>
    <n v="0"/>
    <n v="1329.67"/>
    <n v="0"/>
    <m/>
    <n v="975.12024846292354"/>
    <m/>
    <n v="0"/>
    <n v="172420.78647411102"/>
    <n v="0"/>
    <n v="126445.65955974627"/>
    <x v="1"/>
  </r>
  <r>
    <s v="Regular"/>
    <x v="1"/>
    <x v="2"/>
    <x v="1"/>
    <x v="0"/>
    <x v="1"/>
    <x v="1"/>
    <x v="2"/>
    <x v="8"/>
    <n v="0"/>
    <n v="0"/>
    <n v="263.34199999999998"/>
    <n v="109.73461140000001"/>
    <n v="0"/>
    <n v="0"/>
    <n v="0"/>
    <s v="LIVRE"/>
    <n v="0"/>
    <n v="0"/>
    <n v="16"/>
    <n v="0"/>
    <n v="0"/>
    <n v="1329.67"/>
    <n v="0"/>
    <m/>
    <n v="975.12024846292354"/>
    <m/>
    <n v="0"/>
    <n v="204247.13639976198"/>
    <n v="0"/>
    <n v="149785.67493737282"/>
    <x v="1"/>
  </r>
  <r>
    <s v="Regular"/>
    <x v="1"/>
    <x v="2"/>
    <x v="1"/>
    <x v="0"/>
    <x v="1"/>
    <x v="1"/>
    <x v="2"/>
    <x v="9"/>
    <n v="0"/>
    <n v="0"/>
    <n v="174.17400000000001"/>
    <n v="72.578305799999995"/>
    <n v="0"/>
    <n v="0"/>
    <n v="0"/>
    <s v="LIVRE"/>
    <n v="0"/>
    <n v="0"/>
    <n v="16"/>
    <n v="0"/>
    <n v="0"/>
    <n v="1329.67"/>
    <n v="0"/>
    <m/>
    <n v="975.12024846292354"/>
    <m/>
    <n v="0"/>
    <n v="135088.74670691401"/>
    <n v="0"/>
    <n v="99068.018571067209"/>
    <x v="1"/>
  </r>
  <r>
    <s v="Regular"/>
    <x v="1"/>
    <x v="2"/>
    <x v="1"/>
    <x v="0"/>
    <x v="1"/>
    <x v="1"/>
    <x v="2"/>
    <x v="10"/>
    <n v="0"/>
    <n v="0"/>
    <n v="244.554"/>
    <n v="101.9056518"/>
    <n v="0"/>
    <n v="0"/>
    <n v="0"/>
    <s v="LIVRE"/>
    <n v="0"/>
    <n v="0"/>
    <n v="16"/>
    <n v="0"/>
    <n v="0"/>
    <n v="1329.67"/>
    <n v="0"/>
    <m/>
    <n v="975.12024846292354"/>
    <m/>
    <n v="0"/>
    <n v="189675.22915109398"/>
    <n v="0"/>
    <n v="139099.29273960961"/>
    <x v="1"/>
  </r>
  <r>
    <s v="PROJETADO"/>
    <x v="1"/>
    <x v="2"/>
    <x v="1"/>
    <x v="0"/>
    <x v="1"/>
    <x v="1"/>
    <x v="2"/>
    <x v="11"/>
    <n v="0"/>
    <n v="0"/>
    <n v="244.554"/>
    <n v="101.9056518"/>
    <n v="0"/>
    <n v="0"/>
    <n v="0"/>
    <s v="LIVRE"/>
    <n v="0"/>
    <n v="0"/>
    <n v="16"/>
    <n v="0"/>
    <n v="0"/>
    <n v="1329.67"/>
    <n v="0"/>
    <m/>
    <n v="975.12024846292354"/>
    <m/>
    <n v="0"/>
    <n v="189675.22915109398"/>
    <n v="0"/>
    <n v="139099.29273960961"/>
    <x v="1"/>
  </r>
  <r>
    <s v="Regular"/>
    <x v="1"/>
    <x v="2"/>
    <x v="3"/>
    <x v="2"/>
    <x v="2"/>
    <x v="1"/>
    <x v="1"/>
    <x v="0"/>
    <n v="0"/>
    <n v="0"/>
    <n v="9.0150000000000006"/>
    <n v="2.7044999999999999"/>
    <n v="9.0150000000000006"/>
    <n v="2.7044999999999999"/>
    <n v="0"/>
    <s v="CATIVO"/>
    <n v="0"/>
    <n v="0"/>
    <n v="14"/>
    <n v="42"/>
    <n v="0"/>
    <n v="78.680000000000007"/>
    <n v="246.3"/>
    <m/>
    <n v="100.0658904363724"/>
    <n v="219.40364509824883"/>
    <n v="0"/>
    <n v="2050.7862900000005"/>
    <n v="0"/>
    <n v="2016.0125039912277"/>
    <x v="3"/>
  </r>
  <r>
    <s v="Regular"/>
    <x v="1"/>
    <x v="2"/>
    <x v="3"/>
    <x v="2"/>
    <x v="2"/>
    <x v="1"/>
    <x v="1"/>
    <x v="1"/>
    <n v="0"/>
    <n v="0"/>
    <n v="9.0830000000000002"/>
    <n v="2.7248999999999999"/>
    <n v="9.0830000000000002"/>
    <n v="2.7248999999999999"/>
    <n v="0"/>
    <s v="CATIVO"/>
    <n v="0"/>
    <n v="0"/>
    <n v="14"/>
    <n v="42"/>
    <n v="0"/>
    <n v="78.680000000000007"/>
    <n v="246.3"/>
    <m/>
    <n v="100.0658904363724"/>
    <n v="219.40364509824883"/>
    <n v="0"/>
    <n v="2066.2553380000004"/>
    <n v="0"/>
    <n v="2031.2192538826753"/>
    <x v="3"/>
  </r>
  <r>
    <s v="Regular"/>
    <x v="1"/>
    <x v="2"/>
    <x v="3"/>
    <x v="2"/>
    <x v="2"/>
    <x v="1"/>
    <x v="1"/>
    <x v="2"/>
    <n v="0"/>
    <n v="0"/>
    <n v="8.0559999999999992"/>
    <n v="2.4167999999999998"/>
    <n v="8.0559999999999992"/>
    <n v="2.4167999999999998"/>
    <n v="0"/>
    <s v="CATIVO"/>
    <n v="0"/>
    <n v="0"/>
    <n v="14"/>
    <n v="42"/>
    <n v="0"/>
    <n v="78.680000000000007"/>
    <n v="246.3"/>
    <m/>
    <n v="100.0658904363724"/>
    <n v="219.40364509824883"/>
    <n v="0"/>
    <n v="1832.6272159999999"/>
    <n v="0"/>
    <n v="1801.5526047868357"/>
    <x v="3"/>
  </r>
  <r>
    <s v="Regular"/>
    <x v="1"/>
    <x v="2"/>
    <x v="3"/>
    <x v="2"/>
    <x v="2"/>
    <x v="1"/>
    <x v="1"/>
    <x v="3"/>
    <n v="0"/>
    <n v="0"/>
    <n v="18.600999999999999"/>
    <n v="5.5803000000000003"/>
    <n v="18.600999999999999"/>
    <n v="5.5803000000000003"/>
    <n v="0"/>
    <s v="CATIVO"/>
    <n v="0"/>
    <n v="0"/>
    <n v="14"/>
    <n v="42"/>
    <n v="0"/>
    <n v="78.680000000000007"/>
    <n v="246.3"/>
    <m/>
    <n v="100.0658904363724"/>
    <n v="219.40364509824883"/>
    <n v="0"/>
    <n v="4231.4670859999997"/>
    <n v="0"/>
    <n v="4159.7169813356422"/>
    <x v="3"/>
  </r>
  <r>
    <s v="Regular"/>
    <x v="1"/>
    <x v="2"/>
    <x v="3"/>
    <x v="2"/>
    <x v="2"/>
    <x v="1"/>
    <x v="1"/>
    <x v="4"/>
    <n v="0"/>
    <n v="0"/>
    <n v="197.976"/>
    <n v="59.392800000000001"/>
    <n v="197.976"/>
    <n v="59.392800000000001"/>
    <n v="0"/>
    <s v="CATIVO"/>
    <n v="0"/>
    <n v="0"/>
    <n v="14"/>
    <n v="42"/>
    <n v="0"/>
    <n v="78.680000000000007"/>
    <n v="246.3"/>
    <m/>
    <n v="100.0658904363724"/>
    <n v="219.40364509824883"/>
    <n v="0"/>
    <n v="45036.768336000008"/>
    <n v="0"/>
    <n v="44273.11053690152"/>
    <x v="3"/>
  </r>
  <r>
    <s v="Regular"/>
    <x v="1"/>
    <x v="2"/>
    <x v="3"/>
    <x v="2"/>
    <x v="2"/>
    <x v="1"/>
    <x v="1"/>
    <x v="5"/>
    <n v="0"/>
    <n v="0"/>
    <n v="482.69099999999997"/>
    <n v="144.8073"/>
    <n v="482.69099999999997"/>
    <n v="144.8073"/>
    <n v="0"/>
    <s v="CATIVO"/>
    <n v="0"/>
    <n v="0"/>
    <n v="14"/>
    <n v="42"/>
    <n v="0"/>
    <n v="78.680000000000007"/>
    <n v="246.3"/>
    <m/>
    <n v="100.0658904363724"/>
    <n v="219.40364509824883"/>
    <n v="0"/>
    <n v="109805.44482599999"/>
    <n v="0"/>
    <n v="107943.54870371928"/>
    <x v="3"/>
  </r>
  <r>
    <s v="Regular"/>
    <x v="1"/>
    <x v="2"/>
    <x v="3"/>
    <x v="2"/>
    <x v="2"/>
    <x v="1"/>
    <x v="1"/>
    <x v="6"/>
    <n v="0"/>
    <n v="0"/>
    <n v="304.947"/>
    <n v="91.484099999999998"/>
    <n v="304.947"/>
    <n v="91.484099999999998"/>
    <n v="0"/>
    <s v="CATIVO"/>
    <n v="0"/>
    <n v="0"/>
    <n v="14"/>
    <n v="42"/>
    <n v="0"/>
    <n v="78.680000000000007"/>
    <n v="246.3"/>
    <m/>
    <n v="100.0658904363724"/>
    <n v="219.40364509824883"/>
    <n v="0"/>
    <n v="69371.173242000004"/>
    <n v="0"/>
    <n v="68194.893516873301"/>
    <x v="3"/>
  </r>
  <r>
    <s v="Regular"/>
    <x v="1"/>
    <x v="2"/>
    <x v="3"/>
    <x v="2"/>
    <x v="2"/>
    <x v="1"/>
    <x v="1"/>
    <x v="7"/>
    <n v="0"/>
    <n v="0"/>
    <n v="176.97200000000001"/>
    <n v="53.0916"/>
    <n v="176.97200000000001"/>
    <n v="53.0916"/>
    <n v="0"/>
    <s v="CATIVO"/>
    <n v="0"/>
    <n v="0"/>
    <n v="14"/>
    <n v="42"/>
    <n v="0"/>
    <n v="78.680000000000007"/>
    <n v="246.3"/>
    <m/>
    <n v="100.0658904363724"/>
    <n v="219.40364509824883"/>
    <n v="0"/>
    <n v="40258.652392000004"/>
    <n v="0"/>
    <n v="39576.01384984309"/>
    <x v="3"/>
  </r>
  <r>
    <s v="Regular"/>
    <x v="1"/>
    <x v="2"/>
    <x v="3"/>
    <x v="2"/>
    <x v="2"/>
    <x v="1"/>
    <x v="1"/>
    <x v="8"/>
    <n v="0"/>
    <n v="0"/>
    <n v="15.061999999999999"/>
    <n v="4.5186000000000002"/>
    <n v="15.061999999999999"/>
    <n v="4.5186000000000002"/>
    <n v="0"/>
    <s v="CATIVO"/>
    <n v="0"/>
    <n v="0"/>
    <n v="14"/>
    <n v="42"/>
    <n v="0"/>
    <n v="78.680000000000007"/>
    <n v="246.3"/>
    <m/>
    <n v="100.0658904363724"/>
    <n v="219.40364509824883"/>
    <n v="0"/>
    <n v="3426.3941319999999"/>
    <n v="0"/>
    <n v="3368.2951009557246"/>
    <x v="3"/>
  </r>
  <r>
    <s v="Regular"/>
    <x v="1"/>
    <x v="2"/>
    <x v="3"/>
    <x v="2"/>
    <x v="2"/>
    <x v="1"/>
    <x v="1"/>
    <x v="9"/>
    <n v="0"/>
    <n v="0"/>
    <n v="6.9829999999999997"/>
    <n v="2.0949"/>
    <n v="6.9829999999999997"/>
    <n v="2.0949"/>
    <n v="0"/>
    <s v="CATIVO"/>
    <n v="0"/>
    <n v="0"/>
    <n v="14"/>
    <n v="42"/>
    <n v="0"/>
    <n v="78.680000000000007"/>
    <n v="246.3"/>
    <m/>
    <n v="100.0658904363724"/>
    <n v="219.40364509824883"/>
    <n v="0"/>
    <n v="1588.5347380000001"/>
    <n v="0"/>
    <n v="1561.5990366467818"/>
    <x v="3"/>
  </r>
  <r>
    <s v="Regular"/>
    <x v="1"/>
    <x v="2"/>
    <x v="3"/>
    <x v="2"/>
    <x v="2"/>
    <x v="1"/>
    <x v="1"/>
    <x v="10"/>
    <n v="0"/>
    <n v="0"/>
    <n v="12.044"/>
    <n v="3.6132"/>
    <n v="12.044"/>
    <n v="3.6132"/>
    <n v="0"/>
    <s v="CATIVO"/>
    <n v="0"/>
    <n v="0"/>
    <n v="14"/>
    <n v="42"/>
    <n v="0"/>
    <n v="78.680000000000007"/>
    <n v="246.3"/>
    <m/>
    <n v="100.0658904363724"/>
    <n v="219.40364509824883"/>
    <n v="0"/>
    <n v="2739.8413840000007"/>
    <n v="0"/>
    <n v="2693.3837601852852"/>
    <x v="3"/>
  </r>
  <r>
    <s v="PROJETADO"/>
    <x v="1"/>
    <x v="2"/>
    <x v="3"/>
    <x v="2"/>
    <x v="2"/>
    <x v="1"/>
    <x v="1"/>
    <x v="11"/>
    <n v="0"/>
    <n v="0"/>
    <n v="12.044"/>
    <n v="3.6132"/>
    <n v="12.044"/>
    <n v="3.6132"/>
    <n v="0"/>
    <s v="CATIVO"/>
    <n v="0"/>
    <n v="0"/>
    <n v="14"/>
    <n v="42"/>
    <n v="0"/>
    <n v="78.680000000000007"/>
    <n v="246.3"/>
    <m/>
    <n v="100.0658904363724"/>
    <n v="219.40364509824883"/>
    <n v="0"/>
    <n v="2739.8413840000007"/>
    <n v="0"/>
    <n v="2693.3837601852852"/>
    <x v="3"/>
  </r>
  <r>
    <s v="Regular"/>
    <x v="1"/>
    <x v="2"/>
    <x v="3"/>
    <x v="2"/>
    <x v="0"/>
    <x v="1"/>
    <x v="1"/>
    <x v="0"/>
    <n v="0"/>
    <n v="0"/>
    <n v="12.837"/>
    <n v="12.323519999999998"/>
    <n v="12.837"/>
    <n v="12.323519999999998"/>
    <n v="0"/>
    <s v="CATIVO"/>
    <n v="0"/>
    <n v="0"/>
    <n v="14"/>
    <n v="42"/>
    <n v="0"/>
    <n v="78.680000000000007"/>
    <n v="246.3"/>
    <m/>
    <n v="100.0658904363724"/>
    <n v="219.40364509824883"/>
    <n v="0"/>
    <n v="166.87073040000041"/>
    <n v="0"/>
    <n v="164.04121710631773"/>
    <x v="4"/>
  </r>
  <r>
    <s v="Regular"/>
    <x v="1"/>
    <x v="2"/>
    <x v="3"/>
    <x v="2"/>
    <x v="0"/>
    <x v="1"/>
    <x v="1"/>
    <x v="1"/>
    <n v="0"/>
    <n v="0"/>
    <n v="16.324000000000002"/>
    <n v="15.67104"/>
    <n v="16.324000000000002"/>
    <n v="15.67104"/>
    <n v="0"/>
    <s v="CATIVO"/>
    <n v="0"/>
    <n v="0"/>
    <n v="14"/>
    <n v="42"/>
    <n v="0"/>
    <n v="78.680000000000007"/>
    <n v="246.3"/>
    <m/>
    <n v="100.0658904363724"/>
    <n v="219.40364509824883"/>
    <n v="0"/>
    <n v="212.19894080000066"/>
    <n v="0"/>
    <n v="208.6008279226869"/>
    <x v="4"/>
  </r>
  <r>
    <s v="Sistema de Compensação"/>
    <x v="1"/>
    <x v="2"/>
    <x v="3"/>
    <x v="2"/>
    <x v="0"/>
    <x v="1"/>
    <x v="1"/>
    <x v="1"/>
    <n v="0"/>
    <n v="0"/>
    <n v="0.70899999999999996"/>
    <n v="0.68063999999999991"/>
    <n v="0.70899999999999996"/>
    <n v="0.68063999999999991"/>
    <n v="0"/>
    <s v="CATIVO"/>
    <n v="0"/>
    <n v="0"/>
    <n v="14"/>
    <n v="42"/>
    <n v="0"/>
    <n v="78.680000000000007"/>
    <n v="246.3"/>
    <m/>
    <n v="100.0658904363724"/>
    <n v="219.40364509824883"/>
    <n v="0"/>
    <n v="9.2164328000000175"/>
    <n v="0"/>
    <n v="9.0601560277618738"/>
    <x v="4"/>
  </r>
  <r>
    <s v="Regular"/>
    <x v="1"/>
    <x v="2"/>
    <x v="3"/>
    <x v="2"/>
    <x v="0"/>
    <x v="1"/>
    <x v="1"/>
    <x v="2"/>
    <n v="0"/>
    <n v="0"/>
    <n v="13.708"/>
    <n v="13.15968"/>
    <n v="13.708"/>
    <n v="13.15968"/>
    <n v="0"/>
    <s v="CATIVO"/>
    <n v="0"/>
    <n v="0"/>
    <n v="14"/>
    <n v="42"/>
    <n v="0"/>
    <n v="78.680000000000007"/>
    <n v="246.3"/>
    <m/>
    <n v="100.0658904363724"/>
    <n v="219.40364509824883"/>
    <n v="0"/>
    <n v="178.19303360000012"/>
    <n v="0"/>
    <n v="175.17153572434364"/>
    <x v="4"/>
  </r>
  <r>
    <s v="Sistema de Compensação"/>
    <x v="1"/>
    <x v="2"/>
    <x v="3"/>
    <x v="2"/>
    <x v="0"/>
    <x v="1"/>
    <x v="1"/>
    <x v="2"/>
    <n v="0"/>
    <n v="0"/>
    <n v="2.2109999999999999"/>
    <n v="2.12256"/>
    <n v="2.2109999999999999"/>
    <n v="2.12256"/>
    <n v="0"/>
    <s v="CATIVO"/>
    <n v="0"/>
    <n v="0"/>
    <n v="14"/>
    <n v="42"/>
    <n v="0"/>
    <n v="78.680000000000007"/>
    <n v="246.3"/>
    <m/>
    <n v="100.0658904363724"/>
    <n v="219.40364509824883"/>
    <n v="0"/>
    <n v="28.741231199999955"/>
    <n v="0"/>
    <n v="28.253885722681851"/>
    <x v="4"/>
  </r>
  <r>
    <s v="Regular"/>
    <x v="1"/>
    <x v="2"/>
    <x v="3"/>
    <x v="2"/>
    <x v="0"/>
    <x v="1"/>
    <x v="1"/>
    <x v="3"/>
    <n v="0"/>
    <n v="0"/>
    <n v="23.190999999999999"/>
    <n v="22.263359999999999"/>
    <n v="23.190999999999999"/>
    <n v="22.263359999999999"/>
    <n v="0"/>
    <s v="CATIVO"/>
    <n v="0"/>
    <n v="0"/>
    <n v="14"/>
    <n v="42"/>
    <n v="0"/>
    <n v="78.680000000000007"/>
    <n v="246.3"/>
    <m/>
    <n v="100.0658904363724"/>
    <n v="219.40364509824883"/>
    <n v="0"/>
    <n v="301.46444720000011"/>
    <n v="0"/>
    <n v="296.35271994333607"/>
    <x v="4"/>
  </r>
  <r>
    <s v="Sistema de Compensação"/>
    <x v="1"/>
    <x v="2"/>
    <x v="3"/>
    <x v="2"/>
    <x v="0"/>
    <x v="1"/>
    <x v="1"/>
    <x v="3"/>
    <n v="0"/>
    <n v="0"/>
    <n v="3.04"/>
    <n v="2.9184000000000001"/>
    <n v="3.04"/>
    <n v="2.9184000000000001"/>
    <n v="0"/>
    <s v="CATIVO"/>
    <n v="0"/>
    <n v="0"/>
    <n v="14"/>
    <n v="42"/>
    <n v="0"/>
    <n v="78.680000000000007"/>
    <n v="246.3"/>
    <m/>
    <n v="100.0658904363724"/>
    <n v="219.40364509824883"/>
    <n v="0"/>
    <n v="39.517567999999983"/>
    <n v="0"/>
    <n v="38.847495521009918"/>
    <x v="4"/>
  </r>
  <r>
    <s v="Regular"/>
    <x v="1"/>
    <x v="2"/>
    <x v="3"/>
    <x v="2"/>
    <x v="0"/>
    <x v="1"/>
    <x v="1"/>
    <x v="4"/>
    <n v="0"/>
    <n v="0"/>
    <n v="177.87"/>
    <n v="170.7552"/>
    <n v="177.87"/>
    <n v="170.7552"/>
    <n v="0"/>
    <s v="CATIVO"/>
    <n v="0"/>
    <n v="0"/>
    <n v="14"/>
    <n v="42"/>
    <n v="0"/>
    <n v="78.680000000000007"/>
    <n v="246.3"/>
    <m/>
    <n v="100.0658904363724"/>
    <n v="219.40364509824883"/>
    <n v="0"/>
    <n v="2312.1677040000009"/>
    <n v="0"/>
    <n v="2272.9618514217236"/>
    <x v="4"/>
  </r>
  <r>
    <s v="Sistema de Compensação"/>
    <x v="1"/>
    <x v="2"/>
    <x v="3"/>
    <x v="2"/>
    <x v="0"/>
    <x v="1"/>
    <x v="1"/>
    <x v="4"/>
    <n v="0"/>
    <n v="0"/>
    <n v="55.423000000000002"/>
    <n v="53.20608"/>
    <n v="55.423000000000002"/>
    <n v="53.20608"/>
    <n v="0"/>
    <s v="CATIVO"/>
    <n v="0"/>
    <n v="0"/>
    <n v="14"/>
    <n v="42"/>
    <n v="0"/>
    <n v="78.680000000000007"/>
    <n v="246.3"/>
    <m/>
    <n v="100.0658904363724"/>
    <n v="219.40364509824883"/>
    <n v="0"/>
    <n v="720.45466160000058"/>
    <n v="0"/>
    <n v="708.23840271741301"/>
    <x v="4"/>
  </r>
  <r>
    <s v="Regular"/>
    <x v="1"/>
    <x v="2"/>
    <x v="3"/>
    <x v="2"/>
    <x v="0"/>
    <x v="1"/>
    <x v="1"/>
    <x v="5"/>
    <n v="0"/>
    <n v="0"/>
    <n v="379.16300000000001"/>
    <n v="363.99648000000002"/>
    <n v="379.16300000000001"/>
    <n v="363.99648000000002"/>
    <n v="0"/>
    <s v="CATIVO"/>
    <n v="0"/>
    <n v="0"/>
    <n v="14"/>
    <n v="42"/>
    <n v="0"/>
    <n v="78.680000000000007"/>
    <n v="246.3"/>
    <m/>
    <n v="100.0658904363724"/>
    <n v="219.40364509824883"/>
    <n v="0"/>
    <n v="4928.8156695999978"/>
    <n v="0"/>
    <n v="4845.2411000765405"/>
    <x v="4"/>
  </r>
  <r>
    <s v="Sistema de Compensação"/>
    <x v="1"/>
    <x v="2"/>
    <x v="3"/>
    <x v="2"/>
    <x v="0"/>
    <x v="1"/>
    <x v="1"/>
    <x v="5"/>
    <n v="0"/>
    <n v="0"/>
    <n v="77.055999999999997"/>
    <n v="73.973759999999999"/>
    <n v="77.055999999999997"/>
    <n v="73.973759999999999"/>
    <n v="0"/>
    <s v="CATIVO"/>
    <n v="0"/>
    <n v="0"/>
    <n v="14"/>
    <n v="42"/>
    <n v="0"/>
    <n v="78.680000000000007"/>
    <n v="246.3"/>
    <m/>
    <n v="100.0658904363724"/>
    <n v="219.40364509824883"/>
    <n v="0"/>
    <n v="1001.6663551999997"/>
    <n v="0"/>
    <n v="984.68178120623065"/>
    <x v="4"/>
  </r>
  <r>
    <s v="Regular"/>
    <x v="1"/>
    <x v="2"/>
    <x v="3"/>
    <x v="2"/>
    <x v="0"/>
    <x v="1"/>
    <x v="1"/>
    <x v="6"/>
    <n v="0"/>
    <n v="0"/>
    <n v="248.77"/>
    <n v="238.8192"/>
    <n v="248.77"/>
    <n v="238.8192"/>
    <n v="0"/>
    <s v="CATIVO"/>
    <n v="0"/>
    <n v="0"/>
    <n v="14"/>
    <n v="42"/>
    <n v="0"/>
    <n v="78.680000000000007"/>
    <n v="246.3"/>
    <m/>
    <n v="100.0658904363724"/>
    <n v="219.40364509824883"/>
    <n v="0"/>
    <n v="3233.8109840000052"/>
    <n v="0"/>
    <n v="3178.9774541979141"/>
    <x v="4"/>
  </r>
  <r>
    <s v="Sistema de Compensação"/>
    <x v="1"/>
    <x v="2"/>
    <x v="3"/>
    <x v="2"/>
    <x v="0"/>
    <x v="1"/>
    <x v="1"/>
    <x v="6"/>
    <n v="0"/>
    <n v="0"/>
    <n v="9.4329999999999998"/>
    <n v="9.0556799999999988"/>
    <n v="9.4329999999999998"/>
    <n v="9.0556799999999988"/>
    <n v="0"/>
    <s v="CATIVO"/>
    <n v="0"/>
    <n v="0"/>
    <n v="14"/>
    <n v="42"/>
    <n v="0"/>
    <n v="78.680000000000007"/>
    <n v="246.3"/>
    <m/>
    <n v="100.0658904363724"/>
    <n v="219.40364509824883"/>
    <n v="0"/>
    <n v="122.62145360000034"/>
    <n v="0"/>
    <n v="120.54224514792361"/>
    <x v="4"/>
  </r>
  <r>
    <s v="Regular"/>
    <x v="1"/>
    <x v="2"/>
    <x v="3"/>
    <x v="2"/>
    <x v="0"/>
    <x v="1"/>
    <x v="1"/>
    <x v="7"/>
    <n v="0"/>
    <n v="0"/>
    <n v="125.352"/>
    <n v="120.33792"/>
    <n v="125.352"/>
    <n v="120.33792"/>
    <n v="0"/>
    <s v="CATIVO"/>
    <n v="0"/>
    <n v="0"/>
    <n v="14"/>
    <n v="42"/>
    <n v="0"/>
    <n v="78.680000000000007"/>
    <n v="246.3"/>
    <m/>
    <n v="100.0658904363724"/>
    <n v="219.40364509824883"/>
    <n v="0"/>
    <n v="1629.4757184000023"/>
    <n v="0"/>
    <n v="1601.8458087334359"/>
    <x v="4"/>
  </r>
  <r>
    <s v="Sistema de Compensação"/>
    <x v="1"/>
    <x v="2"/>
    <x v="3"/>
    <x v="2"/>
    <x v="0"/>
    <x v="1"/>
    <x v="1"/>
    <x v="7"/>
    <n v="0"/>
    <n v="0"/>
    <n v="0.67400000000000004"/>
    <n v="0.64704000000000006"/>
    <n v="0.67400000000000004"/>
    <n v="0.64704000000000006"/>
    <n v="0"/>
    <s v="CATIVO"/>
    <n v="0"/>
    <n v="0"/>
    <n v="14"/>
    <n v="42"/>
    <n v="0"/>
    <n v="78.680000000000007"/>
    <n v="246.3"/>
    <m/>
    <n v="100.0658904363724"/>
    <n v="219.40364509824883"/>
    <n v="0"/>
    <n v="8.7614607999999947"/>
    <n v="0"/>
    <n v="8.6128986780133836"/>
    <x v="4"/>
  </r>
  <r>
    <s v="Regular"/>
    <x v="1"/>
    <x v="2"/>
    <x v="3"/>
    <x v="2"/>
    <x v="0"/>
    <x v="1"/>
    <x v="1"/>
    <x v="8"/>
    <n v="0"/>
    <n v="0"/>
    <n v="22.298999999999999"/>
    <n v="21.407039999999999"/>
    <n v="22.298999999999999"/>
    <n v="21.407039999999999"/>
    <n v="0"/>
    <s v="CATIVO"/>
    <n v="0"/>
    <n v="0"/>
    <n v="14"/>
    <n v="42"/>
    <n v="0"/>
    <n v="78.680000000000007"/>
    <n v="246.3"/>
    <m/>
    <n v="100.0658904363724"/>
    <n v="219.40364509824883"/>
    <n v="0"/>
    <n v="289.86916080000032"/>
    <n v="0"/>
    <n v="284.95404691546105"/>
    <x v="4"/>
  </r>
  <r>
    <s v="Sistema de Compensação"/>
    <x v="1"/>
    <x v="2"/>
    <x v="3"/>
    <x v="2"/>
    <x v="0"/>
    <x v="1"/>
    <x v="1"/>
    <x v="8"/>
    <n v="0"/>
    <n v="0"/>
    <n v="0.441"/>
    <n v="0.42336000000000001"/>
    <n v="0.441"/>
    <n v="0.42336000000000001"/>
    <n v="0"/>
    <s v="CATIVO"/>
    <n v="0"/>
    <n v="0"/>
    <n v="14"/>
    <n v="42"/>
    <n v="0"/>
    <n v="78.680000000000007"/>
    <n v="246.3"/>
    <m/>
    <n v="100.0658904363724"/>
    <n v="219.40364509824883"/>
    <n v="0"/>
    <n v="5.7326471999999971"/>
    <n v="0"/>
    <n v="5.6354426068307149"/>
    <x v="4"/>
  </r>
  <r>
    <s v="Regular"/>
    <x v="1"/>
    <x v="2"/>
    <x v="3"/>
    <x v="2"/>
    <x v="0"/>
    <x v="1"/>
    <x v="1"/>
    <x v="9"/>
    <n v="0"/>
    <n v="0"/>
    <n v="9.8059999999999992"/>
    <n v="9.4137599999999999"/>
    <n v="9.8059999999999992"/>
    <n v="9.4137599999999999"/>
    <n v="0"/>
    <s v="CATIVO"/>
    <n v="0"/>
    <n v="0"/>
    <n v="14"/>
    <n v="42"/>
    <n v="0"/>
    <n v="78.680000000000007"/>
    <n v="246.3"/>
    <m/>
    <n v="100.0658904363724"/>
    <n v="219.40364509824883"/>
    <n v="0"/>
    <n v="127.47015519999977"/>
    <n v="0"/>
    <n v="125.30873061809959"/>
    <x v="4"/>
  </r>
  <r>
    <s v="Sistema de Compensação"/>
    <x v="1"/>
    <x v="2"/>
    <x v="3"/>
    <x v="2"/>
    <x v="0"/>
    <x v="1"/>
    <x v="1"/>
    <x v="9"/>
    <n v="0"/>
    <n v="0"/>
    <n v="0.32100000000000001"/>
    <n v="0.30815999999999999"/>
    <n v="0.32100000000000001"/>
    <n v="0.30815999999999999"/>
    <n v="0"/>
    <s v="CATIVO"/>
    <n v="0"/>
    <n v="0"/>
    <n v="14"/>
    <n v="42"/>
    <n v="0"/>
    <n v="78.680000000000007"/>
    <n v="246.3"/>
    <m/>
    <n v="100.0658904363724"/>
    <n v="219.40364509824883"/>
    <n v="0"/>
    <n v="4.1727432000000064"/>
    <n v="0"/>
    <n v="4.1019888362645425"/>
    <x v="4"/>
  </r>
  <r>
    <s v="Regular"/>
    <x v="1"/>
    <x v="2"/>
    <x v="3"/>
    <x v="2"/>
    <x v="0"/>
    <x v="1"/>
    <x v="1"/>
    <x v="10"/>
    <n v="0"/>
    <n v="0"/>
    <n v="15.609"/>
    <n v="14.984640000000001"/>
    <n v="15.609"/>
    <n v="14.984640000000001"/>
    <n v="0"/>
    <s v="CATIVO"/>
    <n v="0"/>
    <n v="0"/>
    <n v="14"/>
    <n v="42"/>
    <n v="0"/>
    <n v="78.680000000000007"/>
    <n v="246.3"/>
    <m/>
    <n v="100.0658904363724"/>
    <n v="219.40364509824883"/>
    <n v="0"/>
    <n v="202.90451279999979"/>
    <n v="0"/>
    <n v="199.46399920639593"/>
    <x v="4"/>
  </r>
  <r>
    <s v="Sistema de Compensação"/>
    <x v="1"/>
    <x v="2"/>
    <x v="3"/>
    <x v="2"/>
    <x v="0"/>
    <x v="1"/>
    <x v="1"/>
    <x v="10"/>
    <n v="0"/>
    <n v="0"/>
    <n v="0.33300000000000002"/>
    <n v="0.31968000000000002"/>
    <n v="0.33300000000000002"/>
    <n v="0.31968000000000002"/>
    <n v="0"/>
    <s v="CATIVO"/>
    <n v="0"/>
    <n v="0"/>
    <n v="14"/>
    <n v="42"/>
    <n v="0"/>
    <n v="78.680000000000007"/>
    <n v="246.3"/>
    <m/>
    <n v="100.0658904363724"/>
    <n v="219.40364509824883"/>
    <n v="0"/>
    <n v="4.3287335999999996"/>
    <n v="0"/>
    <n v="4.255334213321154"/>
    <x v="4"/>
  </r>
  <r>
    <s v="PROJETADO"/>
    <x v="1"/>
    <x v="2"/>
    <x v="3"/>
    <x v="2"/>
    <x v="0"/>
    <x v="1"/>
    <x v="1"/>
    <x v="11"/>
    <n v="0"/>
    <n v="0"/>
    <n v="15.609"/>
    <n v="14.984640000000001"/>
    <n v="15.609"/>
    <n v="14.984640000000001"/>
    <n v="0"/>
    <s v="CATIVO"/>
    <n v="0"/>
    <n v="0"/>
    <n v="14"/>
    <n v="42"/>
    <n v="0"/>
    <n v="78.680000000000007"/>
    <n v="246.3"/>
    <m/>
    <n v="100.0658904363724"/>
    <n v="219.40364509824883"/>
    <n v="0"/>
    <n v="202.90451279999979"/>
    <n v="0"/>
    <n v="199.46399920639593"/>
    <x v="4"/>
  </r>
  <r>
    <s v="PROJETADO"/>
    <x v="1"/>
    <x v="2"/>
    <x v="3"/>
    <x v="2"/>
    <x v="0"/>
    <x v="1"/>
    <x v="1"/>
    <x v="11"/>
    <n v="0"/>
    <n v="0"/>
    <n v="0.33300000000000002"/>
    <n v="0.31968000000000002"/>
    <n v="0.33300000000000002"/>
    <n v="0.31968000000000002"/>
    <n v="0"/>
    <s v="CATIVO"/>
    <n v="0"/>
    <n v="0"/>
    <n v="14"/>
    <n v="42"/>
    <n v="0"/>
    <n v="78.680000000000007"/>
    <n v="246.3"/>
    <m/>
    <n v="100.0658904363724"/>
    <n v="219.40364509824883"/>
    <n v="0"/>
    <n v="4.3287335999999996"/>
    <n v="0"/>
    <n v="4.255334213321154"/>
    <x v="4"/>
  </r>
  <r>
    <s v="Regular"/>
    <x v="1"/>
    <x v="2"/>
    <x v="3"/>
    <x v="2"/>
    <x v="0"/>
    <x v="1"/>
    <x v="0"/>
    <x v="0"/>
    <n v="450"/>
    <n v="432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346.32"/>
    <n v="0"/>
    <n v="247.27043983865252"/>
    <n v="0"/>
    <x v="4"/>
  </r>
  <r>
    <s v="Regular"/>
    <x v="1"/>
    <x v="2"/>
    <x v="3"/>
    <x v="2"/>
    <x v="0"/>
    <x v="1"/>
    <x v="0"/>
    <x v="1"/>
    <n v="628"/>
    <n v="602.88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483.30880000000008"/>
    <n v="0"/>
    <n v="345.07963604149739"/>
    <n v="0"/>
    <x v="4"/>
  </r>
  <r>
    <s v="Sistema de Compensação"/>
    <x v="1"/>
    <x v="2"/>
    <x v="3"/>
    <x v="2"/>
    <x v="0"/>
    <x v="1"/>
    <x v="0"/>
    <x v="1"/>
    <n v="31"/>
    <n v="29.759999999999998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23.857600000000037"/>
    <n v="0"/>
    <n v="17.034185855551648"/>
    <n v="0"/>
    <x v="4"/>
  </r>
  <r>
    <s v="Regular"/>
    <x v="1"/>
    <x v="2"/>
    <x v="3"/>
    <x v="2"/>
    <x v="0"/>
    <x v="1"/>
    <x v="0"/>
    <x v="2"/>
    <n v="759"/>
    <n v="728.64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584.12640000000022"/>
    <n v="0"/>
    <n v="417.0628085278608"/>
    <n v="0"/>
    <x v="4"/>
  </r>
  <r>
    <s v="Sistema de Compensação"/>
    <x v="1"/>
    <x v="2"/>
    <x v="3"/>
    <x v="2"/>
    <x v="0"/>
    <x v="1"/>
    <x v="0"/>
    <x v="2"/>
    <n v="131"/>
    <n v="125.75999999999999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100.81760000000017"/>
    <n v="0"/>
    <n v="71.983172486363415"/>
    <n v="0"/>
    <x v="4"/>
  </r>
  <r>
    <s v="Regular"/>
    <x v="1"/>
    <x v="2"/>
    <x v="3"/>
    <x v="2"/>
    <x v="0"/>
    <x v="1"/>
    <x v="0"/>
    <x v="3"/>
    <n v="1132"/>
    <n v="1086.72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871.18719999999939"/>
    <n v="0"/>
    <n v="622.02252866078777"/>
    <n v="0"/>
    <x v="4"/>
  </r>
  <r>
    <s v="Sistema de Compensação"/>
    <x v="1"/>
    <x v="2"/>
    <x v="3"/>
    <x v="2"/>
    <x v="0"/>
    <x v="1"/>
    <x v="0"/>
    <x v="3"/>
    <n v="251"/>
    <n v="240.95999999999998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193.16960000000037"/>
    <n v="0"/>
    <n v="137.92195644333759"/>
    <n v="0"/>
    <x v="4"/>
  </r>
  <r>
    <s v="Regular"/>
    <x v="1"/>
    <x v="2"/>
    <x v="3"/>
    <x v="2"/>
    <x v="0"/>
    <x v="1"/>
    <x v="0"/>
    <x v="4"/>
    <n v="2857"/>
    <n v="2742.72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2198.7472000000039"/>
    <n v="0"/>
    <n v="1569.8925480422922"/>
    <n v="0"/>
    <x v="4"/>
  </r>
  <r>
    <s v="Sistema de Compensação"/>
    <x v="1"/>
    <x v="2"/>
    <x v="3"/>
    <x v="2"/>
    <x v="0"/>
    <x v="1"/>
    <x v="0"/>
    <x v="4"/>
    <n v="259"/>
    <n v="248.64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199.32640000000023"/>
    <n v="0"/>
    <n v="142.31787537380242"/>
    <n v="0"/>
    <x v="4"/>
  </r>
  <r>
    <s v="Regular"/>
    <x v="1"/>
    <x v="2"/>
    <x v="3"/>
    <x v="2"/>
    <x v="0"/>
    <x v="1"/>
    <x v="0"/>
    <x v="5"/>
    <n v="3618"/>
    <n v="3473.28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2784.412799999996"/>
    <n v="0"/>
    <n v="1988.0543363027637"/>
    <n v="0"/>
    <x v="4"/>
  </r>
  <r>
    <s v="Sistema de Compensação"/>
    <x v="1"/>
    <x v="2"/>
    <x v="3"/>
    <x v="2"/>
    <x v="0"/>
    <x v="1"/>
    <x v="0"/>
    <x v="5"/>
    <n v="254"/>
    <n v="243.84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195.47839999999991"/>
    <n v="0"/>
    <n v="139.5704260422616"/>
    <n v="0"/>
    <x v="4"/>
  </r>
  <r>
    <s v="Regular"/>
    <x v="1"/>
    <x v="2"/>
    <x v="3"/>
    <x v="2"/>
    <x v="0"/>
    <x v="1"/>
    <x v="0"/>
    <x v="6"/>
    <n v="3650"/>
    <n v="3504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2809.04"/>
    <n v="0"/>
    <n v="2005.6380120246261"/>
    <n v="0"/>
    <x v="4"/>
  </r>
  <r>
    <s v="Sistema de Compensação"/>
    <x v="1"/>
    <x v="2"/>
    <x v="3"/>
    <x v="2"/>
    <x v="0"/>
    <x v="1"/>
    <x v="0"/>
    <x v="6"/>
    <n v="154"/>
    <n v="147.84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118.51839999999993"/>
    <n v="0"/>
    <n v="84.621439411449927"/>
    <n v="0"/>
    <x v="4"/>
  </r>
  <r>
    <s v="Regular"/>
    <x v="1"/>
    <x v="2"/>
    <x v="3"/>
    <x v="2"/>
    <x v="0"/>
    <x v="1"/>
    <x v="0"/>
    <x v="7"/>
    <n v="3033"/>
    <n v="2911.68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2334.1968000000029"/>
    <n v="0"/>
    <n v="1666.6027645125203"/>
    <n v="0"/>
    <x v="4"/>
  </r>
  <r>
    <s v="Sistema de Compensação"/>
    <x v="1"/>
    <x v="2"/>
    <x v="3"/>
    <x v="2"/>
    <x v="0"/>
    <x v="1"/>
    <x v="0"/>
    <x v="7"/>
    <n v="149"/>
    <n v="143.04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114.67040000000014"/>
    <n v="0"/>
    <n v="81.873990079909504"/>
    <n v="0"/>
    <x v="4"/>
  </r>
  <r>
    <s v="Regular"/>
    <x v="1"/>
    <x v="2"/>
    <x v="3"/>
    <x v="2"/>
    <x v="0"/>
    <x v="1"/>
    <x v="0"/>
    <x v="8"/>
    <n v="1042"/>
    <n v="1000.32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801.92319999999893"/>
    <n v="0"/>
    <n v="572.56844069305691"/>
    <n v="0"/>
    <x v="4"/>
  </r>
  <r>
    <s v="Sistema de Compensação"/>
    <x v="1"/>
    <x v="2"/>
    <x v="3"/>
    <x v="2"/>
    <x v="0"/>
    <x v="1"/>
    <x v="0"/>
    <x v="8"/>
    <n v="31"/>
    <n v="29.759999999999998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23.857600000000037"/>
    <n v="0"/>
    <n v="17.034185855551648"/>
    <n v="0"/>
    <x v="4"/>
  </r>
  <r>
    <s v="Regular"/>
    <x v="1"/>
    <x v="2"/>
    <x v="3"/>
    <x v="2"/>
    <x v="0"/>
    <x v="1"/>
    <x v="0"/>
    <x v="9"/>
    <n v="443"/>
    <n v="425.28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340.9328000000005"/>
    <n v="0"/>
    <n v="243.42401077449608"/>
    <n v="0"/>
    <x v="4"/>
  </r>
  <r>
    <s v="Sistema de Compensação"/>
    <x v="1"/>
    <x v="2"/>
    <x v="3"/>
    <x v="2"/>
    <x v="0"/>
    <x v="1"/>
    <x v="0"/>
    <x v="9"/>
    <n v="30"/>
    <n v="28.799999999999997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23.088000000000054"/>
    <n v="0"/>
    <n v="16.484695989243541"/>
    <n v="0"/>
    <x v="4"/>
  </r>
  <r>
    <s v="Regular"/>
    <x v="1"/>
    <x v="2"/>
    <x v="3"/>
    <x v="2"/>
    <x v="0"/>
    <x v="1"/>
    <x v="0"/>
    <x v="10"/>
    <n v="642"/>
    <n v="616.32000000000005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494.08319999999901"/>
    <n v="0"/>
    <n v="352.77249416981027"/>
    <n v="0"/>
    <x v="4"/>
  </r>
  <r>
    <s v="Sistema de Compensação"/>
    <x v="1"/>
    <x v="2"/>
    <x v="3"/>
    <x v="2"/>
    <x v="0"/>
    <x v="1"/>
    <x v="0"/>
    <x v="10"/>
    <n v="26"/>
    <n v="24.96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20.009599999999981"/>
    <n v="0"/>
    <n v="14.286736524011024"/>
    <n v="0"/>
    <x v="4"/>
  </r>
  <r>
    <s v="PROJETADO"/>
    <x v="1"/>
    <x v="2"/>
    <x v="3"/>
    <x v="2"/>
    <x v="0"/>
    <x v="1"/>
    <x v="0"/>
    <x v="11"/>
    <n v="642"/>
    <n v="616.32000000000005"/>
    <n v="0"/>
    <n v="0"/>
    <n v="0"/>
    <n v="0"/>
    <n v="8"/>
    <s v="CATIVO"/>
    <n v="0"/>
    <n v="18"/>
    <n v="0"/>
    <n v="0"/>
    <n v="19.239999999999998"/>
    <n v="0"/>
    <n v="0"/>
    <n v="13.737246657702919"/>
    <m/>
    <m/>
    <n v="494.08319999999901"/>
    <n v="0"/>
    <n v="352.77249416981027"/>
    <n v="0"/>
    <x v="4"/>
  </r>
  <r>
    <s v="PROJETADO"/>
    <x v="1"/>
    <x v="2"/>
    <x v="3"/>
    <x v="2"/>
    <x v="0"/>
    <x v="1"/>
    <x v="0"/>
    <x v="11"/>
    <n v="26"/>
    <n v="24.96"/>
    <n v="0"/>
    <n v="0"/>
    <n v="0"/>
    <n v="0"/>
    <n v="1"/>
    <s v="CATIVO"/>
    <n v="0"/>
    <n v="18"/>
    <n v="0"/>
    <n v="0"/>
    <n v="19.239999999999998"/>
    <n v="0"/>
    <n v="0"/>
    <n v="13.737246657702919"/>
    <m/>
    <m/>
    <n v="20.009599999999981"/>
    <n v="0"/>
    <n v="14.286736524011024"/>
    <n v="0"/>
    <x v="4"/>
  </r>
  <r>
    <s v="Regular"/>
    <x v="1"/>
    <x v="2"/>
    <x v="3"/>
    <x v="2"/>
    <x v="0"/>
    <x v="1"/>
    <x v="2"/>
    <x v="0"/>
    <n v="0"/>
    <n v="0"/>
    <n v="1.4430000000000001"/>
    <n v="1.3852800000000001"/>
    <n v="1.4430000000000001"/>
    <n v="1.3852800000000001"/>
    <n v="0"/>
    <s v="CATIVO"/>
    <n v="0"/>
    <n v="0"/>
    <n v="16"/>
    <n v="47"/>
    <n v="0"/>
    <n v="1329.67"/>
    <n v="389.21"/>
    <m/>
    <n v="975.12024846292354"/>
    <n v="353.55100010229148"/>
    <n v="0"/>
    <n v="99.21375359999999"/>
    <n v="0"/>
    <n v="76.690904467184197"/>
    <x v="4"/>
  </r>
  <r>
    <s v="Regular"/>
    <x v="1"/>
    <x v="2"/>
    <x v="3"/>
    <x v="2"/>
    <x v="0"/>
    <x v="1"/>
    <x v="2"/>
    <x v="1"/>
    <n v="0"/>
    <n v="0"/>
    <n v="1.7410000000000001"/>
    <n v="1.67136"/>
    <n v="1.7410000000000001"/>
    <n v="1.67136"/>
    <n v="0"/>
    <s v="CATIVO"/>
    <n v="0"/>
    <n v="0"/>
    <n v="16"/>
    <n v="47"/>
    <n v="0"/>
    <n v="1329.67"/>
    <n v="389.21"/>
    <m/>
    <n v="975.12024846292354"/>
    <n v="353.55100010229148"/>
    <n v="0"/>
    <n v="119.70280320000026"/>
    <n v="0"/>
    <n v="92.528665750081771"/>
    <x v="4"/>
  </r>
  <r>
    <s v="Sistema de Compensação"/>
    <x v="1"/>
    <x v="2"/>
    <x v="3"/>
    <x v="2"/>
    <x v="0"/>
    <x v="1"/>
    <x v="2"/>
    <x v="1"/>
    <n v="0"/>
    <n v="0"/>
    <n v="7.6999999999999999E-2"/>
    <n v="7.392E-2"/>
    <n v="7.6999999999999999E-2"/>
    <n v="7.392E-2"/>
    <n v="0"/>
    <s v="CATIVO"/>
    <n v="0"/>
    <n v="0"/>
    <n v="16"/>
    <n v="47"/>
    <n v="0"/>
    <n v="1329.67"/>
    <n v="389.21"/>
    <m/>
    <n v="975.12024846292354"/>
    <n v="353.55100010229148"/>
    <n v="0"/>
    <n v="5.2941503999999986"/>
    <n v="0"/>
    <n v="4.0923074455808619"/>
    <x v="4"/>
  </r>
  <r>
    <s v="Regular"/>
    <x v="1"/>
    <x v="2"/>
    <x v="3"/>
    <x v="2"/>
    <x v="0"/>
    <x v="1"/>
    <x v="2"/>
    <x v="2"/>
    <n v="0"/>
    <n v="0"/>
    <n v="1.625"/>
    <n v="1.56"/>
    <n v="1.625"/>
    <n v="1.56"/>
    <n v="0"/>
    <s v="CATIVO"/>
    <n v="0"/>
    <n v="0"/>
    <n v="16"/>
    <n v="47"/>
    <n v="0"/>
    <n v="1329.67"/>
    <n v="389.21"/>
    <m/>
    <n v="975.12024846292354"/>
    <n v="353.55100010229148"/>
    <n v="0"/>
    <n v="111.72719999999991"/>
    <n v="0"/>
    <n v="86.363631156738904"/>
    <x v="4"/>
  </r>
  <r>
    <s v="Sistema de Compensação"/>
    <x v="1"/>
    <x v="2"/>
    <x v="3"/>
    <x v="2"/>
    <x v="0"/>
    <x v="1"/>
    <x v="2"/>
    <x v="2"/>
    <n v="0"/>
    <n v="0"/>
    <n v="0.16700000000000001"/>
    <n v="0.16031999999999999"/>
    <n v="0.16700000000000001"/>
    <n v="0.16031999999999999"/>
    <n v="0"/>
    <s v="CATIVO"/>
    <n v="0"/>
    <n v="0"/>
    <n v="16"/>
    <n v="47"/>
    <n v="0"/>
    <n v="1329.67"/>
    <n v="389.21"/>
    <m/>
    <n v="975.12024846292354"/>
    <n v="353.55100010229148"/>
    <n v="0"/>
    <n v="11.482118400000033"/>
    <n v="0"/>
    <n v="8.8755239404156612"/>
    <x v="4"/>
  </r>
  <r>
    <s v="Regular"/>
    <x v="1"/>
    <x v="2"/>
    <x v="3"/>
    <x v="2"/>
    <x v="0"/>
    <x v="1"/>
    <x v="2"/>
    <x v="3"/>
    <n v="0"/>
    <n v="0"/>
    <n v="1.6020000000000001"/>
    <n v="1.53792"/>
    <n v="1.6020000000000001"/>
    <n v="1.53792"/>
    <n v="0"/>
    <s v="CATIVO"/>
    <n v="0"/>
    <n v="0"/>
    <n v="16"/>
    <n v="47"/>
    <n v="0"/>
    <n v="1329.67"/>
    <n v="389.21"/>
    <m/>
    <n v="975.12024846292354"/>
    <n v="353.55100010229148"/>
    <n v="0"/>
    <n v="110.14583040000025"/>
    <n v="0"/>
    <n v="85.141253608059159"/>
    <x v="4"/>
  </r>
  <r>
    <s v="Sistema de Compensação"/>
    <x v="1"/>
    <x v="2"/>
    <x v="3"/>
    <x v="2"/>
    <x v="0"/>
    <x v="1"/>
    <x v="2"/>
    <x v="3"/>
    <n v="0"/>
    <n v="0"/>
    <n v="0.17499999999999999"/>
    <n v="0.16799999999999998"/>
    <n v="0.17499999999999999"/>
    <n v="0.16799999999999998"/>
    <n v="0"/>
    <s v="CATIVO"/>
    <n v="0"/>
    <n v="0"/>
    <n v="16"/>
    <n v="47"/>
    <n v="0"/>
    <n v="1329.67"/>
    <n v="389.21"/>
    <m/>
    <n v="975.12024846292354"/>
    <n v="353.55100010229148"/>
    <n v="0"/>
    <n v="12.03216000000001"/>
    <n v="0"/>
    <n v="9.3006987399565126"/>
    <x v="4"/>
  </r>
  <r>
    <s v="Regular"/>
    <x v="1"/>
    <x v="2"/>
    <x v="3"/>
    <x v="2"/>
    <x v="0"/>
    <x v="1"/>
    <x v="2"/>
    <x v="4"/>
    <n v="0"/>
    <n v="0"/>
    <n v="3.5369999999999999"/>
    <n v="3.3955199999999999"/>
    <n v="3.5369999999999999"/>
    <n v="3.3955199999999999"/>
    <n v="0"/>
    <s v="CATIVO"/>
    <n v="0"/>
    <n v="0"/>
    <n v="16"/>
    <n v="47"/>
    <n v="0"/>
    <n v="1329.67"/>
    <n v="389.21"/>
    <m/>
    <n v="975.12024846292354"/>
    <n v="353.55100010229148"/>
    <n v="0"/>
    <n v="243.18714240000008"/>
    <n v="0"/>
    <n v="187.98040824700669"/>
    <x v="4"/>
  </r>
  <r>
    <s v="Sistema de Compensação"/>
    <x v="1"/>
    <x v="2"/>
    <x v="3"/>
    <x v="2"/>
    <x v="0"/>
    <x v="1"/>
    <x v="2"/>
    <x v="4"/>
    <n v="0"/>
    <n v="0"/>
    <n v="1.5620000000000001"/>
    <n v="1.49952"/>
    <n v="1.5620000000000001"/>
    <n v="1.49952"/>
    <n v="0"/>
    <s v="CATIVO"/>
    <n v="0"/>
    <n v="0"/>
    <n v="16"/>
    <n v="47"/>
    <n v="0"/>
    <n v="1329.67"/>
    <n v="389.21"/>
    <m/>
    <n v="975.12024846292354"/>
    <n v="353.55100010229148"/>
    <n v="0"/>
    <n v="107.39562240000015"/>
    <n v="0"/>
    <n v="83.015379610354756"/>
    <x v="4"/>
  </r>
  <r>
    <s v="Regular"/>
    <x v="1"/>
    <x v="2"/>
    <x v="3"/>
    <x v="2"/>
    <x v="0"/>
    <x v="1"/>
    <x v="2"/>
    <x v="5"/>
    <n v="0"/>
    <n v="0"/>
    <n v="17.158000000000001"/>
    <n v="16.471679999999999"/>
    <n v="17.158000000000001"/>
    <n v="16.471679999999999"/>
    <n v="0"/>
    <s v="CATIVO"/>
    <n v="0"/>
    <n v="0"/>
    <n v="16"/>
    <n v="47"/>
    <n v="0"/>
    <n v="1329.67"/>
    <n v="389.21"/>
    <m/>
    <n v="975.12024846292354"/>
    <n v="353.55100010229148"/>
    <n v="0"/>
    <n v="1179.7017216000036"/>
    <n v="0"/>
    <n v="911.89365131528109"/>
    <x v="4"/>
  </r>
  <r>
    <s v="Sistema de Compensação"/>
    <x v="1"/>
    <x v="2"/>
    <x v="3"/>
    <x v="2"/>
    <x v="0"/>
    <x v="1"/>
    <x v="2"/>
    <x v="5"/>
    <n v="0"/>
    <n v="0"/>
    <n v="1.4259999999999999"/>
    <n v="1.36896"/>
    <n v="1.4259999999999999"/>
    <n v="1.36896"/>
    <n v="0"/>
    <s v="CATIVO"/>
    <n v="0"/>
    <n v="0"/>
    <n v="16"/>
    <n v="47"/>
    <n v="0"/>
    <n v="1329.67"/>
    <n v="389.21"/>
    <m/>
    <n v="975.12024846292354"/>
    <n v="353.55100010229148"/>
    <n v="0"/>
    <n v="98.044915199999963"/>
    <n v="0"/>
    <n v="75.787408018159837"/>
    <x v="4"/>
  </r>
  <r>
    <s v="Regular"/>
    <x v="1"/>
    <x v="2"/>
    <x v="3"/>
    <x v="2"/>
    <x v="0"/>
    <x v="1"/>
    <x v="2"/>
    <x v="6"/>
    <n v="0"/>
    <n v="0"/>
    <n v="10.287000000000001"/>
    <n v="9.8755199999999999"/>
    <n v="10.287000000000001"/>
    <n v="9.8755199999999999"/>
    <n v="0"/>
    <s v="CATIVO"/>
    <n v="0"/>
    <n v="0"/>
    <n v="16"/>
    <n v="47"/>
    <n v="0"/>
    <n v="1329.67"/>
    <n v="389.21"/>
    <m/>
    <n v="975.12024846292354"/>
    <n v="353.55100010229148"/>
    <n v="0"/>
    <n v="707.28474240000162"/>
    <n v="0"/>
    <n v="546.72164535961588"/>
    <x v="4"/>
  </r>
  <r>
    <s v="Sistema de Compensação"/>
    <x v="1"/>
    <x v="2"/>
    <x v="3"/>
    <x v="2"/>
    <x v="0"/>
    <x v="1"/>
    <x v="2"/>
    <x v="6"/>
    <n v="0"/>
    <n v="0"/>
    <n v="0.22500000000000001"/>
    <n v="0.216"/>
    <n v="0.22500000000000001"/>
    <n v="0.216"/>
    <n v="0"/>
    <s v="CATIVO"/>
    <n v="0"/>
    <n v="0"/>
    <n v="16"/>
    <n v="47"/>
    <n v="0"/>
    <n v="1329.67"/>
    <n v="389.21"/>
    <m/>
    <n v="975.12024846292354"/>
    <n v="353.55100010229148"/>
    <n v="0"/>
    <n v="15.469920000000014"/>
    <n v="0"/>
    <n v="11.958041237086945"/>
    <x v="4"/>
  </r>
  <r>
    <s v="Regular"/>
    <x v="1"/>
    <x v="2"/>
    <x v="3"/>
    <x v="2"/>
    <x v="0"/>
    <x v="1"/>
    <x v="2"/>
    <x v="7"/>
    <n v="0"/>
    <n v="0"/>
    <n v="7.0919999999999996"/>
    <n v="6.8083200000000001"/>
    <n v="7.0919999999999996"/>
    <n v="6.8083200000000001"/>
    <n v="0"/>
    <s v="CATIVO"/>
    <n v="0"/>
    <n v="0"/>
    <n v="16"/>
    <n v="47"/>
    <n v="0"/>
    <n v="1329.67"/>
    <n v="389.21"/>
    <m/>
    <n v="975.12024846292354"/>
    <n v="353.55100010229148"/>
    <n v="0"/>
    <n v="487.61187839999911"/>
    <n v="0"/>
    <n v="376.91745979297951"/>
    <x v="4"/>
  </r>
  <r>
    <s v="Sistema de Compensação"/>
    <x v="1"/>
    <x v="2"/>
    <x v="3"/>
    <x v="2"/>
    <x v="0"/>
    <x v="1"/>
    <x v="2"/>
    <x v="7"/>
    <n v="0"/>
    <n v="0"/>
    <n v="0.104"/>
    <n v="9.9839999999999998E-2"/>
    <n v="0.104"/>
    <n v="9.9839999999999998E-2"/>
    <n v="0"/>
    <s v="CATIVO"/>
    <n v="0"/>
    <n v="0"/>
    <n v="16"/>
    <n v="47"/>
    <n v="0"/>
    <n v="1329.67"/>
    <n v="389.21"/>
    <m/>
    <n v="975.12024846292354"/>
    <n v="353.55100010229148"/>
    <n v="0"/>
    <n v="7.1505407999999946"/>
    <n v="0"/>
    <n v="5.5272723940312911"/>
    <x v="4"/>
  </r>
  <r>
    <s v="Regular"/>
    <x v="1"/>
    <x v="2"/>
    <x v="3"/>
    <x v="2"/>
    <x v="0"/>
    <x v="1"/>
    <x v="2"/>
    <x v="8"/>
    <n v="0"/>
    <n v="0"/>
    <n v="1.716"/>
    <n v="1.6473599999999999"/>
    <n v="1.716"/>
    <n v="1.6473599999999999"/>
    <n v="0"/>
    <s v="CATIVO"/>
    <n v="0"/>
    <n v="0"/>
    <n v="16"/>
    <n v="47"/>
    <n v="0"/>
    <n v="1329.67"/>
    <n v="389.21"/>
    <m/>
    <n v="975.12024846292354"/>
    <n v="353.55100010229148"/>
    <n v="0"/>
    <n v="117.98392320000006"/>
    <n v="0"/>
    <n v="91.1999945015164"/>
    <x v="4"/>
  </r>
  <r>
    <s v="Sistema de Compensação"/>
    <x v="1"/>
    <x v="2"/>
    <x v="3"/>
    <x v="2"/>
    <x v="0"/>
    <x v="1"/>
    <x v="2"/>
    <x v="8"/>
    <n v="0"/>
    <n v="0"/>
    <n v="0.10199999999999999"/>
    <n v="9.7919999999999993E-2"/>
    <n v="0.10199999999999999"/>
    <n v="9.7919999999999993E-2"/>
    <n v="0"/>
    <s v="CATIVO"/>
    <n v="0"/>
    <n v="0"/>
    <n v="16"/>
    <n v="47"/>
    <n v="0"/>
    <n v="1329.67"/>
    <n v="389.21"/>
    <m/>
    <n v="975.12024846292354"/>
    <n v="353.55100010229148"/>
    <n v="0"/>
    <n v="7.0130304000000008"/>
    <n v="0"/>
    <n v="5.4209786941460774"/>
    <x v="4"/>
  </r>
  <r>
    <s v="Regular"/>
    <x v="1"/>
    <x v="2"/>
    <x v="3"/>
    <x v="2"/>
    <x v="0"/>
    <x v="1"/>
    <x v="2"/>
    <x v="9"/>
    <n v="0"/>
    <n v="0"/>
    <n v="1.379"/>
    <n v="1.3238399999999999"/>
    <n v="1.379"/>
    <n v="1.3238399999999999"/>
    <n v="0"/>
    <s v="CATIVO"/>
    <n v="0"/>
    <n v="0"/>
    <n v="16"/>
    <n v="47"/>
    <n v="0"/>
    <n v="1329.67"/>
    <n v="389.21"/>
    <m/>
    <n v="975.12024846292354"/>
    <n v="353.55100010229148"/>
    <n v="0"/>
    <n v="94.813420800000173"/>
    <n v="0"/>
    <n v="73.289506070857385"/>
    <x v="4"/>
  </r>
  <r>
    <s v="Sistema de Compensação"/>
    <x v="1"/>
    <x v="2"/>
    <x v="3"/>
    <x v="2"/>
    <x v="0"/>
    <x v="1"/>
    <x v="2"/>
    <x v="9"/>
    <n v="0"/>
    <n v="0"/>
    <n v="6.9000000000000006E-2"/>
    <n v="6.6240000000000007E-2"/>
    <n v="6.9000000000000006E-2"/>
    <n v="6.6240000000000007E-2"/>
    <n v="0"/>
    <s v="CATIVO"/>
    <n v="0"/>
    <n v="0"/>
    <n v="16"/>
    <n v="47"/>
    <n v="0"/>
    <n v="1329.67"/>
    <n v="389.21"/>
    <m/>
    <n v="975.12024846292354"/>
    <n v="353.55100010229148"/>
    <n v="0"/>
    <n v="4.7441087999999976"/>
    <n v="0"/>
    <n v="3.6671326460399918"/>
    <x v="4"/>
  </r>
  <r>
    <s v="Regular"/>
    <x v="1"/>
    <x v="2"/>
    <x v="3"/>
    <x v="2"/>
    <x v="0"/>
    <x v="1"/>
    <x v="2"/>
    <x v="10"/>
    <n v="0"/>
    <n v="0"/>
    <n v="2.895"/>
    <n v="2.7791999999999999"/>
    <n v="2.895"/>
    <n v="2.7791999999999999"/>
    <n v="0"/>
    <s v="CATIVO"/>
    <n v="0"/>
    <n v="0"/>
    <n v="16"/>
    <n v="47"/>
    <n v="0"/>
    <n v="1329.67"/>
    <n v="389.21"/>
    <m/>
    <n v="975.12024846292354"/>
    <n v="353.55100010229148"/>
    <n v="0"/>
    <n v="199.04630400000022"/>
    <n v="0"/>
    <n v="153.86013058385205"/>
    <x v="4"/>
  </r>
  <r>
    <s v="Sistema de Compensação"/>
    <x v="1"/>
    <x v="2"/>
    <x v="3"/>
    <x v="2"/>
    <x v="0"/>
    <x v="1"/>
    <x v="2"/>
    <x v="10"/>
    <n v="0"/>
    <n v="0"/>
    <n v="0.08"/>
    <n v="7.6799999999999993E-2"/>
    <n v="0.08"/>
    <n v="7.6799999999999993E-2"/>
    <n v="0"/>
    <s v="CATIVO"/>
    <n v="0"/>
    <n v="0"/>
    <n v="16"/>
    <n v="47"/>
    <n v="0"/>
    <n v="1329.67"/>
    <n v="389.21"/>
    <m/>
    <n v="975.12024846292354"/>
    <n v="353.55100010229148"/>
    <n v="0"/>
    <n v="5.5004160000000146"/>
    <n v="0"/>
    <n v="4.2517479954086994"/>
    <x v="4"/>
  </r>
  <r>
    <s v="PROJETADO"/>
    <x v="1"/>
    <x v="2"/>
    <x v="3"/>
    <x v="2"/>
    <x v="0"/>
    <x v="1"/>
    <x v="2"/>
    <x v="11"/>
    <n v="0"/>
    <n v="0"/>
    <n v="2.895"/>
    <n v="2.7791999999999999"/>
    <n v="2.895"/>
    <n v="2.7791999999999999"/>
    <n v="0"/>
    <s v="CATIVO"/>
    <n v="0"/>
    <n v="0"/>
    <n v="16"/>
    <n v="47"/>
    <n v="0"/>
    <n v="1329.67"/>
    <n v="389.21"/>
    <m/>
    <n v="975.12024846292354"/>
    <n v="353.55100010229148"/>
    <n v="0"/>
    <n v="199.04630400000022"/>
    <n v="0"/>
    <n v="153.86013058385205"/>
    <x v="4"/>
  </r>
  <r>
    <s v="PROJETADO"/>
    <x v="1"/>
    <x v="2"/>
    <x v="3"/>
    <x v="2"/>
    <x v="0"/>
    <x v="1"/>
    <x v="2"/>
    <x v="11"/>
    <n v="0"/>
    <n v="0"/>
    <n v="0.08"/>
    <n v="7.6799999999999993E-2"/>
    <n v="0.08"/>
    <n v="7.6799999999999993E-2"/>
    <n v="0"/>
    <s v="CATIVO"/>
    <n v="0"/>
    <n v="0"/>
    <n v="16"/>
    <n v="47"/>
    <n v="0"/>
    <n v="1329.67"/>
    <n v="389.21"/>
    <m/>
    <n v="975.12024846292354"/>
    <n v="353.55100010229148"/>
    <n v="0"/>
    <n v="5.5004160000000146"/>
    <n v="0"/>
    <n v="4.2517479954086994"/>
    <x v="4"/>
  </r>
  <r>
    <s v="Regular"/>
    <x v="1"/>
    <x v="2"/>
    <x v="3"/>
    <x v="0"/>
    <x v="0"/>
    <x v="1"/>
    <x v="1"/>
    <x v="0"/>
    <n v="0"/>
    <n v="0"/>
    <n v="60.76"/>
    <n v="58.329599999999999"/>
    <n v="60.76"/>
    <n v="58.329599999999999"/>
    <n v="0"/>
    <s v="CATIVO"/>
    <n v="0"/>
    <n v="0"/>
    <n v="14"/>
    <n v="42"/>
    <n v="0"/>
    <n v="78.680000000000007"/>
    <n v="246.3"/>
    <m/>
    <n v="100.0658904363724"/>
    <n v="219.40364509824883"/>
    <n v="0"/>
    <n v="789.8313919999996"/>
    <n v="0"/>
    <n v="776.43875916334309"/>
    <x v="4"/>
  </r>
  <r>
    <s v="Regular"/>
    <x v="1"/>
    <x v="2"/>
    <x v="3"/>
    <x v="0"/>
    <x v="0"/>
    <x v="1"/>
    <x v="1"/>
    <x v="1"/>
    <n v="0"/>
    <n v="0"/>
    <n v="38.04"/>
    <n v="36.5184"/>
    <n v="38.04"/>
    <n v="36.5184"/>
    <n v="0"/>
    <s v="CATIVO"/>
    <n v="0"/>
    <n v="0"/>
    <n v="14"/>
    <n v="42"/>
    <n v="0"/>
    <n v="78.680000000000007"/>
    <n v="246.3"/>
    <m/>
    <n v="100.0658904363724"/>
    <n v="219.40364509824883"/>
    <n v="0"/>
    <n v="494.48956799999985"/>
    <n v="0"/>
    <n v="486.10484526947948"/>
    <x v="4"/>
  </r>
  <r>
    <s v="Regular"/>
    <x v="1"/>
    <x v="2"/>
    <x v="3"/>
    <x v="0"/>
    <x v="0"/>
    <x v="1"/>
    <x v="1"/>
    <x v="2"/>
    <n v="0"/>
    <n v="0"/>
    <n v="37.301000000000002"/>
    <n v="35.808959999999999"/>
    <n v="37.301000000000002"/>
    <n v="35.808959999999999"/>
    <n v="0"/>
    <s v="CATIVO"/>
    <n v="0"/>
    <n v="0"/>
    <n v="14"/>
    <n v="42"/>
    <n v="0"/>
    <n v="78.680000000000007"/>
    <n v="246.3"/>
    <m/>
    <n v="100.0658904363724"/>
    <n v="219.40364509824883"/>
    <n v="0"/>
    <n v="484.88315920000093"/>
    <n v="0"/>
    <n v="476.66132579907719"/>
    <x v="4"/>
  </r>
  <r>
    <s v="Regular"/>
    <x v="1"/>
    <x v="2"/>
    <x v="3"/>
    <x v="0"/>
    <x v="0"/>
    <x v="1"/>
    <x v="1"/>
    <x v="3"/>
    <n v="0"/>
    <n v="0"/>
    <n v="60.843000000000004"/>
    <n v="58.409280000000003"/>
    <n v="60.843000000000004"/>
    <n v="58.409280000000003"/>
    <n v="0"/>
    <s v="CATIVO"/>
    <n v="0"/>
    <n v="0"/>
    <n v="14"/>
    <n v="42"/>
    <n v="0"/>
    <n v="78.680000000000007"/>
    <n v="246.3"/>
    <m/>
    <n v="100.0658904363724"/>
    <n v="219.40364509824883"/>
    <n v="0"/>
    <n v="790.91032560000031"/>
    <n v="0"/>
    <n v="777.49939802131871"/>
    <x v="4"/>
  </r>
  <r>
    <s v="Regular"/>
    <x v="1"/>
    <x v="2"/>
    <x v="3"/>
    <x v="0"/>
    <x v="0"/>
    <x v="1"/>
    <x v="1"/>
    <x v="4"/>
    <n v="0"/>
    <n v="0"/>
    <n v="113.77"/>
    <n v="109.2192"/>
    <n v="113.77"/>
    <n v="109.2192"/>
    <n v="0"/>
    <s v="CATIVO"/>
    <n v="0"/>
    <n v="0"/>
    <n v="14"/>
    <n v="42"/>
    <n v="0"/>
    <n v="78.680000000000007"/>
    <n v="246.3"/>
    <m/>
    <n v="100.0658904363724"/>
    <n v="219.40364509824883"/>
    <n v="0"/>
    <n v="1478.9189839999985"/>
    <n v="0"/>
    <n v="1453.8419623109528"/>
    <x v="4"/>
  </r>
  <r>
    <s v="Regular"/>
    <x v="1"/>
    <x v="2"/>
    <x v="3"/>
    <x v="0"/>
    <x v="0"/>
    <x v="1"/>
    <x v="1"/>
    <x v="5"/>
    <n v="0"/>
    <n v="0"/>
    <n v="60.024999999999999"/>
    <n v="57.624000000000002"/>
    <n v="60.024999999999999"/>
    <n v="57.624000000000002"/>
    <n v="0"/>
    <s v="CATIVO"/>
    <n v="0"/>
    <n v="0"/>
    <n v="14"/>
    <n v="42"/>
    <n v="0"/>
    <n v="78.680000000000007"/>
    <n v="246.3"/>
    <m/>
    <n v="100.0658904363724"/>
    <n v="219.40364509824883"/>
    <n v="0"/>
    <n v="780.27697999999884"/>
    <n v="0"/>
    <n v="767.04635481862431"/>
    <x v="4"/>
  </r>
  <r>
    <s v="Regular"/>
    <x v="1"/>
    <x v="2"/>
    <x v="3"/>
    <x v="0"/>
    <x v="0"/>
    <x v="1"/>
    <x v="1"/>
    <x v="6"/>
    <n v="0"/>
    <n v="0"/>
    <n v="72.953999999999994"/>
    <n v="70.035839999999993"/>
    <n v="72.953999999999994"/>
    <n v="70.035839999999993"/>
    <n v="0"/>
    <s v="CATIVO"/>
    <n v="0"/>
    <n v="0"/>
    <n v="14"/>
    <n v="42"/>
    <n v="0"/>
    <n v="78.680000000000007"/>
    <n v="246.3"/>
    <m/>
    <n v="100.0658904363724"/>
    <n v="219.40364509824883"/>
    <n v="0"/>
    <n v="948.34363680000013"/>
    <n v="0"/>
    <n v="932.26321981571039"/>
    <x v="4"/>
  </r>
  <r>
    <s v="Refaturamento - Regular"/>
    <x v="1"/>
    <x v="2"/>
    <x v="3"/>
    <x v="0"/>
    <x v="0"/>
    <x v="1"/>
    <x v="1"/>
    <x v="6"/>
    <n v="0"/>
    <n v="0"/>
    <n v="91.900999999999996"/>
    <n v="88.224959999999996"/>
    <n v="91.900999999999996"/>
    <n v="88.224959999999996"/>
    <n v="0"/>
    <s v="CATIVO"/>
    <n v="0"/>
    <n v="0"/>
    <n v="14"/>
    <n v="42"/>
    <n v="0"/>
    <n v="78.680000000000007"/>
    <n v="246.3"/>
    <m/>
    <n v="100.0658904363724"/>
    <n v="219.40364509824883"/>
    <n v="0"/>
    <n v="1194.6394792000003"/>
    <n v="0"/>
    <n v="1174.3827914066892"/>
    <x v="4"/>
  </r>
  <r>
    <s v="Regular"/>
    <x v="1"/>
    <x v="2"/>
    <x v="3"/>
    <x v="0"/>
    <x v="0"/>
    <x v="1"/>
    <x v="1"/>
    <x v="7"/>
    <n v="0"/>
    <n v="0"/>
    <n v="44.546999999999997"/>
    <n v="42.765120000000003"/>
    <n v="44.546999999999997"/>
    <n v="42.765120000000003"/>
    <n v="0"/>
    <s v="CATIVO"/>
    <n v="0"/>
    <n v="0"/>
    <n v="14"/>
    <n v="42"/>
    <n v="0"/>
    <n v="78.680000000000007"/>
    <n v="246.3"/>
    <m/>
    <n v="100.0658904363724"/>
    <n v="219.40364509824883"/>
    <n v="0"/>
    <n v="579.07536239999808"/>
    <n v="0"/>
    <n v="569.25637597842888"/>
    <x v="4"/>
  </r>
  <r>
    <s v="Regular"/>
    <x v="1"/>
    <x v="2"/>
    <x v="3"/>
    <x v="0"/>
    <x v="0"/>
    <x v="1"/>
    <x v="1"/>
    <x v="8"/>
    <n v="0"/>
    <n v="0"/>
    <n v="70.852999999999994"/>
    <n v="68.018879999999996"/>
    <n v="70.852999999999994"/>
    <n v="68.018879999999996"/>
    <n v="0"/>
    <s v="CATIVO"/>
    <n v="0"/>
    <n v="0"/>
    <n v="14"/>
    <n v="42"/>
    <n v="0"/>
    <n v="78.680000000000007"/>
    <n v="246.3"/>
    <m/>
    <n v="100.0658904363724"/>
    <n v="219.40364509824883"/>
    <n v="0"/>
    <n v="921.0323175999996"/>
    <n v="0"/>
    <n v="905.4150000493803"/>
    <x v="4"/>
  </r>
  <r>
    <s v="Regular"/>
    <x v="1"/>
    <x v="2"/>
    <x v="3"/>
    <x v="0"/>
    <x v="0"/>
    <x v="1"/>
    <x v="1"/>
    <x v="9"/>
    <n v="0"/>
    <n v="0"/>
    <n v="154.92699999999999"/>
    <n v="148.72991999999999"/>
    <n v="154.92699999999999"/>
    <n v="148.72991999999999"/>
    <n v="0"/>
    <s v="CATIVO"/>
    <n v="0"/>
    <n v="0"/>
    <n v="14"/>
    <n v="42"/>
    <n v="0"/>
    <n v="78.680000000000007"/>
    <n v="246.3"/>
    <m/>
    <n v="100.0658904363724"/>
    <n v="219.40364509824883"/>
    <n v="0"/>
    <n v="2013.9270584000001"/>
    <n v="0"/>
    <n v="1979.7782692708906"/>
    <x v="4"/>
  </r>
  <r>
    <s v="Regular"/>
    <x v="1"/>
    <x v="2"/>
    <x v="3"/>
    <x v="0"/>
    <x v="0"/>
    <x v="1"/>
    <x v="1"/>
    <x v="10"/>
    <n v="0"/>
    <n v="0"/>
    <n v="77.64"/>
    <n v="74.534400000000005"/>
    <n v="77.64"/>
    <n v="74.534400000000005"/>
    <n v="0"/>
    <s v="CATIVO"/>
    <n v="0"/>
    <n v="0"/>
    <n v="14"/>
    <n v="42"/>
    <n v="0"/>
    <n v="78.680000000000007"/>
    <n v="246.3"/>
    <m/>
    <n v="100.0658904363724"/>
    <n v="219.40364509824883"/>
    <n v="0"/>
    <n v="1009.2578879999986"/>
    <n v="0"/>
    <n v="992.14458955631824"/>
    <x v="4"/>
  </r>
  <r>
    <s v="PROJETADO"/>
    <x v="1"/>
    <x v="2"/>
    <x v="3"/>
    <x v="0"/>
    <x v="0"/>
    <x v="1"/>
    <x v="1"/>
    <x v="11"/>
    <n v="0"/>
    <n v="0"/>
    <n v="77.64"/>
    <n v="74.534400000000005"/>
    <n v="77.64"/>
    <n v="74.534400000000005"/>
    <n v="0"/>
    <s v="CATIVO"/>
    <n v="0"/>
    <n v="0"/>
    <n v="14"/>
    <n v="42"/>
    <n v="0"/>
    <n v="78.680000000000007"/>
    <n v="246.3"/>
    <m/>
    <n v="100.0658904363724"/>
    <n v="219.40364509824883"/>
    <n v="0"/>
    <n v="1009.2578879999986"/>
    <n v="0"/>
    <n v="992.14458955631824"/>
    <x v="4"/>
  </r>
  <r>
    <s v="Regular"/>
    <x v="1"/>
    <x v="2"/>
    <x v="3"/>
    <x v="0"/>
    <x v="0"/>
    <x v="1"/>
    <x v="0"/>
    <x v="0"/>
    <n v="553"/>
    <n v="530.88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25.58880000000005"/>
    <n v="0"/>
    <n v="303.86789606838863"/>
    <n v="0"/>
    <x v="4"/>
  </r>
  <r>
    <s v="Regular"/>
    <x v="1"/>
    <x v="2"/>
    <x v="3"/>
    <x v="0"/>
    <x v="0"/>
    <x v="1"/>
    <x v="0"/>
    <x v="1"/>
    <n v="564"/>
    <n v="541.44000000000005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34.05439999999891"/>
    <n v="0"/>
    <n v="309.9122845977771"/>
    <n v="0"/>
    <x v="4"/>
  </r>
  <r>
    <s v="Regular"/>
    <x v="1"/>
    <x v="2"/>
    <x v="3"/>
    <x v="0"/>
    <x v="0"/>
    <x v="1"/>
    <x v="0"/>
    <x v="2"/>
    <n v="549"/>
    <n v="527.04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22.51040000000069"/>
    <n v="0"/>
    <n v="301.6699366031566"/>
    <n v="0"/>
    <x v="4"/>
  </r>
  <r>
    <s v="Regular"/>
    <x v="1"/>
    <x v="2"/>
    <x v="3"/>
    <x v="0"/>
    <x v="0"/>
    <x v="1"/>
    <x v="0"/>
    <x v="3"/>
    <n v="561"/>
    <n v="538.55999999999995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31.74560000000099"/>
    <n v="0"/>
    <n v="308.26381499885423"/>
    <n v="0"/>
    <x v="4"/>
  </r>
  <r>
    <s v="Regular"/>
    <x v="1"/>
    <x v="2"/>
    <x v="3"/>
    <x v="0"/>
    <x v="0"/>
    <x v="1"/>
    <x v="0"/>
    <x v="4"/>
    <n v="658"/>
    <n v="631.67999999999995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506.39680000000089"/>
    <n v="0"/>
    <n v="361.56433203074153"/>
    <n v="0"/>
    <x v="4"/>
  </r>
  <r>
    <s v="Regular"/>
    <x v="1"/>
    <x v="2"/>
    <x v="3"/>
    <x v="0"/>
    <x v="0"/>
    <x v="1"/>
    <x v="0"/>
    <x v="5"/>
    <n v="584"/>
    <n v="560.64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49.44640000000021"/>
    <n v="0"/>
    <n v="320.90208192394039"/>
    <n v="0"/>
    <x v="4"/>
  </r>
  <r>
    <s v="Regular"/>
    <x v="1"/>
    <x v="2"/>
    <x v="3"/>
    <x v="0"/>
    <x v="0"/>
    <x v="1"/>
    <x v="0"/>
    <x v="6"/>
    <n v="564"/>
    <n v="541.44000000000005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34.05439999999891"/>
    <n v="0"/>
    <n v="309.9122845977771"/>
    <n v="0"/>
    <x v="4"/>
  </r>
  <r>
    <s v="Refaturamento - Regular"/>
    <x v="1"/>
    <x v="2"/>
    <x v="3"/>
    <x v="0"/>
    <x v="0"/>
    <x v="1"/>
    <x v="0"/>
    <x v="6"/>
    <n v="1053"/>
    <n v="1010.88"/>
    <n v="0"/>
    <n v="0"/>
    <n v="0"/>
    <n v="0"/>
    <n v="0"/>
    <s v="CATIVO"/>
    <n v="0"/>
    <n v="18"/>
    <n v="0"/>
    <n v="0"/>
    <n v="19.239999999999998"/>
    <n v="0"/>
    <n v="0"/>
    <n v="13.737246657702919"/>
    <m/>
    <m/>
    <n v="810.38880000000006"/>
    <n v="0"/>
    <n v="578.61282922244698"/>
    <n v="0"/>
    <x v="4"/>
  </r>
  <r>
    <s v="Regular"/>
    <x v="1"/>
    <x v="2"/>
    <x v="3"/>
    <x v="0"/>
    <x v="0"/>
    <x v="1"/>
    <x v="0"/>
    <x v="7"/>
    <n v="461"/>
    <n v="442.56"/>
    <n v="0"/>
    <n v="0"/>
    <n v="0"/>
    <n v="0"/>
    <n v="4"/>
    <s v="CATIVO"/>
    <n v="0"/>
    <n v="18"/>
    <n v="0"/>
    <n v="0"/>
    <n v="19.239999999999998"/>
    <n v="0"/>
    <n v="0"/>
    <n v="13.737246657702919"/>
    <m/>
    <m/>
    <n v="354.78559999999993"/>
    <n v="0"/>
    <n v="253.31482836804179"/>
    <n v="0"/>
    <x v="4"/>
  </r>
  <r>
    <s v="Regular"/>
    <x v="1"/>
    <x v="2"/>
    <x v="3"/>
    <x v="0"/>
    <x v="0"/>
    <x v="1"/>
    <x v="0"/>
    <x v="8"/>
    <n v="526"/>
    <n v="504.96"/>
    <n v="0"/>
    <n v="0"/>
    <n v="0"/>
    <n v="0"/>
    <n v="4"/>
    <s v="CATIVO"/>
    <n v="0"/>
    <n v="18"/>
    <n v="0"/>
    <n v="0"/>
    <n v="19.239999999999998"/>
    <n v="0"/>
    <n v="0"/>
    <n v="13.737246657702919"/>
    <m/>
    <m/>
    <n v="404.80960000000039"/>
    <n v="0"/>
    <n v="289.0316696780697"/>
    <n v="0"/>
    <x v="4"/>
  </r>
  <r>
    <s v="Regular"/>
    <x v="1"/>
    <x v="2"/>
    <x v="3"/>
    <x v="0"/>
    <x v="0"/>
    <x v="1"/>
    <x v="0"/>
    <x v="9"/>
    <n v="554"/>
    <n v="531.84"/>
    <n v="0"/>
    <n v="0"/>
    <n v="0"/>
    <n v="0"/>
    <n v="4"/>
    <s v="CATIVO"/>
    <n v="0"/>
    <n v="18"/>
    <n v="0"/>
    <n v="0"/>
    <n v="19.239999999999998"/>
    <n v="0"/>
    <n v="0"/>
    <n v="13.737246657702919"/>
    <m/>
    <m/>
    <n v="426.35839999999934"/>
    <n v="0"/>
    <n v="304.41738593469626"/>
    <n v="0"/>
    <x v="4"/>
  </r>
  <r>
    <s v="Regular"/>
    <x v="1"/>
    <x v="2"/>
    <x v="3"/>
    <x v="0"/>
    <x v="0"/>
    <x v="1"/>
    <x v="0"/>
    <x v="10"/>
    <n v="599"/>
    <n v="575.04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60.99040000000065"/>
    <n v="0"/>
    <n v="329.14442991856242"/>
    <n v="0"/>
    <x v="4"/>
  </r>
  <r>
    <s v="PROJETADO"/>
    <x v="1"/>
    <x v="2"/>
    <x v="3"/>
    <x v="0"/>
    <x v="0"/>
    <x v="1"/>
    <x v="0"/>
    <x v="11"/>
    <n v="599"/>
    <n v="575.04"/>
    <n v="0"/>
    <n v="0"/>
    <n v="0"/>
    <n v="0"/>
    <n v="5"/>
    <s v="CATIVO"/>
    <n v="0"/>
    <n v="18"/>
    <n v="0"/>
    <n v="0"/>
    <n v="19.239999999999998"/>
    <n v="0"/>
    <n v="0"/>
    <n v="13.737246657702919"/>
    <m/>
    <m/>
    <n v="460.99040000000065"/>
    <n v="0"/>
    <n v="329.14442991856242"/>
    <n v="0"/>
    <x v="4"/>
  </r>
  <r>
    <s v="Regular"/>
    <x v="1"/>
    <x v="2"/>
    <x v="3"/>
    <x v="0"/>
    <x v="0"/>
    <x v="1"/>
    <x v="2"/>
    <x v="0"/>
    <n v="0"/>
    <n v="0"/>
    <n v="5.2389999999999999"/>
    <n v="5.0294400000000001"/>
    <n v="5.2389999999999999"/>
    <n v="5.0294400000000001"/>
    <n v="0"/>
    <s v="CATIVO"/>
    <n v="0"/>
    <n v="0"/>
    <n v="16"/>
    <n v="47"/>
    <n v="0"/>
    <n v="1329.67"/>
    <n v="389.21"/>
    <m/>
    <n v="975.12024846292354"/>
    <n v="353.55100010229148"/>
    <n v="0"/>
    <n v="360.20849279999959"/>
    <n v="0"/>
    <n v="278.43634684932613"/>
    <x v="4"/>
  </r>
  <r>
    <s v="Regular"/>
    <x v="1"/>
    <x v="2"/>
    <x v="3"/>
    <x v="0"/>
    <x v="0"/>
    <x v="1"/>
    <x v="2"/>
    <x v="1"/>
    <n v="0"/>
    <n v="0"/>
    <n v="4.5449999999999999"/>
    <n v="4.3632"/>
    <n v="4.5449999999999999"/>
    <n v="4.3632"/>
    <n v="0"/>
    <s v="CATIVO"/>
    <n v="0"/>
    <n v="0"/>
    <n v="16"/>
    <n v="47"/>
    <n v="0"/>
    <n v="1329.67"/>
    <n v="389.21"/>
    <m/>
    <n v="975.12024846292354"/>
    <n v="353.55100010229148"/>
    <n v="0"/>
    <n v="312.49238399999996"/>
    <n v="0"/>
    <n v="241.55243298915605"/>
    <x v="4"/>
  </r>
  <r>
    <s v="Regular"/>
    <x v="1"/>
    <x v="2"/>
    <x v="3"/>
    <x v="0"/>
    <x v="0"/>
    <x v="1"/>
    <x v="2"/>
    <x v="2"/>
    <n v="0"/>
    <n v="0"/>
    <n v="4.774"/>
    <n v="4.5830399999999996"/>
    <n v="4.774"/>
    <n v="4.5830399999999996"/>
    <n v="0"/>
    <s v="CATIVO"/>
    <n v="0"/>
    <n v="0"/>
    <n v="16"/>
    <n v="47"/>
    <n v="0"/>
    <n v="1329.67"/>
    <n v="389.21"/>
    <m/>
    <n v="975.12024846292354"/>
    <n v="353.55100010229148"/>
    <n v="0"/>
    <n v="328.23732480000081"/>
    <n v="0"/>
    <n v="253.72306162601407"/>
    <x v="4"/>
  </r>
  <r>
    <s v="Regular"/>
    <x v="1"/>
    <x v="2"/>
    <x v="3"/>
    <x v="0"/>
    <x v="0"/>
    <x v="1"/>
    <x v="2"/>
    <x v="3"/>
    <n v="0"/>
    <n v="0"/>
    <n v="8.2390000000000008"/>
    <n v="7.90944"/>
    <n v="8.2390000000000008"/>
    <n v="7.90944"/>
    <n v="0"/>
    <s v="CATIVO"/>
    <n v="0"/>
    <n v="0"/>
    <n v="16"/>
    <n v="47"/>
    <n v="0"/>
    <n v="1329.67"/>
    <n v="389.21"/>
    <m/>
    <n v="975.12024846292354"/>
    <n v="353.55100010229148"/>
    <n v="0"/>
    <n v="566.47409280000124"/>
    <n v="0"/>
    <n v="437.87689667715324"/>
    <x v="4"/>
  </r>
  <r>
    <s v="Regular"/>
    <x v="1"/>
    <x v="2"/>
    <x v="3"/>
    <x v="0"/>
    <x v="0"/>
    <x v="1"/>
    <x v="2"/>
    <x v="4"/>
    <n v="0"/>
    <n v="0"/>
    <n v="11.343999999999999"/>
    <n v="10.89024"/>
    <n v="11.343999999999999"/>
    <n v="10.89024"/>
    <n v="0"/>
    <s v="CATIVO"/>
    <n v="0"/>
    <n v="0"/>
    <n v="16"/>
    <n v="47"/>
    <n v="0"/>
    <n v="1329.67"/>
    <n v="389.21"/>
    <m/>
    <n v="975.12024846292354"/>
    <n v="353.55100010229148"/>
    <n v="0"/>
    <n v="779.95898879999845"/>
    <n v="0"/>
    <n v="602.89786574895072"/>
    <x v="4"/>
  </r>
  <r>
    <s v="Regular"/>
    <x v="1"/>
    <x v="2"/>
    <x v="3"/>
    <x v="0"/>
    <x v="0"/>
    <x v="1"/>
    <x v="2"/>
    <x v="5"/>
    <n v="0"/>
    <n v="0"/>
    <n v="7.3520000000000003"/>
    <n v="7.0579200000000002"/>
    <n v="7.3520000000000003"/>
    <n v="7.0579200000000002"/>
    <n v="0"/>
    <s v="CATIVO"/>
    <n v="0"/>
    <n v="0"/>
    <n v="16"/>
    <n v="47"/>
    <n v="0"/>
    <n v="1329.67"/>
    <n v="389.21"/>
    <m/>
    <n v="975.12024846292354"/>
    <n v="353.55100010229148"/>
    <n v="0"/>
    <n v="505.48823040000025"/>
    <n v="0"/>
    <n v="390.73564077805855"/>
    <x v="4"/>
  </r>
  <r>
    <s v="Regular"/>
    <x v="1"/>
    <x v="2"/>
    <x v="3"/>
    <x v="0"/>
    <x v="0"/>
    <x v="1"/>
    <x v="2"/>
    <x v="6"/>
    <n v="0"/>
    <n v="0"/>
    <n v="9.4760000000000009"/>
    <n v="9.0969599999999993"/>
    <n v="9.4760000000000009"/>
    <n v="9.0969599999999993"/>
    <n v="0"/>
    <s v="CATIVO"/>
    <n v="0"/>
    <n v="0"/>
    <n v="16"/>
    <n v="47"/>
    <n v="0"/>
    <n v="1329.67"/>
    <n v="389.21"/>
    <m/>
    <n v="975.12024846292354"/>
    <n v="353.55100010229148"/>
    <n v="0"/>
    <n v="651.52427520000276"/>
    <n v="0"/>
    <n v="503.61955005616119"/>
    <x v="4"/>
  </r>
  <r>
    <s v="Refaturamento - Regular"/>
    <x v="1"/>
    <x v="2"/>
    <x v="3"/>
    <x v="0"/>
    <x v="0"/>
    <x v="1"/>
    <x v="2"/>
    <x v="6"/>
    <n v="0"/>
    <n v="0"/>
    <n v="8.0869999999999997"/>
    <n v="7.7635199999999998"/>
    <n v="8.0869999999999997"/>
    <n v="7.7635199999999998"/>
    <n v="0"/>
    <s v="CATIVO"/>
    <n v="0"/>
    <n v="0"/>
    <n v="16"/>
    <n v="47"/>
    <n v="0"/>
    <n v="1329.67"/>
    <n v="389.21"/>
    <m/>
    <n v="975.12024846292354"/>
    <n v="353.55100010229148"/>
    <n v="0"/>
    <n v="556.02330240000003"/>
    <n v="0"/>
    <n v="429.79857548587574"/>
    <x v="4"/>
  </r>
  <r>
    <s v="Regular"/>
    <x v="1"/>
    <x v="2"/>
    <x v="3"/>
    <x v="0"/>
    <x v="0"/>
    <x v="1"/>
    <x v="2"/>
    <x v="7"/>
    <n v="0"/>
    <n v="0"/>
    <n v="5.8570000000000002"/>
    <n v="5.6227200000000002"/>
    <n v="5.8570000000000002"/>
    <n v="5.6227200000000002"/>
    <n v="0"/>
    <s v="CATIVO"/>
    <n v="0"/>
    <n v="0"/>
    <n v="16"/>
    <n v="47"/>
    <n v="0"/>
    <n v="1329.67"/>
    <n v="389.21"/>
    <m/>
    <n v="975.12024846292354"/>
    <n v="353.55100010229148"/>
    <n v="0"/>
    <n v="402.69920640000009"/>
    <n v="0"/>
    <n v="311.28110011385866"/>
    <x v="4"/>
  </r>
  <r>
    <s v="Regular"/>
    <x v="1"/>
    <x v="2"/>
    <x v="3"/>
    <x v="0"/>
    <x v="0"/>
    <x v="1"/>
    <x v="2"/>
    <x v="8"/>
    <n v="0"/>
    <n v="0"/>
    <n v="9.6010000000000009"/>
    <n v="9.2169600000000003"/>
    <n v="9.6010000000000009"/>
    <n v="9.2169600000000003"/>
    <n v="0"/>
    <s v="CATIVO"/>
    <n v="0"/>
    <n v="0"/>
    <n v="16"/>
    <n v="47"/>
    <n v="0"/>
    <n v="1329.67"/>
    <n v="389.21"/>
    <m/>
    <n v="975.12024846292354"/>
    <n v="353.55100010229148"/>
    <n v="0"/>
    <n v="660.11867520000101"/>
    <n v="0"/>
    <n v="510.26290629898597"/>
    <x v="4"/>
  </r>
  <r>
    <s v="Regular"/>
    <x v="1"/>
    <x v="2"/>
    <x v="3"/>
    <x v="0"/>
    <x v="0"/>
    <x v="1"/>
    <x v="2"/>
    <x v="9"/>
    <n v="0"/>
    <n v="0"/>
    <n v="14.144"/>
    <n v="13.578239999999999"/>
    <n v="14.144"/>
    <n v="13.578239999999999"/>
    <n v="0"/>
    <s v="CATIVO"/>
    <n v="0"/>
    <n v="0"/>
    <n v="16"/>
    <n v="47"/>
    <n v="0"/>
    <n v="1329.67"/>
    <n v="389.21"/>
    <m/>
    <n v="975.12024846292354"/>
    <n v="353.55100010229148"/>
    <n v="0"/>
    <n v="972.47354880000159"/>
    <n v="0"/>
    <n v="751.70904558825725"/>
    <x v="4"/>
  </r>
  <r>
    <s v="Regular"/>
    <x v="1"/>
    <x v="2"/>
    <x v="3"/>
    <x v="0"/>
    <x v="0"/>
    <x v="1"/>
    <x v="2"/>
    <x v="10"/>
    <n v="0"/>
    <n v="0"/>
    <n v="10.738"/>
    <n v="10.308479999999999"/>
    <n v="10.738"/>
    <n v="10.308479999999999"/>
    <n v="0"/>
    <s v="CATIVO"/>
    <n v="0"/>
    <n v="0"/>
    <n v="16"/>
    <n v="47"/>
    <n v="0"/>
    <n v="1329.67"/>
    <n v="389.21"/>
    <m/>
    <n v="975.12024846292354"/>
    <n v="353.55100010229148"/>
    <n v="0"/>
    <n v="738.29333760000031"/>
    <n v="0"/>
    <n v="570.69087468373129"/>
    <x v="4"/>
  </r>
  <r>
    <s v="PROJETADO"/>
    <x v="1"/>
    <x v="2"/>
    <x v="3"/>
    <x v="0"/>
    <x v="0"/>
    <x v="1"/>
    <x v="2"/>
    <x v="11"/>
    <n v="0"/>
    <n v="0"/>
    <n v="10.738"/>
    <n v="10.308479999999999"/>
    <n v="10.738"/>
    <n v="10.308479999999999"/>
    <n v="0"/>
    <s v="CATIVO"/>
    <n v="0"/>
    <n v="0"/>
    <n v="16"/>
    <n v="47"/>
    <n v="0"/>
    <n v="1329.67"/>
    <n v="389.21"/>
    <m/>
    <n v="975.12024846292354"/>
    <n v="353.55100010229148"/>
    <n v="0"/>
    <n v="738.29333760000031"/>
    <n v="0"/>
    <n v="570.69087468373129"/>
    <x v="4"/>
  </r>
  <r>
    <s v="Regular"/>
    <x v="2"/>
    <x v="3"/>
    <x v="4"/>
    <x v="3"/>
    <x v="0"/>
    <x v="1"/>
    <x v="0"/>
    <x v="0"/>
    <n v="0"/>
    <n v="0"/>
    <n v="5560.54"/>
    <n v="5560.54"/>
    <n v="5560.54"/>
    <n v="5560.54"/>
    <n v="28902"/>
    <s v="CATIVO"/>
    <n v="0"/>
    <n v="0"/>
    <n v="27"/>
    <n v="52"/>
    <n v="0"/>
    <n v="324.5"/>
    <n v="258.20999999999998"/>
    <m/>
    <n v="341.44619898086484"/>
    <n v="230.58259134858577"/>
    <n v="0"/>
    <n v="0"/>
    <n v="0"/>
    <n v="0"/>
    <x v="5"/>
  </r>
  <r>
    <s v="Regular"/>
    <x v="2"/>
    <x v="3"/>
    <x v="4"/>
    <x v="4"/>
    <x v="0"/>
    <x v="1"/>
    <x v="0"/>
    <x v="0"/>
    <n v="0"/>
    <n v="0"/>
    <n v="20.823"/>
    <n v="20.823"/>
    <n v="20.823"/>
    <n v="20.823"/>
    <n v="22"/>
    <s v="CATIVO"/>
    <n v="0"/>
    <n v="0"/>
    <n v="8"/>
    <n v="50"/>
    <n v="0"/>
    <n v="87.14"/>
    <n v="90.37"/>
    <m/>
    <n v="82.3224508377875"/>
    <n v="80.703906972005015"/>
    <n v="0"/>
    <n v="6864.9266399999988"/>
    <n v="0"/>
    <n v="6304.4388618218609"/>
    <x v="6"/>
  </r>
  <r>
    <s v="Regular"/>
    <x v="2"/>
    <x v="3"/>
    <x v="4"/>
    <x v="4"/>
    <x v="0"/>
    <x v="1"/>
    <x v="0"/>
    <x v="1"/>
    <n v="0"/>
    <n v="0"/>
    <n v="20.88"/>
    <n v="20.88"/>
    <n v="20.88"/>
    <n v="20.88"/>
    <n v="19"/>
    <s v="CATIVO"/>
    <n v="0"/>
    <n v="0"/>
    <n v="8"/>
    <n v="50"/>
    <n v="0"/>
    <n v="87.14"/>
    <n v="90.37"/>
    <m/>
    <n v="82.3224508377875"/>
    <n v="80.703906972005015"/>
    <n v="0"/>
    <n v="6883.7183999999988"/>
    <n v="0"/>
    <n v="6321.6963662700118"/>
    <x v="6"/>
  </r>
  <r>
    <s v="Regular"/>
    <x v="2"/>
    <x v="3"/>
    <x v="4"/>
    <x v="4"/>
    <x v="0"/>
    <x v="1"/>
    <x v="0"/>
    <x v="2"/>
    <n v="0"/>
    <n v="0"/>
    <n v="20.85"/>
    <n v="20.85"/>
    <n v="20.85"/>
    <n v="20.85"/>
    <n v="22"/>
    <s v="CATIVO"/>
    <n v="0"/>
    <n v="0"/>
    <n v="8"/>
    <n v="50"/>
    <n v="0"/>
    <n v="87.14"/>
    <n v="90.37"/>
    <m/>
    <n v="82.3224508377875"/>
    <n v="80.703906972005015"/>
    <n v="0"/>
    <n v="6873.8279999999995"/>
    <n v="0"/>
    <n v="6312.6134691920388"/>
    <x v="6"/>
  </r>
  <r>
    <s v="Sistema de Compensação"/>
    <x v="2"/>
    <x v="3"/>
    <x v="4"/>
    <x v="4"/>
    <x v="0"/>
    <x v="1"/>
    <x v="0"/>
    <x v="2"/>
    <n v="0"/>
    <n v="0"/>
    <n v="2.3E-2"/>
    <n v="8.0499999999999999E-3"/>
    <n v="2.3E-2"/>
    <n v="8.0499999999999999E-3"/>
    <n v="0"/>
    <s v="CATIVO"/>
    <n v="0"/>
    <n v="0"/>
    <n v="8"/>
    <n v="50"/>
    <n v="0"/>
    <n v="87.14"/>
    <n v="90.37"/>
    <m/>
    <n v="82.3224508377875"/>
    <n v="80.703906972005015"/>
    <n v="0"/>
    <n v="10.236414499999999"/>
    <n v="0"/>
    <n v="9.400798475703251"/>
    <x v="6"/>
  </r>
  <r>
    <s v="Regular"/>
    <x v="2"/>
    <x v="3"/>
    <x v="4"/>
    <x v="4"/>
    <x v="0"/>
    <x v="1"/>
    <x v="0"/>
    <x v="3"/>
    <n v="0"/>
    <n v="0"/>
    <n v="21.12"/>
    <n v="21.12"/>
    <n v="21.12"/>
    <n v="21.12"/>
    <n v="18"/>
    <s v="CATIVO"/>
    <n v="0"/>
    <n v="0"/>
    <n v="8"/>
    <n v="50"/>
    <n v="0"/>
    <n v="87.14"/>
    <n v="90.37"/>
    <m/>
    <n v="82.3224508377875"/>
    <n v="80.703906972005015"/>
    <n v="0"/>
    <n v="6962.8415999999988"/>
    <n v="0"/>
    <n v="6394.3595428938061"/>
    <x v="6"/>
  </r>
  <r>
    <s v="Regular"/>
    <x v="2"/>
    <x v="3"/>
    <x v="4"/>
    <x v="4"/>
    <x v="0"/>
    <x v="1"/>
    <x v="0"/>
    <x v="4"/>
    <n v="0"/>
    <n v="0"/>
    <n v="21.367000000000001"/>
    <n v="21.367000000000001"/>
    <n v="21.367000000000001"/>
    <n v="21.367000000000001"/>
    <n v="21"/>
    <s v="CATIVO"/>
    <n v="0"/>
    <n v="0"/>
    <n v="8"/>
    <n v="50"/>
    <n v="0"/>
    <n v="87.14"/>
    <n v="90.37"/>
    <m/>
    <n v="82.3224508377875"/>
    <n v="80.703906972005015"/>
    <n v="0"/>
    <n v="7044.2725599999994"/>
    <n v="0"/>
    <n v="6469.1420621691259"/>
    <x v="6"/>
  </r>
  <r>
    <s v="Sistema de Compensação"/>
    <x v="2"/>
    <x v="3"/>
    <x v="4"/>
    <x v="4"/>
    <x v="0"/>
    <x v="1"/>
    <x v="0"/>
    <x v="4"/>
    <n v="0"/>
    <n v="0"/>
    <n v="0.03"/>
    <n v="1.0500000000000001E-2"/>
    <n v="0.03"/>
    <n v="1.0500000000000001E-2"/>
    <n v="0"/>
    <s v="CATIVO"/>
    <n v="0"/>
    <n v="0"/>
    <n v="8"/>
    <n v="50"/>
    <n v="0"/>
    <n v="87.14"/>
    <n v="90.37"/>
    <m/>
    <n v="82.3224508377875"/>
    <n v="80.703906972005015"/>
    <n v="0"/>
    <n v="13.351844999999997"/>
    <n v="0"/>
    <n v="12.261911055265108"/>
    <x v="6"/>
  </r>
  <r>
    <s v="Regular"/>
    <x v="2"/>
    <x v="3"/>
    <x v="4"/>
    <x v="4"/>
    <x v="0"/>
    <x v="1"/>
    <x v="0"/>
    <x v="5"/>
    <n v="0"/>
    <n v="0"/>
    <n v="21.33"/>
    <n v="21.33"/>
    <n v="21.33"/>
    <n v="21.33"/>
    <n v="15"/>
    <s v="CATIVO"/>
    <n v="0"/>
    <n v="0"/>
    <n v="8"/>
    <n v="50"/>
    <n v="0"/>
    <n v="87.14"/>
    <n v="90.37"/>
    <m/>
    <n v="82.3224508377875"/>
    <n v="80.703906972005015"/>
    <n v="0"/>
    <n v="7032.0743999999986"/>
    <n v="0"/>
    <n v="6457.9398224396236"/>
    <x v="6"/>
  </r>
  <r>
    <s v="Sistema de Compensação"/>
    <x v="2"/>
    <x v="3"/>
    <x v="4"/>
    <x v="4"/>
    <x v="0"/>
    <x v="1"/>
    <x v="0"/>
    <x v="5"/>
    <n v="0"/>
    <n v="0"/>
    <n v="1.7000000000000001E-2"/>
    <n v="5.9500000000000004E-3"/>
    <n v="1.7000000000000001E-2"/>
    <n v="5.9500000000000004E-3"/>
    <n v="0"/>
    <s v="CATIVO"/>
    <n v="0"/>
    <n v="0"/>
    <n v="8"/>
    <n v="50"/>
    <n v="0"/>
    <n v="87.14"/>
    <n v="90.37"/>
    <m/>
    <n v="82.3224508377875"/>
    <n v="80.703906972005015"/>
    <n v="0"/>
    <n v="7.5660454999999995"/>
    <n v="0"/>
    <n v="6.9484162646502288"/>
    <x v="6"/>
  </r>
  <r>
    <s v="Regular"/>
    <x v="2"/>
    <x v="3"/>
    <x v="4"/>
    <x v="4"/>
    <x v="0"/>
    <x v="1"/>
    <x v="0"/>
    <x v="6"/>
    <n v="0"/>
    <n v="0"/>
    <n v="21.36"/>
    <n v="21.36"/>
    <n v="21.36"/>
    <n v="21.36"/>
    <n v="15"/>
    <s v="CATIVO"/>
    <n v="0"/>
    <n v="0"/>
    <n v="8"/>
    <n v="50"/>
    <n v="0"/>
    <n v="87.14"/>
    <n v="90.37"/>
    <m/>
    <n v="82.3224508377875"/>
    <n v="80.703906972005015"/>
    <n v="0"/>
    <n v="7041.9647999999988"/>
    <n v="0"/>
    <n v="6467.0227195175985"/>
    <x v="6"/>
  </r>
  <r>
    <s v="Sistema de Compensação"/>
    <x v="2"/>
    <x v="3"/>
    <x v="4"/>
    <x v="4"/>
    <x v="0"/>
    <x v="1"/>
    <x v="0"/>
    <x v="6"/>
    <n v="0"/>
    <n v="0"/>
    <n v="0.03"/>
    <n v="1.0500000000000001E-2"/>
    <n v="0.03"/>
    <n v="1.0500000000000001E-2"/>
    <n v="0"/>
    <s v="CATIVO"/>
    <n v="0"/>
    <n v="0"/>
    <n v="8"/>
    <n v="50"/>
    <n v="0"/>
    <n v="87.14"/>
    <n v="90.37"/>
    <m/>
    <n v="82.3224508377875"/>
    <n v="80.703906972005015"/>
    <n v="0"/>
    <n v="13.351844999999997"/>
    <n v="0"/>
    <n v="12.261911055265108"/>
    <x v="6"/>
  </r>
  <r>
    <s v="Regular"/>
    <x v="2"/>
    <x v="3"/>
    <x v="4"/>
    <x v="4"/>
    <x v="0"/>
    <x v="1"/>
    <x v="0"/>
    <x v="7"/>
    <n v="0"/>
    <n v="0"/>
    <n v="21.393000000000001"/>
    <n v="21.393000000000001"/>
    <n v="21.393000000000001"/>
    <n v="21.393000000000001"/>
    <n v="15"/>
    <s v="CATIVO"/>
    <n v="0"/>
    <n v="0"/>
    <n v="8"/>
    <n v="50"/>
    <n v="0"/>
    <n v="87.14"/>
    <n v="90.37"/>
    <m/>
    <n v="82.3224508377875"/>
    <n v="80.703906972005015"/>
    <n v="0"/>
    <n v="7052.8442399999994"/>
    <n v="0"/>
    <n v="6477.0139063033703"/>
    <x v="6"/>
  </r>
  <r>
    <s v="Sistema de Compensação"/>
    <x v="2"/>
    <x v="3"/>
    <x v="4"/>
    <x v="4"/>
    <x v="0"/>
    <x v="1"/>
    <x v="0"/>
    <x v="7"/>
    <n v="0"/>
    <n v="0"/>
    <n v="0.03"/>
    <n v="1.0500000000000001E-2"/>
    <n v="0.03"/>
    <n v="1.0500000000000001E-2"/>
    <n v="0"/>
    <s v="CATIVO"/>
    <n v="0"/>
    <n v="0"/>
    <n v="8"/>
    <n v="50"/>
    <n v="0"/>
    <n v="87.14"/>
    <n v="90.37"/>
    <m/>
    <n v="82.3224508377875"/>
    <n v="80.703906972005015"/>
    <n v="0"/>
    <n v="13.351844999999997"/>
    <n v="0"/>
    <n v="12.261911055265108"/>
    <x v="6"/>
  </r>
  <r>
    <s v="Regular"/>
    <x v="2"/>
    <x v="3"/>
    <x v="4"/>
    <x v="4"/>
    <x v="0"/>
    <x v="1"/>
    <x v="0"/>
    <x v="8"/>
    <n v="0"/>
    <n v="0"/>
    <n v="21.81"/>
    <n v="21.81"/>
    <n v="21.81"/>
    <n v="21.81"/>
    <n v="27"/>
    <s v="CATIVO"/>
    <n v="0"/>
    <n v="0"/>
    <n v="8"/>
    <n v="50"/>
    <n v="0"/>
    <n v="87.14"/>
    <n v="90.37"/>
    <m/>
    <n v="82.3224508377875"/>
    <n v="80.703906972005015"/>
    <n v="0"/>
    <n v="7190.3207999999986"/>
    <n v="0"/>
    <n v="6603.2661756872103"/>
    <x v="6"/>
  </r>
  <r>
    <s v="Sistema de Compensação"/>
    <x v="2"/>
    <x v="3"/>
    <x v="4"/>
    <x v="4"/>
    <x v="0"/>
    <x v="1"/>
    <x v="0"/>
    <x v="8"/>
    <n v="0"/>
    <n v="0"/>
    <n v="0.03"/>
    <n v="1.0500000000000001E-2"/>
    <n v="0.03"/>
    <n v="1.0500000000000001E-2"/>
    <n v="0"/>
    <s v="CATIVO"/>
    <n v="0"/>
    <n v="0"/>
    <n v="8"/>
    <n v="50"/>
    <n v="0"/>
    <n v="87.14"/>
    <n v="90.37"/>
    <m/>
    <n v="82.3224508377875"/>
    <n v="80.703906972005015"/>
    <n v="0"/>
    <n v="13.351844999999997"/>
    <n v="0"/>
    <n v="12.261911055265108"/>
    <x v="6"/>
  </r>
  <r>
    <s v="Regular"/>
    <x v="2"/>
    <x v="3"/>
    <x v="4"/>
    <x v="4"/>
    <x v="0"/>
    <x v="1"/>
    <x v="0"/>
    <x v="9"/>
    <n v="0"/>
    <n v="0"/>
    <n v="22.26"/>
    <n v="22.26"/>
    <n v="22.26"/>
    <n v="22.26"/>
    <n v="21"/>
    <s v="CATIVO"/>
    <n v="0"/>
    <n v="0"/>
    <n v="8"/>
    <n v="50"/>
    <n v="0"/>
    <n v="87.14"/>
    <n v="90.37"/>
    <m/>
    <n v="82.3224508377875"/>
    <n v="80.703906972005015"/>
    <n v="0"/>
    <n v="7338.6767999999993"/>
    <n v="0"/>
    <n v="6739.5096318568239"/>
    <x v="6"/>
  </r>
  <r>
    <s v="Sistema de Compensação"/>
    <x v="2"/>
    <x v="3"/>
    <x v="4"/>
    <x v="4"/>
    <x v="0"/>
    <x v="1"/>
    <x v="0"/>
    <x v="9"/>
    <n v="0"/>
    <n v="0"/>
    <n v="0.03"/>
    <n v="1.0500000000000001E-2"/>
    <n v="0.03"/>
    <n v="1.0500000000000001E-2"/>
    <n v="0"/>
    <s v="CATIVO"/>
    <n v="0"/>
    <n v="0"/>
    <n v="8"/>
    <n v="50"/>
    <n v="0"/>
    <n v="87.14"/>
    <n v="90.37"/>
    <m/>
    <n v="82.3224508377875"/>
    <n v="80.703906972005015"/>
    <n v="0"/>
    <n v="13.351844999999997"/>
    <n v="0"/>
    <n v="12.261911055265108"/>
    <x v="6"/>
  </r>
  <r>
    <s v="Regular"/>
    <x v="2"/>
    <x v="3"/>
    <x v="4"/>
    <x v="4"/>
    <x v="0"/>
    <x v="1"/>
    <x v="0"/>
    <x v="10"/>
    <n v="0"/>
    <n v="0"/>
    <n v="22.341999999999999"/>
    <n v="22.341999999999999"/>
    <n v="22.341999999999999"/>
    <n v="22.341999999999999"/>
    <n v="26"/>
    <s v="CATIVO"/>
    <n v="0"/>
    <n v="0"/>
    <n v="8"/>
    <n v="50"/>
    <n v="0"/>
    <n v="87.14"/>
    <n v="90.37"/>
    <m/>
    <n v="82.3224508377875"/>
    <n v="80.703906972005015"/>
    <n v="0"/>
    <n v="7365.7105599999986"/>
    <n v="0"/>
    <n v="6764.3362172032857"/>
    <x v="6"/>
  </r>
  <r>
    <s v="Sistema de Compensação"/>
    <x v="2"/>
    <x v="3"/>
    <x v="4"/>
    <x v="4"/>
    <x v="0"/>
    <x v="1"/>
    <x v="0"/>
    <x v="10"/>
    <n v="0"/>
    <n v="0"/>
    <n v="0.03"/>
    <n v="1.0500000000000001E-2"/>
    <n v="0.03"/>
    <n v="1.0500000000000001E-2"/>
    <n v="0"/>
    <s v="CATIVO"/>
    <n v="0"/>
    <n v="0"/>
    <n v="8"/>
    <n v="50"/>
    <n v="0"/>
    <n v="87.14"/>
    <n v="90.37"/>
    <m/>
    <n v="82.3224508377875"/>
    <n v="80.703906972005015"/>
    <n v="0"/>
    <n v="13.351844999999997"/>
    <n v="0"/>
    <n v="12.261911055265108"/>
    <x v="6"/>
  </r>
  <r>
    <s v="PROJETADO"/>
    <x v="2"/>
    <x v="3"/>
    <x v="4"/>
    <x v="4"/>
    <x v="0"/>
    <x v="1"/>
    <x v="0"/>
    <x v="11"/>
    <n v="0"/>
    <n v="0"/>
    <n v="22.341999999999999"/>
    <n v="22.341999999999999"/>
    <n v="22.341999999999999"/>
    <n v="22.341999999999999"/>
    <n v="26"/>
    <s v="CATIVO"/>
    <n v="0"/>
    <n v="0"/>
    <n v="8"/>
    <n v="50"/>
    <n v="0"/>
    <n v="87.14"/>
    <n v="90.37"/>
    <m/>
    <n v="82.3224508377875"/>
    <n v="80.703906972005015"/>
    <n v="0"/>
    <n v="7365.7105599999986"/>
    <n v="0"/>
    <n v="6764.3362172032857"/>
    <x v="6"/>
  </r>
  <r>
    <s v="PROJETADO"/>
    <x v="2"/>
    <x v="3"/>
    <x v="4"/>
    <x v="4"/>
    <x v="0"/>
    <x v="1"/>
    <x v="0"/>
    <x v="11"/>
    <n v="0"/>
    <n v="0"/>
    <n v="0.03"/>
    <n v="1.0500000000000001E-2"/>
    <n v="0.03"/>
    <n v="1.0500000000000001E-2"/>
    <n v="0"/>
    <s v="CATIVO"/>
    <n v="0"/>
    <n v="0"/>
    <n v="8"/>
    <n v="50"/>
    <n v="0"/>
    <n v="87.14"/>
    <n v="90.37"/>
    <m/>
    <n v="82.3224508377875"/>
    <n v="80.703906972005015"/>
    <n v="0"/>
    <n v="13.351844999999997"/>
    <n v="0"/>
    <n v="12.261911055265108"/>
    <x v="6"/>
  </r>
  <r>
    <s v="Regular"/>
    <x v="2"/>
    <x v="3"/>
    <x v="4"/>
    <x v="5"/>
    <x v="0"/>
    <x v="1"/>
    <x v="0"/>
    <x v="0"/>
    <n v="0"/>
    <n v="0"/>
    <n v="42.869"/>
    <n v="42.869"/>
    <n v="42.869"/>
    <n v="42.869"/>
    <n v="142"/>
    <s v="CATIVO"/>
    <n v="0"/>
    <n v="0"/>
    <n v="28"/>
    <n v="53"/>
    <n v="0"/>
    <n v="149.38999999999999"/>
    <n v="154.93"/>
    <m/>
    <n v="141.12420143620713"/>
    <n v="138.34955480915144"/>
    <n v="0"/>
    <n v="8696.8340299999982"/>
    <n v="0"/>
    <n v="7987.1736376548552"/>
    <x v="6"/>
  </r>
  <r>
    <s v="Regular"/>
    <x v="2"/>
    <x v="3"/>
    <x v="4"/>
    <x v="5"/>
    <x v="0"/>
    <x v="1"/>
    <x v="0"/>
    <x v="1"/>
    <n v="0"/>
    <n v="0"/>
    <n v="43.503"/>
    <n v="43.503"/>
    <n v="43.503"/>
    <n v="43.503"/>
    <n v="139"/>
    <s v="CATIVO"/>
    <n v="0"/>
    <n v="0"/>
    <n v="28"/>
    <n v="53"/>
    <n v="0"/>
    <n v="149.38999999999999"/>
    <n v="154.93"/>
    <m/>
    <n v="141.12420143620713"/>
    <n v="138.34955480915144"/>
    <n v="0"/>
    <n v="8825.4536099999968"/>
    <n v="0"/>
    <n v="8105.2978786278927"/>
    <x v="6"/>
  </r>
  <r>
    <s v="Regular"/>
    <x v="2"/>
    <x v="3"/>
    <x v="4"/>
    <x v="5"/>
    <x v="0"/>
    <x v="1"/>
    <x v="0"/>
    <x v="2"/>
    <n v="0"/>
    <n v="0"/>
    <n v="43.853999999999999"/>
    <n v="43.853999999999999"/>
    <n v="43.853999999999999"/>
    <n v="43.853999999999999"/>
    <n v="134"/>
    <s v="CATIVO"/>
    <n v="0"/>
    <n v="0"/>
    <n v="28"/>
    <n v="53"/>
    <n v="0"/>
    <n v="149.38999999999999"/>
    <n v="154.93"/>
    <m/>
    <n v="141.12420143620713"/>
    <n v="138.34955480915144"/>
    <n v="0"/>
    <n v="8896.6609799999969"/>
    <n v="0"/>
    <n v="8170.6947375893069"/>
    <x v="6"/>
  </r>
  <r>
    <s v="Regular"/>
    <x v="2"/>
    <x v="3"/>
    <x v="4"/>
    <x v="5"/>
    <x v="0"/>
    <x v="1"/>
    <x v="0"/>
    <x v="3"/>
    <n v="0"/>
    <n v="0"/>
    <n v="44.758000000000003"/>
    <n v="44.758000000000003"/>
    <n v="44.758000000000003"/>
    <n v="44.758000000000003"/>
    <n v="133"/>
    <s v="CATIVO"/>
    <n v="0"/>
    <n v="0"/>
    <n v="28"/>
    <n v="53"/>
    <n v="0"/>
    <n v="149.38999999999999"/>
    <n v="154.93"/>
    <m/>
    <n v="141.12420143620713"/>
    <n v="138.34955480915144"/>
    <n v="0"/>
    <n v="9080.0554599999978"/>
    <n v="0"/>
    <n v="8339.1242546865105"/>
    <x v="6"/>
  </r>
  <r>
    <s v="Regular"/>
    <x v="2"/>
    <x v="3"/>
    <x v="4"/>
    <x v="5"/>
    <x v="0"/>
    <x v="1"/>
    <x v="0"/>
    <x v="4"/>
    <n v="0"/>
    <n v="0"/>
    <n v="45.768000000000001"/>
    <n v="45.768000000000001"/>
    <n v="45.768000000000001"/>
    <n v="45.768000000000001"/>
    <n v="111"/>
    <s v="CATIVO"/>
    <n v="0"/>
    <n v="0"/>
    <n v="28"/>
    <n v="53"/>
    <n v="0"/>
    <n v="149.38999999999999"/>
    <n v="154.93"/>
    <m/>
    <n v="141.12420143620713"/>
    <n v="138.34955480915144"/>
    <n v="0"/>
    <n v="9284.9541599999975"/>
    <n v="0"/>
    <n v="8527.3032505583851"/>
    <x v="6"/>
  </r>
  <r>
    <s v="Regular"/>
    <x v="2"/>
    <x v="3"/>
    <x v="4"/>
    <x v="5"/>
    <x v="0"/>
    <x v="1"/>
    <x v="0"/>
    <x v="5"/>
    <n v="0"/>
    <n v="0"/>
    <n v="46.033999999999999"/>
    <n v="46.033999999999999"/>
    <n v="46.033999999999999"/>
    <n v="46.033999999999999"/>
    <n v="115"/>
    <s v="CATIVO"/>
    <n v="0"/>
    <n v="0"/>
    <n v="28"/>
    <n v="53"/>
    <n v="0"/>
    <n v="149.38999999999999"/>
    <n v="154.93"/>
    <m/>
    <n v="141.12420143620713"/>
    <n v="138.34955480915144"/>
    <n v="0"/>
    <n v="9338.9175799999975"/>
    <n v="0"/>
    <n v="8576.8632633325615"/>
    <x v="6"/>
  </r>
  <r>
    <s v="Regular"/>
    <x v="2"/>
    <x v="3"/>
    <x v="4"/>
    <x v="5"/>
    <x v="0"/>
    <x v="1"/>
    <x v="0"/>
    <x v="6"/>
    <n v="0"/>
    <n v="0"/>
    <n v="46.927"/>
    <n v="46.927"/>
    <n v="46.927"/>
    <n v="46.927"/>
    <n v="83"/>
    <s v="CATIVO"/>
    <n v="0"/>
    <n v="0"/>
    <n v="28"/>
    <n v="53"/>
    <n v="0"/>
    <n v="149.38999999999999"/>
    <n v="154.93"/>
    <m/>
    <n v="141.12420143620713"/>
    <n v="138.34955480915144"/>
    <n v="0"/>
    <n v="9520.0804899999966"/>
    <n v="0"/>
    <n v="8743.2433062172986"/>
    <x v="6"/>
  </r>
  <r>
    <s v="Regular"/>
    <x v="2"/>
    <x v="3"/>
    <x v="4"/>
    <x v="5"/>
    <x v="0"/>
    <x v="1"/>
    <x v="0"/>
    <x v="7"/>
    <n v="0"/>
    <n v="0"/>
    <n v="46.610999999999997"/>
    <n v="46.610999999999997"/>
    <n v="46.610999999999997"/>
    <n v="46.610999999999997"/>
    <n v="101"/>
    <s v="CATIVO"/>
    <n v="0"/>
    <n v="0"/>
    <n v="28"/>
    <n v="53"/>
    <n v="0"/>
    <n v="149.38999999999999"/>
    <n v="154.93"/>
    <m/>
    <n v="141.12420143620713"/>
    <n v="138.34955480915144"/>
    <n v="0"/>
    <n v="9455.9735699999965"/>
    <n v="0"/>
    <n v="8684.3675015682766"/>
    <x v="6"/>
  </r>
  <r>
    <s v="Regular"/>
    <x v="2"/>
    <x v="3"/>
    <x v="4"/>
    <x v="5"/>
    <x v="0"/>
    <x v="1"/>
    <x v="0"/>
    <x v="8"/>
    <n v="0"/>
    <n v="0"/>
    <n v="46.491999999999997"/>
    <n v="46.491999999999997"/>
    <n v="46.491999999999997"/>
    <n v="46.491999999999997"/>
    <n v="93"/>
    <s v="CATIVO"/>
    <n v="0"/>
    <n v="0"/>
    <n v="28"/>
    <n v="53"/>
    <n v="0"/>
    <n v="149.38999999999999"/>
    <n v="154.93"/>
    <m/>
    <n v="141.12420143620713"/>
    <n v="138.34955480915144"/>
    <n v="0"/>
    <n v="9431.8320399999975"/>
    <n v="0"/>
    <n v="8662.1959169061447"/>
    <x v="6"/>
  </r>
  <r>
    <s v="Regular"/>
    <x v="2"/>
    <x v="3"/>
    <x v="4"/>
    <x v="5"/>
    <x v="0"/>
    <x v="1"/>
    <x v="0"/>
    <x v="9"/>
    <n v="0"/>
    <n v="0"/>
    <n v="46.753"/>
    <n v="46.753"/>
    <n v="46.753"/>
    <n v="46.753"/>
    <n v="144"/>
    <s v="CATIVO"/>
    <n v="0"/>
    <n v="0"/>
    <n v="28"/>
    <n v="53"/>
    <n v="0"/>
    <n v="149.38999999999999"/>
    <n v="154.93"/>
    <m/>
    <n v="141.12420143620713"/>
    <n v="138.34955480915144"/>
    <n v="0"/>
    <n v="9484.7811099999981"/>
    <n v="0"/>
    <n v="8710.8243504928378"/>
    <x v="6"/>
  </r>
  <r>
    <s v="Regular"/>
    <x v="2"/>
    <x v="3"/>
    <x v="4"/>
    <x v="5"/>
    <x v="0"/>
    <x v="1"/>
    <x v="0"/>
    <x v="10"/>
    <n v="0"/>
    <n v="0"/>
    <n v="46.506"/>
    <n v="46.506"/>
    <n v="46.506"/>
    <n v="46.506"/>
    <n v="151"/>
    <s v="CATIVO"/>
    <n v="0"/>
    <n v="0"/>
    <n v="28"/>
    <n v="53"/>
    <n v="0"/>
    <n v="149.38999999999999"/>
    <n v="154.93"/>
    <m/>
    <n v="141.12420143620713"/>
    <n v="138.34955480915144"/>
    <n v="0"/>
    <n v="9434.6722199999967"/>
    <n v="0"/>
    <n v="8664.8043386311019"/>
    <x v="6"/>
  </r>
  <r>
    <s v="PROJETADO"/>
    <x v="2"/>
    <x v="3"/>
    <x v="4"/>
    <x v="5"/>
    <x v="0"/>
    <x v="1"/>
    <x v="0"/>
    <x v="11"/>
    <n v="0"/>
    <n v="0"/>
    <n v="46.506"/>
    <n v="46.506"/>
    <n v="46.506"/>
    <n v="46.506"/>
    <n v="151"/>
    <s v="CATIVO"/>
    <n v="0"/>
    <n v="0"/>
    <n v="28"/>
    <n v="53"/>
    <n v="0"/>
    <n v="149.38999999999999"/>
    <n v="154.93"/>
    <m/>
    <n v="141.12420143620713"/>
    <n v="138.34955480915144"/>
    <n v="0"/>
    <n v="9434.6722199999967"/>
    <n v="0"/>
    <n v="8664.8043386311019"/>
    <x v="6"/>
  </r>
  <r>
    <s v="Regular"/>
    <x v="2"/>
    <x v="3"/>
    <x v="4"/>
    <x v="6"/>
    <x v="0"/>
    <x v="1"/>
    <x v="0"/>
    <x v="0"/>
    <n v="0"/>
    <n v="0"/>
    <n v="42.231000000000002"/>
    <n v="42.231000000000002"/>
    <n v="42.231000000000002"/>
    <n v="42.231000000000002"/>
    <n v="350"/>
    <s v="CATIVO"/>
    <n v="0"/>
    <n v="0"/>
    <n v="13"/>
    <n v="55"/>
    <n v="0"/>
    <n v="224.09"/>
    <n v="232.39"/>
    <m/>
    <n v="211.68630215431074"/>
    <n v="207.52433221372721"/>
    <n v="0"/>
    <n v="2141.5340099999967"/>
    <n v="0"/>
    <n v="1967.0760333329551"/>
    <x v="6"/>
  </r>
  <r>
    <s v="Regular"/>
    <x v="2"/>
    <x v="3"/>
    <x v="4"/>
    <x v="6"/>
    <x v="0"/>
    <x v="1"/>
    <x v="0"/>
    <x v="1"/>
    <n v="0"/>
    <n v="0"/>
    <n v="43.195999999999998"/>
    <n v="43.195999999999998"/>
    <n v="43.195999999999998"/>
    <n v="43.195999999999998"/>
    <n v="346"/>
    <s v="CATIVO"/>
    <n v="0"/>
    <n v="0"/>
    <n v="13"/>
    <n v="55"/>
    <n v="0"/>
    <n v="224.09"/>
    <n v="232.39"/>
    <m/>
    <n v="211.68630215431074"/>
    <n v="207.52433221372721"/>
    <n v="0"/>
    <n v="2190.4691599999965"/>
    <n v="0"/>
    <n v="2012.0247291290834"/>
    <x v="6"/>
  </r>
  <r>
    <s v="Regular"/>
    <x v="2"/>
    <x v="3"/>
    <x v="4"/>
    <x v="6"/>
    <x v="0"/>
    <x v="1"/>
    <x v="0"/>
    <x v="2"/>
    <n v="0"/>
    <n v="0"/>
    <n v="41.781999999999996"/>
    <n v="41.781999999999996"/>
    <n v="41.781999999999996"/>
    <n v="41.781999999999996"/>
    <n v="367"/>
    <s v="CATIVO"/>
    <n v="0"/>
    <n v="0"/>
    <n v="13"/>
    <n v="55"/>
    <n v="0"/>
    <n v="224.09"/>
    <n v="232.39"/>
    <m/>
    <n v="211.68630215431074"/>
    <n v="207.52433221372721"/>
    <n v="0"/>
    <n v="2118.7652199999966"/>
    <n v="0"/>
    <n v="1946.1620805739274"/>
    <x v="6"/>
  </r>
  <r>
    <s v="Refaturamento - Regular"/>
    <x v="2"/>
    <x v="3"/>
    <x v="4"/>
    <x v="6"/>
    <x v="0"/>
    <x v="1"/>
    <x v="0"/>
    <x v="2"/>
    <n v="0"/>
    <n v="0"/>
    <n v="-2.7E-2"/>
    <n v="-2.7E-2"/>
    <n v="-2.7E-2"/>
    <n v="-2.7E-2"/>
    <n v="0"/>
    <s v="CATIVO"/>
    <n v="0"/>
    <n v="0"/>
    <n v="13"/>
    <n v="55"/>
    <n v="0"/>
    <n v="224.09"/>
    <n v="232.39"/>
    <m/>
    <n v="211.68630215431074"/>
    <n v="207.52433221372721"/>
    <n v="0"/>
    <n v="-1.369169999999998"/>
    <n v="0"/>
    <n v="-1.2576319031041128"/>
    <x v="6"/>
  </r>
  <r>
    <s v="Regular"/>
    <x v="2"/>
    <x v="3"/>
    <x v="4"/>
    <x v="6"/>
    <x v="0"/>
    <x v="1"/>
    <x v="0"/>
    <x v="3"/>
    <n v="0"/>
    <n v="0"/>
    <n v="43.228000000000002"/>
    <n v="43.228000000000002"/>
    <n v="43.228000000000002"/>
    <n v="43.228000000000002"/>
    <n v="378"/>
    <s v="CATIVO"/>
    <n v="0"/>
    <n v="0"/>
    <n v="13"/>
    <n v="55"/>
    <n v="0"/>
    <n v="224.09"/>
    <n v="232.39"/>
    <m/>
    <n v="211.68630215431074"/>
    <n v="207.52433221372721"/>
    <n v="0"/>
    <n v="2192.0918799999968"/>
    <n v="0"/>
    <n v="2013.515255829059"/>
    <x v="6"/>
  </r>
  <r>
    <s v="Regular"/>
    <x v="2"/>
    <x v="3"/>
    <x v="4"/>
    <x v="6"/>
    <x v="0"/>
    <x v="1"/>
    <x v="0"/>
    <x v="4"/>
    <n v="0"/>
    <n v="0"/>
    <n v="45.985999999999997"/>
    <n v="45.985999999999997"/>
    <n v="45.985999999999997"/>
    <n v="45.985999999999997"/>
    <n v="381"/>
    <s v="CATIVO"/>
    <n v="0"/>
    <n v="0"/>
    <n v="13"/>
    <n v="55"/>
    <n v="0"/>
    <n v="224.09"/>
    <n v="232.39"/>
    <m/>
    <n v="211.68630215431074"/>
    <n v="207.52433221372721"/>
    <n v="0"/>
    <n v="2331.9500599999965"/>
    <n v="0"/>
    <n v="2141.9800257831753"/>
    <x v="6"/>
  </r>
  <r>
    <s v="Regular"/>
    <x v="2"/>
    <x v="3"/>
    <x v="4"/>
    <x v="6"/>
    <x v="0"/>
    <x v="1"/>
    <x v="0"/>
    <x v="5"/>
    <n v="0"/>
    <n v="0"/>
    <n v="45.545999999999999"/>
    <n v="45.545999999999999"/>
    <n v="45.545999999999999"/>
    <n v="45.545999999999999"/>
    <n v="397"/>
    <s v="CATIVO"/>
    <n v="0"/>
    <n v="0"/>
    <n v="13"/>
    <n v="55"/>
    <n v="0"/>
    <n v="224.09"/>
    <n v="232.39"/>
    <m/>
    <n v="211.68630215431074"/>
    <n v="207.52433221372721"/>
    <n v="0"/>
    <n v="2309.6376599999962"/>
    <n v="0"/>
    <n v="2121.4852836585155"/>
    <x v="6"/>
  </r>
  <r>
    <s v="Regular"/>
    <x v="2"/>
    <x v="3"/>
    <x v="4"/>
    <x v="6"/>
    <x v="0"/>
    <x v="1"/>
    <x v="0"/>
    <x v="6"/>
    <n v="0"/>
    <n v="0"/>
    <n v="51.369"/>
    <n v="51.369"/>
    <n v="51.369"/>
    <n v="51.369"/>
    <n v="385"/>
    <s v="CATIVO"/>
    <n v="0"/>
    <n v="0"/>
    <n v="13"/>
    <n v="55"/>
    <n v="0"/>
    <n v="224.09"/>
    <n v="232.39"/>
    <m/>
    <n v="211.68630215431074"/>
    <n v="207.52433221372721"/>
    <n v="0"/>
    <n v="2604.9219899999962"/>
    <n v="0"/>
    <n v="2392.714564094636"/>
    <x v="6"/>
  </r>
  <r>
    <s v="Regular"/>
    <x v="2"/>
    <x v="3"/>
    <x v="4"/>
    <x v="6"/>
    <x v="0"/>
    <x v="1"/>
    <x v="0"/>
    <x v="7"/>
    <n v="0"/>
    <n v="0"/>
    <n v="49.252000000000002"/>
    <n v="49.252000000000002"/>
    <n v="49.252000000000002"/>
    <n v="49.252000000000002"/>
    <n v="384"/>
    <s v="CATIVO"/>
    <n v="0"/>
    <n v="0"/>
    <n v="13"/>
    <n v="55"/>
    <n v="0"/>
    <n v="224.09"/>
    <n v="232.39"/>
    <m/>
    <n v="211.68630215431074"/>
    <n v="207.52433221372721"/>
    <n v="0"/>
    <n v="2497.5689199999965"/>
    <n v="0"/>
    <n v="2294.106907099399"/>
    <x v="6"/>
  </r>
  <r>
    <s v="Regular"/>
    <x v="2"/>
    <x v="3"/>
    <x v="4"/>
    <x v="6"/>
    <x v="0"/>
    <x v="1"/>
    <x v="0"/>
    <x v="8"/>
    <n v="0"/>
    <n v="0"/>
    <n v="50.28"/>
    <n v="50.28"/>
    <n v="50.28"/>
    <n v="50.28"/>
    <n v="373"/>
    <s v="CATIVO"/>
    <n v="0"/>
    <n v="0"/>
    <n v="13"/>
    <n v="55"/>
    <n v="0"/>
    <n v="224.09"/>
    <n v="232.39"/>
    <m/>
    <n v="211.68630215431074"/>
    <n v="207.52433221372721"/>
    <n v="0"/>
    <n v="2549.698799999996"/>
    <n v="0"/>
    <n v="2341.9900773361032"/>
    <x v="6"/>
  </r>
  <r>
    <s v="Regular"/>
    <x v="2"/>
    <x v="3"/>
    <x v="4"/>
    <x v="6"/>
    <x v="0"/>
    <x v="1"/>
    <x v="0"/>
    <x v="9"/>
    <n v="0"/>
    <n v="0"/>
    <n v="41.968000000000004"/>
    <n v="41.968000000000004"/>
    <n v="41.968000000000004"/>
    <n v="41.968000000000004"/>
    <n v="416"/>
    <s v="CATIVO"/>
    <n v="0"/>
    <n v="0"/>
    <n v="13"/>
    <n v="55"/>
    <n v="0"/>
    <n v="224.09"/>
    <n v="232.39"/>
    <m/>
    <n v="211.68630215431074"/>
    <n v="207.52433221372721"/>
    <n v="0"/>
    <n v="2128.1972799999971"/>
    <n v="0"/>
    <n v="1954.8257670175337"/>
    <x v="6"/>
  </r>
  <r>
    <s v="Regular"/>
    <x v="2"/>
    <x v="3"/>
    <x v="4"/>
    <x v="6"/>
    <x v="0"/>
    <x v="1"/>
    <x v="0"/>
    <x v="10"/>
    <n v="0"/>
    <n v="0"/>
    <n v="41.470999999999997"/>
    <n v="41.470999999999997"/>
    <n v="41.470999999999997"/>
    <n v="41.470999999999997"/>
    <n v="410"/>
    <s v="CATIVO"/>
    <n v="0"/>
    <n v="0"/>
    <n v="13"/>
    <n v="55"/>
    <n v="0"/>
    <n v="224.09"/>
    <n v="232.39"/>
    <m/>
    <n v="211.68630215431074"/>
    <n v="207.52433221372721"/>
    <n v="0"/>
    <n v="2102.9944099999966"/>
    <n v="0"/>
    <n v="1931.6760242085429"/>
    <x v="6"/>
  </r>
  <r>
    <s v="PROJETADO"/>
    <x v="2"/>
    <x v="3"/>
    <x v="4"/>
    <x v="6"/>
    <x v="0"/>
    <x v="1"/>
    <x v="0"/>
    <x v="11"/>
    <n v="0"/>
    <n v="0"/>
    <n v="41.470999999999997"/>
    <n v="41.470999999999997"/>
    <n v="41.470999999999997"/>
    <n v="41.470999999999997"/>
    <n v="410"/>
    <s v="CATIVO"/>
    <n v="0"/>
    <n v="0"/>
    <n v="13"/>
    <n v="55"/>
    <n v="0"/>
    <n v="224.09"/>
    <n v="232.39"/>
    <m/>
    <n v="211.68630215431074"/>
    <n v="207.52433221372721"/>
    <n v="0"/>
    <n v="2102.9944099999966"/>
    <n v="0"/>
    <n v="1931.6760242085429"/>
    <x v="6"/>
  </r>
  <r>
    <s v="Regular"/>
    <x v="2"/>
    <x v="3"/>
    <x v="4"/>
    <x v="7"/>
    <x v="0"/>
    <x v="1"/>
    <x v="0"/>
    <x v="0"/>
    <n v="0"/>
    <n v="0"/>
    <n v="16.440000000000001"/>
    <n v="16.440000000000001"/>
    <n v="16.440000000000001"/>
    <n v="16.440000000000001"/>
    <n v="180"/>
    <s v="CATIVO"/>
    <n v="0"/>
    <n v="0"/>
    <n v="17"/>
    <n v="72"/>
    <n v="0"/>
    <n v="248.98"/>
    <n v="258.20999999999998"/>
    <m/>
    <n v="235.20700239367858"/>
    <n v="230.58259134858577"/>
    <n v="0"/>
    <n v="-9.3450580607168384E-13"/>
    <n v="0"/>
    <n v="0"/>
    <x v="6"/>
  </r>
  <r>
    <s v="Regular"/>
    <x v="2"/>
    <x v="3"/>
    <x v="4"/>
    <x v="7"/>
    <x v="0"/>
    <x v="1"/>
    <x v="0"/>
    <x v="1"/>
    <n v="0"/>
    <n v="0"/>
    <n v="14.932"/>
    <n v="14.932"/>
    <n v="14.932"/>
    <n v="14.932"/>
    <n v="192"/>
    <s v="CATIVO"/>
    <n v="0"/>
    <n v="0"/>
    <n v="17"/>
    <n v="72"/>
    <n v="0"/>
    <n v="248.98"/>
    <n v="258.20999999999998"/>
    <m/>
    <n v="235.20700239367858"/>
    <n v="230.58259134858577"/>
    <n v="0"/>
    <n v="-8.487859304295853E-13"/>
    <n v="0"/>
    <n v="0"/>
    <x v="6"/>
  </r>
  <r>
    <s v="Regular"/>
    <x v="2"/>
    <x v="3"/>
    <x v="4"/>
    <x v="7"/>
    <x v="0"/>
    <x v="1"/>
    <x v="0"/>
    <x v="2"/>
    <n v="0"/>
    <n v="0"/>
    <n v="12.797000000000001"/>
    <n v="12.797000000000001"/>
    <n v="12.797000000000001"/>
    <n v="12.797000000000001"/>
    <n v="172"/>
    <s v="CATIVO"/>
    <n v="0"/>
    <n v="0"/>
    <n v="17"/>
    <n v="72"/>
    <n v="0"/>
    <n v="248.98"/>
    <n v="258.20999999999998"/>
    <m/>
    <n v="235.20700239367858"/>
    <n v="230.58259134858577"/>
    <n v="0"/>
    <n v="-7.274252311617602E-13"/>
    <n v="0"/>
    <n v="0"/>
    <x v="6"/>
  </r>
  <r>
    <s v="Refaturamento - Regular"/>
    <x v="2"/>
    <x v="3"/>
    <x v="4"/>
    <x v="7"/>
    <x v="0"/>
    <x v="1"/>
    <x v="0"/>
    <x v="2"/>
    <n v="0"/>
    <n v="0"/>
    <n v="-0.29799999999999999"/>
    <n v="-0.29799999999999999"/>
    <n v="-0.29799999999999999"/>
    <n v="-0.29799999999999999"/>
    <n v="0"/>
    <s v="CATIVO"/>
    <n v="0"/>
    <n v="0"/>
    <n v="17"/>
    <n v="72"/>
    <n v="0"/>
    <n v="248.98"/>
    <n v="258.20999999999998"/>
    <m/>
    <n v="235.20700239367858"/>
    <n v="230.58259134858577"/>
    <n v="0"/>
    <n v="1.6939338820520788E-14"/>
    <n v="0"/>
    <n v="0"/>
    <x v="6"/>
  </r>
  <r>
    <s v="Regular"/>
    <x v="2"/>
    <x v="3"/>
    <x v="4"/>
    <x v="7"/>
    <x v="0"/>
    <x v="1"/>
    <x v="0"/>
    <x v="3"/>
    <n v="0"/>
    <n v="0"/>
    <n v="12.688000000000001"/>
    <n v="12.688000000000001"/>
    <n v="12.688000000000001"/>
    <n v="12.688000000000001"/>
    <n v="175"/>
    <s v="CATIVO"/>
    <n v="0"/>
    <n v="0"/>
    <n v="17"/>
    <n v="72"/>
    <n v="0"/>
    <n v="248.98"/>
    <n v="258.20999999999998"/>
    <m/>
    <n v="235.20700239367858"/>
    <n v="230.58259134858577"/>
    <n v="0"/>
    <n v="-7.2122929850593213E-13"/>
    <n v="0"/>
    <n v="0"/>
    <x v="6"/>
  </r>
  <r>
    <s v="Regular"/>
    <x v="2"/>
    <x v="3"/>
    <x v="4"/>
    <x v="7"/>
    <x v="0"/>
    <x v="1"/>
    <x v="0"/>
    <x v="4"/>
    <n v="0"/>
    <n v="0"/>
    <n v="14.66"/>
    <n v="14.66"/>
    <n v="14.66"/>
    <n v="14.66"/>
    <n v="199"/>
    <s v="CATIVO"/>
    <n v="0"/>
    <n v="0"/>
    <n v="17"/>
    <n v="72"/>
    <n v="0"/>
    <n v="248.98"/>
    <n v="258.20999999999998"/>
    <m/>
    <n v="235.20700239367858"/>
    <n v="230.58259134858577"/>
    <n v="0"/>
    <n v="-8.3332452049944551E-13"/>
    <n v="0"/>
    <n v="0"/>
    <x v="6"/>
  </r>
  <r>
    <s v="Regular"/>
    <x v="2"/>
    <x v="3"/>
    <x v="4"/>
    <x v="7"/>
    <x v="0"/>
    <x v="1"/>
    <x v="0"/>
    <x v="5"/>
    <n v="0"/>
    <n v="0"/>
    <n v="13.177"/>
    <n v="13.177"/>
    <n v="13.177"/>
    <n v="13.177"/>
    <n v="185"/>
    <s v="CATIVO"/>
    <n v="0"/>
    <n v="0"/>
    <n v="17"/>
    <n v="72"/>
    <n v="0"/>
    <n v="248.98"/>
    <n v="258.20999999999998"/>
    <m/>
    <n v="235.20700239367858"/>
    <n v="230.58259134858577"/>
    <n v="0"/>
    <n v="-7.4902573032886719E-13"/>
    <n v="0"/>
    <n v="0"/>
    <x v="6"/>
  </r>
  <r>
    <s v="Regular"/>
    <x v="2"/>
    <x v="3"/>
    <x v="4"/>
    <x v="7"/>
    <x v="0"/>
    <x v="1"/>
    <x v="0"/>
    <x v="6"/>
    <n v="0"/>
    <n v="0"/>
    <n v="20.587"/>
    <n v="20.587"/>
    <n v="20.587"/>
    <n v="20.587"/>
    <n v="229"/>
    <s v="CATIVO"/>
    <n v="0"/>
    <n v="0"/>
    <n v="17"/>
    <n v="72"/>
    <n v="0"/>
    <n v="248.98"/>
    <n v="258.20999999999998"/>
    <m/>
    <n v="235.20700239367858"/>
    <n v="230.58259134858577"/>
    <n v="0"/>
    <n v="-1.1702354640874546E-12"/>
    <n v="0"/>
    <n v="0"/>
    <x v="6"/>
  </r>
  <r>
    <s v="Regular"/>
    <x v="2"/>
    <x v="3"/>
    <x v="4"/>
    <x v="7"/>
    <x v="0"/>
    <x v="1"/>
    <x v="0"/>
    <x v="7"/>
    <n v="0"/>
    <n v="0"/>
    <n v="18.414999999999999"/>
    <n v="18.414999999999999"/>
    <n v="18.414999999999999"/>
    <n v="18.414999999999999"/>
    <n v="214"/>
    <s v="CATIVO"/>
    <n v="0"/>
    <n v="0"/>
    <n v="17"/>
    <n v="72"/>
    <n v="0"/>
    <n v="248.98"/>
    <n v="258.20999999999998"/>
    <m/>
    <n v="235.20700239367858"/>
    <n v="230.58259134858577"/>
    <n v="0"/>
    <n v="-1.0467715583217795E-12"/>
    <n v="0"/>
    <n v="0"/>
    <x v="6"/>
  </r>
  <r>
    <s v="Refaturamento - Regular"/>
    <x v="2"/>
    <x v="3"/>
    <x v="4"/>
    <x v="7"/>
    <x v="0"/>
    <x v="1"/>
    <x v="0"/>
    <x v="7"/>
    <n v="0"/>
    <n v="0"/>
    <n v="5.5E-2"/>
    <n v="5.5E-2"/>
    <n v="5.5E-2"/>
    <n v="5.5E-2"/>
    <n v="0"/>
    <s v="CATIVO"/>
    <n v="0"/>
    <n v="0"/>
    <n v="17"/>
    <n v="72"/>
    <n v="0"/>
    <n v="248.98"/>
    <n v="258.20999999999998"/>
    <m/>
    <n v="235.20700239367858"/>
    <n v="230.58259134858577"/>
    <n v="0"/>
    <n v="-3.1263880373444408E-15"/>
    <n v="0"/>
    <n v="0"/>
    <x v="6"/>
  </r>
  <r>
    <s v="Regular"/>
    <x v="2"/>
    <x v="3"/>
    <x v="4"/>
    <x v="7"/>
    <x v="0"/>
    <x v="1"/>
    <x v="0"/>
    <x v="8"/>
    <n v="0"/>
    <n v="0"/>
    <n v="21.835000000000001"/>
    <n v="21.835000000000001"/>
    <n v="21.835000000000001"/>
    <n v="21.835000000000001"/>
    <n v="234"/>
    <s v="CATIVO"/>
    <n v="0"/>
    <n v="0"/>
    <n v="17"/>
    <n v="72"/>
    <n v="0"/>
    <n v="248.98"/>
    <n v="258.20999999999998"/>
    <m/>
    <n v="235.20700239367858"/>
    <n v="230.58259134858577"/>
    <n v="0"/>
    <n v="-1.2411760508257431E-12"/>
    <n v="0"/>
    <n v="0"/>
    <x v="6"/>
  </r>
  <r>
    <s v="Regular"/>
    <x v="2"/>
    <x v="3"/>
    <x v="4"/>
    <x v="7"/>
    <x v="0"/>
    <x v="1"/>
    <x v="0"/>
    <x v="9"/>
    <n v="0"/>
    <n v="0"/>
    <n v="10.692"/>
    <n v="10.692"/>
    <n v="10.692"/>
    <n v="10.692"/>
    <n v="161"/>
    <s v="CATIVO"/>
    <n v="0"/>
    <n v="0"/>
    <n v="17"/>
    <n v="72"/>
    <n v="0"/>
    <n v="248.98"/>
    <n v="258.20999999999998"/>
    <m/>
    <n v="235.20700239367858"/>
    <n v="230.58259134858577"/>
    <n v="0"/>
    <n v="-6.077698344597593E-13"/>
    <n v="0"/>
    <n v="0"/>
    <x v="6"/>
  </r>
  <r>
    <s v="Regular"/>
    <x v="2"/>
    <x v="3"/>
    <x v="4"/>
    <x v="7"/>
    <x v="0"/>
    <x v="1"/>
    <x v="0"/>
    <x v="10"/>
    <n v="0"/>
    <n v="0"/>
    <n v="12.063000000000001"/>
    <n v="12.063000000000001"/>
    <n v="12.063000000000001"/>
    <n v="12.063000000000001"/>
    <n v="158"/>
    <s v="CATIVO"/>
    <n v="0"/>
    <n v="0"/>
    <n v="17"/>
    <n v="72"/>
    <n v="0"/>
    <n v="248.98"/>
    <n v="258.20999999999998"/>
    <m/>
    <n v="235.20700239367858"/>
    <n v="230.58259134858577"/>
    <n v="0"/>
    <n v="-6.8570216171792712E-13"/>
    <n v="0"/>
    <n v="0"/>
    <x v="6"/>
  </r>
  <r>
    <s v="PROJETADO"/>
    <x v="2"/>
    <x v="3"/>
    <x v="4"/>
    <x v="7"/>
    <x v="0"/>
    <x v="1"/>
    <x v="0"/>
    <x v="11"/>
    <n v="0"/>
    <n v="0"/>
    <n v="12.063000000000001"/>
    <n v="12.063000000000001"/>
    <n v="12.063000000000001"/>
    <n v="12.063000000000001"/>
    <n v="158"/>
    <s v="CATIVO"/>
    <n v="0"/>
    <n v="0"/>
    <n v="17"/>
    <n v="72"/>
    <n v="0"/>
    <n v="248.98"/>
    <n v="258.20999999999998"/>
    <m/>
    <n v="235.20700239367858"/>
    <n v="230.58259134858577"/>
    <n v="0"/>
    <n v="-6.8570216171792712E-13"/>
    <n v="0"/>
    <n v="0"/>
    <x v="6"/>
  </r>
  <r>
    <s v="Regular"/>
    <x v="3"/>
    <x v="3"/>
    <x v="3"/>
    <x v="2"/>
    <x v="3"/>
    <x v="1"/>
    <x v="0"/>
    <x v="0"/>
    <n v="0"/>
    <n v="0"/>
    <n v="9.3789999999999996"/>
    <n v="9.3789999999999996"/>
    <n v="9.3789999999999996"/>
    <n v="9.3789999999999996"/>
    <n v="0"/>
    <s v="CATIVO"/>
    <n v="0"/>
    <n v="0"/>
    <n v="30"/>
    <n v="70"/>
    <n v="0"/>
    <n v="285.56"/>
    <n v="227.23"/>
    <m/>
    <n v="320.95942704201292"/>
    <n v="216.7476358676706"/>
    <n v="0"/>
    <n v="655.77968000000044"/>
    <n v="0"/>
    <n v="321.903481469996"/>
    <x v="4"/>
  </r>
  <r>
    <s v="Regular"/>
    <x v="3"/>
    <x v="3"/>
    <x v="3"/>
    <x v="2"/>
    <x v="3"/>
    <x v="1"/>
    <x v="0"/>
    <x v="1"/>
    <n v="0"/>
    <n v="0"/>
    <n v="8.1590000000000007"/>
    <n v="8.1590000000000007"/>
    <n v="8.1590000000000007"/>
    <n v="8.1590000000000007"/>
    <n v="0"/>
    <s v="CATIVO"/>
    <n v="0"/>
    <n v="0"/>
    <n v="30"/>
    <n v="70"/>
    <n v="0"/>
    <n v="285.56"/>
    <n v="227.23"/>
    <m/>
    <n v="320.95942704201292"/>
    <n v="216.7476358676706"/>
    <n v="0"/>
    <n v="570.47728000000041"/>
    <n v="0"/>
    <n v="280.03097401788017"/>
    <x v="4"/>
  </r>
  <r>
    <s v="Sistema de Compensação"/>
    <x v="3"/>
    <x v="3"/>
    <x v="3"/>
    <x v="2"/>
    <x v="3"/>
    <x v="1"/>
    <x v="0"/>
    <x v="1"/>
    <n v="0"/>
    <n v="0"/>
    <n v="6.8000000000000005E-2"/>
    <n v="6.8000000000000005E-2"/>
    <n v="6.8000000000000005E-2"/>
    <n v="6.8000000000000005E-2"/>
    <n v="0"/>
    <s v="CATIVO"/>
    <n v="0"/>
    <n v="0"/>
    <n v="30"/>
    <n v="70"/>
    <n v="0"/>
    <n v="285.56"/>
    <n v="227.23"/>
    <m/>
    <n v="320.95942704201292"/>
    <n v="216.7476358676706"/>
    <n v="0"/>
    <n v="4.7545600000000032"/>
    <n v="0"/>
    <n v="2.333877464544166"/>
    <x v="4"/>
  </r>
  <r>
    <s v="Regular"/>
    <x v="3"/>
    <x v="3"/>
    <x v="3"/>
    <x v="2"/>
    <x v="3"/>
    <x v="1"/>
    <x v="0"/>
    <x v="2"/>
    <n v="0"/>
    <n v="0"/>
    <n v="9.0139999999999993"/>
    <n v="9.0139999999999993"/>
    <n v="9.0139999999999993"/>
    <n v="9.0139999999999993"/>
    <n v="0"/>
    <s v="CATIVO"/>
    <n v="0"/>
    <n v="0"/>
    <n v="30"/>
    <n v="70"/>
    <n v="0"/>
    <n v="285.56"/>
    <n v="227.23"/>
    <m/>
    <n v="320.95942704201292"/>
    <n v="216.7476358676706"/>
    <n v="0"/>
    <n v="630.25888000000032"/>
    <n v="0"/>
    <n v="309.376050961781"/>
    <x v="4"/>
  </r>
  <r>
    <s v="Sistema de Compensação"/>
    <x v="3"/>
    <x v="3"/>
    <x v="3"/>
    <x v="2"/>
    <x v="3"/>
    <x v="1"/>
    <x v="0"/>
    <x v="2"/>
    <n v="0"/>
    <n v="0"/>
    <n v="0.1"/>
    <n v="0.1"/>
    <n v="0.1"/>
    <n v="0.1"/>
    <n v="0"/>
    <s v="CATIVO"/>
    <n v="0"/>
    <n v="0"/>
    <n v="30"/>
    <n v="70"/>
    <n v="0"/>
    <n v="285.56"/>
    <n v="227.23"/>
    <m/>
    <n v="320.95942704201292"/>
    <n v="216.7476358676706"/>
    <n v="0"/>
    <n v="6.9920000000000044"/>
    <n v="0"/>
    <n v="3.4321727419767143"/>
    <x v="4"/>
  </r>
  <r>
    <s v="Regular"/>
    <x v="3"/>
    <x v="3"/>
    <x v="3"/>
    <x v="2"/>
    <x v="3"/>
    <x v="1"/>
    <x v="0"/>
    <x v="3"/>
    <n v="0"/>
    <n v="0"/>
    <n v="9.7840000000000007"/>
    <n v="9.7840000000000007"/>
    <n v="9.7840000000000007"/>
    <n v="9.7840000000000007"/>
    <n v="0"/>
    <s v="CATIVO"/>
    <n v="0"/>
    <n v="0"/>
    <n v="30"/>
    <n v="70"/>
    <n v="0"/>
    <n v="285.56"/>
    <n v="227.23"/>
    <m/>
    <n v="320.95942704201292"/>
    <n v="216.7476358676706"/>
    <n v="0"/>
    <n v="684.09728000000052"/>
    <n v="0"/>
    <n v="335.80378107500172"/>
    <x v="4"/>
  </r>
  <r>
    <s v="Sistema de Compensação"/>
    <x v="3"/>
    <x v="3"/>
    <x v="3"/>
    <x v="2"/>
    <x v="3"/>
    <x v="1"/>
    <x v="0"/>
    <x v="3"/>
    <n v="0"/>
    <n v="0"/>
    <n v="0.15"/>
    <n v="0.15"/>
    <n v="0.15"/>
    <n v="0.15"/>
    <n v="0"/>
    <s v="CATIVO"/>
    <n v="0"/>
    <n v="0"/>
    <n v="30"/>
    <n v="70"/>
    <n v="0"/>
    <n v="285.56"/>
    <n v="227.23"/>
    <m/>
    <n v="320.95942704201292"/>
    <n v="216.7476358676706"/>
    <n v="0"/>
    <n v="10.488000000000007"/>
    <n v="0"/>
    <n v="5.1482591129650714"/>
    <x v="4"/>
  </r>
  <r>
    <s v="Regular"/>
    <x v="3"/>
    <x v="3"/>
    <x v="3"/>
    <x v="2"/>
    <x v="3"/>
    <x v="1"/>
    <x v="0"/>
    <x v="4"/>
    <n v="0"/>
    <n v="0"/>
    <n v="10.707000000000001"/>
    <n v="10.707000000000001"/>
    <n v="10.707000000000001"/>
    <n v="10.707000000000001"/>
    <n v="0"/>
    <s v="CATIVO"/>
    <n v="0"/>
    <n v="0"/>
    <n v="30"/>
    <n v="70"/>
    <n v="0"/>
    <n v="285.56"/>
    <n v="227.23"/>
    <m/>
    <n v="320.95942704201292"/>
    <n v="216.7476358676706"/>
    <n v="0"/>
    <n v="748.63344000000052"/>
    <n v="0"/>
    <n v="367.48273548344685"/>
    <x v="4"/>
  </r>
  <r>
    <s v="Sistema de Compensação"/>
    <x v="3"/>
    <x v="3"/>
    <x v="3"/>
    <x v="2"/>
    <x v="3"/>
    <x v="1"/>
    <x v="0"/>
    <x v="4"/>
    <n v="0"/>
    <n v="0"/>
    <n v="0.15"/>
    <n v="0.15"/>
    <n v="0.15"/>
    <n v="0.15"/>
    <n v="0"/>
    <s v="CATIVO"/>
    <n v="0"/>
    <n v="0"/>
    <n v="30"/>
    <n v="70"/>
    <n v="0"/>
    <n v="285.56"/>
    <n v="227.23"/>
    <m/>
    <n v="320.95942704201292"/>
    <n v="216.7476358676706"/>
    <n v="0"/>
    <n v="10.488000000000007"/>
    <n v="0"/>
    <n v="5.1482591129650714"/>
    <x v="4"/>
  </r>
  <r>
    <s v="Regular"/>
    <x v="3"/>
    <x v="3"/>
    <x v="3"/>
    <x v="2"/>
    <x v="3"/>
    <x v="1"/>
    <x v="0"/>
    <x v="5"/>
    <n v="0"/>
    <n v="0"/>
    <n v="35.530999999999999"/>
    <n v="35.530999999999999"/>
    <n v="35.530999999999999"/>
    <n v="35.530999999999999"/>
    <n v="0"/>
    <s v="CATIVO"/>
    <n v="0"/>
    <n v="0"/>
    <n v="30"/>
    <n v="70"/>
    <n v="0"/>
    <n v="285.56"/>
    <n v="227.23"/>
    <m/>
    <n v="320.95942704201292"/>
    <n v="216.7476358676706"/>
    <n v="0"/>
    <n v="2484.3275200000016"/>
    <n v="0"/>
    <n v="1219.4852969517462"/>
    <x v="4"/>
  </r>
  <r>
    <s v="Sistema de Compensação"/>
    <x v="3"/>
    <x v="3"/>
    <x v="3"/>
    <x v="2"/>
    <x v="3"/>
    <x v="1"/>
    <x v="0"/>
    <x v="5"/>
    <n v="0"/>
    <n v="0"/>
    <n v="0.1"/>
    <n v="0.1"/>
    <n v="0.1"/>
    <n v="0.1"/>
    <n v="0"/>
    <s v="CATIVO"/>
    <n v="0"/>
    <n v="0"/>
    <n v="30"/>
    <n v="70"/>
    <n v="0"/>
    <n v="285.56"/>
    <n v="227.23"/>
    <m/>
    <n v="320.95942704201292"/>
    <n v="216.7476358676706"/>
    <n v="0"/>
    <n v="6.9920000000000044"/>
    <n v="0"/>
    <n v="3.4321727419767143"/>
    <x v="4"/>
  </r>
  <r>
    <s v="Regular"/>
    <x v="3"/>
    <x v="3"/>
    <x v="3"/>
    <x v="2"/>
    <x v="3"/>
    <x v="1"/>
    <x v="0"/>
    <x v="6"/>
    <n v="0"/>
    <n v="0"/>
    <n v="67.302999999999997"/>
    <n v="67.302999999999997"/>
    <n v="67.302999999999997"/>
    <n v="67.302999999999997"/>
    <n v="0"/>
    <s v="CATIVO"/>
    <n v="0"/>
    <n v="0"/>
    <n v="30"/>
    <n v="70"/>
    <n v="0"/>
    <n v="285.56"/>
    <n v="227.23"/>
    <m/>
    <n v="320.95942704201292"/>
    <n v="216.7476358676706"/>
    <n v="0"/>
    <n v="4705.8257600000024"/>
    <n v="0"/>
    <n v="2309.9552205325881"/>
    <x v="4"/>
  </r>
  <r>
    <s v="Sistema de Compensação"/>
    <x v="3"/>
    <x v="3"/>
    <x v="3"/>
    <x v="2"/>
    <x v="3"/>
    <x v="1"/>
    <x v="0"/>
    <x v="6"/>
    <n v="0"/>
    <n v="0"/>
    <n v="0.15"/>
    <n v="0.15"/>
    <n v="0.15"/>
    <n v="0.15"/>
    <n v="0"/>
    <s v="CATIVO"/>
    <n v="0"/>
    <n v="0"/>
    <n v="30"/>
    <n v="70"/>
    <n v="0"/>
    <n v="285.56"/>
    <n v="227.23"/>
    <m/>
    <n v="320.95942704201292"/>
    <n v="216.7476358676706"/>
    <n v="0"/>
    <n v="10.488000000000007"/>
    <n v="0"/>
    <n v="5.1482591129650714"/>
    <x v="4"/>
  </r>
  <r>
    <s v="Regular"/>
    <x v="3"/>
    <x v="3"/>
    <x v="3"/>
    <x v="2"/>
    <x v="3"/>
    <x v="1"/>
    <x v="0"/>
    <x v="7"/>
    <n v="0"/>
    <n v="0"/>
    <n v="32.872"/>
    <n v="32.872"/>
    <n v="32.872"/>
    <n v="32.872"/>
    <n v="0"/>
    <s v="CATIVO"/>
    <n v="0"/>
    <n v="0"/>
    <n v="30"/>
    <n v="70"/>
    <n v="0"/>
    <n v="285.56"/>
    <n v="227.23"/>
    <m/>
    <n v="320.95942704201292"/>
    <n v="216.7476358676706"/>
    <n v="0"/>
    <n v="2298.4102400000015"/>
    <n v="0"/>
    <n v="1128.2238237425854"/>
    <x v="4"/>
  </r>
  <r>
    <s v="Sistema de Compensação"/>
    <x v="3"/>
    <x v="3"/>
    <x v="3"/>
    <x v="2"/>
    <x v="3"/>
    <x v="1"/>
    <x v="0"/>
    <x v="7"/>
    <n v="0"/>
    <n v="0"/>
    <n v="0.1"/>
    <n v="0.1"/>
    <n v="0.1"/>
    <n v="0.1"/>
    <n v="0"/>
    <s v="CATIVO"/>
    <n v="0"/>
    <n v="0"/>
    <n v="30"/>
    <n v="70"/>
    <n v="0"/>
    <n v="285.56"/>
    <n v="227.23"/>
    <m/>
    <n v="320.95942704201292"/>
    <n v="216.7476358676706"/>
    <n v="0"/>
    <n v="6.9920000000000044"/>
    <n v="0"/>
    <n v="3.4321727419767143"/>
    <x v="4"/>
  </r>
  <r>
    <s v="Regular"/>
    <x v="3"/>
    <x v="3"/>
    <x v="3"/>
    <x v="2"/>
    <x v="3"/>
    <x v="1"/>
    <x v="0"/>
    <x v="8"/>
    <n v="0"/>
    <n v="0"/>
    <n v="23.164999999999999"/>
    <n v="23.164999999999999"/>
    <n v="23.164999999999999"/>
    <n v="23.164999999999999"/>
    <n v="0"/>
    <s v="CATIVO"/>
    <n v="0"/>
    <n v="0"/>
    <n v="30"/>
    <n v="70"/>
    <n v="0"/>
    <n v="285.56"/>
    <n v="227.23"/>
    <m/>
    <n v="320.95942704201292"/>
    <n v="216.7476358676706"/>
    <n v="0"/>
    <n v="1619.6968000000011"/>
    <n v="0"/>
    <n v="795.06281567890585"/>
    <x v="4"/>
  </r>
  <r>
    <s v="Sistema de Compensação"/>
    <x v="3"/>
    <x v="3"/>
    <x v="3"/>
    <x v="2"/>
    <x v="3"/>
    <x v="1"/>
    <x v="0"/>
    <x v="8"/>
    <n v="0"/>
    <n v="0"/>
    <n v="0.1"/>
    <n v="0.1"/>
    <n v="0.1"/>
    <n v="0.1"/>
    <n v="0"/>
    <s v="CATIVO"/>
    <n v="0"/>
    <n v="0"/>
    <n v="30"/>
    <n v="70"/>
    <n v="0"/>
    <n v="285.56"/>
    <n v="227.23"/>
    <m/>
    <n v="320.95942704201292"/>
    <n v="216.7476358676706"/>
    <n v="0"/>
    <n v="6.9920000000000044"/>
    <n v="0"/>
    <n v="3.4321727419767143"/>
    <x v="4"/>
  </r>
  <r>
    <s v="Regular"/>
    <x v="3"/>
    <x v="3"/>
    <x v="3"/>
    <x v="2"/>
    <x v="3"/>
    <x v="1"/>
    <x v="0"/>
    <x v="9"/>
    <n v="0"/>
    <n v="0"/>
    <n v="7.4290000000000003"/>
    <n v="7.4290000000000003"/>
    <n v="7.4290000000000003"/>
    <n v="7.4290000000000003"/>
    <n v="0"/>
    <s v="CATIVO"/>
    <n v="0"/>
    <n v="0"/>
    <n v="30"/>
    <n v="70"/>
    <n v="0"/>
    <n v="285.56"/>
    <n v="227.23"/>
    <m/>
    <n v="320.95942704201292"/>
    <n v="216.7476358676706"/>
    <n v="0"/>
    <n v="519.43568000000039"/>
    <n v="0"/>
    <n v="254.9761130014501"/>
    <x v="4"/>
  </r>
  <r>
    <s v="Sistema de Compensação"/>
    <x v="3"/>
    <x v="3"/>
    <x v="3"/>
    <x v="2"/>
    <x v="3"/>
    <x v="1"/>
    <x v="0"/>
    <x v="9"/>
    <n v="0"/>
    <n v="0"/>
    <n v="0.15"/>
    <n v="0.15"/>
    <n v="0.15"/>
    <n v="0.15"/>
    <n v="0"/>
    <s v="CATIVO"/>
    <n v="0"/>
    <n v="0"/>
    <n v="30"/>
    <n v="70"/>
    <n v="0"/>
    <n v="285.56"/>
    <n v="227.23"/>
    <m/>
    <n v="320.95942704201292"/>
    <n v="216.7476358676706"/>
    <n v="0"/>
    <n v="10.488000000000007"/>
    <n v="0"/>
    <n v="5.1482591129650714"/>
    <x v="4"/>
  </r>
  <r>
    <s v="Regular"/>
    <x v="3"/>
    <x v="3"/>
    <x v="3"/>
    <x v="2"/>
    <x v="3"/>
    <x v="1"/>
    <x v="0"/>
    <x v="10"/>
    <n v="0"/>
    <n v="0"/>
    <n v="6.1859999999999999"/>
    <n v="6.1859999999999999"/>
    <n v="6.1859999999999999"/>
    <n v="6.1859999999999999"/>
    <n v="0"/>
    <s v="CATIVO"/>
    <n v="0"/>
    <n v="0"/>
    <n v="30"/>
    <n v="70"/>
    <n v="0"/>
    <n v="285.56"/>
    <n v="227.23"/>
    <m/>
    <n v="320.95942704201292"/>
    <n v="216.7476358676706"/>
    <n v="0"/>
    <n v="432.52512000000024"/>
    <n v="0"/>
    <n v="212.31420581867954"/>
    <x v="4"/>
  </r>
  <r>
    <s v="PROJETADO"/>
    <x v="3"/>
    <x v="3"/>
    <x v="3"/>
    <x v="2"/>
    <x v="3"/>
    <x v="1"/>
    <x v="0"/>
    <x v="11"/>
    <n v="0"/>
    <n v="0"/>
    <n v="6.1859999999999999"/>
    <n v="6.1859999999999999"/>
    <n v="6.1859999999999999"/>
    <n v="6.1859999999999999"/>
    <n v="0"/>
    <s v="CATIVO"/>
    <n v="0"/>
    <n v="0"/>
    <n v="30"/>
    <n v="70"/>
    <n v="0"/>
    <n v="285.56"/>
    <n v="227.23"/>
    <m/>
    <n v="320.95942704201292"/>
    <n v="216.7476358676706"/>
    <n v="0"/>
    <n v="432.52512000000024"/>
    <n v="0"/>
    <n v="212.31420581867954"/>
    <x v="4"/>
  </r>
  <r>
    <s v="Regular"/>
    <x v="3"/>
    <x v="3"/>
    <x v="3"/>
    <x v="2"/>
    <x v="2"/>
    <x v="1"/>
    <x v="0"/>
    <x v="0"/>
    <n v="0"/>
    <n v="0"/>
    <n v="1.282"/>
    <n v="0.51280000000000003"/>
    <n v="1.282"/>
    <n v="0.51280000000000003"/>
    <n v="0"/>
    <s v="CATIVO"/>
    <n v="0"/>
    <n v="0"/>
    <n v="30"/>
    <n v="70"/>
    <n v="0"/>
    <n v="285.56"/>
    <n v="227.23"/>
    <m/>
    <n v="320.95942704201292"/>
    <n v="216.7476358676706"/>
    <n v="0"/>
    <n v="484.07550800000001"/>
    <n v="0"/>
    <n v="457.60472734227005"/>
    <x v="3"/>
  </r>
  <r>
    <s v="Regular"/>
    <x v="3"/>
    <x v="3"/>
    <x v="3"/>
    <x v="2"/>
    <x v="2"/>
    <x v="1"/>
    <x v="0"/>
    <x v="1"/>
    <n v="0"/>
    <n v="0"/>
    <n v="0.92400000000000004"/>
    <n v="0.36959999999999998"/>
    <n v="0.92400000000000004"/>
    <n v="0.36959999999999998"/>
    <n v="0"/>
    <s v="CATIVO"/>
    <n v="0"/>
    <n v="0"/>
    <n v="30"/>
    <n v="70"/>
    <n v="0"/>
    <n v="285.56"/>
    <n v="227.23"/>
    <m/>
    <n v="320.95942704201292"/>
    <n v="216.7476358676706"/>
    <n v="0"/>
    <n v="348.89685600000007"/>
    <n v="0"/>
    <n v="329.81807181299337"/>
    <x v="3"/>
  </r>
  <r>
    <s v="Sistema de Compensação"/>
    <x v="3"/>
    <x v="3"/>
    <x v="3"/>
    <x v="2"/>
    <x v="2"/>
    <x v="1"/>
    <x v="0"/>
    <x v="1"/>
    <n v="0"/>
    <n v="0"/>
    <n v="9.5000000000000001E-2"/>
    <n v="9.5000000000000001E-2"/>
    <n v="9.5000000000000001E-2"/>
    <n v="9.5000000000000001E-2"/>
    <n v="0"/>
    <s v="CATIVO"/>
    <n v="0"/>
    <n v="0"/>
    <n v="30"/>
    <n v="70"/>
    <n v="0"/>
    <n v="285.56"/>
    <n v="227.23"/>
    <m/>
    <n v="320.95942704201292"/>
    <n v="216.7476358676706"/>
    <n v="0"/>
    <n v="6.6424000000000039"/>
    <n v="0"/>
    <n v="3.2605641048778784"/>
    <x v="4"/>
  </r>
  <r>
    <s v="Regular"/>
    <x v="3"/>
    <x v="3"/>
    <x v="3"/>
    <x v="2"/>
    <x v="2"/>
    <x v="1"/>
    <x v="0"/>
    <x v="2"/>
    <n v="0"/>
    <n v="0"/>
    <n v="1.5880000000000001"/>
    <n v="0.63519999999999999"/>
    <n v="1.5880000000000001"/>
    <n v="0.63519999999999999"/>
    <n v="0"/>
    <s v="CATIVO"/>
    <n v="0"/>
    <n v="0"/>
    <n v="30"/>
    <n v="70"/>
    <n v="0"/>
    <n v="285.56"/>
    <n v="227.23"/>
    <m/>
    <n v="320.95942704201292"/>
    <n v="216.7476358676706"/>
    <n v="0"/>
    <n v="599.61927200000014"/>
    <n v="0"/>
    <n v="566.83019268293663"/>
    <x v="3"/>
  </r>
  <r>
    <s v="Regular"/>
    <x v="3"/>
    <x v="3"/>
    <x v="3"/>
    <x v="2"/>
    <x v="2"/>
    <x v="1"/>
    <x v="0"/>
    <x v="3"/>
    <n v="0"/>
    <n v="0"/>
    <n v="1.3839999999999999"/>
    <n v="0.55359999999999998"/>
    <n v="1.3839999999999999"/>
    <n v="0.55359999999999998"/>
    <n v="0"/>
    <s v="CATIVO"/>
    <n v="0"/>
    <n v="0"/>
    <n v="30"/>
    <n v="70"/>
    <n v="0"/>
    <n v="285.56"/>
    <n v="227.23"/>
    <m/>
    <n v="320.95942704201292"/>
    <n v="216.7476358676706"/>
    <n v="0"/>
    <n v="522.59009600000002"/>
    <n v="0"/>
    <n v="494.01321578915883"/>
    <x v="3"/>
  </r>
  <r>
    <s v="Regular"/>
    <x v="3"/>
    <x v="3"/>
    <x v="3"/>
    <x v="2"/>
    <x v="2"/>
    <x v="1"/>
    <x v="0"/>
    <x v="4"/>
    <n v="0"/>
    <n v="0"/>
    <n v="22.245000000000001"/>
    <n v="8.8979999999999997"/>
    <n v="22.245000000000001"/>
    <n v="8.8979999999999997"/>
    <n v="0"/>
    <s v="CATIVO"/>
    <n v="0"/>
    <n v="0"/>
    <n v="30"/>
    <n v="70"/>
    <n v="0"/>
    <n v="285.56"/>
    <n v="227.23"/>
    <m/>
    <n v="320.95942704201292"/>
    <n v="216.7476358676706"/>
    <n v="0"/>
    <n v="8399.5785300000007"/>
    <n v="0"/>
    <n v="7940.2629951082663"/>
    <x v="3"/>
  </r>
  <r>
    <s v="Regular"/>
    <x v="3"/>
    <x v="3"/>
    <x v="3"/>
    <x v="2"/>
    <x v="2"/>
    <x v="1"/>
    <x v="0"/>
    <x v="5"/>
    <n v="0"/>
    <n v="0"/>
    <n v="36.807000000000002"/>
    <n v="14.722799999999999"/>
    <n v="36.807000000000002"/>
    <n v="14.722799999999999"/>
    <n v="0"/>
    <s v="CATIVO"/>
    <n v="0"/>
    <n v="0"/>
    <n v="30"/>
    <n v="70"/>
    <n v="0"/>
    <n v="285.56"/>
    <n v="227.23"/>
    <m/>
    <n v="320.95942704201292"/>
    <n v="216.7476358676706"/>
    <n v="0"/>
    <n v="13898.102358000002"/>
    <n v="0"/>
    <n v="13138.110139849403"/>
    <x v="3"/>
  </r>
  <r>
    <s v="Sistema de Compensação"/>
    <x v="3"/>
    <x v="3"/>
    <x v="3"/>
    <x v="2"/>
    <x v="2"/>
    <x v="1"/>
    <x v="0"/>
    <x v="5"/>
    <n v="0"/>
    <n v="0"/>
    <n v="0.55000000000000004"/>
    <n v="0.55000000000000004"/>
    <n v="0.55000000000000004"/>
    <n v="0.55000000000000004"/>
    <n v="0"/>
    <s v="CATIVO"/>
    <n v="0"/>
    <n v="0"/>
    <n v="30"/>
    <n v="70"/>
    <n v="0"/>
    <n v="285.56"/>
    <n v="227.23"/>
    <m/>
    <n v="320.95942704201292"/>
    <n v="216.7476358676706"/>
    <n v="0"/>
    <n v="38.456000000000024"/>
    <n v="0"/>
    <n v="18.876950080871929"/>
    <x v="4"/>
  </r>
  <r>
    <s v="Regular"/>
    <x v="3"/>
    <x v="3"/>
    <x v="3"/>
    <x v="2"/>
    <x v="2"/>
    <x v="1"/>
    <x v="0"/>
    <x v="6"/>
    <n v="0"/>
    <n v="0"/>
    <n v="79.156999999999996"/>
    <n v="31.662800000000001"/>
    <n v="79.156999999999996"/>
    <n v="31.662800000000001"/>
    <n v="0"/>
    <s v="CATIVO"/>
    <n v="0"/>
    <n v="0"/>
    <n v="30"/>
    <n v="70"/>
    <n v="0"/>
    <n v="285.56"/>
    <n v="227.23"/>
    <m/>
    <n v="320.95942704201292"/>
    <n v="216.7476358676706"/>
    <n v="0"/>
    <n v="29889.208257999999"/>
    <n v="0"/>
    <n v="28254.771764611593"/>
    <x v="3"/>
  </r>
  <r>
    <s v="Regular"/>
    <x v="3"/>
    <x v="3"/>
    <x v="3"/>
    <x v="2"/>
    <x v="2"/>
    <x v="1"/>
    <x v="0"/>
    <x v="7"/>
    <n v="0"/>
    <n v="0"/>
    <n v="27.257999999999999"/>
    <n v="10.9032"/>
    <n v="27.257999999999999"/>
    <n v="10.9032"/>
    <n v="0"/>
    <s v="CATIVO"/>
    <n v="0"/>
    <n v="0"/>
    <n v="30"/>
    <n v="70"/>
    <n v="0"/>
    <n v="285.56"/>
    <n v="227.23"/>
    <m/>
    <n v="320.95942704201292"/>
    <n v="216.7476358676706"/>
    <n v="0"/>
    <n v="10292.457251999998"/>
    <n v="0"/>
    <n v="9729.6331184833016"/>
    <x v="3"/>
  </r>
  <r>
    <s v="Sistema de Compensação"/>
    <x v="3"/>
    <x v="3"/>
    <x v="3"/>
    <x v="2"/>
    <x v="2"/>
    <x v="1"/>
    <x v="0"/>
    <x v="7"/>
    <n v="0"/>
    <n v="0"/>
    <n v="0.4"/>
    <n v="0.4"/>
    <n v="0.4"/>
    <n v="0.4"/>
    <n v="0"/>
    <s v="CATIVO"/>
    <n v="0"/>
    <n v="0"/>
    <n v="30"/>
    <n v="70"/>
    <n v="0"/>
    <n v="285.56"/>
    <n v="227.23"/>
    <m/>
    <n v="320.95942704201292"/>
    <n v="216.7476358676706"/>
    <n v="0"/>
    <n v="27.968000000000018"/>
    <n v="0"/>
    <n v="13.728690967906857"/>
    <x v="4"/>
  </r>
  <r>
    <s v="Regular"/>
    <x v="3"/>
    <x v="3"/>
    <x v="3"/>
    <x v="2"/>
    <x v="2"/>
    <x v="1"/>
    <x v="0"/>
    <x v="8"/>
    <n v="0"/>
    <n v="0"/>
    <n v="26.222999999999999"/>
    <n v="10.4892"/>
    <n v="26.222999999999999"/>
    <n v="10.4892"/>
    <n v="0"/>
    <s v="CATIVO"/>
    <n v="0"/>
    <n v="0"/>
    <n v="30"/>
    <n v="70"/>
    <n v="0"/>
    <n v="285.56"/>
    <n v="227.23"/>
    <m/>
    <n v="320.95942704201292"/>
    <n v="216.7476358676706"/>
    <n v="0"/>
    <n v="9901.6474620000008"/>
    <n v="0"/>
    <n v="9360.194044536931"/>
    <x v="3"/>
  </r>
  <r>
    <s v="Sistema de Compensação"/>
    <x v="3"/>
    <x v="3"/>
    <x v="3"/>
    <x v="2"/>
    <x v="2"/>
    <x v="1"/>
    <x v="0"/>
    <x v="8"/>
    <n v="0"/>
    <n v="0"/>
    <n v="0.25"/>
    <n v="0.25"/>
    <n v="0.25"/>
    <n v="0.25"/>
    <n v="0"/>
    <s v="CATIVO"/>
    <n v="0"/>
    <n v="0"/>
    <n v="30"/>
    <n v="70"/>
    <n v="0"/>
    <n v="285.56"/>
    <n v="227.23"/>
    <m/>
    <n v="320.95942704201292"/>
    <n v="216.7476358676706"/>
    <n v="0"/>
    <n v="17.480000000000011"/>
    <n v="0"/>
    <n v="8.5804318549417857"/>
    <x v="4"/>
  </r>
  <r>
    <s v="Regular"/>
    <x v="3"/>
    <x v="3"/>
    <x v="3"/>
    <x v="2"/>
    <x v="2"/>
    <x v="1"/>
    <x v="0"/>
    <x v="9"/>
    <n v="0"/>
    <n v="0"/>
    <n v="2.411"/>
    <n v="0.96440000000000003"/>
    <n v="2.411"/>
    <n v="0.96440000000000003"/>
    <n v="0"/>
    <s v="CATIVO"/>
    <n v="0"/>
    <n v="0"/>
    <n v="30"/>
    <n v="70"/>
    <n v="0"/>
    <n v="285.56"/>
    <n v="227.23"/>
    <m/>
    <n v="320.95942704201292"/>
    <n v="216.7476358676706"/>
    <n v="0"/>
    <n v="910.37913400000014"/>
    <n v="0"/>
    <n v="860.59672201420676"/>
    <x v="3"/>
  </r>
  <r>
    <s v="Regular"/>
    <x v="3"/>
    <x v="3"/>
    <x v="3"/>
    <x v="2"/>
    <x v="2"/>
    <x v="1"/>
    <x v="0"/>
    <x v="10"/>
    <n v="0"/>
    <n v="0"/>
    <n v="6.82"/>
    <n v="2.7280000000000002"/>
    <n v="6.82"/>
    <n v="2.7280000000000002"/>
    <n v="0"/>
    <s v="CATIVO"/>
    <n v="0"/>
    <n v="0"/>
    <n v="30"/>
    <n v="70"/>
    <n v="0"/>
    <n v="285.56"/>
    <n v="227.23"/>
    <m/>
    <n v="320.95942704201292"/>
    <n v="216.7476358676706"/>
    <n v="0"/>
    <n v="2575.1910800000005"/>
    <n v="0"/>
    <n v="2434.3714824292374"/>
    <x v="3"/>
  </r>
  <r>
    <s v="PROJETADO"/>
    <x v="3"/>
    <x v="3"/>
    <x v="3"/>
    <x v="2"/>
    <x v="2"/>
    <x v="1"/>
    <x v="0"/>
    <x v="11"/>
    <n v="0"/>
    <n v="0"/>
    <n v="6.82"/>
    <n v="2.7280000000000002"/>
    <n v="6.82"/>
    <n v="2.7280000000000002"/>
    <n v="0"/>
    <s v="CATIVO"/>
    <n v="0"/>
    <n v="0"/>
    <n v="30"/>
    <n v="70"/>
    <n v="0"/>
    <n v="285.56"/>
    <n v="227.23"/>
    <m/>
    <n v="320.95942704201292"/>
    <n v="216.7476358676706"/>
    <n v="0"/>
    <n v="2575.1910800000005"/>
    <n v="0"/>
    <n v="2434.3714824292374"/>
    <x v="3"/>
  </r>
  <r>
    <s v="Regular"/>
    <x v="3"/>
    <x v="3"/>
    <x v="3"/>
    <x v="8"/>
    <x v="3"/>
    <x v="1"/>
    <x v="0"/>
    <x v="0"/>
    <n v="0"/>
    <n v="0"/>
    <n v="4.6390000000000002"/>
    <n v="4.6390000000000002"/>
    <n v="4.6390000000000002"/>
    <n v="4.6390000000000002"/>
    <n v="0"/>
    <s v="CATIVO"/>
    <n v="0"/>
    <n v="0"/>
    <n v="30"/>
    <n v="70"/>
    <n v="0"/>
    <n v="285.56"/>
    <n v="227.23"/>
    <m/>
    <n v="320.95942704201292"/>
    <n v="216.7476358676706"/>
    <n v="0"/>
    <n v="324.35888000000023"/>
    <n v="0"/>
    <n v="159.21849350029979"/>
    <x v="4"/>
  </r>
  <r>
    <s v="Regular"/>
    <x v="3"/>
    <x v="3"/>
    <x v="3"/>
    <x v="8"/>
    <x v="3"/>
    <x v="1"/>
    <x v="0"/>
    <x v="1"/>
    <n v="0"/>
    <n v="0"/>
    <n v="4.6219999999999999"/>
    <n v="4.6219999999999999"/>
    <n v="4.6219999999999999"/>
    <n v="4.6219999999999999"/>
    <n v="0"/>
    <s v="CATIVO"/>
    <n v="0"/>
    <n v="0"/>
    <n v="30"/>
    <n v="70"/>
    <n v="0"/>
    <n v="285.56"/>
    <n v="227.23"/>
    <m/>
    <n v="320.95942704201292"/>
    <n v="216.7476358676706"/>
    <n v="0"/>
    <n v="323.17024000000021"/>
    <n v="0"/>
    <n v="158.63502413416373"/>
    <x v="4"/>
  </r>
  <r>
    <s v="Refaturamento - Regular"/>
    <x v="3"/>
    <x v="3"/>
    <x v="3"/>
    <x v="8"/>
    <x v="3"/>
    <x v="1"/>
    <x v="0"/>
    <x v="1"/>
    <n v="0"/>
    <n v="0"/>
    <n v="-1.766"/>
    <n v="-1.766"/>
    <n v="-1.766"/>
    <n v="-1.766"/>
    <n v="0"/>
    <s v="CATIVO"/>
    <n v="0"/>
    <n v="0"/>
    <n v="30"/>
    <n v="70"/>
    <n v="0"/>
    <n v="285.56"/>
    <n v="227.23"/>
    <m/>
    <n v="320.95942704201292"/>
    <n v="216.7476358676706"/>
    <n v="0"/>
    <n v="-123.47872000000008"/>
    <n v="0"/>
    <n v="-60.612170623308778"/>
    <x v="4"/>
  </r>
  <r>
    <s v="Sistema de Compensação"/>
    <x v="3"/>
    <x v="3"/>
    <x v="3"/>
    <x v="8"/>
    <x v="3"/>
    <x v="1"/>
    <x v="0"/>
    <x v="1"/>
    <n v="0"/>
    <n v="0"/>
    <n v="1.845"/>
    <n v="1.845"/>
    <n v="1.845"/>
    <n v="1.845"/>
    <n v="0"/>
    <s v="CATIVO"/>
    <n v="0"/>
    <n v="0"/>
    <n v="30"/>
    <n v="70"/>
    <n v="0"/>
    <n v="285.56"/>
    <n v="227.23"/>
    <m/>
    <n v="320.95942704201292"/>
    <n v="216.7476358676706"/>
    <n v="0"/>
    <n v="129.00240000000008"/>
    <n v="0"/>
    <n v="63.323587089470379"/>
    <x v="4"/>
  </r>
  <r>
    <s v="Regular"/>
    <x v="3"/>
    <x v="3"/>
    <x v="3"/>
    <x v="8"/>
    <x v="3"/>
    <x v="1"/>
    <x v="0"/>
    <x v="2"/>
    <n v="0"/>
    <n v="0"/>
    <n v="1.7450000000000001"/>
    <n v="1.7450000000000001"/>
    <n v="1.7450000000000001"/>
    <n v="1.7450000000000001"/>
    <n v="0"/>
    <s v="CATIVO"/>
    <n v="0"/>
    <n v="0"/>
    <n v="30"/>
    <n v="70"/>
    <n v="0"/>
    <n v="285.56"/>
    <n v="227.23"/>
    <m/>
    <n v="320.95942704201292"/>
    <n v="216.7476358676706"/>
    <n v="0"/>
    <n v="122.01040000000009"/>
    <n v="0"/>
    <n v="59.891414347493665"/>
    <x v="4"/>
  </r>
  <r>
    <s v="Refaturamento - Regular"/>
    <x v="3"/>
    <x v="3"/>
    <x v="3"/>
    <x v="8"/>
    <x v="3"/>
    <x v="1"/>
    <x v="0"/>
    <x v="2"/>
    <n v="0"/>
    <n v="0"/>
    <n v="-1.5509999999999999"/>
    <n v="-1.5509999999999999"/>
    <n v="-1.5509999999999999"/>
    <n v="-1.5509999999999999"/>
    <n v="0"/>
    <s v="CATIVO"/>
    <n v="0"/>
    <n v="0"/>
    <n v="30"/>
    <n v="70"/>
    <n v="0"/>
    <n v="285.56"/>
    <n v="227.23"/>
    <m/>
    <n v="320.95942704201292"/>
    <n v="216.7476358676706"/>
    <n v="0"/>
    <n v="-108.44592000000006"/>
    <n v="0"/>
    <n v="-53.232999228058837"/>
    <x v="4"/>
  </r>
  <r>
    <s v="Sistema de Compensação"/>
    <x v="3"/>
    <x v="3"/>
    <x v="3"/>
    <x v="8"/>
    <x v="3"/>
    <x v="1"/>
    <x v="0"/>
    <x v="2"/>
    <n v="0"/>
    <n v="0"/>
    <n v="10.317"/>
    <n v="10.317"/>
    <n v="10.317"/>
    <n v="10.317"/>
    <n v="0"/>
    <s v="CATIVO"/>
    <n v="0"/>
    <n v="0"/>
    <n v="30"/>
    <n v="70"/>
    <n v="0"/>
    <n v="285.56"/>
    <n v="227.23"/>
    <m/>
    <n v="320.95942704201292"/>
    <n v="216.7476358676706"/>
    <n v="0"/>
    <n v="721.36464000000046"/>
    <n v="0"/>
    <n v="354.09726178973762"/>
    <x v="4"/>
  </r>
  <r>
    <s v="Regular"/>
    <x v="3"/>
    <x v="3"/>
    <x v="3"/>
    <x v="8"/>
    <x v="3"/>
    <x v="1"/>
    <x v="0"/>
    <x v="3"/>
    <n v="0"/>
    <n v="0"/>
    <n v="2.9319999999999999"/>
    <n v="2.9319999999999999"/>
    <n v="2.9319999999999999"/>
    <n v="2.9319999999999999"/>
    <n v="0"/>
    <s v="CATIVO"/>
    <n v="0"/>
    <n v="0"/>
    <n v="30"/>
    <n v="70"/>
    <n v="0"/>
    <n v="285.56"/>
    <n v="227.23"/>
    <m/>
    <n v="320.95942704201292"/>
    <n v="216.7476358676706"/>
    <n v="0"/>
    <n v="205.00544000000014"/>
    <n v="0"/>
    <n v="100.63130479475726"/>
    <x v="4"/>
  </r>
  <r>
    <s v="Sistema de Compensação"/>
    <x v="3"/>
    <x v="3"/>
    <x v="3"/>
    <x v="8"/>
    <x v="3"/>
    <x v="1"/>
    <x v="0"/>
    <x v="3"/>
    <n v="0"/>
    <n v="0"/>
    <n v="8.9480000000000004"/>
    <n v="8.9480000000000004"/>
    <n v="8.9480000000000004"/>
    <n v="8.9480000000000004"/>
    <n v="0"/>
    <s v="CATIVO"/>
    <n v="0"/>
    <n v="0"/>
    <n v="30"/>
    <n v="70"/>
    <n v="0"/>
    <n v="285.56"/>
    <n v="227.23"/>
    <m/>
    <n v="320.95942704201292"/>
    <n v="216.7476358676706"/>
    <n v="0"/>
    <n v="625.6441600000004"/>
    <n v="0"/>
    <n v="307.11081695207639"/>
    <x v="4"/>
  </r>
  <r>
    <s v="Regular"/>
    <x v="3"/>
    <x v="3"/>
    <x v="3"/>
    <x v="8"/>
    <x v="3"/>
    <x v="1"/>
    <x v="0"/>
    <x v="4"/>
    <n v="0"/>
    <n v="0"/>
    <n v="2.524"/>
    <n v="2.524"/>
    <n v="2.524"/>
    <n v="2.524"/>
    <n v="0"/>
    <s v="CATIVO"/>
    <n v="0"/>
    <n v="0"/>
    <n v="30"/>
    <n v="70"/>
    <n v="0"/>
    <n v="285.56"/>
    <n v="227.23"/>
    <m/>
    <n v="320.95942704201292"/>
    <n v="216.7476358676706"/>
    <n v="0"/>
    <n v="176.47808000000012"/>
    <n v="0"/>
    <n v="86.628040007492274"/>
    <x v="4"/>
  </r>
  <r>
    <s v="Sistema de Compensação"/>
    <x v="3"/>
    <x v="3"/>
    <x v="3"/>
    <x v="8"/>
    <x v="3"/>
    <x v="1"/>
    <x v="0"/>
    <x v="4"/>
    <n v="0"/>
    <n v="0"/>
    <n v="7.024"/>
    <n v="7.024"/>
    <n v="7.024"/>
    <n v="7.024"/>
    <n v="0"/>
    <s v="CATIVO"/>
    <n v="0"/>
    <n v="0"/>
    <n v="30"/>
    <n v="70"/>
    <n v="0"/>
    <n v="285.56"/>
    <n v="227.23"/>
    <m/>
    <n v="320.95942704201292"/>
    <n v="216.7476358676706"/>
    <n v="0"/>
    <n v="491.1180800000003"/>
    <n v="0"/>
    <n v="241.0758133964444"/>
    <x v="4"/>
  </r>
  <r>
    <s v="Regular"/>
    <x v="3"/>
    <x v="3"/>
    <x v="3"/>
    <x v="8"/>
    <x v="3"/>
    <x v="1"/>
    <x v="0"/>
    <x v="5"/>
    <n v="0"/>
    <n v="0"/>
    <n v="5.0359999999999996"/>
    <n v="5.0359999999999996"/>
    <n v="5.0359999999999996"/>
    <n v="5.0359999999999996"/>
    <n v="0"/>
    <s v="CATIVO"/>
    <n v="0"/>
    <n v="0"/>
    <n v="30"/>
    <n v="70"/>
    <n v="0"/>
    <n v="285.56"/>
    <n v="227.23"/>
    <m/>
    <n v="320.95942704201292"/>
    <n v="216.7476358676706"/>
    <n v="0"/>
    <n v="352.11712000000017"/>
    <n v="0"/>
    <n v="172.8442192859473"/>
    <x v="4"/>
  </r>
  <r>
    <s v="Sistema de Compensação"/>
    <x v="3"/>
    <x v="3"/>
    <x v="3"/>
    <x v="8"/>
    <x v="3"/>
    <x v="1"/>
    <x v="0"/>
    <x v="5"/>
    <n v="0"/>
    <n v="0"/>
    <n v="8.0090000000000003"/>
    <n v="8.0090000000000003"/>
    <n v="8.0090000000000003"/>
    <n v="8.0090000000000003"/>
    <n v="0"/>
    <s v="CATIVO"/>
    <n v="0"/>
    <n v="0"/>
    <n v="30"/>
    <n v="70"/>
    <n v="0"/>
    <n v="285.56"/>
    <n v="227.23"/>
    <m/>
    <n v="320.95942704201292"/>
    <n v="216.7476358676706"/>
    <n v="0"/>
    <n v="559.98928000000035"/>
    <n v="0"/>
    <n v="274.88271490491508"/>
    <x v="4"/>
  </r>
  <r>
    <s v="Regular"/>
    <x v="3"/>
    <x v="3"/>
    <x v="3"/>
    <x v="8"/>
    <x v="3"/>
    <x v="1"/>
    <x v="0"/>
    <x v="6"/>
    <n v="0"/>
    <n v="0"/>
    <n v="7.0739999999999998"/>
    <n v="7.0739999999999998"/>
    <n v="7.0739999999999998"/>
    <n v="7.0739999999999998"/>
    <n v="0"/>
    <s v="CATIVO"/>
    <n v="0"/>
    <n v="0"/>
    <n v="30"/>
    <n v="70"/>
    <n v="0"/>
    <n v="285.56"/>
    <n v="227.23"/>
    <m/>
    <n v="320.95942704201292"/>
    <n v="216.7476358676706"/>
    <n v="0"/>
    <n v="494.61408000000029"/>
    <n v="0"/>
    <n v="242.79189976743277"/>
    <x v="4"/>
  </r>
  <r>
    <s v="Sistema de Compensação"/>
    <x v="3"/>
    <x v="3"/>
    <x v="3"/>
    <x v="8"/>
    <x v="3"/>
    <x v="1"/>
    <x v="0"/>
    <x v="6"/>
    <n v="0"/>
    <n v="0"/>
    <n v="7.4219999999999997"/>
    <n v="7.4219999999999997"/>
    <n v="7.4219999999999997"/>
    <n v="7.4219999999999997"/>
    <n v="0"/>
    <s v="CATIVO"/>
    <n v="0"/>
    <n v="0"/>
    <n v="30"/>
    <n v="70"/>
    <n v="0"/>
    <n v="285.56"/>
    <n v="227.23"/>
    <m/>
    <n v="320.95942704201292"/>
    <n v="216.7476358676706"/>
    <n v="0"/>
    <n v="518.94624000000033"/>
    <n v="0"/>
    <n v="254.73586090951173"/>
    <x v="4"/>
  </r>
  <r>
    <s v="Regular"/>
    <x v="3"/>
    <x v="3"/>
    <x v="3"/>
    <x v="8"/>
    <x v="3"/>
    <x v="1"/>
    <x v="0"/>
    <x v="7"/>
    <n v="0"/>
    <n v="0"/>
    <n v="5.0780000000000003"/>
    <n v="5.0780000000000003"/>
    <n v="5.0780000000000003"/>
    <n v="5.0780000000000003"/>
    <n v="0"/>
    <s v="CATIVO"/>
    <n v="0"/>
    <n v="0"/>
    <n v="30"/>
    <n v="70"/>
    <n v="0"/>
    <n v="285.56"/>
    <n v="227.23"/>
    <m/>
    <n v="320.95942704201292"/>
    <n v="216.7476358676706"/>
    <n v="0"/>
    <n v="355.05376000000024"/>
    <n v="0"/>
    <n v="174.28573183757757"/>
    <x v="4"/>
  </r>
  <r>
    <s v="Sistema de Compensação"/>
    <x v="3"/>
    <x v="3"/>
    <x v="3"/>
    <x v="8"/>
    <x v="3"/>
    <x v="1"/>
    <x v="0"/>
    <x v="7"/>
    <n v="0"/>
    <n v="0"/>
    <n v="9.9499999999999993"/>
    <n v="9.9499999999999993"/>
    <n v="9.9499999999999993"/>
    <n v="9.9499999999999993"/>
    <n v="0"/>
    <s v="CATIVO"/>
    <n v="0"/>
    <n v="0"/>
    <n v="30"/>
    <n v="70"/>
    <n v="0"/>
    <n v="285.56"/>
    <n v="227.23"/>
    <m/>
    <n v="320.95942704201292"/>
    <n v="216.7476358676706"/>
    <n v="0"/>
    <n v="695.70400000000041"/>
    <n v="0"/>
    <n v="341.50118782668306"/>
    <x v="4"/>
  </r>
  <r>
    <s v="Regular"/>
    <x v="3"/>
    <x v="3"/>
    <x v="3"/>
    <x v="8"/>
    <x v="3"/>
    <x v="1"/>
    <x v="0"/>
    <x v="8"/>
    <n v="0"/>
    <n v="0"/>
    <n v="4.3520000000000003"/>
    <n v="4.3520000000000003"/>
    <n v="4.3520000000000003"/>
    <n v="4.3520000000000003"/>
    <n v="0"/>
    <s v="CATIVO"/>
    <n v="0"/>
    <n v="0"/>
    <n v="30"/>
    <n v="70"/>
    <n v="0"/>
    <n v="285.56"/>
    <n v="227.23"/>
    <m/>
    <n v="320.95942704201292"/>
    <n v="216.7476358676706"/>
    <n v="0"/>
    <n v="304.29184000000021"/>
    <n v="0"/>
    <n v="149.36815773082662"/>
    <x v="4"/>
  </r>
  <r>
    <s v="Refaturamento - Regular"/>
    <x v="3"/>
    <x v="3"/>
    <x v="3"/>
    <x v="8"/>
    <x v="3"/>
    <x v="1"/>
    <x v="0"/>
    <x v="8"/>
    <n v="0"/>
    <n v="0"/>
    <n v="-0.97199999999999998"/>
    <n v="-0.97199999999999998"/>
    <n v="-0.97199999999999998"/>
    <n v="-0.97199999999999998"/>
    <n v="0"/>
    <s v="CATIVO"/>
    <n v="0"/>
    <n v="0"/>
    <n v="30"/>
    <n v="70"/>
    <n v="0"/>
    <n v="285.56"/>
    <n v="227.23"/>
    <m/>
    <n v="320.95942704201292"/>
    <n v="216.7476358676706"/>
    <n v="0"/>
    <n v="-67.962240000000037"/>
    <n v="0"/>
    <n v="-33.360719052013664"/>
    <x v="4"/>
  </r>
  <r>
    <s v="Sistema de Compensação"/>
    <x v="3"/>
    <x v="3"/>
    <x v="3"/>
    <x v="8"/>
    <x v="3"/>
    <x v="1"/>
    <x v="0"/>
    <x v="8"/>
    <n v="0"/>
    <n v="0"/>
    <n v="10.961"/>
    <n v="10.961"/>
    <n v="10.961"/>
    <n v="10.961"/>
    <n v="0"/>
    <s v="CATIVO"/>
    <n v="0"/>
    <n v="0"/>
    <n v="30"/>
    <n v="70"/>
    <n v="0"/>
    <n v="285.56"/>
    <n v="227.23"/>
    <m/>
    <n v="320.95942704201292"/>
    <n v="216.7476358676706"/>
    <n v="0"/>
    <n v="766.39312000000052"/>
    <n v="0"/>
    <n v="376.20045424806767"/>
    <x v="4"/>
  </r>
  <r>
    <s v="Regular"/>
    <x v="3"/>
    <x v="3"/>
    <x v="3"/>
    <x v="8"/>
    <x v="3"/>
    <x v="1"/>
    <x v="0"/>
    <x v="9"/>
    <n v="0"/>
    <n v="0"/>
    <n v="5.8879999999999999"/>
    <n v="5.8879999999999999"/>
    <n v="5.8879999999999999"/>
    <n v="5.8879999999999999"/>
    <n v="0"/>
    <s v="CATIVO"/>
    <n v="0"/>
    <n v="0"/>
    <n v="30"/>
    <n v="70"/>
    <n v="0"/>
    <n v="285.56"/>
    <n v="227.23"/>
    <m/>
    <n v="320.95942704201292"/>
    <n v="216.7476358676706"/>
    <n v="0"/>
    <n v="411.68896000000024"/>
    <n v="0"/>
    <n v="202.08633104758894"/>
    <x v="4"/>
  </r>
  <r>
    <s v="Sistema de Compensação"/>
    <x v="3"/>
    <x v="3"/>
    <x v="3"/>
    <x v="8"/>
    <x v="3"/>
    <x v="1"/>
    <x v="0"/>
    <x v="9"/>
    <n v="0"/>
    <n v="0"/>
    <n v="10.076000000000001"/>
    <n v="10.076000000000001"/>
    <n v="10.076000000000001"/>
    <n v="10.076000000000001"/>
    <n v="0"/>
    <s v="CATIVO"/>
    <n v="0"/>
    <n v="0"/>
    <n v="30"/>
    <n v="70"/>
    <n v="0"/>
    <n v="285.56"/>
    <n v="227.23"/>
    <m/>
    <n v="320.95942704201292"/>
    <n v="216.7476358676706"/>
    <n v="0"/>
    <n v="704.51392000000044"/>
    <n v="0"/>
    <n v="345.82572548157373"/>
    <x v="4"/>
  </r>
  <r>
    <s v="Regular"/>
    <x v="3"/>
    <x v="3"/>
    <x v="3"/>
    <x v="8"/>
    <x v="3"/>
    <x v="1"/>
    <x v="0"/>
    <x v="10"/>
    <n v="0"/>
    <n v="0"/>
    <n v="6.9560000000000004"/>
    <n v="6.9560000000000004"/>
    <n v="6.9560000000000004"/>
    <n v="6.9560000000000004"/>
    <n v="0"/>
    <s v="CATIVO"/>
    <n v="0"/>
    <n v="0"/>
    <n v="30"/>
    <n v="70"/>
    <n v="0"/>
    <n v="285.56"/>
    <n v="227.23"/>
    <m/>
    <n v="320.95942704201292"/>
    <n v="216.7476358676706"/>
    <n v="0"/>
    <n v="486.36352000000034"/>
    <n v="0"/>
    <n v="238.74193593190026"/>
    <x v="4"/>
  </r>
  <r>
    <s v="Sistema de Compensação"/>
    <x v="3"/>
    <x v="3"/>
    <x v="3"/>
    <x v="8"/>
    <x v="3"/>
    <x v="1"/>
    <x v="0"/>
    <x v="10"/>
    <n v="0"/>
    <n v="0"/>
    <n v="9.52"/>
    <n v="9.52"/>
    <n v="9.52"/>
    <n v="9.52"/>
    <n v="0"/>
    <s v="CATIVO"/>
    <n v="0"/>
    <n v="0"/>
    <n v="30"/>
    <n v="70"/>
    <n v="0"/>
    <n v="285.56"/>
    <n v="227.23"/>
    <m/>
    <n v="320.95942704201292"/>
    <n v="216.7476358676706"/>
    <n v="0"/>
    <n v="665.63840000000039"/>
    <n v="0"/>
    <n v="326.74284503618321"/>
    <x v="4"/>
  </r>
  <r>
    <s v="PROJETADO"/>
    <x v="3"/>
    <x v="3"/>
    <x v="3"/>
    <x v="8"/>
    <x v="3"/>
    <x v="1"/>
    <x v="0"/>
    <x v="11"/>
    <n v="0"/>
    <n v="0"/>
    <n v="6.9560000000000004"/>
    <n v="6.9560000000000004"/>
    <n v="6.9560000000000004"/>
    <n v="6.9560000000000004"/>
    <n v="0"/>
    <s v="CATIVO"/>
    <n v="0"/>
    <n v="0"/>
    <n v="30"/>
    <n v="70"/>
    <n v="0"/>
    <n v="285.56"/>
    <n v="227.23"/>
    <m/>
    <n v="320.95942704201292"/>
    <n v="216.7476358676706"/>
    <n v="0"/>
    <n v="486.36352000000034"/>
    <n v="0"/>
    <n v="238.74193593190026"/>
    <x v="4"/>
  </r>
  <r>
    <s v="PROJETADO"/>
    <x v="3"/>
    <x v="3"/>
    <x v="3"/>
    <x v="8"/>
    <x v="3"/>
    <x v="1"/>
    <x v="0"/>
    <x v="11"/>
    <n v="0"/>
    <n v="0"/>
    <n v="9.52"/>
    <n v="9.52"/>
    <n v="9.52"/>
    <n v="9.52"/>
    <n v="0"/>
    <s v="CATIVO"/>
    <n v="0"/>
    <n v="0"/>
    <n v="30"/>
    <n v="70"/>
    <n v="0"/>
    <n v="285.56"/>
    <n v="227.23"/>
    <m/>
    <n v="320.95942704201292"/>
    <n v="216.7476358676706"/>
    <n v="0"/>
    <n v="665.63840000000039"/>
    <n v="0"/>
    <n v="326.74284503618321"/>
    <x v="4"/>
  </r>
  <r>
    <s v="Regular"/>
    <x v="3"/>
    <x v="3"/>
    <x v="3"/>
    <x v="8"/>
    <x v="2"/>
    <x v="1"/>
    <x v="0"/>
    <x v="0"/>
    <n v="0"/>
    <n v="0"/>
    <n v="1.758"/>
    <n v="0.70320000000000005"/>
    <n v="1.758"/>
    <n v="0.70320000000000005"/>
    <n v="0"/>
    <s v="CATIVO"/>
    <n v="0"/>
    <n v="0"/>
    <n v="30"/>
    <n v="70"/>
    <n v="0"/>
    <n v="285.56"/>
    <n v="227.23"/>
    <m/>
    <n v="320.95942704201292"/>
    <n v="216.7476358676706"/>
    <n v="0"/>
    <n v="663.81025199999999"/>
    <n v="0"/>
    <n v="627.51100676108479"/>
    <x v="3"/>
  </r>
  <r>
    <s v="Regular"/>
    <x v="3"/>
    <x v="3"/>
    <x v="3"/>
    <x v="8"/>
    <x v="2"/>
    <x v="1"/>
    <x v="0"/>
    <x v="1"/>
    <n v="0"/>
    <n v="0"/>
    <n v="0.69899999999999995"/>
    <n v="0.27960000000000002"/>
    <n v="0.69899999999999995"/>
    <n v="0.27960000000000002"/>
    <n v="0"/>
    <s v="CATIVO"/>
    <n v="0"/>
    <n v="0"/>
    <n v="30"/>
    <n v="70"/>
    <n v="0"/>
    <n v="285.56"/>
    <n v="227.23"/>
    <m/>
    <n v="320.95942704201292"/>
    <n v="216.7476358676706"/>
    <n v="0"/>
    <n v="263.93820599999998"/>
    <n v="0"/>
    <n v="249.50522965073844"/>
    <x v="3"/>
  </r>
  <r>
    <s v="Refaturamento - Regular"/>
    <x v="3"/>
    <x v="3"/>
    <x v="3"/>
    <x v="8"/>
    <x v="2"/>
    <x v="1"/>
    <x v="0"/>
    <x v="1"/>
    <n v="0"/>
    <n v="0"/>
    <n v="4.1000000000000002E-2"/>
    <n v="1.6400000000000001E-2"/>
    <n v="4.1000000000000002E-2"/>
    <n v="1.6400000000000001E-2"/>
    <n v="0"/>
    <s v="CATIVO"/>
    <n v="0"/>
    <n v="0"/>
    <n v="30"/>
    <n v="70"/>
    <n v="0"/>
    <n v="285.56"/>
    <n v="227.23"/>
    <m/>
    <n v="320.95942704201292"/>
    <n v="216.7476358676706"/>
    <n v="0"/>
    <n v="15.481354000000001"/>
    <n v="0"/>
    <n v="14.634784571788666"/>
    <x v="3"/>
  </r>
  <r>
    <s v="Sistema de Compensação"/>
    <x v="3"/>
    <x v="3"/>
    <x v="3"/>
    <x v="8"/>
    <x v="2"/>
    <x v="1"/>
    <x v="0"/>
    <x v="1"/>
    <n v="0"/>
    <n v="0"/>
    <n v="6.25"/>
    <n v="6.25"/>
    <n v="6.25"/>
    <n v="6.25"/>
    <n v="0"/>
    <s v="CATIVO"/>
    <n v="0"/>
    <n v="0"/>
    <n v="30"/>
    <n v="70"/>
    <n v="0"/>
    <n v="285.56"/>
    <n v="227.23"/>
    <m/>
    <n v="320.95942704201292"/>
    <n v="216.7476358676706"/>
    <n v="0"/>
    <n v="437.00000000000028"/>
    <n v="0"/>
    <n v="214.51079637354465"/>
    <x v="4"/>
  </r>
  <r>
    <s v="Regular"/>
    <x v="3"/>
    <x v="3"/>
    <x v="3"/>
    <x v="8"/>
    <x v="2"/>
    <x v="1"/>
    <x v="0"/>
    <x v="2"/>
    <n v="0"/>
    <n v="0"/>
    <n v="2.3479999999999999"/>
    <n v="0.93920000000000003"/>
    <n v="2.3479999999999999"/>
    <n v="0.93920000000000003"/>
    <n v="0"/>
    <s v="CATIVO"/>
    <n v="0"/>
    <n v="0"/>
    <n v="30"/>
    <n v="70"/>
    <n v="0"/>
    <n v="285.56"/>
    <n v="227.23"/>
    <m/>
    <n v="320.95942704201292"/>
    <n v="216.7476358676706"/>
    <n v="0"/>
    <n v="886.59071199999994"/>
    <n v="0"/>
    <n v="838.10912620877525"/>
    <x v="3"/>
  </r>
  <r>
    <s v="Refaturamento - Regular"/>
    <x v="3"/>
    <x v="3"/>
    <x v="3"/>
    <x v="8"/>
    <x v="2"/>
    <x v="1"/>
    <x v="0"/>
    <x v="2"/>
    <n v="0"/>
    <n v="0"/>
    <n v="4.7E-2"/>
    <n v="1.8800000000000001E-2"/>
    <n v="4.7E-2"/>
    <n v="1.8800000000000001E-2"/>
    <n v="0"/>
    <s v="CATIVO"/>
    <n v="0"/>
    <n v="0"/>
    <n v="30"/>
    <n v="70"/>
    <n v="0"/>
    <n v="285.56"/>
    <n v="227.23"/>
    <m/>
    <n v="320.95942704201292"/>
    <n v="216.7476358676706"/>
    <n v="0"/>
    <n v="17.746918000000001"/>
    <n v="0"/>
    <n v="16.776460362782132"/>
    <x v="3"/>
  </r>
  <r>
    <s v="Sistema de Compensação"/>
    <x v="3"/>
    <x v="3"/>
    <x v="3"/>
    <x v="8"/>
    <x v="2"/>
    <x v="1"/>
    <x v="0"/>
    <x v="2"/>
    <n v="0"/>
    <n v="0"/>
    <n v="10.151"/>
    <n v="10.151"/>
    <n v="10.151"/>
    <n v="10.151"/>
    <n v="0"/>
    <s v="CATIVO"/>
    <n v="0"/>
    <n v="0"/>
    <n v="30"/>
    <n v="70"/>
    <n v="0"/>
    <n v="285.56"/>
    <n v="227.23"/>
    <m/>
    <n v="320.95942704201292"/>
    <n v="216.7476358676706"/>
    <n v="0"/>
    <n v="709.75792000000047"/>
    <n v="0"/>
    <n v="348.39985503805627"/>
    <x v="4"/>
  </r>
  <r>
    <s v="Regular"/>
    <x v="3"/>
    <x v="3"/>
    <x v="3"/>
    <x v="8"/>
    <x v="2"/>
    <x v="1"/>
    <x v="0"/>
    <x v="3"/>
    <n v="0"/>
    <n v="0"/>
    <n v="2.39"/>
    <n v="0.95599999999999996"/>
    <n v="2.39"/>
    <n v="0.95599999999999996"/>
    <n v="0"/>
    <s v="CATIVO"/>
    <n v="0"/>
    <n v="0"/>
    <n v="30"/>
    <n v="70"/>
    <n v="0"/>
    <n v="285.56"/>
    <n v="227.23"/>
    <m/>
    <n v="320.95942704201292"/>
    <n v="216.7476358676706"/>
    <n v="0"/>
    <n v="902.44966000000011"/>
    <n v="0"/>
    <n v="853.10085674572974"/>
    <x v="3"/>
  </r>
  <r>
    <s v="Sistema de Compensação"/>
    <x v="3"/>
    <x v="3"/>
    <x v="3"/>
    <x v="8"/>
    <x v="2"/>
    <x v="1"/>
    <x v="0"/>
    <x v="3"/>
    <n v="0"/>
    <n v="0"/>
    <n v="9.3699999999999992"/>
    <n v="9.3699999999999992"/>
    <n v="9.3699999999999992"/>
    <n v="9.3699999999999992"/>
    <n v="0"/>
    <s v="CATIVO"/>
    <n v="0"/>
    <n v="0"/>
    <n v="30"/>
    <n v="70"/>
    <n v="0"/>
    <n v="285.56"/>
    <n v="227.23"/>
    <m/>
    <n v="320.95942704201292"/>
    <n v="216.7476358676706"/>
    <n v="0"/>
    <n v="655.15040000000033"/>
    <n v="0"/>
    <n v="321.59458592321812"/>
    <x v="4"/>
  </r>
  <r>
    <s v="Regular"/>
    <x v="3"/>
    <x v="3"/>
    <x v="3"/>
    <x v="8"/>
    <x v="2"/>
    <x v="1"/>
    <x v="0"/>
    <x v="4"/>
    <n v="0"/>
    <n v="0"/>
    <n v="1.155"/>
    <n v="0.46200000000000002"/>
    <n v="1.155"/>
    <n v="0.46200000000000002"/>
    <n v="0"/>
    <s v="CATIVO"/>
    <n v="0"/>
    <n v="0"/>
    <n v="30"/>
    <n v="70"/>
    <n v="0"/>
    <n v="285.56"/>
    <n v="227.23"/>
    <m/>
    <n v="320.95942704201292"/>
    <n v="216.7476358676706"/>
    <n v="0"/>
    <n v="436.12107000000003"/>
    <n v="0"/>
    <n v="412.27258976624171"/>
    <x v="3"/>
  </r>
  <r>
    <s v="Sistema de Compensação"/>
    <x v="3"/>
    <x v="3"/>
    <x v="3"/>
    <x v="8"/>
    <x v="2"/>
    <x v="1"/>
    <x v="0"/>
    <x v="4"/>
    <n v="0"/>
    <n v="0"/>
    <n v="9.85"/>
    <n v="9.85"/>
    <n v="9.85"/>
    <n v="9.85"/>
    <n v="0"/>
    <s v="CATIVO"/>
    <n v="0"/>
    <n v="0"/>
    <n v="30"/>
    <n v="70"/>
    <n v="0"/>
    <n v="285.56"/>
    <n v="227.23"/>
    <m/>
    <n v="320.95942704201292"/>
    <n v="216.7476358676706"/>
    <n v="0"/>
    <n v="688.71200000000044"/>
    <n v="0"/>
    <n v="338.06901508470634"/>
    <x v="4"/>
  </r>
  <r>
    <s v="Regular"/>
    <x v="3"/>
    <x v="3"/>
    <x v="3"/>
    <x v="8"/>
    <x v="2"/>
    <x v="1"/>
    <x v="0"/>
    <x v="5"/>
    <n v="0"/>
    <n v="0"/>
    <n v="2.379"/>
    <n v="0.9516"/>
    <n v="2.379"/>
    <n v="0.9516"/>
    <n v="0"/>
    <s v="CATIVO"/>
    <n v="0"/>
    <n v="0"/>
    <n v="30"/>
    <n v="70"/>
    <n v="0"/>
    <n v="285.56"/>
    <n v="227.23"/>
    <m/>
    <n v="320.95942704201292"/>
    <n v="216.7476358676706"/>
    <n v="0"/>
    <n v="898.29612599999996"/>
    <n v="0"/>
    <n v="849.17445112890823"/>
    <x v="3"/>
  </r>
  <r>
    <s v="Sistema de Compensação"/>
    <x v="3"/>
    <x v="3"/>
    <x v="3"/>
    <x v="8"/>
    <x v="2"/>
    <x v="1"/>
    <x v="0"/>
    <x v="5"/>
    <n v="0"/>
    <n v="0"/>
    <n v="10.172000000000001"/>
    <n v="10.172000000000001"/>
    <n v="10.172000000000001"/>
    <n v="10.172000000000001"/>
    <n v="0"/>
    <s v="CATIVO"/>
    <n v="0"/>
    <n v="0"/>
    <n v="30"/>
    <n v="70"/>
    <n v="0"/>
    <n v="285.56"/>
    <n v="227.23"/>
    <m/>
    <n v="320.95942704201292"/>
    <n v="216.7476358676706"/>
    <n v="0"/>
    <n v="711.22624000000053"/>
    <n v="0"/>
    <n v="349.12061131387139"/>
    <x v="4"/>
  </r>
  <r>
    <s v="Regular"/>
    <x v="3"/>
    <x v="3"/>
    <x v="3"/>
    <x v="8"/>
    <x v="2"/>
    <x v="1"/>
    <x v="0"/>
    <x v="6"/>
    <n v="0"/>
    <n v="0"/>
    <n v="6.9930000000000003"/>
    <n v="2.7972000000000001"/>
    <n v="6.9930000000000003"/>
    <n v="2.7972000000000001"/>
    <n v="0"/>
    <s v="CATIVO"/>
    <n v="0"/>
    <n v="0"/>
    <n v="30"/>
    <n v="70"/>
    <n v="0"/>
    <n v="285.56"/>
    <n v="227.23"/>
    <m/>
    <n v="320.95942704201292"/>
    <n v="216.7476358676706"/>
    <n v="0"/>
    <n v="2640.514842"/>
    <n v="0"/>
    <n v="2496.1231344028815"/>
    <x v="3"/>
  </r>
  <r>
    <s v="Sistema de Compensação"/>
    <x v="3"/>
    <x v="3"/>
    <x v="3"/>
    <x v="8"/>
    <x v="2"/>
    <x v="1"/>
    <x v="0"/>
    <x v="6"/>
    <n v="0"/>
    <n v="0"/>
    <n v="9.98"/>
    <n v="9.98"/>
    <n v="9.98"/>
    <n v="9.98"/>
    <n v="0"/>
    <s v="CATIVO"/>
    <n v="0"/>
    <n v="0"/>
    <n v="30"/>
    <n v="70"/>
    <n v="0"/>
    <n v="285.56"/>
    <n v="227.23"/>
    <m/>
    <n v="320.95942704201292"/>
    <n v="216.7476358676706"/>
    <n v="0"/>
    <n v="697.80160000000046"/>
    <n v="0"/>
    <n v="342.53083964927612"/>
    <x v="4"/>
  </r>
  <r>
    <s v="Regular"/>
    <x v="3"/>
    <x v="3"/>
    <x v="3"/>
    <x v="8"/>
    <x v="2"/>
    <x v="1"/>
    <x v="0"/>
    <x v="7"/>
    <n v="0"/>
    <n v="0"/>
    <n v="0.98599999999999999"/>
    <n v="0.39439999999999997"/>
    <n v="0.98599999999999999"/>
    <n v="0.39439999999999997"/>
    <n v="0"/>
    <s v="CATIVO"/>
    <n v="0"/>
    <n v="0"/>
    <n v="30"/>
    <n v="70"/>
    <n v="0"/>
    <n v="285.56"/>
    <n v="227.23"/>
    <m/>
    <n v="320.95942704201292"/>
    <n v="216.7476358676706"/>
    <n v="0"/>
    <n v="372.30768399999999"/>
    <n v="0"/>
    <n v="351.94872165325916"/>
    <x v="3"/>
  </r>
  <r>
    <s v="Sistema de Compensação"/>
    <x v="3"/>
    <x v="3"/>
    <x v="3"/>
    <x v="8"/>
    <x v="2"/>
    <x v="1"/>
    <x v="0"/>
    <x v="7"/>
    <n v="0"/>
    <n v="0"/>
    <n v="10.452999999999999"/>
    <n v="10.452999999999999"/>
    <n v="10.452999999999999"/>
    <n v="10.452999999999999"/>
    <n v="0"/>
    <s v="CATIVO"/>
    <n v="0"/>
    <n v="0"/>
    <n v="30"/>
    <n v="70"/>
    <n v="0"/>
    <n v="285.56"/>
    <n v="227.23"/>
    <m/>
    <n v="320.95942704201292"/>
    <n v="216.7476358676706"/>
    <n v="0"/>
    <n v="730.8737600000004"/>
    <n v="0"/>
    <n v="358.7650167188259"/>
    <x v="4"/>
  </r>
  <r>
    <s v="Regular"/>
    <x v="3"/>
    <x v="3"/>
    <x v="3"/>
    <x v="8"/>
    <x v="2"/>
    <x v="1"/>
    <x v="0"/>
    <x v="8"/>
    <n v="0"/>
    <n v="0"/>
    <n v="2.355"/>
    <n v="0.94199999999999995"/>
    <n v="2.355"/>
    <n v="0.94199999999999995"/>
    <n v="0"/>
    <s v="CATIVO"/>
    <n v="0"/>
    <n v="0"/>
    <n v="30"/>
    <n v="70"/>
    <n v="0"/>
    <n v="285.56"/>
    <n v="227.23"/>
    <m/>
    <n v="320.95942704201292"/>
    <n v="216.7476358676706"/>
    <n v="0"/>
    <n v="889.23387000000014"/>
    <n v="0"/>
    <n v="840.60774796493445"/>
    <x v="3"/>
  </r>
  <r>
    <s v="Refaturamento - Regular"/>
    <x v="3"/>
    <x v="3"/>
    <x v="3"/>
    <x v="8"/>
    <x v="2"/>
    <x v="1"/>
    <x v="0"/>
    <x v="8"/>
    <n v="0"/>
    <n v="0"/>
    <n v="1.0999999999999999E-2"/>
    <n v="4.4000000000000003E-3"/>
    <n v="1.0999999999999999E-2"/>
    <n v="4.4000000000000003E-3"/>
    <n v="0"/>
    <s v="CATIVO"/>
    <n v="0"/>
    <n v="0"/>
    <n v="30"/>
    <n v="70"/>
    <n v="0"/>
    <n v="285.56"/>
    <n v="227.23"/>
    <m/>
    <n v="320.95942704201292"/>
    <n v="216.7476358676706"/>
    <n v="0"/>
    <n v="4.1535339999999996"/>
    <n v="0"/>
    <n v="3.926405616821349"/>
    <x v="3"/>
  </r>
  <r>
    <s v="Sistema de Compensação"/>
    <x v="3"/>
    <x v="3"/>
    <x v="3"/>
    <x v="8"/>
    <x v="2"/>
    <x v="1"/>
    <x v="0"/>
    <x v="8"/>
    <n v="0"/>
    <n v="0"/>
    <n v="9.3070000000000004"/>
    <n v="9.3070000000000004"/>
    <n v="9.3070000000000004"/>
    <n v="9.3070000000000004"/>
    <n v="0"/>
    <s v="CATIVO"/>
    <n v="0"/>
    <n v="0"/>
    <n v="30"/>
    <n v="70"/>
    <n v="0"/>
    <n v="285.56"/>
    <n v="227.23"/>
    <m/>
    <n v="320.95942704201292"/>
    <n v="216.7476358676706"/>
    <n v="0"/>
    <n v="650.74544000000049"/>
    <n v="0"/>
    <n v="319.43231709577282"/>
    <x v="4"/>
  </r>
  <r>
    <s v="Regular"/>
    <x v="3"/>
    <x v="3"/>
    <x v="3"/>
    <x v="8"/>
    <x v="2"/>
    <x v="1"/>
    <x v="0"/>
    <x v="9"/>
    <n v="0"/>
    <n v="0"/>
    <n v="4.0279999999999996"/>
    <n v="1.6112"/>
    <n v="4.0279999999999996"/>
    <n v="1.6112"/>
    <n v="0"/>
    <s v="CATIVO"/>
    <n v="0"/>
    <n v="0"/>
    <n v="30"/>
    <n v="70"/>
    <n v="0"/>
    <n v="285.56"/>
    <n v="227.23"/>
    <m/>
    <n v="320.95942704201292"/>
    <n v="216.7476358676706"/>
    <n v="0"/>
    <n v="1520.9486319999996"/>
    <n v="0"/>
    <n v="1437.7783476869447"/>
    <x v="3"/>
  </r>
  <r>
    <s v="Sistema de Compensação"/>
    <x v="3"/>
    <x v="3"/>
    <x v="3"/>
    <x v="8"/>
    <x v="2"/>
    <x v="1"/>
    <x v="0"/>
    <x v="9"/>
    <n v="0"/>
    <n v="0"/>
    <n v="9.84"/>
    <n v="9.84"/>
    <n v="9.84"/>
    <n v="9.84"/>
    <n v="0"/>
    <s v="CATIVO"/>
    <n v="0"/>
    <n v="0"/>
    <n v="30"/>
    <n v="70"/>
    <n v="0"/>
    <n v="285.56"/>
    <n v="227.23"/>
    <m/>
    <n v="320.95942704201292"/>
    <n v="216.7476358676706"/>
    <n v="0"/>
    <n v="688.01280000000042"/>
    <n v="0"/>
    <n v="337.72579781050871"/>
    <x v="4"/>
  </r>
  <r>
    <s v="Regular"/>
    <x v="3"/>
    <x v="3"/>
    <x v="3"/>
    <x v="8"/>
    <x v="2"/>
    <x v="1"/>
    <x v="0"/>
    <x v="10"/>
    <n v="0"/>
    <n v="0"/>
    <n v="1.613"/>
    <n v="0.6452"/>
    <n v="1.613"/>
    <n v="0.6452"/>
    <n v="0"/>
    <s v="CATIVO"/>
    <n v="0"/>
    <n v="0"/>
    <n v="30"/>
    <n v="70"/>
    <n v="0"/>
    <n v="285.56"/>
    <n v="227.23"/>
    <m/>
    <n v="320.95942704201292"/>
    <n v="216.7476358676706"/>
    <n v="0"/>
    <n v="609.059122"/>
    <n v="0"/>
    <n v="575.75384181207608"/>
    <x v="3"/>
  </r>
  <r>
    <s v="Sistema de Compensação"/>
    <x v="3"/>
    <x v="3"/>
    <x v="3"/>
    <x v="8"/>
    <x v="2"/>
    <x v="1"/>
    <x v="0"/>
    <x v="10"/>
    <n v="0"/>
    <n v="0"/>
    <n v="7.9359999999999999"/>
    <n v="7.9359999999999999"/>
    <n v="7.9359999999999999"/>
    <n v="7.9359999999999999"/>
    <n v="0"/>
    <s v="CATIVO"/>
    <n v="0"/>
    <n v="0"/>
    <n v="30"/>
    <n v="70"/>
    <n v="0"/>
    <n v="285.56"/>
    <n v="227.23"/>
    <m/>
    <n v="320.95942704201292"/>
    <n v="216.7476358676706"/>
    <n v="0"/>
    <n v="554.88512000000037"/>
    <n v="0"/>
    <n v="272.37722880327203"/>
    <x v="4"/>
  </r>
  <r>
    <s v="PROJETADO"/>
    <x v="3"/>
    <x v="3"/>
    <x v="3"/>
    <x v="8"/>
    <x v="2"/>
    <x v="1"/>
    <x v="0"/>
    <x v="11"/>
    <n v="0"/>
    <n v="0"/>
    <n v="1.613"/>
    <n v="0.6452"/>
    <n v="1.613"/>
    <n v="0.6452"/>
    <n v="0"/>
    <s v="CATIVO"/>
    <n v="0"/>
    <n v="0"/>
    <n v="30"/>
    <n v="70"/>
    <n v="0"/>
    <n v="285.56"/>
    <n v="227.23"/>
    <m/>
    <n v="320.95942704201292"/>
    <n v="216.7476358676706"/>
    <n v="0"/>
    <n v="609.059122"/>
    <n v="0"/>
    <n v="575.75384181207608"/>
    <x v="3"/>
  </r>
  <r>
    <s v="PROJETADO"/>
    <x v="3"/>
    <x v="3"/>
    <x v="3"/>
    <x v="8"/>
    <x v="2"/>
    <x v="1"/>
    <x v="0"/>
    <x v="11"/>
    <n v="0"/>
    <n v="0"/>
    <n v="7.9359999999999999"/>
    <n v="7.9359999999999999"/>
    <n v="7.9359999999999999"/>
    <n v="7.9359999999999999"/>
    <n v="0"/>
    <s v="CATIVO"/>
    <n v="0"/>
    <n v="0"/>
    <n v="30"/>
    <n v="70"/>
    <n v="0"/>
    <n v="285.56"/>
    <n v="227.23"/>
    <m/>
    <n v="320.95942704201292"/>
    <n v="216.7476358676706"/>
    <n v="0"/>
    <n v="554.88512000000037"/>
    <n v="0"/>
    <n v="272.37722880327203"/>
    <x v="4"/>
  </r>
  <r>
    <s v="Regular"/>
    <x v="3"/>
    <x v="3"/>
    <x v="3"/>
    <x v="0"/>
    <x v="0"/>
    <x v="1"/>
    <x v="0"/>
    <x v="0"/>
    <n v="0"/>
    <n v="0"/>
    <n v="1461.049"/>
    <n v="1461.049"/>
    <n v="1461.049"/>
    <n v="1461.049"/>
    <n v="3611"/>
    <s v="CATIVO"/>
    <n v="0"/>
    <n v="0"/>
    <n v="30"/>
    <n v="70"/>
    <n v="0"/>
    <n v="285.56"/>
    <n v="227.23"/>
    <m/>
    <n v="320.95942704201292"/>
    <n v="216.7476358676706"/>
    <n v="0"/>
    <n v="102156.54608000006"/>
    <n v="0"/>
    <n v="50145.725524923364"/>
    <x v="4"/>
  </r>
  <r>
    <s v="Refaturamento - Regular"/>
    <x v="3"/>
    <x v="3"/>
    <x v="3"/>
    <x v="0"/>
    <x v="0"/>
    <x v="1"/>
    <x v="0"/>
    <x v="0"/>
    <n v="0"/>
    <n v="0"/>
    <n v="-2.8149999999999999"/>
    <n v="-2.8149999999999999"/>
    <n v="-2.8149999999999999"/>
    <n v="-2.8149999999999999"/>
    <n v="0"/>
    <s v="CATIVO"/>
    <n v="0"/>
    <n v="0"/>
    <n v="30"/>
    <n v="70"/>
    <n v="0"/>
    <n v="285.56"/>
    <n v="227.23"/>
    <m/>
    <n v="320.95942704201292"/>
    <n v="216.7476358676706"/>
    <n v="0"/>
    <n v="-196.82480000000012"/>
    <n v="0"/>
    <n v="-96.615662686644512"/>
    <x v="4"/>
  </r>
  <r>
    <s v="Regular"/>
    <x v="3"/>
    <x v="3"/>
    <x v="3"/>
    <x v="0"/>
    <x v="0"/>
    <x v="1"/>
    <x v="0"/>
    <x v="1"/>
    <n v="0"/>
    <n v="0"/>
    <n v="1449.085"/>
    <n v="1449.085"/>
    <n v="1449.085"/>
    <n v="1449.085"/>
    <n v="3596"/>
    <s v="CATIVO"/>
    <n v="0"/>
    <n v="0"/>
    <n v="30"/>
    <n v="70"/>
    <n v="0"/>
    <n v="285.56"/>
    <n v="227.23"/>
    <m/>
    <n v="320.95942704201292"/>
    <n v="216.7476358676706"/>
    <n v="0"/>
    <n v="101320.02320000007"/>
    <n v="0"/>
    <n v="49735.100378073272"/>
    <x v="4"/>
  </r>
  <r>
    <s v="Refaturamento - Regular"/>
    <x v="3"/>
    <x v="3"/>
    <x v="3"/>
    <x v="0"/>
    <x v="0"/>
    <x v="1"/>
    <x v="0"/>
    <x v="1"/>
    <n v="0"/>
    <n v="0"/>
    <n v="-3.5960000000000001"/>
    <n v="-3.5960000000000001"/>
    <n v="-3.5960000000000001"/>
    <n v="-3.5960000000000001"/>
    <n v="0"/>
    <s v="CATIVO"/>
    <n v="0"/>
    <n v="0"/>
    <n v="30"/>
    <n v="70"/>
    <n v="0"/>
    <n v="285.56"/>
    <n v="227.23"/>
    <m/>
    <n v="320.95942704201292"/>
    <n v="216.7476358676706"/>
    <n v="0"/>
    <n v="-251.43232000000017"/>
    <n v="0"/>
    <n v="-123.42093180148265"/>
    <x v="4"/>
  </r>
  <r>
    <s v="Sistema de Compensação"/>
    <x v="3"/>
    <x v="3"/>
    <x v="3"/>
    <x v="0"/>
    <x v="0"/>
    <x v="1"/>
    <x v="0"/>
    <x v="1"/>
    <n v="0"/>
    <n v="0"/>
    <n v="50.58"/>
    <n v="50.58"/>
    <n v="50.58"/>
    <n v="50.58"/>
    <n v="140"/>
    <s v="CATIVO"/>
    <n v="0"/>
    <n v="0"/>
    <n v="30"/>
    <n v="70"/>
    <n v="0"/>
    <n v="285.56"/>
    <n v="227.23"/>
    <m/>
    <n v="320.95942704201292"/>
    <n v="216.7476358676706"/>
    <n v="0"/>
    <n v="3536.553600000002"/>
    <n v="0"/>
    <n v="1735.9929728918221"/>
    <x v="4"/>
  </r>
  <r>
    <s v="Sistema de Compensação"/>
    <x v="3"/>
    <x v="3"/>
    <x v="3"/>
    <x v="0"/>
    <x v="0"/>
    <x v="1"/>
    <x v="0"/>
    <x v="1"/>
    <n v="0"/>
    <n v="0"/>
    <n v="2.86"/>
    <n v="2.86"/>
    <n v="2.86"/>
    <n v="2.86"/>
    <n v="1"/>
    <s v="CATIVO"/>
    <n v="0"/>
    <n v="0"/>
    <n v="30"/>
    <n v="70"/>
    <n v="0"/>
    <n v="285.56"/>
    <n v="227.23"/>
    <m/>
    <n v="320.95942704201292"/>
    <n v="216.7476358676706"/>
    <n v="0"/>
    <n v="199.97120000000012"/>
    <n v="0"/>
    <n v="98.16014042053402"/>
    <x v="4"/>
  </r>
  <r>
    <s v="Regular"/>
    <x v="3"/>
    <x v="3"/>
    <x v="3"/>
    <x v="0"/>
    <x v="0"/>
    <x v="1"/>
    <x v="0"/>
    <x v="2"/>
    <n v="0"/>
    <n v="0"/>
    <n v="1487.13"/>
    <n v="1487.13"/>
    <n v="1487.13"/>
    <n v="1487.13"/>
    <n v="3587"/>
    <s v="CATIVO"/>
    <n v="0"/>
    <n v="0"/>
    <n v="30"/>
    <n v="70"/>
    <n v="0"/>
    <n v="285.56"/>
    <n v="227.23"/>
    <m/>
    <n v="320.95942704201292"/>
    <n v="216.7476358676706"/>
    <n v="0"/>
    <n v="103980.12960000007"/>
    <n v="0"/>
    <n v="51040.870497758318"/>
    <x v="4"/>
  </r>
  <r>
    <s v="Refaturamento - Regular"/>
    <x v="3"/>
    <x v="3"/>
    <x v="3"/>
    <x v="0"/>
    <x v="0"/>
    <x v="1"/>
    <x v="0"/>
    <x v="2"/>
    <n v="0"/>
    <n v="0"/>
    <n v="-2.6749999999999998"/>
    <n v="-2.6749999999999998"/>
    <n v="-2.6749999999999998"/>
    <n v="-2.6749999999999998"/>
    <n v="0"/>
    <s v="CATIVO"/>
    <n v="0"/>
    <n v="0"/>
    <n v="30"/>
    <n v="70"/>
    <n v="0"/>
    <n v="285.56"/>
    <n v="227.23"/>
    <m/>
    <n v="320.95942704201292"/>
    <n v="216.7476358676706"/>
    <n v="0"/>
    <n v="-187.03600000000012"/>
    <n v="0"/>
    <n v="-91.810620847877104"/>
    <x v="4"/>
  </r>
  <r>
    <s v="Sistema de Compensação"/>
    <x v="3"/>
    <x v="3"/>
    <x v="3"/>
    <x v="0"/>
    <x v="0"/>
    <x v="1"/>
    <x v="0"/>
    <x v="2"/>
    <n v="0"/>
    <n v="0"/>
    <n v="42.877000000000002"/>
    <n v="42.877000000000002"/>
    <n v="42.877000000000002"/>
    <n v="42.877000000000002"/>
    <n v="142"/>
    <s v="CATIVO"/>
    <n v="0"/>
    <n v="0"/>
    <n v="30"/>
    <n v="70"/>
    <n v="0"/>
    <n v="285.56"/>
    <n v="227.23"/>
    <m/>
    <n v="320.95942704201292"/>
    <n v="216.7476358676706"/>
    <n v="0"/>
    <n v="2997.9598400000023"/>
    <n v="0"/>
    <n v="1471.6127065773558"/>
    <x v="4"/>
  </r>
  <r>
    <s v="Regular"/>
    <x v="3"/>
    <x v="3"/>
    <x v="3"/>
    <x v="0"/>
    <x v="0"/>
    <x v="1"/>
    <x v="0"/>
    <x v="3"/>
    <n v="0"/>
    <n v="0"/>
    <n v="1471.472"/>
    <n v="1471.472"/>
    <n v="1471.472"/>
    <n v="1471.472"/>
    <n v="3564"/>
    <s v="CATIVO"/>
    <n v="0"/>
    <n v="0"/>
    <n v="30"/>
    <n v="70"/>
    <n v="0"/>
    <n v="285.56"/>
    <n v="227.23"/>
    <m/>
    <n v="320.95942704201292"/>
    <n v="216.7476358676706"/>
    <n v="0"/>
    <n v="102885.32224000007"/>
    <n v="0"/>
    <n v="50503.460889819595"/>
    <x v="4"/>
  </r>
  <r>
    <s v="Refaturamento - Regular"/>
    <x v="3"/>
    <x v="3"/>
    <x v="3"/>
    <x v="0"/>
    <x v="0"/>
    <x v="1"/>
    <x v="0"/>
    <x v="3"/>
    <n v="0"/>
    <n v="0"/>
    <n v="-0.53800000000000003"/>
    <n v="-0.53800000000000003"/>
    <n v="-0.53800000000000003"/>
    <n v="-0.53800000000000003"/>
    <n v="0"/>
    <s v="CATIVO"/>
    <n v="0"/>
    <n v="0"/>
    <n v="30"/>
    <n v="70"/>
    <n v="0"/>
    <n v="285.56"/>
    <n v="227.23"/>
    <m/>
    <n v="320.95942704201292"/>
    <n v="216.7476358676706"/>
    <n v="0"/>
    <n v="-37.616960000000027"/>
    <n v="0"/>
    <n v="-18.465089351834724"/>
    <x v="4"/>
  </r>
  <r>
    <s v="Sistema de Compensação"/>
    <x v="3"/>
    <x v="3"/>
    <x v="3"/>
    <x v="0"/>
    <x v="0"/>
    <x v="1"/>
    <x v="0"/>
    <x v="3"/>
    <n v="0"/>
    <n v="0"/>
    <n v="153.453"/>
    <n v="153.453"/>
    <n v="153.453"/>
    <n v="153.453"/>
    <n v="154"/>
    <s v="CATIVO"/>
    <n v="0"/>
    <n v="0"/>
    <n v="30"/>
    <n v="70"/>
    <n v="0"/>
    <n v="285.56"/>
    <n v="227.23"/>
    <m/>
    <n v="320.95942704201292"/>
    <n v="216.7476358676706"/>
    <n v="0"/>
    <n v="10729.433760000007"/>
    <n v="0"/>
    <n v="5266.7720377455271"/>
    <x v="4"/>
  </r>
  <r>
    <s v="Sistema de Compensação"/>
    <x v="3"/>
    <x v="3"/>
    <x v="3"/>
    <x v="0"/>
    <x v="0"/>
    <x v="1"/>
    <x v="0"/>
    <x v="3"/>
    <n v="0"/>
    <n v="0"/>
    <n v="-99.662999999999997"/>
    <n v="-99.662999999999997"/>
    <n v="-99.662999999999997"/>
    <n v="-99.662999999999997"/>
    <n v="2"/>
    <s v="CATIVO"/>
    <n v="0"/>
    <n v="0"/>
    <n v="30"/>
    <n v="70"/>
    <n v="0"/>
    <n v="285.56"/>
    <n v="227.23"/>
    <m/>
    <n v="320.95942704201292"/>
    <n v="216.7476358676706"/>
    <n v="0"/>
    <n v="-6968.4369600000045"/>
    <n v="0"/>
    <n v="-3420.6063198362526"/>
    <x v="4"/>
  </r>
  <r>
    <s v="Regular"/>
    <x v="3"/>
    <x v="3"/>
    <x v="3"/>
    <x v="0"/>
    <x v="0"/>
    <x v="1"/>
    <x v="0"/>
    <x v="4"/>
    <n v="0"/>
    <n v="0"/>
    <n v="1486.4380000000001"/>
    <n v="1486.4380000000001"/>
    <n v="1486.4380000000001"/>
    <n v="1486.4380000000001"/>
    <n v="3541"/>
    <s v="CATIVO"/>
    <n v="0"/>
    <n v="0"/>
    <n v="30"/>
    <n v="70"/>
    <n v="0"/>
    <n v="285.56"/>
    <n v="227.23"/>
    <m/>
    <n v="320.95942704201292"/>
    <n v="216.7476358676706"/>
    <n v="0"/>
    <n v="103931.74496000007"/>
    <n v="0"/>
    <n v="51017.119862383835"/>
    <x v="4"/>
  </r>
  <r>
    <s v="Refaturamento - Regular"/>
    <x v="3"/>
    <x v="3"/>
    <x v="3"/>
    <x v="0"/>
    <x v="0"/>
    <x v="1"/>
    <x v="0"/>
    <x v="4"/>
    <n v="0"/>
    <n v="0"/>
    <n v="-7.9989999999999997"/>
    <n v="-7.9989999999999997"/>
    <n v="-7.9989999999999997"/>
    <n v="-7.9989999999999997"/>
    <n v="0"/>
    <s v="CATIVO"/>
    <n v="0"/>
    <n v="0"/>
    <n v="30"/>
    <n v="70"/>
    <n v="0"/>
    <n v="285.56"/>
    <n v="227.23"/>
    <m/>
    <n v="320.95942704201292"/>
    <n v="216.7476358676706"/>
    <n v="0"/>
    <n v="-559.29008000000033"/>
    <n v="0"/>
    <n v="-274.53949763071739"/>
    <x v="4"/>
  </r>
  <r>
    <s v="Sistema de Compensação"/>
    <x v="3"/>
    <x v="3"/>
    <x v="3"/>
    <x v="0"/>
    <x v="0"/>
    <x v="1"/>
    <x v="0"/>
    <x v="4"/>
    <n v="0"/>
    <n v="0"/>
    <n v="48.371000000000002"/>
    <n v="48.371000000000002"/>
    <n v="48.371000000000002"/>
    <n v="48.371000000000002"/>
    <n v="175"/>
    <s v="CATIVO"/>
    <n v="0"/>
    <n v="0"/>
    <n v="30"/>
    <n v="70"/>
    <n v="0"/>
    <n v="285.56"/>
    <n v="227.23"/>
    <m/>
    <n v="320.95942704201292"/>
    <n v="216.7476358676706"/>
    <n v="0"/>
    <n v="3382.1003200000023"/>
    <n v="0"/>
    <n v="1660.1762770215566"/>
    <x v="4"/>
  </r>
  <r>
    <s v="Sistema de Compensação"/>
    <x v="3"/>
    <x v="3"/>
    <x v="3"/>
    <x v="0"/>
    <x v="0"/>
    <x v="1"/>
    <x v="0"/>
    <x v="4"/>
    <n v="0"/>
    <n v="0"/>
    <n v="-0.42099999999999999"/>
    <n v="-0.42099999999999999"/>
    <n v="-0.42099999999999999"/>
    <n v="-0.42099999999999999"/>
    <n v="3"/>
    <s v="CATIVO"/>
    <n v="0"/>
    <n v="0"/>
    <n v="30"/>
    <n v="70"/>
    <n v="0"/>
    <n v="285.56"/>
    <n v="227.23"/>
    <m/>
    <n v="320.95942704201292"/>
    <n v="216.7476358676706"/>
    <n v="0"/>
    <n v="-29.436320000000016"/>
    <n v="0"/>
    <n v="-14.449447243721966"/>
    <x v="4"/>
  </r>
  <r>
    <s v="Regular"/>
    <x v="3"/>
    <x v="3"/>
    <x v="3"/>
    <x v="0"/>
    <x v="0"/>
    <x v="1"/>
    <x v="0"/>
    <x v="5"/>
    <n v="0"/>
    <n v="0"/>
    <n v="1485.425"/>
    <n v="1485.425"/>
    <n v="1485.425"/>
    <n v="1485.425"/>
    <n v="3487"/>
    <s v="CATIVO"/>
    <n v="0"/>
    <n v="0"/>
    <n v="30"/>
    <n v="70"/>
    <n v="0"/>
    <n v="285.56"/>
    <n v="227.23"/>
    <m/>
    <n v="320.95942704201292"/>
    <n v="216.7476358676706"/>
    <n v="0"/>
    <n v="103860.91600000006"/>
    <n v="0"/>
    <n v="50982.351952507604"/>
    <x v="4"/>
  </r>
  <r>
    <s v="Refaturamento - Regular"/>
    <x v="3"/>
    <x v="3"/>
    <x v="3"/>
    <x v="0"/>
    <x v="0"/>
    <x v="1"/>
    <x v="0"/>
    <x v="5"/>
    <n v="0"/>
    <n v="0"/>
    <n v="-4.8369999999999997"/>
    <n v="-4.8369999999999997"/>
    <n v="-4.8369999999999997"/>
    <n v="-4.8369999999999997"/>
    <n v="0"/>
    <s v="CATIVO"/>
    <n v="0"/>
    <n v="0"/>
    <n v="30"/>
    <n v="70"/>
    <n v="0"/>
    <n v="285.56"/>
    <n v="227.23"/>
    <m/>
    <n v="320.95942704201292"/>
    <n v="216.7476358676706"/>
    <n v="0"/>
    <n v="-338.20304000000021"/>
    <n v="0"/>
    <n v="-166.01419552941366"/>
    <x v="4"/>
  </r>
  <r>
    <s v="Sistema de Compensação"/>
    <x v="3"/>
    <x v="3"/>
    <x v="3"/>
    <x v="0"/>
    <x v="0"/>
    <x v="1"/>
    <x v="0"/>
    <x v="5"/>
    <n v="0"/>
    <n v="0"/>
    <n v="54.66"/>
    <n v="54.66"/>
    <n v="54.66"/>
    <n v="54.66"/>
    <n v="202"/>
    <s v="CATIVO"/>
    <n v="0"/>
    <n v="0"/>
    <n v="30"/>
    <n v="70"/>
    <n v="0"/>
    <n v="285.56"/>
    <n v="227.23"/>
    <m/>
    <n v="320.95942704201292"/>
    <n v="216.7476358676706"/>
    <n v="0"/>
    <n v="3821.827200000002"/>
    <n v="0"/>
    <n v="1876.025620764472"/>
    <x v="4"/>
  </r>
  <r>
    <s v="Sistema de Compensação"/>
    <x v="3"/>
    <x v="3"/>
    <x v="3"/>
    <x v="0"/>
    <x v="0"/>
    <x v="1"/>
    <x v="0"/>
    <x v="5"/>
    <n v="0"/>
    <n v="0"/>
    <n v="-3.8969999999999998"/>
    <n v="-3.8969999999999998"/>
    <n v="-3.8969999999999998"/>
    <n v="-3.8969999999999998"/>
    <n v="3"/>
    <s v="CATIVO"/>
    <n v="0"/>
    <n v="0"/>
    <n v="30"/>
    <n v="70"/>
    <n v="0"/>
    <n v="285.56"/>
    <n v="227.23"/>
    <m/>
    <n v="320.95942704201292"/>
    <n v="216.7476358676706"/>
    <n v="0"/>
    <n v="-272.47824000000014"/>
    <n v="0"/>
    <n v="-133.75177175483256"/>
    <x v="4"/>
  </r>
  <r>
    <s v="Regular"/>
    <x v="3"/>
    <x v="3"/>
    <x v="3"/>
    <x v="0"/>
    <x v="0"/>
    <x v="1"/>
    <x v="0"/>
    <x v="6"/>
    <n v="0"/>
    <n v="0"/>
    <n v="1602.441"/>
    <n v="1602.441"/>
    <n v="1602.441"/>
    <n v="1602.441"/>
    <n v="3483"/>
    <s v="CATIVO"/>
    <n v="0"/>
    <n v="0"/>
    <n v="30"/>
    <n v="70"/>
    <n v="0"/>
    <n v="285.56"/>
    <n v="227.23"/>
    <m/>
    <n v="320.95942704201292"/>
    <n v="216.7476358676706"/>
    <n v="0"/>
    <n v="112042.67472000007"/>
    <n v="0"/>
    <n v="54998.543208259078"/>
    <x v="4"/>
  </r>
  <r>
    <s v="Refaturamento - Regular"/>
    <x v="3"/>
    <x v="3"/>
    <x v="3"/>
    <x v="0"/>
    <x v="0"/>
    <x v="1"/>
    <x v="0"/>
    <x v="6"/>
    <n v="0"/>
    <n v="0"/>
    <n v="-60.328000000000003"/>
    <n v="-60.328000000000003"/>
    <n v="-60.328000000000003"/>
    <n v="-60.328000000000003"/>
    <n v="0"/>
    <s v="CATIVO"/>
    <n v="0"/>
    <n v="0"/>
    <n v="30"/>
    <n v="70"/>
    <n v="0"/>
    <n v="285.56"/>
    <n v="227.23"/>
    <m/>
    <n v="320.95942704201292"/>
    <n v="216.7476358676706"/>
    <n v="0"/>
    <n v="-4218.1337600000024"/>
    <n v="0"/>
    <n v="-2070.5611717797124"/>
    <x v="4"/>
  </r>
  <r>
    <s v="Sistema de Compensação"/>
    <x v="3"/>
    <x v="3"/>
    <x v="3"/>
    <x v="0"/>
    <x v="0"/>
    <x v="1"/>
    <x v="0"/>
    <x v="6"/>
    <n v="0"/>
    <n v="0"/>
    <n v="48.277000000000001"/>
    <n v="48.277000000000001"/>
    <n v="48.277000000000001"/>
    <n v="48.277000000000001"/>
    <n v="205"/>
    <s v="CATIVO"/>
    <n v="0"/>
    <n v="0"/>
    <n v="30"/>
    <n v="70"/>
    <n v="0"/>
    <n v="285.56"/>
    <n v="227.23"/>
    <m/>
    <n v="320.95942704201292"/>
    <n v="216.7476358676706"/>
    <n v="0"/>
    <n v="3375.527840000002"/>
    <n v="0"/>
    <n v="1656.9500346440984"/>
    <x v="4"/>
  </r>
  <r>
    <s v="Regular"/>
    <x v="3"/>
    <x v="3"/>
    <x v="3"/>
    <x v="0"/>
    <x v="0"/>
    <x v="1"/>
    <x v="0"/>
    <x v="7"/>
    <n v="0"/>
    <n v="0"/>
    <n v="1841.87"/>
    <n v="1841.87"/>
    <n v="1841.87"/>
    <n v="1841.87"/>
    <n v="3436"/>
    <s v="CATIVO"/>
    <n v="0"/>
    <n v="0"/>
    <n v="30"/>
    <n v="70"/>
    <n v="0"/>
    <n v="285.56"/>
    <n v="227.23"/>
    <m/>
    <n v="320.95942704201292"/>
    <n v="216.7476358676706"/>
    <n v="0"/>
    <n v="128783.55040000008"/>
    <n v="0"/>
    <n v="63216.160082646507"/>
    <x v="4"/>
  </r>
  <r>
    <s v="Refaturamento - Regular"/>
    <x v="3"/>
    <x v="3"/>
    <x v="3"/>
    <x v="0"/>
    <x v="0"/>
    <x v="1"/>
    <x v="0"/>
    <x v="7"/>
    <n v="0"/>
    <n v="0"/>
    <n v="-1.823"/>
    <n v="-1.823"/>
    <n v="-1.823"/>
    <n v="-1.823"/>
    <n v="0"/>
    <s v="CATIVO"/>
    <n v="0"/>
    <n v="0"/>
    <n v="30"/>
    <n v="70"/>
    <n v="0"/>
    <n v="285.56"/>
    <n v="227.23"/>
    <m/>
    <n v="320.95942704201292"/>
    <n v="216.7476358676706"/>
    <n v="0"/>
    <n v="-127.46416000000008"/>
    <n v="0"/>
    <n v="-62.568509086235501"/>
    <x v="4"/>
  </r>
  <r>
    <s v="Sistema de Compensação"/>
    <x v="3"/>
    <x v="3"/>
    <x v="3"/>
    <x v="0"/>
    <x v="0"/>
    <x v="1"/>
    <x v="0"/>
    <x v="7"/>
    <n v="0"/>
    <n v="0"/>
    <n v="55.790999999999997"/>
    <n v="55.790999999999997"/>
    <n v="55.790999999999997"/>
    <n v="55.790999999999997"/>
    <n v="233"/>
    <s v="CATIVO"/>
    <n v="0"/>
    <n v="0"/>
    <n v="30"/>
    <n v="70"/>
    <n v="0"/>
    <n v="285.56"/>
    <n v="227.23"/>
    <m/>
    <n v="320.95942704201292"/>
    <n v="216.7476358676706"/>
    <n v="0"/>
    <n v="3900.9067200000022"/>
    <n v="0"/>
    <n v="1914.8434944762287"/>
    <x v="4"/>
  </r>
  <r>
    <s v="Regular"/>
    <x v="3"/>
    <x v="3"/>
    <x v="3"/>
    <x v="0"/>
    <x v="0"/>
    <x v="1"/>
    <x v="0"/>
    <x v="8"/>
    <n v="0"/>
    <n v="0"/>
    <n v="1456.9090000000001"/>
    <n v="1456.9090000000001"/>
    <n v="1456.9090000000001"/>
    <n v="1456.9090000000001"/>
    <n v="3418"/>
    <s v="CATIVO"/>
    <n v="0"/>
    <n v="0"/>
    <n v="30"/>
    <n v="70"/>
    <n v="0"/>
    <n v="285.56"/>
    <n v="227.23"/>
    <m/>
    <n v="320.95942704201292"/>
    <n v="216.7476358676706"/>
    <n v="0"/>
    <n v="101867.07728000007"/>
    <n v="0"/>
    <n v="50003.633573405532"/>
    <x v="4"/>
  </r>
  <r>
    <s v="Refaturamento - Regular"/>
    <x v="3"/>
    <x v="3"/>
    <x v="3"/>
    <x v="0"/>
    <x v="0"/>
    <x v="1"/>
    <x v="0"/>
    <x v="8"/>
    <n v="0"/>
    <n v="0"/>
    <n v="-196.922"/>
    <n v="-196.922"/>
    <n v="-196.922"/>
    <n v="-196.922"/>
    <n v="0"/>
    <s v="CATIVO"/>
    <n v="0"/>
    <n v="0"/>
    <n v="30"/>
    <n v="70"/>
    <n v="0"/>
    <n v="285.56"/>
    <n v="227.23"/>
    <m/>
    <n v="320.95942704201292"/>
    <n v="216.7476358676706"/>
    <n v="0"/>
    <n v="-13768.786240000009"/>
    <n v="0"/>
    <n v="-6758.7032069553852"/>
    <x v="4"/>
  </r>
  <r>
    <s v="Sistema de Compensação"/>
    <x v="3"/>
    <x v="3"/>
    <x v="3"/>
    <x v="0"/>
    <x v="0"/>
    <x v="1"/>
    <x v="0"/>
    <x v="8"/>
    <n v="0"/>
    <n v="0"/>
    <n v="60.874000000000002"/>
    <n v="60.874000000000002"/>
    <n v="60.874000000000002"/>
    <n v="60.874000000000002"/>
    <n v="256"/>
    <s v="CATIVO"/>
    <n v="0"/>
    <n v="0"/>
    <n v="30"/>
    <n v="70"/>
    <n v="0"/>
    <n v="285.56"/>
    <n v="227.23"/>
    <m/>
    <n v="320.95942704201292"/>
    <n v="216.7476358676706"/>
    <n v="0"/>
    <n v="4256.3100800000029"/>
    <n v="0"/>
    <n v="2089.300834950905"/>
    <x v="4"/>
  </r>
  <r>
    <s v="Sistema de Compensação"/>
    <x v="3"/>
    <x v="3"/>
    <x v="3"/>
    <x v="0"/>
    <x v="0"/>
    <x v="1"/>
    <x v="0"/>
    <x v="8"/>
    <n v="0"/>
    <n v="0"/>
    <n v="0.2"/>
    <n v="0.2"/>
    <n v="0.2"/>
    <n v="0.2"/>
    <n v="2"/>
    <s v="CATIVO"/>
    <n v="0"/>
    <n v="0"/>
    <n v="30"/>
    <n v="70"/>
    <n v="0"/>
    <n v="285.56"/>
    <n v="227.23"/>
    <m/>
    <n v="320.95942704201292"/>
    <n v="216.7476358676706"/>
    <n v="0"/>
    <n v="13.984000000000009"/>
    <n v="0"/>
    <n v="6.8643454839534286"/>
    <x v="4"/>
  </r>
  <r>
    <s v="Regular"/>
    <x v="3"/>
    <x v="3"/>
    <x v="3"/>
    <x v="0"/>
    <x v="0"/>
    <x v="1"/>
    <x v="0"/>
    <x v="9"/>
    <n v="0"/>
    <n v="0"/>
    <n v="1410.451"/>
    <n v="1410.451"/>
    <n v="1410.451"/>
    <n v="1410.451"/>
    <n v="3394"/>
    <s v="CATIVO"/>
    <n v="0"/>
    <n v="0"/>
    <n v="30"/>
    <n v="70"/>
    <n v="0"/>
    <n v="285.56"/>
    <n v="227.23"/>
    <m/>
    <n v="320.95942704201292"/>
    <n v="216.7476358676706"/>
    <n v="0"/>
    <n v="98618.733920000057"/>
    <n v="0"/>
    <n v="48409.114760937984"/>
    <x v="4"/>
  </r>
  <r>
    <s v="Refaturamento - Regular"/>
    <x v="3"/>
    <x v="3"/>
    <x v="3"/>
    <x v="0"/>
    <x v="0"/>
    <x v="1"/>
    <x v="0"/>
    <x v="9"/>
    <n v="0"/>
    <n v="0"/>
    <n v="-112.73"/>
    <n v="-112.73"/>
    <n v="-112.73"/>
    <n v="-112.73"/>
    <n v="0"/>
    <s v="CATIVO"/>
    <n v="0"/>
    <n v="0"/>
    <n v="30"/>
    <n v="70"/>
    <n v="0"/>
    <n v="285.56"/>
    <n v="227.23"/>
    <m/>
    <n v="320.95942704201292"/>
    <n v="216.7476358676706"/>
    <n v="0"/>
    <n v="-7882.081600000005"/>
    <n v="0"/>
    <n v="-3869.0883320303501"/>
    <x v="4"/>
  </r>
  <r>
    <s v="Sistema de Compensação"/>
    <x v="3"/>
    <x v="3"/>
    <x v="3"/>
    <x v="0"/>
    <x v="0"/>
    <x v="1"/>
    <x v="0"/>
    <x v="9"/>
    <n v="0"/>
    <n v="0"/>
    <n v="95.173000000000002"/>
    <n v="95.173000000000002"/>
    <n v="95.173000000000002"/>
    <n v="95.173000000000002"/>
    <n v="276"/>
    <s v="CATIVO"/>
    <n v="0"/>
    <n v="0"/>
    <n v="30"/>
    <n v="70"/>
    <n v="0"/>
    <n v="285.56"/>
    <n v="227.23"/>
    <m/>
    <n v="320.95942704201292"/>
    <n v="216.7476358676706"/>
    <n v="0"/>
    <n v="6654.4961600000042"/>
    <n v="0"/>
    <n v="3266.5017637214983"/>
    <x v="4"/>
  </r>
  <r>
    <s v="Regular"/>
    <x v="3"/>
    <x v="3"/>
    <x v="3"/>
    <x v="0"/>
    <x v="0"/>
    <x v="1"/>
    <x v="0"/>
    <x v="10"/>
    <n v="0"/>
    <n v="0"/>
    <n v="1287.5889999999999"/>
    <n v="1287.5889999999999"/>
    <n v="1287.5889999999999"/>
    <n v="1287.5889999999999"/>
    <n v="3370"/>
    <s v="CATIVO"/>
    <n v="0"/>
    <n v="0"/>
    <n v="30"/>
    <n v="70"/>
    <n v="0"/>
    <n v="285.56"/>
    <n v="227.23"/>
    <m/>
    <n v="320.95942704201292"/>
    <n v="216.7476358676706"/>
    <n v="0"/>
    <n v="90028.222880000059"/>
    <n v="0"/>
    <n v="44192.278686690552"/>
    <x v="4"/>
  </r>
  <r>
    <s v="Refaturamento - Regular"/>
    <x v="3"/>
    <x v="3"/>
    <x v="3"/>
    <x v="0"/>
    <x v="0"/>
    <x v="1"/>
    <x v="0"/>
    <x v="10"/>
    <n v="0"/>
    <n v="0"/>
    <n v="-4.1399999999999997"/>
    <n v="-4.1399999999999997"/>
    <n v="-4.1399999999999997"/>
    <n v="-4.1399999999999997"/>
    <n v="0"/>
    <s v="CATIVO"/>
    <n v="0"/>
    <n v="0"/>
    <n v="30"/>
    <n v="70"/>
    <n v="0"/>
    <n v="285.56"/>
    <n v="227.23"/>
    <m/>
    <n v="320.95942704201292"/>
    <n v="216.7476358676706"/>
    <n v="0"/>
    <n v="-289.46880000000016"/>
    <n v="0"/>
    <n v="-142.09195151783595"/>
    <x v="4"/>
  </r>
  <r>
    <s v="Sistema de Compensação"/>
    <x v="3"/>
    <x v="3"/>
    <x v="3"/>
    <x v="0"/>
    <x v="0"/>
    <x v="1"/>
    <x v="0"/>
    <x v="10"/>
    <n v="0"/>
    <n v="0"/>
    <n v="87.944000000000003"/>
    <n v="87.944000000000003"/>
    <n v="87.944000000000003"/>
    <n v="87.944000000000003"/>
    <n v="293"/>
    <s v="CATIVO"/>
    <n v="0"/>
    <n v="0"/>
    <n v="30"/>
    <n v="70"/>
    <n v="0"/>
    <n v="285.56"/>
    <n v="227.23"/>
    <m/>
    <n v="320.95942704201292"/>
    <n v="216.7476358676706"/>
    <n v="0"/>
    <n v="6149.0444800000041"/>
    <n v="0"/>
    <n v="3018.3899962040018"/>
    <x v="4"/>
  </r>
  <r>
    <s v="Sistema de Compensação"/>
    <x v="3"/>
    <x v="3"/>
    <x v="3"/>
    <x v="0"/>
    <x v="0"/>
    <x v="1"/>
    <x v="0"/>
    <x v="10"/>
    <n v="0"/>
    <n v="0"/>
    <n v="-0.11899999999999999"/>
    <n v="-0.11899999999999999"/>
    <n v="-0.11899999999999999"/>
    <n v="-0.11899999999999999"/>
    <n v="2"/>
    <s v="CATIVO"/>
    <n v="0"/>
    <n v="0"/>
    <n v="30"/>
    <n v="70"/>
    <n v="0"/>
    <n v="285.56"/>
    <n v="227.23"/>
    <m/>
    <n v="320.95942704201292"/>
    <n v="216.7476358676706"/>
    <n v="0"/>
    <n v="-8.3204800000000052"/>
    <n v="0"/>
    <n v="-4.0842855629522896"/>
    <x v="4"/>
  </r>
  <r>
    <s v="PROJETADO"/>
    <x v="3"/>
    <x v="3"/>
    <x v="3"/>
    <x v="0"/>
    <x v="0"/>
    <x v="1"/>
    <x v="0"/>
    <x v="11"/>
    <n v="0"/>
    <n v="0"/>
    <n v="1287.5889999999999"/>
    <n v="1287.5889999999999"/>
    <n v="1287.5889999999999"/>
    <n v="1287.5889999999999"/>
    <n v="3370"/>
    <s v="CATIVO"/>
    <n v="0"/>
    <n v="0"/>
    <n v="30"/>
    <n v="70"/>
    <n v="0"/>
    <n v="285.56"/>
    <n v="227.23"/>
    <m/>
    <n v="320.95942704201292"/>
    <n v="216.7476358676706"/>
    <n v="0"/>
    <n v="90028.222880000059"/>
    <n v="0"/>
    <n v="44192.278686690552"/>
    <x v="4"/>
  </r>
  <r>
    <s v="PROJETADO"/>
    <x v="3"/>
    <x v="3"/>
    <x v="3"/>
    <x v="0"/>
    <x v="0"/>
    <x v="1"/>
    <x v="0"/>
    <x v="11"/>
    <n v="0"/>
    <n v="0"/>
    <n v="-4.1399999999999997"/>
    <n v="-4.1399999999999997"/>
    <n v="-4.1399999999999997"/>
    <n v="-4.1399999999999997"/>
    <n v="0"/>
    <s v="CATIVO"/>
    <n v="0"/>
    <n v="0"/>
    <n v="30"/>
    <n v="70"/>
    <n v="0"/>
    <n v="285.56"/>
    <n v="227.23"/>
    <m/>
    <n v="320.95942704201292"/>
    <n v="216.7476358676706"/>
    <n v="0"/>
    <n v="-289.46880000000016"/>
    <n v="0"/>
    <n v="-142.09195151783595"/>
    <x v="4"/>
  </r>
  <r>
    <s v="PROJETADO"/>
    <x v="3"/>
    <x v="3"/>
    <x v="3"/>
    <x v="0"/>
    <x v="0"/>
    <x v="1"/>
    <x v="0"/>
    <x v="11"/>
    <n v="0"/>
    <n v="0"/>
    <n v="87.944000000000003"/>
    <n v="87.944000000000003"/>
    <n v="87.944000000000003"/>
    <n v="87.944000000000003"/>
    <n v="293"/>
    <s v="CATIVO"/>
    <n v="0"/>
    <n v="0"/>
    <n v="30"/>
    <n v="70"/>
    <n v="0"/>
    <n v="285.56"/>
    <n v="227.23"/>
    <m/>
    <n v="320.95942704201292"/>
    <n v="216.7476358676706"/>
    <n v="0"/>
    <n v="6149.0444800000041"/>
    <n v="0"/>
    <n v="3018.3899962040018"/>
    <x v="4"/>
  </r>
  <r>
    <s v="PROJETADO"/>
    <x v="3"/>
    <x v="3"/>
    <x v="3"/>
    <x v="0"/>
    <x v="0"/>
    <x v="1"/>
    <x v="0"/>
    <x v="11"/>
    <n v="0"/>
    <n v="0"/>
    <n v="-0.11899999999999999"/>
    <n v="-0.11899999999999999"/>
    <n v="-0.11899999999999999"/>
    <n v="-0.11899999999999999"/>
    <n v="2"/>
    <s v="CATIVO"/>
    <n v="0"/>
    <n v="0"/>
    <n v="30"/>
    <n v="70"/>
    <n v="0"/>
    <n v="285.56"/>
    <n v="227.23"/>
    <m/>
    <n v="320.95942704201292"/>
    <n v="216.7476358676706"/>
    <n v="0"/>
    <n v="-8.3204800000000052"/>
    <n v="0"/>
    <n v="-4.0842855629522896"/>
    <x v="4"/>
  </r>
  <r>
    <s v="Regular"/>
    <x v="4"/>
    <x v="3"/>
    <x v="2"/>
    <x v="1"/>
    <x v="0"/>
    <x v="1"/>
    <x v="0"/>
    <x v="0"/>
    <n v="0"/>
    <n v="0"/>
    <n v="91.671000000000006"/>
    <n v="86.170739999999995"/>
    <n v="91.671000000000006"/>
    <n v="86.170739999999995"/>
    <n v="26"/>
    <s v="CATIVO"/>
    <n v="0"/>
    <n v="0"/>
    <n v="34"/>
    <n v="80"/>
    <n v="0"/>
    <n v="324.5"/>
    <n v="258.20999999999998"/>
    <m/>
    <n v="341.44619898086484"/>
    <n v="230.58259134858577"/>
    <n v="0"/>
    <n v="3205.0565046000065"/>
    <n v="0"/>
    <n v="3146.3070742974705"/>
    <x v="2"/>
  </r>
  <r>
    <s v="Regular"/>
    <x v="4"/>
    <x v="3"/>
    <x v="2"/>
    <x v="1"/>
    <x v="0"/>
    <x v="1"/>
    <x v="0"/>
    <x v="1"/>
    <n v="0"/>
    <n v="0"/>
    <n v="94.36"/>
    <n v="88.698399999999992"/>
    <n v="94.36"/>
    <n v="88.698399999999992"/>
    <n v="26"/>
    <s v="CATIVO"/>
    <n v="0"/>
    <n v="0"/>
    <n v="34"/>
    <n v="80"/>
    <n v="0"/>
    <n v="324.5"/>
    <n v="258.20999999999998"/>
    <m/>
    <n v="341.44619898086484"/>
    <n v="230.58259134858577"/>
    <n v="0"/>
    <n v="3299.0709360000037"/>
    <n v="0"/>
    <n v="3238.5981993292216"/>
    <x v="2"/>
  </r>
  <r>
    <s v="Regular"/>
    <x v="4"/>
    <x v="3"/>
    <x v="2"/>
    <x v="1"/>
    <x v="0"/>
    <x v="1"/>
    <x v="0"/>
    <x v="2"/>
    <n v="0"/>
    <n v="0"/>
    <n v="98.474999999999994"/>
    <n v="92.566500000000005"/>
    <n v="98.474999999999994"/>
    <n v="92.566500000000005"/>
    <n v="26"/>
    <s v="CATIVO"/>
    <n v="0"/>
    <n v="0"/>
    <n v="34"/>
    <n v="80"/>
    <n v="0"/>
    <n v="324.5"/>
    <n v="258.20999999999998"/>
    <m/>
    <n v="341.44619898086484"/>
    <n v="230.58259134858577"/>
    <n v="0"/>
    <n v="3442.9420349999937"/>
    <n v="0"/>
    <n v="3379.832107661553"/>
    <x v="2"/>
  </r>
  <r>
    <s v="Regular"/>
    <x v="4"/>
    <x v="3"/>
    <x v="2"/>
    <x v="1"/>
    <x v="0"/>
    <x v="1"/>
    <x v="0"/>
    <x v="3"/>
    <n v="0"/>
    <n v="0"/>
    <n v="105.744"/>
    <n v="99.399360000000001"/>
    <n v="105.744"/>
    <n v="99.399360000000001"/>
    <n v="26"/>
    <s v="CATIVO"/>
    <n v="0"/>
    <n v="0"/>
    <n v="34"/>
    <n v="80"/>
    <n v="0"/>
    <n v="324.5"/>
    <n v="258.20999999999998"/>
    <m/>
    <n v="341.44619898086484"/>
    <n v="230.58259134858577"/>
    <n v="0"/>
    <n v="3697.0851743999983"/>
    <n v="0"/>
    <n v="3629.3167442758445"/>
    <x v="2"/>
  </r>
  <r>
    <s v="Regular"/>
    <x v="4"/>
    <x v="3"/>
    <x v="2"/>
    <x v="1"/>
    <x v="0"/>
    <x v="1"/>
    <x v="0"/>
    <x v="4"/>
    <n v="0"/>
    <n v="0"/>
    <n v="77.584999999999994"/>
    <n v="72.929900000000004"/>
    <n v="77.584999999999994"/>
    <n v="72.929900000000004"/>
    <n v="26"/>
    <s v="CATIVO"/>
    <n v="0"/>
    <n v="0"/>
    <n v="34"/>
    <n v="80"/>
    <n v="0"/>
    <n v="324.5"/>
    <n v="258.20999999999998"/>
    <m/>
    <n v="341.44619898086484"/>
    <n v="230.58259134858577"/>
    <n v="0"/>
    <n v="2712.5733209999944"/>
    <n v="0"/>
    <n v="2662.8512218626202"/>
    <x v="2"/>
  </r>
  <r>
    <s v="Regular"/>
    <x v="4"/>
    <x v="3"/>
    <x v="2"/>
    <x v="1"/>
    <x v="0"/>
    <x v="1"/>
    <x v="0"/>
    <x v="5"/>
    <n v="0"/>
    <n v="0"/>
    <n v="94.201999999999998"/>
    <n v="88.549880000000002"/>
    <n v="94.201999999999998"/>
    <n v="88.549880000000002"/>
    <n v="26"/>
    <s v="CATIVO"/>
    <n v="0"/>
    <n v="0"/>
    <n v="34"/>
    <n v="80"/>
    <n v="0"/>
    <n v="324.5"/>
    <n v="258.20999999999998"/>
    <m/>
    <n v="341.44619898086484"/>
    <n v="230.58259134858577"/>
    <n v="0"/>
    <n v="3293.5468451999977"/>
    <n v="0"/>
    <n v="3233.1753663968921"/>
    <x v="2"/>
  </r>
  <r>
    <s v="Regular"/>
    <x v="4"/>
    <x v="3"/>
    <x v="2"/>
    <x v="1"/>
    <x v="0"/>
    <x v="1"/>
    <x v="0"/>
    <x v="6"/>
    <n v="0"/>
    <n v="0"/>
    <n v="94.076999999999998"/>
    <n v="88.432379999999995"/>
    <n v="94.076999999999998"/>
    <n v="88.432379999999995"/>
    <n v="26"/>
    <s v="CATIVO"/>
    <n v="0"/>
    <n v="0"/>
    <n v="34"/>
    <n v="80"/>
    <n v="0"/>
    <n v="324.5"/>
    <n v="258.20999999999998"/>
    <m/>
    <n v="341.44619898086484"/>
    <n v="230.58259134858577"/>
    <n v="0"/>
    <n v="3289.1765202000015"/>
    <n v="0"/>
    <n v="3228.8851504694253"/>
    <x v="2"/>
  </r>
  <r>
    <s v="Regular"/>
    <x v="4"/>
    <x v="3"/>
    <x v="2"/>
    <x v="1"/>
    <x v="0"/>
    <x v="1"/>
    <x v="0"/>
    <x v="7"/>
    <n v="0"/>
    <n v="0"/>
    <n v="94.504000000000005"/>
    <n v="88.833759999999998"/>
    <n v="94.504000000000005"/>
    <n v="88.833759999999998"/>
    <n v="26"/>
    <s v="CATIVO"/>
    <n v="0"/>
    <n v="0"/>
    <n v="34"/>
    <n v="80"/>
    <n v="0"/>
    <n v="324.5"/>
    <n v="258.20999999999998"/>
    <m/>
    <n v="341.44619898086484"/>
    <n v="230.58259134858577"/>
    <n v="0"/>
    <n v="3304.1055504000042"/>
    <n v="0"/>
    <n v="3243.5405280776677"/>
    <x v="2"/>
  </r>
  <r>
    <s v="Regular"/>
    <x v="4"/>
    <x v="3"/>
    <x v="2"/>
    <x v="1"/>
    <x v="0"/>
    <x v="1"/>
    <x v="0"/>
    <x v="8"/>
    <n v="0"/>
    <n v="0"/>
    <n v="94.319000000000003"/>
    <n v="88.659859999999995"/>
    <n v="94.319000000000003"/>
    <n v="88.659859999999995"/>
    <n v="26"/>
    <s v="CATIVO"/>
    <n v="0"/>
    <n v="0"/>
    <n v="34"/>
    <n v="80"/>
    <n v="0"/>
    <n v="324.5"/>
    <n v="258.20999999999998"/>
    <m/>
    <n v="341.44619898086484"/>
    <n v="230.58259134858577"/>
    <n v="0"/>
    <n v="3297.6374694000042"/>
    <n v="0"/>
    <n v="3237.1910085050113"/>
    <x v="2"/>
  </r>
  <r>
    <s v="Regular"/>
    <x v="4"/>
    <x v="3"/>
    <x v="2"/>
    <x v="1"/>
    <x v="0"/>
    <x v="1"/>
    <x v="0"/>
    <x v="9"/>
    <n v="0"/>
    <n v="0"/>
    <n v="108.834"/>
    <n v="102.30396"/>
    <n v="108.834"/>
    <n v="102.30396"/>
    <n v="26"/>
    <s v="CATIVO"/>
    <n v="0"/>
    <n v="0"/>
    <n v="34"/>
    <n v="80"/>
    <n v="0"/>
    <n v="324.5"/>
    <n v="258.20999999999998"/>
    <m/>
    <n v="341.44619898086484"/>
    <n v="230.58259134858577"/>
    <n v="0"/>
    <n v="3805.1196083999998"/>
    <n v="0"/>
    <n v="3735.3708820029256"/>
    <x v="2"/>
  </r>
  <r>
    <s v="Regular"/>
    <x v="4"/>
    <x v="3"/>
    <x v="2"/>
    <x v="1"/>
    <x v="0"/>
    <x v="1"/>
    <x v="0"/>
    <x v="10"/>
    <n v="0"/>
    <n v="0"/>
    <n v="92.935000000000002"/>
    <n v="87.358900000000006"/>
    <n v="92.935000000000002"/>
    <n v="87.358900000000006"/>
    <n v="26"/>
    <s v="CATIVO"/>
    <n v="0"/>
    <n v="0"/>
    <n v="34"/>
    <n v="80"/>
    <n v="0"/>
    <n v="324.5"/>
    <n v="258.20999999999998"/>
    <m/>
    <n v="341.44619898086484"/>
    <n v="230.58259134858577"/>
    <n v="0"/>
    <n v="3249.249230999998"/>
    <n v="0"/>
    <n v="3189.6897377560476"/>
    <x v="2"/>
  </r>
  <r>
    <s v="PROJETADO"/>
    <x v="4"/>
    <x v="3"/>
    <x v="2"/>
    <x v="1"/>
    <x v="0"/>
    <x v="1"/>
    <x v="0"/>
    <x v="11"/>
    <n v="0"/>
    <n v="0"/>
    <n v="92.935000000000002"/>
    <n v="87.358900000000006"/>
    <n v="92.935000000000002"/>
    <n v="87.358900000000006"/>
    <n v="26"/>
    <s v="CATIVO"/>
    <n v="0"/>
    <n v="0"/>
    <n v="34"/>
    <n v="80"/>
    <n v="0"/>
    <n v="324.5"/>
    <n v="258.20999999999998"/>
    <m/>
    <n v="341.44619898086484"/>
    <n v="230.58259134858577"/>
    <n v="0"/>
    <n v="3249.249230999998"/>
    <n v="0"/>
    <n v="3189.689737756047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0">
  <r>
    <s v="Regular"/>
    <x v="0"/>
    <x v="0"/>
    <x v="0"/>
    <x v="0"/>
    <x v="0"/>
    <x v="0"/>
    <x v="0"/>
    <x v="0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1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2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3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4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5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6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7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8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9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0"/>
    <x v="0"/>
    <x v="0"/>
    <x v="0"/>
    <x v="0"/>
    <x v="0"/>
    <x v="0"/>
    <x v="10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PROJETADO"/>
    <x v="0"/>
    <x v="0"/>
    <x v="0"/>
    <x v="0"/>
    <x v="0"/>
    <x v="0"/>
    <x v="0"/>
    <x v="11"/>
    <n v="2300"/>
    <n v="1150"/>
    <n v="0"/>
    <n v="0"/>
    <n v="0"/>
    <n v="0"/>
    <n v="0"/>
    <x v="0"/>
    <n v="1433"/>
    <n v="29"/>
    <n v="0"/>
    <n v="0"/>
    <n v="13.17"/>
    <n v="0"/>
    <n v="0"/>
    <n v="11.740652626592427"/>
    <m/>
    <m/>
    <n v="15145.5"/>
    <n v="0"/>
    <n v="0"/>
    <n v="13501.75052058129"/>
    <n v="0"/>
    <n v="0"/>
  </r>
  <r>
    <s v="Regular"/>
    <x v="1"/>
    <x v="1"/>
    <x v="1"/>
    <x v="0"/>
    <x v="0"/>
    <x v="1"/>
    <x v="1"/>
    <x v="0"/>
    <n v="88"/>
    <n v="88"/>
    <n v="8.8919999999999995"/>
    <n v="8.8919999999999995"/>
    <n v="8.8919999999999995"/>
    <n v="8.8919999999999995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699.62256000000002"/>
    <n v="2190.0996"/>
    <n v="1336.9802970234111"/>
    <n v="891.31235631081825"/>
    <n v="1950.9372122136285"/>
  </r>
  <r>
    <s v="Regular"/>
    <x v="1"/>
    <x v="1"/>
    <x v="1"/>
    <x v="0"/>
    <x v="0"/>
    <x v="1"/>
    <x v="1"/>
    <x v="1"/>
    <n v="88"/>
    <n v="88"/>
    <n v="7.0890000000000004"/>
    <n v="7.0890000000000004"/>
    <n v="7.0890000000000004"/>
    <n v="7.0890000000000004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557.76252000000011"/>
    <n v="1746.0207000000003"/>
    <n v="1336.9802970234111"/>
    <n v="710.58404114792972"/>
    <n v="1555.3524401014861"/>
  </r>
  <r>
    <s v="Regular"/>
    <x v="1"/>
    <x v="1"/>
    <x v="1"/>
    <x v="0"/>
    <x v="0"/>
    <x v="1"/>
    <x v="1"/>
    <x v="2"/>
    <n v="88"/>
    <n v="88"/>
    <n v="6.3319999999999999"/>
    <n v="6.3319999999999999"/>
    <n v="6.3319999999999999"/>
    <n v="6.3319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498.20176000000004"/>
    <n v="1559.5716"/>
    <n v="1336.9802970234111"/>
    <n v="634.70421054432086"/>
    <n v="1389.2638807621115"/>
  </r>
  <r>
    <s v="Regular"/>
    <x v="1"/>
    <x v="1"/>
    <x v="1"/>
    <x v="0"/>
    <x v="0"/>
    <x v="1"/>
    <x v="1"/>
    <x v="3"/>
    <n v="88"/>
    <n v="88"/>
    <n v="6.67"/>
    <n v="6.67"/>
    <n v="6.67"/>
    <n v="6.67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524.79560000000004"/>
    <n v="1642.8210000000001"/>
    <n v="1336.9802970234111"/>
    <n v="668.58450479005376"/>
    <n v="1463.4223128053197"/>
  </r>
  <r>
    <s v="Regular"/>
    <x v="1"/>
    <x v="1"/>
    <x v="1"/>
    <x v="0"/>
    <x v="0"/>
    <x v="1"/>
    <x v="1"/>
    <x v="4"/>
    <n v="88"/>
    <n v="88"/>
    <n v="10.019"/>
    <n v="10.019"/>
    <n v="10.019"/>
    <n v="10.01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788.29492000000005"/>
    <n v="2467.6797000000001"/>
    <n v="1336.9802970234111"/>
    <n v="1004.2800829822412"/>
    <n v="2198.205120239355"/>
  </r>
  <r>
    <s v="Regular"/>
    <x v="1"/>
    <x v="1"/>
    <x v="1"/>
    <x v="0"/>
    <x v="0"/>
    <x v="1"/>
    <x v="1"/>
    <x v="5"/>
    <n v="88"/>
    <n v="88"/>
    <n v="12.58"/>
    <n v="12.58"/>
    <n v="12.58"/>
    <n v="12.58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989.79440000000011"/>
    <n v="3098.4540000000002"/>
    <n v="1336.9802970234111"/>
    <n v="1260.9884663056787"/>
    <n v="2760.0978553359705"/>
  </r>
  <r>
    <s v="Regular"/>
    <x v="1"/>
    <x v="1"/>
    <x v="1"/>
    <x v="0"/>
    <x v="0"/>
    <x v="1"/>
    <x v="1"/>
    <x v="6"/>
    <n v="89"/>
    <n v="89"/>
    <n v="14.016"/>
    <n v="14.016"/>
    <n v="14.016"/>
    <n v="14.016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712.36"/>
    <n v="1102.7788800000001"/>
    <n v="3452.1408000000001"/>
    <n v="1352.1732549441317"/>
    <n v="1404.9295980715733"/>
    <n v="3075.1614896970555"/>
  </r>
  <r>
    <s v="Regular"/>
    <x v="1"/>
    <x v="1"/>
    <x v="1"/>
    <x v="0"/>
    <x v="0"/>
    <x v="1"/>
    <x v="1"/>
    <x v="7"/>
    <n v="88"/>
    <n v="88"/>
    <n v="11.776999999999999"/>
    <n v="11.776999999999999"/>
    <n v="11.776999999999999"/>
    <n v="11.776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926.61436000000003"/>
    <n v="2900.6750999999999"/>
    <n v="1336.9802970234111"/>
    <n v="1180.497708082828"/>
    <n v="2583.9167283220763"/>
  </r>
  <r>
    <s v="Regular"/>
    <x v="1"/>
    <x v="1"/>
    <x v="1"/>
    <x v="0"/>
    <x v="0"/>
    <x v="1"/>
    <x v="1"/>
    <x v="8"/>
    <n v="88"/>
    <n v="88"/>
    <n v="11.601000000000001"/>
    <n v="11.601000000000001"/>
    <n v="11.601000000000001"/>
    <n v="11.601000000000001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912.76668000000018"/>
    <n v="2857.3263000000002"/>
    <n v="1336.9802970234111"/>
    <n v="1162.8558980613814"/>
    <n v="2545.301686784785"/>
  </r>
  <r>
    <s v="Regular"/>
    <x v="1"/>
    <x v="1"/>
    <x v="1"/>
    <x v="0"/>
    <x v="0"/>
    <x v="1"/>
    <x v="1"/>
    <x v="9"/>
    <n v="88"/>
    <n v="88"/>
    <n v="7.383"/>
    <n v="7.383"/>
    <n v="7.383"/>
    <n v="7.383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580.89444000000003"/>
    <n v="1818.4329"/>
    <n v="1336.9802970234111"/>
    <n v="740.0538828883009"/>
    <n v="1619.857111760371"/>
  </r>
  <r>
    <s v="Regular"/>
    <x v="1"/>
    <x v="1"/>
    <x v="1"/>
    <x v="0"/>
    <x v="0"/>
    <x v="1"/>
    <x v="1"/>
    <x v="10"/>
    <n v="88"/>
    <n v="88"/>
    <n v="7.8659999999999997"/>
    <n v="7.8659999999999997"/>
    <n v="7.8659999999999997"/>
    <n v="7.8659999999999997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618.89688000000001"/>
    <n v="1937.3958"/>
    <n v="1336.9802970234111"/>
    <n v="788.46862289033925"/>
    <n v="1725.8290723428252"/>
  </r>
  <r>
    <s v="PROJETADO"/>
    <x v="1"/>
    <x v="1"/>
    <x v="1"/>
    <x v="0"/>
    <x v="0"/>
    <x v="1"/>
    <x v="1"/>
    <x v="11"/>
    <n v="88"/>
    <n v="88"/>
    <n v="7.8659999999999997"/>
    <n v="7.8659999999999997"/>
    <n v="7.8659999999999997"/>
    <n v="7.8659999999999997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1693.12"/>
    <n v="618.89688000000001"/>
    <n v="1937.3958"/>
    <n v="1336.9802970234111"/>
    <n v="788.46862289033925"/>
    <n v="1725.8290723428252"/>
  </r>
  <r>
    <s v="Regular"/>
    <x v="1"/>
    <x v="1"/>
    <x v="1"/>
    <x v="0"/>
    <x v="0"/>
    <x v="1"/>
    <x v="2"/>
    <x v="0"/>
    <n v="53"/>
    <n v="53"/>
    <n v="0.41399999999999998"/>
    <n v="0.41399999999999998"/>
    <n v="0.41399999999999998"/>
    <n v="0.41399999999999998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2.573520000000002"/>
    <n v="161.13293999999999"/>
    <n v="2129.6879358857982"/>
    <n v="41.498348573175747"/>
    <n v="146.37011404234866"/>
  </r>
  <r>
    <s v="Regular"/>
    <x v="1"/>
    <x v="1"/>
    <x v="1"/>
    <x v="0"/>
    <x v="0"/>
    <x v="1"/>
    <x v="2"/>
    <x v="1"/>
    <n v="53"/>
    <n v="53"/>
    <n v="0.42099999999999999"/>
    <n v="0.42099999999999999"/>
    <n v="0.42099999999999999"/>
    <n v="0.42099999999999999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3.124279999999999"/>
    <n v="163.85740999999999"/>
    <n v="2129.6879358857982"/>
    <n v="42.200011471756014"/>
    <n v="148.8449710430647"/>
  </r>
  <r>
    <s v="Regular"/>
    <x v="1"/>
    <x v="1"/>
    <x v="1"/>
    <x v="0"/>
    <x v="0"/>
    <x v="1"/>
    <x v="2"/>
    <x v="2"/>
    <n v="53"/>
    <n v="53"/>
    <n v="0.41399999999999998"/>
    <n v="0.41399999999999998"/>
    <n v="0.41399999999999998"/>
    <n v="0.41399999999999998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2.573520000000002"/>
    <n v="161.13293999999999"/>
    <n v="2129.6879358857982"/>
    <n v="41.498348573175747"/>
    <n v="146.37011404234866"/>
  </r>
  <r>
    <s v="Regular"/>
    <x v="1"/>
    <x v="1"/>
    <x v="1"/>
    <x v="0"/>
    <x v="0"/>
    <x v="1"/>
    <x v="2"/>
    <x v="3"/>
    <n v="53"/>
    <n v="53"/>
    <n v="0.39"/>
    <n v="0.39"/>
    <n v="0.39"/>
    <n v="0.39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0.685200000000005"/>
    <n v="151.7919"/>
    <n v="2129.6879358857982"/>
    <n v="39.092647206614842"/>
    <n v="137.88489003989369"/>
  </r>
  <r>
    <s v="Regular"/>
    <x v="1"/>
    <x v="1"/>
    <x v="1"/>
    <x v="0"/>
    <x v="0"/>
    <x v="1"/>
    <x v="2"/>
    <x v="4"/>
    <n v="53"/>
    <n v="53"/>
    <n v="0.39500000000000002"/>
    <n v="0.39500000000000002"/>
    <n v="0.39500000000000002"/>
    <n v="0.3950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1.078600000000005"/>
    <n v="153.73795000000001"/>
    <n v="2129.6879358857982"/>
    <n v="39.593834991315028"/>
    <n v="139.65264504040513"/>
  </r>
  <r>
    <s v="Regular"/>
    <x v="1"/>
    <x v="1"/>
    <x v="1"/>
    <x v="0"/>
    <x v="0"/>
    <x v="1"/>
    <x v="2"/>
    <x v="5"/>
    <n v="53"/>
    <n v="53"/>
    <n v="0.47199999999999998"/>
    <n v="0.47199999999999998"/>
    <n v="0.47199999999999998"/>
    <n v="0.47199999999999998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7.136960000000002"/>
    <n v="183.70711999999997"/>
    <n v="2129.6879358857982"/>
    <n v="47.312126875697956"/>
    <n v="166.87607204828157"/>
  </r>
  <r>
    <s v="Regular"/>
    <x v="1"/>
    <x v="1"/>
    <x v="1"/>
    <x v="0"/>
    <x v="0"/>
    <x v="1"/>
    <x v="2"/>
    <x v="6"/>
    <n v="53"/>
    <n v="53"/>
    <n v="0.38600000000000001"/>
    <n v="0.38600000000000001"/>
    <n v="0.38600000000000001"/>
    <n v="0.38600000000000001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0.370480000000004"/>
    <n v="150.23506"/>
    <n v="2129.6879358857982"/>
    <n v="38.691696978854687"/>
    <n v="136.47068603948452"/>
  </r>
  <r>
    <s v="Regular"/>
    <x v="1"/>
    <x v="1"/>
    <x v="1"/>
    <x v="0"/>
    <x v="0"/>
    <x v="1"/>
    <x v="2"/>
    <x v="7"/>
    <n v="53"/>
    <n v="53"/>
    <n v="0.39200000000000002"/>
    <n v="0.39200000000000002"/>
    <n v="0.39200000000000002"/>
    <n v="0.3920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0.842560000000002"/>
    <n v="152.57032000000001"/>
    <n v="2129.6879358857982"/>
    <n v="39.293122320494916"/>
    <n v="138.59199204009826"/>
  </r>
  <r>
    <s v="Regular"/>
    <x v="1"/>
    <x v="1"/>
    <x v="1"/>
    <x v="0"/>
    <x v="0"/>
    <x v="1"/>
    <x v="2"/>
    <x v="8"/>
    <n v="53"/>
    <n v="53"/>
    <n v="0.40899999999999997"/>
    <n v="0.40899999999999997"/>
    <n v="0.40899999999999997"/>
    <n v="0.40899999999999997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2.180120000000002"/>
    <n v="159.18688999999998"/>
    <n v="2129.6879358857982"/>
    <n v="40.997160788475561"/>
    <n v="144.60235904183722"/>
  </r>
  <r>
    <s v="Regular"/>
    <x v="1"/>
    <x v="1"/>
    <x v="1"/>
    <x v="0"/>
    <x v="0"/>
    <x v="1"/>
    <x v="2"/>
    <x v="9"/>
    <n v="53"/>
    <n v="53"/>
    <n v="0.35899999999999999"/>
    <n v="0.35899999999999999"/>
    <n v="0.35899999999999999"/>
    <n v="0.35899999999999999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28.246120000000001"/>
    <n v="139.72638999999998"/>
    <n v="2129.6879358857982"/>
    <n v="35.985282941473656"/>
    <n v="126.92480903672264"/>
  </r>
  <r>
    <s v="Regular"/>
    <x v="1"/>
    <x v="1"/>
    <x v="1"/>
    <x v="0"/>
    <x v="0"/>
    <x v="1"/>
    <x v="2"/>
    <x v="10"/>
    <n v="53"/>
    <n v="53"/>
    <n v="0.38600000000000001"/>
    <n v="0.38600000000000001"/>
    <n v="0.38600000000000001"/>
    <n v="0.38600000000000001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0.370480000000004"/>
    <n v="150.23506"/>
    <n v="2129.6879358857982"/>
    <n v="38.691696978854687"/>
    <n v="136.47068603948452"/>
  </r>
  <r>
    <s v="PROJETADO"/>
    <x v="1"/>
    <x v="1"/>
    <x v="1"/>
    <x v="0"/>
    <x v="0"/>
    <x v="1"/>
    <x v="2"/>
    <x v="11"/>
    <n v="53"/>
    <n v="53"/>
    <n v="0.38600000000000001"/>
    <n v="0.38600000000000001"/>
    <n v="0.38600000000000001"/>
    <n v="0.38600000000000001"/>
    <n v="0"/>
    <x v="1"/>
    <n v="0"/>
    <n v="3"/>
    <n v="7"/>
    <n v="47"/>
    <n v="51.41"/>
    <n v="78.680000000000007"/>
    <n v="389.21"/>
    <n v="40.182791243128264"/>
    <n v="100.23755694003805"/>
    <n v="353.55100010229148"/>
    <n v="2724.73"/>
    <n v="30.370480000000004"/>
    <n v="150.23506"/>
    <n v="2129.6879358857982"/>
    <n v="38.691696978854687"/>
    <n v="136.47068603948452"/>
  </r>
  <r>
    <s v="Regular"/>
    <x v="1"/>
    <x v="1"/>
    <x v="2"/>
    <x v="0"/>
    <x v="1"/>
    <x v="1"/>
    <x v="1"/>
    <x v="0"/>
    <n v="5515"/>
    <n v="2757.5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3054.299999999996"/>
    <n v="0"/>
    <n v="0"/>
    <n v="41894.581466387004"/>
    <n v="0"/>
    <n v="0"/>
  </r>
  <r>
    <s v="Regular"/>
    <x v="1"/>
    <x v="1"/>
    <x v="2"/>
    <x v="0"/>
    <x v="1"/>
    <x v="1"/>
    <x v="1"/>
    <x v="1"/>
    <n v="5578"/>
    <n v="2789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3660.359999999993"/>
    <n v="0"/>
    <n v="0"/>
    <n v="42373.159640889702"/>
    <n v="0"/>
    <n v="0"/>
  </r>
  <r>
    <s v="Regular"/>
    <x v="1"/>
    <x v="1"/>
    <x v="2"/>
    <x v="0"/>
    <x v="1"/>
    <x v="1"/>
    <x v="1"/>
    <x v="2"/>
    <n v="5550"/>
    <n v="2775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3390.999999999993"/>
    <n v="0"/>
    <n v="0"/>
    <n v="42160.458229999611"/>
    <n v="0"/>
    <n v="0"/>
  </r>
  <r>
    <s v="Regular"/>
    <x v="1"/>
    <x v="1"/>
    <x v="2"/>
    <x v="0"/>
    <x v="1"/>
    <x v="1"/>
    <x v="1"/>
    <x v="3"/>
    <n v="5570"/>
    <n v="2785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3583.399999999994"/>
    <n v="0"/>
    <n v="0"/>
    <n v="42312.387809206819"/>
    <n v="0"/>
    <n v="0"/>
  </r>
  <r>
    <s v="Regular"/>
    <x v="1"/>
    <x v="1"/>
    <x v="2"/>
    <x v="0"/>
    <x v="1"/>
    <x v="1"/>
    <x v="1"/>
    <x v="4"/>
    <n v="5615"/>
    <n v="2807.5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016.299999999996"/>
    <n v="0"/>
    <n v="0"/>
    <n v="42654.22936242303"/>
    <n v="0"/>
    <n v="0"/>
  </r>
  <r>
    <s v="Regular"/>
    <x v="1"/>
    <x v="1"/>
    <x v="2"/>
    <x v="0"/>
    <x v="1"/>
    <x v="1"/>
    <x v="1"/>
    <x v="5"/>
    <n v="5648"/>
    <n v="2824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333.759999999995"/>
    <n v="0"/>
    <n v="0"/>
    <n v="42904.913168114923"/>
    <n v="0"/>
    <n v="0"/>
  </r>
  <r>
    <s v="Regular"/>
    <x v="1"/>
    <x v="1"/>
    <x v="2"/>
    <x v="0"/>
    <x v="1"/>
    <x v="1"/>
    <x v="1"/>
    <x v="6"/>
    <n v="5716"/>
    <n v="2858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987.92"/>
    <n v="0"/>
    <n v="0"/>
    <n v="43421.473737419416"/>
    <n v="0"/>
    <n v="0"/>
  </r>
  <r>
    <s v="Regular"/>
    <x v="1"/>
    <x v="1"/>
    <x v="2"/>
    <x v="0"/>
    <x v="1"/>
    <x v="1"/>
    <x v="1"/>
    <x v="7"/>
    <n v="5640"/>
    <n v="2820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256.799999999996"/>
    <n v="0"/>
    <n v="0"/>
    <n v="42844.14133643204"/>
    <n v="0"/>
    <n v="0"/>
  </r>
  <r>
    <s v="Regular"/>
    <x v="1"/>
    <x v="1"/>
    <x v="2"/>
    <x v="0"/>
    <x v="1"/>
    <x v="1"/>
    <x v="1"/>
    <x v="8"/>
    <n v="5643"/>
    <n v="2821.5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285.659999999996"/>
    <n v="0"/>
    <n v="0"/>
    <n v="42866.930773313121"/>
    <n v="0"/>
    <n v="0"/>
  </r>
  <r>
    <s v="Regular"/>
    <x v="1"/>
    <x v="1"/>
    <x v="2"/>
    <x v="0"/>
    <x v="1"/>
    <x v="1"/>
    <x v="1"/>
    <x v="9"/>
    <n v="5618"/>
    <n v="2809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045.159999999996"/>
    <n v="0"/>
    <n v="0"/>
    <n v="42677.018799304111"/>
    <n v="0"/>
    <n v="0"/>
  </r>
  <r>
    <s v="Regular"/>
    <x v="1"/>
    <x v="1"/>
    <x v="2"/>
    <x v="0"/>
    <x v="1"/>
    <x v="1"/>
    <x v="1"/>
    <x v="10"/>
    <n v="5674"/>
    <n v="2837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583.88"/>
    <n v="0"/>
    <n v="0"/>
    <n v="43102.421621084286"/>
    <n v="0"/>
    <n v="0"/>
  </r>
  <r>
    <s v="PROJETADO"/>
    <x v="1"/>
    <x v="1"/>
    <x v="2"/>
    <x v="0"/>
    <x v="1"/>
    <x v="1"/>
    <x v="1"/>
    <x v="11"/>
    <n v="5674"/>
    <n v="2837"/>
    <n v="0"/>
    <n v="0"/>
    <n v="0"/>
    <n v="0"/>
    <n v="0"/>
    <x v="2"/>
    <n v="0"/>
    <n v="22"/>
    <n v="0"/>
    <n v="0"/>
    <n v="19.239999999999998"/>
    <n v="0"/>
    <n v="0"/>
    <n v="15.19295792072058"/>
    <n v="100.23755694003805"/>
    <m/>
    <n v="54583.88"/>
    <n v="0"/>
    <n v="0"/>
    <n v="43102.421621084286"/>
    <n v="0"/>
    <n v="0"/>
  </r>
  <r>
    <s v="Regular"/>
    <x v="1"/>
    <x v="1"/>
    <x v="2"/>
    <x v="0"/>
    <x v="1"/>
    <x v="1"/>
    <x v="0"/>
    <x v="0"/>
    <n v="0"/>
    <n v="0"/>
    <n v="2527.2869999999998"/>
    <n v="1263.6434999999999"/>
    <n v="0"/>
    <n v="0"/>
    <n v="4"/>
    <x v="2"/>
    <n v="0"/>
    <n v="0"/>
    <n v="7"/>
    <n v="0"/>
    <n v="0"/>
    <n v="78.680000000000007"/>
    <n v="0"/>
    <m/>
    <n v="100.23755694003805"/>
    <m/>
    <n v="0"/>
    <n v="99423.470579999994"/>
    <n v="0"/>
    <n v="0"/>
    <n v="126664.53728315896"/>
    <n v="0"/>
  </r>
  <r>
    <s v="Regular"/>
    <x v="1"/>
    <x v="1"/>
    <x v="2"/>
    <x v="0"/>
    <x v="1"/>
    <x v="1"/>
    <x v="0"/>
    <x v="1"/>
    <n v="0"/>
    <n v="0"/>
    <n v="2597.9349999999999"/>
    <n v="1298.9675"/>
    <n v="0"/>
    <n v="0"/>
    <n v="4"/>
    <x v="2"/>
    <n v="0"/>
    <n v="0"/>
    <n v="7"/>
    <n v="0"/>
    <n v="0"/>
    <n v="78.680000000000007"/>
    <n v="0"/>
    <m/>
    <n v="100.23755694003805"/>
    <m/>
    <n v="0"/>
    <n v="102202.7629"/>
    <n v="0"/>
    <n v="0"/>
    <n v="130205.32874450886"/>
    <n v="0"/>
  </r>
  <r>
    <s v="Regular"/>
    <x v="1"/>
    <x v="1"/>
    <x v="2"/>
    <x v="0"/>
    <x v="1"/>
    <x v="1"/>
    <x v="0"/>
    <x v="2"/>
    <n v="0"/>
    <n v="0"/>
    <n v="2547.232"/>
    <n v="1273.616"/>
    <n v="0"/>
    <n v="0"/>
    <n v="4"/>
    <x v="2"/>
    <n v="0"/>
    <n v="0"/>
    <n v="7"/>
    <n v="0"/>
    <n v="0"/>
    <n v="78.680000000000007"/>
    <n v="0"/>
    <m/>
    <n v="100.23755694003805"/>
    <m/>
    <n v="0"/>
    <n v="100208.10688000001"/>
    <n v="0"/>
    <n v="0"/>
    <n v="127664.1563197435"/>
    <n v="0"/>
  </r>
  <r>
    <s v="Regular"/>
    <x v="1"/>
    <x v="1"/>
    <x v="2"/>
    <x v="0"/>
    <x v="1"/>
    <x v="1"/>
    <x v="0"/>
    <x v="3"/>
    <n v="0"/>
    <n v="0"/>
    <n v="2494.2710000000002"/>
    <n v="1247.1355000000001"/>
    <n v="0"/>
    <n v="0"/>
    <n v="4"/>
    <x v="2"/>
    <n v="0"/>
    <n v="0"/>
    <n v="7"/>
    <n v="0"/>
    <n v="0"/>
    <n v="78.680000000000007"/>
    <n v="0"/>
    <m/>
    <n v="100.23755694003805"/>
    <m/>
    <n v="0"/>
    <n v="98124.621140000017"/>
    <n v="0"/>
    <n v="0"/>
    <n v="125009.81569319282"/>
    <n v="0"/>
  </r>
  <r>
    <s v="Regular"/>
    <x v="1"/>
    <x v="1"/>
    <x v="2"/>
    <x v="0"/>
    <x v="1"/>
    <x v="1"/>
    <x v="0"/>
    <x v="4"/>
    <n v="0"/>
    <n v="0"/>
    <n v="2493.67"/>
    <n v="1246.835"/>
    <n v="0"/>
    <n v="0"/>
    <n v="4"/>
    <x v="2"/>
    <n v="0"/>
    <n v="0"/>
    <n v="7"/>
    <n v="0"/>
    <n v="0"/>
    <n v="78.680000000000007"/>
    <n v="0"/>
    <m/>
    <n v="100.23755694003805"/>
    <m/>
    <n v="0"/>
    <n v="98100.977800000008"/>
    <n v="0"/>
    <n v="0"/>
    <n v="124979.69430733235"/>
    <n v="0"/>
  </r>
  <r>
    <s v="Regular"/>
    <x v="1"/>
    <x v="1"/>
    <x v="2"/>
    <x v="0"/>
    <x v="1"/>
    <x v="1"/>
    <x v="0"/>
    <x v="5"/>
    <n v="0"/>
    <n v="0"/>
    <n v="2788.4180000000001"/>
    <n v="1394.2090000000001"/>
    <n v="0"/>
    <n v="0"/>
    <n v="4"/>
    <x v="2"/>
    <n v="0"/>
    <n v="0"/>
    <n v="7"/>
    <n v="0"/>
    <n v="0"/>
    <n v="78.680000000000007"/>
    <n v="0"/>
    <m/>
    <n v="100.23755694003805"/>
    <m/>
    <n v="0"/>
    <n v="109696.36412000001"/>
    <n v="0"/>
    <n v="0"/>
    <n v="139752.1040238135"/>
    <n v="0"/>
  </r>
  <r>
    <s v="Regular"/>
    <x v="1"/>
    <x v="1"/>
    <x v="2"/>
    <x v="0"/>
    <x v="1"/>
    <x v="1"/>
    <x v="0"/>
    <x v="6"/>
    <n v="0"/>
    <n v="0"/>
    <n v="2800.7049999999999"/>
    <n v="1400.3525"/>
    <n v="0"/>
    <n v="0"/>
    <n v="4"/>
    <x v="2"/>
    <n v="0"/>
    <n v="0"/>
    <n v="7"/>
    <n v="0"/>
    <n v="0"/>
    <n v="78.680000000000007"/>
    <n v="0"/>
    <m/>
    <n v="100.23755694003805"/>
    <m/>
    <n v="0"/>
    <n v="110179.7347"/>
    <n v="0"/>
    <n v="0"/>
    <n v="140367.91345487462"/>
    <n v="0"/>
  </r>
  <r>
    <s v="Regular"/>
    <x v="1"/>
    <x v="1"/>
    <x v="2"/>
    <x v="0"/>
    <x v="1"/>
    <x v="1"/>
    <x v="0"/>
    <x v="7"/>
    <n v="0"/>
    <n v="0"/>
    <n v="2477.1469999999999"/>
    <n v="1238.5735"/>
    <n v="0"/>
    <n v="0"/>
    <n v="4"/>
    <x v="2"/>
    <n v="0"/>
    <n v="0"/>
    <n v="7"/>
    <n v="0"/>
    <n v="0"/>
    <n v="78.680000000000007"/>
    <n v="0"/>
    <m/>
    <n v="100.23755694003805"/>
    <m/>
    <n v="0"/>
    <n v="97450.962980000011"/>
    <n v="0"/>
    <n v="0"/>
    <n v="124151.58173067222"/>
    <n v="0"/>
  </r>
  <r>
    <s v="Regular"/>
    <x v="1"/>
    <x v="1"/>
    <x v="2"/>
    <x v="0"/>
    <x v="1"/>
    <x v="1"/>
    <x v="0"/>
    <x v="8"/>
    <n v="0"/>
    <n v="0"/>
    <n v="2716.36"/>
    <n v="1358.18"/>
    <n v="0"/>
    <n v="0"/>
    <n v="4"/>
    <x v="2"/>
    <n v="0"/>
    <n v="0"/>
    <n v="7"/>
    <n v="0"/>
    <n v="0"/>
    <n v="78.680000000000007"/>
    <n v="0"/>
    <m/>
    <n v="100.23755694003805"/>
    <m/>
    <n v="0"/>
    <n v="106861.60240000002"/>
    <n v="0"/>
    <n v="0"/>
    <n v="136140.64508482089"/>
    <n v="0"/>
  </r>
  <r>
    <s v="Regular"/>
    <x v="1"/>
    <x v="1"/>
    <x v="2"/>
    <x v="0"/>
    <x v="1"/>
    <x v="1"/>
    <x v="0"/>
    <x v="9"/>
    <n v="0"/>
    <n v="0"/>
    <n v="2357.3380000000002"/>
    <n v="1178.6690000000001"/>
    <n v="0"/>
    <n v="0"/>
    <n v="4"/>
    <x v="2"/>
    <n v="0"/>
    <n v="0"/>
    <n v="7"/>
    <n v="0"/>
    <n v="0"/>
    <n v="78.680000000000007"/>
    <n v="0"/>
    <m/>
    <n v="100.23755694003805"/>
    <m/>
    <n v="0"/>
    <n v="92737.676920000013"/>
    <n v="0"/>
    <n v="0"/>
    <n v="118146.90100095772"/>
    <n v="0"/>
  </r>
  <r>
    <s v="Regular"/>
    <x v="1"/>
    <x v="1"/>
    <x v="2"/>
    <x v="0"/>
    <x v="1"/>
    <x v="1"/>
    <x v="0"/>
    <x v="10"/>
    <n v="0"/>
    <n v="0"/>
    <n v="2365.0210000000002"/>
    <n v="1182.5105000000001"/>
    <n v="0"/>
    <n v="0"/>
    <n v="4"/>
    <x v="2"/>
    <n v="0"/>
    <n v="0"/>
    <n v="7"/>
    <n v="0"/>
    <n v="0"/>
    <n v="78.680000000000007"/>
    <n v="0"/>
    <m/>
    <n v="100.23755694003805"/>
    <m/>
    <n v="0"/>
    <n v="93039.92614000001"/>
    <n v="0"/>
    <n v="0"/>
    <n v="118531.96357594286"/>
    <n v="0"/>
  </r>
  <r>
    <s v="PROJETADO"/>
    <x v="1"/>
    <x v="1"/>
    <x v="2"/>
    <x v="0"/>
    <x v="1"/>
    <x v="1"/>
    <x v="0"/>
    <x v="11"/>
    <n v="0"/>
    <n v="0"/>
    <n v="2365.0210000000002"/>
    <n v="1182.5105000000001"/>
    <n v="0"/>
    <n v="0"/>
    <n v="4"/>
    <x v="2"/>
    <n v="0"/>
    <n v="0"/>
    <n v="7"/>
    <n v="0"/>
    <n v="0"/>
    <n v="78.680000000000007"/>
    <n v="0"/>
    <m/>
    <n v="100.23755694003805"/>
    <m/>
    <n v="0"/>
    <n v="93039.92614000001"/>
    <n v="0"/>
    <n v="0"/>
    <n v="118531.96357594286"/>
    <n v="0"/>
  </r>
  <r>
    <s v="Regular"/>
    <x v="1"/>
    <x v="1"/>
    <x v="2"/>
    <x v="0"/>
    <x v="1"/>
    <x v="1"/>
    <x v="2"/>
    <x v="0"/>
    <n v="5232"/>
    <n v="2616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4488.56"/>
    <n v="0"/>
    <n v="0"/>
    <n v="105118.18189202354"/>
    <n v="0"/>
    <n v="0"/>
  </r>
  <r>
    <s v="Regular"/>
    <x v="1"/>
    <x v="1"/>
    <x v="2"/>
    <x v="0"/>
    <x v="1"/>
    <x v="1"/>
    <x v="2"/>
    <x v="1"/>
    <n v="5286"/>
    <n v="2643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5876.63"/>
    <n v="0"/>
    <n v="0"/>
    <n v="106203.117255588"/>
    <n v="0"/>
    <n v="0"/>
  </r>
  <r>
    <s v="Regular"/>
    <x v="1"/>
    <x v="1"/>
    <x v="2"/>
    <x v="0"/>
    <x v="1"/>
    <x v="1"/>
    <x v="2"/>
    <x v="2"/>
    <n v="5291"/>
    <n v="2645.5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6005.155"/>
    <n v="0"/>
    <n v="0"/>
    <n v="106303.57423369582"/>
    <n v="0"/>
    <n v="0"/>
  </r>
  <r>
    <s v="Regular"/>
    <x v="1"/>
    <x v="1"/>
    <x v="2"/>
    <x v="0"/>
    <x v="1"/>
    <x v="1"/>
    <x v="2"/>
    <x v="3"/>
    <n v="5310"/>
    <n v="2655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6493.54999999999"/>
    <n v="0"/>
    <n v="0"/>
    <n v="106685.31075050554"/>
    <n v="0"/>
    <n v="0"/>
  </r>
  <r>
    <s v="Regular"/>
    <x v="1"/>
    <x v="1"/>
    <x v="2"/>
    <x v="0"/>
    <x v="1"/>
    <x v="1"/>
    <x v="2"/>
    <x v="4"/>
    <n v="5312"/>
    <n v="2656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6544.95999999999"/>
    <n v="0"/>
    <n v="0"/>
    <n v="106725.49354174867"/>
    <n v="0"/>
    <n v="0"/>
  </r>
  <r>
    <s v="Regular"/>
    <x v="1"/>
    <x v="1"/>
    <x v="2"/>
    <x v="0"/>
    <x v="1"/>
    <x v="1"/>
    <x v="2"/>
    <x v="5"/>
    <n v="5357"/>
    <n v="2678.5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7701.685"/>
    <n v="0"/>
    <n v="0"/>
    <n v="107629.60634471905"/>
    <n v="0"/>
    <n v="0"/>
  </r>
  <r>
    <s v="Regular"/>
    <x v="1"/>
    <x v="1"/>
    <x v="2"/>
    <x v="0"/>
    <x v="1"/>
    <x v="1"/>
    <x v="2"/>
    <x v="6"/>
    <n v="5406"/>
    <n v="2703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8961.22999999998"/>
    <n v="0"/>
    <n v="0"/>
    <n v="108614.0847301757"/>
    <n v="0"/>
    <n v="0"/>
  </r>
  <r>
    <s v="Regular"/>
    <x v="1"/>
    <x v="1"/>
    <x v="2"/>
    <x v="0"/>
    <x v="1"/>
    <x v="1"/>
    <x v="2"/>
    <x v="7"/>
    <n v="5387"/>
    <n v="2693.5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8472.83499999999"/>
    <n v="0"/>
    <n v="0"/>
    <n v="108232.34821336599"/>
    <n v="0"/>
    <n v="0"/>
  </r>
  <r>
    <s v="Regular"/>
    <x v="1"/>
    <x v="1"/>
    <x v="2"/>
    <x v="0"/>
    <x v="1"/>
    <x v="1"/>
    <x v="2"/>
    <x v="8"/>
    <n v="5395"/>
    <n v="2697.5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8678.47499999998"/>
    <n v="0"/>
    <n v="0"/>
    <n v="108393.07937833849"/>
    <n v="0"/>
    <n v="0"/>
  </r>
  <r>
    <s v="Regular"/>
    <x v="1"/>
    <x v="1"/>
    <x v="2"/>
    <x v="0"/>
    <x v="1"/>
    <x v="1"/>
    <x v="2"/>
    <x v="9"/>
    <n v="5332"/>
    <n v="2666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7059.06"/>
    <n v="0"/>
    <n v="0"/>
    <n v="107127.32145417995"/>
    <n v="0"/>
    <n v="0"/>
  </r>
  <r>
    <s v="Regular"/>
    <x v="1"/>
    <x v="1"/>
    <x v="2"/>
    <x v="0"/>
    <x v="1"/>
    <x v="1"/>
    <x v="2"/>
    <x v="10"/>
    <n v="5385"/>
    <n v="2692.5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8421.42499999999"/>
    <n v="0"/>
    <n v="0"/>
    <n v="108192.16542212285"/>
    <n v="0"/>
    <n v="0"/>
  </r>
  <r>
    <s v="PROJETADO"/>
    <x v="1"/>
    <x v="1"/>
    <x v="2"/>
    <x v="0"/>
    <x v="1"/>
    <x v="1"/>
    <x v="2"/>
    <x v="11"/>
    <n v="5385"/>
    <n v="2692.5"/>
    <n v="0"/>
    <n v="0"/>
    <n v="0"/>
    <n v="0"/>
    <n v="0"/>
    <x v="2"/>
    <n v="0"/>
    <n v="3"/>
    <n v="0"/>
    <n v="0"/>
    <n v="51.41"/>
    <n v="0"/>
    <n v="0"/>
    <n v="40.182791243128264"/>
    <n v="100.23755694003805"/>
    <m/>
    <n v="138421.42499999999"/>
    <n v="0"/>
    <n v="0"/>
    <n v="108192.16542212285"/>
    <n v="0"/>
    <n v="0"/>
  </r>
  <r>
    <s v="Regular"/>
    <x v="1"/>
    <x v="1"/>
    <x v="2"/>
    <x v="0"/>
    <x v="0"/>
    <x v="1"/>
    <x v="1"/>
    <x v="0"/>
    <n v="180"/>
    <n v="180"/>
    <n v="22.048999999999999"/>
    <n v="22.048999999999999"/>
    <n v="22.048999999999999"/>
    <n v="22.048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734.8153200000002"/>
    <n v="5430.6687000000002"/>
    <n v="2734.7324257297046"/>
    <n v="2210.137892970899"/>
    <n v="4837.630970771288"/>
  </r>
  <r>
    <s v="Regular"/>
    <x v="1"/>
    <x v="1"/>
    <x v="2"/>
    <x v="0"/>
    <x v="0"/>
    <x v="1"/>
    <x v="1"/>
    <x v="1"/>
    <n v="180"/>
    <n v="180"/>
    <n v="21.363"/>
    <n v="21.363"/>
    <n v="21.363"/>
    <n v="21.363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680.8408400000001"/>
    <n v="5261.7069000000001"/>
    <n v="2734.7324257297046"/>
    <n v="2141.3749289100328"/>
    <n v="4687.1200702338892"/>
  </r>
  <r>
    <s v="Regular"/>
    <x v="1"/>
    <x v="1"/>
    <x v="2"/>
    <x v="0"/>
    <x v="0"/>
    <x v="1"/>
    <x v="1"/>
    <x v="2"/>
    <n v="180"/>
    <n v="180"/>
    <n v="24.32"/>
    <n v="24.32"/>
    <n v="24.32"/>
    <n v="24.32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913.4976000000001"/>
    <n v="5990.0160000000005"/>
    <n v="2734.7324257297046"/>
    <n v="2437.7773847817252"/>
    <n v="5335.8966487894113"/>
  </r>
  <r>
    <s v="Regular"/>
    <x v="1"/>
    <x v="1"/>
    <x v="2"/>
    <x v="0"/>
    <x v="0"/>
    <x v="1"/>
    <x v="1"/>
    <x v="3"/>
    <n v="180"/>
    <n v="180"/>
    <n v="24.283000000000001"/>
    <n v="24.283000000000001"/>
    <n v="24.283000000000001"/>
    <n v="24.283000000000001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910.5864400000003"/>
    <n v="5980.902900000001"/>
    <n v="2734.7324257297046"/>
    <n v="2434.0685951749442"/>
    <n v="5327.7787139207767"/>
  </r>
  <r>
    <s v="Regular"/>
    <x v="1"/>
    <x v="1"/>
    <x v="2"/>
    <x v="0"/>
    <x v="0"/>
    <x v="1"/>
    <x v="1"/>
    <x v="4"/>
    <n v="180"/>
    <n v="180"/>
    <n v="22.431999999999999"/>
    <n v="22.431999999999999"/>
    <n v="22.431999999999999"/>
    <n v="22.431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764.94976"/>
    <n v="5525.0015999999996"/>
    <n v="2734.7324257297046"/>
    <n v="2248.5288772789331"/>
    <n v="4921.6625668439174"/>
  </r>
  <r>
    <s v="Regular"/>
    <x v="1"/>
    <x v="1"/>
    <x v="2"/>
    <x v="0"/>
    <x v="0"/>
    <x v="1"/>
    <x v="1"/>
    <x v="5"/>
    <n v="180"/>
    <n v="180"/>
    <n v="20.414999999999999"/>
    <n v="20.414999999999999"/>
    <n v="20.414999999999999"/>
    <n v="20.414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606.2522000000001"/>
    <n v="5028.2145"/>
    <n v="2734.7324257297046"/>
    <n v="2046.3497249308766"/>
    <n v="4479.1254146807496"/>
  </r>
  <r>
    <s v="Regular"/>
    <x v="1"/>
    <x v="1"/>
    <x v="2"/>
    <x v="0"/>
    <x v="0"/>
    <x v="1"/>
    <x v="1"/>
    <x v="6"/>
    <n v="180"/>
    <n v="180"/>
    <n v="22.443000000000001"/>
    <n v="22.443000000000001"/>
    <n v="22.443000000000001"/>
    <n v="22.443000000000001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765.8152400000004"/>
    <n v="5527.7109000000009"/>
    <n v="2734.7324257297046"/>
    <n v="2249.6314904052742"/>
    <n v="4924.0760069399985"/>
  </r>
  <r>
    <s v="Regular"/>
    <x v="1"/>
    <x v="1"/>
    <x v="2"/>
    <x v="0"/>
    <x v="0"/>
    <x v="1"/>
    <x v="1"/>
    <x v="7"/>
    <n v="180"/>
    <n v="180"/>
    <n v="22.344999999999999"/>
    <n v="22.344999999999999"/>
    <n v="22.344999999999999"/>
    <n v="22.344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758.1046000000001"/>
    <n v="5503.5735000000004"/>
    <n v="2734.7324257297046"/>
    <n v="2239.8082098251502"/>
    <n v="4902.5744497203696"/>
  </r>
  <r>
    <s v="Regular"/>
    <x v="1"/>
    <x v="1"/>
    <x v="2"/>
    <x v="0"/>
    <x v="0"/>
    <x v="1"/>
    <x v="1"/>
    <x v="8"/>
    <n v="180"/>
    <n v="180"/>
    <n v="23.327999999999999"/>
    <n v="23.327999999999999"/>
    <n v="23.327999999999999"/>
    <n v="23.327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835.44704"/>
    <n v="5745.6864000000005"/>
    <n v="2734.7324257297046"/>
    <n v="2338.3417282972073"/>
    <n v="5118.2482328519482"/>
  </r>
  <r>
    <s v="Regular"/>
    <x v="1"/>
    <x v="1"/>
    <x v="2"/>
    <x v="0"/>
    <x v="0"/>
    <x v="1"/>
    <x v="1"/>
    <x v="9"/>
    <n v="180"/>
    <n v="180"/>
    <n v="18.952999999999999"/>
    <n v="18.952999999999999"/>
    <n v="18.952999999999999"/>
    <n v="18.952999999999999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491.2220400000001"/>
    <n v="4668.1239000000005"/>
    <n v="2734.7324257297046"/>
    <n v="1899.802416684541"/>
    <n v="4158.3572855471102"/>
  </r>
  <r>
    <s v="Regular"/>
    <x v="1"/>
    <x v="1"/>
    <x v="2"/>
    <x v="0"/>
    <x v="0"/>
    <x v="1"/>
    <x v="1"/>
    <x v="10"/>
    <n v="180"/>
    <n v="180"/>
    <n v="19.52"/>
    <n v="19.52"/>
    <n v="19.52"/>
    <n v="19.52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535.8336000000002"/>
    <n v="4807.7759999999998"/>
    <n v="2734.7324257297046"/>
    <n v="1956.6371114695426"/>
    <n v="4282.7591523178171"/>
  </r>
  <r>
    <s v="PROJETADO"/>
    <x v="1"/>
    <x v="1"/>
    <x v="2"/>
    <x v="0"/>
    <x v="0"/>
    <x v="1"/>
    <x v="1"/>
    <x v="11"/>
    <n v="180"/>
    <n v="180"/>
    <n v="19.52"/>
    <n v="19.52"/>
    <n v="19.52"/>
    <n v="19.52"/>
    <n v="0"/>
    <x v="1"/>
    <n v="0"/>
    <n v="22"/>
    <n v="7"/>
    <n v="42"/>
    <n v="19.239999999999998"/>
    <n v="78.680000000000007"/>
    <n v="246.3"/>
    <n v="15.19295792072058"/>
    <n v="100.23755694003805"/>
    <n v="219.40364509824883"/>
    <n v="3463.2"/>
    <n v="1535.8336000000002"/>
    <n v="4807.7759999999998"/>
    <n v="2734.7324257297046"/>
    <n v="1956.6371114695426"/>
    <n v="4282.7591523178171"/>
  </r>
  <r>
    <s v="Regular"/>
    <x v="1"/>
    <x v="1"/>
    <x v="2"/>
    <x v="0"/>
    <x v="0"/>
    <x v="1"/>
    <x v="2"/>
    <x v="0"/>
    <n v="165"/>
    <n v="165"/>
    <n v="3.4580000000000002"/>
    <n v="3.4580000000000002"/>
    <n v="3.4580000000000002"/>
    <n v="3.458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72.07544000000001"/>
    <n v="1345.8881799999999"/>
    <n v="6630.1605551161638"/>
    <n v="346.62147189865158"/>
    <n v="1222.579358353724"/>
  </r>
  <r>
    <s v="Regular"/>
    <x v="1"/>
    <x v="1"/>
    <x v="2"/>
    <x v="0"/>
    <x v="0"/>
    <x v="1"/>
    <x v="2"/>
    <x v="1"/>
    <n v="165"/>
    <n v="165"/>
    <n v="3.202"/>
    <n v="3.202"/>
    <n v="3.202"/>
    <n v="3.202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51.93336000000002"/>
    <n v="1246.2504199999998"/>
    <n v="6630.1605551161638"/>
    <n v="320.96065732200185"/>
    <n v="1132.0703023275373"/>
  </r>
  <r>
    <s v="Regular"/>
    <x v="1"/>
    <x v="1"/>
    <x v="2"/>
    <x v="0"/>
    <x v="0"/>
    <x v="1"/>
    <x v="2"/>
    <x v="2"/>
    <n v="165"/>
    <n v="165"/>
    <n v="3.1219999999999999"/>
    <n v="3.1219999999999999"/>
    <n v="3.1219999999999999"/>
    <n v="3.1219999999999999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45.63896000000003"/>
    <n v="1215.1136199999999"/>
    <n v="6630.1605551161638"/>
    <n v="312.94165276679877"/>
    <n v="1103.786222319354"/>
  </r>
  <r>
    <s v="Regular"/>
    <x v="1"/>
    <x v="1"/>
    <x v="2"/>
    <x v="0"/>
    <x v="0"/>
    <x v="1"/>
    <x v="2"/>
    <x v="3"/>
    <n v="165"/>
    <n v="165"/>
    <n v="2.8860000000000001"/>
    <n v="2.8860000000000001"/>
    <n v="2.8860000000000001"/>
    <n v="2.8860000000000001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27.07048000000003"/>
    <n v="1123.2600600000001"/>
    <n v="6630.1605551161638"/>
    <n v="289.28558932894981"/>
    <n v="1020.3481862952133"/>
  </r>
  <r>
    <s v="Regular"/>
    <x v="1"/>
    <x v="1"/>
    <x v="2"/>
    <x v="0"/>
    <x v="0"/>
    <x v="1"/>
    <x v="2"/>
    <x v="4"/>
    <n v="165"/>
    <n v="165"/>
    <n v="2.7719999999999998"/>
    <n v="2.7719999999999998"/>
    <n v="2.7719999999999998"/>
    <n v="2.7719999999999998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18.10096000000001"/>
    <n v="1078.8901199999998"/>
    <n v="6630.1605551161638"/>
    <n v="277.85850783778545"/>
    <n v="980.04337228355189"/>
  </r>
  <r>
    <s v="Regular"/>
    <x v="1"/>
    <x v="1"/>
    <x v="2"/>
    <x v="0"/>
    <x v="0"/>
    <x v="1"/>
    <x v="2"/>
    <x v="5"/>
    <n v="165"/>
    <n v="165"/>
    <n v="2.907"/>
    <n v="2.907"/>
    <n v="2.907"/>
    <n v="2.907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28.72276000000002"/>
    <n v="1131.4334699999999"/>
    <n v="6630.1605551161638"/>
    <n v="291.39057802469063"/>
    <n v="1027.7727572973613"/>
  </r>
  <r>
    <s v="Regular"/>
    <x v="1"/>
    <x v="1"/>
    <x v="2"/>
    <x v="0"/>
    <x v="0"/>
    <x v="1"/>
    <x v="2"/>
    <x v="6"/>
    <n v="165"/>
    <n v="165"/>
    <n v="2.9220000000000002"/>
    <n v="2.9220000000000002"/>
    <n v="2.9220000000000002"/>
    <n v="2.922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29.90296000000004"/>
    <n v="1137.27162"/>
    <n v="6630.1605551161638"/>
    <n v="292.89414137879118"/>
    <n v="1033.0760222988959"/>
  </r>
  <r>
    <s v="Regular"/>
    <x v="1"/>
    <x v="1"/>
    <x v="2"/>
    <x v="0"/>
    <x v="0"/>
    <x v="1"/>
    <x v="2"/>
    <x v="7"/>
    <n v="165"/>
    <n v="165"/>
    <n v="2.8410000000000002"/>
    <n v="2.8410000000000002"/>
    <n v="2.8410000000000002"/>
    <n v="2.841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23.52988000000005"/>
    <n v="1105.7456099999999"/>
    <n v="6630.1605551161638"/>
    <n v="284.77489926664811"/>
    <n v="1004.4383912906102"/>
  </r>
  <r>
    <s v="Regular"/>
    <x v="1"/>
    <x v="1"/>
    <x v="2"/>
    <x v="0"/>
    <x v="0"/>
    <x v="1"/>
    <x v="2"/>
    <x v="8"/>
    <n v="165"/>
    <n v="165"/>
    <n v="3.2040000000000002"/>
    <n v="3.2040000000000002"/>
    <n v="3.2040000000000002"/>
    <n v="3.204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52.09072000000003"/>
    <n v="1247.0288399999999"/>
    <n v="6630.1605551161638"/>
    <n v="321.16113243588194"/>
    <n v="1132.777404327742"/>
  </r>
  <r>
    <s v="Regular"/>
    <x v="1"/>
    <x v="1"/>
    <x v="2"/>
    <x v="0"/>
    <x v="0"/>
    <x v="1"/>
    <x v="2"/>
    <x v="9"/>
    <n v="165"/>
    <n v="165"/>
    <n v="2.589"/>
    <n v="2.589"/>
    <n v="2.589"/>
    <n v="2.589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03.70252000000002"/>
    <n v="1007.66469"/>
    <n v="6630.1605551161638"/>
    <n v="259.5150349177585"/>
    <n v="915.34353926483266"/>
  </r>
  <r>
    <s v="Regular"/>
    <x v="1"/>
    <x v="1"/>
    <x v="2"/>
    <x v="0"/>
    <x v="0"/>
    <x v="1"/>
    <x v="2"/>
    <x v="10"/>
    <n v="165"/>
    <n v="165"/>
    <n v="3.3330000000000002"/>
    <n v="3.3330000000000002"/>
    <n v="3.3330000000000002"/>
    <n v="3.333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62.24044000000004"/>
    <n v="1297.23693"/>
    <n v="6630.1605551161638"/>
    <n v="334.09177728114685"/>
    <n v="1178.3854833409375"/>
  </r>
  <r>
    <s v="PROJETADO"/>
    <x v="1"/>
    <x v="1"/>
    <x v="2"/>
    <x v="0"/>
    <x v="0"/>
    <x v="1"/>
    <x v="2"/>
    <x v="11"/>
    <n v="165"/>
    <n v="165"/>
    <n v="3.3330000000000002"/>
    <n v="3.3330000000000002"/>
    <n v="3.3330000000000002"/>
    <n v="3.3330000000000002"/>
    <n v="0"/>
    <x v="1"/>
    <n v="0"/>
    <n v="3"/>
    <n v="7"/>
    <n v="47"/>
    <n v="51.41"/>
    <n v="78.680000000000007"/>
    <n v="389.21"/>
    <n v="40.182791243128264"/>
    <n v="100.23755694003805"/>
    <n v="353.55100010229148"/>
    <n v="8482.65"/>
    <n v="262.24044000000004"/>
    <n v="1297.23693"/>
    <n v="6630.1605551161638"/>
    <n v="334.09177728114685"/>
    <n v="1178.3854833409375"/>
  </r>
  <r>
    <s v="Regular"/>
    <x v="1"/>
    <x v="1"/>
    <x v="3"/>
    <x v="1"/>
    <x v="0"/>
    <x v="1"/>
    <x v="1"/>
    <x v="0"/>
    <n v="677"/>
    <n v="677"/>
    <n v="362.75799999999998"/>
    <n v="362.75799999999998"/>
    <n v="362.75799999999998"/>
    <n v="362.75799999999998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2243.951199999998"/>
    <n v="26829.291473599998"/>
    <n v="83986.457675999991"/>
    <n v="9977.0635369579977"/>
    <n v="35271.11641004069"/>
    <n v="77202.714663894032"/>
  </r>
  <r>
    <s v="Regular"/>
    <x v="1"/>
    <x v="1"/>
    <x v="3"/>
    <x v="1"/>
    <x v="0"/>
    <x v="1"/>
    <x v="1"/>
    <x v="1"/>
    <n v="642"/>
    <n v="642"/>
    <n v="360.85899999999998"/>
    <n v="360.85899999999998"/>
    <n v="360.85899999999998"/>
    <n v="360.85899999999998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1610.955199999997"/>
    <n v="26688.842952799998"/>
    <n v="83546.797397999995"/>
    <n v="9461.2626155495345"/>
    <n v="35086.475823030429"/>
    <n v="76798.566567513699"/>
  </r>
  <r>
    <s v="Regular"/>
    <x v="1"/>
    <x v="1"/>
    <x v="3"/>
    <x v="1"/>
    <x v="0"/>
    <x v="1"/>
    <x v="1"/>
    <x v="2"/>
    <n v="642"/>
    <n v="642"/>
    <n v="350.08800000000002"/>
    <n v="350.08800000000002"/>
    <n v="350.08800000000002"/>
    <n v="350.08800000000002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1610.955199999997"/>
    <n v="25892.2284096"/>
    <n v="81053.073936000001"/>
    <n v="9461.2626155495345"/>
    <n v="34039.206859003323"/>
    <n v="74506.265806001073"/>
  </r>
  <r>
    <s v="Regular"/>
    <x v="1"/>
    <x v="1"/>
    <x v="3"/>
    <x v="1"/>
    <x v="0"/>
    <x v="1"/>
    <x v="1"/>
    <x v="3"/>
    <n v="640"/>
    <n v="640"/>
    <n v="362.85399999999998"/>
    <n v="362.85399999999998"/>
    <n v="362.85399999999998"/>
    <n v="362.85399999999998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1574.783999999998"/>
    <n v="26836.391556799997"/>
    <n v="84008.683787999995"/>
    <n v="9431.7882771833356"/>
    <n v="35280.450531342947"/>
    <n v="77223.145531325572"/>
  </r>
  <r>
    <s v="Regular"/>
    <x v="1"/>
    <x v="1"/>
    <x v="3"/>
    <x v="1"/>
    <x v="0"/>
    <x v="1"/>
    <x v="1"/>
    <x v="4"/>
    <n v="652"/>
    <n v="652"/>
    <n v="367.28899999999999"/>
    <n v="367.28899999999999"/>
    <n v="367.28899999999999"/>
    <n v="367.28899999999999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1791.811199999996"/>
    <n v="27164.400608799999"/>
    <n v="85035.483857999992"/>
    <n v="9608.6343073805238"/>
    <n v="35711.667489421146"/>
    <n v="78167.009042355989"/>
  </r>
  <r>
    <s v="Regular"/>
    <x v="1"/>
    <x v="1"/>
    <x v="3"/>
    <x v="1"/>
    <x v="0"/>
    <x v="1"/>
    <x v="1"/>
    <x v="5"/>
    <n v="654"/>
    <n v="654"/>
    <n v="390.88799999999998"/>
    <n v="390.88799999999998"/>
    <n v="390.88799999999998"/>
    <n v="390.88799999999998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1827.982399999997"/>
    <n v="28909.763769599998"/>
    <n v="90499.171535999994"/>
    <n v="9638.1086457467227"/>
    <n v="38006.208412462263"/>
    <n v="83189.384464409348"/>
  </r>
  <r>
    <s v="Regular"/>
    <x v="1"/>
    <x v="1"/>
    <x v="3"/>
    <x v="1"/>
    <x v="0"/>
    <x v="1"/>
    <x v="1"/>
    <x v="6"/>
    <n v="669"/>
    <n v="669"/>
    <n v="398.32"/>
    <n v="398.32"/>
    <n v="398.32"/>
    <n v="398.32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2099.266399999997"/>
    <n v="29459.428543999999"/>
    <n v="92219.843039999992"/>
    <n v="9859.1661834932056"/>
    <n v="38728.824969945279"/>
    <n v="84771.074118068442"/>
  </r>
  <r>
    <s v="Regular"/>
    <x v="1"/>
    <x v="1"/>
    <x v="3"/>
    <x v="1"/>
    <x v="0"/>
    <x v="1"/>
    <x v="1"/>
    <x v="7"/>
    <n v="684"/>
    <n v="684"/>
    <n v="360.32400000000001"/>
    <n v="360.32400000000001"/>
    <n v="360.32400000000001"/>
    <n v="360.32400000000001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2370.550399999996"/>
    <n v="26649.274780799999"/>
    <n v="83422.933128000004"/>
    <n v="10080.22372123969"/>
    <n v="35034.457542856406"/>
    <n v="76684.707045889969"/>
  </r>
  <r>
    <s v="Regular"/>
    <x v="1"/>
    <x v="1"/>
    <x v="3"/>
    <x v="1"/>
    <x v="0"/>
    <x v="1"/>
    <x v="1"/>
    <x v="8"/>
    <n v="709"/>
    <n v="709"/>
    <n v="396.178"/>
    <n v="396.178"/>
    <n v="396.178"/>
    <n v="396.178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2822.690399999998"/>
    <n v="29301.007937599999"/>
    <n v="91723.922915999996"/>
    <n v="10448.652950817164"/>
    <n v="38520.557388388683"/>
    <n v="84315.210388502004"/>
  </r>
  <r>
    <s v="Regular"/>
    <x v="1"/>
    <x v="1"/>
    <x v="3"/>
    <x v="1"/>
    <x v="0"/>
    <x v="1"/>
    <x v="1"/>
    <x v="9"/>
    <n v="669"/>
    <n v="669"/>
    <n v="384.61700000000002"/>
    <n v="384.61700000000002"/>
    <n v="384.61700000000002"/>
    <n v="384.61700000000002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2099.266399999997"/>
    <n v="28445.9656264"/>
    <n v="89047.297074000002"/>
    <n v="9859.1661834932056"/>
    <n v="37396.476384478417"/>
    <n v="81854.780613750583"/>
  </r>
  <r>
    <s v="Regular"/>
    <x v="1"/>
    <x v="1"/>
    <x v="3"/>
    <x v="1"/>
    <x v="0"/>
    <x v="1"/>
    <x v="1"/>
    <x v="10"/>
    <n v="683"/>
    <n v="683"/>
    <n v="384.69600000000003"/>
    <n v="384.69600000000003"/>
    <n v="384.69600000000003"/>
    <n v="384.69600000000003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2352.464799999998"/>
    <n v="28451.808403200001"/>
    <n v="89065.587312000003"/>
    <n v="10065.486552056593"/>
    <n v="37404.157588466733"/>
    <n v="81871.593515074463"/>
  </r>
  <r>
    <s v="PROJETADO"/>
    <x v="1"/>
    <x v="1"/>
    <x v="3"/>
    <x v="1"/>
    <x v="0"/>
    <x v="1"/>
    <x v="1"/>
    <x v="11"/>
    <n v="683"/>
    <n v="683"/>
    <n v="384.69600000000003"/>
    <n v="384.69600000000003"/>
    <n v="384.69600000000003"/>
    <n v="384.69600000000003"/>
    <n v="0"/>
    <x v="1"/>
    <n v="0"/>
    <n v="22"/>
    <n v="7"/>
    <n v="42"/>
    <n v="18.085599999999996"/>
    <n v="73.959199999999996"/>
    <n v="231.52199999999999"/>
    <n v="14.737169183098963"/>
    <n v="97.230430231836905"/>
    <n v="212.82153574530136"/>
    <n v="12352.464799999998"/>
    <n v="28451.808403200001"/>
    <n v="89065.587312000003"/>
    <n v="10065.486552056593"/>
    <n v="37404.157588466733"/>
    <n v="81871.593515074463"/>
  </r>
  <r>
    <s v="Regular"/>
    <x v="1"/>
    <x v="1"/>
    <x v="3"/>
    <x v="1"/>
    <x v="0"/>
    <x v="1"/>
    <x v="2"/>
    <x v="0"/>
    <n v="640"/>
    <n v="640"/>
    <n v="37.576999999999998"/>
    <n v="37.576999999999998"/>
    <n v="37.576999999999998"/>
    <n v="37.576999999999998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0928.255999999998"/>
    <n v="2779.1648583999995"/>
    <n v="13747.823519799998"/>
    <n v="24945.476803734025"/>
    <n v="3653.6278768217353"/>
    <n v="12886.824352918491"/>
  </r>
  <r>
    <s v="Regular"/>
    <x v="1"/>
    <x v="1"/>
    <x v="3"/>
    <x v="1"/>
    <x v="0"/>
    <x v="1"/>
    <x v="2"/>
    <x v="1"/>
    <n v="640"/>
    <n v="640"/>
    <n v="37.415999999999997"/>
    <n v="37.415999999999997"/>
    <n v="37.415999999999997"/>
    <n v="37.415999999999997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0928.255999999998"/>
    <n v="2767.2574271999997"/>
    <n v="13688.920478399998"/>
    <n v="24945.476803734025"/>
    <n v="3637.9737775544095"/>
    <n v="12831.610293232516"/>
  </r>
  <r>
    <s v="Regular"/>
    <x v="1"/>
    <x v="1"/>
    <x v="3"/>
    <x v="1"/>
    <x v="0"/>
    <x v="1"/>
    <x v="2"/>
    <x v="2"/>
    <n v="640"/>
    <n v="640"/>
    <n v="36.036999999999999"/>
    <n v="36.036999999999999"/>
    <n v="36.036999999999999"/>
    <n v="36.036999999999999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0928.255999999998"/>
    <n v="2665.2676904"/>
    <n v="13184.403123799999"/>
    <n v="24945.476803734025"/>
    <n v="3503.8930142647064"/>
    <n v="12358.689868965688"/>
  </r>
  <r>
    <s v="Regular"/>
    <x v="1"/>
    <x v="1"/>
    <x v="3"/>
    <x v="1"/>
    <x v="0"/>
    <x v="1"/>
    <x v="2"/>
    <x v="3"/>
    <n v="640"/>
    <n v="640"/>
    <n v="33.704999999999998"/>
    <n v="33.704999999999998"/>
    <n v="33.704999999999998"/>
    <n v="33.704999999999998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0928.255999999998"/>
    <n v="2492.7948359999996"/>
    <n v="12331.223666999998"/>
    <n v="24945.476803734025"/>
    <n v="3277.1516509640628"/>
    <n v="11558.943364694302"/>
  </r>
  <r>
    <s v="Regular"/>
    <x v="1"/>
    <x v="1"/>
    <x v="3"/>
    <x v="1"/>
    <x v="0"/>
    <x v="1"/>
    <x v="2"/>
    <x v="4"/>
    <n v="648"/>
    <n v="648"/>
    <n v="35.029000000000003"/>
    <n v="35.029000000000003"/>
    <n v="35.029000000000003"/>
    <n v="35.029000000000003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1314.859199999995"/>
    <n v="2590.7168168000003"/>
    <n v="12815.618864600001"/>
    <n v="25257.295263780703"/>
    <n v="3405.8847405910151"/>
    <n v="12013.001843105674"/>
  </r>
  <r>
    <s v="Regular"/>
    <x v="1"/>
    <x v="1"/>
    <x v="3"/>
    <x v="1"/>
    <x v="0"/>
    <x v="1"/>
    <x v="2"/>
    <x v="5"/>
    <n v="651"/>
    <n v="651"/>
    <n v="41.866"/>
    <n v="41.866"/>
    <n v="41.866"/>
    <n v="41.866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1459.835399999996"/>
    <n v="3096.3758671999999"/>
    <n v="15316.9859084"/>
    <n v="25374.227186298205"/>
    <n v="4070.649192086084"/>
    <n v="14357.713185174058"/>
  </r>
  <r>
    <s v="Regular"/>
    <x v="1"/>
    <x v="1"/>
    <x v="3"/>
    <x v="1"/>
    <x v="0"/>
    <x v="1"/>
    <x v="2"/>
    <x v="6"/>
    <n v="655"/>
    <n v="655"/>
    <n v="38.148000000000003"/>
    <n v="38.148000000000003"/>
    <n v="38.148000000000003"/>
    <n v="38.148000000000003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1653.136999999995"/>
    <n v="2821.3955616000003"/>
    <n v="13956.7280952"/>
    <n v="25530.136416321544"/>
    <n v="3709.1464524841144"/>
    <n v="13082.645645345148"/>
  </r>
  <r>
    <s v="Regular"/>
    <x v="1"/>
    <x v="1"/>
    <x v="3"/>
    <x v="1"/>
    <x v="0"/>
    <x v="1"/>
    <x v="2"/>
    <x v="7"/>
    <n v="683"/>
    <n v="683"/>
    <n v="36.609000000000002"/>
    <n v="36.609000000000002"/>
    <n v="36.609000000000002"/>
    <n v="36.609000000000002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3006.248199999995"/>
    <n v="2707.5723527999999"/>
    <n v="13393.673556600001"/>
    <n v="26621.501026484908"/>
    <n v="3559.5088203573173"/>
    <n v="12554.854105862445"/>
  </r>
  <r>
    <s v="Regular"/>
    <x v="1"/>
    <x v="1"/>
    <x v="3"/>
    <x v="1"/>
    <x v="0"/>
    <x v="1"/>
    <x v="2"/>
    <x v="8"/>
    <n v="651"/>
    <n v="651"/>
    <n v="39.953000000000003"/>
    <n v="39.953000000000003"/>
    <n v="39.953000000000003"/>
    <n v="39.953000000000003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1459.835399999996"/>
    <n v="2954.8919175999999"/>
    <n v="14617.100702200001"/>
    <n v="25374.227186298205"/>
    <n v="3884.6473790525802"/>
    <n v="13701.660413874246"/>
  </r>
  <r>
    <s v="Regular"/>
    <x v="1"/>
    <x v="1"/>
    <x v="3"/>
    <x v="1"/>
    <x v="0"/>
    <x v="1"/>
    <x v="2"/>
    <x v="9"/>
    <n v="650"/>
    <n v="650"/>
    <n v="34.774999999999999"/>
    <n v="34.774999999999999"/>
    <n v="34.774999999999999"/>
    <n v="34.774999999999999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1411.51"/>
    <n v="2571.9311799999996"/>
    <n v="12722.691084999999"/>
    <n v="25335.249878792372"/>
    <n v="3381.1882113121283"/>
    <n v="11925.89394770047"/>
  </r>
  <r>
    <s v="Regular"/>
    <x v="1"/>
    <x v="1"/>
    <x v="3"/>
    <x v="1"/>
    <x v="0"/>
    <x v="1"/>
    <x v="2"/>
    <x v="10"/>
    <n v="669"/>
    <n v="669"/>
    <n v="39.667000000000002"/>
    <n v="39.667000000000002"/>
    <n v="39.667000000000002"/>
    <n v="39.667000000000002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2329.692599999995"/>
    <n v="2933.7395864"/>
    <n v="14512.465485799999"/>
    <n v="26075.818721403226"/>
    <n v="3856.8394760062747"/>
    <n v="13603.578295425868"/>
  </r>
  <r>
    <s v="PROJETADO"/>
    <x v="1"/>
    <x v="1"/>
    <x v="3"/>
    <x v="1"/>
    <x v="0"/>
    <x v="1"/>
    <x v="2"/>
    <x v="11"/>
    <n v="669"/>
    <n v="669"/>
    <n v="39.667000000000002"/>
    <n v="39.667000000000002"/>
    <n v="39.667000000000002"/>
    <n v="39.667000000000002"/>
    <n v="0"/>
    <x v="1"/>
    <n v="0"/>
    <n v="3"/>
    <n v="7"/>
    <n v="47"/>
    <n v="48.325399999999995"/>
    <n v="73.959199999999996"/>
    <n v="365.85739999999998"/>
    <n v="38.977307505834418"/>
    <n v="97.230430231836905"/>
    <n v="342.94447009922271"/>
    <n v="32329.692599999995"/>
    <n v="2933.7395864"/>
    <n v="14512.465485799999"/>
    <n v="26075.818721403226"/>
    <n v="3856.8394760062747"/>
    <n v="13603.578295425868"/>
  </r>
  <r>
    <s v="Regular"/>
    <x v="1"/>
    <x v="0"/>
    <x v="0"/>
    <x v="0"/>
    <x v="0"/>
    <x v="2"/>
    <x v="0"/>
    <x v="0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0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1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1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2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2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3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3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4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4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5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5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6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6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7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7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8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8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9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9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0"/>
    <x v="0"/>
    <x v="0"/>
    <x v="0"/>
    <x v="2"/>
    <x v="0"/>
    <x v="10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Regular"/>
    <x v="1"/>
    <x v="0"/>
    <x v="0"/>
    <x v="0"/>
    <x v="0"/>
    <x v="3"/>
    <x v="0"/>
    <x v="10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PROJETADO"/>
    <x v="1"/>
    <x v="0"/>
    <x v="0"/>
    <x v="0"/>
    <x v="0"/>
    <x v="2"/>
    <x v="0"/>
    <x v="11"/>
    <n v="1000"/>
    <n v="500"/>
    <n v="0"/>
    <n v="0"/>
    <n v="0"/>
    <n v="0"/>
    <n v="0"/>
    <x v="0"/>
    <n v="797"/>
    <n v="12"/>
    <n v="0"/>
    <n v="0"/>
    <n v="8.14"/>
    <n v="0"/>
    <n v="0"/>
    <n v="5.4509137424633414"/>
    <m/>
    <m/>
    <n v="4070.0000000000005"/>
    <n v="0"/>
    <n v="0"/>
    <n v="2725.4568712316709"/>
    <n v="0"/>
    <n v="0"/>
  </r>
  <r>
    <s v="PROJETADO"/>
    <x v="1"/>
    <x v="0"/>
    <x v="0"/>
    <x v="0"/>
    <x v="0"/>
    <x v="3"/>
    <x v="0"/>
    <x v="11"/>
    <n v="280"/>
    <n v="140"/>
    <n v="0"/>
    <n v="0"/>
    <n v="0"/>
    <n v="0"/>
    <n v="0"/>
    <x v="0"/>
    <m/>
    <n v="12"/>
    <n v="0"/>
    <n v="0"/>
    <n v="8.14"/>
    <n v="0"/>
    <n v="0"/>
    <n v="5.4509137424633414"/>
    <m/>
    <m/>
    <n v="1139.6000000000001"/>
    <n v="0"/>
    <n v="0"/>
    <n v="763.1279239448678"/>
    <n v="0"/>
    <n v="0"/>
  </r>
  <r>
    <s v="Regular"/>
    <x v="1"/>
    <x v="2"/>
    <x v="1"/>
    <x v="0"/>
    <x v="0"/>
    <x v="1"/>
    <x v="1"/>
    <x v="0"/>
    <n v="0"/>
    <n v="0"/>
    <n v="747.43399999999997"/>
    <n v="747.43399999999997"/>
    <n v="747.43399999999997"/>
    <n v="747.43399999999997"/>
    <n v="0"/>
    <x v="1"/>
    <n v="0"/>
    <n v="0"/>
    <n v="14"/>
    <n v="42"/>
    <n v="0"/>
    <n v="78.680000000000007"/>
    <n v="246.3"/>
    <m/>
    <n v="100.23755694003805"/>
    <n v="219.40364509824883"/>
    <n v="0"/>
    <n v="58808.107120000001"/>
    <n v="184092.99419999999"/>
    <n v="0"/>
    <n v="74920.958133920401"/>
    <n v="163989.74407036451"/>
  </r>
  <r>
    <s v="Regular"/>
    <x v="1"/>
    <x v="2"/>
    <x v="1"/>
    <x v="0"/>
    <x v="0"/>
    <x v="1"/>
    <x v="1"/>
    <x v="1"/>
    <n v="0"/>
    <n v="0"/>
    <n v="693.30399999999997"/>
    <n v="693.30399999999997"/>
    <n v="693.30399999999997"/>
    <n v="693.30399999999997"/>
    <n v="0"/>
    <x v="1"/>
    <n v="0"/>
    <n v="0"/>
    <n v="14"/>
    <n v="42"/>
    <n v="0"/>
    <n v="78.680000000000007"/>
    <n v="246.3"/>
    <m/>
    <n v="100.23755694003805"/>
    <n v="219.40364509824883"/>
    <n v="0"/>
    <n v="54549.158719999999"/>
    <n v="170760.7752"/>
    <n v="0"/>
    <n v="69495.099176756135"/>
    <n v="152113.42476119631"/>
  </r>
  <r>
    <s v="Regular"/>
    <x v="1"/>
    <x v="2"/>
    <x v="1"/>
    <x v="0"/>
    <x v="0"/>
    <x v="1"/>
    <x v="1"/>
    <x v="2"/>
    <n v="0"/>
    <n v="0"/>
    <n v="666.08699999999999"/>
    <n v="666.08699999999999"/>
    <n v="666.08699999999999"/>
    <n v="666.08699999999999"/>
    <n v="0"/>
    <x v="1"/>
    <n v="0"/>
    <n v="0"/>
    <n v="14"/>
    <n v="42"/>
    <n v="0"/>
    <n v="78.680000000000007"/>
    <n v="246.3"/>
    <m/>
    <n v="100.23755694003805"/>
    <n v="219.40364509824883"/>
    <n v="0"/>
    <n v="52407.725160000002"/>
    <n v="164057.22810000001"/>
    <n v="0"/>
    <n v="66766.933589519118"/>
    <n v="146141.91575255725"/>
  </r>
  <r>
    <s v="Regular"/>
    <x v="1"/>
    <x v="2"/>
    <x v="1"/>
    <x v="0"/>
    <x v="0"/>
    <x v="1"/>
    <x v="1"/>
    <x v="3"/>
    <n v="0"/>
    <n v="0"/>
    <n v="748.976"/>
    <n v="748.976"/>
    <n v="748.976"/>
    <n v="748.976"/>
    <n v="0"/>
    <x v="1"/>
    <n v="0"/>
    <n v="0"/>
    <n v="14"/>
    <n v="42"/>
    <n v="0"/>
    <n v="78.680000000000007"/>
    <n v="246.3"/>
    <m/>
    <n v="100.23755694003805"/>
    <n v="219.40364509824883"/>
    <n v="0"/>
    <n v="58929.431680000002"/>
    <n v="184472.78880000001"/>
    <n v="0"/>
    <n v="75075.524446721931"/>
    <n v="164328.06449110602"/>
  </r>
  <r>
    <s v="Regular"/>
    <x v="1"/>
    <x v="2"/>
    <x v="1"/>
    <x v="0"/>
    <x v="0"/>
    <x v="1"/>
    <x v="1"/>
    <x v="4"/>
    <n v="0"/>
    <n v="0"/>
    <n v="1103.527"/>
    <n v="1103.527"/>
    <n v="1103.527"/>
    <n v="1103.527"/>
    <n v="0"/>
    <x v="1"/>
    <n v="0"/>
    <n v="0"/>
    <n v="14"/>
    <n v="42"/>
    <n v="0"/>
    <n v="78.680000000000007"/>
    <n v="246.3"/>
    <m/>
    <n v="100.23755694003805"/>
    <n v="219.40364509824883"/>
    <n v="0"/>
    <n v="86825.504360000006"/>
    <n v="271798.70010000002"/>
    <n v="0"/>
    <n v="110614.85049736936"/>
    <n v="242117.84626433524"/>
  </r>
  <r>
    <s v="Sistema de Compensação"/>
    <x v="1"/>
    <x v="2"/>
    <x v="1"/>
    <x v="0"/>
    <x v="0"/>
    <x v="1"/>
    <x v="1"/>
    <x v="4"/>
    <n v="0"/>
    <n v="0"/>
    <n v="22.718"/>
    <n v="22.718"/>
    <n v="22.718"/>
    <n v="22.718"/>
    <n v="0"/>
    <x v="1"/>
    <n v="0"/>
    <n v="0"/>
    <n v="14"/>
    <n v="42"/>
    <n v="0"/>
    <n v="78.680000000000007"/>
    <n v="246.3"/>
    <m/>
    <n v="100.23755694003805"/>
    <n v="219.40364509824883"/>
    <n v="0"/>
    <n v="1787.4522400000001"/>
    <n v="5595.4434000000001"/>
    <n v="0"/>
    <n v="2277.1968185637843"/>
    <n v="4984.412009342017"/>
  </r>
  <r>
    <s v="Regular"/>
    <x v="1"/>
    <x v="2"/>
    <x v="1"/>
    <x v="0"/>
    <x v="0"/>
    <x v="1"/>
    <x v="1"/>
    <x v="5"/>
    <n v="0"/>
    <n v="0"/>
    <n v="916.07899999999995"/>
    <n v="916.07899999999995"/>
    <n v="916.07899999999995"/>
    <n v="916.07899999999995"/>
    <n v="0"/>
    <x v="1"/>
    <n v="0"/>
    <n v="0"/>
    <n v="14"/>
    <n v="42"/>
    <n v="0"/>
    <n v="78.680000000000007"/>
    <n v="246.3"/>
    <m/>
    <n v="100.23755694003805"/>
    <n v="219.40364509824883"/>
    <n v="0"/>
    <n v="72077.095719999998"/>
    <n v="225630.25769999999"/>
    <n v="0"/>
    <n v="91825.520924073106"/>
    <n v="200991.07179795869"/>
  </r>
  <r>
    <s v="Regular"/>
    <x v="1"/>
    <x v="2"/>
    <x v="1"/>
    <x v="0"/>
    <x v="0"/>
    <x v="1"/>
    <x v="1"/>
    <x v="6"/>
    <n v="0"/>
    <n v="0"/>
    <n v="960.27"/>
    <n v="960.27"/>
    <n v="960.27"/>
    <n v="960.27"/>
    <n v="0"/>
    <x v="1"/>
    <n v="0"/>
    <n v="0"/>
    <n v="14"/>
    <n v="42"/>
    <n v="0"/>
    <n v="78.680000000000007"/>
    <n v="246.3"/>
    <m/>
    <n v="100.23755694003805"/>
    <n v="219.40364509824883"/>
    <n v="0"/>
    <n v="75554.043600000005"/>
    <n v="236514.50100000002"/>
    <n v="0"/>
    <n v="96255.118802810335"/>
    <n v="210686.73827849541"/>
  </r>
  <r>
    <s v="Sistema de Compensação"/>
    <x v="1"/>
    <x v="2"/>
    <x v="1"/>
    <x v="0"/>
    <x v="0"/>
    <x v="1"/>
    <x v="1"/>
    <x v="6"/>
    <n v="0"/>
    <n v="0"/>
    <n v="1.3919999999999999"/>
    <n v="1.3919999999999999"/>
    <n v="1.3919999999999999"/>
    <n v="1.3919999999999999"/>
    <n v="0"/>
    <x v="1"/>
    <n v="0"/>
    <n v="0"/>
    <n v="14"/>
    <n v="42"/>
    <n v="0"/>
    <n v="78.680000000000007"/>
    <n v="246.3"/>
    <m/>
    <n v="100.23755694003805"/>
    <n v="219.40364509824883"/>
    <n v="0"/>
    <n v="109.52256"/>
    <n v="342.84960000000001"/>
    <n v="0"/>
    <n v="139.53067926053296"/>
    <n v="305.40987397676236"/>
  </r>
  <r>
    <s v="Sistema de Compensação"/>
    <x v="1"/>
    <x v="2"/>
    <x v="1"/>
    <x v="0"/>
    <x v="0"/>
    <x v="1"/>
    <x v="1"/>
    <x v="6"/>
    <n v="0"/>
    <n v="0"/>
    <n v="10.99"/>
    <n v="10.99"/>
    <n v="10.99"/>
    <n v="10.99"/>
    <n v="0"/>
    <x v="1"/>
    <n v="0"/>
    <n v="0"/>
    <n v="14"/>
    <n v="42"/>
    <n v="0"/>
    <n v="78.680000000000007"/>
    <n v="246.3"/>
    <m/>
    <n v="100.23755694003805"/>
    <n v="219.40364509824883"/>
    <n v="0"/>
    <n v="864.69320000000005"/>
    <n v="2706.837"/>
    <n v="0"/>
    <n v="1101.610750771018"/>
    <n v="2411.2460596297547"/>
  </r>
  <r>
    <s v="Regular"/>
    <x v="1"/>
    <x v="2"/>
    <x v="1"/>
    <x v="0"/>
    <x v="0"/>
    <x v="1"/>
    <x v="1"/>
    <x v="7"/>
    <n v="0"/>
    <n v="0"/>
    <n v="860.49400000000003"/>
    <n v="860.49400000000003"/>
    <n v="860.49400000000003"/>
    <n v="860.49400000000003"/>
    <n v="0"/>
    <x v="1"/>
    <n v="0"/>
    <n v="0"/>
    <n v="14"/>
    <n v="42"/>
    <n v="0"/>
    <n v="78.680000000000007"/>
    <n v="246.3"/>
    <m/>
    <n v="100.23755694003805"/>
    <n v="219.40364509824883"/>
    <n v="0"/>
    <n v="67703.667920000007"/>
    <n v="211939.67220000003"/>
    <n v="0"/>
    <n v="86253.816321561098"/>
    <n v="188795.52018517253"/>
  </r>
  <r>
    <s v="Sistema de Compensação"/>
    <x v="1"/>
    <x v="2"/>
    <x v="1"/>
    <x v="0"/>
    <x v="0"/>
    <x v="1"/>
    <x v="1"/>
    <x v="7"/>
    <n v="0"/>
    <n v="0"/>
    <n v="34.200000000000003"/>
    <n v="34.200000000000003"/>
    <n v="34.200000000000003"/>
    <n v="34.200000000000003"/>
    <n v="0"/>
    <x v="1"/>
    <n v="0"/>
    <n v="0"/>
    <n v="14"/>
    <n v="42"/>
    <n v="0"/>
    <n v="78.680000000000007"/>
    <n v="246.3"/>
    <m/>
    <n v="100.23755694003805"/>
    <n v="219.40364509824883"/>
    <n v="0"/>
    <n v="2690.8560000000007"/>
    <n v="8423.4600000000009"/>
    <n v="0"/>
    <n v="3428.1244473493016"/>
    <n v="7503.6046623601105"/>
  </r>
  <r>
    <s v="Regular"/>
    <x v="1"/>
    <x v="2"/>
    <x v="1"/>
    <x v="0"/>
    <x v="0"/>
    <x v="1"/>
    <x v="1"/>
    <x v="8"/>
    <n v="0"/>
    <n v="0"/>
    <n v="916.50900000000001"/>
    <n v="916.50900000000001"/>
    <n v="916.50900000000001"/>
    <n v="916.50900000000001"/>
    <n v="0"/>
    <x v="1"/>
    <n v="0"/>
    <n v="0"/>
    <n v="14"/>
    <n v="42"/>
    <n v="0"/>
    <n v="78.680000000000007"/>
    <n v="246.3"/>
    <m/>
    <n v="100.23755694003805"/>
    <n v="219.40364509824883"/>
    <n v="0"/>
    <n v="72110.928120000011"/>
    <n v="225736.1667"/>
    <n v="0"/>
    <n v="91868.623073557334"/>
    <n v="201085.41536535093"/>
  </r>
  <r>
    <s v="Sistema de Compensação"/>
    <x v="1"/>
    <x v="2"/>
    <x v="1"/>
    <x v="0"/>
    <x v="0"/>
    <x v="1"/>
    <x v="1"/>
    <x v="8"/>
    <n v="0"/>
    <n v="0"/>
    <n v="34.744999999999997"/>
    <n v="34.744999999999997"/>
    <n v="34.744999999999997"/>
    <n v="34.744999999999997"/>
    <n v="0"/>
    <x v="1"/>
    <n v="0"/>
    <n v="0"/>
    <n v="14"/>
    <n v="42"/>
    <n v="0"/>
    <n v="78.680000000000007"/>
    <n v="246.3"/>
    <m/>
    <n v="100.23755694003805"/>
    <n v="219.40364509824883"/>
    <n v="0"/>
    <n v="2733.7366000000002"/>
    <n v="8557.6934999999994"/>
    <n v="0"/>
    <n v="3482.7539158816217"/>
    <n v="7623.1796489386552"/>
  </r>
  <r>
    <s v="Regular"/>
    <x v="1"/>
    <x v="2"/>
    <x v="1"/>
    <x v="0"/>
    <x v="0"/>
    <x v="1"/>
    <x v="1"/>
    <x v="9"/>
    <n v="0"/>
    <n v="0"/>
    <n v="1019.015"/>
    <n v="1019.015"/>
    <n v="1019.015"/>
    <n v="1019.015"/>
    <n v="0"/>
    <x v="1"/>
    <n v="0"/>
    <n v="0"/>
    <n v="14"/>
    <n v="42"/>
    <n v="0"/>
    <n v="78.680000000000007"/>
    <n v="246.3"/>
    <m/>
    <n v="100.23755694003805"/>
    <n v="219.40364509824883"/>
    <n v="0"/>
    <n v="80176.100200000001"/>
    <n v="250983.39449999999"/>
    <n v="0"/>
    <n v="102143.57408525287"/>
    <n v="223575.60540979204"/>
  </r>
  <r>
    <s v="Sistema de Compensação"/>
    <x v="1"/>
    <x v="2"/>
    <x v="1"/>
    <x v="0"/>
    <x v="0"/>
    <x v="1"/>
    <x v="1"/>
    <x v="9"/>
    <n v="0"/>
    <n v="0"/>
    <n v="23.873999999999999"/>
    <n v="23.873999999999999"/>
    <n v="23.873999999999999"/>
    <n v="23.873999999999999"/>
    <n v="0"/>
    <x v="1"/>
    <n v="0"/>
    <n v="0"/>
    <n v="14"/>
    <n v="42"/>
    <n v="0"/>
    <n v="78.680000000000007"/>
    <n v="246.3"/>
    <m/>
    <n v="100.23755694003805"/>
    <n v="219.40364509824883"/>
    <n v="0"/>
    <n v="1878.4063200000001"/>
    <n v="5880.1661999999997"/>
    <n v="0"/>
    <n v="2393.0714343864684"/>
    <n v="5238.042623075592"/>
  </r>
  <r>
    <s v="Regular"/>
    <x v="1"/>
    <x v="2"/>
    <x v="1"/>
    <x v="0"/>
    <x v="0"/>
    <x v="1"/>
    <x v="1"/>
    <x v="10"/>
    <n v="0"/>
    <n v="0"/>
    <n v="920.80799999999999"/>
    <n v="920.80799999999999"/>
    <n v="920.80799999999999"/>
    <n v="920.80799999999999"/>
    <n v="0"/>
    <x v="1"/>
    <n v="0"/>
    <n v="0"/>
    <n v="14"/>
    <n v="42"/>
    <n v="0"/>
    <n v="78.680000000000007"/>
    <n v="246.3"/>
    <m/>
    <n v="100.23755694003805"/>
    <n v="219.40364509824883"/>
    <n v="0"/>
    <n v="72449.173439999999"/>
    <n v="226795.0104"/>
    <n v="0"/>
    <n v="92299.54433084256"/>
    <n v="202028.63163562832"/>
  </r>
  <r>
    <s v="Sistema de Compensação"/>
    <x v="1"/>
    <x v="2"/>
    <x v="1"/>
    <x v="0"/>
    <x v="0"/>
    <x v="1"/>
    <x v="1"/>
    <x v="10"/>
    <n v="0"/>
    <n v="0"/>
    <n v="5.8579999999999997"/>
    <n v="5.8579999999999997"/>
    <n v="5.8579999999999997"/>
    <n v="5.8579999999999997"/>
    <n v="0"/>
    <x v="1"/>
    <n v="0"/>
    <n v="0"/>
    <n v="14"/>
    <n v="42"/>
    <n v="0"/>
    <n v="78.680000000000007"/>
    <n v="246.3"/>
    <m/>
    <n v="100.23755694003805"/>
    <n v="219.40364509824883"/>
    <n v="0"/>
    <n v="460.90744000000001"/>
    <n v="1442.8253999999999"/>
    <n v="0"/>
    <n v="587.19160855474286"/>
    <n v="1285.2665529855415"/>
  </r>
  <r>
    <s v="PROJETADO"/>
    <x v="1"/>
    <x v="2"/>
    <x v="1"/>
    <x v="0"/>
    <x v="0"/>
    <x v="1"/>
    <x v="1"/>
    <x v="11"/>
    <n v="0"/>
    <n v="0"/>
    <n v="920.80799999999999"/>
    <n v="920.80799999999999"/>
    <n v="920.80799999999999"/>
    <n v="920.80799999999999"/>
    <n v="0"/>
    <x v="1"/>
    <n v="0"/>
    <n v="0"/>
    <n v="14"/>
    <n v="42"/>
    <n v="0"/>
    <n v="78.680000000000007"/>
    <n v="246.3"/>
    <m/>
    <n v="100.23755694003805"/>
    <n v="219.40364509824883"/>
    <n v="0"/>
    <n v="72449.173439999999"/>
    <n v="226795.0104"/>
    <n v="0"/>
    <n v="92299.54433084256"/>
    <n v="202028.63163562832"/>
  </r>
  <r>
    <s v="PROJETADO"/>
    <x v="1"/>
    <x v="2"/>
    <x v="1"/>
    <x v="0"/>
    <x v="0"/>
    <x v="1"/>
    <x v="1"/>
    <x v="11"/>
    <n v="0"/>
    <n v="0"/>
    <n v="5.8579999999999997"/>
    <n v="5.8579999999999997"/>
    <n v="5.8579999999999997"/>
    <n v="5.8579999999999997"/>
    <n v="0"/>
    <x v="1"/>
    <n v="0"/>
    <n v="0"/>
    <n v="14"/>
    <n v="42"/>
    <n v="0"/>
    <n v="78.680000000000007"/>
    <n v="246.3"/>
    <m/>
    <n v="100.23755694003805"/>
    <n v="219.40364509824883"/>
    <n v="0"/>
    <n v="460.90744000000001"/>
    <n v="1442.8253999999999"/>
    <n v="0"/>
    <n v="587.19160855474286"/>
    <n v="1285.2665529855415"/>
  </r>
  <r>
    <s v="Regular"/>
    <x v="1"/>
    <x v="2"/>
    <x v="1"/>
    <x v="0"/>
    <x v="0"/>
    <x v="1"/>
    <x v="0"/>
    <x v="0"/>
    <n v="6871"/>
    <n v="6871"/>
    <n v="0"/>
    <n v="0"/>
    <n v="0"/>
    <n v="0"/>
    <n v="64"/>
    <x v="1"/>
    <n v="0"/>
    <n v="18"/>
    <n v="0"/>
    <n v="0"/>
    <n v="19.239999999999998"/>
    <n v="0"/>
    <n v="0"/>
    <n v="15.19295792072058"/>
    <m/>
    <m/>
    <n v="132198.03999999998"/>
    <n v="0"/>
    <n v="0"/>
    <n v="104390.81387327111"/>
    <n v="0"/>
    <n v="0"/>
  </r>
  <r>
    <s v="Regular"/>
    <x v="1"/>
    <x v="2"/>
    <x v="1"/>
    <x v="0"/>
    <x v="0"/>
    <x v="1"/>
    <x v="0"/>
    <x v="1"/>
    <n v="6365"/>
    <n v="6365"/>
    <n v="0"/>
    <n v="0"/>
    <n v="0"/>
    <n v="0"/>
    <n v="64"/>
    <x v="1"/>
    <n v="0"/>
    <n v="18"/>
    <n v="0"/>
    <n v="0"/>
    <n v="19.239999999999998"/>
    <n v="0"/>
    <n v="0"/>
    <n v="15.19295792072058"/>
    <m/>
    <m/>
    <n v="122462.59999999999"/>
    <n v="0"/>
    <n v="0"/>
    <n v="96703.1771653865"/>
    <n v="0"/>
    <n v="0"/>
  </r>
  <r>
    <s v="Regular"/>
    <x v="1"/>
    <x v="2"/>
    <x v="1"/>
    <x v="0"/>
    <x v="0"/>
    <x v="1"/>
    <x v="0"/>
    <x v="2"/>
    <n v="6236"/>
    <n v="6236"/>
    <n v="0"/>
    <n v="0"/>
    <n v="0"/>
    <n v="0"/>
    <n v="64"/>
    <x v="1"/>
    <n v="0"/>
    <n v="18"/>
    <n v="0"/>
    <n v="0"/>
    <n v="19.239999999999998"/>
    <n v="0"/>
    <n v="0"/>
    <n v="15.19295792072058"/>
    <m/>
    <m/>
    <n v="119980.63999999998"/>
    <n v="0"/>
    <n v="0"/>
    <n v="94743.285593613546"/>
    <n v="0"/>
    <n v="0"/>
  </r>
  <r>
    <s v="Regular"/>
    <x v="1"/>
    <x v="2"/>
    <x v="1"/>
    <x v="0"/>
    <x v="0"/>
    <x v="1"/>
    <x v="0"/>
    <x v="3"/>
    <n v="6694"/>
    <n v="6694"/>
    <n v="0"/>
    <n v="0"/>
    <n v="0"/>
    <n v="0"/>
    <n v="63"/>
    <x v="1"/>
    <n v="0"/>
    <n v="18"/>
    <n v="0"/>
    <n v="0"/>
    <n v="19.239999999999998"/>
    <n v="0"/>
    <n v="0"/>
    <n v="15.19295792072058"/>
    <m/>
    <m/>
    <n v="128792.55999999998"/>
    <n v="0"/>
    <n v="0"/>
    <n v="101701.66032130357"/>
    <n v="0"/>
    <n v="0"/>
  </r>
  <r>
    <s v="Regular"/>
    <x v="1"/>
    <x v="2"/>
    <x v="1"/>
    <x v="0"/>
    <x v="0"/>
    <x v="1"/>
    <x v="0"/>
    <x v="4"/>
    <n v="7286"/>
    <n v="7286"/>
    <n v="0"/>
    <n v="0"/>
    <n v="0"/>
    <n v="0"/>
    <n v="63"/>
    <x v="1"/>
    <n v="0"/>
    <n v="18"/>
    <n v="0"/>
    <n v="0"/>
    <n v="19.239999999999998"/>
    <n v="0"/>
    <n v="0"/>
    <n v="15.19295792072058"/>
    <m/>
    <m/>
    <n v="140182.63999999998"/>
    <n v="0"/>
    <n v="0"/>
    <n v="110695.89141037015"/>
    <n v="0"/>
    <n v="0"/>
  </r>
  <r>
    <s v="Sistema de Compensação"/>
    <x v="1"/>
    <x v="2"/>
    <x v="1"/>
    <x v="0"/>
    <x v="0"/>
    <x v="1"/>
    <x v="0"/>
    <x v="4"/>
    <n v="93"/>
    <n v="93"/>
    <n v="0"/>
    <n v="0"/>
    <n v="0"/>
    <n v="0"/>
    <n v="1"/>
    <x v="1"/>
    <n v="0"/>
    <n v="18"/>
    <n v="0"/>
    <n v="0"/>
    <n v="19.239999999999998"/>
    <n v="0"/>
    <n v="0"/>
    <n v="15.19295792072058"/>
    <m/>
    <m/>
    <n v="1789.32"/>
    <n v="0"/>
    <n v="0"/>
    <n v="1412.945086627014"/>
    <n v="0"/>
    <n v="0"/>
  </r>
  <r>
    <s v="Regular"/>
    <x v="1"/>
    <x v="2"/>
    <x v="1"/>
    <x v="0"/>
    <x v="0"/>
    <x v="1"/>
    <x v="0"/>
    <x v="5"/>
    <n v="6333"/>
    <n v="6333"/>
    <n v="0"/>
    <n v="0"/>
    <n v="0"/>
    <n v="0"/>
    <n v="64"/>
    <x v="1"/>
    <n v="0"/>
    <n v="18"/>
    <n v="0"/>
    <n v="0"/>
    <n v="19.239999999999998"/>
    <n v="0"/>
    <n v="0"/>
    <n v="15.19295792072058"/>
    <m/>
    <m/>
    <n v="121846.91999999998"/>
    <n v="0"/>
    <n v="0"/>
    <n v="96217.002511923434"/>
    <n v="0"/>
    <n v="0"/>
  </r>
  <r>
    <s v="Sistema de Compensação"/>
    <x v="1"/>
    <x v="2"/>
    <x v="1"/>
    <x v="0"/>
    <x v="0"/>
    <x v="1"/>
    <x v="0"/>
    <x v="5"/>
    <n v="221"/>
    <n v="221"/>
    <n v="0"/>
    <n v="0"/>
    <n v="0"/>
    <n v="0"/>
    <n v="1"/>
    <x v="1"/>
    <n v="0"/>
    <n v="18"/>
    <n v="0"/>
    <n v="0"/>
    <n v="19.239999999999998"/>
    <n v="0"/>
    <n v="0"/>
    <n v="15.19295792072058"/>
    <m/>
    <m/>
    <n v="4252.04"/>
    <n v="0"/>
    <n v="0"/>
    <n v="3357.6437004792483"/>
    <n v="0"/>
    <n v="0"/>
  </r>
  <r>
    <s v="Regular"/>
    <x v="1"/>
    <x v="2"/>
    <x v="1"/>
    <x v="0"/>
    <x v="0"/>
    <x v="1"/>
    <x v="0"/>
    <x v="6"/>
    <n v="6823"/>
    <n v="6823"/>
    <n v="0"/>
    <n v="0"/>
    <n v="0"/>
    <n v="0"/>
    <n v="62"/>
    <x v="1"/>
    <n v="0"/>
    <n v="18"/>
    <n v="0"/>
    <n v="0"/>
    <n v="19.239999999999998"/>
    <n v="0"/>
    <n v="0"/>
    <n v="15.19295792072058"/>
    <m/>
    <m/>
    <n v="131274.51999999999"/>
    <n v="0"/>
    <n v="0"/>
    <n v="103661.55189307652"/>
    <n v="0"/>
    <n v="0"/>
  </r>
  <r>
    <s v="Sistema de Compensação"/>
    <x v="1"/>
    <x v="2"/>
    <x v="1"/>
    <x v="0"/>
    <x v="0"/>
    <x v="1"/>
    <x v="0"/>
    <x v="6"/>
    <n v="1678"/>
    <n v="1678"/>
    <n v="0"/>
    <n v="0"/>
    <n v="0"/>
    <n v="0"/>
    <n v="3"/>
    <x v="1"/>
    <n v="0"/>
    <n v="18"/>
    <n v="0"/>
    <n v="0"/>
    <n v="19.239999999999998"/>
    <n v="0"/>
    <n v="0"/>
    <n v="15.19295792072058"/>
    <m/>
    <m/>
    <n v="32284.719999999998"/>
    <n v="0"/>
    <n v="0"/>
    <n v="25493.783390969133"/>
    <n v="0"/>
    <n v="0"/>
  </r>
  <r>
    <s v="Regular"/>
    <x v="1"/>
    <x v="2"/>
    <x v="1"/>
    <x v="0"/>
    <x v="0"/>
    <x v="1"/>
    <x v="0"/>
    <x v="7"/>
    <n v="6939"/>
    <n v="6939"/>
    <n v="0"/>
    <n v="0"/>
    <n v="0"/>
    <n v="0"/>
    <n v="57"/>
    <x v="1"/>
    <n v="0"/>
    <n v="18"/>
    <n v="0"/>
    <n v="0"/>
    <n v="19.239999999999998"/>
    <n v="0"/>
    <n v="0"/>
    <n v="15.19295792072058"/>
    <m/>
    <m/>
    <n v="133506.35999999999"/>
    <n v="0"/>
    <n v="0"/>
    <n v="105423.93501188011"/>
    <n v="0"/>
    <n v="0"/>
  </r>
  <r>
    <s v="Sistema de Compensação"/>
    <x v="1"/>
    <x v="2"/>
    <x v="1"/>
    <x v="0"/>
    <x v="0"/>
    <x v="1"/>
    <x v="0"/>
    <x v="7"/>
    <n v="2154"/>
    <n v="2154"/>
    <n v="0"/>
    <n v="0"/>
    <n v="0"/>
    <n v="0"/>
    <n v="8"/>
    <x v="1"/>
    <n v="0"/>
    <n v="18"/>
    <n v="0"/>
    <n v="0"/>
    <n v="19.239999999999998"/>
    <n v="0"/>
    <n v="0"/>
    <n v="15.19295792072058"/>
    <m/>
    <m/>
    <n v="41442.959999999999"/>
    <n v="0"/>
    <n v="0"/>
    <n v="32725.631361232132"/>
    <n v="0"/>
    <n v="0"/>
  </r>
  <r>
    <s v="Regular"/>
    <x v="1"/>
    <x v="2"/>
    <x v="1"/>
    <x v="0"/>
    <x v="0"/>
    <x v="1"/>
    <x v="0"/>
    <x v="8"/>
    <n v="6755"/>
    <n v="6755"/>
    <n v="0"/>
    <n v="0"/>
    <n v="0"/>
    <n v="0"/>
    <n v="56"/>
    <x v="1"/>
    <n v="0"/>
    <n v="18"/>
    <n v="0"/>
    <n v="0"/>
    <n v="19.239999999999998"/>
    <n v="0"/>
    <n v="0"/>
    <n v="15.19295792072058"/>
    <m/>
    <m/>
    <n v="129966.19999999998"/>
    <n v="0"/>
    <n v="0"/>
    <n v="102628.43075446752"/>
    <n v="0"/>
    <n v="0"/>
  </r>
  <r>
    <s v="Sistema de Compensação"/>
    <x v="1"/>
    <x v="2"/>
    <x v="1"/>
    <x v="0"/>
    <x v="0"/>
    <x v="1"/>
    <x v="0"/>
    <x v="8"/>
    <n v="567"/>
    <n v="567"/>
    <n v="0"/>
    <n v="0"/>
    <n v="0"/>
    <n v="0"/>
    <n v="7"/>
    <x v="1"/>
    <n v="0"/>
    <n v="18"/>
    <n v="0"/>
    <n v="0"/>
    <n v="19.239999999999998"/>
    <n v="0"/>
    <n v="0"/>
    <n v="15.19295792072058"/>
    <m/>
    <m/>
    <n v="10909.08"/>
    <n v="0"/>
    <n v="0"/>
    <n v="8614.4071410485685"/>
    <n v="0"/>
    <n v="0"/>
  </r>
  <r>
    <s v="Regular"/>
    <x v="1"/>
    <x v="2"/>
    <x v="1"/>
    <x v="0"/>
    <x v="0"/>
    <x v="1"/>
    <x v="0"/>
    <x v="9"/>
    <n v="6850"/>
    <n v="6850"/>
    <n v="0"/>
    <n v="0"/>
    <n v="0"/>
    <n v="0"/>
    <n v="56"/>
    <x v="1"/>
    <n v="0"/>
    <n v="18"/>
    <n v="0"/>
    <n v="0"/>
    <n v="19.239999999999998"/>
    <n v="0"/>
    <n v="0"/>
    <n v="15.19295792072058"/>
    <m/>
    <m/>
    <n v="131794"/>
    <n v="0"/>
    <n v="0"/>
    <n v="104071.76175693597"/>
    <n v="0"/>
    <n v="0"/>
  </r>
  <r>
    <s v="Sistema de Compensação"/>
    <x v="1"/>
    <x v="2"/>
    <x v="1"/>
    <x v="0"/>
    <x v="0"/>
    <x v="1"/>
    <x v="0"/>
    <x v="9"/>
    <n v="611"/>
    <n v="611"/>
    <n v="0"/>
    <n v="0"/>
    <n v="0"/>
    <n v="0"/>
    <n v="7"/>
    <x v="1"/>
    <n v="0"/>
    <n v="18"/>
    <n v="0"/>
    <n v="0"/>
    <n v="19.239999999999998"/>
    <n v="0"/>
    <n v="0"/>
    <n v="15.19295792072058"/>
    <m/>
    <m/>
    <n v="11755.64"/>
    <n v="0"/>
    <n v="0"/>
    <n v="9282.8972895602747"/>
    <n v="0"/>
    <n v="0"/>
  </r>
  <r>
    <s v="Regular"/>
    <x v="1"/>
    <x v="2"/>
    <x v="1"/>
    <x v="0"/>
    <x v="0"/>
    <x v="1"/>
    <x v="0"/>
    <x v="10"/>
    <n v="6462"/>
    <n v="6462"/>
    <n v="0"/>
    <n v="0"/>
    <n v="0"/>
    <n v="0"/>
    <n v="56"/>
    <x v="1"/>
    <n v="0"/>
    <n v="18"/>
    <n v="0"/>
    <n v="0"/>
    <n v="19.239999999999998"/>
    <n v="0"/>
    <n v="0"/>
    <n v="15.19295792072058"/>
    <m/>
    <m/>
    <n v="124328.87999999999"/>
    <n v="0"/>
    <n v="0"/>
    <n v="98176.894083696388"/>
    <n v="0"/>
    <n v="0"/>
  </r>
  <r>
    <s v="Sistema de Compensação"/>
    <x v="1"/>
    <x v="2"/>
    <x v="1"/>
    <x v="0"/>
    <x v="0"/>
    <x v="1"/>
    <x v="0"/>
    <x v="10"/>
    <n v="556"/>
    <n v="556"/>
    <n v="0"/>
    <n v="0"/>
    <n v="0"/>
    <n v="0"/>
    <n v="7"/>
    <x v="1"/>
    <n v="0"/>
    <n v="18"/>
    <n v="0"/>
    <n v="0"/>
    <n v="19.239999999999998"/>
    <n v="0"/>
    <n v="0"/>
    <n v="15.19295792072058"/>
    <m/>
    <m/>
    <n v="10697.439999999999"/>
    <n v="0"/>
    <n v="0"/>
    <n v="8447.2846039206433"/>
    <n v="0"/>
    <n v="0"/>
  </r>
  <r>
    <s v="Sistema de Compensação"/>
    <x v="1"/>
    <x v="2"/>
    <x v="1"/>
    <x v="0"/>
    <x v="0"/>
    <x v="1"/>
    <x v="0"/>
    <x v="10"/>
    <n v="26"/>
    <n v="26"/>
    <n v="0"/>
    <n v="0"/>
    <n v="0"/>
    <n v="0"/>
    <n v="2"/>
    <x v="1"/>
    <n v="0"/>
    <n v="18"/>
    <n v="0"/>
    <n v="0"/>
    <n v="19.239999999999998"/>
    <n v="0"/>
    <n v="0"/>
    <n v="15.19295792072058"/>
    <m/>
    <m/>
    <n v="500.23999999999995"/>
    <n v="0"/>
    <n v="0"/>
    <n v="395.01690593873508"/>
    <n v="0"/>
    <n v="0"/>
  </r>
  <r>
    <s v="PROJETADO"/>
    <x v="1"/>
    <x v="2"/>
    <x v="1"/>
    <x v="0"/>
    <x v="0"/>
    <x v="1"/>
    <x v="0"/>
    <x v="11"/>
    <n v="6462"/>
    <n v="6462"/>
    <n v="0"/>
    <n v="0"/>
    <n v="0"/>
    <n v="0"/>
    <n v="56"/>
    <x v="1"/>
    <n v="0"/>
    <n v="18"/>
    <n v="0"/>
    <n v="0"/>
    <n v="19.239999999999998"/>
    <n v="0"/>
    <n v="0"/>
    <n v="15.19295792072058"/>
    <m/>
    <m/>
    <n v="124328.87999999999"/>
    <n v="0"/>
    <n v="0"/>
    <n v="98176.894083696388"/>
    <n v="0"/>
    <n v="0"/>
  </r>
  <r>
    <s v="PROJETADO"/>
    <x v="1"/>
    <x v="2"/>
    <x v="1"/>
    <x v="0"/>
    <x v="0"/>
    <x v="1"/>
    <x v="0"/>
    <x v="11"/>
    <n v="556"/>
    <n v="556"/>
    <n v="0"/>
    <n v="0"/>
    <n v="0"/>
    <n v="0"/>
    <n v="7"/>
    <x v="1"/>
    <n v="0"/>
    <n v="18"/>
    <n v="0"/>
    <n v="0"/>
    <n v="19.239999999999998"/>
    <n v="0"/>
    <n v="0"/>
    <n v="15.19295792072058"/>
    <m/>
    <m/>
    <n v="10697.439999999999"/>
    <n v="0"/>
    <n v="0"/>
    <n v="8447.2846039206433"/>
    <n v="0"/>
    <n v="0"/>
  </r>
  <r>
    <s v="PROJETADO"/>
    <x v="1"/>
    <x v="2"/>
    <x v="1"/>
    <x v="0"/>
    <x v="0"/>
    <x v="1"/>
    <x v="0"/>
    <x v="11"/>
    <n v="26"/>
    <n v="26"/>
    <n v="0"/>
    <n v="0"/>
    <n v="0"/>
    <n v="0"/>
    <n v="2"/>
    <x v="1"/>
    <n v="0"/>
    <n v="18"/>
    <n v="0"/>
    <n v="0"/>
    <n v="19.239999999999998"/>
    <n v="0"/>
    <n v="0"/>
    <n v="15.19295792072058"/>
    <m/>
    <m/>
    <n v="500.23999999999995"/>
    <n v="0"/>
    <n v="0"/>
    <n v="395.01690593873508"/>
    <n v="0"/>
    <n v="0"/>
  </r>
  <r>
    <s v="Regular"/>
    <x v="1"/>
    <x v="2"/>
    <x v="1"/>
    <x v="0"/>
    <x v="0"/>
    <x v="1"/>
    <x v="2"/>
    <x v="0"/>
    <n v="0"/>
    <n v="0"/>
    <n v="61.9"/>
    <n v="61.9"/>
    <n v="61.9"/>
    <n v="61.9"/>
    <n v="0"/>
    <x v="1"/>
    <n v="0"/>
    <n v="0"/>
    <n v="16"/>
    <n v="47"/>
    <n v="0"/>
    <n v="1329.67"/>
    <n v="389.21"/>
    <m/>
    <n v="1074.3612836602365"/>
    <n v="353.55100010229148"/>
    <n v="0"/>
    <n v="82306.573000000004"/>
    <n v="24092.098999999998"/>
    <n v="0"/>
    <n v="66502.963458568644"/>
    <n v="21884.806906331843"/>
  </r>
  <r>
    <s v="Regular"/>
    <x v="1"/>
    <x v="2"/>
    <x v="1"/>
    <x v="0"/>
    <x v="0"/>
    <x v="1"/>
    <x v="2"/>
    <x v="1"/>
    <n v="0"/>
    <n v="0"/>
    <n v="56.838000000000001"/>
    <n v="56.838000000000001"/>
    <n v="56.838000000000001"/>
    <n v="56.838000000000001"/>
    <n v="0"/>
    <x v="1"/>
    <n v="0"/>
    <n v="0"/>
    <n v="16"/>
    <n v="47"/>
    <n v="0"/>
    <n v="1329.67"/>
    <n v="389.21"/>
    <m/>
    <n v="1074.3612836602365"/>
    <n v="353.55100010229148"/>
    <n v="0"/>
    <n v="75575.783460000006"/>
    <n v="22121.917979999998"/>
    <n v="0"/>
    <n v="61064.546640680521"/>
    <n v="20095.131743814043"/>
  </r>
  <r>
    <s v="Regular"/>
    <x v="1"/>
    <x v="2"/>
    <x v="1"/>
    <x v="0"/>
    <x v="0"/>
    <x v="1"/>
    <x v="2"/>
    <x v="2"/>
    <n v="0"/>
    <n v="0"/>
    <n v="52.494"/>
    <n v="52.494"/>
    <n v="52.494"/>
    <n v="52.494"/>
    <n v="0"/>
    <x v="1"/>
    <n v="0"/>
    <n v="0"/>
    <n v="16"/>
    <n v="47"/>
    <n v="0"/>
    <n v="1329.67"/>
    <n v="389.21"/>
    <m/>
    <n v="1074.3612836602365"/>
    <n v="353.55100010229148"/>
    <n v="0"/>
    <n v="69799.696980000008"/>
    <n v="20431.189739999998"/>
    <n v="0"/>
    <n v="56397.521224460455"/>
    <n v="18559.30619936969"/>
  </r>
  <r>
    <s v="Regular"/>
    <x v="1"/>
    <x v="2"/>
    <x v="1"/>
    <x v="0"/>
    <x v="0"/>
    <x v="1"/>
    <x v="2"/>
    <x v="3"/>
    <n v="0"/>
    <n v="0"/>
    <n v="56.337000000000003"/>
    <n v="56.337000000000003"/>
    <n v="56.337000000000003"/>
    <n v="56.337000000000003"/>
    <n v="0"/>
    <x v="1"/>
    <n v="0"/>
    <n v="0"/>
    <n v="16"/>
    <n v="47"/>
    <n v="0"/>
    <n v="1329.67"/>
    <n v="389.21"/>
    <m/>
    <n v="1074.3612836602365"/>
    <n v="353.55100010229148"/>
    <n v="0"/>
    <n v="74909.618790000008"/>
    <n v="21926.923770000001"/>
    <n v="0"/>
    <n v="60526.291637566748"/>
    <n v="19918.002692762795"/>
  </r>
  <r>
    <s v="Regular"/>
    <x v="1"/>
    <x v="2"/>
    <x v="1"/>
    <x v="0"/>
    <x v="0"/>
    <x v="1"/>
    <x v="2"/>
    <x v="4"/>
    <n v="0"/>
    <n v="0"/>
    <n v="71.677000000000007"/>
    <n v="71.677000000000007"/>
    <n v="71.677000000000007"/>
    <n v="71.677000000000007"/>
    <n v="0"/>
    <x v="1"/>
    <n v="0"/>
    <n v="0"/>
    <n v="16"/>
    <n v="47"/>
    <n v="0"/>
    <n v="1329.67"/>
    <n v="389.21"/>
    <m/>
    <n v="1074.3612836602365"/>
    <n v="353.55100010229148"/>
    <n v="0"/>
    <n v="95306.756590000019"/>
    <n v="27897.405170000002"/>
    <n v="0"/>
    <n v="77006.993728914778"/>
    <n v="25341.47503433195"/>
  </r>
  <r>
    <s v="Sistema de Compensação"/>
    <x v="1"/>
    <x v="2"/>
    <x v="1"/>
    <x v="0"/>
    <x v="0"/>
    <x v="1"/>
    <x v="2"/>
    <x v="4"/>
    <n v="0"/>
    <n v="0"/>
    <n v="1.75"/>
    <n v="1.75"/>
    <n v="1.75"/>
    <n v="1.75"/>
    <n v="0"/>
    <x v="1"/>
    <n v="0"/>
    <n v="0"/>
    <n v="16"/>
    <n v="47"/>
    <n v="0"/>
    <n v="1329.67"/>
    <n v="389.21"/>
    <m/>
    <n v="1074.3612836602365"/>
    <n v="353.55100010229148"/>
    <n v="0"/>
    <n v="2326.9225000000001"/>
    <n v="681.11749999999995"/>
    <n v="0"/>
    <n v="1880.1322464054138"/>
    <n v="618.71425017901015"/>
  </r>
  <r>
    <s v="Regular"/>
    <x v="1"/>
    <x v="2"/>
    <x v="1"/>
    <x v="0"/>
    <x v="0"/>
    <x v="1"/>
    <x v="2"/>
    <x v="5"/>
    <n v="0"/>
    <n v="0"/>
    <n v="71.185000000000002"/>
    <n v="71.185000000000002"/>
    <n v="71.185000000000002"/>
    <n v="71.185000000000002"/>
    <n v="0"/>
    <x v="1"/>
    <n v="0"/>
    <n v="0"/>
    <n v="16"/>
    <n v="47"/>
    <n v="0"/>
    <n v="1329.67"/>
    <n v="389.21"/>
    <m/>
    <n v="1074.3612836602365"/>
    <n v="353.55100010229148"/>
    <n v="0"/>
    <n v="94652.558950000006"/>
    <n v="27705.913850000001"/>
    <n v="0"/>
    <n v="76478.407977353942"/>
    <n v="25167.52794228162"/>
  </r>
  <r>
    <s v="Regular"/>
    <x v="1"/>
    <x v="2"/>
    <x v="1"/>
    <x v="0"/>
    <x v="0"/>
    <x v="1"/>
    <x v="2"/>
    <x v="6"/>
    <n v="0"/>
    <n v="0"/>
    <n v="68.304000000000002"/>
    <n v="68.304000000000002"/>
    <n v="68.304000000000002"/>
    <n v="68.304000000000002"/>
    <n v="0"/>
    <x v="1"/>
    <n v="0"/>
    <n v="0"/>
    <n v="16"/>
    <n v="47"/>
    <n v="0"/>
    <n v="1329.67"/>
    <n v="389.21"/>
    <m/>
    <n v="1074.3612836602365"/>
    <n v="353.55100010229148"/>
    <n v="0"/>
    <n v="90821.779680000007"/>
    <n v="26584.599839999999"/>
    <n v="0"/>
    <n v="73383.173119128798"/>
    <n v="24148.947510986916"/>
  </r>
  <r>
    <s v="Sistema de Compensação"/>
    <x v="1"/>
    <x v="2"/>
    <x v="1"/>
    <x v="0"/>
    <x v="0"/>
    <x v="1"/>
    <x v="2"/>
    <x v="6"/>
    <n v="0"/>
    <n v="0"/>
    <n v="0.13400000000000001"/>
    <n v="0.13400000000000001"/>
    <n v="0.13400000000000001"/>
    <n v="0.13400000000000001"/>
    <n v="0"/>
    <x v="1"/>
    <n v="0"/>
    <n v="0"/>
    <n v="16"/>
    <n v="47"/>
    <n v="0"/>
    <n v="1329.67"/>
    <n v="389.21"/>
    <m/>
    <n v="1074.3612836602365"/>
    <n v="353.55100010229148"/>
    <n v="0"/>
    <n v="178.17578000000003"/>
    <n v="52.154139999999998"/>
    <n v="0"/>
    <n v="143.9644120104717"/>
    <n v="47.375834013707063"/>
  </r>
  <r>
    <s v="Regular"/>
    <x v="1"/>
    <x v="2"/>
    <x v="1"/>
    <x v="0"/>
    <x v="0"/>
    <x v="1"/>
    <x v="2"/>
    <x v="7"/>
    <n v="0"/>
    <n v="0"/>
    <n v="56.64"/>
    <n v="56.64"/>
    <n v="56.64"/>
    <n v="56.64"/>
    <n v="0"/>
    <x v="1"/>
    <n v="0"/>
    <n v="0"/>
    <n v="16"/>
    <n v="47"/>
    <n v="0"/>
    <n v="1329.67"/>
    <n v="389.21"/>
    <m/>
    <n v="1074.3612836602365"/>
    <n v="353.55100010229148"/>
    <n v="0"/>
    <n v="75312.508800000011"/>
    <n v="22044.8544"/>
    <n v="0"/>
    <n v="60851.823106515796"/>
    <n v="20025.128645793789"/>
  </r>
  <r>
    <s v="Sistema de Compensação"/>
    <x v="1"/>
    <x v="2"/>
    <x v="1"/>
    <x v="0"/>
    <x v="0"/>
    <x v="1"/>
    <x v="2"/>
    <x v="7"/>
    <n v="0"/>
    <n v="0"/>
    <n v="3.1629999999999998"/>
    <n v="3.1629999999999998"/>
    <n v="3.1629999999999998"/>
    <n v="3.1629999999999998"/>
    <n v="0"/>
    <x v="1"/>
    <n v="0"/>
    <n v="0"/>
    <n v="16"/>
    <n v="47"/>
    <n v="0"/>
    <n v="1329.67"/>
    <n v="389.21"/>
    <m/>
    <n v="1074.3612836602365"/>
    <n v="353.55100010229148"/>
    <n v="0"/>
    <n v="4205.7462100000002"/>
    <n v="1231.0712299999998"/>
    <n v="0"/>
    <n v="3398.204740217328"/>
    <n v="1118.2818133235478"/>
  </r>
  <r>
    <s v="Regular"/>
    <x v="1"/>
    <x v="2"/>
    <x v="1"/>
    <x v="0"/>
    <x v="0"/>
    <x v="1"/>
    <x v="2"/>
    <x v="8"/>
    <n v="0"/>
    <n v="0"/>
    <n v="69.090999999999994"/>
    <n v="69.090999999999994"/>
    <n v="69.090999999999994"/>
    <n v="69.090999999999994"/>
    <n v="0"/>
    <x v="1"/>
    <n v="0"/>
    <n v="0"/>
    <n v="16"/>
    <n v="47"/>
    <n v="0"/>
    <n v="1329.67"/>
    <n v="389.21"/>
    <m/>
    <n v="1074.3612836602365"/>
    <n v="353.55100010229148"/>
    <n v="0"/>
    <n v="91868.22997"/>
    <n v="26890.908109999997"/>
    <n v="0"/>
    <n v="74228.695449369392"/>
    <n v="24427.192148067417"/>
  </r>
  <r>
    <s v="Sistema de Compensação"/>
    <x v="1"/>
    <x v="2"/>
    <x v="1"/>
    <x v="0"/>
    <x v="0"/>
    <x v="1"/>
    <x v="2"/>
    <x v="8"/>
    <n v="0"/>
    <n v="0"/>
    <n v="3.5049999999999999"/>
    <n v="3.5049999999999999"/>
    <n v="3.5049999999999999"/>
    <n v="3.5049999999999999"/>
    <n v="0"/>
    <x v="1"/>
    <n v="0"/>
    <n v="0"/>
    <n v="16"/>
    <n v="47"/>
    <n v="0"/>
    <n v="1329.67"/>
    <n v="389.21"/>
    <m/>
    <n v="1074.3612836602365"/>
    <n v="353.55100010229148"/>
    <n v="0"/>
    <n v="4660.4933499999997"/>
    <n v="1364.1810499999999"/>
    <n v="0"/>
    <n v="3765.6362992291288"/>
    <n v="1239.1962553585315"/>
  </r>
  <r>
    <s v="Regular"/>
    <x v="1"/>
    <x v="2"/>
    <x v="1"/>
    <x v="0"/>
    <x v="0"/>
    <x v="1"/>
    <x v="2"/>
    <x v="9"/>
    <n v="0"/>
    <n v="0"/>
    <n v="67.497"/>
    <n v="67.497"/>
    <n v="67.497"/>
    <n v="67.497"/>
    <n v="0"/>
    <x v="1"/>
    <n v="0"/>
    <n v="0"/>
    <n v="16"/>
    <n v="47"/>
    <n v="0"/>
    <n v="1329.67"/>
    <n v="389.21"/>
    <m/>
    <n v="1074.3612836602365"/>
    <n v="353.55100010229148"/>
    <n v="0"/>
    <n v="89748.735990000001"/>
    <n v="26270.507369999999"/>
    <n v="0"/>
    <n v="72516.163563214985"/>
    <n v="23863.631853904368"/>
  </r>
  <r>
    <s v="Sistema de Compensação"/>
    <x v="1"/>
    <x v="2"/>
    <x v="1"/>
    <x v="0"/>
    <x v="0"/>
    <x v="1"/>
    <x v="2"/>
    <x v="9"/>
    <n v="0"/>
    <n v="0"/>
    <n v="2.3639999999999999"/>
    <n v="2.3639999999999999"/>
    <n v="2.3639999999999999"/>
    <n v="2.3639999999999999"/>
    <n v="0"/>
    <x v="1"/>
    <n v="0"/>
    <n v="0"/>
    <n v="16"/>
    <n v="47"/>
    <n v="0"/>
    <n v="1329.67"/>
    <n v="389.21"/>
    <m/>
    <n v="1074.3612836602365"/>
    <n v="353.55100010229148"/>
    <n v="0"/>
    <n v="3143.33988"/>
    <n v="920.0924399999999"/>
    <n v="0"/>
    <n v="2539.7900745727989"/>
    <n v="835.79456424181706"/>
  </r>
  <r>
    <s v="Regular"/>
    <x v="1"/>
    <x v="2"/>
    <x v="1"/>
    <x v="0"/>
    <x v="0"/>
    <x v="1"/>
    <x v="2"/>
    <x v="10"/>
    <n v="0"/>
    <n v="0"/>
    <n v="62.526000000000003"/>
    <n v="62.526000000000003"/>
    <n v="62.526000000000003"/>
    <n v="62.526000000000003"/>
    <n v="0"/>
    <x v="1"/>
    <n v="0"/>
    <n v="0"/>
    <n v="16"/>
    <n v="47"/>
    <n v="0"/>
    <n v="1329.67"/>
    <n v="389.21"/>
    <m/>
    <n v="1074.3612836602365"/>
    <n v="353.55100010229148"/>
    <n v="0"/>
    <n v="83138.946420000007"/>
    <n v="24335.744460000002"/>
    <n v="0"/>
    <n v="67175.513622139944"/>
    <n v="22106.12983239588"/>
  </r>
  <r>
    <s v="Sistema de Compensação"/>
    <x v="1"/>
    <x v="2"/>
    <x v="1"/>
    <x v="0"/>
    <x v="0"/>
    <x v="1"/>
    <x v="2"/>
    <x v="10"/>
    <n v="0"/>
    <n v="0"/>
    <n v="1.514"/>
    <n v="1.514"/>
    <n v="1.514"/>
    <n v="1.514"/>
    <n v="0"/>
    <x v="1"/>
    <n v="0"/>
    <n v="0"/>
    <n v="16"/>
    <n v="47"/>
    <n v="0"/>
    <n v="1329.67"/>
    <n v="389.21"/>
    <m/>
    <n v="1074.3612836602365"/>
    <n v="353.55100010229148"/>
    <n v="0"/>
    <n v="2013.1203800000001"/>
    <n v="589.26393999999993"/>
    <n v="0"/>
    <n v="1626.5829834615981"/>
    <n v="535.27621415486931"/>
  </r>
  <r>
    <s v="PROJETADO"/>
    <x v="1"/>
    <x v="2"/>
    <x v="1"/>
    <x v="0"/>
    <x v="0"/>
    <x v="1"/>
    <x v="2"/>
    <x v="11"/>
    <n v="0"/>
    <n v="0"/>
    <n v="62.526000000000003"/>
    <n v="62.526000000000003"/>
    <n v="62.526000000000003"/>
    <n v="62.526000000000003"/>
    <n v="0"/>
    <x v="1"/>
    <n v="0"/>
    <n v="0"/>
    <n v="16"/>
    <n v="47"/>
    <n v="0"/>
    <n v="1329.67"/>
    <n v="389.21"/>
    <m/>
    <n v="1074.3612836602365"/>
    <n v="353.55100010229148"/>
    <n v="0"/>
    <n v="83138.946420000007"/>
    <n v="24335.744460000002"/>
    <n v="0"/>
    <n v="67175.513622139944"/>
    <n v="22106.12983239588"/>
  </r>
  <r>
    <s v="PROJETADO"/>
    <x v="1"/>
    <x v="2"/>
    <x v="1"/>
    <x v="0"/>
    <x v="0"/>
    <x v="1"/>
    <x v="2"/>
    <x v="11"/>
    <n v="0"/>
    <n v="0"/>
    <n v="1.514"/>
    <n v="1.514"/>
    <n v="1.514"/>
    <n v="1.514"/>
    <n v="0"/>
    <x v="1"/>
    <n v="0"/>
    <n v="0"/>
    <n v="16"/>
    <n v="47"/>
    <n v="0"/>
    <n v="1329.67"/>
    <n v="389.21"/>
    <m/>
    <n v="1074.3612836602365"/>
    <n v="353.55100010229148"/>
    <n v="0"/>
    <n v="2013.1203800000001"/>
    <n v="589.26393999999993"/>
    <n v="0"/>
    <n v="1626.5829834615981"/>
    <n v="535.27621415486931"/>
  </r>
  <r>
    <s v="Regular"/>
    <x v="1"/>
    <x v="2"/>
    <x v="4"/>
    <x v="0"/>
    <x v="0"/>
    <x v="1"/>
    <x v="1"/>
    <x v="0"/>
    <n v="0"/>
    <n v="0"/>
    <n v="11.233000000000001"/>
    <n v="11.233000000000001"/>
    <n v="11.233000000000001"/>
    <n v="11.233000000000001"/>
    <n v="0"/>
    <x v="1"/>
    <n v="0"/>
    <n v="0"/>
    <n v="14"/>
    <n v="42"/>
    <n v="0"/>
    <n v="78.680000000000007"/>
    <n v="246.3"/>
    <m/>
    <n v="100.23755694003805"/>
    <n v="219.40364509824883"/>
    <n v="0"/>
    <n v="883.81244000000015"/>
    <n v="2766.6879000000004"/>
    <n v="0"/>
    <n v="1125.9684771074474"/>
    <n v="2464.561145388629"/>
  </r>
  <r>
    <s v="Regular"/>
    <x v="1"/>
    <x v="2"/>
    <x v="4"/>
    <x v="0"/>
    <x v="0"/>
    <x v="1"/>
    <x v="1"/>
    <x v="1"/>
    <n v="0"/>
    <n v="0"/>
    <n v="10.305999999999999"/>
    <n v="10.305999999999999"/>
    <n v="10.305999999999999"/>
    <n v="10.305999999999999"/>
    <n v="0"/>
    <x v="1"/>
    <n v="0"/>
    <n v="0"/>
    <n v="14"/>
    <n v="42"/>
    <n v="0"/>
    <n v="78.680000000000007"/>
    <n v="246.3"/>
    <m/>
    <n v="100.23755694003805"/>
    <n v="219.40364509824883"/>
    <n v="0"/>
    <n v="810.87608"/>
    <n v="2538.3678"/>
    <n v="0"/>
    <n v="1033.0482618240321"/>
    <n v="2261.1739663825524"/>
  </r>
  <r>
    <s v="Regular"/>
    <x v="1"/>
    <x v="2"/>
    <x v="4"/>
    <x v="0"/>
    <x v="0"/>
    <x v="1"/>
    <x v="1"/>
    <x v="2"/>
    <n v="0"/>
    <n v="0"/>
    <n v="8.7579999999999991"/>
    <n v="8.7579999999999991"/>
    <n v="8.7579999999999991"/>
    <n v="8.7579999999999991"/>
    <n v="0"/>
    <x v="1"/>
    <n v="0"/>
    <n v="0"/>
    <n v="14"/>
    <n v="42"/>
    <n v="0"/>
    <n v="78.680000000000007"/>
    <n v="246.3"/>
    <m/>
    <n v="100.23755694003805"/>
    <n v="219.40364509824883"/>
    <n v="0"/>
    <n v="689.07943999999998"/>
    <n v="2157.0953999999997"/>
    <n v="0"/>
    <n v="877.88052368085312"/>
    <n v="1921.537123770463"/>
  </r>
  <r>
    <s v="Regular"/>
    <x v="1"/>
    <x v="2"/>
    <x v="4"/>
    <x v="0"/>
    <x v="0"/>
    <x v="1"/>
    <x v="1"/>
    <x v="3"/>
    <n v="0"/>
    <n v="0"/>
    <n v="9.0060000000000002"/>
    <n v="9.0060000000000002"/>
    <n v="9.0060000000000002"/>
    <n v="9.0060000000000002"/>
    <n v="0"/>
    <x v="1"/>
    <n v="0"/>
    <n v="0"/>
    <n v="14"/>
    <n v="42"/>
    <n v="0"/>
    <n v="78.680000000000007"/>
    <n v="246.3"/>
    <m/>
    <n v="100.23755694003805"/>
    <n v="219.40364509824883"/>
    <n v="0"/>
    <n v="708.59208000000012"/>
    <n v="2218.1777999999999"/>
    <n v="0"/>
    <n v="902.73943780198272"/>
    <n v="1975.9492277548291"/>
  </r>
  <r>
    <s v="Regular"/>
    <x v="1"/>
    <x v="2"/>
    <x v="4"/>
    <x v="0"/>
    <x v="0"/>
    <x v="1"/>
    <x v="1"/>
    <x v="4"/>
    <n v="0"/>
    <n v="0"/>
    <n v="10.497"/>
    <n v="10.497"/>
    <n v="10.497"/>
    <n v="10.497"/>
    <n v="0"/>
    <x v="1"/>
    <n v="0"/>
    <n v="0"/>
    <n v="14"/>
    <n v="42"/>
    <n v="0"/>
    <n v="78.680000000000007"/>
    <n v="246.3"/>
    <m/>
    <n v="100.23755694003805"/>
    <n v="219.40364509824883"/>
    <n v="0"/>
    <n v="825.9039600000001"/>
    <n v="2585.4111000000003"/>
    <n v="0"/>
    <n v="1052.1936351995794"/>
    <n v="2303.0800625963179"/>
  </r>
  <r>
    <s v="Regular"/>
    <x v="1"/>
    <x v="2"/>
    <x v="4"/>
    <x v="0"/>
    <x v="0"/>
    <x v="1"/>
    <x v="1"/>
    <x v="5"/>
    <n v="0"/>
    <n v="0"/>
    <n v="12.769"/>
    <n v="12.769"/>
    <n v="12.769"/>
    <n v="12.769"/>
    <n v="0"/>
    <x v="1"/>
    <n v="0"/>
    <n v="0"/>
    <n v="14"/>
    <n v="42"/>
    <n v="0"/>
    <n v="78.680000000000007"/>
    <n v="246.3"/>
    <m/>
    <n v="100.23755694003805"/>
    <n v="219.40364509824883"/>
    <n v="0"/>
    <n v="1004.6649200000001"/>
    <n v="3145.0047"/>
    <n v="0"/>
    <n v="1279.9333645673457"/>
    <n v="2801.5651442595395"/>
  </r>
  <r>
    <s v="Regular"/>
    <x v="1"/>
    <x v="2"/>
    <x v="4"/>
    <x v="0"/>
    <x v="0"/>
    <x v="1"/>
    <x v="1"/>
    <x v="6"/>
    <n v="0"/>
    <n v="0"/>
    <n v="13.202"/>
    <n v="13.202"/>
    <n v="13.202"/>
    <n v="13.202"/>
    <n v="0"/>
    <x v="1"/>
    <n v="0"/>
    <n v="0"/>
    <n v="14"/>
    <n v="42"/>
    <n v="0"/>
    <n v="78.680000000000007"/>
    <n v="246.3"/>
    <m/>
    <n v="100.23755694003805"/>
    <n v="219.40364509824883"/>
    <n v="0"/>
    <n v="1038.7333600000002"/>
    <n v="3251.6526000000003"/>
    <n v="0"/>
    <n v="1323.3362267223822"/>
    <n v="2896.5669225870811"/>
  </r>
  <r>
    <s v="Regular"/>
    <x v="1"/>
    <x v="2"/>
    <x v="4"/>
    <x v="0"/>
    <x v="0"/>
    <x v="1"/>
    <x v="1"/>
    <x v="7"/>
    <n v="0"/>
    <n v="0"/>
    <n v="11.307"/>
    <n v="11.307"/>
    <n v="11.307"/>
    <n v="11.307"/>
    <n v="0"/>
    <x v="1"/>
    <n v="0"/>
    <n v="0"/>
    <n v="14"/>
    <n v="42"/>
    <n v="0"/>
    <n v="78.680000000000007"/>
    <n v="246.3"/>
    <m/>
    <n v="100.23755694003805"/>
    <n v="219.40364509824883"/>
    <n v="0"/>
    <n v="889.63476000000014"/>
    <n v="2784.9141000000004"/>
    <n v="0"/>
    <n v="1133.3860563210103"/>
    <n v="2480.7970151258996"/>
  </r>
  <r>
    <s v="Regular"/>
    <x v="1"/>
    <x v="2"/>
    <x v="4"/>
    <x v="0"/>
    <x v="0"/>
    <x v="1"/>
    <x v="1"/>
    <x v="8"/>
    <n v="0"/>
    <n v="0"/>
    <n v="10.997"/>
    <n v="10.997"/>
    <n v="10.997"/>
    <n v="10.997"/>
    <n v="0"/>
    <x v="1"/>
    <n v="0"/>
    <n v="0"/>
    <n v="14"/>
    <n v="42"/>
    <n v="0"/>
    <n v="78.680000000000007"/>
    <n v="246.3"/>
    <m/>
    <n v="100.23755694003805"/>
    <n v="219.40364509824883"/>
    <n v="0"/>
    <n v="865.24396000000002"/>
    <n v="2708.5610999999999"/>
    <n v="0"/>
    <n v="1102.3124136695983"/>
    <n v="2412.7818851454422"/>
  </r>
  <r>
    <s v="Regular"/>
    <x v="1"/>
    <x v="2"/>
    <x v="4"/>
    <x v="0"/>
    <x v="0"/>
    <x v="1"/>
    <x v="1"/>
    <x v="9"/>
    <n v="0"/>
    <n v="0"/>
    <n v="8.1660000000000004"/>
    <n v="8.1660000000000004"/>
    <n v="8.1660000000000004"/>
    <n v="8.1660000000000004"/>
    <n v="0"/>
    <x v="1"/>
    <n v="0"/>
    <n v="0"/>
    <n v="14"/>
    <n v="42"/>
    <n v="0"/>
    <n v="78.680000000000007"/>
    <n v="246.3"/>
    <m/>
    <n v="100.23755694003805"/>
    <n v="219.40364509824883"/>
    <n v="0"/>
    <n v="642.50088000000005"/>
    <n v="2011.2858000000001"/>
    <n v="0"/>
    <n v="818.53988997235069"/>
    <n v="1791.6501658723"/>
  </r>
  <r>
    <s v="Regular"/>
    <x v="1"/>
    <x v="2"/>
    <x v="4"/>
    <x v="0"/>
    <x v="0"/>
    <x v="1"/>
    <x v="1"/>
    <x v="10"/>
    <n v="0"/>
    <n v="0"/>
    <n v="10.173"/>
    <n v="10.173"/>
    <n v="10.173"/>
    <n v="10.173"/>
    <n v="0"/>
    <x v="1"/>
    <n v="0"/>
    <n v="0"/>
    <n v="14"/>
    <n v="42"/>
    <n v="0"/>
    <n v="78.680000000000007"/>
    <n v="246.3"/>
    <m/>
    <n v="100.23755694003805"/>
    <n v="219.40364509824883"/>
    <n v="0"/>
    <n v="800.41164000000003"/>
    <n v="2505.6098999999999"/>
    <n v="0"/>
    <n v="1019.7166667510071"/>
    <n v="2231.9932815844854"/>
  </r>
  <r>
    <s v="PROJETADO"/>
    <x v="1"/>
    <x v="2"/>
    <x v="4"/>
    <x v="0"/>
    <x v="0"/>
    <x v="1"/>
    <x v="1"/>
    <x v="11"/>
    <n v="0"/>
    <n v="0"/>
    <n v="10.173"/>
    <n v="10.173"/>
    <n v="10.173"/>
    <n v="10.173"/>
    <n v="0"/>
    <x v="1"/>
    <n v="0"/>
    <n v="0"/>
    <n v="14"/>
    <n v="42"/>
    <n v="0"/>
    <n v="78.680000000000007"/>
    <n v="246.3"/>
    <m/>
    <n v="100.23755694003805"/>
    <n v="219.40364509824883"/>
    <n v="0"/>
    <n v="800.41164000000003"/>
    <n v="2505.6098999999999"/>
    <n v="0"/>
    <n v="1019.7166667510071"/>
    <n v="2231.9932815844854"/>
  </r>
  <r>
    <s v="Regular"/>
    <x v="1"/>
    <x v="2"/>
    <x v="4"/>
    <x v="0"/>
    <x v="0"/>
    <x v="1"/>
    <x v="0"/>
    <x v="0"/>
    <n v="53"/>
    <n v="53"/>
    <n v="0"/>
    <n v="0"/>
    <n v="0"/>
    <n v="0"/>
    <n v="1"/>
    <x v="1"/>
    <n v="0"/>
    <n v="18"/>
    <n v="0"/>
    <n v="0"/>
    <n v="19.239999999999998"/>
    <n v="0"/>
    <n v="0"/>
    <n v="15.19295792072058"/>
    <m/>
    <m/>
    <n v="1019.7199999999999"/>
    <n v="0"/>
    <n v="0"/>
    <n v="805.22676979819073"/>
    <n v="0"/>
    <n v="0"/>
  </r>
  <r>
    <s v="Regular"/>
    <x v="1"/>
    <x v="2"/>
    <x v="4"/>
    <x v="0"/>
    <x v="0"/>
    <x v="1"/>
    <x v="0"/>
    <x v="1"/>
    <n v="50"/>
    <n v="50"/>
    <n v="0"/>
    <n v="0"/>
    <n v="0"/>
    <n v="0"/>
    <n v="1"/>
    <x v="1"/>
    <n v="0"/>
    <n v="18"/>
    <n v="0"/>
    <n v="0"/>
    <n v="19.239999999999998"/>
    <n v="0"/>
    <n v="0"/>
    <n v="15.19295792072058"/>
    <m/>
    <m/>
    <n v="961.99999999999989"/>
    <n v="0"/>
    <n v="0"/>
    <n v="759.64789603602901"/>
    <n v="0"/>
    <n v="0"/>
  </r>
  <r>
    <s v="Regular"/>
    <x v="1"/>
    <x v="2"/>
    <x v="4"/>
    <x v="0"/>
    <x v="0"/>
    <x v="1"/>
    <x v="0"/>
    <x v="2"/>
    <n v="30"/>
    <n v="30"/>
    <n v="0"/>
    <n v="0"/>
    <n v="0"/>
    <n v="0"/>
    <n v="1"/>
    <x v="1"/>
    <n v="0"/>
    <n v="18"/>
    <n v="0"/>
    <n v="0"/>
    <n v="19.239999999999998"/>
    <n v="0"/>
    <n v="0"/>
    <n v="15.19295792072058"/>
    <m/>
    <m/>
    <n v="577.19999999999993"/>
    <n v="0"/>
    <n v="0"/>
    <n v="455.78873762161743"/>
    <n v="0"/>
    <n v="0"/>
  </r>
  <r>
    <s v="Regular"/>
    <x v="1"/>
    <x v="2"/>
    <x v="4"/>
    <x v="0"/>
    <x v="0"/>
    <x v="1"/>
    <x v="0"/>
    <x v="3"/>
    <n v="38"/>
    <n v="38"/>
    <n v="0"/>
    <n v="0"/>
    <n v="0"/>
    <n v="0"/>
    <n v="1"/>
    <x v="1"/>
    <n v="0"/>
    <n v="18"/>
    <n v="0"/>
    <n v="0"/>
    <n v="19.239999999999998"/>
    <n v="0"/>
    <n v="0"/>
    <n v="15.19295792072058"/>
    <m/>
    <m/>
    <n v="731.11999999999989"/>
    <n v="0"/>
    <n v="0"/>
    <n v="577.33240098738202"/>
    <n v="0"/>
    <n v="0"/>
  </r>
  <r>
    <s v="Regular"/>
    <x v="1"/>
    <x v="2"/>
    <x v="4"/>
    <x v="0"/>
    <x v="0"/>
    <x v="1"/>
    <x v="0"/>
    <x v="4"/>
    <n v="56"/>
    <n v="56"/>
    <n v="0"/>
    <n v="0"/>
    <n v="0"/>
    <n v="0"/>
    <n v="1"/>
    <x v="1"/>
    <n v="0"/>
    <n v="18"/>
    <n v="0"/>
    <n v="0"/>
    <n v="19.239999999999998"/>
    <n v="0"/>
    <n v="0"/>
    <n v="15.19295792072058"/>
    <m/>
    <m/>
    <n v="1077.4399999999998"/>
    <n v="0"/>
    <n v="0"/>
    <n v="850.80564356035256"/>
    <n v="0"/>
    <n v="0"/>
  </r>
  <r>
    <s v="Regular"/>
    <x v="1"/>
    <x v="2"/>
    <x v="4"/>
    <x v="0"/>
    <x v="0"/>
    <x v="1"/>
    <x v="0"/>
    <x v="5"/>
    <n v="59"/>
    <n v="59"/>
    <n v="0"/>
    <n v="0"/>
    <n v="0"/>
    <n v="0"/>
    <n v="1"/>
    <x v="1"/>
    <n v="0"/>
    <n v="18"/>
    <n v="0"/>
    <n v="0"/>
    <n v="19.239999999999998"/>
    <n v="0"/>
    <n v="0"/>
    <n v="15.19295792072058"/>
    <m/>
    <m/>
    <n v="1135.1599999999999"/>
    <n v="0"/>
    <n v="0"/>
    <n v="896.38451732251428"/>
    <n v="0"/>
    <n v="0"/>
  </r>
  <r>
    <s v="Regular"/>
    <x v="1"/>
    <x v="2"/>
    <x v="4"/>
    <x v="0"/>
    <x v="0"/>
    <x v="1"/>
    <x v="0"/>
    <x v="6"/>
    <n v="59"/>
    <n v="59"/>
    <n v="0"/>
    <n v="0"/>
    <n v="0"/>
    <n v="0"/>
    <n v="1"/>
    <x v="1"/>
    <n v="0"/>
    <n v="18"/>
    <n v="0"/>
    <n v="0"/>
    <n v="19.239999999999998"/>
    <n v="0"/>
    <n v="0"/>
    <n v="15.19295792072058"/>
    <m/>
    <m/>
    <n v="1135.1599999999999"/>
    <n v="0"/>
    <n v="0"/>
    <n v="896.38451732251428"/>
    <n v="0"/>
    <n v="0"/>
  </r>
  <r>
    <s v="Regular"/>
    <x v="1"/>
    <x v="2"/>
    <x v="4"/>
    <x v="0"/>
    <x v="0"/>
    <x v="1"/>
    <x v="0"/>
    <x v="7"/>
    <n v="54"/>
    <n v="54"/>
    <n v="0"/>
    <n v="0"/>
    <n v="0"/>
    <n v="0"/>
    <n v="1"/>
    <x v="1"/>
    <n v="0"/>
    <n v="18"/>
    <n v="0"/>
    <n v="0"/>
    <n v="19.239999999999998"/>
    <n v="0"/>
    <n v="0"/>
    <n v="15.19295792072058"/>
    <m/>
    <m/>
    <n v="1038.9599999999998"/>
    <n v="0"/>
    <n v="0"/>
    <n v="820.4197277189113"/>
    <n v="0"/>
    <n v="0"/>
  </r>
  <r>
    <s v="Regular"/>
    <x v="1"/>
    <x v="2"/>
    <x v="4"/>
    <x v="0"/>
    <x v="0"/>
    <x v="1"/>
    <x v="0"/>
    <x v="8"/>
    <n v="48"/>
    <n v="48"/>
    <n v="0"/>
    <n v="0"/>
    <n v="0"/>
    <n v="0"/>
    <n v="1"/>
    <x v="1"/>
    <n v="0"/>
    <n v="18"/>
    <n v="0"/>
    <n v="0"/>
    <n v="19.239999999999998"/>
    <n v="0"/>
    <n v="0"/>
    <n v="15.19295792072058"/>
    <m/>
    <m/>
    <n v="923.52"/>
    <n v="0"/>
    <n v="0"/>
    <n v="729.26198019458786"/>
    <n v="0"/>
    <n v="0"/>
  </r>
  <r>
    <s v="Regular"/>
    <x v="1"/>
    <x v="2"/>
    <x v="4"/>
    <x v="0"/>
    <x v="0"/>
    <x v="1"/>
    <x v="0"/>
    <x v="9"/>
    <n v="37"/>
    <n v="37"/>
    <n v="0"/>
    <n v="0"/>
    <n v="0"/>
    <n v="0"/>
    <n v="1"/>
    <x v="1"/>
    <n v="0"/>
    <n v="18"/>
    <n v="0"/>
    <n v="0"/>
    <n v="19.239999999999998"/>
    <n v="0"/>
    <n v="0"/>
    <n v="15.19295792072058"/>
    <m/>
    <m/>
    <n v="711.88"/>
    <n v="0"/>
    <n v="0"/>
    <n v="562.13944306666144"/>
    <n v="0"/>
    <n v="0"/>
  </r>
  <r>
    <s v="Regular"/>
    <x v="1"/>
    <x v="2"/>
    <x v="4"/>
    <x v="0"/>
    <x v="0"/>
    <x v="1"/>
    <x v="0"/>
    <x v="10"/>
    <n v="42"/>
    <n v="42"/>
    <n v="0"/>
    <n v="0"/>
    <n v="0"/>
    <n v="0"/>
    <n v="1"/>
    <x v="1"/>
    <n v="0"/>
    <n v="18"/>
    <n v="0"/>
    <n v="0"/>
    <n v="19.239999999999998"/>
    <n v="0"/>
    <n v="0"/>
    <n v="15.19295792072058"/>
    <m/>
    <m/>
    <n v="808.07999999999993"/>
    <n v="0"/>
    <n v="0"/>
    <n v="638.10423267026442"/>
    <n v="0"/>
    <n v="0"/>
  </r>
  <r>
    <s v="PROJETADO"/>
    <x v="1"/>
    <x v="2"/>
    <x v="4"/>
    <x v="0"/>
    <x v="0"/>
    <x v="1"/>
    <x v="0"/>
    <x v="11"/>
    <n v="42"/>
    <n v="42"/>
    <n v="0"/>
    <n v="0"/>
    <n v="0"/>
    <n v="0"/>
    <n v="1"/>
    <x v="1"/>
    <n v="0"/>
    <n v="18"/>
    <n v="0"/>
    <n v="0"/>
    <n v="19.239999999999998"/>
    <n v="0"/>
    <n v="0"/>
    <n v="15.19295792072058"/>
    <m/>
    <m/>
    <n v="808.07999999999993"/>
    <n v="0"/>
    <n v="0"/>
    <n v="638.10423267026442"/>
    <n v="0"/>
    <n v="0"/>
  </r>
  <r>
    <s v="Regular"/>
    <x v="1"/>
    <x v="2"/>
    <x v="4"/>
    <x v="0"/>
    <x v="0"/>
    <x v="1"/>
    <x v="2"/>
    <x v="0"/>
    <n v="0"/>
    <n v="0"/>
    <n v="1.0940000000000001"/>
    <n v="1.0940000000000001"/>
    <n v="1.0940000000000001"/>
    <n v="1.0940000000000001"/>
    <n v="0"/>
    <x v="1"/>
    <n v="0"/>
    <n v="0"/>
    <n v="16"/>
    <n v="47"/>
    <n v="0"/>
    <n v="1329.67"/>
    <n v="389.21"/>
    <m/>
    <n v="1074.3612836602365"/>
    <n v="353.55100010229148"/>
    <n v="0"/>
    <n v="1454.6589800000002"/>
    <n v="425.79574000000002"/>
    <n v="0"/>
    <n v="1175.3512443242987"/>
    <n v="386.78479411190693"/>
  </r>
  <r>
    <s v="Regular"/>
    <x v="1"/>
    <x v="2"/>
    <x v="4"/>
    <x v="0"/>
    <x v="0"/>
    <x v="1"/>
    <x v="2"/>
    <x v="1"/>
    <n v="0"/>
    <n v="0"/>
    <n v="1.0640000000000001"/>
    <n v="1.0640000000000001"/>
    <n v="1.0640000000000001"/>
    <n v="1.0640000000000001"/>
    <n v="0"/>
    <x v="1"/>
    <n v="0"/>
    <n v="0"/>
    <n v="16"/>
    <n v="47"/>
    <n v="0"/>
    <n v="1329.67"/>
    <n v="389.21"/>
    <m/>
    <n v="1074.3612836602365"/>
    <n v="353.55100010229148"/>
    <n v="0"/>
    <n v="1414.7688800000001"/>
    <n v="414.11944"/>
    <n v="0"/>
    <n v="1143.1204058144917"/>
    <n v="376.17826410883816"/>
  </r>
  <r>
    <s v="Regular"/>
    <x v="1"/>
    <x v="2"/>
    <x v="4"/>
    <x v="0"/>
    <x v="0"/>
    <x v="1"/>
    <x v="2"/>
    <x v="2"/>
    <n v="0"/>
    <n v="0"/>
    <n v="0.94599999999999995"/>
    <n v="0.94599999999999995"/>
    <n v="0.94599999999999995"/>
    <n v="0.94599999999999995"/>
    <n v="0"/>
    <x v="1"/>
    <n v="0"/>
    <n v="0"/>
    <n v="16"/>
    <n v="47"/>
    <n v="0"/>
    <n v="1329.67"/>
    <n v="389.21"/>
    <m/>
    <n v="1074.3612836602365"/>
    <n v="353.55100010229148"/>
    <n v="0"/>
    <n v="1257.8678199999999"/>
    <n v="368.19265999999999"/>
    <n v="0"/>
    <n v="1016.3457743425837"/>
    <n v="334.45924609676774"/>
  </r>
  <r>
    <s v="Regular"/>
    <x v="1"/>
    <x v="2"/>
    <x v="4"/>
    <x v="0"/>
    <x v="0"/>
    <x v="1"/>
    <x v="2"/>
    <x v="3"/>
    <n v="0"/>
    <n v="0"/>
    <n v="0.85399999999999998"/>
    <n v="0.85399999999999998"/>
    <n v="0.85399999999999998"/>
    <n v="0.85399999999999998"/>
    <n v="0"/>
    <x v="1"/>
    <n v="0"/>
    <n v="0"/>
    <n v="16"/>
    <n v="47"/>
    <n v="0"/>
    <n v="1329.67"/>
    <n v="389.21"/>
    <m/>
    <n v="1074.3612836602365"/>
    <n v="353.55100010229148"/>
    <n v="0"/>
    <n v="1135.53818"/>
    <n v="332.38533999999999"/>
    <n v="0"/>
    <n v="917.5045362458419"/>
    <n v="301.93255408735689"/>
  </r>
  <r>
    <s v="Regular"/>
    <x v="1"/>
    <x v="2"/>
    <x v="4"/>
    <x v="0"/>
    <x v="0"/>
    <x v="1"/>
    <x v="2"/>
    <x v="4"/>
    <n v="0"/>
    <n v="0"/>
    <n v="0.85299999999999998"/>
    <n v="0.85299999999999998"/>
    <n v="0.85299999999999998"/>
    <n v="0.85299999999999998"/>
    <n v="0"/>
    <x v="1"/>
    <n v="0"/>
    <n v="0"/>
    <n v="16"/>
    <n v="47"/>
    <n v="0"/>
    <n v="1329.67"/>
    <n v="389.21"/>
    <m/>
    <n v="1074.3612836602365"/>
    <n v="353.55100010229148"/>
    <n v="0"/>
    <n v="1134.2085099999999"/>
    <n v="331.99612999999999"/>
    <n v="0"/>
    <n v="916.4301749621817"/>
    <n v="301.57900308725465"/>
  </r>
  <r>
    <s v="Regular"/>
    <x v="1"/>
    <x v="2"/>
    <x v="4"/>
    <x v="0"/>
    <x v="0"/>
    <x v="1"/>
    <x v="2"/>
    <x v="5"/>
    <n v="0"/>
    <n v="0"/>
    <n v="0.98099999999999998"/>
    <n v="0.98099999999999998"/>
    <n v="0.98099999999999998"/>
    <n v="0.98099999999999998"/>
    <n v="0"/>
    <x v="1"/>
    <n v="0"/>
    <n v="0"/>
    <n v="16"/>
    <n v="47"/>
    <n v="0"/>
    <n v="1329.67"/>
    <n v="389.21"/>
    <m/>
    <n v="1074.3612836602365"/>
    <n v="353.55100010229148"/>
    <n v="0"/>
    <n v="1304.4062699999999"/>
    <n v="381.81500999999997"/>
    <n v="0"/>
    <n v="1053.9484192706921"/>
    <n v="346.83353110034795"/>
  </r>
  <r>
    <s v="Regular"/>
    <x v="1"/>
    <x v="2"/>
    <x v="4"/>
    <x v="0"/>
    <x v="0"/>
    <x v="1"/>
    <x v="2"/>
    <x v="6"/>
    <n v="0"/>
    <n v="0"/>
    <n v="0.92700000000000005"/>
    <n v="0.92700000000000005"/>
    <n v="0.92700000000000005"/>
    <n v="0.92700000000000005"/>
    <n v="0"/>
    <x v="1"/>
    <n v="0"/>
    <n v="0"/>
    <n v="16"/>
    <n v="47"/>
    <n v="0"/>
    <n v="1329.67"/>
    <n v="389.21"/>
    <m/>
    <n v="1074.3612836602365"/>
    <n v="353.55100010229148"/>
    <n v="0"/>
    <n v="1232.60409"/>
    <n v="360.79766999999998"/>
    <n v="0"/>
    <n v="995.93290995303926"/>
    <n v="327.74177709482422"/>
  </r>
  <r>
    <s v="Regular"/>
    <x v="1"/>
    <x v="2"/>
    <x v="4"/>
    <x v="0"/>
    <x v="0"/>
    <x v="1"/>
    <x v="2"/>
    <x v="7"/>
    <n v="0"/>
    <n v="0"/>
    <n v="0.89800000000000002"/>
    <n v="0.89800000000000002"/>
    <n v="0.89800000000000002"/>
    <n v="0.89800000000000002"/>
    <n v="0"/>
    <x v="1"/>
    <n v="0"/>
    <n v="0"/>
    <n v="16"/>
    <n v="47"/>
    <n v="0"/>
    <n v="1329.67"/>
    <n v="389.21"/>
    <m/>
    <n v="1074.3612836602365"/>
    <n v="353.55100010229148"/>
    <n v="0"/>
    <n v="1194.04366"/>
    <n v="349.51058"/>
    <n v="0"/>
    <n v="964.77643272689238"/>
    <n v="317.48879809185775"/>
  </r>
  <r>
    <s v="Regular"/>
    <x v="1"/>
    <x v="2"/>
    <x v="4"/>
    <x v="0"/>
    <x v="0"/>
    <x v="1"/>
    <x v="2"/>
    <x v="8"/>
    <n v="0"/>
    <n v="0"/>
    <n v="0.99399999999999999"/>
    <n v="0.99399999999999999"/>
    <n v="0.99399999999999999"/>
    <n v="0.99399999999999999"/>
    <n v="0"/>
    <x v="1"/>
    <n v="0"/>
    <n v="0"/>
    <n v="16"/>
    <n v="47"/>
    <n v="0"/>
    <n v="1329.67"/>
    <n v="389.21"/>
    <m/>
    <n v="1074.3612836602365"/>
    <n v="353.55100010229148"/>
    <n v="0"/>
    <n v="1321.6919800000001"/>
    <n v="386.87473999999997"/>
    <n v="0"/>
    <n v="1067.915115958275"/>
    <n v="351.42969410167774"/>
  </r>
  <r>
    <s v="Regular"/>
    <x v="1"/>
    <x v="2"/>
    <x v="4"/>
    <x v="0"/>
    <x v="0"/>
    <x v="1"/>
    <x v="2"/>
    <x v="9"/>
    <n v="0"/>
    <n v="0"/>
    <n v="0.79500000000000004"/>
    <n v="0.79500000000000004"/>
    <n v="0.79500000000000004"/>
    <n v="0.79500000000000004"/>
    <n v="0"/>
    <x v="1"/>
    <n v="0"/>
    <n v="0"/>
    <n v="16"/>
    <n v="47"/>
    <n v="0"/>
    <n v="1329.67"/>
    <n v="389.21"/>
    <m/>
    <n v="1074.3612836602365"/>
    <n v="353.55100010229148"/>
    <n v="0"/>
    <n v="1057.0876500000002"/>
    <n v="309.42194999999998"/>
    <n v="0"/>
    <n v="854.11722050988806"/>
    <n v="281.07304508132177"/>
  </r>
  <r>
    <s v="Regular"/>
    <x v="1"/>
    <x v="2"/>
    <x v="4"/>
    <x v="0"/>
    <x v="0"/>
    <x v="1"/>
    <x v="2"/>
    <x v="10"/>
    <n v="0"/>
    <n v="0"/>
    <n v="0.98899999999999999"/>
    <n v="0.98899999999999999"/>
    <n v="0.98899999999999999"/>
    <n v="0.98899999999999999"/>
    <n v="0"/>
    <x v="1"/>
    <n v="0"/>
    <n v="0"/>
    <n v="16"/>
    <n v="47"/>
    <n v="0"/>
    <n v="1329.67"/>
    <n v="389.21"/>
    <m/>
    <n v="1074.3612836602365"/>
    <n v="353.55100010229148"/>
    <n v="0"/>
    <n v="1315.0436300000001"/>
    <n v="384.92868999999996"/>
    <n v="0"/>
    <n v="1062.543309539974"/>
    <n v="349.6619391011663"/>
  </r>
  <r>
    <s v="PROJETADO"/>
    <x v="1"/>
    <x v="2"/>
    <x v="4"/>
    <x v="0"/>
    <x v="0"/>
    <x v="1"/>
    <x v="2"/>
    <x v="11"/>
    <n v="0"/>
    <n v="0"/>
    <n v="0.98899999999999999"/>
    <n v="0.98899999999999999"/>
    <n v="0.98899999999999999"/>
    <n v="0.98899999999999999"/>
    <n v="0"/>
    <x v="1"/>
    <n v="0"/>
    <n v="0"/>
    <n v="16"/>
    <n v="47"/>
    <n v="0"/>
    <n v="1329.67"/>
    <n v="389.21"/>
    <m/>
    <n v="1074.3612836602365"/>
    <n v="353.55100010229148"/>
    <n v="0"/>
    <n v="1315.0436300000001"/>
    <n v="384.92868999999996"/>
    <n v="0"/>
    <n v="1062.543309539974"/>
    <n v="349.6619391011663"/>
  </r>
  <r>
    <s v="Regular"/>
    <x v="1"/>
    <x v="2"/>
    <x v="2"/>
    <x v="0"/>
    <x v="1"/>
    <x v="1"/>
    <x v="1"/>
    <x v="0"/>
    <n v="0"/>
    <n v="0"/>
    <n v="1883.799"/>
    <n v="784.97904329999994"/>
    <n v="0"/>
    <n v="0"/>
    <n v="0"/>
    <x v="2"/>
    <n v="0"/>
    <n v="0"/>
    <n v="14"/>
    <n v="0"/>
    <n v="0"/>
    <n v="78.680000000000007"/>
    <n v="0"/>
    <m/>
    <n v="100.23755694003805"/>
    <m/>
    <n v="0"/>
    <n v="61762.151126844001"/>
    <n v="0"/>
    <n v="0"/>
    <n v="78684.381549520331"/>
    <n v="0"/>
  </r>
  <r>
    <s v="Regular"/>
    <x v="1"/>
    <x v="2"/>
    <x v="2"/>
    <x v="0"/>
    <x v="1"/>
    <x v="1"/>
    <x v="1"/>
    <x v="1"/>
    <n v="0"/>
    <n v="0"/>
    <n v="1935.373"/>
    <n v="806.46992909999994"/>
    <n v="0"/>
    <n v="0"/>
    <n v="0"/>
    <x v="2"/>
    <n v="0"/>
    <n v="0"/>
    <n v="14"/>
    <n v="0"/>
    <n v="0"/>
    <n v="78.680000000000007"/>
    <n v="0"/>
    <m/>
    <n v="100.23755694003805"/>
    <m/>
    <n v="0"/>
    <n v="63453.054021588003"/>
    <n v="0"/>
    <n v="0"/>
    <n v="80838.575438589687"/>
    <n v="0"/>
  </r>
  <r>
    <s v="Regular"/>
    <x v="1"/>
    <x v="2"/>
    <x v="2"/>
    <x v="0"/>
    <x v="1"/>
    <x v="1"/>
    <x v="1"/>
    <x v="2"/>
    <n v="0"/>
    <n v="0"/>
    <n v="1840.393"/>
    <n v="766.89176310000005"/>
    <n v="0"/>
    <n v="0"/>
    <n v="0"/>
    <x v="2"/>
    <n v="0"/>
    <n v="0"/>
    <n v="14"/>
    <n v="0"/>
    <n v="0"/>
    <n v="78.680000000000007"/>
    <n v="0"/>
    <m/>
    <n v="100.23755694003805"/>
    <m/>
    <n v="0"/>
    <n v="60339.043920708013"/>
    <n v="0"/>
    <n v="0"/>
    <n v="76871.356770582424"/>
    <n v="0"/>
  </r>
  <r>
    <s v="Regular"/>
    <x v="1"/>
    <x v="2"/>
    <x v="2"/>
    <x v="0"/>
    <x v="1"/>
    <x v="1"/>
    <x v="1"/>
    <x v="3"/>
    <n v="0"/>
    <n v="0"/>
    <n v="1864.7190000000001"/>
    <n v="822.71402279999995"/>
    <n v="0"/>
    <n v="0"/>
    <n v="0"/>
    <x v="2"/>
    <n v="0"/>
    <n v="0"/>
    <n v="14"/>
    <n v="0"/>
    <n v="0"/>
    <n v="78.680000000000007"/>
    <n v="0"/>
    <m/>
    <n v="100.23755694003805"/>
    <m/>
    <n v="0"/>
    <n v="64731.139313904001"/>
    <n v="0"/>
    <n v="0"/>
    <n v="82466.843705782754"/>
    <n v="0"/>
  </r>
  <r>
    <s v="Regular"/>
    <x v="1"/>
    <x v="2"/>
    <x v="2"/>
    <x v="0"/>
    <x v="1"/>
    <x v="1"/>
    <x v="1"/>
    <x v="4"/>
    <n v="0"/>
    <n v="0"/>
    <n v="1907.606"/>
    <n v="715.35225000000003"/>
    <n v="0"/>
    <n v="0"/>
    <n v="0"/>
    <x v="2"/>
    <n v="0"/>
    <n v="0"/>
    <n v="14"/>
    <n v="0"/>
    <n v="0"/>
    <n v="78.680000000000007"/>
    <n v="0"/>
    <m/>
    <n v="100.23755694003805"/>
    <m/>
    <n v="0"/>
    <n v="56283.915030000004"/>
    <n v="0"/>
    <n v="0"/>
    <n v="71705.161891559328"/>
    <n v="0"/>
  </r>
  <r>
    <s v="Regular"/>
    <x v="1"/>
    <x v="2"/>
    <x v="2"/>
    <x v="0"/>
    <x v="1"/>
    <x v="1"/>
    <x v="1"/>
    <x v="5"/>
    <n v="0"/>
    <n v="0"/>
    <n v="1807.9570000000001"/>
    <n v="761.33069269999999"/>
    <n v="0"/>
    <n v="0"/>
    <n v="0"/>
    <x v="2"/>
    <n v="0"/>
    <n v="0"/>
    <n v="14"/>
    <n v="0"/>
    <n v="0"/>
    <n v="78.680000000000007"/>
    <n v="0"/>
    <m/>
    <n v="100.23755694003805"/>
    <m/>
    <n v="0"/>
    <n v="59901.498901636005"/>
    <n v="0"/>
    <n v="0"/>
    <n v="76313.92865971486"/>
    <n v="0"/>
  </r>
  <r>
    <s v="Regular"/>
    <x v="1"/>
    <x v="2"/>
    <x v="2"/>
    <x v="0"/>
    <x v="1"/>
    <x v="1"/>
    <x v="1"/>
    <x v="6"/>
    <n v="0"/>
    <n v="0"/>
    <n v="1675.7439999999999"/>
    <n v="680.6872128"/>
    <n v="0"/>
    <n v="0"/>
    <n v="0"/>
    <x v="2"/>
    <n v="0"/>
    <n v="0"/>
    <n v="14"/>
    <n v="0"/>
    <n v="0"/>
    <n v="78.680000000000007"/>
    <n v="0"/>
    <m/>
    <n v="100.23755694003805"/>
    <m/>
    <n v="0"/>
    <n v="53556.469903104007"/>
    <n v="0"/>
    <n v="0"/>
    <n v="68230.423251395798"/>
    <n v="0"/>
  </r>
  <r>
    <s v="Regular"/>
    <x v="1"/>
    <x v="2"/>
    <x v="2"/>
    <x v="0"/>
    <x v="1"/>
    <x v="1"/>
    <x v="1"/>
    <x v="7"/>
    <n v="0"/>
    <n v="0"/>
    <n v="1959.9670000000001"/>
    <n v="825.34210370000005"/>
    <n v="0"/>
    <n v="0"/>
    <n v="0"/>
    <x v="2"/>
    <n v="0"/>
    <n v="0"/>
    <n v="14"/>
    <n v="0"/>
    <n v="0"/>
    <n v="78.680000000000007"/>
    <n v="0"/>
    <m/>
    <n v="100.23755694003805"/>
    <m/>
    <n v="0"/>
    <n v="64937.916719116009"/>
    <n v="0"/>
    <n v="0"/>
    <n v="82730.276114639535"/>
    <n v="0"/>
  </r>
  <r>
    <s v="Regular"/>
    <x v="1"/>
    <x v="2"/>
    <x v="2"/>
    <x v="0"/>
    <x v="1"/>
    <x v="1"/>
    <x v="1"/>
    <x v="8"/>
    <n v="0"/>
    <n v="0"/>
    <n v="2313.5279999999998"/>
    <n v="964.04711759999998"/>
    <n v="0"/>
    <n v="0"/>
    <n v="0"/>
    <x v="2"/>
    <n v="0"/>
    <n v="0"/>
    <n v="14"/>
    <n v="0"/>
    <n v="0"/>
    <n v="78.680000000000007"/>
    <n v="0"/>
    <m/>
    <n v="100.23755694003805"/>
    <m/>
    <n v="0"/>
    <n v="75851.227212768004"/>
    <n v="0"/>
    <n v="0"/>
    <n v="96633.727843309549"/>
    <n v="0"/>
  </r>
  <r>
    <s v="Regular"/>
    <x v="1"/>
    <x v="2"/>
    <x v="2"/>
    <x v="0"/>
    <x v="1"/>
    <x v="1"/>
    <x v="1"/>
    <x v="9"/>
    <n v="0"/>
    <n v="0"/>
    <n v="1907.172"/>
    <n v="794.71857239999997"/>
    <n v="0"/>
    <n v="0"/>
    <n v="0"/>
    <x v="2"/>
    <n v="0"/>
    <n v="0"/>
    <n v="14"/>
    <n v="0"/>
    <n v="0"/>
    <n v="78.680000000000007"/>
    <n v="0"/>
    <m/>
    <n v="100.23755694003805"/>
    <m/>
    <n v="0"/>
    <n v="62528.457276432004"/>
    <n v="0"/>
    <n v="0"/>
    <n v="79660.648152250753"/>
    <n v="0"/>
  </r>
  <r>
    <s v="Regular"/>
    <x v="1"/>
    <x v="2"/>
    <x v="2"/>
    <x v="0"/>
    <x v="1"/>
    <x v="1"/>
    <x v="1"/>
    <x v="10"/>
    <n v="0"/>
    <n v="0"/>
    <n v="2127.2240000000002"/>
    <n v="886.41424080000002"/>
    <n v="0"/>
    <n v="0"/>
    <n v="0"/>
    <x v="2"/>
    <n v="0"/>
    <n v="0"/>
    <n v="14"/>
    <n v="0"/>
    <n v="0"/>
    <n v="78.680000000000007"/>
    <n v="0"/>
    <m/>
    <n v="100.23755694003805"/>
    <m/>
    <n v="0"/>
    <n v="69743.072466144004"/>
    <n v="0"/>
    <n v="0"/>
    <n v="88851.997934650601"/>
    <n v="0"/>
  </r>
  <r>
    <s v="PROJETADO"/>
    <x v="1"/>
    <x v="2"/>
    <x v="2"/>
    <x v="0"/>
    <x v="1"/>
    <x v="1"/>
    <x v="1"/>
    <x v="11"/>
    <n v="0"/>
    <n v="0"/>
    <n v="2127.2240000000002"/>
    <n v="886.41424080000002"/>
    <n v="0"/>
    <n v="0"/>
    <n v="0"/>
    <x v="2"/>
    <n v="0"/>
    <n v="0"/>
    <n v="14"/>
    <n v="0"/>
    <n v="0"/>
    <n v="78.680000000000007"/>
    <n v="0"/>
    <m/>
    <n v="100.23755694003805"/>
    <m/>
    <n v="0"/>
    <n v="69743.072466144004"/>
    <n v="0"/>
    <n v="0"/>
    <n v="88851.997934650601"/>
    <n v="0"/>
  </r>
  <r>
    <s v="Regular"/>
    <x v="1"/>
    <x v="2"/>
    <x v="2"/>
    <x v="0"/>
    <x v="1"/>
    <x v="1"/>
    <x v="0"/>
    <x v="0"/>
    <n v="7485"/>
    <n v="3118.9994999999999"/>
    <n v="0"/>
    <n v="0"/>
    <n v="0"/>
    <n v="0"/>
    <n v="18"/>
    <x v="2"/>
    <n v="0"/>
    <n v="18"/>
    <n v="0"/>
    <n v="0"/>
    <n v="19.239999999999998"/>
    <n v="0"/>
    <n v="0"/>
    <n v="15.19295792072058"/>
    <m/>
    <m/>
    <n v="60009.550379999993"/>
    <n v="0"/>
    <n v="0"/>
    <n v="47386.828158248529"/>
    <n v="0"/>
    <n v="0"/>
  </r>
  <r>
    <s v="Regular"/>
    <x v="1"/>
    <x v="2"/>
    <x v="2"/>
    <x v="0"/>
    <x v="1"/>
    <x v="1"/>
    <x v="0"/>
    <x v="1"/>
    <n v="7309"/>
    <n v="3045.6603"/>
    <n v="0"/>
    <n v="0"/>
    <n v="0"/>
    <n v="0"/>
    <n v="18"/>
    <x v="2"/>
    <n v="0"/>
    <n v="18"/>
    <n v="0"/>
    <n v="0"/>
    <n v="19.239999999999998"/>
    <n v="0"/>
    <n v="0"/>
    <n v="15.19295792072058"/>
    <m/>
    <m/>
    <n v="58598.504171999994"/>
    <n v="0"/>
    <n v="0"/>
    <n v="46272.588778709222"/>
    <n v="0"/>
    <n v="0"/>
  </r>
  <r>
    <s v="Regular"/>
    <x v="1"/>
    <x v="2"/>
    <x v="2"/>
    <x v="0"/>
    <x v="1"/>
    <x v="1"/>
    <x v="0"/>
    <x v="2"/>
    <n v="7360"/>
    <n v="3066.9119999999998"/>
    <n v="0"/>
    <n v="0"/>
    <n v="0"/>
    <n v="0"/>
    <n v="18"/>
    <x v="2"/>
    <n v="0"/>
    <n v="18"/>
    <n v="0"/>
    <n v="0"/>
    <n v="19.239999999999998"/>
    <n v="0"/>
    <n v="0"/>
    <n v="15.19295792072058"/>
    <m/>
    <m/>
    <n v="59007.386879999991"/>
    <n v="0"/>
    <n v="0"/>
    <n v="46595.464962552993"/>
    <n v="0"/>
    <n v="0"/>
  </r>
  <r>
    <s v="Regular"/>
    <x v="1"/>
    <x v="2"/>
    <x v="2"/>
    <x v="0"/>
    <x v="1"/>
    <x v="1"/>
    <x v="0"/>
    <x v="3"/>
    <n v="7363"/>
    <n v="3068.1621"/>
    <n v="0"/>
    <n v="0"/>
    <n v="0"/>
    <n v="0"/>
    <n v="18"/>
    <x v="2"/>
    <n v="0"/>
    <n v="18"/>
    <n v="0"/>
    <n v="0"/>
    <n v="19.239999999999998"/>
    <n v="0"/>
    <n v="0"/>
    <n v="15.19295792072058"/>
    <m/>
    <m/>
    <n v="59031.438803999998"/>
    <n v="0"/>
    <n v="0"/>
    <n v="46614.457679249688"/>
    <n v="0"/>
    <n v="0"/>
  </r>
  <r>
    <s v="Regular"/>
    <x v="1"/>
    <x v="2"/>
    <x v="2"/>
    <x v="0"/>
    <x v="1"/>
    <x v="1"/>
    <x v="0"/>
    <x v="4"/>
    <n v="7578"/>
    <n v="2841.75"/>
    <n v="0"/>
    <n v="0"/>
    <n v="0"/>
    <n v="0"/>
    <n v="18"/>
    <x v="2"/>
    <n v="0"/>
    <n v="18"/>
    <n v="0"/>
    <n v="0"/>
    <n v="19.239999999999998"/>
    <n v="0"/>
    <n v="0"/>
    <n v="15.19295792072058"/>
    <m/>
    <m/>
    <n v="54675.27"/>
    <n v="0"/>
    <n v="0"/>
    <n v="43174.58817120771"/>
    <n v="0"/>
    <n v="0"/>
  </r>
  <r>
    <s v="Regular"/>
    <x v="1"/>
    <x v="2"/>
    <x v="2"/>
    <x v="0"/>
    <x v="1"/>
    <x v="1"/>
    <x v="0"/>
    <x v="5"/>
    <n v="7655"/>
    <n v="3223.5205000000001"/>
    <n v="0"/>
    <n v="0"/>
    <n v="0"/>
    <n v="0"/>
    <n v="19"/>
    <x v="2"/>
    <n v="0"/>
    <n v="18"/>
    <n v="0"/>
    <n v="0"/>
    <n v="19.239999999999998"/>
    <n v="0"/>
    <n v="0"/>
    <n v="15.19295792072058"/>
    <m/>
    <m/>
    <n v="62020.534419999996"/>
    <n v="0"/>
    <n v="0"/>
    <n v="48974.811313080165"/>
    <n v="0"/>
    <n v="0"/>
  </r>
  <r>
    <s v="Regular"/>
    <x v="1"/>
    <x v="2"/>
    <x v="2"/>
    <x v="0"/>
    <x v="1"/>
    <x v="1"/>
    <x v="0"/>
    <x v="6"/>
    <n v="7910"/>
    <n v="3213.0419999999999"/>
    <n v="0"/>
    <n v="0"/>
    <n v="0"/>
    <n v="0"/>
    <n v="19"/>
    <x v="2"/>
    <n v="0"/>
    <n v="18"/>
    <n v="0"/>
    <n v="0"/>
    <n v="19.239999999999998"/>
    <n v="0"/>
    <n v="0"/>
    <n v="15.19295792072058"/>
    <m/>
    <m/>
    <n v="61818.928079999991"/>
    <n v="0"/>
    <n v="0"/>
    <n v="48815.611903507895"/>
    <n v="0"/>
    <n v="0"/>
  </r>
  <r>
    <s v="Regular"/>
    <x v="1"/>
    <x v="2"/>
    <x v="2"/>
    <x v="0"/>
    <x v="1"/>
    <x v="1"/>
    <x v="0"/>
    <x v="7"/>
    <n v="7814"/>
    <n v="3290.4753999999998"/>
    <n v="0"/>
    <n v="0"/>
    <n v="0"/>
    <n v="0"/>
    <n v="19"/>
    <x v="2"/>
    <n v="0"/>
    <n v="18"/>
    <n v="0"/>
    <n v="0"/>
    <n v="19.239999999999998"/>
    <n v="0"/>
    <n v="0"/>
    <n v="15.19295792072058"/>
    <m/>
    <m/>
    <n v="63308.746695999995"/>
    <n v="0"/>
    <n v="0"/>
    <n v="49992.054291366214"/>
    <n v="0"/>
    <n v="0"/>
  </r>
  <r>
    <s v="Regular"/>
    <x v="1"/>
    <x v="2"/>
    <x v="2"/>
    <x v="0"/>
    <x v="1"/>
    <x v="1"/>
    <x v="0"/>
    <x v="8"/>
    <n v="7899"/>
    <n v="3291.5133000000001"/>
    <n v="0"/>
    <n v="0"/>
    <n v="0"/>
    <n v="0"/>
    <n v="18"/>
    <x v="2"/>
    <n v="0"/>
    <n v="18"/>
    <n v="0"/>
    <n v="0"/>
    <n v="19.239999999999998"/>
    <n v="0"/>
    <n v="0"/>
    <n v="15.19295792072058"/>
    <m/>
    <m/>
    <n v="63328.715891999993"/>
    <n v="0"/>
    <n v="0"/>
    <n v="50007.823062392141"/>
    <n v="0"/>
    <n v="0"/>
  </r>
  <r>
    <s v="Regular"/>
    <x v="1"/>
    <x v="2"/>
    <x v="2"/>
    <x v="0"/>
    <x v="1"/>
    <x v="1"/>
    <x v="0"/>
    <x v="9"/>
    <n v="7918"/>
    <n v="3299.4306000000001"/>
    <n v="0"/>
    <n v="0"/>
    <n v="0"/>
    <n v="0"/>
    <n v="18"/>
    <x v="2"/>
    <n v="0"/>
    <n v="18"/>
    <n v="0"/>
    <n v="0"/>
    <n v="19.239999999999998"/>
    <n v="0"/>
    <n v="0"/>
    <n v="15.19295792072058"/>
    <m/>
    <m/>
    <n v="63481.044743999999"/>
    <n v="0"/>
    <n v="0"/>
    <n v="50128.110268137862"/>
    <n v="0"/>
    <n v="0"/>
  </r>
  <r>
    <s v="Regular"/>
    <x v="1"/>
    <x v="2"/>
    <x v="2"/>
    <x v="0"/>
    <x v="1"/>
    <x v="1"/>
    <x v="0"/>
    <x v="10"/>
    <n v="7718"/>
    <n v="3216.0906"/>
    <n v="0"/>
    <n v="0"/>
    <n v="0"/>
    <n v="0"/>
    <n v="18"/>
    <x v="2"/>
    <n v="0"/>
    <n v="18"/>
    <n v="0"/>
    <n v="0"/>
    <n v="19.239999999999998"/>
    <n v="0"/>
    <n v="0"/>
    <n v="15.19295792072058"/>
    <m/>
    <m/>
    <n v="61877.583143999997"/>
    <n v="0"/>
    <n v="0"/>
    <n v="48861.929155025005"/>
    <n v="0"/>
    <n v="0"/>
  </r>
  <r>
    <s v="PROJETADO"/>
    <x v="1"/>
    <x v="2"/>
    <x v="2"/>
    <x v="0"/>
    <x v="1"/>
    <x v="1"/>
    <x v="0"/>
    <x v="11"/>
    <n v="7718"/>
    <n v="3216.0906"/>
    <n v="0"/>
    <n v="0"/>
    <n v="0"/>
    <n v="0"/>
    <n v="18"/>
    <x v="2"/>
    <n v="0"/>
    <n v="18"/>
    <n v="0"/>
    <n v="0"/>
    <n v="19.239999999999998"/>
    <n v="0"/>
    <n v="0"/>
    <n v="15.19295792072058"/>
    <m/>
    <m/>
    <n v="61877.583143999997"/>
    <n v="0"/>
    <n v="0"/>
    <n v="48861.929155025005"/>
    <n v="0"/>
    <n v="0"/>
  </r>
  <r>
    <s v="Regular"/>
    <x v="1"/>
    <x v="2"/>
    <x v="2"/>
    <x v="0"/>
    <x v="1"/>
    <x v="1"/>
    <x v="2"/>
    <x v="0"/>
    <n v="0"/>
    <n v="0"/>
    <n v="219.119"/>
    <n v="91.3068873"/>
    <n v="0"/>
    <n v="0"/>
    <n v="0"/>
    <x v="2"/>
    <n v="0"/>
    <n v="0"/>
    <n v="16"/>
    <n v="0"/>
    <n v="0"/>
    <n v="1329.67"/>
    <n v="0"/>
    <m/>
    <n v="1074.3612836602365"/>
    <m/>
    <n v="0"/>
    <n v="121408.02883619101"/>
    <n v="0"/>
    <n v="0"/>
    <n v="98096.584646648538"/>
    <n v="0"/>
  </r>
  <r>
    <s v="Regular"/>
    <x v="1"/>
    <x v="2"/>
    <x v="2"/>
    <x v="0"/>
    <x v="1"/>
    <x v="1"/>
    <x v="2"/>
    <x v="1"/>
    <n v="0"/>
    <n v="0"/>
    <n v="221.024"/>
    <n v="92.100700799999998"/>
    <n v="0"/>
    <n v="0"/>
    <n v="0"/>
    <x v="2"/>
    <n v="0"/>
    <n v="0"/>
    <n v="16"/>
    <n v="0"/>
    <n v="0"/>
    <n v="1329.67"/>
    <n v="0"/>
    <m/>
    <n v="1074.3612836602365"/>
    <m/>
    <n v="0"/>
    <n v="122463.538832736"/>
    <n v="0"/>
    <n v="0"/>
    <n v="98949.427137495368"/>
    <n v="0"/>
  </r>
  <r>
    <s v="Regular"/>
    <x v="1"/>
    <x v="2"/>
    <x v="2"/>
    <x v="0"/>
    <x v="1"/>
    <x v="1"/>
    <x v="2"/>
    <x v="2"/>
    <n v="0"/>
    <n v="0"/>
    <n v="206.77799999999999"/>
    <n v="86.164392599999999"/>
    <n v="0"/>
    <n v="0"/>
    <n v="0"/>
    <x v="2"/>
    <n v="0"/>
    <n v="0"/>
    <n v="16"/>
    <n v="0"/>
    <n v="0"/>
    <n v="1329.67"/>
    <n v="0"/>
    <m/>
    <n v="1074.3612836602365"/>
    <m/>
    <n v="0"/>
    <n v="114570.20790844201"/>
    <n v="0"/>
    <n v="0"/>
    <n v="92571.687439540576"/>
    <n v="0"/>
  </r>
  <r>
    <s v="Regular"/>
    <x v="1"/>
    <x v="2"/>
    <x v="2"/>
    <x v="0"/>
    <x v="1"/>
    <x v="1"/>
    <x v="2"/>
    <x v="3"/>
    <n v="0"/>
    <n v="0"/>
    <n v="183.97499999999999"/>
    <n v="81.16977"/>
    <n v="0"/>
    <n v="0"/>
    <n v="0"/>
    <x v="2"/>
    <n v="0"/>
    <n v="0"/>
    <n v="16"/>
    <n v="0"/>
    <n v="0"/>
    <n v="1329.67"/>
    <n v="0"/>
    <m/>
    <n v="1074.3612836602365"/>
    <m/>
    <n v="0"/>
    <n v="107929.00807590001"/>
    <n v="0"/>
    <n v="0"/>
    <n v="87205.65829160616"/>
    <n v="0"/>
  </r>
  <r>
    <s v="Regular"/>
    <x v="1"/>
    <x v="2"/>
    <x v="2"/>
    <x v="0"/>
    <x v="1"/>
    <x v="1"/>
    <x v="2"/>
    <x v="4"/>
    <n v="0"/>
    <n v="0"/>
    <n v="214.07900000000001"/>
    <n v="80.279624999999996"/>
    <n v="0"/>
    <n v="0"/>
    <n v="0"/>
    <x v="2"/>
    <n v="0"/>
    <n v="0"/>
    <n v="16"/>
    <n v="0"/>
    <n v="0"/>
    <n v="1329.67"/>
    <n v="0"/>
    <m/>
    <n v="1074.3612836602365"/>
    <m/>
    <n v="0"/>
    <n v="106745.40897375"/>
    <n v="0"/>
    <n v="0"/>
    <n v="86249.320966762403"/>
    <n v="0"/>
  </r>
  <r>
    <s v="Regular"/>
    <x v="1"/>
    <x v="2"/>
    <x v="2"/>
    <x v="0"/>
    <x v="1"/>
    <x v="1"/>
    <x v="2"/>
    <x v="5"/>
    <n v="0"/>
    <n v="0"/>
    <n v="213.55799999999999"/>
    <n v="89.929273800000004"/>
    <n v="0"/>
    <n v="0"/>
    <n v="0"/>
    <x v="2"/>
    <n v="0"/>
    <n v="0"/>
    <n v="16"/>
    <n v="0"/>
    <n v="0"/>
    <n v="1329.67"/>
    <n v="0"/>
    <m/>
    <n v="1074.3612836602365"/>
    <m/>
    <n v="0"/>
    <n v="119576.25749364602"/>
    <n v="0"/>
    <n v="0"/>
    <n v="96616.530038400873"/>
    <n v="0"/>
  </r>
  <r>
    <s v="Regular"/>
    <x v="1"/>
    <x v="2"/>
    <x v="2"/>
    <x v="0"/>
    <x v="1"/>
    <x v="1"/>
    <x v="2"/>
    <x v="6"/>
    <n v="0"/>
    <n v="0"/>
    <n v="159.66800000000001"/>
    <n v="64.857141600000006"/>
    <n v="0"/>
    <n v="0"/>
    <n v="0"/>
    <x v="2"/>
    <n v="0"/>
    <n v="0"/>
    <n v="16"/>
    <n v="0"/>
    <n v="0"/>
    <n v="1329.67"/>
    <n v="0"/>
    <m/>
    <n v="1074.3612836602365"/>
    <m/>
    <n v="0"/>
    <n v="86238.595471272012"/>
    <n v="0"/>
    <n v="0"/>
    <n v="69680.001903909724"/>
    <n v="0"/>
  </r>
  <r>
    <s v="Regular"/>
    <x v="1"/>
    <x v="2"/>
    <x v="2"/>
    <x v="0"/>
    <x v="1"/>
    <x v="1"/>
    <x v="2"/>
    <x v="7"/>
    <n v="0"/>
    <n v="0"/>
    <n v="223.99700000000001"/>
    <n v="94.325136700000002"/>
    <n v="0"/>
    <n v="0"/>
    <n v="0"/>
    <x v="2"/>
    <n v="0"/>
    <n v="0"/>
    <n v="16"/>
    <n v="0"/>
    <n v="0"/>
    <n v="1329.67"/>
    <n v="0"/>
    <m/>
    <n v="1074.3612836602365"/>
    <m/>
    <n v="0"/>
    <n v="125421.304515889"/>
    <n v="0"/>
    <n v="0"/>
    <n v="101339.27494643928"/>
    <n v="0"/>
  </r>
  <r>
    <s v="Regular"/>
    <x v="1"/>
    <x v="2"/>
    <x v="2"/>
    <x v="0"/>
    <x v="1"/>
    <x v="1"/>
    <x v="2"/>
    <x v="8"/>
    <n v="0"/>
    <n v="0"/>
    <n v="263.34199999999998"/>
    <n v="109.73461140000001"/>
    <n v="0"/>
    <n v="0"/>
    <n v="0"/>
    <x v="2"/>
    <n v="0"/>
    <n v="0"/>
    <n v="16"/>
    <n v="0"/>
    <n v="0"/>
    <n v="1329.67"/>
    <n v="0"/>
    <m/>
    <n v="1074.3612836602365"/>
    <m/>
    <n v="0"/>
    <n v="145910.82074023801"/>
    <n v="0"/>
    <n v="0"/>
    <n v="117894.61796566122"/>
    <n v="0"/>
  </r>
  <r>
    <s v="Regular"/>
    <x v="1"/>
    <x v="2"/>
    <x v="2"/>
    <x v="0"/>
    <x v="1"/>
    <x v="1"/>
    <x v="2"/>
    <x v="9"/>
    <n v="0"/>
    <n v="0"/>
    <n v="174.17400000000001"/>
    <n v="72.578305799999995"/>
    <n v="0"/>
    <n v="0"/>
    <n v="0"/>
    <x v="2"/>
    <n v="0"/>
    <n v="0"/>
    <n v="16"/>
    <n v="0"/>
    <n v="0"/>
    <n v="1329.67"/>
    <n v="0"/>
    <m/>
    <n v="1074.3612836602365"/>
    <m/>
    <n v="0"/>
    <n v="96505.195873086006"/>
    <n v="0"/>
    <n v="0"/>
    <n v="77975.32178517319"/>
    <n v="0"/>
  </r>
  <r>
    <s v="Regular"/>
    <x v="1"/>
    <x v="2"/>
    <x v="2"/>
    <x v="0"/>
    <x v="1"/>
    <x v="1"/>
    <x v="2"/>
    <x v="10"/>
    <n v="0"/>
    <n v="0"/>
    <n v="244.554"/>
    <n v="101.9056518"/>
    <n v="0"/>
    <n v="0"/>
    <n v="0"/>
    <x v="2"/>
    <n v="0"/>
    <n v="0"/>
    <n v="16"/>
    <n v="0"/>
    <n v="0"/>
    <n v="1329.67"/>
    <n v="0"/>
    <m/>
    <n v="1074.3612836602365"/>
    <m/>
    <n v="0"/>
    <n v="135500.88802890602"/>
    <n v="0"/>
    <n v="0"/>
    <n v="109483.48688008109"/>
    <n v="0"/>
  </r>
  <r>
    <s v="PROJETADO"/>
    <x v="1"/>
    <x v="2"/>
    <x v="2"/>
    <x v="0"/>
    <x v="1"/>
    <x v="1"/>
    <x v="2"/>
    <x v="11"/>
    <n v="0"/>
    <n v="0"/>
    <n v="244.554"/>
    <n v="101.9056518"/>
    <n v="0"/>
    <n v="0"/>
    <n v="0"/>
    <x v="2"/>
    <n v="0"/>
    <n v="0"/>
    <n v="16"/>
    <n v="0"/>
    <n v="0"/>
    <n v="1329.67"/>
    <n v="0"/>
    <m/>
    <n v="1074.3612836602365"/>
    <m/>
    <n v="0"/>
    <n v="135500.88802890602"/>
    <n v="0"/>
    <n v="0"/>
    <n v="109483.48688008109"/>
    <n v="0"/>
  </r>
  <r>
    <s v="Regular"/>
    <x v="1"/>
    <x v="2"/>
    <x v="2"/>
    <x v="0"/>
    <x v="0"/>
    <x v="1"/>
    <x v="1"/>
    <x v="0"/>
    <n v="0"/>
    <n v="0"/>
    <n v="699.19799999999998"/>
    <n v="699.19799999999998"/>
    <n v="699.19799999999998"/>
    <n v="699.19799999999998"/>
    <n v="0"/>
    <x v="1"/>
    <n v="0"/>
    <n v="0"/>
    <n v="14"/>
    <n v="42"/>
    <n v="0"/>
    <n v="78.680000000000007"/>
    <n v="246.3"/>
    <m/>
    <n v="100.23755694003805"/>
    <n v="219.40364509824883"/>
    <n v="0"/>
    <n v="55012.898640000007"/>
    <n v="172212.46739999999"/>
    <n v="0"/>
    <n v="70085.899337360723"/>
    <n v="153406.58984540537"/>
  </r>
  <r>
    <s v="Regular"/>
    <x v="1"/>
    <x v="2"/>
    <x v="2"/>
    <x v="0"/>
    <x v="0"/>
    <x v="1"/>
    <x v="1"/>
    <x v="1"/>
    <n v="0"/>
    <n v="0"/>
    <n v="700.65599999999995"/>
    <n v="700.65599999999995"/>
    <n v="700.65599999999995"/>
    <n v="700.65599999999995"/>
    <n v="0"/>
    <x v="1"/>
    <n v="0"/>
    <n v="0"/>
    <n v="14"/>
    <n v="42"/>
    <n v="0"/>
    <n v="78.680000000000007"/>
    <n v="246.3"/>
    <m/>
    <n v="100.23755694003805"/>
    <n v="219.40364509824883"/>
    <n v="0"/>
    <n v="55127.614079999999"/>
    <n v="172571.57279999999"/>
    <n v="0"/>
    <n v="70232.045695379289"/>
    <n v="153726.48035995863"/>
  </r>
  <r>
    <s v="Sistema de Compensação"/>
    <x v="1"/>
    <x v="2"/>
    <x v="2"/>
    <x v="0"/>
    <x v="0"/>
    <x v="1"/>
    <x v="1"/>
    <x v="1"/>
    <n v="0"/>
    <n v="0"/>
    <n v="200.49"/>
    <n v="200.49"/>
    <n v="200.49"/>
    <n v="200.49"/>
    <n v="0"/>
    <x v="1"/>
    <n v="0"/>
    <n v="0"/>
    <n v="14"/>
    <n v="42"/>
    <n v="0"/>
    <n v="78.680000000000007"/>
    <n v="246.3"/>
    <m/>
    <n v="100.23755694003805"/>
    <n v="219.40364509824883"/>
    <n v="0"/>
    <n v="15774.553200000002"/>
    <n v="49380.687000000005"/>
    <n v="0"/>
    <n v="20096.627790908227"/>
    <n v="43988.236805747911"/>
  </r>
  <r>
    <s v="Regular"/>
    <x v="1"/>
    <x v="2"/>
    <x v="2"/>
    <x v="0"/>
    <x v="0"/>
    <x v="1"/>
    <x v="1"/>
    <x v="2"/>
    <n v="0"/>
    <n v="0"/>
    <n v="685.65599999999995"/>
    <n v="685.65599999999995"/>
    <n v="685.65599999999995"/>
    <n v="685.65599999999995"/>
    <n v="0"/>
    <x v="1"/>
    <n v="0"/>
    <n v="0"/>
    <n v="14"/>
    <n v="42"/>
    <n v="0"/>
    <n v="78.680000000000007"/>
    <n v="246.3"/>
    <m/>
    <n v="100.23755694003805"/>
    <n v="219.40364509824883"/>
    <n v="0"/>
    <n v="53947.414080000002"/>
    <n v="168877.07279999999"/>
    <n v="0"/>
    <n v="68728.482341278723"/>
    <n v="150435.42568348488"/>
  </r>
  <r>
    <s v="Sistema de Compensação"/>
    <x v="1"/>
    <x v="2"/>
    <x v="2"/>
    <x v="0"/>
    <x v="0"/>
    <x v="1"/>
    <x v="1"/>
    <x v="2"/>
    <n v="0"/>
    <n v="0"/>
    <n v="190.34100000000001"/>
    <n v="190.34100000000001"/>
    <n v="190.34100000000001"/>
    <n v="190.34100000000001"/>
    <n v="0"/>
    <x v="1"/>
    <n v="0"/>
    <n v="0"/>
    <n v="14"/>
    <n v="42"/>
    <n v="0"/>
    <n v="78.680000000000007"/>
    <n v="246.3"/>
    <m/>
    <n v="100.23755694003805"/>
    <n v="219.40364509824883"/>
    <n v="0"/>
    <n v="14976.029880000002"/>
    <n v="46880.988300000005"/>
    <n v="0"/>
    <n v="19079.316825523783"/>
    <n v="41761.509211645782"/>
  </r>
  <r>
    <s v="Regular"/>
    <x v="1"/>
    <x v="2"/>
    <x v="2"/>
    <x v="0"/>
    <x v="0"/>
    <x v="1"/>
    <x v="1"/>
    <x v="3"/>
    <n v="0"/>
    <n v="0"/>
    <n v="630.46100000000001"/>
    <n v="630.46100000000001"/>
    <n v="630.46100000000001"/>
    <n v="630.46100000000001"/>
    <n v="0"/>
    <x v="1"/>
    <n v="0"/>
    <n v="0"/>
    <n v="14"/>
    <n v="42"/>
    <n v="0"/>
    <n v="78.680000000000007"/>
    <n v="246.3"/>
    <m/>
    <n v="100.23755694003805"/>
    <n v="219.40364509824883"/>
    <n v="0"/>
    <n v="49604.671480000005"/>
    <n v="155282.54430000001"/>
    <n v="0"/>
    <n v="63195.870385973329"/>
    <n v="138325.44149228706"/>
  </r>
  <r>
    <s v="Sistema de Compensação"/>
    <x v="1"/>
    <x v="2"/>
    <x v="2"/>
    <x v="0"/>
    <x v="0"/>
    <x v="1"/>
    <x v="1"/>
    <x v="3"/>
    <n v="0"/>
    <n v="0"/>
    <n v="195.92599999999999"/>
    <n v="195.92599999999999"/>
    <n v="195.92599999999999"/>
    <n v="195.92599999999999"/>
    <n v="0"/>
    <x v="1"/>
    <n v="0"/>
    <n v="0"/>
    <n v="14"/>
    <n v="42"/>
    <n v="0"/>
    <n v="78.680000000000007"/>
    <n v="246.3"/>
    <m/>
    <n v="100.23755694003805"/>
    <n v="219.40364509824883"/>
    <n v="0"/>
    <n v="15415.45768"/>
    <n v="48256.573799999998"/>
    <n v="0"/>
    <n v="19639.143581033892"/>
    <n v="42986.878569519497"/>
  </r>
  <r>
    <s v="Regular"/>
    <x v="1"/>
    <x v="2"/>
    <x v="2"/>
    <x v="0"/>
    <x v="0"/>
    <x v="1"/>
    <x v="1"/>
    <x v="4"/>
    <n v="0"/>
    <n v="0"/>
    <n v="647.51300000000003"/>
    <n v="647.51300000000003"/>
    <n v="647.51300000000003"/>
    <n v="647.51300000000003"/>
    <n v="0"/>
    <x v="1"/>
    <n v="0"/>
    <n v="0"/>
    <n v="14"/>
    <n v="42"/>
    <n v="0"/>
    <n v="78.680000000000007"/>
    <n v="246.3"/>
    <m/>
    <n v="100.23755694003805"/>
    <n v="219.40364509824883"/>
    <n v="0"/>
    <n v="50946.322840000008"/>
    <n v="159482.45190000001"/>
    <n v="0"/>
    <n v="64905.121206914861"/>
    <n v="142066.7124485024"/>
  </r>
  <r>
    <s v="Sistema de Compensação"/>
    <x v="1"/>
    <x v="2"/>
    <x v="2"/>
    <x v="0"/>
    <x v="0"/>
    <x v="1"/>
    <x v="1"/>
    <x v="4"/>
    <n v="0"/>
    <n v="0"/>
    <n v="193.21299999999999"/>
    <n v="193.21299999999999"/>
    <n v="193.21299999999999"/>
    <n v="193.21299999999999"/>
    <n v="0"/>
    <x v="1"/>
    <n v="0"/>
    <n v="0"/>
    <n v="14"/>
    <n v="42"/>
    <n v="0"/>
    <n v="78.680000000000007"/>
    <n v="246.3"/>
    <m/>
    <n v="100.23755694003805"/>
    <n v="219.40364509824883"/>
    <n v="0"/>
    <n v="15201.99884"/>
    <n v="47588.361900000004"/>
    <n v="0"/>
    <n v="19367.199089055572"/>
    <n v="42391.636480367953"/>
  </r>
  <r>
    <s v="Regular"/>
    <x v="1"/>
    <x v="2"/>
    <x v="2"/>
    <x v="0"/>
    <x v="0"/>
    <x v="1"/>
    <x v="1"/>
    <x v="5"/>
    <n v="0"/>
    <n v="0"/>
    <n v="554.40800000000002"/>
    <n v="554.40800000000002"/>
    <n v="554.40800000000002"/>
    <n v="554.40800000000002"/>
    <n v="0"/>
    <x v="1"/>
    <n v="0"/>
    <n v="0"/>
    <n v="14"/>
    <n v="42"/>
    <n v="0"/>
    <n v="78.680000000000007"/>
    <n v="246.3"/>
    <m/>
    <n v="100.23755694003805"/>
    <n v="219.40364509824883"/>
    <n v="0"/>
    <n v="43620.821440000007"/>
    <n v="136550.69040000002"/>
    <n v="0"/>
    <n v="55572.503468012612"/>
    <n v="121639.13607162994"/>
  </r>
  <r>
    <s v="Sistema de Compensação"/>
    <x v="1"/>
    <x v="2"/>
    <x v="2"/>
    <x v="0"/>
    <x v="0"/>
    <x v="1"/>
    <x v="1"/>
    <x v="5"/>
    <n v="0"/>
    <n v="0"/>
    <n v="188.411"/>
    <n v="188.411"/>
    <n v="188.411"/>
    <n v="188.411"/>
    <n v="0"/>
    <x v="1"/>
    <n v="0"/>
    <n v="0"/>
    <n v="14"/>
    <n v="42"/>
    <n v="0"/>
    <n v="78.680000000000007"/>
    <n v="246.3"/>
    <m/>
    <n v="100.23755694003805"/>
    <n v="219.40364509824883"/>
    <n v="0"/>
    <n v="14824.177480000002"/>
    <n v="46405.629300000001"/>
    <n v="0"/>
    <n v="18885.858340629507"/>
    <n v="41338.060176606159"/>
  </r>
  <r>
    <s v="Regular"/>
    <x v="1"/>
    <x v="2"/>
    <x v="2"/>
    <x v="0"/>
    <x v="0"/>
    <x v="1"/>
    <x v="1"/>
    <x v="6"/>
    <n v="0"/>
    <n v="0"/>
    <n v="589.08799999999997"/>
    <n v="589.08799999999997"/>
    <n v="589.08799999999997"/>
    <n v="589.08799999999997"/>
    <n v="0"/>
    <x v="1"/>
    <n v="0"/>
    <n v="0"/>
    <n v="14"/>
    <n v="42"/>
    <n v="0"/>
    <n v="78.680000000000007"/>
    <n v="246.3"/>
    <m/>
    <n v="100.23755694003805"/>
    <n v="219.40364509824883"/>
    <n v="0"/>
    <n v="46349.44384"/>
    <n v="145092.3744"/>
    <n v="0"/>
    <n v="59048.74194269313"/>
    <n v="129248.0544836372"/>
  </r>
  <r>
    <s v="Sistema de Compensação"/>
    <x v="1"/>
    <x v="2"/>
    <x v="2"/>
    <x v="0"/>
    <x v="0"/>
    <x v="1"/>
    <x v="1"/>
    <x v="6"/>
    <n v="0"/>
    <n v="0"/>
    <n v="179.262"/>
    <n v="179.262"/>
    <n v="179.262"/>
    <n v="179.262"/>
    <n v="0"/>
    <x v="1"/>
    <n v="0"/>
    <n v="0"/>
    <n v="14"/>
    <n v="42"/>
    <n v="0"/>
    <n v="78.680000000000007"/>
    <n v="246.3"/>
    <m/>
    <n v="100.23755694003805"/>
    <n v="219.40364509824883"/>
    <n v="0"/>
    <n v="14104.334160000002"/>
    <n v="44152.230600000003"/>
    <n v="0"/>
    <n v="17968.784932185099"/>
    <n v="39330.736227602283"/>
  </r>
  <r>
    <s v="Regular"/>
    <x v="1"/>
    <x v="2"/>
    <x v="2"/>
    <x v="0"/>
    <x v="0"/>
    <x v="1"/>
    <x v="1"/>
    <x v="7"/>
    <n v="0"/>
    <n v="0"/>
    <n v="357.04599999999999"/>
    <n v="357.04599999999999"/>
    <n v="357.04599999999999"/>
    <n v="357.04599999999999"/>
    <n v="0"/>
    <x v="1"/>
    <n v="0"/>
    <n v="0"/>
    <n v="14"/>
    <n v="42"/>
    <n v="0"/>
    <n v="78.680000000000007"/>
    <n v="246.3"/>
    <m/>
    <n v="100.23755694003805"/>
    <n v="219.40364509824883"/>
    <n v="0"/>
    <n v="28092.379280000001"/>
    <n v="87940.429799999998"/>
    <n v="0"/>
    <n v="35789.418755212821"/>
    <n v="78337.193867749345"/>
  </r>
  <r>
    <s v="Sistema de Compensação"/>
    <x v="1"/>
    <x v="2"/>
    <x v="2"/>
    <x v="0"/>
    <x v="0"/>
    <x v="1"/>
    <x v="1"/>
    <x v="7"/>
    <n v="0"/>
    <n v="0"/>
    <n v="404.48500000000001"/>
    <n v="404.48500000000001"/>
    <n v="404.48500000000001"/>
    <n v="404.48500000000001"/>
    <n v="0"/>
    <x v="1"/>
    <n v="0"/>
    <n v="0"/>
    <n v="14"/>
    <n v="42"/>
    <n v="0"/>
    <n v="78.680000000000007"/>
    <n v="246.3"/>
    <m/>
    <n v="100.23755694003805"/>
    <n v="219.40364509824883"/>
    <n v="0"/>
    <n v="31824.879800000002"/>
    <n v="99624.655500000008"/>
    <n v="0"/>
    <n v="40544.588218891287"/>
    <n v="88745.483387565182"/>
  </r>
  <r>
    <s v="Regular"/>
    <x v="1"/>
    <x v="2"/>
    <x v="2"/>
    <x v="0"/>
    <x v="0"/>
    <x v="1"/>
    <x v="1"/>
    <x v="8"/>
    <n v="0"/>
    <n v="0"/>
    <n v="428.29199999999997"/>
    <n v="428.29199999999997"/>
    <n v="428.29199999999997"/>
    <n v="428.29199999999997"/>
    <n v="0"/>
    <x v="1"/>
    <n v="0"/>
    <n v="0"/>
    <n v="14"/>
    <n v="42"/>
    <n v="0"/>
    <n v="78.680000000000007"/>
    <n v="246.3"/>
    <m/>
    <n v="100.23755694003805"/>
    <n v="219.40364509824883"/>
    <n v="0"/>
    <n v="33698.014560000003"/>
    <n v="105488.3196"/>
    <n v="0"/>
    <n v="42930.94373696277"/>
    <n v="93968.825966419186"/>
  </r>
  <r>
    <s v="Sistema de Compensação"/>
    <x v="1"/>
    <x v="2"/>
    <x v="2"/>
    <x v="0"/>
    <x v="0"/>
    <x v="1"/>
    <x v="1"/>
    <x v="8"/>
    <n v="0"/>
    <n v="0"/>
    <n v="279.54599999999999"/>
    <n v="279.54599999999999"/>
    <n v="279.54599999999999"/>
    <n v="279.54599999999999"/>
    <n v="0"/>
    <x v="1"/>
    <n v="0"/>
    <n v="0"/>
    <n v="14"/>
    <n v="42"/>
    <n v="0"/>
    <n v="78.680000000000007"/>
    <n v="246.3"/>
    <m/>
    <n v="100.23755694003805"/>
    <n v="219.40364509824883"/>
    <n v="0"/>
    <n v="21994.67928"/>
    <n v="68852.179799999998"/>
    <n v="0"/>
    <n v="28021.008092359876"/>
    <n v="61333.411372635062"/>
  </r>
  <r>
    <s v="Regular"/>
    <x v="1"/>
    <x v="2"/>
    <x v="2"/>
    <x v="0"/>
    <x v="0"/>
    <x v="1"/>
    <x v="1"/>
    <x v="9"/>
    <n v="0"/>
    <n v="0"/>
    <n v="369.57600000000002"/>
    <n v="369.57600000000002"/>
    <n v="369.57600000000002"/>
    <n v="369.57600000000002"/>
    <n v="0"/>
    <x v="1"/>
    <n v="0"/>
    <n v="0"/>
    <n v="14"/>
    <n v="42"/>
    <n v="0"/>
    <n v="78.680000000000007"/>
    <n v="246.3"/>
    <m/>
    <n v="100.23755694003805"/>
    <n v="219.40364509824883"/>
    <n v="0"/>
    <n v="29078.239680000006"/>
    <n v="91026.568800000008"/>
    <n v="0"/>
    <n v="37045.395343671502"/>
    <n v="81086.32154083041"/>
  </r>
  <r>
    <s v="Sistema de Compensação"/>
    <x v="1"/>
    <x v="2"/>
    <x v="2"/>
    <x v="0"/>
    <x v="0"/>
    <x v="1"/>
    <x v="1"/>
    <x v="9"/>
    <n v="0"/>
    <n v="0"/>
    <n v="184.70699999999999"/>
    <n v="184.70699999999999"/>
    <n v="184.70699999999999"/>
    <n v="184.70699999999999"/>
    <n v="0"/>
    <x v="1"/>
    <n v="0"/>
    <n v="0"/>
    <n v="14"/>
    <n v="42"/>
    <n v="0"/>
    <n v="78.680000000000007"/>
    <n v="246.3"/>
    <m/>
    <n v="100.23755694003805"/>
    <n v="219.40364509824883"/>
    <n v="0"/>
    <n v="14532.74676"/>
    <n v="45493.3341"/>
    <n v="0"/>
    <n v="18514.578429723606"/>
    <n v="40525.389075162246"/>
  </r>
  <r>
    <s v="Regular"/>
    <x v="1"/>
    <x v="2"/>
    <x v="2"/>
    <x v="0"/>
    <x v="0"/>
    <x v="1"/>
    <x v="1"/>
    <x v="10"/>
    <n v="0"/>
    <n v="0"/>
    <n v="338.89"/>
    <n v="338.89"/>
    <n v="338.89"/>
    <n v="338.89"/>
    <n v="0"/>
    <x v="1"/>
    <n v="0"/>
    <n v="0"/>
    <n v="14"/>
    <n v="42"/>
    <n v="0"/>
    <n v="78.680000000000007"/>
    <n v="246.3"/>
    <m/>
    <n v="100.23755694003805"/>
    <n v="219.40364509824883"/>
    <n v="0"/>
    <n v="26663.8652"/>
    <n v="83468.607000000004"/>
    <n v="0"/>
    <n v="33969.50567140949"/>
    <n v="74353.701287345539"/>
  </r>
  <r>
    <s v="Sistema de Compensação"/>
    <x v="1"/>
    <x v="2"/>
    <x v="2"/>
    <x v="0"/>
    <x v="0"/>
    <x v="1"/>
    <x v="1"/>
    <x v="10"/>
    <n v="0"/>
    <n v="0"/>
    <n v="309.73599999999999"/>
    <n v="309.73599999999999"/>
    <n v="309.73599999999999"/>
    <n v="309.73599999999999"/>
    <n v="0"/>
    <x v="1"/>
    <n v="0"/>
    <n v="0"/>
    <n v="14"/>
    <n v="42"/>
    <n v="0"/>
    <n v="78.680000000000007"/>
    <n v="246.3"/>
    <m/>
    <n v="100.23755694003805"/>
    <n v="219.40364509824883"/>
    <n v="0"/>
    <n v="24370.028480000001"/>
    <n v="76287.976800000004"/>
    <n v="0"/>
    <n v="31047.179936379624"/>
    <n v="67957.2074181512"/>
  </r>
  <r>
    <s v="PROJETADO"/>
    <x v="1"/>
    <x v="2"/>
    <x v="2"/>
    <x v="0"/>
    <x v="0"/>
    <x v="1"/>
    <x v="1"/>
    <x v="11"/>
    <n v="0"/>
    <n v="0"/>
    <n v="338.89"/>
    <n v="338.89"/>
    <n v="338.89"/>
    <n v="338.89"/>
    <n v="0"/>
    <x v="1"/>
    <n v="0"/>
    <n v="0"/>
    <n v="14"/>
    <n v="42"/>
    <n v="0"/>
    <n v="78.680000000000007"/>
    <n v="246.3"/>
    <m/>
    <n v="100.23755694003805"/>
    <n v="219.40364509824883"/>
    <n v="0"/>
    <n v="26663.8652"/>
    <n v="83468.607000000004"/>
    <n v="0"/>
    <n v="33969.50567140949"/>
    <n v="74353.701287345539"/>
  </r>
  <r>
    <s v="PROJETADO"/>
    <x v="1"/>
    <x v="2"/>
    <x v="2"/>
    <x v="0"/>
    <x v="0"/>
    <x v="1"/>
    <x v="1"/>
    <x v="11"/>
    <n v="0"/>
    <n v="0"/>
    <n v="309.73599999999999"/>
    <n v="309.73599999999999"/>
    <n v="309.73599999999999"/>
    <n v="309.73599999999999"/>
    <n v="0"/>
    <x v="1"/>
    <n v="0"/>
    <n v="0"/>
    <n v="14"/>
    <n v="42"/>
    <n v="0"/>
    <n v="78.680000000000007"/>
    <n v="246.3"/>
    <m/>
    <n v="100.23755694003805"/>
    <n v="219.40364509824883"/>
    <n v="0"/>
    <n v="24370.028480000001"/>
    <n v="76287.976800000004"/>
    <n v="0"/>
    <n v="31047.179936379624"/>
    <n v="67957.2074181512"/>
  </r>
  <r>
    <s v="Regular"/>
    <x v="1"/>
    <x v="2"/>
    <x v="2"/>
    <x v="0"/>
    <x v="0"/>
    <x v="1"/>
    <x v="0"/>
    <x v="0"/>
    <n v="5055"/>
    <n v="5055"/>
    <n v="0"/>
    <n v="0"/>
    <n v="0"/>
    <n v="0"/>
    <n v="26"/>
    <x v="1"/>
    <n v="0"/>
    <n v="18"/>
    <n v="0"/>
    <n v="0"/>
    <n v="19.239999999999998"/>
    <n v="0"/>
    <n v="0"/>
    <n v="15.19295792072058"/>
    <m/>
    <m/>
    <n v="97258.2"/>
    <n v="0"/>
    <n v="0"/>
    <n v="76800.402289242527"/>
    <n v="0"/>
    <n v="0"/>
  </r>
  <r>
    <s v="Regular"/>
    <x v="1"/>
    <x v="2"/>
    <x v="2"/>
    <x v="0"/>
    <x v="0"/>
    <x v="1"/>
    <x v="0"/>
    <x v="1"/>
    <n v="4712"/>
    <n v="4712"/>
    <n v="0"/>
    <n v="0"/>
    <n v="0"/>
    <n v="0"/>
    <n v="26"/>
    <x v="1"/>
    <n v="0"/>
    <n v="18"/>
    <n v="0"/>
    <n v="0"/>
    <n v="19.239999999999998"/>
    <n v="0"/>
    <n v="0"/>
    <n v="15.19295792072058"/>
    <m/>
    <m/>
    <n v="90658.87999999999"/>
    <n v="0"/>
    <n v="0"/>
    <n v="71589.21772243538"/>
    <n v="0"/>
    <n v="0"/>
  </r>
  <r>
    <s v="Sistema de Compensação"/>
    <x v="1"/>
    <x v="2"/>
    <x v="2"/>
    <x v="0"/>
    <x v="0"/>
    <x v="1"/>
    <x v="0"/>
    <x v="1"/>
    <n v="1162"/>
    <n v="1162"/>
    <n v="0"/>
    <n v="0"/>
    <n v="0"/>
    <n v="0"/>
    <n v="5"/>
    <x v="1"/>
    <n v="0"/>
    <n v="18"/>
    <n v="0"/>
    <n v="0"/>
    <n v="19.239999999999998"/>
    <n v="0"/>
    <n v="0"/>
    <n v="15.19295792072058"/>
    <m/>
    <m/>
    <n v="22356.879999999997"/>
    <n v="0"/>
    <n v="0"/>
    <n v="17654.217103877316"/>
    <n v="0"/>
    <n v="0"/>
  </r>
  <r>
    <s v="Regular"/>
    <x v="1"/>
    <x v="2"/>
    <x v="2"/>
    <x v="0"/>
    <x v="0"/>
    <x v="1"/>
    <x v="0"/>
    <x v="2"/>
    <n v="4690"/>
    <n v="4690"/>
    <n v="0"/>
    <n v="0"/>
    <n v="0"/>
    <n v="0"/>
    <n v="26"/>
    <x v="1"/>
    <n v="0"/>
    <n v="18"/>
    <n v="0"/>
    <n v="0"/>
    <n v="19.239999999999998"/>
    <n v="0"/>
    <n v="0"/>
    <n v="15.19295792072058"/>
    <m/>
    <m/>
    <n v="90235.599999999991"/>
    <n v="0"/>
    <n v="0"/>
    <n v="71254.972648179522"/>
    <n v="0"/>
    <n v="0"/>
  </r>
  <r>
    <s v="Sistema de Compensação"/>
    <x v="1"/>
    <x v="2"/>
    <x v="2"/>
    <x v="0"/>
    <x v="0"/>
    <x v="1"/>
    <x v="0"/>
    <x v="2"/>
    <n v="1137"/>
    <n v="1137"/>
    <n v="0"/>
    <n v="0"/>
    <n v="0"/>
    <n v="0"/>
    <n v="5"/>
    <x v="1"/>
    <n v="0"/>
    <n v="18"/>
    <n v="0"/>
    <n v="0"/>
    <n v="19.239999999999998"/>
    <n v="0"/>
    <n v="0"/>
    <n v="15.19295792072058"/>
    <m/>
    <m/>
    <n v="21875.879999999997"/>
    <n v="0"/>
    <n v="0"/>
    <n v="17274.393155859299"/>
    <n v="0"/>
    <n v="0"/>
  </r>
  <r>
    <s v="Regular"/>
    <x v="1"/>
    <x v="2"/>
    <x v="2"/>
    <x v="0"/>
    <x v="0"/>
    <x v="1"/>
    <x v="0"/>
    <x v="3"/>
    <n v="4760"/>
    <n v="4760"/>
    <n v="0"/>
    <n v="0"/>
    <n v="0"/>
    <n v="0"/>
    <n v="26"/>
    <x v="1"/>
    <n v="0"/>
    <n v="18"/>
    <n v="0"/>
    <n v="0"/>
    <n v="19.239999999999998"/>
    <n v="0"/>
    <n v="0"/>
    <n v="15.19295792072058"/>
    <m/>
    <m/>
    <n v="91582.399999999994"/>
    <n v="0"/>
    <n v="0"/>
    <n v="72318.479702629964"/>
    <n v="0"/>
    <n v="0"/>
  </r>
  <r>
    <s v="Sistema de Compensação"/>
    <x v="1"/>
    <x v="2"/>
    <x v="2"/>
    <x v="0"/>
    <x v="0"/>
    <x v="1"/>
    <x v="0"/>
    <x v="3"/>
    <n v="1194"/>
    <n v="1194"/>
    <n v="0"/>
    <n v="0"/>
    <n v="0"/>
    <n v="0"/>
    <n v="5"/>
    <x v="1"/>
    <n v="0"/>
    <n v="18"/>
    <n v="0"/>
    <n v="0"/>
    <n v="19.239999999999998"/>
    <n v="0"/>
    <n v="0"/>
    <n v="15.19295792072058"/>
    <m/>
    <m/>
    <n v="22972.559999999998"/>
    <n v="0"/>
    <n v="0"/>
    <n v="18140.391757340374"/>
    <n v="0"/>
    <n v="0"/>
  </r>
  <r>
    <s v="Regular"/>
    <x v="1"/>
    <x v="2"/>
    <x v="2"/>
    <x v="0"/>
    <x v="0"/>
    <x v="1"/>
    <x v="0"/>
    <x v="4"/>
    <n v="4769"/>
    <n v="4769"/>
    <n v="0"/>
    <n v="0"/>
    <n v="0"/>
    <n v="0"/>
    <n v="26"/>
    <x v="1"/>
    <n v="0"/>
    <n v="18"/>
    <n v="0"/>
    <n v="0"/>
    <n v="19.239999999999998"/>
    <n v="0"/>
    <n v="0"/>
    <n v="15.19295792072058"/>
    <m/>
    <m/>
    <n v="91755.56"/>
    <n v="0"/>
    <n v="0"/>
    <n v="72455.216323916451"/>
    <n v="0"/>
    <n v="0"/>
  </r>
  <r>
    <s v="Sistema de Compensação"/>
    <x v="1"/>
    <x v="2"/>
    <x v="2"/>
    <x v="0"/>
    <x v="0"/>
    <x v="1"/>
    <x v="0"/>
    <x v="4"/>
    <n v="1245"/>
    <n v="1245"/>
    <n v="0"/>
    <n v="0"/>
    <n v="0"/>
    <n v="0"/>
    <n v="5"/>
    <x v="1"/>
    <n v="0"/>
    <n v="18"/>
    <n v="0"/>
    <n v="0"/>
    <n v="19.239999999999998"/>
    <n v="0"/>
    <n v="0"/>
    <n v="15.19295792072058"/>
    <m/>
    <m/>
    <n v="23953.8"/>
    <n v="0"/>
    <n v="0"/>
    <n v="18915.232611297124"/>
    <n v="0"/>
    <n v="0"/>
  </r>
  <r>
    <s v="Regular"/>
    <x v="1"/>
    <x v="2"/>
    <x v="2"/>
    <x v="0"/>
    <x v="0"/>
    <x v="1"/>
    <x v="0"/>
    <x v="5"/>
    <n v="4786"/>
    <n v="4786"/>
    <n v="0"/>
    <n v="0"/>
    <n v="0"/>
    <n v="0"/>
    <n v="26"/>
    <x v="1"/>
    <n v="0"/>
    <n v="18"/>
    <n v="0"/>
    <n v="0"/>
    <n v="19.239999999999998"/>
    <n v="0"/>
    <n v="0"/>
    <n v="15.19295792072058"/>
    <m/>
    <m/>
    <n v="92082.64"/>
    <n v="0"/>
    <n v="0"/>
    <n v="72713.496608568705"/>
    <n v="0"/>
    <n v="0"/>
  </r>
  <r>
    <s v="Sistema de Compensação"/>
    <x v="1"/>
    <x v="2"/>
    <x v="2"/>
    <x v="0"/>
    <x v="0"/>
    <x v="1"/>
    <x v="0"/>
    <x v="5"/>
    <n v="1276"/>
    <n v="1276"/>
    <n v="0"/>
    <n v="0"/>
    <n v="0"/>
    <n v="0"/>
    <n v="5"/>
    <x v="1"/>
    <n v="0"/>
    <n v="18"/>
    <n v="0"/>
    <n v="0"/>
    <n v="19.239999999999998"/>
    <n v="0"/>
    <n v="0"/>
    <n v="15.19295792072058"/>
    <m/>
    <m/>
    <n v="24550.239999999998"/>
    <n v="0"/>
    <n v="0"/>
    <n v="19386.214306839462"/>
    <n v="0"/>
    <n v="0"/>
  </r>
  <r>
    <s v="Regular"/>
    <x v="1"/>
    <x v="2"/>
    <x v="2"/>
    <x v="0"/>
    <x v="0"/>
    <x v="1"/>
    <x v="0"/>
    <x v="6"/>
    <n v="4559"/>
    <n v="4559"/>
    <n v="0"/>
    <n v="0"/>
    <n v="0"/>
    <n v="0"/>
    <n v="25"/>
    <x v="1"/>
    <n v="0"/>
    <n v="18"/>
    <n v="0"/>
    <n v="0"/>
    <n v="19.239999999999998"/>
    <n v="0"/>
    <n v="0"/>
    <n v="15.19295792072058"/>
    <m/>
    <m/>
    <n v="87715.159999999989"/>
    <n v="0"/>
    <n v="0"/>
    <n v="69264.695160565127"/>
    <n v="0"/>
    <n v="0"/>
  </r>
  <r>
    <s v="Sistema de Compensação"/>
    <x v="1"/>
    <x v="2"/>
    <x v="2"/>
    <x v="0"/>
    <x v="0"/>
    <x v="1"/>
    <x v="0"/>
    <x v="6"/>
    <n v="1186"/>
    <n v="1186"/>
    <n v="0"/>
    <n v="0"/>
    <n v="0"/>
    <n v="0"/>
    <n v="5"/>
    <x v="1"/>
    <n v="0"/>
    <n v="18"/>
    <n v="0"/>
    <n v="0"/>
    <n v="19.239999999999998"/>
    <n v="0"/>
    <n v="0"/>
    <n v="15.19295792072058"/>
    <m/>
    <m/>
    <n v="22818.639999999999"/>
    <n v="0"/>
    <n v="0"/>
    <n v="18018.848093974608"/>
    <n v="0"/>
    <n v="0"/>
  </r>
  <r>
    <s v="Sistema de Compensação"/>
    <x v="1"/>
    <x v="2"/>
    <x v="2"/>
    <x v="0"/>
    <x v="0"/>
    <x v="1"/>
    <x v="0"/>
    <x v="6"/>
    <n v="-58"/>
    <n v="-58"/>
    <n v="0"/>
    <n v="0"/>
    <n v="0"/>
    <n v="0"/>
    <n v="2"/>
    <x v="1"/>
    <n v="0"/>
    <n v="18"/>
    <n v="0"/>
    <n v="0"/>
    <n v="19.239999999999998"/>
    <n v="0"/>
    <n v="0"/>
    <n v="15.19295792072058"/>
    <m/>
    <m/>
    <n v="-1115.9199999999998"/>
    <n v="0"/>
    <n v="0"/>
    <n v="-881.19155940179371"/>
    <n v="0"/>
    <n v="0"/>
  </r>
  <r>
    <s v="Regular"/>
    <x v="1"/>
    <x v="2"/>
    <x v="2"/>
    <x v="0"/>
    <x v="0"/>
    <x v="1"/>
    <x v="0"/>
    <x v="7"/>
    <n v="3137"/>
    <n v="3137"/>
    <n v="0"/>
    <n v="0"/>
    <n v="0"/>
    <n v="0"/>
    <n v="19"/>
    <x v="1"/>
    <n v="0"/>
    <n v="18"/>
    <n v="0"/>
    <n v="0"/>
    <n v="19.239999999999998"/>
    <n v="0"/>
    <n v="0"/>
    <n v="15.19295792072058"/>
    <m/>
    <m/>
    <n v="60355.88"/>
    <n v="0"/>
    <n v="0"/>
    <n v="47660.308997300461"/>
    <n v="0"/>
    <n v="0"/>
  </r>
  <r>
    <s v="Sistema de Compensação"/>
    <x v="1"/>
    <x v="2"/>
    <x v="2"/>
    <x v="0"/>
    <x v="0"/>
    <x v="1"/>
    <x v="0"/>
    <x v="7"/>
    <n v="2576"/>
    <n v="2576"/>
    <n v="0"/>
    <n v="0"/>
    <n v="0"/>
    <n v="0"/>
    <n v="11"/>
    <x v="1"/>
    <n v="0"/>
    <n v="18"/>
    <n v="0"/>
    <n v="0"/>
    <n v="19.239999999999998"/>
    <n v="0"/>
    <n v="0"/>
    <n v="15.19295792072058"/>
    <m/>
    <m/>
    <n v="49562.239999999998"/>
    <n v="0"/>
    <n v="0"/>
    <n v="39137.059603776215"/>
    <n v="0"/>
    <n v="0"/>
  </r>
  <r>
    <s v="Regular"/>
    <x v="1"/>
    <x v="2"/>
    <x v="2"/>
    <x v="0"/>
    <x v="0"/>
    <x v="1"/>
    <x v="0"/>
    <x v="8"/>
    <n v="3715"/>
    <n v="3715"/>
    <n v="0"/>
    <n v="0"/>
    <n v="0"/>
    <n v="0"/>
    <n v="21"/>
    <x v="1"/>
    <n v="0"/>
    <n v="18"/>
    <n v="0"/>
    <n v="0"/>
    <n v="19.239999999999998"/>
    <n v="0"/>
    <n v="0"/>
    <n v="15.19295792072058"/>
    <m/>
    <m/>
    <n v="71476.599999999991"/>
    <n v="0"/>
    <n v="0"/>
    <n v="56441.83867547696"/>
    <n v="0"/>
    <n v="0"/>
  </r>
  <r>
    <s v="Sistema de Compensação"/>
    <x v="1"/>
    <x v="2"/>
    <x v="2"/>
    <x v="0"/>
    <x v="0"/>
    <x v="1"/>
    <x v="0"/>
    <x v="8"/>
    <n v="3980"/>
    <n v="3980"/>
    <n v="0"/>
    <n v="0"/>
    <n v="0"/>
    <n v="0"/>
    <n v="11"/>
    <x v="1"/>
    <n v="0"/>
    <n v="18"/>
    <n v="0"/>
    <n v="0"/>
    <n v="19.239999999999998"/>
    <n v="0"/>
    <n v="0"/>
    <n v="15.19295792072058"/>
    <m/>
    <m/>
    <n v="76575.199999999997"/>
    <n v="0"/>
    <n v="0"/>
    <n v="60467.972524467914"/>
    <n v="0"/>
    <n v="0"/>
  </r>
  <r>
    <s v="Regular"/>
    <x v="1"/>
    <x v="2"/>
    <x v="2"/>
    <x v="0"/>
    <x v="0"/>
    <x v="1"/>
    <x v="0"/>
    <x v="9"/>
    <n v="3323"/>
    <n v="3323"/>
    <n v="0"/>
    <n v="0"/>
    <n v="0"/>
    <n v="0"/>
    <n v="20"/>
    <x v="1"/>
    <n v="0"/>
    <n v="18"/>
    <n v="0"/>
    <n v="0"/>
    <n v="19.239999999999998"/>
    <n v="0"/>
    <n v="0"/>
    <n v="15.19295792072058"/>
    <m/>
    <m/>
    <n v="63934.52"/>
    <n v="0"/>
    <n v="0"/>
    <n v="50486.199170554486"/>
    <n v="0"/>
    <n v="0"/>
  </r>
  <r>
    <s v="Sistema de Compensação"/>
    <x v="1"/>
    <x v="2"/>
    <x v="2"/>
    <x v="0"/>
    <x v="0"/>
    <x v="1"/>
    <x v="0"/>
    <x v="9"/>
    <n v="4419"/>
    <n v="4419"/>
    <n v="0"/>
    <n v="0"/>
    <n v="0"/>
    <n v="0"/>
    <n v="13"/>
    <x v="1"/>
    <n v="0"/>
    <n v="18"/>
    <n v="0"/>
    <n v="0"/>
    <n v="19.239999999999998"/>
    <n v="0"/>
    <n v="0"/>
    <n v="15.19295792072058"/>
    <m/>
    <m/>
    <n v="85021.56"/>
    <n v="0"/>
    <n v="0"/>
    <n v="67137.681051664244"/>
    <n v="0"/>
    <n v="0"/>
  </r>
  <r>
    <s v="Regular"/>
    <x v="1"/>
    <x v="2"/>
    <x v="2"/>
    <x v="0"/>
    <x v="0"/>
    <x v="1"/>
    <x v="0"/>
    <x v="10"/>
    <n v="3170"/>
    <n v="3170"/>
    <n v="0"/>
    <n v="0"/>
    <n v="0"/>
    <n v="0"/>
    <n v="20"/>
    <x v="1"/>
    <n v="0"/>
    <n v="18"/>
    <n v="0"/>
    <n v="0"/>
    <n v="19.239999999999998"/>
    <n v="0"/>
    <n v="0"/>
    <n v="15.19295792072058"/>
    <m/>
    <m/>
    <n v="60990.799999999996"/>
    <n v="0"/>
    <n v="0"/>
    <n v="48161.67660868424"/>
    <n v="0"/>
    <n v="0"/>
  </r>
  <r>
    <s v="Sistema de Compensação"/>
    <x v="1"/>
    <x v="2"/>
    <x v="2"/>
    <x v="0"/>
    <x v="0"/>
    <x v="1"/>
    <x v="0"/>
    <x v="10"/>
    <n v="4129"/>
    <n v="4129"/>
    <n v="0"/>
    <n v="0"/>
    <n v="0"/>
    <n v="0"/>
    <n v="13"/>
    <x v="1"/>
    <n v="0"/>
    <n v="18"/>
    <n v="0"/>
    <n v="0"/>
    <n v="19.239999999999998"/>
    <n v="0"/>
    <n v="0"/>
    <n v="15.19295792072058"/>
    <m/>
    <m/>
    <n v="79441.959999999992"/>
    <n v="0"/>
    <n v="0"/>
    <n v="62731.723254655277"/>
    <n v="0"/>
    <n v="0"/>
  </r>
  <r>
    <s v="PROJETADO"/>
    <x v="1"/>
    <x v="2"/>
    <x v="2"/>
    <x v="0"/>
    <x v="0"/>
    <x v="1"/>
    <x v="0"/>
    <x v="11"/>
    <n v="3170"/>
    <n v="3170"/>
    <n v="0"/>
    <n v="0"/>
    <n v="0"/>
    <n v="0"/>
    <n v="20"/>
    <x v="1"/>
    <n v="0"/>
    <n v="18"/>
    <n v="0"/>
    <n v="0"/>
    <n v="19.239999999999998"/>
    <n v="0"/>
    <n v="0"/>
    <n v="15.19295792072058"/>
    <m/>
    <m/>
    <n v="60990.799999999996"/>
    <n v="0"/>
    <n v="0"/>
    <n v="48161.67660868424"/>
    <n v="0"/>
    <n v="0"/>
  </r>
  <r>
    <s v="PROJETADO"/>
    <x v="1"/>
    <x v="2"/>
    <x v="2"/>
    <x v="0"/>
    <x v="0"/>
    <x v="1"/>
    <x v="0"/>
    <x v="11"/>
    <n v="4129"/>
    <n v="4129"/>
    <n v="0"/>
    <n v="0"/>
    <n v="0"/>
    <n v="0"/>
    <n v="13"/>
    <x v="1"/>
    <n v="0"/>
    <n v="18"/>
    <n v="0"/>
    <n v="0"/>
    <n v="19.239999999999998"/>
    <n v="0"/>
    <n v="0"/>
    <n v="15.19295792072058"/>
    <m/>
    <m/>
    <n v="79441.959999999992"/>
    <n v="0"/>
    <n v="0"/>
    <n v="62731.723254655277"/>
    <n v="0"/>
    <n v="0"/>
  </r>
  <r>
    <s v="Regular"/>
    <x v="1"/>
    <x v="2"/>
    <x v="2"/>
    <x v="0"/>
    <x v="0"/>
    <x v="1"/>
    <x v="2"/>
    <x v="0"/>
    <n v="0"/>
    <n v="0"/>
    <n v="34.518000000000001"/>
    <n v="34.518000000000001"/>
    <n v="34.518000000000001"/>
    <n v="34.518000000000001"/>
    <n v="0"/>
    <x v="1"/>
    <n v="0"/>
    <n v="0"/>
    <n v="16"/>
    <n v="47"/>
    <n v="0"/>
    <n v="1329.67"/>
    <n v="389.21"/>
    <m/>
    <n v="1074.3612836602365"/>
    <n v="353.55100010229148"/>
    <n v="0"/>
    <n v="45897.549060000005"/>
    <n v="13434.75078"/>
    <n v="0"/>
    <n v="37084.802789384041"/>
    <n v="12203.873421530898"/>
  </r>
  <r>
    <s v="Regular"/>
    <x v="1"/>
    <x v="2"/>
    <x v="2"/>
    <x v="0"/>
    <x v="0"/>
    <x v="1"/>
    <x v="2"/>
    <x v="1"/>
    <n v="0"/>
    <n v="0"/>
    <n v="35.642000000000003"/>
    <n v="35.642000000000003"/>
    <n v="35.642000000000003"/>
    <n v="35.642000000000003"/>
    <n v="0"/>
    <x v="1"/>
    <n v="0"/>
    <n v="0"/>
    <n v="16"/>
    <n v="47"/>
    <n v="0"/>
    <n v="1329.67"/>
    <n v="389.21"/>
    <m/>
    <n v="1074.3612836602365"/>
    <n v="353.55100010229148"/>
    <n v="0"/>
    <n v="47392.098140000009"/>
    <n v="13872.222820000001"/>
    <n v="0"/>
    <n v="38292.38487221815"/>
    <n v="12601.264745645874"/>
  </r>
  <r>
    <s v="Sistema de Compensação"/>
    <x v="1"/>
    <x v="2"/>
    <x v="2"/>
    <x v="0"/>
    <x v="0"/>
    <x v="1"/>
    <x v="2"/>
    <x v="1"/>
    <n v="0"/>
    <n v="0"/>
    <n v="20.943000000000001"/>
    <n v="20.943000000000001"/>
    <n v="20.943000000000001"/>
    <n v="20.943000000000001"/>
    <n v="0"/>
    <x v="1"/>
    <n v="0"/>
    <n v="0"/>
    <n v="16"/>
    <n v="47"/>
    <n v="0"/>
    <n v="1329.67"/>
    <n v="389.21"/>
    <m/>
    <n v="1074.3612836602365"/>
    <n v="353.55100010229148"/>
    <n v="0"/>
    <n v="27847.278810000003"/>
    <n v="8151.2250300000005"/>
    <n v="0"/>
    <n v="22500.348363696336"/>
    <n v="7404.4185951422915"/>
  </r>
  <r>
    <s v="Regular"/>
    <x v="1"/>
    <x v="2"/>
    <x v="2"/>
    <x v="0"/>
    <x v="0"/>
    <x v="1"/>
    <x v="2"/>
    <x v="2"/>
    <n v="0"/>
    <n v="0"/>
    <n v="34.057000000000002"/>
    <n v="34.057000000000002"/>
    <n v="34.057000000000002"/>
    <n v="34.057000000000002"/>
    <n v="0"/>
    <x v="1"/>
    <n v="0"/>
    <n v="0"/>
    <n v="16"/>
    <n v="47"/>
    <n v="0"/>
    <n v="1329.67"/>
    <n v="389.21"/>
    <m/>
    <n v="1074.3612836602365"/>
    <n v="353.55100010229148"/>
    <n v="0"/>
    <n v="45284.571190000002"/>
    <n v="13255.32497"/>
    <n v="0"/>
    <n v="36589.522237616678"/>
    <n v="12040.886410483741"/>
  </r>
  <r>
    <s v="Sistema de Compensação"/>
    <x v="1"/>
    <x v="2"/>
    <x v="2"/>
    <x v="0"/>
    <x v="0"/>
    <x v="1"/>
    <x v="2"/>
    <x v="2"/>
    <n v="0"/>
    <n v="0"/>
    <n v="16.451000000000001"/>
    <n v="16.451000000000001"/>
    <n v="16.451000000000001"/>
    <n v="16.451000000000001"/>
    <n v="0"/>
    <x v="1"/>
    <n v="0"/>
    <n v="0"/>
    <n v="16"/>
    <n v="47"/>
    <n v="0"/>
    <n v="1329.67"/>
    <n v="389.21"/>
    <m/>
    <n v="1074.3612836602365"/>
    <n v="353.55100010229148"/>
    <n v="0"/>
    <n v="21874.401170000001"/>
    <n v="6402.8937100000003"/>
    <n v="0"/>
    <n v="17674.317477494551"/>
    <n v="5816.2675026827974"/>
  </r>
  <r>
    <s v="Regular"/>
    <x v="1"/>
    <x v="2"/>
    <x v="2"/>
    <x v="0"/>
    <x v="0"/>
    <x v="1"/>
    <x v="2"/>
    <x v="3"/>
    <n v="0"/>
    <n v="0"/>
    <n v="25.83"/>
    <n v="25.83"/>
    <n v="25.83"/>
    <n v="25.83"/>
    <n v="0"/>
    <x v="1"/>
    <n v="0"/>
    <n v="0"/>
    <n v="16"/>
    <n v="47"/>
    <n v="0"/>
    <n v="1329.67"/>
    <n v="389.21"/>
    <m/>
    <n v="1074.3612836602365"/>
    <n v="353.55100010229148"/>
    <n v="0"/>
    <n v="34345.376100000001"/>
    <n v="10053.2943"/>
    <n v="0"/>
    <n v="27750.751956943906"/>
    <n v="9132.2223326421881"/>
  </r>
  <r>
    <s v="Sistema de Compensação"/>
    <x v="1"/>
    <x v="2"/>
    <x v="2"/>
    <x v="0"/>
    <x v="0"/>
    <x v="1"/>
    <x v="2"/>
    <x v="3"/>
    <n v="0"/>
    <n v="0"/>
    <n v="18.449000000000002"/>
    <n v="18.449000000000002"/>
    <n v="18.449000000000002"/>
    <n v="18.449000000000002"/>
    <n v="0"/>
    <x v="1"/>
    <n v="0"/>
    <n v="0"/>
    <n v="16"/>
    <n v="47"/>
    <n v="0"/>
    <n v="1329.67"/>
    <n v="389.21"/>
    <m/>
    <n v="1074.3612836602365"/>
    <n v="353.55100010229148"/>
    <n v="0"/>
    <n v="24531.081830000003"/>
    <n v="7180.5352899999998"/>
    <n v="0"/>
    <n v="19820.891322247706"/>
    <n v="6522.6624008871759"/>
  </r>
  <r>
    <s v="Regular"/>
    <x v="1"/>
    <x v="2"/>
    <x v="2"/>
    <x v="0"/>
    <x v="0"/>
    <x v="1"/>
    <x v="2"/>
    <x v="4"/>
    <n v="0"/>
    <n v="0"/>
    <n v="30.093"/>
    <n v="30.093"/>
    <n v="30.093"/>
    <n v="30.093"/>
    <n v="0"/>
    <x v="1"/>
    <n v="0"/>
    <n v="0"/>
    <n v="16"/>
    <n v="47"/>
    <n v="0"/>
    <n v="1329.67"/>
    <n v="389.21"/>
    <m/>
    <n v="1074.3612836602365"/>
    <n v="353.55100010229148"/>
    <n v="0"/>
    <n v="40013.759310000001"/>
    <n v="11712.496529999999"/>
    <n v="0"/>
    <n v="32330.754109187495"/>
    <n v="10639.410246078258"/>
  </r>
  <r>
    <s v="Sistema de Compensação"/>
    <x v="1"/>
    <x v="2"/>
    <x v="2"/>
    <x v="0"/>
    <x v="0"/>
    <x v="1"/>
    <x v="2"/>
    <x v="4"/>
    <n v="0"/>
    <n v="0"/>
    <n v="17.776"/>
    <n v="17.776"/>
    <n v="17.776"/>
    <n v="17.776"/>
    <n v="0"/>
    <x v="1"/>
    <n v="0"/>
    <n v="0"/>
    <n v="16"/>
    <n v="47"/>
    <n v="0"/>
    <n v="1329.67"/>
    <n v="389.21"/>
    <m/>
    <n v="1074.3612836602365"/>
    <n v="353.55100010229148"/>
    <n v="0"/>
    <n v="23636.213920000002"/>
    <n v="6918.5969599999999"/>
    <n v="0"/>
    <n v="19097.846178344364"/>
    <n v="6284.7225778183329"/>
  </r>
  <r>
    <s v="Regular"/>
    <x v="1"/>
    <x v="2"/>
    <x v="2"/>
    <x v="0"/>
    <x v="0"/>
    <x v="1"/>
    <x v="2"/>
    <x v="5"/>
    <n v="0"/>
    <n v="0"/>
    <n v="25.414000000000001"/>
    <n v="25.414000000000001"/>
    <n v="25.414000000000001"/>
    <n v="25.414000000000001"/>
    <n v="0"/>
    <x v="1"/>
    <n v="0"/>
    <n v="0"/>
    <n v="16"/>
    <n v="47"/>
    <n v="0"/>
    <n v="1329.67"/>
    <n v="389.21"/>
    <m/>
    <n v="1074.3612836602365"/>
    <n v="353.55100010229148"/>
    <n v="0"/>
    <n v="33792.233380000005"/>
    <n v="9891.3829399999995"/>
    <n v="0"/>
    <n v="27303.817662941252"/>
    <n v="8985.1451165996368"/>
  </r>
  <r>
    <s v="Sistema de Compensação"/>
    <x v="1"/>
    <x v="2"/>
    <x v="2"/>
    <x v="0"/>
    <x v="0"/>
    <x v="1"/>
    <x v="2"/>
    <x v="5"/>
    <n v="0"/>
    <n v="0"/>
    <n v="21.821999999999999"/>
    <n v="21.821999999999999"/>
    <n v="21.821999999999999"/>
    <n v="21.821999999999999"/>
    <n v="0"/>
    <x v="1"/>
    <n v="0"/>
    <n v="0"/>
    <n v="16"/>
    <n v="47"/>
    <n v="0"/>
    <n v="1329.67"/>
    <n v="389.21"/>
    <m/>
    <n v="1074.3612836602365"/>
    <n v="353.55100010229148"/>
    <n v="0"/>
    <n v="29016.05874"/>
    <n v="8493.340619999999"/>
    <n v="0"/>
    <n v="23444.711932033679"/>
    <n v="7715.1899242322042"/>
  </r>
  <r>
    <s v="Regular"/>
    <x v="1"/>
    <x v="2"/>
    <x v="2"/>
    <x v="0"/>
    <x v="0"/>
    <x v="1"/>
    <x v="2"/>
    <x v="6"/>
    <n v="0"/>
    <n v="0"/>
    <n v="23.061"/>
    <n v="23.061"/>
    <n v="23.061"/>
    <n v="23.061"/>
    <n v="0"/>
    <x v="1"/>
    <n v="0"/>
    <n v="0"/>
    <n v="16"/>
    <n v="47"/>
    <n v="0"/>
    <n v="1329.67"/>
    <n v="389.21"/>
    <m/>
    <n v="1074.3612836602365"/>
    <n v="353.55100010229148"/>
    <n v="0"/>
    <n v="30663.51987"/>
    <n v="8975.5718099999995"/>
    <n v="0"/>
    <n v="24775.845562488714"/>
    <n v="8153.2396133589436"/>
  </r>
  <r>
    <s v="Sistema de Compensação"/>
    <x v="1"/>
    <x v="2"/>
    <x v="2"/>
    <x v="0"/>
    <x v="0"/>
    <x v="1"/>
    <x v="2"/>
    <x v="6"/>
    <n v="0"/>
    <n v="0"/>
    <n v="17.661999999999999"/>
    <n v="17.661999999999999"/>
    <n v="17.661999999999999"/>
    <n v="17.661999999999999"/>
    <n v="0"/>
    <x v="1"/>
    <n v="0"/>
    <n v="0"/>
    <n v="16"/>
    <n v="47"/>
    <n v="0"/>
    <n v="1329.67"/>
    <n v="389.21"/>
    <m/>
    <n v="1074.3612836602365"/>
    <n v="353.55100010229148"/>
    <n v="0"/>
    <n v="23484.631539999998"/>
    <n v="6874.2270199999994"/>
    <n v="0"/>
    <n v="18975.368992007097"/>
    <n v="6244.4177638066722"/>
  </r>
  <r>
    <s v="Regular"/>
    <x v="1"/>
    <x v="2"/>
    <x v="2"/>
    <x v="0"/>
    <x v="0"/>
    <x v="1"/>
    <x v="2"/>
    <x v="7"/>
    <n v="0"/>
    <n v="0"/>
    <n v="24.135999999999999"/>
    <n v="24.135999999999999"/>
    <n v="24.135999999999999"/>
    <n v="24.135999999999999"/>
    <n v="0"/>
    <x v="1"/>
    <n v="0"/>
    <n v="0"/>
    <n v="16"/>
    <n v="47"/>
    <n v="0"/>
    <n v="1329.67"/>
    <n v="389.21"/>
    <m/>
    <n v="1074.3612836602365"/>
    <n v="353.55100010229148"/>
    <n v="0"/>
    <n v="32092.915120000001"/>
    <n v="9393.9725599999983"/>
    <n v="0"/>
    <n v="25930.783942423466"/>
    <n v="8533.3069384689061"/>
  </r>
  <r>
    <s v="Sistema de Compensação"/>
    <x v="1"/>
    <x v="2"/>
    <x v="2"/>
    <x v="0"/>
    <x v="0"/>
    <x v="1"/>
    <x v="2"/>
    <x v="7"/>
    <n v="0"/>
    <n v="0"/>
    <n v="25.388999999999999"/>
    <n v="25.388999999999999"/>
    <n v="25.388999999999999"/>
    <n v="25.388999999999999"/>
    <n v="0"/>
    <x v="1"/>
    <n v="0"/>
    <n v="0"/>
    <n v="16"/>
    <n v="47"/>
    <n v="0"/>
    <n v="1329.67"/>
    <n v="389.21"/>
    <m/>
    <n v="1074.3612836602365"/>
    <n v="353.55100010229148"/>
    <n v="0"/>
    <n v="33758.991630000004"/>
    <n v="9881.652689999999"/>
    <n v="0"/>
    <n v="27276.958630849742"/>
    <n v="8976.3063415970773"/>
  </r>
  <r>
    <s v="Regular"/>
    <x v="1"/>
    <x v="2"/>
    <x v="2"/>
    <x v="0"/>
    <x v="0"/>
    <x v="1"/>
    <x v="2"/>
    <x v="8"/>
    <n v="0"/>
    <n v="0"/>
    <n v="20.448"/>
    <n v="20.448"/>
    <n v="20.448"/>
    <n v="20.448"/>
    <n v="0"/>
    <x v="1"/>
    <n v="0"/>
    <n v="0"/>
    <n v="16"/>
    <n v="47"/>
    <n v="0"/>
    <n v="1329.67"/>
    <n v="389.21"/>
    <m/>
    <n v="1074.3612836602365"/>
    <n v="353.55100010229148"/>
    <n v="0"/>
    <n v="27189.092160000004"/>
    <n v="7958.5660799999996"/>
    <n v="0"/>
    <n v="21968.539528284517"/>
    <n v="7229.4108500916564"/>
  </r>
  <r>
    <s v="Sistema de Compensação"/>
    <x v="1"/>
    <x v="2"/>
    <x v="2"/>
    <x v="0"/>
    <x v="0"/>
    <x v="1"/>
    <x v="2"/>
    <x v="8"/>
    <n v="0"/>
    <n v="0"/>
    <n v="25.614000000000001"/>
    <n v="25.614000000000001"/>
    <n v="25.614000000000001"/>
    <n v="25.614000000000001"/>
    <n v="0"/>
    <x v="1"/>
    <n v="0"/>
    <n v="0"/>
    <n v="16"/>
    <n v="47"/>
    <n v="0"/>
    <n v="1329.67"/>
    <n v="389.21"/>
    <m/>
    <n v="1074.3612836602365"/>
    <n v="353.55100010229148"/>
    <n v="0"/>
    <n v="34058.167380000006"/>
    <n v="9969.2249400000001"/>
    <n v="0"/>
    <n v="27518.689919673299"/>
    <n v="9055.8553166200945"/>
  </r>
  <r>
    <s v="Regular"/>
    <x v="1"/>
    <x v="2"/>
    <x v="2"/>
    <x v="0"/>
    <x v="0"/>
    <x v="1"/>
    <x v="2"/>
    <x v="9"/>
    <n v="0"/>
    <n v="0"/>
    <n v="23.533000000000001"/>
    <n v="23.533000000000001"/>
    <n v="23.533000000000001"/>
    <n v="23.533000000000001"/>
    <n v="0"/>
    <x v="1"/>
    <n v="0"/>
    <n v="0"/>
    <n v="16"/>
    <n v="47"/>
    <n v="0"/>
    <n v="1329.67"/>
    <n v="389.21"/>
    <m/>
    <n v="1074.3612836602365"/>
    <n v="353.55100010229148"/>
    <n v="0"/>
    <n v="31291.124110000004"/>
    <n v="9159.2789300000004"/>
    <n v="0"/>
    <n v="25282.944088376345"/>
    <n v="8320.1156854072251"/>
  </r>
  <r>
    <s v="Sistema de Compensação"/>
    <x v="1"/>
    <x v="2"/>
    <x v="2"/>
    <x v="0"/>
    <x v="0"/>
    <x v="1"/>
    <x v="2"/>
    <x v="9"/>
    <n v="0"/>
    <n v="0"/>
    <n v="11.302"/>
    <n v="11.302"/>
    <n v="11.302"/>
    <n v="11.302"/>
    <n v="0"/>
    <x v="1"/>
    <n v="0"/>
    <n v="0"/>
    <n v="16"/>
    <n v="47"/>
    <n v="0"/>
    <n v="1329.67"/>
    <n v="389.21"/>
    <m/>
    <n v="1074.3612836602365"/>
    <n v="353.55100010229148"/>
    <n v="0"/>
    <n v="15027.930340000001"/>
    <n v="4398.85142"/>
    <n v="0"/>
    <n v="12142.431227927993"/>
    <n v="3995.833403156098"/>
  </r>
  <r>
    <s v="Regular"/>
    <x v="1"/>
    <x v="2"/>
    <x v="2"/>
    <x v="0"/>
    <x v="0"/>
    <x v="1"/>
    <x v="2"/>
    <x v="10"/>
    <n v="0"/>
    <n v="0"/>
    <n v="20.510999999999999"/>
    <n v="20.510999999999999"/>
    <n v="20.510999999999999"/>
    <n v="20.510999999999999"/>
    <n v="0"/>
    <x v="1"/>
    <n v="0"/>
    <n v="0"/>
    <n v="16"/>
    <n v="47"/>
    <n v="0"/>
    <n v="1329.67"/>
    <n v="389.21"/>
    <m/>
    <n v="1074.3612836602365"/>
    <n v="353.55100010229148"/>
    <n v="0"/>
    <n v="27272.861369999999"/>
    <n v="7983.0863099999997"/>
    <n v="0"/>
    <n v="22036.22428915511"/>
    <n v="7251.6845630981006"/>
  </r>
  <r>
    <s v="Sistema de Compensação"/>
    <x v="1"/>
    <x v="2"/>
    <x v="2"/>
    <x v="0"/>
    <x v="0"/>
    <x v="1"/>
    <x v="2"/>
    <x v="10"/>
    <n v="0"/>
    <n v="0"/>
    <n v="11.206"/>
    <n v="11.206"/>
    <n v="11.206"/>
    <n v="11.206"/>
    <n v="0"/>
    <x v="1"/>
    <n v="0"/>
    <n v="0"/>
    <n v="16"/>
    <n v="47"/>
    <n v="0"/>
    <n v="1329.67"/>
    <n v="389.21"/>
    <m/>
    <n v="1074.3612836602365"/>
    <n v="353.55100010229148"/>
    <n v="0"/>
    <n v="14900.282020000001"/>
    <n v="4361.4872599999999"/>
    <n v="0"/>
    <n v="12039.292544696609"/>
    <n v="3961.8925071462781"/>
  </r>
  <r>
    <s v="PROJETADO"/>
    <x v="1"/>
    <x v="2"/>
    <x v="2"/>
    <x v="0"/>
    <x v="0"/>
    <x v="1"/>
    <x v="2"/>
    <x v="11"/>
    <n v="0"/>
    <n v="0"/>
    <n v="20.510999999999999"/>
    <n v="20.510999999999999"/>
    <n v="20.510999999999999"/>
    <n v="20.510999999999999"/>
    <n v="0"/>
    <x v="1"/>
    <n v="0"/>
    <n v="0"/>
    <n v="16"/>
    <n v="47"/>
    <n v="0"/>
    <n v="1329.67"/>
    <n v="389.21"/>
    <m/>
    <n v="1074.3612836602365"/>
    <n v="353.55100010229148"/>
    <n v="0"/>
    <n v="27272.861369999999"/>
    <n v="7983.0863099999997"/>
    <n v="0"/>
    <n v="22036.22428915511"/>
    <n v="7251.6845630981006"/>
  </r>
  <r>
    <s v="PROJETADO"/>
    <x v="1"/>
    <x v="2"/>
    <x v="2"/>
    <x v="0"/>
    <x v="0"/>
    <x v="1"/>
    <x v="2"/>
    <x v="11"/>
    <n v="0"/>
    <n v="0"/>
    <n v="11.206"/>
    <n v="11.206"/>
    <n v="11.206"/>
    <n v="11.206"/>
    <n v="0"/>
    <x v="1"/>
    <n v="0"/>
    <n v="0"/>
    <n v="16"/>
    <n v="47"/>
    <n v="0"/>
    <n v="1329.67"/>
    <n v="389.21"/>
    <m/>
    <n v="1074.3612836602365"/>
    <n v="353.55100010229148"/>
    <n v="0"/>
    <n v="14900.282020000001"/>
    <n v="4361.4872599999999"/>
    <n v="0"/>
    <n v="12039.292544696609"/>
    <n v="3961.8925071462781"/>
  </r>
  <r>
    <s v="Regular"/>
    <x v="1"/>
    <x v="2"/>
    <x v="5"/>
    <x v="0"/>
    <x v="0"/>
    <x v="1"/>
    <x v="1"/>
    <x v="0"/>
    <n v="0"/>
    <n v="0"/>
    <n v="36.948999999999998"/>
    <n v="36.948999999999998"/>
    <n v="36.948999999999998"/>
    <n v="36.948999999999998"/>
    <n v="0"/>
    <x v="1"/>
    <n v="0"/>
    <n v="0"/>
    <n v="14"/>
    <n v="42"/>
    <n v="0"/>
    <n v="78.680000000000007"/>
    <n v="246.3"/>
    <m/>
    <n v="100.23755694003805"/>
    <n v="219.40364509824883"/>
    <n v="0"/>
    <n v="2907.14732"/>
    <n v="9100.5386999999992"/>
    <n v="0"/>
    <n v="3703.6774913774657"/>
    <n v="8106.7452827351954"/>
  </r>
  <r>
    <s v="Regular"/>
    <x v="1"/>
    <x v="2"/>
    <x v="5"/>
    <x v="0"/>
    <x v="0"/>
    <x v="1"/>
    <x v="1"/>
    <x v="1"/>
    <n v="0"/>
    <n v="0"/>
    <n v="32.012999999999998"/>
    <n v="32.012999999999998"/>
    <n v="32.012999999999998"/>
    <n v="32.012999999999998"/>
    <n v="0"/>
    <x v="1"/>
    <n v="0"/>
    <n v="0"/>
    <n v="14"/>
    <n v="42"/>
    <n v="0"/>
    <n v="78.680000000000007"/>
    <n v="246.3"/>
    <m/>
    <n v="100.23755694003805"/>
    <n v="219.40364509824883"/>
    <n v="0"/>
    <n v="2518.7828399999999"/>
    <n v="7884.8018999999995"/>
    <n v="0"/>
    <n v="3208.9049103214379"/>
    <n v="7023.7688905302393"/>
  </r>
  <r>
    <s v="Regular"/>
    <x v="1"/>
    <x v="2"/>
    <x v="5"/>
    <x v="0"/>
    <x v="0"/>
    <x v="1"/>
    <x v="1"/>
    <x v="2"/>
    <n v="0"/>
    <n v="0"/>
    <n v="28.440999999999999"/>
    <n v="28.440999999999999"/>
    <n v="28.440999999999999"/>
    <n v="28.440999999999999"/>
    <n v="0"/>
    <x v="1"/>
    <n v="0"/>
    <n v="0"/>
    <n v="14"/>
    <n v="42"/>
    <n v="0"/>
    <n v="78.680000000000007"/>
    <n v="246.3"/>
    <m/>
    <n v="100.23755694003805"/>
    <n v="219.40364509824883"/>
    <n v="0"/>
    <n v="2237.7378800000001"/>
    <n v="7005.0182999999997"/>
    <n v="0"/>
    <n v="2850.856356931622"/>
    <n v="6240.0590702392947"/>
  </r>
  <r>
    <s v="Regular"/>
    <x v="1"/>
    <x v="2"/>
    <x v="5"/>
    <x v="0"/>
    <x v="0"/>
    <x v="1"/>
    <x v="1"/>
    <x v="3"/>
    <n v="0"/>
    <n v="0"/>
    <n v="28.876999999999999"/>
    <n v="28.876999999999999"/>
    <n v="28.876999999999999"/>
    <n v="28.876999999999999"/>
    <n v="0"/>
    <x v="1"/>
    <n v="0"/>
    <n v="0"/>
    <n v="14"/>
    <n v="42"/>
    <n v="0"/>
    <n v="78.680000000000007"/>
    <n v="246.3"/>
    <m/>
    <n v="100.23755694003805"/>
    <n v="219.40364509824883"/>
    <n v="0"/>
    <n v="2272.0423599999999"/>
    <n v="7112.4050999999999"/>
    <n v="0"/>
    <n v="2894.5599317574784"/>
    <n v="6335.7190595021311"/>
  </r>
  <r>
    <s v="Regular"/>
    <x v="1"/>
    <x v="2"/>
    <x v="5"/>
    <x v="0"/>
    <x v="0"/>
    <x v="1"/>
    <x v="1"/>
    <x v="4"/>
    <n v="0"/>
    <n v="0"/>
    <n v="35.542999999999999"/>
    <n v="35.542999999999999"/>
    <n v="35.542999999999999"/>
    <n v="35.542999999999999"/>
    <n v="0"/>
    <x v="1"/>
    <n v="0"/>
    <n v="0"/>
    <n v="14"/>
    <n v="42"/>
    <n v="0"/>
    <n v="78.680000000000007"/>
    <n v="246.3"/>
    <m/>
    <n v="100.23755694003805"/>
    <n v="219.40364509824883"/>
    <n v="0"/>
    <n v="2796.52324"/>
    <n v="8754.2409000000007"/>
    <n v="0"/>
    <n v="3562.7434863197723"/>
    <n v="7798.263757727058"/>
  </r>
  <r>
    <s v="Regular"/>
    <x v="1"/>
    <x v="2"/>
    <x v="5"/>
    <x v="0"/>
    <x v="0"/>
    <x v="1"/>
    <x v="1"/>
    <x v="5"/>
    <n v="0"/>
    <n v="0"/>
    <n v="37.052"/>
    <n v="37.052"/>
    <n v="37.052"/>
    <n v="37.052"/>
    <n v="0"/>
    <x v="1"/>
    <n v="0"/>
    <n v="0"/>
    <n v="14"/>
    <n v="42"/>
    <n v="0"/>
    <n v="78.680000000000007"/>
    <n v="246.3"/>
    <m/>
    <n v="100.23755694003805"/>
    <n v="219.40364509824883"/>
    <n v="0"/>
    <n v="2915.2513600000002"/>
    <n v="9125.9076000000005"/>
    <n v="0"/>
    <n v="3714.0019597422897"/>
    <n v="8129.3438581803157"/>
  </r>
  <r>
    <s v="Regular"/>
    <x v="1"/>
    <x v="2"/>
    <x v="5"/>
    <x v="0"/>
    <x v="0"/>
    <x v="1"/>
    <x v="1"/>
    <x v="6"/>
    <n v="0"/>
    <n v="0"/>
    <n v="37.652999999999999"/>
    <n v="37.652999999999999"/>
    <n v="37.652999999999999"/>
    <n v="37.652999999999999"/>
    <n v="0"/>
    <x v="1"/>
    <n v="0"/>
    <n v="0"/>
    <n v="14"/>
    <n v="42"/>
    <n v="0"/>
    <n v="78.680000000000007"/>
    <n v="246.3"/>
    <m/>
    <n v="100.23755694003805"/>
    <n v="219.40364509824883"/>
    <n v="0"/>
    <n v="2962.5380400000004"/>
    <n v="9273.9339"/>
    <n v="0"/>
    <n v="3774.2447314632523"/>
    <n v="8261.2054488843623"/>
  </r>
  <r>
    <s v="Regular"/>
    <x v="1"/>
    <x v="2"/>
    <x v="5"/>
    <x v="0"/>
    <x v="0"/>
    <x v="1"/>
    <x v="1"/>
    <x v="7"/>
    <n v="0"/>
    <n v="0"/>
    <n v="48.042000000000002"/>
    <n v="48.042000000000002"/>
    <n v="48.042000000000002"/>
    <n v="48.042000000000002"/>
    <n v="0"/>
    <x v="1"/>
    <n v="0"/>
    <n v="0"/>
    <n v="14"/>
    <n v="42"/>
    <n v="0"/>
    <n v="78.680000000000007"/>
    <n v="246.3"/>
    <m/>
    <n v="100.23755694003805"/>
    <n v="219.40364509824883"/>
    <n v="0"/>
    <n v="3779.9445600000004"/>
    <n v="11832.744600000002"/>
    <n v="0"/>
    <n v="4815.6127105133082"/>
    <n v="10540.58991781007"/>
  </r>
  <r>
    <s v="Regular"/>
    <x v="1"/>
    <x v="2"/>
    <x v="5"/>
    <x v="0"/>
    <x v="0"/>
    <x v="1"/>
    <x v="1"/>
    <x v="8"/>
    <n v="0"/>
    <n v="0"/>
    <n v="54.744"/>
    <n v="54.744"/>
    <n v="54.744"/>
    <n v="54.744"/>
    <n v="0"/>
    <x v="1"/>
    <n v="0"/>
    <n v="0"/>
    <n v="14"/>
    <n v="42"/>
    <n v="0"/>
    <n v="78.680000000000007"/>
    <n v="246.3"/>
    <m/>
    <n v="100.23755694003805"/>
    <n v="219.40364509824883"/>
    <n v="0"/>
    <n v="4307.25792"/>
    <n v="13483.447200000001"/>
    <n v="0"/>
    <n v="5487.4048171254426"/>
    <n v="12011.033147258533"/>
  </r>
  <r>
    <s v="Regular"/>
    <x v="1"/>
    <x v="2"/>
    <x v="5"/>
    <x v="0"/>
    <x v="0"/>
    <x v="1"/>
    <x v="1"/>
    <x v="9"/>
    <n v="0"/>
    <n v="0"/>
    <n v="42.78"/>
    <n v="42.78"/>
    <n v="42.78"/>
    <n v="42.78"/>
    <n v="0"/>
    <x v="1"/>
    <n v="0"/>
    <n v="0"/>
    <n v="14"/>
    <n v="42"/>
    <n v="0"/>
    <n v="78.680000000000007"/>
    <n v="246.3"/>
    <m/>
    <n v="100.23755694003805"/>
    <n v="219.40364509824883"/>
    <n v="0"/>
    <n v="3365.9304000000002"/>
    <n v="10536.714"/>
    <n v="0"/>
    <n v="4288.1626858948275"/>
    <n v="9386.0879373030857"/>
  </r>
  <r>
    <s v="Regular"/>
    <x v="1"/>
    <x v="2"/>
    <x v="5"/>
    <x v="0"/>
    <x v="0"/>
    <x v="1"/>
    <x v="1"/>
    <x v="10"/>
    <n v="0"/>
    <n v="0"/>
    <n v="50.999000000000002"/>
    <n v="50.999000000000002"/>
    <n v="50.999000000000002"/>
    <n v="50.999000000000002"/>
    <n v="0"/>
    <x v="1"/>
    <n v="0"/>
    <n v="0"/>
    <n v="14"/>
    <n v="42"/>
    <n v="0"/>
    <n v="78.680000000000007"/>
    <n v="246.3"/>
    <m/>
    <n v="100.23755694003805"/>
    <n v="219.40364509824883"/>
    <n v="0"/>
    <n v="4012.6013200000007"/>
    <n v="12561.0537"/>
    <n v="0"/>
    <n v="5112.0151663850002"/>
    <n v="11189.366496365592"/>
  </r>
  <r>
    <s v="PROJETADO"/>
    <x v="1"/>
    <x v="2"/>
    <x v="5"/>
    <x v="0"/>
    <x v="0"/>
    <x v="1"/>
    <x v="1"/>
    <x v="11"/>
    <n v="0"/>
    <n v="0"/>
    <n v="50.999000000000002"/>
    <n v="50.999000000000002"/>
    <n v="50.999000000000002"/>
    <n v="50.999000000000002"/>
    <n v="0"/>
    <x v="1"/>
    <n v="0"/>
    <n v="0"/>
    <n v="14"/>
    <n v="42"/>
    <n v="0"/>
    <n v="78.680000000000007"/>
    <n v="246.3"/>
    <m/>
    <n v="100.23755694003805"/>
    <n v="219.40364509824883"/>
    <n v="0"/>
    <n v="4012.6013200000007"/>
    <n v="12561.0537"/>
    <n v="0"/>
    <n v="5112.0151663850002"/>
    <n v="11189.366496365592"/>
  </r>
  <r>
    <s v="Regular"/>
    <x v="1"/>
    <x v="2"/>
    <x v="5"/>
    <x v="0"/>
    <x v="0"/>
    <x v="1"/>
    <x v="0"/>
    <x v="0"/>
    <n v="388"/>
    <n v="388"/>
    <n v="0"/>
    <n v="0"/>
    <n v="0"/>
    <n v="0"/>
    <n v="8"/>
    <x v="1"/>
    <n v="0"/>
    <n v="18"/>
    <n v="0"/>
    <n v="0"/>
    <n v="19.239999999999998"/>
    <n v="0"/>
    <n v="0"/>
    <n v="15.19295792072058"/>
    <m/>
    <m/>
    <n v="7465.119999999999"/>
    <n v="0"/>
    <n v="0"/>
    <n v="5894.8676732395852"/>
    <n v="0"/>
    <n v="0"/>
  </r>
  <r>
    <s v="Regular"/>
    <x v="1"/>
    <x v="2"/>
    <x v="5"/>
    <x v="0"/>
    <x v="0"/>
    <x v="1"/>
    <x v="0"/>
    <x v="1"/>
    <n v="382"/>
    <n v="382"/>
    <n v="0"/>
    <n v="0"/>
    <n v="0"/>
    <n v="0"/>
    <n v="8"/>
    <x v="1"/>
    <n v="0"/>
    <n v="18"/>
    <n v="0"/>
    <n v="0"/>
    <n v="19.239999999999998"/>
    <n v="0"/>
    <n v="0"/>
    <n v="15.19295792072058"/>
    <m/>
    <m/>
    <n v="7349.6799999999994"/>
    <n v="0"/>
    <n v="0"/>
    <n v="5803.7099257152613"/>
    <n v="0"/>
    <n v="0"/>
  </r>
  <r>
    <s v="Regular"/>
    <x v="1"/>
    <x v="2"/>
    <x v="5"/>
    <x v="0"/>
    <x v="0"/>
    <x v="1"/>
    <x v="0"/>
    <x v="2"/>
    <n v="378"/>
    <n v="378"/>
    <n v="0"/>
    <n v="0"/>
    <n v="0"/>
    <n v="0"/>
    <n v="8"/>
    <x v="1"/>
    <n v="0"/>
    <n v="18"/>
    <n v="0"/>
    <n v="0"/>
    <n v="19.239999999999998"/>
    <n v="0"/>
    <n v="0"/>
    <n v="15.19295792072058"/>
    <m/>
    <m/>
    <n v="7272.7199999999993"/>
    <n v="0"/>
    <n v="0"/>
    <n v="5742.938094032379"/>
    <n v="0"/>
    <n v="0"/>
  </r>
  <r>
    <s v="Regular"/>
    <x v="1"/>
    <x v="2"/>
    <x v="5"/>
    <x v="0"/>
    <x v="0"/>
    <x v="1"/>
    <x v="0"/>
    <x v="3"/>
    <n v="381"/>
    <n v="381"/>
    <n v="0"/>
    <n v="0"/>
    <n v="0"/>
    <n v="0"/>
    <n v="8"/>
    <x v="1"/>
    <n v="0"/>
    <n v="18"/>
    <n v="0"/>
    <n v="0"/>
    <n v="19.239999999999998"/>
    <n v="0"/>
    <n v="0"/>
    <n v="15.19295792072058"/>
    <m/>
    <m/>
    <n v="7330.44"/>
    <n v="0"/>
    <n v="0"/>
    <n v="5788.5169677945414"/>
    <n v="0"/>
    <n v="0"/>
  </r>
  <r>
    <s v="Regular"/>
    <x v="1"/>
    <x v="2"/>
    <x v="5"/>
    <x v="0"/>
    <x v="0"/>
    <x v="1"/>
    <x v="0"/>
    <x v="4"/>
    <n v="381"/>
    <n v="381"/>
    <n v="0"/>
    <n v="0"/>
    <n v="0"/>
    <n v="0"/>
    <n v="8"/>
    <x v="1"/>
    <n v="0"/>
    <n v="18"/>
    <n v="0"/>
    <n v="0"/>
    <n v="19.239999999999998"/>
    <n v="0"/>
    <n v="0"/>
    <n v="15.19295792072058"/>
    <m/>
    <m/>
    <n v="7330.44"/>
    <n v="0"/>
    <n v="0"/>
    <n v="5788.5169677945414"/>
    <n v="0"/>
    <n v="0"/>
  </r>
  <r>
    <s v="Regular"/>
    <x v="1"/>
    <x v="2"/>
    <x v="5"/>
    <x v="0"/>
    <x v="0"/>
    <x v="1"/>
    <x v="0"/>
    <x v="5"/>
    <n v="396"/>
    <n v="396"/>
    <n v="0"/>
    <n v="0"/>
    <n v="0"/>
    <n v="0"/>
    <n v="8"/>
    <x v="1"/>
    <n v="0"/>
    <n v="18"/>
    <n v="0"/>
    <n v="0"/>
    <n v="19.239999999999998"/>
    <n v="0"/>
    <n v="0"/>
    <n v="15.19295792072058"/>
    <m/>
    <m/>
    <n v="7619.0399999999991"/>
    <n v="0"/>
    <n v="0"/>
    <n v="6016.4113366053498"/>
    <n v="0"/>
    <n v="0"/>
  </r>
  <r>
    <s v="Regular"/>
    <x v="1"/>
    <x v="2"/>
    <x v="5"/>
    <x v="0"/>
    <x v="0"/>
    <x v="1"/>
    <x v="0"/>
    <x v="6"/>
    <n v="401"/>
    <n v="401"/>
    <n v="0"/>
    <n v="0"/>
    <n v="0"/>
    <n v="0"/>
    <n v="8"/>
    <x v="1"/>
    <n v="0"/>
    <n v="18"/>
    <n v="0"/>
    <n v="0"/>
    <n v="19.239999999999998"/>
    <n v="0"/>
    <n v="0"/>
    <n v="15.19295792072058"/>
    <m/>
    <m/>
    <n v="7715.24"/>
    <n v="0"/>
    <n v="0"/>
    <n v="6092.3761262089529"/>
    <n v="0"/>
    <n v="0"/>
  </r>
  <r>
    <s v="Regular"/>
    <x v="1"/>
    <x v="2"/>
    <x v="5"/>
    <x v="0"/>
    <x v="0"/>
    <x v="1"/>
    <x v="0"/>
    <x v="7"/>
    <n v="474"/>
    <n v="474"/>
    <n v="0"/>
    <n v="0"/>
    <n v="0"/>
    <n v="0"/>
    <n v="9"/>
    <x v="1"/>
    <n v="0"/>
    <n v="18"/>
    <n v="0"/>
    <n v="0"/>
    <n v="19.239999999999998"/>
    <n v="0"/>
    <n v="0"/>
    <n v="15.19295792072058"/>
    <m/>
    <m/>
    <n v="9119.7599999999984"/>
    <n v="0"/>
    <n v="0"/>
    <n v="7201.462054421555"/>
    <n v="0"/>
    <n v="0"/>
  </r>
  <r>
    <s v="Regular"/>
    <x v="1"/>
    <x v="2"/>
    <x v="5"/>
    <x v="0"/>
    <x v="0"/>
    <x v="1"/>
    <x v="0"/>
    <x v="8"/>
    <n v="501"/>
    <n v="501"/>
    <n v="0"/>
    <n v="0"/>
    <n v="0"/>
    <n v="0"/>
    <n v="9"/>
    <x v="1"/>
    <n v="0"/>
    <n v="18"/>
    <n v="0"/>
    <n v="0"/>
    <n v="19.239999999999998"/>
    <n v="0"/>
    <n v="0"/>
    <n v="15.19295792072058"/>
    <m/>
    <m/>
    <n v="9639.24"/>
    <n v="0"/>
    <n v="0"/>
    <n v="7611.6719182810111"/>
    <n v="0"/>
    <n v="0"/>
  </r>
  <r>
    <s v="Regular"/>
    <x v="1"/>
    <x v="2"/>
    <x v="5"/>
    <x v="0"/>
    <x v="0"/>
    <x v="1"/>
    <x v="0"/>
    <x v="9"/>
    <n v="495"/>
    <n v="495"/>
    <n v="0"/>
    <n v="0"/>
    <n v="0"/>
    <n v="0"/>
    <n v="9"/>
    <x v="1"/>
    <n v="0"/>
    <n v="18"/>
    <n v="0"/>
    <n v="0"/>
    <n v="19.239999999999998"/>
    <n v="0"/>
    <n v="0"/>
    <n v="15.19295792072058"/>
    <m/>
    <m/>
    <n v="9523.7999999999993"/>
    <n v="0"/>
    <n v="0"/>
    <n v="7520.5141707566872"/>
    <n v="0"/>
    <n v="0"/>
  </r>
  <r>
    <s v="Regular"/>
    <x v="1"/>
    <x v="2"/>
    <x v="5"/>
    <x v="0"/>
    <x v="0"/>
    <x v="1"/>
    <x v="0"/>
    <x v="10"/>
    <n v="494"/>
    <n v="494"/>
    <n v="0"/>
    <n v="0"/>
    <n v="0"/>
    <n v="0"/>
    <n v="9"/>
    <x v="1"/>
    <n v="0"/>
    <n v="18"/>
    <n v="0"/>
    <n v="0"/>
    <n v="19.239999999999998"/>
    <n v="0"/>
    <n v="0"/>
    <n v="15.19295792072058"/>
    <m/>
    <m/>
    <n v="9504.56"/>
    <n v="0"/>
    <n v="0"/>
    <n v="7505.3212128359664"/>
    <n v="0"/>
    <n v="0"/>
  </r>
  <r>
    <s v="PROJETADO"/>
    <x v="1"/>
    <x v="2"/>
    <x v="5"/>
    <x v="0"/>
    <x v="0"/>
    <x v="1"/>
    <x v="0"/>
    <x v="11"/>
    <n v="494"/>
    <n v="494"/>
    <n v="0"/>
    <n v="0"/>
    <n v="0"/>
    <n v="0"/>
    <n v="9"/>
    <x v="1"/>
    <n v="0"/>
    <n v="18"/>
    <n v="0"/>
    <n v="0"/>
    <n v="19.239999999999998"/>
    <n v="0"/>
    <n v="0"/>
    <n v="15.19295792072058"/>
    <m/>
    <m/>
    <n v="9504.56"/>
    <n v="0"/>
    <n v="0"/>
    <n v="7505.3212128359664"/>
    <n v="0"/>
    <n v="0"/>
  </r>
  <r>
    <s v="Regular"/>
    <x v="1"/>
    <x v="2"/>
    <x v="5"/>
    <x v="0"/>
    <x v="0"/>
    <x v="1"/>
    <x v="2"/>
    <x v="0"/>
    <n v="0"/>
    <n v="0"/>
    <n v="3.0659999999999998"/>
    <n v="3.0659999999999998"/>
    <n v="3.0659999999999998"/>
    <n v="3.0659999999999998"/>
    <n v="0"/>
    <x v="1"/>
    <n v="0"/>
    <n v="0"/>
    <n v="16"/>
    <n v="47"/>
    <n v="0"/>
    <n v="1329.67"/>
    <n v="389.21"/>
    <m/>
    <n v="1074.3612836602365"/>
    <n v="353.55100010229148"/>
    <n v="0"/>
    <n v="4076.7682199999999"/>
    <n v="1193.3178599999999"/>
    <n v="0"/>
    <n v="3293.9916957022851"/>
    <n v="1083.9873663136257"/>
  </r>
  <r>
    <s v="Regular"/>
    <x v="1"/>
    <x v="2"/>
    <x v="5"/>
    <x v="0"/>
    <x v="0"/>
    <x v="1"/>
    <x v="2"/>
    <x v="1"/>
    <n v="0"/>
    <n v="0"/>
    <n v="2.851"/>
    <n v="2.851"/>
    <n v="2.851"/>
    <n v="2.851"/>
    <n v="0"/>
    <x v="1"/>
    <n v="0"/>
    <n v="0"/>
    <n v="16"/>
    <n v="47"/>
    <n v="0"/>
    <n v="1329.67"/>
    <n v="389.21"/>
    <m/>
    <n v="1074.3612836602365"/>
    <n v="353.55100010229148"/>
    <n v="0"/>
    <n v="3790.8891700000004"/>
    <n v="1109.63771"/>
    <n v="0"/>
    <n v="3063.0040197153344"/>
    <n v="1007.973901291633"/>
  </r>
  <r>
    <s v="Regular"/>
    <x v="1"/>
    <x v="2"/>
    <x v="5"/>
    <x v="0"/>
    <x v="0"/>
    <x v="1"/>
    <x v="2"/>
    <x v="2"/>
    <n v="0"/>
    <n v="0"/>
    <n v="2.589"/>
    <n v="2.589"/>
    <n v="2.589"/>
    <n v="2.589"/>
    <n v="0"/>
    <x v="1"/>
    <n v="0"/>
    <n v="0"/>
    <n v="16"/>
    <n v="47"/>
    <n v="0"/>
    <n v="1329.67"/>
    <n v="389.21"/>
    <m/>
    <n v="1074.3612836602365"/>
    <n v="353.55100010229148"/>
    <n v="0"/>
    <n v="3442.5156300000003"/>
    <n v="1007.66469"/>
    <n v="0"/>
    <n v="2781.5213633963522"/>
    <n v="915.34353926483266"/>
  </r>
  <r>
    <s v="Regular"/>
    <x v="1"/>
    <x v="2"/>
    <x v="5"/>
    <x v="0"/>
    <x v="0"/>
    <x v="1"/>
    <x v="2"/>
    <x v="3"/>
    <n v="0"/>
    <n v="0"/>
    <n v="2.4740000000000002"/>
    <n v="2.4740000000000002"/>
    <n v="2.4740000000000002"/>
    <n v="2.4740000000000002"/>
    <n v="0"/>
    <x v="1"/>
    <n v="0"/>
    <n v="0"/>
    <n v="16"/>
    <n v="47"/>
    <n v="0"/>
    <n v="1329.67"/>
    <n v="389.21"/>
    <m/>
    <n v="1074.3612836602365"/>
    <n v="353.55100010229148"/>
    <n v="0"/>
    <n v="3289.6035800000004"/>
    <n v="962.90553999999997"/>
    <n v="0"/>
    <n v="2657.9698157754251"/>
    <n v="874.68517425306925"/>
  </r>
  <r>
    <s v="Regular"/>
    <x v="1"/>
    <x v="2"/>
    <x v="5"/>
    <x v="0"/>
    <x v="0"/>
    <x v="1"/>
    <x v="2"/>
    <x v="4"/>
    <n v="0"/>
    <n v="0"/>
    <n v="2.9470000000000001"/>
    <n v="2.9470000000000001"/>
    <n v="2.9470000000000001"/>
    <n v="2.9470000000000001"/>
    <n v="0"/>
    <x v="1"/>
    <n v="0"/>
    <n v="0"/>
    <n v="16"/>
    <n v="47"/>
    <n v="0"/>
    <n v="1329.67"/>
    <n v="389.21"/>
    <m/>
    <n v="1074.3612836602365"/>
    <n v="353.55100010229148"/>
    <n v="0"/>
    <n v="3918.5374900000002"/>
    <n v="1147.0018700000001"/>
    <n v="0"/>
    <n v="3166.1427029467172"/>
    <n v="1041.9147973014531"/>
  </r>
  <r>
    <s v="Regular"/>
    <x v="1"/>
    <x v="2"/>
    <x v="5"/>
    <x v="0"/>
    <x v="0"/>
    <x v="1"/>
    <x v="2"/>
    <x v="5"/>
    <n v="0"/>
    <n v="0"/>
    <n v="3.286"/>
    <n v="3.286"/>
    <n v="3.286"/>
    <n v="3.286"/>
    <n v="0"/>
    <x v="1"/>
    <n v="0"/>
    <n v="0"/>
    <n v="16"/>
    <n v="47"/>
    <n v="0"/>
    <n v="1329.67"/>
    <n v="389.21"/>
    <m/>
    <n v="1074.3612836602365"/>
    <n v="353.55100010229148"/>
    <n v="0"/>
    <n v="4369.2956199999999"/>
    <n v="1278.94406"/>
    <n v="0"/>
    <n v="3530.3511781075372"/>
    <n v="1161.7685863361298"/>
  </r>
  <r>
    <s v="Regular"/>
    <x v="1"/>
    <x v="2"/>
    <x v="5"/>
    <x v="0"/>
    <x v="0"/>
    <x v="1"/>
    <x v="2"/>
    <x v="6"/>
    <n v="0"/>
    <n v="0"/>
    <n v="3.45"/>
    <n v="3.45"/>
    <n v="3.45"/>
    <n v="3.45"/>
    <n v="0"/>
    <x v="1"/>
    <n v="0"/>
    <n v="0"/>
    <n v="16"/>
    <n v="47"/>
    <n v="0"/>
    <n v="1329.67"/>
    <n v="389.21"/>
    <m/>
    <n v="1074.3612836602365"/>
    <n v="353.55100010229148"/>
    <n v="0"/>
    <n v="4587.3615000000009"/>
    <n v="1342.7745"/>
    <n v="0"/>
    <n v="3706.5464286278161"/>
    <n v="1219.7509503529056"/>
  </r>
  <r>
    <s v="Regular"/>
    <x v="1"/>
    <x v="2"/>
    <x v="5"/>
    <x v="0"/>
    <x v="0"/>
    <x v="1"/>
    <x v="2"/>
    <x v="7"/>
    <n v="0"/>
    <n v="0"/>
    <n v="4.9450000000000003"/>
    <n v="4.9450000000000003"/>
    <n v="4.9450000000000003"/>
    <n v="4.9450000000000003"/>
    <n v="0"/>
    <x v="1"/>
    <n v="0"/>
    <n v="0"/>
    <n v="16"/>
    <n v="47"/>
    <n v="0"/>
    <n v="1329.67"/>
    <n v="389.21"/>
    <m/>
    <n v="1074.3612836602365"/>
    <n v="353.55100010229148"/>
    <n v="0"/>
    <n v="6575.2181500000006"/>
    <n v="1924.64345"/>
    <n v="0"/>
    <n v="5312.7165476998698"/>
    <n v="1748.3096955058315"/>
  </r>
  <r>
    <s v="Regular"/>
    <x v="1"/>
    <x v="2"/>
    <x v="5"/>
    <x v="0"/>
    <x v="0"/>
    <x v="1"/>
    <x v="2"/>
    <x v="8"/>
    <n v="0"/>
    <n v="0"/>
    <n v="6.1059999999999999"/>
    <n v="6.1059999999999999"/>
    <n v="6.1059999999999999"/>
    <n v="6.1059999999999999"/>
    <n v="0"/>
    <x v="1"/>
    <n v="0"/>
    <n v="0"/>
    <n v="16"/>
    <n v="47"/>
    <n v="0"/>
    <n v="1329.67"/>
    <n v="389.21"/>
    <m/>
    <n v="1074.3612836602365"/>
    <n v="353.55100010229148"/>
    <n v="0"/>
    <n v="8118.9650200000005"/>
    <n v="2376.5162599999999"/>
    <n v="0"/>
    <n v="6560.0499980294035"/>
    <n v="2158.7824066245917"/>
  </r>
  <r>
    <s v="Regular"/>
    <x v="1"/>
    <x v="2"/>
    <x v="5"/>
    <x v="0"/>
    <x v="0"/>
    <x v="1"/>
    <x v="2"/>
    <x v="9"/>
    <n v="0"/>
    <n v="0"/>
    <n v="4.4820000000000002"/>
    <n v="4.4820000000000002"/>
    <n v="4.4820000000000002"/>
    <n v="4.4820000000000002"/>
    <n v="0"/>
    <x v="1"/>
    <n v="0"/>
    <n v="0"/>
    <n v="16"/>
    <n v="47"/>
    <n v="0"/>
    <n v="1329.67"/>
    <n v="389.21"/>
    <m/>
    <n v="1074.3612836602365"/>
    <n v="353.55100010229148"/>
    <n v="0"/>
    <n v="5959.5809400000007"/>
    <n v="1744.43922"/>
    <n v="0"/>
    <n v="4815.2872733651802"/>
    <n v="1584.6155824584705"/>
  </r>
  <r>
    <s v="Regular"/>
    <x v="1"/>
    <x v="2"/>
    <x v="5"/>
    <x v="0"/>
    <x v="0"/>
    <x v="1"/>
    <x v="2"/>
    <x v="10"/>
    <n v="0"/>
    <n v="0"/>
    <n v="5.7409999999999997"/>
    <n v="5.7409999999999997"/>
    <n v="5.7409999999999997"/>
    <n v="5.7409999999999997"/>
    <n v="0"/>
    <x v="1"/>
    <n v="0"/>
    <n v="0"/>
    <n v="16"/>
    <n v="47"/>
    <n v="0"/>
    <n v="1329.67"/>
    <n v="389.21"/>
    <m/>
    <n v="1074.3612836602365"/>
    <n v="353.55100010229148"/>
    <n v="0"/>
    <n v="7633.6354700000002"/>
    <n v="2234.4546099999998"/>
    <n v="0"/>
    <n v="6167.9081294934176"/>
    <n v="2029.7362915872552"/>
  </r>
  <r>
    <s v="PROJETADO"/>
    <x v="1"/>
    <x v="2"/>
    <x v="5"/>
    <x v="0"/>
    <x v="0"/>
    <x v="1"/>
    <x v="2"/>
    <x v="11"/>
    <n v="0"/>
    <n v="0"/>
    <n v="5.7409999999999997"/>
    <n v="5.7409999999999997"/>
    <n v="5.7409999999999997"/>
    <n v="5.7409999999999997"/>
    <n v="0"/>
    <x v="1"/>
    <n v="0"/>
    <n v="0"/>
    <n v="16"/>
    <n v="47"/>
    <n v="0"/>
    <n v="1329.67"/>
    <n v="389.21"/>
    <m/>
    <n v="1074.3612836602365"/>
    <n v="353.55100010229148"/>
    <n v="0"/>
    <n v="7633.6354700000002"/>
    <n v="2234.4546099999998"/>
    <n v="0"/>
    <n v="6167.9081294934176"/>
    <n v="2029.7362915872552"/>
  </r>
  <r>
    <s v="Regular"/>
    <x v="1"/>
    <x v="2"/>
    <x v="6"/>
    <x v="2"/>
    <x v="2"/>
    <x v="1"/>
    <x v="1"/>
    <x v="0"/>
    <n v="0"/>
    <n v="0"/>
    <n v="9.0150000000000006"/>
    <n v="2.7044999999999999"/>
    <n v="9.0150000000000006"/>
    <n v="2.7044999999999999"/>
    <n v="0"/>
    <x v="1"/>
    <n v="0"/>
    <n v="0"/>
    <n v="14"/>
    <n v="42"/>
    <n v="0"/>
    <n v="78.680000000000007"/>
    <n v="246.3"/>
    <m/>
    <n v="100.23755694003805"/>
    <n v="219.40364509824883"/>
    <n v="0"/>
    <n v="212.79006000000001"/>
    <n v="666.11834999999996"/>
    <n v="0"/>
    <n v="271.09247274433289"/>
    <n v="593.3771581682139"/>
  </r>
  <r>
    <s v="Regular"/>
    <x v="1"/>
    <x v="2"/>
    <x v="6"/>
    <x v="2"/>
    <x v="2"/>
    <x v="1"/>
    <x v="1"/>
    <x v="1"/>
    <n v="0"/>
    <n v="0"/>
    <n v="9.0830000000000002"/>
    <n v="2.7248999999999999"/>
    <n v="9.0830000000000002"/>
    <n v="2.7248999999999999"/>
    <n v="0"/>
    <x v="1"/>
    <n v="0"/>
    <n v="0"/>
    <n v="14"/>
    <n v="42"/>
    <n v="0"/>
    <n v="78.680000000000007"/>
    <n v="246.3"/>
    <m/>
    <n v="100.23755694003805"/>
    <n v="219.40364509824883"/>
    <n v="0"/>
    <n v="214.39513200000002"/>
    <n v="671.14287000000002"/>
    <n v="0"/>
    <n v="273.13731890590964"/>
    <n v="597.85299252821824"/>
  </r>
  <r>
    <s v="Regular"/>
    <x v="1"/>
    <x v="2"/>
    <x v="6"/>
    <x v="2"/>
    <x v="2"/>
    <x v="1"/>
    <x v="1"/>
    <x v="2"/>
    <n v="0"/>
    <n v="0"/>
    <n v="8.0559999999999992"/>
    <n v="2.4167999999999998"/>
    <n v="8.0559999999999992"/>
    <n v="2.4167999999999998"/>
    <n v="0"/>
    <x v="1"/>
    <n v="0"/>
    <n v="0"/>
    <n v="14"/>
    <n v="42"/>
    <n v="0"/>
    <n v="78.680000000000007"/>
    <n v="246.3"/>
    <m/>
    <n v="100.23755694003805"/>
    <n v="219.40364509824883"/>
    <n v="0"/>
    <n v="190.15382400000001"/>
    <n v="595.25783999999999"/>
    <n v="0"/>
    <n v="242.25412761268393"/>
    <n v="530.2547294734477"/>
  </r>
  <r>
    <s v="Regular"/>
    <x v="1"/>
    <x v="2"/>
    <x v="6"/>
    <x v="2"/>
    <x v="2"/>
    <x v="1"/>
    <x v="1"/>
    <x v="3"/>
    <n v="0"/>
    <n v="0"/>
    <n v="18.600999999999999"/>
    <n v="5.5803000000000003"/>
    <n v="18.600999999999999"/>
    <n v="5.5803000000000003"/>
    <n v="0"/>
    <x v="1"/>
    <n v="0"/>
    <n v="0"/>
    <n v="14"/>
    <n v="42"/>
    <n v="0"/>
    <n v="78.680000000000007"/>
    <n v="246.3"/>
    <m/>
    <n v="100.23755694003805"/>
    <n v="219.40364509824883"/>
    <n v="0"/>
    <n v="439.05800400000004"/>
    <n v="1374.4278900000002"/>
    <n v="0"/>
    <n v="559.35563899249439"/>
    <n v="1224.338160741758"/>
  </r>
  <r>
    <s v="Regular"/>
    <x v="1"/>
    <x v="2"/>
    <x v="6"/>
    <x v="2"/>
    <x v="2"/>
    <x v="1"/>
    <x v="1"/>
    <x v="4"/>
    <n v="0"/>
    <n v="0"/>
    <n v="197.976"/>
    <n v="59.392800000000001"/>
    <n v="197.976"/>
    <n v="59.392800000000001"/>
    <n v="0"/>
    <x v="1"/>
    <n v="0"/>
    <n v="0"/>
    <n v="14"/>
    <n v="42"/>
    <n v="0"/>
    <n v="78.680000000000007"/>
    <n v="246.3"/>
    <m/>
    <n v="100.23755694003805"/>
    <n v="219.40364509824883"/>
    <n v="0"/>
    <n v="4673.0255040000002"/>
    <n v="14628.44664"/>
    <n v="0"/>
    <n v="5953.3891718282921"/>
    <n v="13030.996812591273"/>
  </r>
  <r>
    <s v="Regular"/>
    <x v="1"/>
    <x v="2"/>
    <x v="6"/>
    <x v="2"/>
    <x v="2"/>
    <x v="1"/>
    <x v="1"/>
    <x v="5"/>
    <n v="0"/>
    <n v="0"/>
    <n v="482.69099999999997"/>
    <n v="144.8073"/>
    <n v="482.69099999999997"/>
    <n v="144.8073"/>
    <n v="0"/>
    <x v="1"/>
    <n v="0"/>
    <n v="0"/>
    <n v="14"/>
    <n v="42"/>
    <n v="0"/>
    <n v="78.680000000000007"/>
    <n v="246.3"/>
    <m/>
    <n v="100.23755694003805"/>
    <n v="219.40364509824883"/>
    <n v="0"/>
    <n v="11393.438364000001"/>
    <n v="35666.037990000004"/>
    <n v="0"/>
    <n v="14515.129979083171"/>
    <n v="31771.249456835649"/>
  </r>
  <r>
    <s v="Regular"/>
    <x v="1"/>
    <x v="2"/>
    <x v="6"/>
    <x v="2"/>
    <x v="2"/>
    <x v="1"/>
    <x v="1"/>
    <x v="6"/>
    <n v="0"/>
    <n v="0"/>
    <n v="304.947"/>
    <n v="91.484099999999998"/>
    <n v="304.947"/>
    <n v="91.484099999999998"/>
    <n v="0"/>
    <x v="1"/>
    <n v="0"/>
    <n v="0"/>
    <n v="14"/>
    <n v="42"/>
    <n v="0"/>
    <n v="78.680000000000007"/>
    <n v="246.3"/>
    <m/>
    <n v="100.23755694003805"/>
    <n v="219.40364509824883"/>
    <n v="0"/>
    <n v="7197.9689880000005"/>
    <n v="22532.53383"/>
    <n v="0"/>
    <n v="9170.1426828581352"/>
    <n v="20071.945008532704"/>
  </r>
  <r>
    <s v="Regular"/>
    <x v="1"/>
    <x v="2"/>
    <x v="6"/>
    <x v="2"/>
    <x v="2"/>
    <x v="1"/>
    <x v="1"/>
    <x v="7"/>
    <n v="0"/>
    <n v="0"/>
    <n v="176.97200000000001"/>
    <n v="53.0916"/>
    <n v="176.97200000000001"/>
    <n v="53.0916"/>
    <n v="0"/>
    <x v="1"/>
    <n v="0"/>
    <n v="0"/>
    <n v="14"/>
    <n v="42"/>
    <n v="0"/>
    <n v="78.680000000000007"/>
    <n v="246.3"/>
    <m/>
    <n v="100.23755694003805"/>
    <n v="219.40364509824883"/>
    <n v="0"/>
    <n v="4177.2470880000001"/>
    <n v="13076.461080000001"/>
    <n v="0"/>
    <n v="5321.7722780377244"/>
    <n v="11648.490564098187"/>
  </r>
  <r>
    <s v="Regular"/>
    <x v="1"/>
    <x v="2"/>
    <x v="6"/>
    <x v="2"/>
    <x v="2"/>
    <x v="1"/>
    <x v="1"/>
    <x v="8"/>
    <n v="0"/>
    <n v="0"/>
    <n v="15.061999999999999"/>
    <n v="4.5186000000000002"/>
    <n v="15.061999999999999"/>
    <n v="4.5186000000000002"/>
    <n v="0"/>
    <x v="1"/>
    <n v="0"/>
    <n v="0"/>
    <n v="14"/>
    <n v="42"/>
    <n v="0"/>
    <n v="78.680000000000007"/>
    <n v="246.3"/>
    <m/>
    <n v="100.23755694003805"/>
    <n v="219.40364509824883"/>
    <n v="0"/>
    <n v="355.52344800000003"/>
    <n v="1112.93118"/>
    <n v="0"/>
    <n v="452.93342478925592"/>
    <n v="991.3973107409472"/>
  </r>
  <r>
    <s v="Regular"/>
    <x v="1"/>
    <x v="2"/>
    <x v="6"/>
    <x v="2"/>
    <x v="2"/>
    <x v="1"/>
    <x v="1"/>
    <x v="9"/>
    <n v="0"/>
    <n v="0"/>
    <n v="6.9829999999999997"/>
    <n v="2.0949"/>
    <n v="6.9829999999999997"/>
    <n v="2.0949"/>
    <n v="0"/>
    <x v="1"/>
    <n v="0"/>
    <n v="0"/>
    <n v="14"/>
    <n v="42"/>
    <n v="0"/>
    <n v="78.680000000000007"/>
    <n v="246.3"/>
    <m/>
    <n v="100.23755694003805"/>
    <n v="219.40364509824883"/>
    <n v="0"/>
    <n v="164.82673200000002"/>
    <n v="515.97387000000003"/>
    <n v="0"/>
    <n v="209.9876580336857"/>
    <n v="459.62869611632146"/>
  </r>
  <r>
    <s v="Regular"/>
    <x v="1"/>
    <x v="2"/>
    <x v="6"/>
    <x v="2"/>
    <x v="2"/>
    <x v="1"/>
    <x v="1"/>
    <x v="10"/>
    <n v="0"/>
    <n v="0"/>
    <n v="12.044"/>
    <n v="3.6132"/>
    <n v="12.044"/>
    <n v="3.6132"/>
    <n v="0"/>
    <x v="1"/>
    <n v="0"/>
    <n v="0"/>
    <n v="14"/>
    <n v="42"/>
    <n v="0"/>
    <n v="78.680000000000007"/>
    <n v="246.3"/>
    <m/>
    <n v="100.23755694003805"/>
    <n v="219.40364509824883"/>
    <n v="0"/>
    <n v="284.28657600000003"/>
    <n v="889.93115999999998"/>
    <n v="0"/>
    <n v="362.17834073574545"/>
    <n v="792.74925046899261"/>
  </r>
  <r>
    <s v="PROJETADO"/>
    <x v="1"/>
    <x v="2"/>
    <x v="6"/>
    <x v="2"/>
    <x v="2"/>
    <x v="1"/>
    <x v="1"/>
    <x v="11"/>
    <n v="0"/>
    <n v="0"/>
    <n v="12.044"/>
    <n v="3.6132"/>
    <n v="12.044"/>
    <n v="3.6132"/>
    <n v="0"/>
    <x v="1"/>
    <n v="0"/>
    <n v="0"/>
    <n v="14"/>
    <n v="42"/>
    <n v="0"/>
    <n v="78.680000000000007"/>
    <n v="246.3"/>
    <m/>
    <n v="100.23755694003805"/>
    <n v="219.40364509824883"/>
    <n v="0"/>
    <n v="284.28657600000003"/>
    <n v="889.93115999999998"/>
    <n v="0"/>
    <n v="362.17834073574545"/>
    <n v="792.74925046899261"/>
  </r>
  <r>
    <s v="Regular"/>
    <x v="1"/>
    <x v="2"/>
    <x v="6"/>
    <x v="2"/>
    <x v="0"/>
    <x v="1"/>
    <x v="1"/>
    <x v="0"/>
    <n v="0"/>
    <n v="0"/>
    <n v="12.837"/>
    <n v="12.837"/>
    <n v="12.837"/>
    <n v="12.837"/>
    <n v="0"/>
    <x v="1"/>
    <n v="0"/>
    <n v="0"/>
    <n v="14"/>
    <n v="42"/>
    <n v="0"/>
    <n v="75.532800000000009"/>
    <n v="236.44800000000001"/>
    <m/>
    <n v="98.232805801237291"/>
    <n v="215.01557219628384"/>
    <n v="0"/>
    <n v="969.61455360000014"/>
    <n v="3035.282976"/>
    <n v="0"/>
    <n v="1261.014528070483"/>
    <n v="2760.1549002836955"/>
  </r>
  <r>
    <s v="Regular"/>
    <x v="1"/>
    <x v="2"/>
    <x v="6"/>
    <x v="2"/>
    <x v="0"/>
    <x v="1"/>
    <x v="1"/>
    <x v="1"/>
    <n v="0"/>
    <n v="0"/>
    <n v="16.324000000000002"/>
    <n v="16.324000000000002"/>
    <n v="16.324000000000002"/>
    <n v="16.324000000000002"/>
    <n v="0"/>
    <x v="1"/>
    <n v="0"/>
    <n v="0"/>
    <n v="14"/>
    <n v="42"/>
    <n v="0"/>
    <n v="75.532800000000009"/>
    <n v="236.44800000000001"/>
    <m/>
    <n v="98.232805801237291"/>
    <n v="215.01557219628384"/>
    <n v="0"/>
    <n v="1232.9974272000002"/>
    <n v="3859.7771520000006"/>
    <n v="0"/>
    <n v="1603.5523218993976"/>
    <n v="3509.9142005321378"/>
  </r>
  <r>
    <s v="Sistema de Compensação"/>
    <x v="1"/>
    <x v="2"/>
    <x v="6"/>
    <x v="2"/>
    <x v="0"/>
    <x v="1"/>
    <x v="1"/>
    <x v="1"/>
    <n v="0"/>
    <n v="0"/>
    <n v="0.70899999999999996"/>
    <n v="0.70899999999999996"/>
    <n v="0.70899999999999996"/>
    <n v="0.70899999999999996"/>
    <n v="0"/>
    <x v="1"/>
    <n v="0"/>
    <n v="0"/>
    <n v="14"/>
    <n v="42"/>
    <n v="0"/>
    <n v="75.532800000000009"/>
    <n v="236.44800000000001"/>
    <m/>
    <n v="98.232805801237291"/>
    <n v="215.01557219628384"/>
    <n v="0"/>
    <n v="53.5527552"/>
    <n v="167.64163199999999"/>
    <n v="0"/>
    <n v="69.647059313077236"/>
    <n v="152.44604068716524"/>
  </r>
  <r>
    <s v="Regular"/>
    <x v="1"/>
    <x v="2"/>
    <x v="6"/>
    <x v="2"/>
    <x v="0"/>
    <x v="1"/>
    <x v="1"/>
    <x v="2"/>
    <n v="0"/>
    <n v="0"/>
    <n v="13.708"/>
    <n v="13.708"/>
    <n v="13.708"/>
    <n v="13.708"/>
    <n v="0"/>
    <x v="1"/>
    <n v="0"/>
    <n v="0"/>
    <n v="14"/>
    <n v="42"/>
    <n v="0"/>
    <n v="75.532800000000009"/>
    <n v="236.44800000000001"/>
    <m/>
    <n v="98.232805801237291"/>
    <n v="215.01557219628384"/>
    <n v="0"/>
    <n v="1035.4036224000001"/>
    <n v="3241.2291840000003"/>
    <n v="0"/>
    <n v="1346.5753019233607"/>
    <n v="2947.433463666659"/>
  </r>
  <r>
    <s v="Sistema de Compensação"/>
    <x v="1"/>
    <x v="2"/>
    <x v="6"/>
    <x v="2"/>
    <x v="0"/>
    <x v="1"/>
    <x v="1"/>
    <x v="2"/>
    <n v="0"/>
    <n v="0"/>
    <n v="2.2109999999999999"/>
    <n v="2.2109999999999999"/>
    <n v="2.2109999999999999"/>
    <n v="2.2109999999999999"/>
    <n v="0"/>
    <x v="1"/>
    <n v="0"/>
    <n v="0"/>
    <n v="14"/>
    <n v="42"/>
    <n v="0"/>
    <n v="75.532800000000009"/>
    <n v="236.44800000000001"/>
    <m/>
    <n v="98.232805801237291"/>
    <n v="215.01557219628384"/>
    <n v="0"/>
    <n v="167.0030208"/>
    <n v="522.78652799999998"/>
    <n v="0"/>
    <n v="217.19273362653564"/>
    <n v="475.39943012598354"/>
  </r>
  <r>
    <s v="Regular"/>
    <x v="1"/>
    <x v="2"/>
    <x v="6"/>
    <x v="2"/>
    <x v="0"/>
    <x v="1"/>
    <x v="1"/>
    <x v="3"/>
    <n v="0"/>
    <n v="0"/>
    <n v="23.190999999999999"/>
    <n v="23.190999999999999"/>
    <n v="23.190999999999999"/>
    <n v="23.190999999999999"/>
    <n v="0"/>
    <x v="1"/>
    <n v="0"/>
    <n v="0"/>
    <n v="14"/>
    <n v="42"/>
    <n v="0"/>
    <n v="75.532800000000009"/>
    <n v="236.44800000000001"/>
    <m/>
    <n v="98.232805801237291"/>
    <n v="215.01557219628384"/>
    <n v="0"/>
    <n v="1751.6811648"/>
    <n v="5483.4655679999996"/>
    <n v="0"/>
    <n v="2278.1169993364938"/>
    <n v="4986.4261348040181"/>
  </r>
  <r>
    <s v="Sistema de Compensação"/>
    <x v="1"/>
    <x v="2"/>
    <x v="6"/>
    <x v="2"/>
    <x v="0"/>
    <x v="1"/>
    <x v="1"/>
    <x v="3"/>
    <n v="0"/>
    <n v="0"/>
    <n v="3.04"/>
    <n v="3.04"/>
    <n v="3.04"/>
    <n v="3.04"/>
    <n v="0"/>
    <x v="1"/>
    <n v="0"/>
    <n v="0"/>
    <n v="14"/>
    <n v="42"/>
    <n v="0"/>
    <n v="75.532800000000009"/>
    <n v="236.44800000000001"/>
    <m/>
    <n v="98.232805801237291"/>
    <n v="215.01557219628384"/>
    <n v="0"/>
    <n v="229.61971200000002"/>
    <n v="718.80192"/>
    <n v="0"/>
    <n v="298.62772963576134"/>
    <n v="653.64733947670288"/>
  </r>
  <r>
    <s v="Regular"/>
    <x v="1"/>
    <x v="2"/>
    <x v="6"/>
    <x v="2"/>
    <x v="0"/>
    <x v="1"/>
    <x v="1"/>
    <x v="4"/>
    <n v="0"/>
    <n v="0"/>
    <n v="177.87"/>
    <n v="177.87"/>
    <n v="177.87"/>
    <n v="177.87"/>
    <n v="0"/>
    <x v="1"/>
    <n v="0"/>
    <n v="0"/>
    <n v="14"/>
    <n v="42"/>
    <n v="0"/>
    <n v="75.532800000000009"/>
    <n v="236.44800000000001"/>
    <m/>
    <n v="98.232805801237291"/>
    <n v="215.01557219628384"/>
    <n v="0"/>
    <n v="13435.019136000003"/>
    <n v="42057.00576"/>
    <n v="0"/>
    <n v="17472.669167866079"/>
    <n v="38244.819826553008"/>
  </r>
  <r>
    <s v="Sistema de Compensação"/>
    <x v="1"/>
    <x v="2"/>
    <x v="6"/>
    <x v="2"/>
    <x v="0"/>
    <x v="1"/>
    <x v="1"/>
    <x v="4"/>
    <n v="0"/>
    <n v="0"/>
    <n v="55.423000000000002"/>
    <n v="55.423000000000002"/>
    <n v="55.423000000000002"/>
    <n v="55.423000000000002"/>
    <n v="0"/>
    <x v="1"/>
    <n v="0"/>
    <n v="0"/>
    <n v="14"/>
    <n v="42"/>
    <n v="0"/>
    <n v="75.532800000000009"/>
    <n v="236.44800000000001"/>
    <m/>
    <n v="98.232805801237291"/>
    <n v="215.01557219628384"/>
    <n v="0"/>
    <n v="4186.2543744000004"/>
    <n v="13104.657504000001"/>
    <n v="0"/>
    <n v="5444.3567959219745"/>
    <n v="11916.80805783464"/>
  </r>
  <r>
    <s v="Regular"/>
    <x v="1"/>
    <x v="2"/>
    <x v="6"/>
    <x v="2"/>
    <x v="0"/>
    <x v="1"/>
    <x v="1"/>
    <x v="5"/>
    <n v="0"/>
    <n v="0"/>
    <n v="379.16300000000001"/>
    <n v="379.16300000000001"/>
    <n v="379.16300000000001"/>
    <n v="379.16300000000001"/>
    <n v="0"/>
    <x v="1"/>
    <n v="0"/>
    <n v="0"/>
    <n v="14"/>
    <n v="42"/>
    <n v="0"/>
    <n v="75.532800000000009"/>
    <n v="236.44800000000001"/>
    <m/>
    <n v="98.232805801237291"/>
    <n v="215.01557219628384"/>
    <n v="0"/>
    <n v="28639.243046400003"/>
    <n v="89652.333024000007"/>
    <n v="0"/>
    <n v="37246.245346014533"/>
    <n v="81525.949400659578"/>
  </r>
  <r>
    <s v="Sistema de Compensação"/>
    <x v="1"/>
    <x v="2"/>
    <x v="6"/>
    <x v="2"/>
    <x v="0"/>
    <x v="1"/>
    <x v="1"/>
    <x v="5"/>
    <n v="0"/>
    <n v="0"/>
    <n v="77.055999999999997"/>
    <n v="77.055999999999997"/>
    <n v="77.055999999999997"/>
    <n v="77.055999999999997"/>
    <n v="0"/>
    <x v="1"/>
    <n v="0"/>
    <n v="0"/>
    <n v="14"/>
    <n v="42"/>
    <n v="0"/>
    <n v="75.532800000000009"/>
    <n v="236.44800000000001"/>
    <m/>
    <n v="98.232805801237291"/>
    <n v="215.01557219628384"/>
    <n v="0"/>
    <n v="5820.2554368000001"/>
    <n v="18219.737088000002"/>
    <n v="0"/>
    <n v="7569.4270838201401"/>
    <n v="16568.239931156848"/>
  </r>
  <r>
    <s v="Regular"/>
    <x v="1"/>
    <x v="2"/>
    <x v="6"/>
    <x v="2"/>
    <x v="0"/>
    <x v="1"/>
    <x v="1"/>
    <x v="6"/>
    <n v="0"/>
    <n v="0"/>
    <n v="248.77"/>
    <n v="248.77"/>
    <n v="248.77"/>
    <n v="248.77"/>
    <n v="0"/>
    <x v="1"/>
    <n v="0"/>
    <n v="0"/>
    <n v="14"/>
    <n v="42"/>
    <n v="0"/>
    <n v="75.532800000000009"/>
    <n v="236.44800000000001"/>
    <m/>
    <n v="98.232805801237291"/>
    <n v="215.01557219628384"/>
    <n v="0"/>
    <n v="18790.294656000002"/>
    <n v="58821.168960000003"/>
    <n v="0"/>
    <n v="24437.375099173802"/>
    <n v="53489.42389526953"/>
  </r>
  <r>
    <s v="Sistema de Compensação"/>
    <x v="1"/>
    <x v="2"/>
    <x v="6"/>
    <x v="2"/>
    <x v="0"/>
    <x v="1"/>
    <x v="1"/>
    <x v="6"/>
    <n v="0"/>
    <n v="0"/>
    <n v="9.4329999999999998"/>
    <n v="9.4329999999999998"/>
    <n v="9.4329999999999998"/>
    <n v="9.4329999999999998"/>
    <n v="0"/>
    <x v="1"/>
    <n v="0"/>
    <n v="0"/>
    <n v="14"/>
    <n v="42"/>
    <n v="0"/>
    <n v="75.532800000000009"/>
    <n v="236.44800000000001"/>
    <m/>
    <n v="98.232805801237291"/>
    <n v="215.01557219628384"/>
    <n v="0"/>
    <n v="712.50090240000009"/>
    <n v="2230.4139840000003"/>
    <n v="0"/>
    <n v="926.63005712307131"/>
    <n v="2028.2418925275454"/>
  </r>
  <r>
    <s v="Regular"/>
    <x v="1"/>
    <x v="2"/>
    <x v="6"/>
    <x v="2"/>
    <x v="0"/>
    <x v="1"/>
    <x v="1"/>
    <x v="7"/>
    <n v="0"/>
    <n v="0"/>
    <n v="125.352"/>
    <n v="125.352"/>
    <n v="125.352"/>
    <n v="125.352"/>
    <n v="0"/>
    <x v="1"/>
    <n v="0"/>
    <n v="0"/>
    <n v="14"/>
    <n v="42"/>
    <n v="0"/>
    <n v="75.532800000000009"/>
    <n v="236.44800000000001"/>
    <m/>
    <n v="98.232805801237291"/>
    <n v="215.01557219628384"/>
    <n v="0"/>
    <n v="9468.1875456000016"/>
    <n v="29639.229696000002"/>
    <n v="0"/>
    <n v="12313.678672796697"/>
    <n v="26952.632005948573"/>
  </r>
  <r>
    <s v="Sistema de Compensação"/>
    <x v="1"/>
    <x v="2"/>
    <x v="6"/>
    <x v="2"/>
    <x v="0"/>
    <x v="1"/>
    <x v="1"/>
    <x v="7"/>
    <n v="0"/>
    <n v="0"/>
    <n v="0.67400000000000004"/>
    <n v="0.67400000000000004"/>
    <n v="0.67400000000000004"/>
    <n v="0.67400000000000004"/>
    <n v="0"/>
    <x v="1"/>
    <n v="0"/>
    <n v="0"/>
    <n v="14"/>
    <n v="42"/>
    <n v="0"/>
    <n v="75.532800000000009"/>
    <n v="236.44800000000001"/>
    <m/>
    <n v="98.232805801237291"/>
    <n v="215.01557219628384"/>
    <n v="0"/>
    <n v="50.909107200000008"/>
    <n v="159.36595200000002"/>
    <n v="0"/>
    <n v="66.208911110033938"/>
    <n v="144.92049566029533"/>
  </r>
  <r>
    <s v="Regular"/>
    <x v="1"/>
    <x v="2"/>
    <x v="6"/>
    <x v="2"/>
    <x v="0"/>
    <x v="1"/>
    <x v="1"/>
    <x v="8"/>
    <n v="0"/>
    <n v="0"/>
    <n v="22.298999999999999"/>
    <n v="22.298999999999999"/>
    <n v="22.298999999999999"/>
    <n v="22.298999999999999"/>
    <n v="0"/>
    <x v="1"/>
    <n v="0"/>
    <n v="0"/>
    <n v="14"/>
    <n v="42"/>
    <n v="0"/>
    <n v="75.532800000000009"/>
    <n v="236.44800000000001"/>
    <m/>
    <n v="98.232805801237291"/>
    <n v="215.01557219628384"/>
    <n v="0"/>
    <n v="1684.3059072000001"/>
    <n v="5272.5539520000002"/>
    <n v="0"/>
    <n v="2190.4933365617903"/>
    <n v="4794.6322444049329"/>
  </r>
  <r>
    <s v="Sistema de Compensação"/>
    <x v="1"/>
    <x v="2"/>
    <x v="6"/>
    <x v="2"/>
    <x v="0"/>
    <x v="1"/>
    <x v="1"/>
    <x v="8"/>
    <n v="0"/>
    <n v="0"/>
    <n v="0.441"/>
    <n v="0.441"/>
    <n v="0.441"/>
    <n v="0.441"/>
    <n v="0"/>
    <x v="1"/>
    <n v="0"/>
    <n v="0"/>
    <n v="14"/>
    <n v="42"/>
    <n v="0"/>
    <n v="75.532800000000009"/>
    <n v="236.44800000000001"/>
    <m/>
    <n v="98.232805801237291"/>
    <n v="215.01557219628384"/>
    <n v="0"/>
    <n v="33.309964800000003"/>
    <n v="104.273568"/>
    <n v="0"/>
    <n v="43.320667358345645"/>
    <n v="94.821867338561177"/>
  </r>
  <r>
    <s v="Regular"/>
    <x v="1"/>
    <x v="2"/>
    <x v="6"/>
    <x v="2"/>
    <x v="0"/>
    <x v="1"/>
    <x v="1"/>
    <x v="9"/>
    <n v="0"/>
    <n v="0"/>
    <n v="9.8059999999999992"/>
    <n v="9.8059999999999992"/>
    <n v="9.8059999999999992"/>
    <n v="9.8059999999999992"/>
    <n v="0"/>
    <x v="1"/>
    <n v="0"/>
    <n v="0"/>
    <n v="14"/>
    <n v="42"/>
    <n v="0"/>
    <n v="75.532800000000009"/>
    <n v="236.44800000000001"/>
    <m/>
    <n v="98.232805801237291"/>
    <n v="215.01557219628384"/>
    <n v="0"/>
    <n v="740.67463680000003"/>
    <n v="2318.6090879999997"/>
    <n v="0"/>
    <n v="963.27089368693282"/>
    <n v="2108.4427009567594"/>
  </r>
  <r>
    <s v="Sistema de Compensação"/>
    <x v="1"/>
    <x v="2"/>
    <x v="6"/>
    <x v="2"/>
    <x v="0"/>
    <x v="1"/>
    <x v="1"/>
    <x v="9"/>
    <n v="0"/>
    <n v="0"/>
    <n v="0.32100000000000001"/>
    <n v="0.32100000000000001"/>
    <n v="0.32100000000000001"/>
    <n v="0.32100000000000001"/>
    <n v="0"/>
    <x v="1"/>
    <n v="0"/>
    <n v="0"/>
    <n v="14"/>
    <n v="42"/>
    <n v="0"/>
    <n v="75.532800000000009"/>
    <n v="236.44800000000001"/>
    <m/>
    <n v="98.232805801237291"/>
    <n v="215.01557219628384"/>
    <n v="0"/>
    <n v="24.246028800000005"/>
    <n v="75.899808000000007"/>
    <n v="0"/>
    <n v="31.532730662197171"/>
    <n v="69.019998675007116"/>
  </r>
  <r>
    <s v="Regular"/>
    <x v="1"/>
    <x v="2"/>
    <x v="6"/>
    <x v="2"/>
    <x v="0"/>
    <x v="1"/>
    <x v="1"/>
    <x v="10"/>
    <n v="0"/>
    <n v="0"/>
    <n v="15.609"/>
    <n v="15.609"/>
    <n v="15.609"/>
    <n v="15.609"/>
    <n v="0"/>
    <x v="1"/>
    <n v="0"/>
    <n v="0"/>
    <n v="14"/>
    <n v="42"/>
    <n v="0"/>
    <n v="75.532800000000009"/>
    <n v="236.44800000000001"/>
    <m/>
    <n v="98.232805801237291"/>
    <n v="215.01557219628384"/>
    <n v="0"/>
    <n v="1178.9914752000002"/>
    <n v="3690.7168320000001"/>
    <n v="0"/>
    <n v="1533.3158657515128"/>
    <n v="3356.1780664117946"/>
  </r>
  <r>
    <s v="Sistema de Compensação"/>
    <x v="1"/>
    <x v="2"/>
    <x v="6"/>
    <x v="2"/>
    <x v="0"/>
    <x v="1"/>
    <x v="1"/>
    <x v="10"/>
    <n v="0"/>
    <n v="0"/>
    <n v="0.33300000000000002"/>
    <n v="0.33300000000000002"/>
    <n v="0.33300000000000002"/>
    <n v="0.33300000000000002"/>
    <n v="0"/>
    <x v="1"/>
    <n v="0"/>
    <n v="0"/>
    <n v="14"/>
    <n v="42"/>
    <n v="0"/>
    <n v="75.532800000000009"/>
    <n v="236.44800000000001"/>
    <m/>
    <n v="98.232805801237291"/>
    <n v="215.01557219628384"/>
    <n v="0"/>
    <n v="25.152422400000006"/>
    <n v="78.737184000000013"/>
    <n v="0"/>
    <n v="32.711524331812022"/>
    <n v="71.600185541362521"/>
  </r>
  <r>
    <s v="PROJETADO"/>
    <x v="1"/>
    <x v="2"/>
    <x v="6"/>
    <x v="2"/>
    <x v="0"/>
    <x v="1"/>
    <x v="1"/>
    <x v="11"/>
    <n v="0"/>
    <n v="0"/>
    <n v="15.609"/>
    <n v="15.609"/>
    <n v="15.609"/>
    <n v="15.609"/>
    <n v="0"/>
    <x v="1"/>
    <n v="0"/>
    <n v="0"/>
    <n v="14"/>
    <n v="42"/>
    <n v="0"/>
    <n v="75.532800000000009"/>
    <n v="236.44800000000001"/>
    <m/>
    <n v="98.232805801237291"/>
    <n v="215.01557219628384"/>
    <n v="0"/>
    <n v="1178.9914752000002"/>
    <n v="3690.7168320000001"/>
    <n v="0"/>
    <n v="1533.3158657515128"/>
    <n v="3356.1780664117946"/>
  </r>
  <r>
    <s v="PROJETADO"/>
    <x v="1"/>
    <x v="2"/>
    <x v="6"/>
    <x v="2"/>
    <x v="0"/>
    <x v="1"/>
    <x v="1"/>
    <x v="11"/>
    <n v="0"/>
    <n v="0"/>
    <n v="0.33300000000000002"/>
    <n v="0.33300000000000002"/>
    <n v="0.33300000000000002"/>
    <n v="0.33300000000000002"/>
    <n v="0"/>
    <x v="1"/>
    <n v="0"/>
    <n v="0"/>
    <n v="14"/>
    <n v="42"/>
    <n v="0"/>
    <n v="75.532800000000009"/>
    <n v="236.44800000000001"/>
    <m/>
    <n v="98.232805801237291"/>
    <n v="215.01557219628384"/>
    <n v="0"/>
    <n v="25.152422400000006"/>
    <n v="78.737184000000013"/>
    <n v="0"/>
    <n v="32.711524331812022"/>
    <n v="71.600185541362521"/>
  </r>
  <r>
    <s v="Regular"/>
    <x v="1"/>
    <x v="2"/>
    <x v="6"/>
    <x v="2"/>
    <x v="0"/>
    <x v="1"/>
    <x v="0"/>
    <x v="0"/>
    <n v="450"/>
    <n v="450"/>
    <n v="0"/>
    <n v="0"/>
    <n v="0"/>
    <n v="0"/>
    <n v="8"/>
    <x v="1"/>
    <n v="0"/>
    <n v="18"/>
    <n v="0"/>
    <n v="0"/>
    <n v="18.470399999999998"/>
    <n v="0"/>
    <n v="0"/>
    <n v="14.889098762306169"/>
    <m/>
    <m/>
    <n v="8311.6799999999985"/>
    <n v="0"/>
    <n v="0"/>
    <n v="6700.0944430377758"/>
    <n v="0"/>
    <n v="0"/>
  </r>
  <r>
    <s v="Regular"/>
    <x v="1"/>
    <x v="2"/>
    <x v="6"/>
    <x v="2"/>
    <x v="0"/>
    <x v="1"/>
    <x v="0"/>
    <x v="1"/>
    <n v="628"/>
    <n v="628"/>
    <n v="0"/>
    <n v="0"/>
    <n v="0"/>
    <n v="0"/>
    <n v="8"/>
    <x v="1"/>
    <n v="0"/>
    <n v="18"/>
    <n v="0"/>
    <n v="0"/>
    <n v="18.470399999999998"/>
    <n v="0"/>
    <n v="0"/>
    <n v="14.889098762306169"/>
    <m/>
    <m/>
    <n v="11599.411199999999"/>
    <n v="0"/>
    <n v="0"/>
    <n v="9350.3540227282738"/>
    <n v="0"/>
    <n v="0"/>
  </r>
  <r>
    <s v="Sistema de Compensação"/>
    <x v="1"/>
    <x v="2"/>
    <x v="6"/>
    <x v="2"/>
    <x v="0"/>
    <x v="1"/>
    <x v="0"/>
    <x v="1"/>
    <n v="31"/>
    <n v="31"/>
    <n v="0"/>
    <n v="0"/>
    <n v="0"/>
    <n v="0"/>
    <n v="1"/>
    <x v="1"/>
    <n v="0"/>
    <n v="18"/>
    <n v="0"/>
    <n v="0"/>
    <n v="18.470399999999998"/>
    <n v="0"/>
    <n v="0"/>
    <n v="14.889098762306169"/>
    <m/>
    <m/>
    <n v="572.58239999999989"/>
    <n v="0"/>
    <n v="0"/>
    <n v="461.56206163149125"/>
    <n v="0"/>
    <n v="0"/>
  </r>
  <r>
    <s v="Regular"/>
    <x v="1"/>
    <x v="2"/>
    <x v="6"/>
    <x v="2"/>
    <x v="0"/>
    <x v="1"/>
    <x v="0"/>
    <x v="2"/>
    <n v="759"/>
    <n v="759"/>
    <n v="0"/>
    <n v="0"/>
    <n v="0"/>
    <n v="0"/>
    <n v="8"/>
    <x v="1"/>
    <n v="0"/>
    <n v="18"/>
    <n v="0"/>
    <n v="0"/>
    <n v="18.470399999999998"/>
    <n v="0"/>
    <n v="0"/>
    <n v="14.889098762306169"/>
    <m/>
    <m/>
    <n v="14019.033599999999"/>
    <n v="0"/>
    <n v="0"/>
    <n v="11300.825960590382"/>
    <n v="0"/>
    <n v="0"/>
  </r>
  <r>
    <s v="Sistema de Compensação"/>
    <x v="1"/>
    <x v="2"/>
    <x v="6"/>
    <x v="2"/>
    <x v="0"/>
    <x v="1"/>
    <x v="0"/>
    <x v="2"/>
    <n v="131"/>
    <n v="131"/>
    <n v="0"/>
    <n v="0"/>
    <n v="0"/>
    <n v="0"/>
    <n v="1"/>
    <x v="1"/>
    <n v="0"/>
    <n v="18"/>
    <n v="0"/>
    <n v="0"/>
    <n v="18.470399999999998"/>
    <n v="0"/>
    <n v="0"/>
    <n v="14.889098762306169"/>
    <m/>
    <m/>
    <n v="2419.6223999999997"/>
    <n v="0"/>
    <n v="0"/>
    <n v="1950.4719378621082"/>
    <n v="0"/>
    <n v="0"/>
  </r>
  <r>
    <s v="Regular"/>
    <x v="1"/>
    <x v="2"/>
    <x v="6"/>
    <x v="2"/>
    <x v="0"/>
    <x v="1"/>
    <x v="0"/>
    <x v="3"/>
    <n v="1132"/>
    <n v="1132"/>
    <n v="0"/>
    <n v="0"/>
    <n v="0"/>
    <n v="0"/>
    <n v="8"/>
    <x v="1"/>
    <n v="0"/>
    <n v="18"/>
    <n v="0"/>
    <n v="0"/>
    <n v="18.470399999999998"/>
    <n v="0"/>
    <n v="0"/>
    <n v="14.889098762306169"/>
    <m/>
    <m/>
    <n v="20908.492799999996"/>
    <n v="0"/>
    <n v="0"/>
    <n v="16854.459798930584"/>
    <n v="0"/>
    <n v="0"/>
  </r>
  <r>
    <s v="Sistema de Compensação"/>
    <x v="1"/>
    <x v="2"/>
    <x v="6"/>
    <x v="2"/>
    <x v="0"/>
    <x v="1"/>
    <x v="0"/>
    <x v="3"/>
    <n v="251"/>
    <n v="251"/>
    <n v="0"/>
    <n v="0"/>
    <n v="0"/>
    <n v="0"/>
    <n v="1"/>
    <x v="1"/>
    <n v="0"/>
    <n v="18"/>
    <n v="0"/>
    <n v="0"/>
    <n v="18.470399999999998"/>
    <n v="0"/>
    <n v="0"/>
    <n v="14.889098762306169"/>
    <m/>
    <m/>
    <n v="4636.0703999999996"/>
    <n v="0"/>
    <n v="0"/>
    <n v="3737.1637893388483"/>
    <n v="0"/>
    <n v="0"/>
  </r>
  <r>
    <s v="Regular"/>
    <x v="1"/>
    <x v="2"/>
    <x v="6"/>
    <x v="2"/>
    <x v="0"/>
    <x v="1"/>
    <x v="0"/>
    <x v="4"/>
    <n v="2857"/>
    <n v="2857"/>
    <n v="0"/>
    <n v="0"/>
    <n v="0"/>
    <n v="0"/>
    <n v="8"/>
    <x v="1"/>
    <n v="0"/>
    <n v="18"/>
    <n v="0"/>
    <n v="0"/>
    <n v="18.470399999999998"/>
    <n v="0"/>
    <n v="0"/>
    <n v="14.889098762306169"/>
    <m/>
    <m/>
    <n v="52769.932799999995"/>
    <n v="0"/>
    <n v="0"/>
    <n v="42538.155163908727"/>
    <n v="0"/>
    <n v="0"/>
  </r>
  <r>
    <s v="Sistema de Compensação"/>
    <x v="1"/>
    <x v="2"/>
    <x v="6"/>
    <x v="2"/>
    <x v="0"/>
    <x v="1"/>
    <x v="0"/>
    <x v="4"/>
    <n v="259"/>
    <n v="259"/>
    <n v="0"/>
    <n v="0"/>
    <n v="0"/>
    <n v="0"/>
    <n v="1"/>
    <x v="1"/>
    <n v="0"/>
    <n v="18"/>
    <n v="0"/>
    <n v="0"/>
    <n v="18.470399999999998"/>
    <n v="0"/>
    <n v="0"/>
    <n v="14.889098762306169"/>
    <m/>
    <m/>
    <n v="4783.833599999999"/>
    <n v="0"/>
    <n v="0"/>
    <n v="3856.2765794372976"/>
    <n v="0"/>
    <n v="0"/>
  </r>
  <r>
    <s v="Regular"/>
    <x v="1"/>
    <x v="2"/>
    <x v="6"/>
    <x v="2"/>
    <x v="0"/>
    <x v="1"/>
    <x v="0"/>
    <x v="5"/>
    <n v="3618"/>
    <n v="3618"/>
    <n v="0"/>
    <n v="0"/>
    <n v="0"/>
    <n v="0"/>
    <n v="8"/>
    <x v="1"/>
    <n v="0"/>
    <n v="18"/>
    <n v="0"/>
    <n v="0"/>
    <n v="18.470399999999998"/>
    <n v="0"/>
    <n v="0"/>
    <n v="14.889098762306169"/>
    <m/>
    <m/>
    <n v="66825.907199999987"/>
    <n v="0"/>
    <n v="0"/>
    <n v="53868.759322023718"/>
    <n v="0"/>
    <n v="0"/>
  </r>
  <r>
    <s v="Sistema de Compensação"/>
    <x v="1"/>
    <x v="2"/>
    <x v="6"/>
    <x v="2"/>
    <x v="0"/>
    <x v="1"/>
    <x v="0"/>
    <x v="5"/>
    <n v="254"/>
    <n v="254"/>
    <n v="0"/>
    <n v="0"/>
    <n v="0"/>
    <n v="0"/>
    <n v="1"/>
    <x v="1"/>
    <n v="0"/>
    <n v="18"/>
    <n v="0"/>
    <n v="0"/>
    <n v="18.470399999999998"/>
    <n v="0"/>
    <n v="0"/>
    <n v="14.889098762306169"/>
    <m/>
    <m/>
    <n v="4691.4815999999992"/>
    <n v="0"/>
    <n v="0"/>
    <n v="3781.8310856257667"/>
    <n v="0"/>
    <n v="0"/>
  </r>
  <r>
    <s v="Regular"/>
    <x v="1"/>
    <x v="2"/>
    <x v="6"/>
    <x v="2"/>
    <x v="0"/>
    <x v="1"/>
    <x v="0"/>
    <x v="6"/>
    <n v="3650"/>
    <n v="3650"/>
    <n v="0"/>
    <n v="0"/>
    <n v="0"/>
    <n v="0"/>
    <n v="8"/>
    <x v="1"/>
    <n v="0"/>
    <n v="18"/>
    <n v="0"/>
    <n v="0"/>
    <n v="18.470399999999998"/>
    <n v="0"/>
    <n v="0"/>
    <n v="14.889098762306169"/>
    <m/>
    <m/>
    <n v="67416.959999999992"/>
    <n v="0"/>
    <n v="0"/>
    <n v="54345.210482417519"/>
    <n v="0"/>
    <n v="0"/>
  </r>
  <r>
    <s v="Sistema de Compensação"/>
    <x v="1"/>
    <x v="2"/>
    <x v="6"/>
    <x v="2"/>
    <x v="0"/>
    <x v="1"/>
    <x v="0"/>
    <x v="6"/>
    <n v="154"/>
    <n v="154"/>
    <n v="0"/>
    <n v="0"/>
    <n v="0"/>
    <n v="0"/>
    <n v="1"/>
    <x v="1"/>
    <n v="0"/>
    <n v="18"/>
    <n v="0"/>
    <n v="0"/>
    <n v="18.470399999999998"/>
    <n v="0"/>
    <n v="0"/>
    <n v="14.889098762306169"/>
    <m/>
    <m/>
    <n v="2844.4415999999997"/>
    <n v="0"/>
    <n v="0"/>
    <n v="2292.9212093951501"/>
    <n v="0"/>
    <n v="0"/>
  </r>
  <r>
    <s v="Regular"/>
    <x v="1"/>
    <x v="2"/>
    <x v="6"/>
    <x v="2"/>
    <x v="0"/>
    <x v="1"/>
    <x v="0"/>
    <x v="7"/>
    <n v="3033"/>
    <n v="3033"/>
    <n v="0"/>
    <n v="0"/>
    <n v="0"/>
    <n v="0"/>
    <n v="8"/>
    <x v="1"/>
    <n v="0"/>
    <n v="18"/>
    <n v="0"/>
    <n v="0"/>
    <n v="18.470399999999998"/>
    <n v="0"/>
    <n v="0"/>
    <n v="14.889098762306169"/>
    <m/>
    <m/>
    <n v="56020.723199999993"/>
    <n v="0"/>
    <n v="0"/>
    <n v="45158.636546074609"/>
    <n v="0"/>
    <n v="0"/>
  </r>
  <r>
    <s v="Sistema de Compensação"/>
    <x v="1"/>
    <x v="2"/>
    <x v="6"/>
    <x v="2"/>
    <x v="0"/>
    <x v="1"/>
    <x v="0"/>
    <x v="7"/>
    <n v="149"/>
    <n v="149"/>
    <n v="0"/>
    <n v="0"/>
    <n v="0"/>
    <n v="0"/>
    <n v="1"/>
    <x v="1"/>
    <n v="0"/>
    <n v="18"/>
    <n v="0"/>
    <n v="0"/>
    <n v="18.470399999999998"/>
    <n v="0"/>
    <n v="0"/>
    <n v="14.889098762306169"/>
    <m/>
    <m/>
    <n v="2752.0895999999998"/>
    <n v="0"/>
    <n v="0"/>
    <n v="2218.4757155836191"/>
    <n v="0"/>
    <n v="0"/>
  </r>
  <r>
    <s v="Regular"/>
    <x v="1"/>
    <x v="2"/>
    <x v="6"/>
    <x v="2"/>
    <x v="0"/>
    <x v="1"/>
    <x v="0"/>
    <x v="8"/>
    <n v="1042"/>
    <n v="1042"/>
    <n v="0"/>
    <n v="0"/>
    <n v="0"/>
    <n v="0"/>
    <n v="8"/>
    <x v="1"/>
    <n v="0"/>
    <n v="18"/>
    <n v="0"/>
    <n v="0"/>
    <n v="18.470399999999998"/>
    <n v="0"/>
    <n v="0"/>
    <n v="14.889098762306169"/>
    <m/>
    <m/>
    <n v="19246.156799999997"/>
    <n v="0"/>
    <n v="0"/>
    <n v="15514.440910323028"/>
    <n v="0"/>
    <n v="0"/>
  </r>
  <r>
    <s v="Sistema de Compensação"/>
    <x v="1"/>
    <x v="2"/>
    <x v="6"/>
    <x v="2"/>
    <x v="0"/>
    <x v="1"/>
    <x v="0"/>
    <x v="8"/>
    <n v="31"/>
    <n v="31"/>
    <n v="0"/>
    <n v="0"/>
    <n v="0"/>
    <n v="0"/>
    <n v="1"/>
    <x v="1"/>
    <n v="0"/>
    <n v="18"/>
    <n v="0"/>
    <n v="0"/>
    <n v="18.470399999999998"/>
    <n v="0"/>
    <n v="0"/>
    <n v="14.889098762306169"/>
    <m/>
    <m/>
    <n v="572.58239999999989"/>
    <n v="0"/>
    <n v="0"/>
    <n v="461.56206163149125"/>
    <n v="0"/>
    <n v="0"/>
  </r>
  <r>
    <s v="Regular"/>
    <x v="1"/>
    <x v="2"/>
    <x v="6"/>
    <x v="2"/>
    <x v="0"/>
    <x v="1"/>
    <x v="0"/>
    <x v="9"/>
    <n v="443"/>
    <n v="443"/>
    <n v="0"/>
    <n v="0"/>
    <n v="0"/>
    <n v="0"/>
    <n v="8"/>
    <x v="1"/>
    <n v="0"/>
    <n v="18"/>
    <n v="0"/>
    <n v="0"/>
    <n v="18.470399999999998"/>
    <n v="0"/>
    <n v="0"/>
    <n v="14.889098762306169"/>
    <m/>
    <m/>
    <n v="8182.3871999999992"/>
    <n v="0"/>
    <n v="0"/>
    <n v="6595.8707517016328"/>
    <n v="0"/>
    <n v="0"/>
  </r>
  <r>
    <s v="Sistema de Compensação"/>
    <x v="1"/>
    <x v="2"/>
    <x v="6"/>
    <x v="2"/>
    <x v="0"/>
    <x v="1"/>
    <x v="0"/>
    <x v="9"/>
    <n v="30"/>
    <n v="30"/>
    <n v="0"/>
    <n v="0"/>
    <n v="0"/>
    <n v="0"/>
    <n v="1"/>
    <x v="1"/>
    <n v="0"/>
    <n v="18"/>
    <n v="0"/>
    <n v="0"/>
    <n v="18.470399999999998"/>
    <n v="0"/>
    <n v="0"/>
    <n v="14.889098762306169"/>
    <m/>
    <m/>
    <n v="554.11199999999997"/>
    <n v="0"/>
    <n v="0"/>
    <n v="446.67296286918508"/>
    <n v="0"/>
    <n v="0"/>
  </r>
  <r>
    <s v="Regular"/>
    <x v="1"/>
    <x v="2"/>
    <x v="6"/>
    <x v="2"/>
    <x v="0"/>
    <x v="1"/>
    <x v="0"/>
    <x v="10"/>
    <n v="642"/>
    <n v="642"/>
    <n v="0"/>
    <n v="0"/>
    <n v="0"/>
    <n v="0"/>
    <n v="8"/>
    <x v="1"/>
    <n v="0"/>
    <n v="18"/>
    <n v="0"/>
    <n v="0"/>
    <n v="18.470399999999998"/>
    <n v="0"/>
    <n v="0"/>
    <n v="14.889098762306169"/>
    <m/>
    <m/>
    <n v="11857.996799999999"/>
    <n v="0"/>
    <n v="0"/>
    <n v="9558.8014054005598"/>
    <n v="0"/>
    <n v="0"/>
  </r>
  <r>
    <s v="Sistema de Compensação"/>
    <x v="1"/>
    <x v="2"/>
    <x v="6"/>
    <x v="2"/>
    <x v="0"/>
    <x v="1"/>
    <x v="0"/>
    <x v="10"/>
    <n v="26"/>
    <n v="26"/>
    <n v="0"/>
    <n v="0"/>
    <n v="0"/>
    <n v="0"/>
    <n v="1"/>
    <x v="1"/>
    <n v="0"/>
    <n v="18"/>
    <n v="0"/>
    <n v="0"/>
    <n v="18.470399999999998"/>
    <n v="0"/>
    <n v="0"/>
    <n v="14.889098762306169"/>
    <m/>
    <m/>
    <n v="480.23039999999992"/>
    <n v="0"/>
    <n v="0"/>
    <n v="387.11656781996038"/>
    <n v="0"/>
    <n v="0"/>
  </r>
  <r>
    <s v="PROJETADO"/>
    <x v="1"/>
    <x v="2"/>
    <x v="6"/>
    <x v="2"/>
    <x v="0"/>
    <x v="1"/>
    <x v="0"/>
    <x v="11"/>
    <n v="642"/>
    <n v="642"/>
    <n v="0"/>
    <n v="0"/>
    <n v="0"/>
    <n v="0"/>
    <n v="8"/>
    <x v="1"/>
    <n v="0"/>
    <n v="18"/>
    <n v="0"/>
    <n v="0"/>
    <n v="18.470399999999998"/>
    <n v="0"/>
    <n v="0"/>
    <n v="14.889098762306169"/>
    <m/>
    <m/>
    <n v="11857.996799999999"/>
    <n v="0"/>
    <n v="0"/>
    <n v="9558.8014054005598"/>
    <n v="0"/>
    <n v="0"/>
  </r>
  <r>
    <s v="PROJETADO"/>
    <x v="1"/>
    <x v="2"/>
    <x v="6"/>
    <x v="2"/>
    <x v="0"/>
    <x v="1"/>
    <x v="0"/>
    <x v="11"/>
    <n v="26"/>
    <n v="26"/>
    <n v="0"/>
    <n v="0"/>
    <n v="0"/>
    <n v="0"/>
    <n v="1"/>
    <x v="1"/>
    <n v="0"/>
    <n v="18"/>
    <n v="0"/>
    <n v="0"/>
    <n v="18.470399999999998"/>
    <n v="0"/>
    <n v="0"/>
    <n v="14.889098762306169"/>
    <m/>
    <m/>
    <n v="480.23039999999992"/>
    <n v="0"/>
    <n v="0"/>
    <n v="387.11656781996038"/>
    <n v="0"/>
    <n v="0"/>
  </r>
  <r>
    <s v="Regular"/>
    <x v="1"/>
    <x v="2"/>
    <x v="6"/>
    <x v="2"/>
    <x v="0"/>
    <x v="1"/>
    <x v="2"/>
    <x v="0"/>
    <n v="0"/>
    <n v="0"/>
    <n v="1.4430000000000001"/>
    <n v="1.4430000000000001"/>
    <n v="1.4430000000000001"/>
    <n v="1.4430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1841.9652576000003"/>
    <n v="539.16482880000001"/>
    <n v="0"/>
    <n v="1519.297265675287"/>
    <n v="499.97061128465452"/>
  </r>
  <r>
    <s v="Regular"/>
    <x v="1"/>
    <x v="2"/>
    <x v="6"/>
    <x v="2"/>
    <x v="0"/>
    <x v="1"/>
    <x v="2"/>
    <x v="1"/>
    <n v="0"/>
    <n v="0"/>
    <n v="1.7410000000000001"/>
    <n v="1.7410000000000001"/>
    <n v="1.7410000000000001"/>
    <n v="1.7410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2222.3572512000005"/>
    <n v="650.51002560000006"/>
    <n v="0"/>
    <n v="1833.0537349554224"/>
    <n v="603.22164535452771"/>
  </r>
  <r>
    <s v="Sistema de Compensação"/>
    <x v="1"/>
    <x v="2"/>
    <x v="6"/>
    <x v="2"/>
    <x v="0"/>
    <x v="1"/>
    <x v="2"/>
    <x v="1"/>
    <n v="0"/>
    <n v="0"/>
    <n v="7.6999999999999999E-2"/>
    <n v="7.6999999999999999E-2"/>
    <n v="7.6999999999999999E-2"/>
    <n v="7.6999999999999999E-2"/>
    <n v="0"/>
    <x v="1"/>
    <n v="0"/>
    <n v="0"/>
    <n v="16"/>
    <n v="47"/>
    <n v="0"/>
    <n v="1276.4832000000001"/>
    <n v="373.64159999999998"/>
    <m/>
    <n v="1052.8740579870318"/>
    <n v="346.47998010024565"/>
    <n v="0"/>
    <n v="98.289206400000012"/>
    <n v="28.770403199999997"/>
    <n v="0"/>
    <n v="81.071302465001452"/>
    <n v="26.678958467718914"/>
  </r>
  <r>
    <s v="Regular"/>
    <x v="1"/>
    <x v="2"/>
    <x v="6"/>
    <x v="2"/>
    <x v="0"/>
    <x v="1"/>
    <x v="2"/>
    <x v="2"/>
    <n v="0"/>
    <n v="0"/>
    <n v="1.625"/>
    <n v="1.625"/>
    <n v="1.625"/>
    <n v="1.625"/>
    <n v="0"/>
    <x v="1"/>
    <n v="0"/>
    <n v="0"/>
    <n v="16"/>
    <n v="47"/>
    <n v="0"/>
    <n v="1276.4832000000001"/>
    <n v="373.64159999999998"/>
    <m/>
    <n v="1052.8740579870318"/>
    <n v="346.47998010024565"/>
    <n v="0"/>
    <n v="2074.2852000000003"/>
    <n v="607.16759999999999"/>
    <n v="0"/>
    <n v="1710.9203442289268"/>
    <n v="563.02996766289914"/>
  </r>
  <r>
    <s v="Sistema de Compensação"/>
    <x v="1"/>
    <x v="2"/>
    <x v="6"/>
    <x v="2"/>
    <x v="0"/>
    <x v="1"/>
    <x v="2"/>
    <x v="2"/>
    <n v="0"/>
    <n v="0"/>
    <n v="0.16700000000000001"/>
    <n v="0.16700000000000001"/>
    <n v="0.16700000000000001"/>
    <n v="0.16700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213.17269440000004"/>
    <n v="62.398147200000004"/>
    <n v="0"/>
    <n v="175.82996768383433"/>
    <n v="57.86215667674103"/>
  </r>
  <r>
    <s v="Regular"/>
    <x v="1"/>
    <x v="2"/>
    <x v="6"/>
    <x v="2"/>
    <x v="0"/>
    <x v="1"/>
    <x v="2"/>
    <x v="3"/>
    <n v="0"/>
    <n v="0"/>
    <n v="1.6020000000000001"/>
    <n v="1.6020000000000001"/>
    <n v="1.6020000000000001"/>
    <n v="1.6020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2044.9260864000003"/>
    <n v="598.57384320000006"/>
    <n v="0"/>
    <n v="1686.7042408952252"/>
    <n v="555.06092812059353"/>
  </r>
  <r>
    <s v="Sistema de Compensação"/>
    <x v="1"/>
    <x v="2"/>
    <x v="6"/>
    <x v="2"/>
    <x v="0"/>
    <x v="1"/>
    <x v="2"/>
    <x v="3"/>
    <n v="0"/>
    <n v="0"/>
    <n v="0.17499999999999999"/>
    <n v="0.17499999999999999"/>
    <n v="0.17499999999999999"/>
    <n v="0.17499999999999999"/>
    <n v="0"/>
    <x v="1"/>
    <n v="0"/>
    <n v="0"/>
    <n v="16"/>
    <n v="47"/>
    <n v="0"/>
    <n v="1276.4832000000001"/>
    <n v="373.64159999999998"/>
    <m/>
    <n v="1052.8740579870318"/>
    <n v="346.47998010024565"/>
    <n v="0"/>
    <n v="223.38456000000002"/>
    <n v="65.38727999999999"/>
    <n v="0"/>
    <n v="184.25296014773056"/>
    <n v="60.633996517542982"/>
  </r>
  <r>
    <s v="Regular"/>
    <x v="1"/>
    <x v="2"/>
    <x v="6"/>
    <x v="2"/>
    <x v="0"/>
    <x v="1"/>
    <x v="2"/>
    <x v="4"/>
    <n v="0"/>
    <n v="0"/>
    <n v="3.5369999999999999"/>
    <n v="3.5369999999999999"/>
    <n v="3.5369999999999999"/>
    <n v="3.5369999999999999"/>
    <n v="0"/>
    <x v="1"/>
    <n v="0"/>
    <n v="0"/>
    <n v="16"/>
    <n v="47"/>
    <n v="0"/>
    <n v="1276.4832000000001"/>
    <n v="373.64159999999998"/>
    <m/>
    <n v="1052.8740579870318"/>
    <n v="346.47998010024565"/>
    <n v="0"/>
    <n v="4514.9210784000006"/>
    <n v="1321.5703391999998"/>
    <n v="0"/>
    <n v="3724.0155431001317"/>
    <n v="1225.4996896145688"/>
  </r>
  <r>
    <s v="Sistema de Compensação"/>
    <x v="1"/>
    <x v="2"/>
    <x v="6"/>
    <x v="2"/>
    <x v="0"/>
    <x v="1"/>
    <x v="2"/>
    <x v="4"/>
    <n v="0"/>
    <n v="0"/>
    <n v="1.5620000000000001"/>
    <n v="1.5620000000000001"/>
    <n v="1.5620000000000001"/>
    <n v="1.5620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1993.8667584000002"/>
    <n v="583.62817919999998"/>
    <n v="0"/>
    <n v="1644.5892785757437"/>
    <n v="541.20172891658376"/>
  </r>
  <r>
    <s v="Regular"/>
    <x v="1"/>
    <x v="2"/>
    <x v="6"/>
    <x v="2"/>
    <x v="0"/>
    <x v="1"/>
    <x v="2"/>
    <x v="5"/>
    <n v="0"/>
    <n v="0"/>
    <n v="17.158000000000001"/>
    <n v="17.158000000000001"/>
    <n v="17.158000000000001"/>
    <n v="17.158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21901.898745600003"/>
    <n v="6410.9425728000006"/>
    <n v="0"/>
    <n v="18065.213086941494"/>
    <n v="5944.9034985600156"/>
  </r>
  <r>
    <s v="Sistema de Compensação"/>
    <x v="1"/>
    <x v="2"/>
    <x v="6"/>
    <x v="2"/>
    <x v="0"/>
    <x v="1"/>
    <x v="2"/>
    <x v="5"/>
    <n v="0"/>
    <n v="0"/>
    <n v="1.4259999999999999"/>
    <n v="1.4259999999999999"/>
    <n v="1.4259999999999999"/>
    <n v="1.4259999999999999"/>
    <n v="0"/>
    <x v="1"/>
    <n v="0"/>
    <n v="0"/>
    <n v="16"/>
    <n v="47"/>
    <n v="0"/>
    <n v="1276.4832000000001"/>
    <n v="373.64159999999998"/>
    <m/>
    <n v="1052.8740579870318"/>
    <n v="346.47998010024565"/>
    <n v="0"/>
    <n v="1820.2650432"/>
    <n v="532.81292159999998"/>
    <n v="0"/>
    <n v="1501.3984066895073"/>
    <n v="494.08045162295031"/>
  </r>
  <r>
    <s v="Regular"/>
    <x v="1"/>
    <x v="2"/>
    <x v="6"/>
    <x v="2"/>
    <x v="0"/>
    <x v="1"/>
    <x v="2"/>
    <x v="6"/>
    <n v="0"/>
    <n v="0"/>
    <n v="10.287000000000001"/>
    <n v="10.287000000000001"/>
    <n v="10.287000000000001"/>
    <n v="10.287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13131.182678400002"/>
    <n v="3843.6511392000002"/>
    <n v="0"/>
    <n v="10830.915434512597"/>
    <n v="3564.2395552912271"/>
  </r>
  <r>
    <s v="Sistema de Compensação"/>
    <x v="1"/>
    <x v="2"/>
    <x v="6"/>
    <x v="2"/>
    <x v="0"/>
    <x v="1"/>
    <x v="2"/>
    <x v="6"/>
    <n v="0"/>
    <n v="0"/>
    <n v="0.22500000000000001"/>
    <n v="0.22500000000000001"/>
    <n v="0.22500000000000001"/>
    <n v="0.22500000000000001"/>
    <n v="0"/>
    <x v="1"/>
    <n v="0"/>
    <n v="0"/>
    <n v="16"/>
    <n v="47"/>
    <n v="0"/>
    <n v="1276.4832000000001"/>
    <n v="373.64159999999998"/>
    <m/>
    <n v="1052.8740579870318"/>
    <n v="346.47998010024565"/>
    <n v="0"/>
    <n v="287.20872000000003"/>
    <n v="84.069360000000003"/>
    <n v="0"/>
    <n v="236.89666304708217"/>
    <n v="77.957995522555279"/>
  </r>
  <r>
    <s v="Regular"/>
    <x v="1"/>
    <x v="2"/>
    <x v="6"/>
    <x v="2"/>
    <x v="0"/>
    <x v="1"/>
    <x v="2"/>
    <x v="7"/>
    <n v="0"/>
    <n v="0"/>
    <n v="7.0919999999999996"/>
    <n v="7.0919999999999996"/>
    <n v="7.0919999999999996"/>
    <n v="7.0919999999999996"/>
    <n v="0"/>
    <x v="1"/>
    <n v="0"/>
    <n v="0"/>
    <n v="16"/>
    <n v="47"/>
    <n v="0"/>
    <n v="1276.4832000000001"/>
    <n v="373.64159999999998"/>
    <m/>
    <n v="1052.8740579870318"/>
    <n v="346.47998010024565"/>
    <n v="0"/>
    <n v="9052.8188544000004"/>
    <n v="2649.8662271999997"/>
    <n v="0"/>
    <n v="7466.9828192440291"/>
    <n v="2457.2360188709422"/>
  </r>
  <r>
    <s v="Sistema de Compensação"/>
    <x v="1"/>
    <x v="2"/>
    <x v="6"/>
    <x v="2"/>
    <x v="0"/>
    <x v="1"/>
    <x v="2"/>
    <x v="7"/>
    <n v="0"/>
    <n v="0"/>
    <n v="0.104"/>
    <n v="0.104"/>
    <n v="0.104"/>
    <n v="0.104"/>
    <n v="0"/>
    <x v="1"/>
    <n v="0"/>
    <n v="0"/>
    <n v="16"/>
    <n v="47"/>
    <n v="0"/>
    <n v="1276.4832000000001"/>
    <n v="373.64159999999998"/>
    <m/>
    <n v="1052.8740579870318"/>
    <n v="346.47998010024565"/>
    <n v="0"/>
    <n v="132.75425280000002"/>
    <n v="38.858726399999995"/>
    <n v="0"/>
    <n v="109.49890203065131"/>
    <n v="36.033917930425545"/>
  </r>
  <r>
    <s v="Regular"/>
    <x v="1"/>
    <x v="2"/>
    <x v="6"/>
    <x v="2"/>
    <x v="0"/>
    <x v="1"/>
    <x v="2"/>
    <x v="8"/>
    <n v="0"/>
    <n v="0"/>
    <n v="1.716"/>
    <n v="1.716"/>
    <n v="1.716"/>
    <n v="1.716"/>
    <n v="0"/>
    <x v="1"/>
    <n v="0"/>
    <n v="0"/>
    <n v="16"/>
    <n v="47"/>
    <n v="0"/>
    <n v="1276.4832000000001"/>
    <n v="373.64159999999998"/>
    <m/>
    <n v="1052.8740579870318"/>
    <n v="346.47998010024565"/>
    <n v="0"/>
    <n v="2190.4451712"/>
    <n v="641.16898559999993"/>
    <n v="0"/>
    <n v="1806.7318835057465"/>
    <n v="594.5596458520215"/>
  </r>
  <r>
    <s v="Sistema de Compensação"/>
    <x v="1"/>
    <x v="2"/>
    <x v="6"/>
    <x v="2"/>
    <x v="0"/>
    <x v="1"/>
    <x v="2"/>
    <x v="8"/>
    <n v="0"/>
    <n v="0"/>
    <n v="0.10199999999999999"/>
    <n v="0.10199999999999999"/>
    <n v="0.10199999999999999"/>
    <n v="0.10199999999999999"/>
    <n v="0"/>
    <x v="1"/>
    <n v="0"/>
    <n v="0"/>
    <n v="16"/>
    <n v="47"/>
    <n v="0"/>
    <n v="1276.4832000000001"/>
    <n v="373.64159999999998"/>
    <m/>
    <n v="1052.8740579870318"/>
    <n v="346.47998010024565"/>
    <n v="0"/>
    <n v="130.20128640000001"/>
    <n v="38.111443199999997"/>
    <n v="0"/>
    <n v="107.39315391467724"/>
    <n v="35.340957970225055"/>
  </r>
  <r>
    <s v="Regular"/>
    <x v="1"/>
    <x v="2"/>
    <x v="6"/>
    <x v="2"/>
    <x v="0"/>
    <x v="1"/>
    <x v="2"/>
    <x v="9"/>
    <n v="0"/>
    <n v="0"/>
    <n v="1.379"/>
    <n v="1.379"/>
    <n v="1.379"/>
    <n v="1.379"/>
    <n v="0"/>
    <x v="1"/>
    <n v="0"/>
    <n v="0"/>
    <n v="16"/>
    <n v="47"/>
    <n v="0"/>
    <n v="1276.4832000000001"/>
    <n v="373.64159999999998"/>
    <m/>
    <n v="1052.8740579870318"/>
    <n v="346.47998010024565"/>
    <n v="0"/>
    <n v="1760.2703328000002"/>
    <n v="515.25176639999995"/>
    <n v="0"/>
    <n v="1451.9133259641169"/>
    <n v="477.79589255823873"/>
  </r>
  <r>
    <s v="Sistema de Compensação"/>
    <x v="1"/>
    <x v="2"/>
    <x v="6"/>
    <x v="2"/>
    <x v="0"/>
    <x v="1"/>
    <x v="2"/>
    <x v="9"/>
    <n v="0"/>
    <n v="0"/>
    <n v="6.9000000000000006E-2"/>
    <n v="6.9000000000000006E-2"/>
    <n v="6.9000000000000006E-2"/>
    <n v="6.9000000000000006E-2"/>
    <n v="0"/>
    <x v="1"/>
    <n v="0"/>
    <n v="0"/>
    <n v="16"/>
    <n v="47"/>
    <n v="0"/>
    <n v="1276.4832000000001"/>
    <n v="373.64159999999998"/>
    <m/>
    <n v="1052.8740579870318"/>
    <n v="346.47998010024565"/>
    <n v="0"/>
    <n v="88.077340800000016"/>
    <n v="25.7812704"/>
    <n v="0"/>
    <n v="72.648310001105202"/>
    <n v="23.907118626916951"/>
  </r>
  <r>
    <s v="Regular"/>
    <x v="1"/>
    <x v="2"/>
    <x v="6"/>
    <x v="2"/>
    <x v="0"/>
    <x v="1"/>
    <x v="2"/>
    <x v="10"/>
    <n v="0"/>
    <n v="0"/>
    <n v="2.895"/>
    <n v="2.895"/>
    <n v="2.895"/>
    <n v="2.895"/>
    <n v="0"/>
    <x v="1"/>
    <n v="0"/>
    <n v="0"/>
    <n v="16"/>
    <n v="47"/>
    <n v="0"/>
    <n v="1276.4832000000001"/>
    <n v="373.64159999999998"/>
    <m/>
    <n v="1052.8740579870318"/>
    <n v="346.47998010024565"/>
    <n v="0"/>
    <n v="3695.4188640000002"/>
    <n v="1081.6924320000001"/>
    <n v="0"/>
    <n v="3048.0703978724573"/>
    <n v="1003.0595423902112"/>
  </r>
  <r>
    <s v="Sistema de Compensação"/>
    <x v="1"/>
    <x v="2"/>
    <x v="6"/>
    <x v="2"/>
    <x v="0"/>
    <x v="1"/>
    <x v="2"/>
    <x v="10"/>
    <n v="0"/>
    <n v="0"/>
    <n v="0.08"/>
    <n v="0.08"/>
    <n v="0.08"/>
    <n v="0.08"/>
    <n v="0"/>
    <x v="1"/>
    <n v="0"/>
    <n v="0"/>
    <n v="16"/>
    <n v="47"/>
    <n v="0"/>
    <n v="1276.4832000000001"/>
    <n v="373.64159999999998"/>
    <m/>
    <n v="1052.8740579870318"/>
    <n v="346.47998010024565"/>
    <n v="0"/>
    <n v="102.11865600000002"/>
    <n v="29.891327999999998"/>
    <n v="0"/>
    <n v="84.229924638962544"/>
    <n v="27.718398408019652"/>
  </r>
  <r>
    <s v="PROJETADO"/>
    <x v="1"/>
    <x v="2"/>
    <x v="6"/>
    <x v="2"/>
    <x v="0"/>
    <x v="1"/>
    <x v="2"/>
    <x v="11"/>
    <n v="0"/>
    <n v="0"/>
    <n v="2.895"/>
    <n v="2.895"/>
    <n v="2.895"/>
    <n v="2.895"/>
    <n v="0"/>
    <x v="1"/>
    <n v="0"/>
    <n v="0"/>
    <n v="16"/>
    <n v="47"/>
    <n v="0"/>
    <n v="1276.4832000000001"/>
    <n v="373.64159999999998"/>
    <m/>
    <n v="1052.8740579870318"/>
    <n v="346.47998010024565"/>
    <n v="0"/>
    <n v="3695.4188640000002"/>
    <n v="1081.6924320000001"/>
    <n v="0"/>
    <n v="3048.0703978724573"/>
    <n v="1003.0595423902112"/>
  </r>
  <r>
    <s v="PROJETADO"/>
    <x v="1"/>
    <x v="2"/>
    <x v="6"/>
    <x v="2"/>
    <x v="0"/>
    <x v="1"/>
    <x v="2"/>
    <x v="11"/>
    <n v="0"/>
    <n v="0"/>
    <n v="0.08"/>
    <n v="0.08"/>
    <n v="0.08"/>
    <n v="0.08"/>
    <n v="0"/>
    <x v="1"/>
    <n v="0"/>
    <n v="0"/>
    <n v="16"/>
    <n v="47"/>
    <n v="0"/>
    <n v="1276.4832000000001"/>
    <n v="373.64159999999998"/>
    <m/>
    <n v="1052.8740579870318"/>
    <n v="346.47998010024565"/>
    <n v="0"/>
    <n v="102.11865600000002"/>
    <n v="29.891327999999998"/>
    <n v="0"/>
    <n v="84.229924638962544"/>
    <n v="27.718398408019652"/>
  </r>
  <r>
    <s v="Regular"/>
    <x v="1"/>
    <x v="2"/>
    <x v="6"/>
    <x v="0"/>
    <x v="0"/>
    <x v="1"/>
    <x v="1"/>
    <x v="0"/>
    <n v="0"/>
    <n v="0"/>
    <n v="60.76"/>
    <n v="60.76"/>
    <n v="60.76"/>
    <n v="60.76"/>
    <n v="0"/>
    <x v="1"/>
    <n v="0"/>
    <n v="0"/>
    <n v="14"/>
    <n v="42"/>
    <n v="0"/>
    <n v="75.532800000000009"/>
    <n v="236.44800000000001"/>
    <m/>
    <n v="98.232805801237291"/>
    <n v="215.01557219628384"/>
    <n v="0"/>
    <n v="4589.3729280000007"/>
    <n v="14366.580480000001"/>
    <n v="0"/>
    <n v="5968.6252804831774"/>
    <n v="13064.346166646206"/>
  </r>
  <r>
    <s v="Regular"/>
    <x v="1"/>
    <x v="2"/>
    <x v="6"/>
    <x v="0"/>
    <x v="0"/>
    <x v="1"/>
    <x v="1"/>
    <x v="1"/>
    <n v="0"/>
    <n v="0"/>
    <n v="38.04"/>
    <n v="38.04"/>
    <n v="38.04"/>
    <n v="38.04"/>
    <n v="0"/>
    <x v="1"/>
    <n v="0"/>
    <n v="0"/>
    <n v="14"/>
    <n v="42"/>
    <n v="0"/>
    <n v="75.532800000000009"/>
    <n v="236.44800000000001"/>
    <m/>
    <n v="98.232805801237291"/>
    <n v="215.01557219628384"/>
    <n v="0"/>
    <n v="2873.2677120000003"/>
    <n v="8994.4819200000002"/>
    <n v="0"/>
    <n v="3736.7759326790665"/>
    <n v="8179.1923663466368"/>
  </r>
  <r>
    <s v="Regular"/>
    <x v="1"/>
    <x v="2"/>
    <x v="6"/>
    <x v="0"/>
    <x v="0"/>
    <x v="1"/>
    <x v="1"/>
    <x v="2"/>
    <n v="0"/>
    <n v="0"/>
    <n v="37.301000000000002"/>
    <n v="37.301000000000002"/>
    <n v="37.301000000000002"/>
    <n v="37.301000000000002"/>
    <n v="0"/>
    <x v="1"/>
    <n v="0"/>
    <n v="0"/>
    <n v="14"/>
    <n v="42"/>
    <n v="0"/>
    <n v="75.532800000000009"/>
    <n v="236.44800000000001"/>
    <m/>
    <n v="98.232805801237291"/>
    <n v="215.01557219628384"/>
    <n v="0"/>
    <n v="2817.4489728000003"/>
    <n v="8819.7468480000007"/>
    <n v="0"/>
    <n v="3664.1818891919525"/>
    <n v="8020.2958584935841"/>
  </r>
  <r>
    <s v="Regular"/>
    <x v="1"/>
    <x v="2"/>
    <x v="6"/>
    <x v="0"/>
    <x v="0"/>
    <x v="1"/>
    <x v="1"/>
    <x v="3"/>
    <n v="0"/>
    <n v="0"/>
    <n v="60.843000000000004"/>
    <n v="60.843000000000004"/>
    <n v="60.843000000000004"/>
    <n v="60.843000000000004"/>
    <n v="0"/>
    <x v="1"/>
    <n v="0"/>
    <n v="0"/>
    <n v="14"/>
    <n v="42"/>
    <n v="0"/>
    <n v="75.532800000000009"/>
    <n v="236.44800000000001"/>
    <m/>
    <n v="98.232805801237291"/>
    <n v="215.01557219628384"/>
    <n v="0"/>
    <n v="4595.6421504000009"/>
    <n v="14386.205664000001"/>
    <n v="0"/>
    <n v="5976.7786033646807"/>
    <n v="13082.192459138498"/>
  </r>
  <r>
    <s v="Regular"/>
    <x v="1"/>
    <x v="2"/>
    <x v="6"/>
    <x v="0"/>
    <x v="0"/>
    <x v="1"/>
    <x v="1"/>
    <x v="4"/>
    <n v="0"/>
    <n v="0"/>
    <n v="113.77"/>
    <n v="113.77"/>
    <n v="113.77"/>
    <n v="113.77"/>
    <n v="0"/>
    <x v="1"/>
    <n v="0"/>
    <n v="0"/>
    <n v="14"/>
    <n v="42"/>
    <n v="0"/>
    <n v="75.532800000000009"/>
    <n v="236.44800000000001"/>
    <m/>
    <n v="98.232805801237291"/>
    <n v="215.01557219628384"/>
    <n v="0"/>
    <n v="8593.3666560000001"/>
    <n v="26900.688959999999"/>
    <n v="0"/>
    <n v="11175.946316006766"/>
    <n v="24462.321648771212"/>
  </r>
  <r>
    <s v="Regular"/>
    <x v="1"/>
    <x v="2"/>
    <x v="6"/>
    <x v="0"/>
    <x v="0"/>
    <x v="1"/>
    <x v="1"/>
    <x v="5"/>
    <n v="0"/>
    <n v="0"/>
    <n v="60.024999999999999"/>
    <n v="60.024999999999999"/>
    <n v="60.024999999999999"/>
    <n v="60.024999999999999"/>
    <n v="0"/>
    <x v="1"/>
    <n v="0"/>
    <n v="0"/>
    <n v="14"/>
    <n v="42"/>
    <n v="0"/>
    <n v="75.532800000000009"/>
    <n v="236.44800000000001"/>
    <m/>
    <n v="98.232805801237291"/>
    <n v="215.01557219628384"/>
    <n v="0"/>
    <n v="4533.8563200000008"/>
    <n v="14192.7912"/>
    <n v="0"/>
    <n v="5896.4241682192678"/>
    <n v="12906.309721081938"/>
  </r>
  <r>
    <s v="Regular"/>
    <x v="1"/>
    <x v="2"/>
    <x v="6"/>
    <x v="0"/>
    <x v="0"/>
    <x v="1"/>
    <x v="1"/>
    <x v="6"/>
    <n v="0"/>
    <n v="0"/>
    <n v="72.953999999999994"/>
    <n v="72.953999999999994"/>
    <n v="72.953999999999994"/>
    <n v="72.953999999999994"/>
    <n v="0"/>
    <x v="1"/>
    <n v="0"/>
    <n v="0"/>
    <n v="14"/>
    <n v="42"/>
    <n v="0"/>
    <n v="75.532800000000009"/>
    <n v="236.44800000000001"/>
    <m/>
    <n v="98.232805801237291"/>
    <n v="215.01557219628384"/>
    <n v="0"/>
    <n v="5510.4198912000002"/>
    <n v="17249.827391999999"/>
    <n v="0"/>
    <n v="7166.4761144234644"/>
    <n v="15686.24605400769"/>
  </r>
  <r>
    <s v="Refaturamento - Regular"/>
    <x v="1"/>
    <x v="2"/>
    <x v="6"/>
    <x v="0"/>
    <x v="0"/>
    <x v="1"/>
    <x v="1"/>
    <x v="6"/>
    <n v="0"/>
    <n v="0"/>
    <n v="91.900999999999996"/>
    <n v="91.900999999999996"/>
    <n v="91.900999999999996"/>
    <n v="91.900999999999996"/>
    <n v="0"/>
    <x v="1"/>
    <n v="0"/>
    <n v="0"/>
    <n v="14"/>
    <n v="42"/>
    <n v="0"/>
    <n v="75.532800000000009"/>
    <n v="236.44800000000001"/>
    <m/>
    <n v="98.232805801237291"/>
    <n v="215.01557219628384"/>
    <n v="0"/>
    <n v="6941.5398528000005"/>
    <n v="21729.807647999998"/>
    <n v="0"/>
    <n v="9027.693085939507"/>
    <n v="19760.146100410682"/>
  </r>
  <r>
    <s v="Regular"/>
    <x v="1"/>
    <x v="2"/>
    <x v="6"/>
    <x v="0"/>
    <x v="0"/>
    <x v="1"/>
    <x v="1"/>
    <x v="7"/>
    <n v="0"/>
    <n v="0"/>
    <n v="44.546999999999997"/>
    <n v="44.546999999999997"/>
    <n v="44.546999999999997"/>
    <n v="44.546999999999997"/>
    <n v="0"/>
    <x v="1"/>
    <n v="0"/>
    <n v="0"/>
    <n v="14"/>
    <n v="42"/>
    <n v="0"/>
    <n v="75.532800000000009"/>
    <n v="236.44800000000001"/>
    <m/>
    <n v="98.232805801237291"/>
    <n v="215.01557219628384"/>
    <n v="0"/>
    <n v="3364.7596416000001"/>
    <n v="10533.049056"/>
    <n v="0"/>
    <n v="4375.9768000277172"/>
    <n v="9578.2986946278561"/>
  </r>
  <r>
    <s v="Regular"/>
    <x v="1"/>
    <x v="2"/>
    <x v="6"/>
    <x v="0"/>
    <x v="0"/>
    <x v="1"/>
    <x v="1"/>
    <x v="8"/>
    <n v="0"/>
    <n v="0"/>
    <n v="70.852999999999994"/>
    <n v="70.852999999999994"/>
    <n v="70.852999999999994"/>
    <n v="70.852999999999994"/>
    <n v="0"/>
    <x v="1"/>
    <n v="0"/>
    <n v="0"/>
    <n v="14"/>
    <n v="42"/>
    <n v="0"/>
    <n v="75.532800000000009"/>
    <n v="236.44800000000001"/>
    <m/>
    <n v="98.232805801237291"/>
    <n v="215.01557219628384"/>
    <n v="0"/>
    <n v="5351.7254784000006"/>
    <n v="16753.050144000001"/>
    <n v="0"/>
    <n v="6960.0889894350648"/>
    <n v="15234.498336823297"/>
  </r>
  <r>
    <s v="Regular"/>
    <x v="1"/>
    <x v="2"/>
    <x v="6"/>
    <x v="0"/>
    <x v="0"/>
    <x v="1"/>
    <x v="1"/>
    <x v="9"/>
    <n v="0"/>
    <n v="0"/>
    <n v="154.92699999999999"/>
    <n v="154.92699999999999"/>
    <n v="154.92699999999999"/>
    <n v="154.92699999999999"/>
    <n v="0"/>
    <x v="1"/>
    <n v="0"/>
    <n v="0"/>
    <n v="14"/>
    <n v="42"/>
    <n v="0"/>
    <n v="75.532800000000009"/>
    <n v="236.44800000000001"/>
    <m/>
    <n v="98.232805801237291"/>
    <n v="215.01557219628384"/>
    <n v="0"/>
    <n v="11702.070105600002"/>
    <n v="36632.179296000002"/>
    <n v="0"/>
    <n v="15218.91390436829"/>
    <n v="33311.717553653667"/>
  </r>
  <r>
    <s v="Regular"/>
    <x v="1"/>
    <x v="2"/>
    <x v="6"/>
    <x v="0"/>
    <x v="0"/>
    <x v="1"/>
    <x v="1"/>
    <x v="10"/>
    <n v="0"/>
    <n v="0"/>
    <n v="77.64"/>
    <n v="77.64"/>
    <n v="77.64"/>
    <n v="77.64"/>
    <n v="0"/>
    <x v="1"/>
    <n v="0"/>
    <n v="0"/>
    <n v="14"/>
    <n v="42"/>
    <n v="0"/>
    <n v="75.532800000000009"/>
    <n v="236.44800000000001"/>
    <m/>
    <n v="98.232805801237291"/>
    <n v="215.01557219628384"/>
    <n v="0"/>
    <n v="5864.3665920000003"/>
    <n v="18357.82272"/>
    <n v="0"/>
    <n v="7626.7950424080636"/>
    <n v="16693.809025319479"/>
  </r>
  <r>
    <s v="PROJETADO"/>
    <x v="1"/>
    <x v="2"/>
    <x v="6"/>
    <x v="0"/>
    <x v="0"/>
    <x v="1"/>
    <x v="1"/>
    <x v="11"/>
    <n v="0"/>
    <n v="0"/>
    <n v="77.64"/>
    <n v="77.64"/>
    <n v="77.64"/>
    <n v="77.64"/>
    <n v="0"/>
    <x v="1"/>
    <n v="0"/>
    <n v="0"/>
    <n v="14"/>
    <n v="42"/>
    <n v="0"/>
    <n v="75.532800000000009"/>
    <n v="236.44800000000001"/>
    <m/>
    <n v="98.232805801237291"/>
    <n v="215.01557219628384"/>
    <n v="0"/>
    <n v="5864.3665920000003"/>
    <n v="18357.82272"/>
    <n v="0"/>
    <n v="7626.7950424080636"/>
    <n v="16693.809025319479"/>
  </r>
  <r>
    <s v="Regular"/>
    <x v="1"/>
    <x v="2"/>
    <x v="6"/>
    <x v="0"/>
    <x v="0"/>
    <x v="1"/>
    <x v="0"/>
    <x v="0"/>
    <n v="553"/>
    <n v="553"/>
    <n v="0"/>
    <n v="0"/>
    <n v="0"/>
    <n v="0"/>
    <n v="5"/>
    <x v="1"/>
    <n v="0"/>
    <n v="18"/>
    <n v="0"/>
    <n v="0"/>
    <n v="18.470399999999998"/>
    <n v="0"/>
    <n v="0"/>
    <n v="14.889098762306169"/>
    <m/>
    <m/>
    <n v="10214.131199999998"/>
    <n v="0"/>
    <n v="0"/>
    <n v="8233.6716155553113"/>
    <n v="0"/>
    <n v="0"/>
  </r>
  <r>
    <s v="Regular"/>
    <x v="1"/>
    <x v="2"/>
    <x v="6"/>
    <x v="0"/>
    <x v="0"/>
    <x v="1"/>
    <x v="0"/>
    <x v="1"/>
    <n v="564"/>
    <n v="564"/>
    <n v="0"/>
    <n v="0"/>
    <n v="0"/>
    <n v="0"/>
    <n v="5"/>
    <x v="1"/>
    <n v="0"/>
    <n v="18"/>
    <n v="0"/>
    <n v="0"/>
    <n v="18.470399999999998"/>
    <n v="0"/>
    <n v="0"/>
    <n v="14.889098762306169"/>
    <m/>
    <m/>
    <n v="10417.3056"/>
    <n v="0"/>
    <n v="0"/>
    <n v="8397.4517019406794"/>
    <n v="0"/>
    <n v="0"/>
  </r>
  <r>
    <s v="Regular"/>
    <x v="1"/>
    <x v="2"/>
    <x v="6"/>
    <x v="0"/>
    <x v="0"/>
    <x v="1"/>
    <x v="0"/>
    <x v="2"/>
    <n v="549"/>
    <n v="549"/>
    <n v="0"/>
    <n v="0"/>
    <n v="0"/>
    <n v="0"/>
    <n v="5"/>
    <x v="1"/>
    <n v="0"/>
    <n v="18"/>
    <n v="0"/>
    <n v="0"/>
    <n v="18.470399999999998"/>
    <n v="0"/>
    <n v="0"/>
    <n v="14.889098762306169"/>
    <m/>
    <m/>
    <n v="10140.249599999999"/>
    <n v="0"/>
    <n v="0"/>
    <n v="8174.1152205060871"/>
    <n v="0"/>
    <n v="0"/>
  </r>
  <r>
    <s v="Regular"/>
    <x v="1"/>
    <x v="2"/>
    <x v="6"/>
    <x v="0"/>
    <x v="0"/>
    <x v="1"/>
    <x v="0"/>
    <x v="3"/>
    <n v="561"/>
    <n v="561"/>
    <n v="0"/>
    <n v="0"/>
    <n v="0"/>
    <n v="0"/>
    <n v="5"/>
    <x v="1"/>
    <n v="0"/>
    <n v="18"/>
    <n v="0"/>
    <n v="0"/>
    <n v="18.470399999999998"/>
    <n v="0"/>
    <n v="0"/>
    <n v="14.889098762306169"/>
    <m/>
    <m/>
    <n v="10361.894399999999"/>
    <n v="0"/>
    <n v="0"/>
    <n v="8352.7844056537615"/>
    <n v="0"/>
    <n v="0"/>
  </r>
  <r>
    <s v="Regular"/>
    <x v="1"/>
    <x v="2"/>
    <x v="6"/>
    <x v="0"/>
    <x v="0"/>
    <x v="1"/>
    <x v="0"/>
    <x v="4"/>
    <n v="658"/>
    <n v="658"/>
    <n v="0"/>
    <n v="0"/>
    <n v="0"/>
    <n v="0"/>
    <n v="5"/>
    <x v="1"/>
    <n v="0"/>
    <n v="18"/>
    <n v="0"/>
    <n v="0"/>
    <n v="18.470399999999998"/>
    <n v="0"/>
    <n v="0"/>
    <n v="14.889098762306169"/>
    <m/>
    <m/>
    <n v="12153.523199999998"/>
    <n v="0"/>
    <n v="0"/>
    <n v="9797.0269855974584"/>
    <n v="0"/>
    <n v="0"/>
  </r>
  <r>
    <s v="Regular"/>
    <x v="1"/>
    <x v="2"/>
    <x v="6"/>
    <x v="0"/>
    <x v="0"/>
    <x v="1"/>
    <x v="0"/>
    <x v="5"/>
    <n v="584"/>
    <n v="584"/>
    <n v="0"/>
    <n v="0"/>
    <n v="0"/>
    <n v="0"/>
    <n v="5"/>
    <x v="1"/>
    <n v="0"/>
    <n v="18"/>
    <n v="0"/>
    <n v="0"/>
    <n v="18.470399999999998"/>
    <n v="0"/>
    <n v="0"/>
    <n v="14.889098762306169"/>
    <m/>
    <m/>
    <n v="10786.713599999999"/>
    <n v="0"/>
    <n v="0"/>
    <n v="8695.2336771868031"/>
    <n v="0"/>
    <n v="0"/>
  </r>
  <r>
    <s v="Regular"/>
    <x v="1"/>
    <x v="2"/>
    <x v="6"/>
    <x v="0"/>
    <x v="0"/>
    <x v="1"/>
    <x v="0"/>
    <x v="6"/>
    <n v="564"/>
    <n v="564"/>
    <n v="0"/>
    <n v="0"/>
    <n v="0"/>
    <n v="0"/>
    <n v="5"/>
    <x v="1"/>
    <n v="0"/>
    <n v="18"/>
    <n v="0"/>
    <n v="0"/>
    <n v="18.470399999999998"/>
    <n v="0"/>
    <n v="0"/>
    <n v="14.889098762306169"/>
    <m/>
    <m/>
    <n v="10417.3056"/>
    <n v="0"/>
    <n v="0"/>
    <n v="8397.4517019406794"/>
    <n v="0"/>
    <n v="0"/>
  </r>
  <r>
    <s v="Refaturamento - Regular"/>
    <x v="1"/>
    <x v="2"/>
    <x v="6"/>
    <x v="0"/>
    <x v="0"/>
    <x v="1"/>
    <x v="0"/>
    <x v="6"/>
    <n v="1053"/>
    <n v="1053"/>
    <n v="0"/>
    <n v="0"/>
    <n v="0"/>
    <n v="0"/>
    <n v="0"/>
    <x v="1"/>
    <n v="0"/>
    <n v="18"/>
    <n v="0"/>
    <n v="0"/>
    <n v="18.470399999999998"/>
    <n v="0"/>
    <n v="0"/>
    <n v="14.889098762306169"/>
    <m/>
    <m/>
    <n v="19449.331199999997"/>
    <n v="0"/>
    <n v="0"/>
    <n v="15678.220996708396"/>
    <n v="0"/>
    <n v="0"/>
  </r>
  <r>
    <s v="Regular"/>
    <x v="1"/>
    <x v="2"/>
    <x v="6"/>
    <x v="0"/>
    <x v="0"/>
    <x v="1"/>
    <x v="0"/>
    <x v="7"/>
    <n v="461"/>
    <n v="461"/>
    <n v="0"/>
    <n v="0"/>
    <n v="0"/>
    <n v="0"/>
    <n v="4"/>
    <x v="1"/>
    <n v="0"/>
    <n v="18"/>
    <n v="0"/>
    <n v="0"/>
    <n v="18.470399999999998"/>
    <n v="0"/>
    <n v="0"/>
    <n v="14.889098762306169"/>
    <m/>
    <m/>
    <n v="8514.8543999999983"/>
    <n v="0"/>
    <n v="0"/>
    <n v="6863.8745294231439"/>
    <n v="0"/>
    <n v="0"/>
  </r>
  <r>
    <s v="Regular"/>
    <x v="1"/>
    <x v="2"/>
    <x v="6"/>
    <x v="0"/>
    <x v="0"/>
    <x v="1"/>
    <x v="0"/>
    <x v="8"/>
    <n v="526"/>
    <n v="526"/>
    <n v="0"/>
    <n v="0"/>
    <n v="0"/>
    <n v="0"/>
    <n v="4"/>
    <x v="1"/>
    <n v="0"/>
    <n v="18"/>
    <n v="0"/>
    <n v="0"/>
    <n v="18.470399999999998"/>
    <n v="0"/>
    <n v="0"/>
    <n v="14.889098762306169"/>
    <m/>
    <m/>
    <n v="9715.4303999999993"/>
    <n v="0"/>
    <n v="0"/>
    <n v="7831.6659489730446"/>
    <n v="0"/>
    <n v="0"/>
  </r>
  <r>
    <s v="Regular"/>
    <x v="1"/>
    <x v="2"/>
    <x v="6"/>
    <x v="0"/>
    <x v="0"/>
    <x v="1"/>
    <x v="0"/>
    <x v="9"/>
    <n v="554"/>
    <n v="554"/>
    <n v="0"/>
    <n v="0"/>
    <n v="0"/>
    <n v="0"/>
    <n v="4"/>
    <x v="1"/>
    <n v="0"/>
    <n v="18"/>
    <n v="0"/>
    <n v="0"/>
    <n v="18.470399999999998"/>
    <n v="0"/>
    <n v="0"/>
    <n v="14.889098762306169"/>
    <m/>
    <m/>
    <n v="10232.601599999998"/>
    <n v="0"/>
    <n v="0"/>
    <n v="8248.5607143176185"/>
    <n v="0"/>
    <n v="0"/>
  </r>
  <r>
    <s v="Regular"/>
    <x v="1"/>
    <x v="2"/>
    <x v="6"/>
    <x v="0"/>
    <x v="0"/>
    <x v="1"/>
    <x v="0"/>
    <x v="10"/>
    <n v="599"/>
    <n v="599"/>
    <n v="0"/>
    <n v="0"/>
    <n v="0"/>
    <n v="0"/>
    <n v="5"/>
    <x v="1"/>
    <n v="0"/>
    <n v="18"/>
    <n v="0"/>
    <n v="0"/>
    <n v="18.470399999999998"/>
    <n v="0"/>
    <n v="0"/>
    <n v="14.889098762306169"/>
    <m/>
    <m/>
    <n v="11063.7696"/>
    <n v="0"/>
    <n v="0"/>
    <n v="8918.5701586213945"/>
    <n v="0"/>
    <n v="0"/>
  </r>
  <r>
    <s v="PROJETADO"/>
    <x v="1"/>
    <x v="2"/>
    <x v="6"/>
    <x v="0"/>
    <x v="0"/>
    <x v="1"/>
    <x v="0"/>
    <x v="11"/>
    <n v="599"/>
    <n v="599"/>
    <n v="0"/>
    <n v="0"/>
    <n v="0"/>
    <n v="0"/>
    <n v="5"/>
    <x v="1"/>
    <n v="0"/>
    <n v="18"/>
    <n v="0"/>
    <n v="0"/>
    <n v="18.470399999999998"/>
    <n v="0"/>
    <n v="0"/>
    <n v="14.889098762306169"/>
    <m/>
    <m/>
    <n v="11063.7696"/>
    <n v="0"/>
    <n v="0"/>
    <n v="8918.5701586213945"/>
    <n v="0"/>
    <n v="0"/>
  </r>
  <r>
    <s v="Regular"/>
    <x v="1"/>
    <x v="2"/>
    <x v="6"/>
    <x v="0"/>
    <x v="0"/>
    <x v="1"/>
    <x v="2"/>
    <x v="0"/>
    <n v="0"/>
    <n v="0"/>
    <n v="5.2389999999999999"/>
    <n v="5.2389999999999999"/>
    <n v="5.2389999999999999"/>
    <n v="5.2389999999999999"/>
    <n v="0"/>
    <x v="1"/>
    <n v="0"/>
    <n v="0"/>
    <n v="16"/>
    <n v="47"/>
    <n v="0"/>
    <n v="1276.4832000000001"/>
    <n v="373.64159999999998"/>
    <m/>
    <n v="1052.8740579870318"/>
    <n v="346.47998010024565"/>
    <n v="0"/>
    <n v="6687.4954848000007"/>
    <n v="1957.5083423999999"/>
    <n v="0"/>
    <n v="5516.0071897940597"/>
    <n v="1815.208615745187"/>
  </r>
  <r>
    <s v="Regular"/>
    <x v="1"/>
    <x v="2"/>
    <x v="6"/>
    <x v="0"/>
    <x v="0"/>
    <x v="1"/>
    <x v="2"/>
    <x v="1"/>
    <n v="0"/>
    <n v="0"/>
    <n v="4.5449999999999999"/>
    <n v="4.5449999999999999"/>
    <n v="4.5449999999999999"/>
    <n v="4.5449999999999999"/>
    <n v="0"/>
    <x v="1"/>
    <n v="0"/>
    <n v="0"/>
    <n v="16"/>
    <n v="47"/>
    <n v="0"/>
    <n v="1276.4832000000001"/>
    <n v="373.64159999999998"/>
    <m/>
    <n v="1052.8740579870318"/>
    <n v="346.47998010024565"/>
    <n v="0"/>
    <n v="5801.6161440000005"/>
    <n v="1698.2010719999998"/>
    <n v="0"/>
    <n v="4785.3125935510598"/>
    <n v="1574.7515095556164"/>
  </r>
  <r>
    <s v="Regular"/>
    <x v="1"/>
    <x v="2"/>
    <x v="6"/>
    <x v="0"/>
    <x v="0"/>
    <x v="1"/>
    <x v="2"/>
    <x v="2"/>
    <n v="0"/>
    <n v="0"/>
    <n v="4.774"/>
    <n v="4.774"/>
    <n v="4.774"/>
    <n v="4.774"/>
    <n v="0"/>
    <x v="1"/>
    <n v="0"/>
    <n v="0"/>
    <n v="16"/>
    <n v="47"/>
    <n v="0"/>
    <n v="1276.4832000000001"/>
    <n v="373.64159999999998"/>
    <m/>
    <n v="1052.8740579870318"/>
    <n v="346.47998010024565"/>
    <n v="0"/>
    <n v="6093.9307968000003"/>
    <n v="1783.7649984"/>
    <n v="0"/>
    <n v="5026.4207528300904"/>
    <n v="1654.0954249985728"/>
  </r>
  <r>
    <s v="Regular"/>
    <x v="1"/>
    <x v="2"/>
    <x v="6"/>
    <x v="0"/>
    <x v="0"/>
    <x v="1"/>
    <x v="2"/>
    <x v="3"/>
    <n v="0"/>
    <n v="0"/>
    <n v="8.2390000000000008"/>
    <n v="8.2390000000000008"/>
    <n v="8.2390000000000008"/>
    <n v="8.2390000000000008"/>
    <n v="0"/>
    <x v="1"/>
    <n v="0"/>
    <n v="0"/>
    <n v="16"/>
    <n v="47"/>
    <n v="0"/>
    <n v="1276.4832000000001"/>
    <n v="373.64159999999998"/>
    <m/>
    <n v="1052.8740579870318"/>
    <n v="346.47998010024565"/>
    <n v="0"/>
    <n v="10516.945084800001"/>
    <n v="3078.4331424000002"/>
    <n v="0"/>
    <n v="8674.6293637551571"/>
    <n v="2854.6485560459241"/>
  </r>
  <r>
    <s v="Regular"/>
    <x v="1"/>
    <x v="2"/>
    <x v="6"/>
    <x v="0"/>
    <x v="0"/>
    <x v="1"/>
    <x v="2"/>
    <x v="4"/>
    <n v="0"/>
    <n v="0"/>
    <n v="11.343999999999999"/>
    <n v="11.343999999999999"/>
    <n v="11.343999999999999"/>
    <n v="11.343999999999999"/>
    <n v="0"/>
    <x v="1"/>
    <n v="0"/>
    <n v="0"/>
    <n v="16"/>
    <n v="47"/>
    <n v="0"/>
    <n v="1276.4832000000001"/>
    <n v="373.64159999999998"/>
    <m/>
    <n v="1052.8740579870318"/>
    <n v="346.47998010024565"/>
    <n v="0"/>
    <n v="14480.4254208"/>
    <n v="4238.5903103999999"/>
    <n v="0"/>
    <n v="11943.803313804889"/>
    <n v="3930.4688942571865"/>
  </r>
  <r>
    <s v="Regular"/>
    <x v="1"/>
    <x v="2"/>
    <x v="6"/>
    <x v="0"/>
    <x v="0"/>
    <x v="1"/>
    <x v="2"/>
    <x v="5"/>
    <n v="0"/>
    <n v="0"/>
    <n v="7.3520000000000003"/>
    <n v="7.3520000000000003"/>
    <n v="7.3520000000000003"/>
    <n v="7.3520000000000003"/>
    <n v="0"/>
    <x v="1"/>
    <n v="0"/>
    <n v="0"/>
    <n v="16"/>
    <n v="47"/>
    <n v="0"/>
    <n v="1276.4832000000001"/>
    <n v="373.64159999999998"/>
    <m/>
    <n v="1052.8740579870318"/>
    <n v="346.47998010024565"/>
    <n v="0"/>
    <n v="9384.7044864000018"/>
    <n v="2747.0130432000001"/>
    <n v="0"/>
    <n v="7740.7300743206588"/>
    <n v="2547.3208136970061"/>
  </r>
  <r>
    <s v="Regular"/>
    <x v="1"/>
    <x v="2"/>
    <x v="6"/>
    <x v="0"/>
    <x v="0"/>
    <x v="1"/>
    <x v="2"/>
    <x v="6"/>
    <n v="0"/>
    <n v="0"/>
    <n v="9.4760000000000009"/>
    <n v="9.4760000000000009"/>
    <n v="9.4760000000000009"/>
    <n v="9.4760000000000009"/>
    <n v="0"/>
    <x v="1"/>
    <n v="0"/>
    <n v="0"/>
    <n v="16"/>
    <n v="47"/>
    <n v="0"/>
    <n v="1276.4832000000001"/>
    <n v="373.64159999999998"/>
    <m/>
    <n v="1052.8740579870318"/>
    <n v="346.47998010024565"/>
    <n v="0"/>
    <n v="12095.954803200002"/>
    <n v="3540.6278016000001"/>
    <n v="0"/>
    <n v="9977.0345734851144"/>
    <n v="3283.2442914299281"/>
  </r>
  <r>
    <s v="Refaturamento - Regular"/>
    <x v="1"/>
    <x v="2"/>
    <x v="6"/>
    <x v="0"/>
    <x v="0"/>
    <x v="1"/>
    <x v="2"/>
    <x v="6"/>
    <n v="0"/>
    <n v="0"/>
    <n v="8.0869999999999997"/>
    <n v="8.0869999999999997"/>
    <n v="8.0869999999999997"/>
    <n v="8.0869999999999997"/>
    <n v="0"/>
    <x v="1"/>
    <n v="0"/>
    <n v="0"/>
    <n v="16"/>
    <n v="47"/>
    <n v="0"/>
    <n v="1276.4832000000001"/>
    <n v="373.64159999999998"/>
    <m/>
    <n v="1052.8740579870318"/>
    <n v="346.47998010024565"/>
    <n v="0"/>
    <n v="10322.919638400001"/>
    <n v="3021.6396191999997"/>
    <n v="0"/>
    <n v="8514.592506941126"/>
    <n v="2801.9835990706865"/>
  </r>
  <r>
    <s v="Regular"/>
    <x v="1"/>
    <x v="2"/>
    <x v="6"/>
    <x v="0"/>
    <x v="0"/>
    <x v="1"/>
    <x v="2"/>
    <x v="7"/>
    <n v="0"/>
    <n v="0"/>
    <n v="5.8570000000000002"/>
    <n v="5.8570000000000002"/>
    <n v="5.8570000000000002"/>
    <n v="5.8570000000000002"/>
    <n v="0"/>
    <x v="1"/>
    <n v="0"/>
    <n v="0"/>
    <n v="16"/>
    <n v="47"/>
    <n v="0"/>
    <n v="1276.4832000000001"/>
    <n v="373.64159999999998"/>
    <m/>
    <n v="1052.8740579870318"/>
    <n v="346.47998010024565"/>
    <n v="0"/>
    <n v="7476.3621024000013"/>
    <n v="2188.4188512000001"/>
    <n v="0"/>
    <n v="6166.683357630046"/>
    <n v="2029.3332434471388"/>
  </r>
  <r>
    <s v="Regular"/>
    <x v="1"/>
    <x v="2"/>
    <x v="6"/>
    <x v="0"/>
    <x v="0"/>
    <x v="1"/>
    <x v="2"/>
    <x v="8"/>
    <n v="0"/>
    <n v="0"/>
    <n v="9.6010000000000009"/>
    <n v="9.6010000000000009"/>
    <n v="9.6010000000000009"/>
    <n v="9.6010000000000009"/>
    <n v="0"/>
    <x v="1"/>
    <n v="0"/>
    <n v="0"/>
    <n v="16"/>
    <n v="47"/>
    <n v="0"/>
    <n v="1276.4832000000001"/>
    <n v="373.64159999999998"/>
    <m/>
    <n v="1052.8740579870318"/>
    <n v="346.47998010024565"/>
    <n v="0"/>
    <n v="12255.515203200002"/>
    <n v="3587.3330016"/>
    <n v="0"/>
    <n v="10108.643830733494"/>
    <n v="3326.5542889424587"/>
  </r>
  <r>
    <s v="Regular"/>
    <x v="1"/>
    <x v="2"/>
    <x v="6"/>
    <x v="0"/>
    <x v="0"/>
    <x v="1"/>
    <x v="2"/>
    <x v="9"/>
    <n v="0"/>
    <n v="0"/>
    <n v="14.144"/>
    <n v="14.144"/>
    <n v="14.144"/>
    <n v="14.144"/>
    <n v="0"/>
    <x v="1"/>
    <n v="0"/>
    <n v="0"/>
    <n v="16"/>
    <n v="47"/>
    <n v="0"/>
    <n v="1276.4832000000001"/>
    <n v="373.64159999999998"/>
    <m/>
    <n v="1052.8740579870318"/>
    <n v="346.47998010024565"/>
    <n v="0"/>
    <n v="18054.578380800001"/>
    <n v="5284.7867903999995"/>
    <n v="0"/>
    <n v="14891.850676168579"/>
    <n v="4900.6128385378743"/>
  </r>
  <r>
    <s v="Regular"/>
    <x v="1"/>
    <x v="2"/>
    <x v="6"/>
    <x v="0"/>
    <x v="0"/>
    <x v="1"/>
    <x v="2"/>
    <x v="10"/>
    <n v="0"/>
    <n v="0"/>
    <n v="10.738"/>
    <n v="10.738"/>
    <n v="10.738"/>
    <n v="10.738"/>
    <n v="0"/>
    <x v="1"/>
    <n v="0"/>
    <n v="0"/>
    <n v="16"/>
    <n v="47"/>
    <n v="0"/>
    <n v="1276.4832000000001"/>
    <n v="373.64159999999998"/>
    <m/>
    <n v="1052.8740579870318"/>
    <n v="346.47998010024565"/>
    <n v="0"/>
    <n v="13706.876601600001"/>
    <n v="4012.1635007999998"/>
    <n v="0"/>
    <n v="11305.761634664748"/>
    <n v="3720.5020263164379"/>
  </r>
  <r>
    <s v="PROJETADO"/>
    <x v="1"/>
    <x v="2"/>
    <x v="6"/>
    <x v="0"/>
    <x v="0"/>
    <x v="1"/>
    <x v="2"/>
    <x v="11"/>
    <n v="0"/>
    <n v="0"/>
    <n v="10.738"/>
    <n v="10.738"/>
    <n v="10.738"/>
    <n v="10.738"/>
    <n v="0"/>
    <x v="1"/>
    <n v="0"/>
    <n v="0"/>
    <n v="16"/>
    <n v="47"/>
    <n v="0"/>
    <n v="1276.4832000000001"/>
    <n v="373.64159999999998"/>
    <m/>
    <n v="1052.8740579870318"/>
    <n v="346.47998010024565"/>
    <n v="0"/>
    <n v="13706.876601600001"/>
    <n v="4012.1635007999998"/>
    <n v="0"/>
    <n v="11305.761634664748"/>
    <n v="3720.5020263164379"/>
  </r>
  <r>
    <s v="Regular"/>
    <x v="2"/>
    <x v="3"/>
    <x v="7"/>
    <x v="3"/>
    <x v="0"/>
    <x v="1"/>
    <x v="1"/>
    <x v="0"/>
    <n v="0"/>
    <n v="0"/>
    <n v="1.181"/>
    <n v="1.181"/>
    <n v="1.181"/>
    <n v="1.181"/>
    <n v="0"/>
    <x v="1"/>
    <n v="0"/>
    <n v="0"/>
    <n v="23"/>
    <n v="56"/>
    <n v="0"/>
    <n v="196.18"/>
    <n v="246.3"/>
    <m/>
    <n v="198.60138395404957"/>
    <n v="219.40364509824883"/>
    <n v="0"/>
    <n v="231.68858000000003"/>
    <n v="290.88030000000003"/>
    <n v="0"/>
    <n v="234.54823444973255"/>
    <n v="259.11570486103187"/>
  </r>
  <r>
    <s v="Regular"/>
    <x v="2"/>
    <x v="3"/>
    <x v="7"/>
    <x v="3"/>
    <x v="0"/>
    <x v="1"/>
    <x v="1"/>
    <x v="1"/>
    <n v="0"/>
    <n v="0"/>
    <n v="2.4350000000000001"/>
    <n v="2.4350000000000001"/>
    <n v="2.4350000000000001"/>
    <n v="2.4350000000000001"/>
    <n v="0"/>
    <x v="1"/>
    <n v="0"/>
    <n v="0"/>
    <n v="23"/>
    <n v="56"/>
    <n v="0"/>
    <n v="196.18"/>
    <n v="246.3"/>
    <m/>
    <n v="198.60138395404957"/>
    <n v="219.40364509824883"/>
    <n v="0"/>
    <n v="477.69830000000002"/>
    <n v="599.7405"/>
    <n v="0"/>
    <n v="483.59436992811072"/>
    <n v="534.24787581423595"/>
  </r>
  <r>
    <s v="Regular"/>
    <x v="2"/>
    <x v="3"/>
    <x v="7"/>
    <x v="3"/>
    <x v="0"/>
    <x v="1"/>
    <x v="1"/>
    <x v="2"/>
    <n v="0"/>
    <n v="0"/>
    <n v="0.71899999999999997"/>
    <n v="0.71899999999999997"/>
    <n v="0.71899999999999997"/>
    <n v="0.71899999999999997"/>
    <n v="0"/>
    <x v="1"/>
    <n v="0"/>
    <n v="0"/>
    <n v="23"/>
    <n v="56"/>
    <n v="0"/>
    <n v="196.18"/>
    <n v="246.3"/>
    <m/>
    <n v="198.60138395404957"/>
    <n v="219.40364509824883"/>
    <n v="0"/>
    <n v="141.05341999999999"/>
    <n v="177.08969999999999"/>
    <n v="0"/>
    <n v="142.79439506296163"/>
    <n v="157.7512208256409"/>
  </r>
  <r>
    <s v="Regular"/>
    <x v="2"/>
    <x v="3"/>
    <x v="7"/>
    <x v="3"/>
    <x v="0"/>
    <x v="1"/>
    <x v="1"/>
    <x v="3"/>
    <n v="0"/>
    <n v="0"/>
    <n v="0.75900000000000001"/>
    <n v="0.75900000000000001"/>
    <n v="0.75900000000000001"/>
    <n v="0.75900000000000001"/>
    <n v="0"/>
    <x v="1"/>
    <n v="0"/>
    <n v="0"/>
    <n v="23"/>
    <n v="56"/>
    <n v="0"/>
    <n v="196.18"/>
    <n v="246.3"/>
    <m/>
    <n v="198.60138395404957"/>
    <n v="219.40364509824883"/>
    <n v="0"/>
    <n v="148.90062"/>
    <n v="186.9417"/>
    <n v="0"/>
    <n v="150.73845042112362"/>
    <n v="166.52736662957088"/>
  </r>
  <r>
    <s v="Regular"/>
    <x v="2"/>
    <x v="3"/>
    <x v="7"/>
    <x v="3"/>
    <x v="0"/>
    <x v="1"/>
    <x v="1"/>
    <x v="4"/>
    <n v="0"/>
    <n v="0"/>
    <n v="0.91500000000000004"/>
    <n v="0.91500000000000004"/>
    <n v="0.91500000000000004"/>
    <n v="0.91500000000000004"/>
    <n v="0"/>
    <x v="1"/>
    <n v="0"/>
    <n v="0"/>
    <n v="23"/>
    <n v="56"/>
    <n v="0"/>
    <n v="196.18"/>
    <n v="246.3"/>
    <m/>
    <n v="198.60138395404957"/>
    <n v="219.40364509824883"/>
    <n v="0"/>
    <n v="179.50470000000001"/>
    <n v="225.36450000000002"/>
    <n v="0"/>
    <n v="181.72026631795535"/>
    <n v="200.75433526489769"/>
  </r>
  <r>
    <s v="Regular"/>
    <x v="2"/>
    <x v="3"/>
    <x v="7"/>
    <x v="3"/>
    <x v="0"/>
    <x v="1"/>
    <x v="1"/>
    <x v="5"/>
    <n v="0"/>
    <n v="0"/>
    <n v="1.01"/>
    <n v="1.01"/>
    <n v="1.01"/>
    <n v="1.01"/>
    <n v="0"/>
    <x v="1"/>
    <n v="0"/>
    <n v="0"/>
    <n v="23"/>
    <n v="56"/>
    <n v="0"/>
    <n v="196.18"/>
    <n v="246.3"/>
    <m/>
    <n v="198.60138395404957"/>
    <n v="219.40364509824883"/>
    <n v="0"/>
    <n v="198.14180000000002"/>
    <n v="248.76300000000001"/>
    <n v="0"/>
    <n v="200.58739779359007"/>
    <n v="221.59768154923131"/>
  </r>
  <r>
    <s v="Regular"/>
    <x v="2"/>
    <x v="3"/>
    <x v="7"/>
    <x v="3"/>
    <x v="0"/>
    <x v="1"/>
    <x v="1"/>
    <x v="6"/>
    <n v="0"/>
    <n v="0"/>
    <n v="1.4059999999999999"/>
    <n v="1.4059999999999999"/>
    <n v="1.4059999999999999"/>
    <n v="1.4059999999999999"/>
    <n v="0"/>
    <x v="1"/>
    <n v="0"/>
    <n v="0"/>
    <n v="23"/>
    <n v="56"/>
    <n v="0"/>
    <n v="196.18"/>
    <n v="246.3"/>
    <m/>
    <n v="198.60138395404957"/>
    <n v="219.40364509824883"/>
    <n v="0"/>
    <n v="275.82907999999998"/>
    <n v="346.2978"/>
    <n v="0"/>
    <n v="279.23354583939368"/>
    <n v="308.48152500813785"/>
  </r>
  <r>
    <s v="Regular"/>
    <x v="2"/>
    <x v="3"/>
    <x v="7"/>
    <x v="3"/>
    <x v="0"/>
    <x v="1"/>
    <x v="1"/>
    <x v="7"/>
    <n v="0"/>
    <n v="0"/>
    <n v="0.307"/>
    <n v="0.307"/>
    <n v="0.307"/>
    <n v="0.307"/>
    <n v="0"/>
    <x v="1"/>
    <n v="0"/>
    <n v="0"/>
    <n v="23"/>
    <n v="56"/>
    <n v="0"/>
    <n v="196.18"/>
    <n v="246.3"/>
    <m/>
    <n v="198.60138395404957"/>
    <n v="219.40364509824883"/>
    <n v="0"/>
    <n v="60.227260000000001"/>
    <n v="75.614100000000008"/>
    <n v="0"/>
    <n v="60.970624873893215"/>
    <n v="67.356919045162385"/>
  </r>
  <r>
    <s v="Regular"/>
    <x v="2"/>
    <x v="3"/>
    <x v="7"/>
    <x v="3"/>
    <x v="0"/>
    <x v="1"/>
    <x v="1"/>
    <x v="8"/>
    <n v="0"/>
    <n v="0"/>
    <n v="0.92500000000000004"/>
    <n v="0.92500000000000004"/>
    <n v="0.92500000000000004"/>
    <n v="0.92500000000000004"/>
    <n v="0"/>
    <x v="1"/>
    <n v="0"/>
    <n v="0"/>
    <n v="23"/>
    <n v="56"/>
    <n v="0"/>
    <n v="196.18"/>
    <n v="246.3"/>
    <m/>
    <n v="198.60138395404957"/>
    <n v="219.40364509824883"/>
    <n v="0"/>
    <n v="181.46650000000002"/>
    <n v="227.82750000000001"/>
    <n v="0"/>
    <n v="183.70628015749585"/>
    <n v="202.94837171588017"/>
  </r>
  <r>
    <s v="Regular"/>
    <x v="2"/>
    <x v="3"/>
    <x v="7"/>
    <x v="3"/>
    <x v="0"/>
    <x v="1"/>
    <x v="1"/>
    <x v="9"/>
    <n v="0"/>
    <n v="0"/>
    <n v="0.69899999999999995"/>
    <n v="0.69899999999999995"/>
    <n v="0.69899999999999995"/>
    <n v="0.69899999999999995"/>
    <n v="0"/>
    <x v="1"/>
    <n v="0"/>
    <n v="0"/>
    <n v="23"/>
    <n v="56"/>
    <n v="0"/>
    <n v="196.18"/>
    <n v="246.3"/>
    <m/>
    <n v="198.60138395404957"/>
    <n v="219.40364509824883"/>
    <n v="0"/>
    <n v="137.12982"/>
    <n v="172.16370000000001"/>
    <n v="0"/>
    <n v="138.82236738388065"/>
    <n v="153.36314792367591"/>
  </r>
  <r>
    <s v="Regular"/>
    <x v="2"/>
    <x v="3"/>
    <x v="7"/>
    <x v="3"/>
    <x v="0"/>
    <x v="1"/>
    <x v="1"/>
    <x v="10"/>
    <n v="0"/>
    <n v="0"/>
    <n v="0.75600000000000001"/>
    <n v="0.75600000000000001"/>
    <n v="0.75600000000000001"/>
    <n v="0.75600000000000001"/>
    <n v="0"/>
    <x v="1"/>
    <n v="0"/>
    <n v="0"/>
    <n v="23"/>
    <n v="56"/>
    <n v="0"/>
    <n v="196.18"/>
    <n v="246.3"/>
    <m/>
    <n v="198.60138395404957"/>
    <n v="219.40364509824883"/>
    <n v="0"/>
    <n v="148.31208000000001"/>
    <n v="186.2028"/>
    <n v="0"/>
    <n v="150.14264626926146"/>
    <n v="165.86915569427612"/>
  </r>
  <r>
    <s v="PROJETADO"/>
    <x v="2"/>
    <x v="3"/>
    <x v="7"/>
    <x v="3"/>
    <x v="0"/>
    <x v="1"/>
    <x v="1"/>
    <x v="11"/>
    <n v="0"/>
    <n v="0"/>
    <n v="0.75600000000000001"/>
    <n v="0.75600000000000001"/>
    <n v="0.75600000000000001"/>
    <n v="0.75600000000000001"/>
    <n v="0"/>
    <x v="1"/>
    <n v="0"/>
    <n v="0"/>
    <n v="23"/>
    <n v="56"/>
    <n v="0"/>
    <n v="196.18"/>
    <n v="246.3"/>
    <m/>
    <n v="198.60138395404957"/>
    <n v="219.40364509824883"/>
    <n v="0"/>
    <n v="148.31208000000001"/>
    <n v="186.2028"/>
    <n v="0"/>
    <n v="150.14264626926146"/>
    <n v="165.86915569427612"/>
  </r>
  <r>
    <s v="Regular"/>
    <x v="2"/>
    <x v="3"/>
    <x v="7"/>
    <x v="3"/>
    <x v="0"/>
    <x v="1"/>
    <x v="3"/>
    <x v="0"/>
    <n v="0"/>
    <n v="0"/>
    <n v="3.2000000000000001E-2"/>
    <n v="3.2000000000000001E-2"/>
    <n v="3.2000000000000001E-2"/>
    <n v="3.2000000000000001E-2"/>
    <n v="0"/>
    <x v="1"/>
    <n v="0"/>
    <n v="0"/>
    <n v="4"/>
    <n v="40"/>
    <n v="0"/>
    <n v="556.29"/>
    <n v="246.3"/>
    <m/>
    <n v="494.59970140636"/>
    <n v="219.40364509824883"/>
    <n v="0"/>
    <n v="17.801279999999998"/>
    <n v="7.8816000000000006"/>
    <n v="0"/>
    <n v="15.82719044500352"/>
    <n v="7.0209166431439627"/>
  </r>
  <r>
    <s v="Regular"/>
    <x v="2"/>
    <x v="3"/>
    <x v="7"/>
    <x v="3"/>
    <x v="0"/>
    <x v="1"/>
    <x v="3"/>
    <x v="1"/>
    <n v="0"/>
    <n v="0"/>
    <n v="3.3000000000000002E-2"/>
    <n v="3.3000000000000002E-2"/>
    <n v="3.3000000000000002E-2"/>
    <n v="3.3000000000000002E-2"/>
    <n v="0"/>
    <x v="1"/>
    <n v="0"/>
    <n v="0"/>
    <n v="4"/>
    <n v="40"/>
    <n v="0"/>
    <n v="556.29"/>
    <n v="246.3"/>
    <m/>
    <n v="494.59970140636"/>
    <n v="219.40364509824883"/>
    <n v="0"/>
    <n v="18.357569999999999"/>
    <n v="8.1279000000000003"/>
    <n v="0"/>
    <n v="16.321790146409882"/>
    <n v="7.240320288242212"/>
  </r>
  <r>
    <s v="Regular"/>
    <x v="2"/>
    <x v="3"/>
    <x v="7"/>
    <x v="3"/>
    <x v="0"/>
    <x v="1"/>
    <x v="3"/>
    <x v="2"/>
    <n v="0"/>
    <n v="0"/>
    <n v="3.9E-2"/>
    <n v="3.9E-2"/>
    <n v="3.9E-2"/>
    <n v="3.9E-2"/>
    <n v="0"/>
    <x v="1"/>
    <n v="0"/>
    <n v="0"/>
    <n v="4"/>
    <n v="40"/>
    <n v="0"/>
    <n v="556.29"/>
    <n v="246.3"/>
    <m/>
    <n v="494.59970140636"/>
    <n v="219.40364509824883"/>
    <n v="0"/>
    <n v="21.695309999999999"/>
    <n v="9.6057000000000006"/>
    <n v="0"/>
    <n v="19.28938835484804"/>
    <n v="8.556742158831705"/>
  </r>
  <r>
    <s v="Regular"/>
    <x v="2"/>
    <x v="3"/>
    <x v="7"/>
    <x v="3"/>
    <x v="0"/>
    <x v="1"/>
    <x v="3"/>
    <x v="3"/>
    <n v="0"/>
    <n v="0"/>
    <n v="3.5999999999999997E-2"/>
    <n v="3.5999999999999997E-2"/>
    <n v="3.5999999999999997E-2"/>
    <n v="3.5999999999999997E-2"/>
    <n v="0"/>
    <x v="1"/>
    <n v="0"/>
    <n v="0"/>
    <n v="4"/>
    <n v="40"/>
    <n v="0"/>
    <n v="556.29"/>
    <n v="246.3"/>
    <m/>
    <n v="494.59970140636"/>
    <n v="219.40364509824883"/>
    <n v="0"/>
    <n v="20.026439999999997"/>
    <n v="8.8667999999999996"/>
    <n v="0"/>
    <n v="17.805589250628959"/>
    <n v="7.8985312235369571"/>
  </r>
  <r>
    <s v="Regular"/>
    <x v="2"/>
    <x v="3"/>
    <x v="7"/>
    <x v="3"/>
    <x v="0"/>
    <x v="1"/>
    <x v="3"/>
    <x v="4"/>
    <n v="0"/>
    <n v="0"/>
    <n v="5.3999999999999999E-2"/>
    <n v="5.3999999999999999E-2"/>
    <n v="5.3999999999999999E-2"/>
    <n v="5.3999999999999999E-2"/>
    <n v="0"/>
    <x v="1"/>
    <n v="0"/>
    <n v="0"/>
    <n v="4"/>
    <n v="40"/>
    <n v="0"/>
    <n v="556.29"/>
    <n v="246.3"/>
    <m/>
    <n v="494.59970140636"/>
    <n v="219.40364509824883"/>
    <n v="0"/>
    <n v="30.039659999999998"/>
    <n v="13.3002"/>
    <n v="0"/>
    <n v="26.70838387594344"/>
    <n v="11.847796835305436"/>
  </r>
  <r>
    <s v="Regular"/>
    <x v="2"/>
    <x v="3"/>
    <x v="7"/>
    <x v="3"/>
    <x v="0"/>
    <x v="1"/>
    <x v="3"/>
    <x v="5"/>
    <n v="0"/>
    <n v="0"/>
    <n v="0.08"/>
    <n v="0.08"/>
    <n v="0.08"/>
    <n v="0.08"/>
    <n v="0"/>
    <x v="1"/>
    <n v="0"/>
    <n v="0"/>
    <n v="4"/>
    <n v="40"/>
    <n v="0"/>
    <n v="556.29"/>
    <n v="246.3"/>
    <m/>
    <n v="494.59970140636"/>
    <n v="219.40364509824883"/>
    <n v="0"/>
    <n v="44.5032"/>
    <n v="19.704000000000001"/>
    <n v="0"/>
    <n v="39.567976112508802"/>
    <n v="17.552291607859907"/>
  </r>
  <r>
    <s v="Regular"/>
    <x v="2"/>
    <x v="3"/>
    <x v="7"/>
    <x v="3"/>
    <x v="0"/>
    <x v="1"/>
    <x v="3"/>
    <x v="6"/>
    <n v="0"/>
    <n v="0"/>
    <n v="0.1"/>
    <n v="0.1"/>
    <n v="0.1"/>
    <n v="0.1"/>
    <n v="0"/>
    <x v="1"/>
    <n v="0"/>
    <n v="0"/>
    <n v="4"/>
    <n v="40"/>
    <n v="0"/>
    <n v="556.29"/>
    <n v="246.3"/>
    <m/>
    <n v="494.59970140636"/>
    <n v="219.40364509824883"/>
    <n v="0"/>
    <n v="55.628999999999998"/>
    <n v="24.630000000000003"/>
    <n v="0"/>
    <n v="49.459970140636003"/>
    <n v="21.940364509824885"/>
  </r>
  <r>
    <s v="Regular"/>
    <x v="2"/>
    <x v="3"/>
    <x v="7"/>
    <x v="3"/>
    <x v="0"/>
    <x v="1"/>
    <x v="3"/>
    <x v="7"/>
    <n v="0"/>
    <n v="0"/>
    <n v="3.5000000000000003E-2"/>
    <n v="3.5000000000000003E-2"/>
    <n v="3.5000000000000003E-2"/>
    <n v="3.5000000000000003E-2"/>
    <n v="0"/>
    <x v="1"/>
    <n v="0"/>
    <n v="0"/>
    <n v="4"/>
    <n v="40"/>
    <n v="0"/>
    <n v="556.29"/>
    <n v="246.3"/>
    <m/>
    <n v="494.59970140636"/>
    <n v="219.40364509824883"/>
    <n v="0"/>
    <n v="19.47015"/>
    <n v="8.6205000000000016"/>
    <n v="0"/>
    <n v="17.310989549222601"/>
    <n v="7.6791275784387096"/>
  </r>
  <r>
    <s v="Regular"/>
    <x v="2"/>
    <x v="3"/>
    <x v="7"/>
    <x v="3"/>
    <x v="0"/>
    <x v="1"/>
    <x v="3"/>
    <x v="8"/>
    <n v="0"/>
    <n v="0"/>
    <n v="0.129"/>
    <n v="0.129"/>
    <n v="0.129"/>
    <n v="0.129"/>
    <n v="0"/>
    <x v="1"/>
    <n v="0"/>
    <n v="0"/>
    <n v="4"/>
    <n v="40"/>
    <n v="0"/>
    <n v="556.29"/>
    <n v="246.3"/>
    <m/>
    <n v="494.59970140636"/>
    <n v="219.40364509824883"/>
    <n v="0"/>
    <n v="71.761409999999998"/>
    <n v="31.772700000000004"/>
    <n v="0"/>
    <n v="63.803361481420438"/>
    <n v="28.303070217674101"/>
  </r>
  <r>
    <s v="Regular"/>
    <x v="2"/>
    <x v="3"/>
    <x v="7"/>
    <x v="3"/>
    <x v="0"/>
    <x v="1"/>
    <x v="3"/>
    <x v="9"/>
    <n v="0"/>
    <n v="0"/>
    <n v="3.4000000000000002E-2"/>
    <n v="3.4000000000000002E-2"/>
    <n v="3.4000000000000002E-2"/>
    <n v="3.4000000000000002E-2"/>
    <n v="0"/>
    <x v="1"/>
    <n v="0"/>
    <n v="0"/>
    <n v="4"/>
    <n v="40"/>
    <n v="0"/>
    <n v="556.29"/>
    <n v="246.3"/>
    <m/>
    <n v="494.59970140636"/>
    <n v="219.40364509824883"/>
    <n v="0"/>
    <n v="18.91386"/>
    <n v="8.3742000000000019"/>
    <n v="0"/>
    <n v="16.816389847816239"/>
    <n v="7.4597239333404604"/>
  </r>
  <r>
    <s v="Regular"/>
    <x v="2"/>
    <x v="3"/>
    <x v="7"/>
    <x v="3"/>
    <x v="0"/>
    <x v="1"/>
    <x v="3"/>
    <x v="10"/>
    <n v="0"/>
    <n v="0"/>
    <n v="3.7999999999999999E-2"/>
    <n v="3.7999999999999999E-2"/>
    <n v="3.7999999999999999E-2"/>
    <n v="3.7999999999999999E-2"/>
    <n v="0"/>
    <x v="1"/>
    <n v="0"/>
    <n v="0"/>
    <n v="4"/>
    <n v="40"/>
    <n v="0"/>
    <n v="556.29"/>
    <n v="246.3"/>
    <m/>
    <n v="494.59970140636"/>
    <n v="219.40364509824883"/>
    <n v="0"/>
    <n v="21.139019999999999"/>
    <n v="9.3594000000000008"/>
    <n v="0"/>
    <n v="18.794788653441678"/>
    <n v="8.3373385137334548"/>
  </r>
  <r>
    <s v="PROJETADO"/>
    <x v="2"/>
    <x v="3"/>
    <x v="7"/>
    <x v="3"/>
    <x v="0"/>
    <x v="1"/>
    <x v="3"/>
    <x v="11"/>
    <n v="0"/>
    <n v="0"/>
    <n v="3.7999999999999999E-2"/>
    <n v="3.7999999999999999E-2"/>
    <n v="3.7999999999999999E-2"/>
    <n v="3.7999999999999999E-2"/>
    <n v="0"/>
    <x v="1"/>
    <n v="0"/>
    <n v="0"/>
    <n v="4"/>
    <n v="40"/>
    <n v="0"/>
    <n v="556.29"/>
    <n v="246.3"/>
    <m/>
    <n v="494.59970140636"/>
    <n v="219.40364509824883"/>
    <n v="0"/>
    <n v="21.139019999999999"/>
    <n v="9.3594000000000008"/>
    <n v="0"/>
    <n v="18.794788653441678"/>
    <n v="8.3373385137334548"/>
  </r>
  <r>
    <s v="Regular"/>
    <x v="2"/>
    <x v="3"/>
    <x v="7"/>
    <x v="3"/>
    <x v="0"/>
    <x v="1"/>
    <x v="2"/>
    <x v="0"/>
    <n v="0"/>
    <n v="0"/>
    <n v="8.3000000000000004E-2"/>
    <n v="8.3000000000000004E-2"/>
    <n v="8.3000000000000004E-2"/>
    <n v="8.3000000000000004E-2"/>
    <n v="0"/>
    <x v="1"/>
    <n v="0"/>
    <n v="0"/>
    <n v="1"/>
    <n v="48"/>
    <n v="0"/>
    <n v="1014.17"/>
    <n v="389.21"/>
    <m/>
    <n v="864.59749550040999"/>
    <n v="353.55100010229148"/>
    <n v="0"/>
    <n v="84.176109999999994"/>
    <n v="32.304430000000004"/>
    <n v="0"/>
    <n v="71.761592126534026"/>
    <n v="29.344733008490195"/>
  </r>
  <r>
    <s v="Regular"/>
    <x v="2"/>
    <x v="3"/>
    <x v="7"/>
    <x v="3"/>
    <x v="0"/>
    <x v="1"/>
    <x v="2"/>
    <x v="1"/>
    <n v="0"/>
    <n v="0"/>
    <n v="6.2E-2"/>
    <n v="6.2E-2"/>
    <n v="6.2E-2"/>
    <n v="6.2E-2"/>
    <n v="0"/>
    <x v="1"/>
    <n v="0"/>
    <n v="0"/>
    <n v="1"/>
    <n v="48"/>
    <n v="0"/>
    <n v="1014.17"/>
    <n v="389.21"/>
    <m/>
    <n v="864.59749550040999"/>
    <n v="353.55100010229148"/>
    <n v="0"/>
    <n v="62.878539999999994"/>
    <n v="24.131019999999999"/>
    <n v="0"/>
    <n v="53.605044721025422"/>
    <n v="21.920162006342071"/>
  </r>
  <r>
    <s v="Regular"/>
    <x v="2"/>
    <x v="3"/>
    <x v="7"/>
    <x v="3"/>
    <x v="0"/>
    <x v="1"/>
    <x v="2"/>
    <x v="2"/>
    <n v="0"/>
    <n v="0"/>
    <n v="7.3999999999999996E-2"/>
    <n v="7.3999999999999996E-2"/>
    <n v="7.3999999999999996E-2"/>
    <n v="7.3999999999999996E-2"/>
    <n v="0"/>
    <x v="1"/>
    <n v="0"/>
    <n v="0"/>
    <n v="1"/>
    <n v="48"/>
    <n v="0"/>
    <n v="1014.17"/>
    <n v="389.21"/>
    <m/>
    <n v="864.59749550040999"/>
    <n v="353.55100010229148"/>
    <n v="0"/>
    <n v="75.048579999999987"/>
    <n v="28.801539999999996"/>
    <n v="0"/>
    <n v="63.980214667030339"/>
    <n v="26.162774007569567"/>
  </r>
  <r>
    <s v="Regular"/>
    <x v="2"/>
    <x v="3"/>
    <x v="7"/>
    <x v="3"/>
    <x v="0"/>
    <x v="1"/>
    <x v="2"/>
    <x v="3"/>
    <n v="0"/>
    <n v="0"/>
    <n v="8.1000000000000003E-2"/>
    <n v="8.1000000000000003E-2"/>
    <n v="8.1000000000000003E-2"/>
    <n v="8.1000000000000003E-2"/>
    <n v="0"/>
    <x v="1"/>
    <n v="0"/>
    <n v="0"/>
    <n v="1"/>
    <n v="48"/>
    <n v="0"/>
    <n v="1014.17"/>
    <n v="389.21"/>
    <m/>
    <n v="864.59749550040999"/>
    <n v="353.55100010229148"/>
    <n v="0"/>
    <n v="82.147769999999994"/>
    <n v="31.526009999999999"/>
    <n v="0"/>
    <n v="70.032397135533216"/>
    <n v="28.637631008285609"/>
  </r>
  <r>
    <s v="Regular"/>
    <x v="2"/>
    <x v="3"/>
    <x v="7"/>
    <x v="3"/>
    <x v="0"/>
    <x v="1"/>
    <x v="2"/>
    <x v="4"/>
    <n v="0"/>
    <n v="0"/>
    <n v="9.5000000000000001E-2"/>
    <n v="9.5000000000000001E-2"/>
    <n v="9.5000000000000001E-2"/>
    <n v="9.5000000000000001E-2"/>
    <n v="0"/>
    <x v="1"/>
    <n v="0"/>
    <n v="0"/>
    <n v="1"/>
    <n v="48"/>
    <n v="0"/>
    <n v="1014.17"/>
    <n v="389.21"/>
    <m/>
    <n v="864.59749550040999"/>
    <n v="353.55100010229148"/>
    <n v="0"/>
    <n v="96.346149999999994"/>
    <n v="36.97495"/>
    <n v="0"/>
    <n v="82.136762072538957"/>
    <n v="33.587345009717694"/>
  </r>
  <r>
    <s v="Regular"/>
    <x v="2"/>
    <x v="3"/>
    <x v="7"/>
    <x v="3"/>
    <x v="0"/>
    <x v="1"/>
    <x v="2"/>
    <x v="5"/>
    <n v="0"/>
    <n v="0"/>
    <n v="0.10299999999999999"/>
    <n v="0.10299999999999999"/>
    <n v="0.10299999999999999"/>
    <n v="0.10299999999999999"/>
    <n v="0"/>
    <x v="1"/>
    <n v="0"/>
    <n v="0"/>
    <n v="1"/>
    <n v="48"/>
    <n v="0"/>
    <n v="1014.17"/>
    <n v="389.21"/>
    <m/>
    <n v="864.59749550040999"/>
    <n v="353.55100010229148"/>
    <n v="0"/>
    <n v="104.45950999999999"/>
    <n v="40.088629999999995"/>
    <n v="0"/>
    <n v="89.053542036542225"/>
    <n v="36.415753010536022"/>
  </r>
  <r>
    <s v="Regular"/>
    <x v="2"/>
    <x v="3"/>
    <x v="7"/>
    <x v="3"/>
    <x v="0"/>
    <x v="1"/>
    <x v="2"/>
    <x v="6"/>
    <n v="0"/>
    <n v="0"/>
    <n v="0.124"/>
    <n v="0.124"/>
    <n v="0.124"/>
    <n v="0.124"/>
    <n v="0"/>
    <x v="1"/>
    <n v="0"/>
    <n v="0"/>
    <n v="1"/>
    <n v="48"/>
    <n v="0"/>
    <n v="1014.17"/>
    <n v="389.21"/>
    <m/>
    <n v="864.59749550040999"/>
    <n v="353.55100010229148"/>
    <n v="0"/>
    <n v="125.75707999999999"/>
    <n v="48.262039999999999"/>
    <n v="0"/>
    <n v="107.21008944205084"/>
    <n v="43.840324012684142"/>
  </r>
  <r>
    <s v="Regular"/>
    <x v="2"/>
    <x v="3"/>
    <x v="7"/>
    <x v="3"/>
    <x v="0"/>
    <x v="1"/>
    <x v="2"/>
    <x v="7"/>
    <n v="0"/>
    <n v="0"/>
    <n v="5.8000000000000003E-2"/>
    <n v="5.8000000000000003E-2"/>
    <n v="5.8000000000000003E-2"/>
    <n v="5.8000000000000003E-2"/>
    <n v="0"/>
    <x v="1"/>
    <n v="0"/>
    <n v="0"/>
    <n v="1"/>
    <n v="48"/>
    <n v="0"/>
    <n v="1014.17"/>
    <n v="389.21"/>
    <m/>
    <n v="864.59749550040999"/>
    <n v="353.55100010229148"/>
    <n v="0"/>
    <n v="58.821860000000001"/>
    <n v="22.574179999999998"/>
    <n v="0"/>
    <n v="50.146654739023781"/>
    <n v="20.505958005932907"/>
  </r>
  <r>
    <s v="Regular"/>
    <x v="2"/>
    <x v="3"/>
    <x v="7"/>
    <x v="3"/>
    <x v="0"/>
    <x v="1"/>
    <x v="2"/>
    <x v="8"/>
    <n v="0"/>
    <n v="0"/>
    <n v="0.20499999999999999"/>
    <n v="0.20499999999999999"/>
    <n v="0.20499999999999999"/>
    <n v="0.20499999999999999"/>
    <n v="0"/>
    <x v="1"/>
    <n v="0"/>
    <n v="0"/>
    <n v="1"/>
    <n v="48"/>
    <n v="0"/>
    <n v="1014.17"/>
    <n v="389.21"/>
    <m/>
    <n v="864.59749550040999"/>
    <n v="353.55100010229148"/>
    <n v="0"/>
    <n v="207.90484999999998"/>
    <n v="79.788049999999984"/>
    <n v="0"/>
    <n v="177.24248657758403"/>
    <n v="72.477955020969745"/>
  </r>
  <r>
    <s v="Regular"/>
    <x v="2"/>
    <x v="3"/>
    <x v="7"/>
    <x v="3"/>
    <x v="0"/>
    <x v="1"/>
    <x v="2"/>
    <x v="9"/>
    <n v="0"/>
    <n v="0"/>
    <n v="7.1999999999999995E-2"/>
    <n v="7.1999999999999995E-2"/>
    <n v="7.1999999999999995E-2"/>
    <n v="7.1999999999999995E-2"/>
    <n v="0"/>
    <x v="1"/>
    <n v="0"/>
    <n v="0"/>
    <n v="1"/>
    <n v="48"/>
    <n v="0"/>
    <n v="1014.17"/>
    <n v="389.21"/>
    <m/>
    <n v="864.59749550040999"/>
    <n v="353.55100010229148"/>
    <n v="0"/>
    <n v="73.020239999999987"/>
    <n v="28.023119999999995"/>
    <n v="0"/>
    <n v="62.251019676029514"/>
    <n v="25.455672007364985"/>
  </r>
  <r>
    <s v="Regular"/>
    <x v="2"/>
    <x v="3"/>
    <x v="7"/>
    <x v="3"/>
    <x v="0"/>
    <x v="1"/>
    <x v="2"/>
    <x v="10"/>
    <n v="0"/>
    <n v="0"/>
    <n v="7.2999999999999995E-2"/>
    <n v="7.2999999999999995E-2"/>
    <n v="7.2999999999999995E-2"/>
    <n v="7.2999999999999995E-2"/>
    <n v="0"/>
    <x v="1"/>
    <n v="0"/>
    <n v="0"/>
    <n v="1"/>
    <n v="48"/>
    <n v="0"/>
    <n v="1014.17"/>
    <n v="389.21"/>
    <m/>
    <n v="864.59749550040999"/>
    <n v="353.55100010229148"/>
    <n v="0"/>
    <n v="74.034409999999994"/>
    <n v="28.412329999999997"/>
    <n v="0"/>
    <n v="63.115617171529927"/>
    <n v="25.809223007467278"/>
  </r>
  <r>
    <s v="PROJETADO"/>
    <x v="2"/>
    <x v="3"/>
    <x v="7"/>
    <x v="3"/>
    <x v="0"/>
    <x v="1"/>
    <x v="2"/>
    <x v="11"/>
    <n v="0"/>
    <n v="0"/>
    <n v="7.2999999999999995E-2"/>
    <n v="7.2999999999999995E-2"/>
    <n v="7.2999999999999995E-2"/>
    <n v="7.2999999999999995E-2"/>
    <n v="0"/>
    <x v="1"/>
    <n v="0"/>
    <n v="0"/>
    <n v="1"/>
    <n v="48"/>
    <n v="0"/>
    <n v="1014.17"/>
    <n v="389.21"/>
    <m/>
    <n v="864.59749550040999"/>
    <n v="353.55100010229148"/>
    <n v="0"/>
    <n v="74.034409999999994"/>
    <n v="28.412329999999997"/>
    <n v="0"/>
    <n v="63.115617171529927"/>
    <n v="25.809223007467278"/>
  </r>
  <r>
    <s v="Regular"/>
    <x v="2"/>
    <x v="4"/>
    <x v="7"/>
    <x v="3"/>
    <x v="0"/>
    <x v="1"/>
    <x v="0"/>
    <x v="0"/>
    <n v="0"/>
    <n v="0"/>
    <n v="5560.54"/>
    <n v="5560.54"/>
    <n v="5560.54"/>
    <n v="5560.54"/>
    <n v="28902"/>
    <x v="1"/>
    <n v="0"/>
    <n v="0"/>
    <n v="27"/>
    <n v="52"/>
    <n v="0"/>
    <n v="324.5"/>
    <n v="258.20999999999998"/>
    <m/>
    <n v="330.1561966420345"/>
    <n v="230.58259134858577"/>
    <n v="0"/>
    <n v="1804395.23"/>
    <n v="1435787.0333999998"/>
    <n v="0"/>
    <n v="1835846.7376758985"/>
    <n v="1282163.7224974651"/>
  </r>
  <r>
    <s v="Refaturamento - Regular"/>
    <x v="2"/>
    <x v="4"/>
    <x v="7"/>
    <x v="3"/>
    <x v="0"/>
    <x v="1"/>
    <x v="0"/>
    <x v="0"/>
    <n v="0"/>
    <n v="0"/>
    <n v="-4.4160000000000004"/>
    <n v="-4.4160000000000004"/>
    <n v="-4.4160000000000004"/>
    <n v="-4.4160000000000004"/>
    <n v="0"/>
    <x v="1"/>
    <n v="0"/>
    <n v="0"/>
    <n v="27"/>
    <n v="52"/>
    <n v="0"/>
    <n v="324.5"/>
    <n v="258.20999999999998"/>
    <m/>
    <n v="330.1561966420345"/>
    <n v="230.58259134858577"/>
    <n v="0"/>
    <n v="-1432.9920000000002"/>
    <n v="-1140.2553600000001"/>
    <n v="0"/>
    <n v="-1457.9697643712245"/>
    <n v="-1018.2527233953548"/>
  </r>
  <r>
    <s v="Regular"/>
    <x v="2"/>
    <x v="4"/>
    <x v="7"/>
    <x v="3"/>
    <x v="0"/>
    <x v="1"/>
    <x v="0"/>
    <x v="1"/>
    <n v="0"/>
    <n v="0"/>
    <n v="5280.817"/>
    <n v="5280.817"/>
    <n v="5280.817"/>
    <n v="5280.817"/>
    <n v="28896"/>
    <x v="1"/>
    <n v="0"/>
    <n v="0"/>
    <n v="27"/>
    <n v="52"/>
    <n v="0"/>
    <n v="324.5"/>
    <n v="258.20999999999998"/>
    <m/>
    <n v="330.1561966420345"/>
    <n v="230.58259134858577"/>
    <n v="0"/>
    <n v="1713625.1165"/>
    <n v="1363559.7575699999"/>
    <n v="0"/>
    <n v="1743494.4558825986"/>
    <n v="1217664.4682976645"/>
  </r>
  <r>
    <s v="Refaturamento - Regular"/>
    <x v="2"/>
    <x v="4"/>
    <x v="7"/>
    <x v="3"/>
    <x v="0"/>
    <x v="1"/>
    <x v="0"/>
    <x v="1"/>
    <n v="0"/>
    <n v="0"/>
    <n v="-12.452"/>
    <n v="-12.452"/>
    <n v="-12.452"/>
    <n v="-12.452"/>
    <n v="0"/>
    <x v="1"/>
    <n v="0"/>
    <n v="0"/>
    <n v="27"/>
    <n v="52"/>
    <n v="0"/>
    <n v="324.5"/>
    <n v="258.20999999999998"/>
    <m/>
    <n v="330.1561966420345"/>
    <n v="230.58259134858577"/>
    <n v="0"/>
    <n v="-4040.674"/>
    <n v="-3215.2309199999995"/>
    <n v="0"/>
    <n v="-4111.1049605866137"/>
    <n v="-2871.2144274725902"/>
  </r>
  <r>
    <s v="Sistema de Compensação"/>
    <x v="2"/>
    <x v="4"/>
    <x v="7"/>
    <x v="3"/>
    <x v="0"/>
    <x v="1"/>
    <x v="0"/>
    <x v="1"/>
    <n v="0"/>
    <n v="0"/>
    <n v="115.262"/>
    <n v="115.262"/>
    <n v="115.262"/>
    <n v="115.262"/>
    <n v="918"/>
    <x v="1"/>
    <n v="0"/>
    <n v="0"/>
    <n v="27"/>
    <n v="52"/>
    <n v="0"/>
    <n v="324.5"/>
    <n v="258.20999999999998"/>
    <m/>
    <n v="330.1561966420345"/>
    <n v="230.58259134858577"/>
    <n v="0"/>
    <n v="37402.519"/>
    <n v="29761.801019999999"/>
    <n v="0"/>
    <n v="38054.463537354182"/>
    <n v="26577.410644020692"/>
  </r>
  <r>
    <s v="Regular"/>
    <x v="2"/>
    <x v="4"/>
    <x v="7"/>
    <x v="3"/>
    <x v="0"/>
    <x v="1"/>
    <x v="0"/>
    <x v="2"/>
    <n v="0"/>
    <n v="0"/>
    <n v="4919.5429999999997"/>
    <n v="4919.5429999999997"/>
    <n v="4919.5429999999997"/>
    <n v="4919.5429999999997"/>
    <n v="28940"/>
    <x v="1"/>
    <n v="0"/>
    <n v="0"/>
    <n v="27"/>
    <n v="52"/>
    <n v="0"/>
    <n v="324.5"/>
    <n v="258.20999999999998"/>
    <m/>
    <n v="330.1561966420345"/>
    <n v="230.58259134858577"/>
    <n v="0"/>
    <n v="1596391.7034999998"/>
    <n v="1270275.1980299999"/>
    <n v="0"/>
    <n v="1624217.6060969443"/>
    <n v="1134360.9731907956"/>
  </r>
  <r>
    <s v="Refaturamento - Regular"/>
    <x v="2"/>
    <x v="4"/>
    <x v="7"/>
    <x v="3"/>
    <x v="0"/>
    <x v="1"/>
    <x v="0"/>
    <x v="2"/>
    <n v="0"/>
    <n v="0"/>
    <n v="-10.339"/>
    <n v="-10.339"/>
    <n v="-10.339"/>
    <n v="-10.339"/>
    <n v="0"/>
    <x v="1"/>
    <n v="0"/>
    <n v="0"/>
    <n v="27"/>
    <n v="52"/>
    <n v="0"/>
    <n v="324.5"/>
    <n v="258.20999999999998"/>
    <m/>
    <n v="330.1561966420345"/>
    <n v="230.58259134858577"/>
    <n v="0"/>
    <n v="-3355.0055000000002"/>
    <n v="-2669.63319"/>
    <n v="0"/>
    <n v="-3413.4849170819948"/>
    <n v="-2383.9934119530285"/>
  </r>
  <r>
    <s v="Sistema de Compensação"/>
    <x v="2"/>
    <x v="4"/>
    <x v="7"/>
    <x v="3"/>
    <x v="0"/>
    <x v="1"/>
    <x v="0"/>
    <x v="2"/>
    <n v="0"/>
    <n v="0"/>
    <n v="87.186999999999998"/>
    <n v="87.186999999999998"/>
    <n v="87.186999999999998"/>
    <n v="87.186999999999998"/>
    <n v="950"/>
    <x v="1"/>
    <n v="0"/>
    <n v="0"/>
    <n v="27"/>
    <n v="52"/>
    <n v="0"/>
    <n v="324.5"/>
    <n v="258.20999999999998"/>
    <m/>
    <n v="330.1561966420345"/>
    <n v="230.58259134858577"/>
    <n v="0"/>
    <n v="28292.181499999999"/>
    <n v="22512.555269999997"/>
    <n v="0"/>
    <n v="28785.32831662906"/>
    <n v="20103.804391909147"/>
  </r>
  <r>
    <s v="Regular"/>
    <x v="2"/>
    <x v="4"/>
    <x v="7"/>
    <x v="3"/>
    <x v="0"/>
    <x v="1"/>
    <x v="0"/>
    <x v="3"/>
    <n v="0"/>
    <n v="0"/>
    <n v="4834.3940000000002"/>
    <n v="4834.3940000000002"/>
    <n v="4834.3940000000002"/>
    <n v="4834.3940000000002"/>
    <n v="28924"/>
    <x v="1"/>
    <n v="0"/>
    <n v="0"/>
    <n v="27"/>
    <n v="52"/>
    <n v="0"/>
    <n v="324.5"/>
    <n v="258.20999999999998"/>
    <m/>
    <n v="330.1561966420345"/>
    <n v="230.58259134858577"/>
    <n v="0"/>
    <n v="1568760.8530000001"/>
    <n v="1248288.8747399999"/>
    <n v="0"/>
    <n v="1596105.1361090718"/>
    <n v="1114727.0961200551"/>
  </r>
  <r>
    <s v="Refaturamento - Regular"/>
    <x v="2"/>
    <x v="4"/>
    <x v="7"/>
    <x v="3"/>
    <x v="0"/>
    <x v="1"/>
    <x v="0"/>
    <x v="3"/>
    <n v="0"/>
    <n v="0"/>
    <n v="-7.2140000000000004"/>
    <n v="-7.2140000000000004"/>
    <n v="-7.2140000000000004"/>
    <n v="-7.2140000000000004"/>
    <n v="0"/>
    <x v="1"/>
    <n v="0"/>
    <n v="0"/>
    <n v="27"/>
    <n v="52"/>
    <n v="0"/>
    <n v="324.5"/>
    <n v="258.20999999999998"/>
    <m/>
    <n v="330.1561966420345"/>
    <n v="230.58259134858577"/>
    <n v="0"/>
    <n v="-2340.9430000000002"/>
    <n v="-1862.72694"/>
    <n v="0"/>
    <n v="-2381.746802575637"/>
    <n v="-1663.4228139886977"/>
  </r>
  <r>
    <s v="Sistema de Compensação"/>
    <x v="2"/>
    <x v="4"/>
    <x v="7"/>
    <x v="3"/>
    <x v="0"/>
    <x v="1"/>
    <x v="0"/>
    <x v="3"/>
    <n v="0"/>
    <n v="0"/>
    <n v="88.784000000000006"/>
    <n v="88.784000000000006"/>
    <n v="88.784000000000006"/>
    <n v="88.784000000000006"/>
    <n v="1011"/>
    <x v="1"/>
    <n v="0"/>
    <n v="0"/>
    <n v="27"/>
    <n v="52"/>
    <n v="0"/>
    <n v="324.5"/>
    <n v="258.20999999999998"/>
    <m/>
    <n v="330.1561966420345"/>
    <n v="230.58259134858577"/>
    <n v="0"/>
    <n v="28810.408000000003"/>
    <n v="22924.916639999999"/>
    <n v="0"/>
    <n v="29312.587762666393"/>
    <n v="20472.044790292839"/>
  </r>
  <r>
    <s v="Regular"/>
    <x v="2"/>
    <x v="4"/>
    <x v="7"/>
    <x v="3"/>
    <x v="0"/>
    <x v="1"/>
    <x v="0"/>
    <x v="4"/>
    <n v="0"/>
    <n v="0"/>
    <n v="5093.0770000000002"/>
    <n v="5093.0770000000002"/>
    <n v="5093.0770000000002"/>
    <n v="5093.0770000000002"/>
    <n v="28948"/>
    <x v="1"/>
    <n v="0"/>
    <n v="0"/>
    <n v="27"/>
    <n v="52"/>
    <n v="0"/>
    <n v="324.5"/>
    <n v="258.20999999999998"/>
    <m/>
    <n v="330.1561966420345"/>
    <n v="230.58259134858577"/>
    <n v="0"/>
    <n v="1652703.4865000001"/>
    <n v="1315083.4121699999"/>
    <n v="0"/>
    <n v="1681510.9315250232"/>
    <n v="1174374.8925978811"/>
  </r>
  <r>
    <s v="Refaturamento - Regular"/>
    <x v="2"/>
    <x v="4"/>
    <x v="7"/>
    <x v="3"/>
    <x v="0"/>
    <x v="1"/>
    <x v="0"/>
    <x v="4"/>
    <n v="0"/>
    <n v="0"/>
    <n v="-2.4289999999999998"/>
    <n v="-2.4289999999999998"/>
    <n v="-2.4289999999999998"/>
    <n v="-2.4289999999999998"/>
    <n v="0"/>
    <x v="1"/>
    <n v="0"/>
    <n v="0"/>
    <n v="27"/>
    <n v="52"/>
    <n v="0"/>
    <n v="324.5"/>
    <n v="258.20999999999998"/>
    <m/>
    <n v="330.1561966420345"/>
    <n v="230.58259134858577"/>
    <n v="0"/>
    <n v="-788.21049999999991"/>
    <n v="-627.19208999999989"/>
    <n v="0"/>
    <n v="-801.9494016435018"/>
    <n v="-560.08511438571475"/>
  </r>
  <r>
    <s v="Sistema de Compensação"/>
    <x v="2"/>
    <x v="4"/>
    <x v="7"/>
    <x v="3"/>
    <x v="0"/>
    <x v="1"/>
    <x v="0"/>
    <x v="4"/>
    <n v="0"/>
    <n v="0"/>
    <n v="159.61099999999999"/>
    <n v="159.61099999999999"/>
    <n v="159.61099999999999"/>
    <n v="159.61099999999999"/>
    <n v="1089"/>
    <x v="1"/>
    <n v="0"/>
    <n v="0"/>
    <n v="27"/>
    <n v="52"/>
    <n v="0"/>
    <n v="324.5"/>
    <n v="258.20999999999998"/>
    <m/>
    <n v="330.1561966420345"/>
    <n v="230.58259134858577"/>
    <n v="0"/>
    <n v="51793.769499999995"/>
    <n v="41213.156309999991"/>
    <n v="0"/>
    <n v="52696.560702231764"/>
    <n v="36803.51798773912"/>
  </r>
  <r>
    <s v="Sistema de Compensação"/>
    <x v="2"/>
    <x v="4"/>
    <x v="7"/>
    <x v="3"/>
    <x v="0"/>
    <x v="1"/>
    <x v="0"/>
    <x v="4"/>
    <n v="0"/>
    <n v="0"/>
    <n v="-76.093000000000004"/>
    <n v="-76.093000000000004"/>
    <n v="-76.093000000000004"/>
    <n v="-76.093000000000004"/>
    <n v="5"/>
    <x v="1"/>
    <n v="0"/>
    <n v="0"/>
    <n v="27"/>
    <n v="52"/>
    <n v="0"/>
    <n v="324.5"/>
    <n v="258.20999999999998"/>
    <m/>
    <n v="330.1561966420345"/>
    <n v="230.58259134858577"/>
    <n v="0"/>
    <n v="-24692.178500000002"/>
    <n v="-19647.973529999999"/>
    <n v="0"/>
    <n v="-25122.575471082331"/>
    <n v="-17545.721123487936"/>
  </r>
  <r>
    <s v="Regular"/>
    <x v="2"/>
    <x v="4"/>
    <x v="7"/>
    <x v="3"/>
    <x v="0"/>
    <x v="1"/>
    <x v="0"/>
    <x v="5"/>
    <n v="0"/>
    <n v="0"/>
    <n v="5215.2510000000002"/>
    <n v="5215.2510000000002"/>
    <n v="5215.2510000000002"/>
    <n v="5215.2510000000002"/>
    <n v="28905"/>
    <x v="1"/>
    <n v="0"/>
    <n v="0"/>
    <n v="27"/>
    <n v="52"/>
    <n v="0"/>
    <n v="324.5"/>
    <n v="258.20999999999998"/>
    <m/>
    <n v="330.1561966420345"/>
    <n v="230.58259134858577"/>
    <n v="0"/>
    <n v="1692348.9495000001"/>
    <n v="1346629.96071"/>
    <n v="0"/>
    <n v="1721847.4346935672"/>
    <n v="1202546.0901133034"/>
  </r>
  <r>
    <s v="Refaturamento - Regular"/>
    <x v="2"/>
    <x v="4"/>
    <x v="7"/>
    <x v="3"/>
    <x v="0"/>
    <x v="1"/>
    <x v="0"/>
    <x v="5"/>
    <n v="0"/>
    <n v="0"/>
    <n v="-100.86799999999999"/>
    <n v="-100.86799999999999"/>
    <n v="-100.86799999999999"/>
    <n v="-100.86799999999999"/>
    <n v="0"/>
    <x v="1"/>
    <n v="0"/>
    <n v="0"/>
    <n v="27"/>
    <n v="52"/>
    <n v="0"/>
    <n v="324.5"/>
    <n v="258.20999999999998"/>
    <m/>
    <n v="330.1561966420345"/>
    <n v="230.58259134858577"/>
    <n v="0"/>
    <n v="-32731.665999999997"/>
    <n v="-26045.126279999997"/>
    <n v="0"/>
    <n v="-33302.195242888738"/>
    <n v="-23258.404824149147"/>
  </r>
  <r>
    <s v="Sistema de Compensação"/>
    <x v="2"/>
    <x v="4"/>
    <x v="7"/>
    <x v="3"/>
    <x v="0"/>
    <x v="1"/>
    <x v="0"/>
    <x v="5"/>
    <n v="0"/>
    <n v="0"/>
    <n v="92.31"/>
    <n v="92.31"/>
    <n v="92.31"/>
    <n v="92.31"/>
    <n v="1198"/>
    <x v="1"/>
    <n v="0"/>
    <n v="0"/>
    <n v="27"/>
    <n v="52"/>
    <n v="0"/>
    <n v="324.5"/>
    <n v="258.20999999999998"/>
    <m/>
    <n v="330.1561966420345"/>
    <n v="230.58259134858577"/>
    <n v="0"/>
    <n v="29954.595000000001"/>
    <n v="23835.365099999999"/>
    <n v="0"/>
    <n v="30476.718512026204"/>
    <n v="21285.079007387954"/>
  </r>
  <r>
    <s v="Regular"/>
    <x v="2"/>
    <x v="4"/>
    <x v="7"/>
    <x v="3"/>
    <x v="0"/>
    <x v="1"/>
    <x v="0"/>
    <x v="6"/>
    <n v="0"/>
    <n v="0"/>
    <n v="5967.1880000000001"/>
    <n v="5967.1880000000001"/>
    <n v="5967.1880000000001"/>
    <n v="5967.1880000000001"/>
    <n v="28831"/>
    <x v="1"/>
    <n v="0"/>
    <n v="0"/>
    <n v="27"/>
    <n v="52"/>
    <n v="0"/>
    <n v="324.5"/>
    <n v="258.20999999999998"/>
    <m/>
    <n v="330.1561966420345"/>
    <n v="230.58259134858577"/>
    <n v="0"/>
    <n v="1936352.5060000001"/>
    <n v="1540787.6134799998"/>
    <n v="0"/>
    <n v="1970104.0947279886"/>
    <n v="1375929.6721041847"/>
  </r>
  <r>
    <s v="Refaturamento - Regular"/>
    <x v="2"/>
    <x v="4"/>
    <x v="7"/>
    <x v="3"/>
    <x v="0"/>
    <x v="1"/>
    <x v="0"/>
    <x v="6"/>
    <n v="0"/>
    <n v="0"/>
    <n v="-12.202999999999999"/>
    <n v="-12.202999999999999"/>
    <n v="-12.202999999999999"/>
    <n v="-12.202999999999999"/>
    <n v="0"/>
    <x v="1"/>
    <n v="0"/>
    <n v="0"/>
    <n v="27"/>
    <n v="52"/>
    <n v="0"/>
    <n v="324.5"/>
    <n v="258.20999999999998"/>
    <m/>
    <n v="330.1561966420345"/>
    <n v="230.58259134858577"/>
    <n v="0"/>
    <n v="-3959.8734999999997"/>
    <n v="-3150.9366299999997"/>
    <n v="0"/>
    <n v="-4028.8960676227466"/>
    <n v="-2813.7993622267918"/>
  </r>
  <r>
    <s v="Sistema de Compensação"/>
    <x v="2"/>
    <x v="4"/>
    <x v="7"/>
    <x v="3"/>
    <x v="0"/>
    <x v="1"/>
    <x v="0"/>
    <x v="6"/>
    <n v="0"/>
    <n v="0"/>
    <n v="109.601"/>
    <n v="109.601"/>
    <n v="109.601"/>
    <n v="109.601"/>
    <n v="1274"/>
    <x v="1"/>
    <n v="0"/>
    <n v="0"/>
    <n v="27"/>
    <n v="52"/>
    <n v="0"/>
    <n v="324.5"/>
    <n v="258.20999999999998"/>
    <m/>
    <n v="330.1561966420345"/>
    <n v="230.58259134858577"/>
    <n v="0"/>
    <n v="35565.5245"/>
    <n v="28300.074209999999"/>
    <n v="0"/>
    <n v="36185.449308163625"/>
    <n v="25272.08259439635"/>
  </r>
  <r>
    <s v="Sistema de Compensação"/>
    <x v="2"/>
    <x v="4"/>
    <x v="7"/>
    <x v="3"/>
    <x v="0"/>
    <x v="1"/>
    <x v="0"/>
    <x v="6"/>
    <n v="0"/>
    <n v="0"/>
    <n v="-1.0089999999999999"/>
    <n v="-1.0089999999999999"/>
    <n v="-1.0089999999999999"/>
    <n v="-1.0089999999999999"/>
    <n v="4"/>
    <x v="1"/>
    <n v="0"/>
    <n v="0"/>
    <n v="27"/>
    <n v="52"/>
    <n v="0"/>
    <n v="324.5"/>
    <n v="258.20999999999998"/>
    <m/>
    <n v="330.1561966420345"/>
    <n v="230.58259134858577"/>
    <n v="0"/>
    <n v="-327.42049999999995"/>
    <n v="-260.53388999999993"/>
    <n v="0"/>
    <n v="-333.1276024118128"/>
    <n v="-232.65783467072302"/>
  </r>
  <r>
    <s v="Regular"/>
    <x v="2"/>
    <x v="4"/>
    <x v="7"/>
    <x v="3"/>
    <x v="0"/>
    <x v="1"/>
    <x v="0"/>
    <x v="7"/>
    <n v="0"/>
    <n v="0"/>
    <n v="5847.8370000000004"/>
    <n v="5847.8370000000004"/>
    <n v="5847.8370000000004"/>
    <n v="5847.8370000000004"/>
    <n v="28801"/>
    <x v="1"/>
    <n v="0"/>
    <n v="0"/>
    <n v="27"/>
    <n v="52"/>
    <n v="0"/>
    <n v="324.5"/>
    <n v="258.20999999999998"/>
    <m/>
    <n v="330.1561966420345"/>
    <n v="230.58259134858577"/>
    <n v="0"/>
    <n v="1897623.1065000002"/>
    <n v="1509969.99177"/>
    <n v="0"/>
    <n v="1930699.6225025652"/>
    <n v="1348409.4092441399"/>
  </r>
  <r>
    <s v="Refaturamento - Regular"/>
    <x v="2"/>
    <x v="4"/>
    <x v="7"/>
    <x v="3"/>
    <x v="0"/>
    <x v="1"/>
    <x v="0"/>
    <x v="7"/>
    <n v="0"/>
    <n v="0"/>
    <n v="-9.6020000000000003"/>
    <n v="-9.6020000000000003"/>
    <n v="-9.6020000000000003"/>
    <n v="-9.6020000000000003"/>
    <n v="0"/>
    <x v="1"/>
    <n v="0"/>
    <n v="0"/>
    <n v="27"/>
    <n v="52"/>
    <n v="0"/>
    <n v="324.5"/>
    <n v="258.20999999999998"/>
    <m/>
    <n v="330.1561966420345"/>
    <n v="230.58259134858577"/>
    <n v="0"/>
    <n v="-3115.8490000000002"/>
    <n v="-2479.3324199999997"/>
    <n v="0"/>
    <n v="-3170.1598001568154"/>
    <n v="-2214.0540421291207"/>
  </r>
  <r>
    <s v="Sistema de Compensação"/>
    <x v="2"/>
    <x v="4"/>
    <x v="7"/>
    <x v="3"/>
    <x v="0"/>
    <x v="1"/>
    <x v="0"/>
    <x v="7"/>
    <n v="0"/>
    <n v="0"/>
    <n v="125.297"/>
    <n v="125.297"/>
    <n v="125.297"/>
    <n v="125.297"/>
    <n v="1341"/>
    <x v="1"/>
    <n v="0"/>
    <n v="0"/>
    <n v="27"/>
    <n v="52"/>
    <n v="0"/>
    <n v="324.5"/>
    <n v="258.20999999999998"/>
    <m/>
    <n v="330.1561966420345"/>
    <n v="230.58259134858577"/>
    <n v="0"/>
    <n v="40658.876499999998"/>
    <n v="32352.938369999996"/>
    <n v="0"/>
    <n v="41367.580970656993"/>
    <n v="28891.30694820375"/>
  </r>
  <r>
    <s v="Regular"/>
    <x v="2"/>
    <x v="4"/>
    <x v="7"/>
    <x v="3"/>
    <x v="0"/>
    <x v="1"/>
    <x v="0"/>
    <x v="8"/>
    <n v="0"/>
    <n v="0"/>
    <n v="5757.4809999999998"/>
    <n v="5757.4809999999998"/>
    <n v="5757.4809999999998"/>
    <n v="5757.4809999999998"/>
    <n v="28768"/>
    <x v="1"/>
    <n v="0"/>
    <n v="0"/>
    <n v="27"/>
    <n v="52"/>
    <n v="0"/>
    <n v="324.5"/>
    <n v="258.20999999999998"/>
    <m/>
    <n v="330.1561966420345"/>
    <n v="230.58259134858577"/>
    <n v="0"/>
    <n v="1868302.5844999999"/>
    <n v="1486639.1690099998"/>
    <n v="0"/>
    <n v="1900868.0291987774"/>
    <n v="1327574.8886202469"/>
  </r>
  <r>
    <s v="Refaturamento - Regular"/>
    <x v="2"/>
    <x v="4"/>
    <x v="7"/>
    <x v="3"/>
    <x v="0"/>
    <x v="1"/>
    <x v="0"/>
    <x v="8"/>
    <n v="0"/>
    <n v="0"/>
    <n v="-28.117000000000001"/>
    <n v="-28.117000000000001"/>
    <n v="-28.117000000000001"/>
    <n v="-28.117000000000001"/>
    <n v="0"/>
    <x v="1"/>
    <n v="0"/>
    <n v="0"/>
    <n v="27"/>
    <n v="52"/>
    <n v="0"/>
    <n v="324.5"/>
    <n v="258.20999999999998"/>
    <m/>
    <n v="330.1561966420345"/>
    <n v="230.58259134858577"/>
    <n v="0"/>
    <n v="-9123.9665000000005"/>
    <n v="-7260.0905699999994"/>
    <n v="0"/>
    <n v="-9283.0017809840847"/>
    <n v="-6483.2907209481864"/>
  </r>
  <r>
    <s v="Sistema de Compensação"/>
    <x v="2"/>
    <x v="4"/>
    <x v="7"/>
    <x v="3"/>
    <x v="0"/>
    <x v="1"/>
    <x v="0"/>
    <x v="8"/>
    <n v="0"/>
    <n v="0"/>
    <n v="135.03"/>
    <n v="135.03"/>
    <n v="135.03"/>
    <n v="135.03"/>
    <n v="1436"/>
    <x v="1"/>
    <n v="0"/>
    <n v="0"/>
    <n v="27"/>
    <n v="52"/>
    <n v="0"/>
    <n v="324.5"/>
    <n v="258.20999999999998"/>
    <m/>
    <n v="330.1561966420345"/>
    <n v="230.58259134858577"/>
    <n v="0"/>
    <n v="43817.235000000001"/>
    <n v="34866.096299999997"/>
    <n v="0"/>
    <n v="44580.991232573921"/>
    <n v="31135.567309799535"/>
  </r>
  <r>
    <s v="Sistema de Compensação"/>
    <x v="2"/>
    <x v="4"/>
    <x v="7"/>
    <x v="3"/>
    <x v="0"/>
    <x v="1"/>
    <x v="0"/>
    <x v="8"/>
    <n v="0"/>
    <n v="0"/>
    <n v="3.4580000000000002"/>
    <n v="3.4580000000000002"/>
    <n v="3.4580000000000002"/>
    <n v="3.4580000000000002"/>
    <n v="7"/>
    <x v="1"/>
    <n v="0"/>
    <n v="0"/>
    <n v="27"/>
    <n v="52"/>
    <n v="0"/>
    <n v="324.5"/>
    <n v="258.20999999999998"/>
    <m/>
    <n v="330.1561966420345"/>
    <n v="230.58259134858577"/>
    <n v="0"/>
    <n v="1122.1210000000001"/>
    <n v="892.89017999999999"/>
    <n v="0"/>
    <n v="1141.6801279881554"/>
    <n v="797.3546008834096"/>
  </r>
  <r>
    <s v="Regular"/>
    <x v="2"/>
    <x v="4"/>
    <x v="7"/>
    <x v="3"/>
    <x v="0"/>
    <x v="1"/>
    <x v="0"/>
    <x v="9"/>
    <n v="0"/>
    <n v="0"/>
    <n v="4511.9480000000003"/>
    <n v="4511.9480000000003"/>
    <n v="4511.9480000000003"/>
    <n v="4511.9480000000003"/>
    <n v="28669"/>
    <x v="1"/>
    <n v="0"/>
    <n v="0"/>
    <n v="27"/>
    <n v="52"/>
    <n v="0"/>
    <n v="324.5"/>
    <n v="258.20999999999998"/>
    <m/>
    <n v="330.1561966420345"/>
    <n v="230.58259134858577"/>
    <n v="0"/>
    <n v="1464127.1260000002"/>
    <n v="1165030.09308"/>
    <n v="0"/>
    <n v="1489647.5911266345"/>
    <n v="1040376.6618700689"/>
  </r>
  <r>
    <s v="Refaturamento - Regular"/>
    <x v="2"/>
    <x v="4"/>
    <x v="7"/>
    <x v="3"/>
    <x v="0"/>
    <x v="1"/>
    <x v="0"/>
    <x v="9"/>
    <n v="0"/>
    <n v="0"/>
    <n v="-8.7910000000000004"/>
    <n v="-8.7910000000000004"/>
    <n v="-8.7910000000000004"/>
    <n v="-8.7910000000000004"/>
    <n v="0"/>
    <x v="1"/>
    <n v="0"/>
    <n v="0"/>
    <n v="27"/>
    <n v="52"/>
    <n v="0"/>
    <n v="324.5"/>
    <n v="258.20999999999998"/>
    <m/>
    <n v="330.1561966420345"/>
    <n v="230.58259134858577"/>
    <n v="0"/>
    <n v="-2852.6795000000002"/>
    <n v="-2269.9241099999999"/>
    <n v="0"/>
    <n v="-2902.4031246801255"/>
    <n v="-2027.0515605454175"/>
  </r>
  <r>
    <s v="Sistema de Compensação"/>
    <x v="2"/>
    <x v="4"/>
    <x v="7"/>
    <x v="3"/>
    <x v="0"/>
    <x v="1"/>
    <x v="0"/>
    <x v="9"/>
    <n v="0"/>
    <n v="0"/>
    <n v="116.264"/>
    <n v="116.264"/>
    <n v="116.264"/>
    <n v="116.264"/>
    <n v="1519"/>
    <x v="1"/>
    <n v="0"/>
    <n v="0"/>
    <n v="27"/>
    <n v="52"/>
    <n v="0"/>
    <n v="324.5"/>
    <n v="258.20999999999998"/>
    <m/>
    <n v="330.1561966420345"/>
    <n v="230.58259134858577"/>
    <n v="0"/>
    <n v="37727.667999999998"/>
    <n v="30020.527439999998"/>
    <n v="0"/>
    <n v="38385.280046389496"/>
    <n v="26808.454400551975"/>
  </r>
  <r>
    <s v="Sistema de Compensação"/>
    <x v="2"/>
    <x v="4"/>
    <x v="7"/>
    <x v="3"/>
    <x v="0"/>
    <x v="1"/>
    <x v="0"/>
    <x v="9"/>
    <n v="0"/>
    <n v="0"/>
    <n v="-0.32400000000000001"/>
    <n v="-0.32400000000000001"/>
    <n v="-0.32400000000000001"/>
    <n v="-0.32400000000000001"/>
    <n v="8"/>
    <x v="1"/>
    <n v="0"/>
    <n v="0"/>
    <n v="27"/>
    <n v="52"/>
    <n v="0"/>
    <n v="324.5"/>
    <n v="258.20999999999998"/>
    <m/>
    <n v="330.1561966420345"/>
    <n v="230.58259134858577"/>
    <n v="0"/>
    <n v="-105.13800000000001"/>
    <n v="-83.660039999999995"/>
    <n v="0"/>
    <n v="-106.97060771201919"/>
    <n v="-74.708759596941789"/>
  </r>
  <r>
    <s v="Regular"/>
    <x v="2"/>
    <x v="4"/>
    <x v="7"/>
    <x v="3"/>
    <x v="0"/>
    <x v="1"/>
    <x v="0"/>
    <x v="10"/>
    <n v="0"/>
    <n v="0"/>
    <n v="4597.58"/>
    <n v="4597.58"/>
    <n v="4597.58"/>
    <n v="4597.58"/>
    <n v="28650"/>
    <x v="1"/>
    <n v="0"/>
    <n v="0"/>
    <n v="27"/>
    <n v="52"/>
    <n v="0"/>
    <n v="324.5"/>
    <n v="258.20999999999998"/>
    <m/>
    <n v="330.1561966420345"/>
    <n v="230.58259134858577"/>
    <n v="0"/>
    <n v="1491914.71"/>
    <n v="1187141.1317999999"/>
    <n v="0"/>
    <n v="1517919.5265574849"/>
    <n v="1060121.9103324309"/>
  </r>
  <r>
    <s v="Refaturamento - Regular"/>
    <x v="2"/>
    <x v="4"/>
    <x v="7"/>
    <x v="3"/>
    <x v="0"/>
    <x v="1"/>
    <x v="0"/>
    <x v="10"/>
    <n v="0"/>
    <n v="0"/>
    <n v="-5.3929999999999998"/>
    <n v="-5.3929999999999998"/>
    <n v="-5.3929999999999998"/>
    <n v="-5.3929999999999998"/>
    <n v="0"/>
    <x v="1"/>
    <n v="0"/>
    <n v="0"/>
    <n v="27"/>
    <n v="52"/>
    <n v="0"/>
    <n v="324.5"/>
    <n v="258.20999999999998"/>
    <m/>
    <n v="330.1561966420345"/>
    <n v="230.58259134858577"/>
    <n v="0"/>
    <n v="-1750.0284999999999"/>
    <n v="-1392.5265299999999"/>
    <n v="0"/>
    <n v="-1780.532368490492"/>
    <n v="-1243.531915142923"/>
  </r>
  <r>
    <s v="Sistema de Compensação"/>
    <x v="2"/>
    <x v="4"/>
    <x v="7"/>
    <x v="3"/>
    <x v="0"/>
    <x v="1"/>
    <x v="0"/>
    <x v="10"/>
    <n v="0"/>
    <n v="0"/>
    <n v="140.49600000000001"/>
    <n v="140.49600000000001"/>
    <n v="140.49600000000001"/>
    <n v="140.49600000000001"/>
    <n v="1608"/>
    <x v="1"/>
    <n v="0"/>
    <n v="0"/>
    <n v="27"/>
    <n v="52"/>
    <n v="0"/>
    <n v="324.5"/>
    <n v="258.20999999999998"/>
    <m/>
    <n v="330.1561966420345"/>
    <n v="230.58259134858577"/>
    <n v="0"/>
    <n v="45590.952000000005"/>
    <n v="36277.472159999998"/>
    <n v="0"/>
    <n v="46385.625003419285"/>
    <n v="32395.931754110909"/>
  </r>
  <r>
    <s v="PROJETADO"/>
    <x v="2"/>
    <x v="4"/>
    <x v="7"/>
    <x v="3"/>
    <x v="0"/>
    <x v="1"/>
    <x v="0"/>
    <x v="11"/>
    <n v="0"/>
    <n v="0"/>
    <n v="4597.58"/>
    <n v="4597.58"/>
    <n v="4597.58"/>
    <n v="4597.58"/>
    <n v="28650"/>
    <x v="1"/>
    <n v="0"/>
    <n v="0"/>
    <n v="27"/>
    <n v="52"/>
    <n v="0"/>
    <n v="324.5"/>
    <n v="258.20999999999998"/>
    <m/>
    <n v="330.1561966420345"/>
    <n v="230.58259134858577"/>
    <n v="0"/>
    <n v="1491914.71"/>
    <n v="1187141.1317999999"/>
    <n v="0"/>
    <n v="1517919.5265574849"/>
    <n v="1060121.9103324309"/>
  </r>
  <r>
    <s v="PROJETADO"/>
    <x v="2"/>
    <x v="4"/>
    <x v="7"/>
    <x v="3"/>
    <x v="0"/>
    <x v="1"/>
    <x v="0"/>
    <x v="11"/>
    <n v="0"/>
    <n v="0"/>
    <n v="-5.3929999999999998"/>
    <n v="-5.3929999999999998"/>
    <n v="-5.3929999999999998"/>
    <n v="-5.3929999999999998"/>
    <n v="0"/>
    <x v="1"/>
    <n v="0"/>
    <n v="0"/>
    <n v="27"/>
    <n v="52"/>
    <n v="0"/>
    <n v="324.5"/>
    <n v="258.20999999999998"/>
    <m/>
    <n v="330.1561966420345"/>
    <n v="230.58259134858577"/>
    <n v="0"/>
    <n v="-1750.0284999999999"/>
    <n v="-1392.5265299999999"/>
    <n v="0"/>
    <n v="-1780.532368490492"/>
    <n v="-1243.531915142923"/>
  </r>
  <r>
    <s v="PROJETADO"/>
    <x v="2"/>
    <x v="4"/>
    <x v="7"/>
    <x v="3"/>
    <x v="0"/>
    <x v="1"/>
    <x v="0"/>
    <x v="11"/>
    <n v="0"/>
    <n v="0"/>
    <n v="140.49600000000001"/>
    <n v="140.49600000000001"/>
    <n v="140.49600000000001"/>
    <n v="140.49600000000001"/>
    <n v="1608"/>
    <x v="1"/>
    <n v="0"/>
    <n v="0"/>
    <n v="27"/>
    <n v="52"/>
    <n v="0"/>
    <n v="324.5"/>
    <n v="258.20999999999998"/>
    <m/>
    <n v="330.1561966420345"/>
    <n v="230.58259134858577"/>
    <n v="0"/>
    <n v="45590.952000000005"/>
    <n v="36277.472159999998"/>
    <n v="0"/>
    <n v="46385.625003419285"/>
    <n v="32395.931754110909"/>
  </r>
  <r>
    <s v="Regular"/>
    <x v="2"/>
    <x v="4"/>
    <x v="7"/>
    <x v="4"/>
    <x v="0"/>
    <x v="1"/>
    <x v="0"/>
    <x v="0"/>
    <n v="0"/>
    <n v="0"/>
    <n v="20.823"/>
    <n v="20.823"/>
    <n v="20.823"/>
    <n v="20.823"/>
    <n v="22"/>
    <x v="1"/>
    <n v="0"/>
    <n v="0"/>
    <n v="8"/>
    <n v="50"/>
    <n v="0"/>
    <n v="87.14"/>
    <n v="90.37"/>
    <m/>
    <n v="78.370676899809226"/>
    <n v="80.703906972005015"/>
    <n v="0"/>
    <n v="1814.51622"/>
    <n v="1881.7745100000002"/>
    <n v="0"/>
    <n v="1631.9126050847276"/>
    <n v="1680.4974548780604"/>
  </r>
  <r>
    <s v="Regular"/>
    <x v="2"/>
    <x v="4"/>
    <x v="7"/>
    <x v="4"/>
    <x v="0"/>
    <x v="1"/>
    <x v="0"/>
    <x v="1"/>
    <n v="0"/>
    <n v="0"/>
    <n v="20.88"/>
    <n v="20.88"/>
    <n v="20.88"/>
    <n v="20.88"/>
    <n v="19"/>
    <x v="1"/>
    <n v="0"/>
    <n v="0"/>
    <n v="8"/>
    <n v="50"/>
    <n v="0"/>
    <n v="87.14"/>
    <n v="90.37"/>
    <m/>
    <n v="78.370676899809226"/>
    <n v="80.703906972005015"/>
    <n v="0"/>
    <n v="1819.4831999999999"/>
    <n v="1886.9256"/>
    <n v="0"/>
    <n v="1636.3797336680166"/>
    <n v="1685.0975775754646"/>
  </r>
  <r>
    <s v="Regular"/>
    <x v="2"/>
    <x v="4"/>
    <x v="7"/>
    <x v="4"/>
    <x v="0"/>
    <x v="1"/>
    <x v="0"/>
    <x v="2"/>
    <n v="0"/>
    <n v="0"/>
    <n v="20.85"/>
    <n v="20.85"/>
    <n v="20.85"/>
    <n v="20.85"/>
    <n v="22"/>
    <x v="1"/>
    <n v="0"/>
    <n v="0"/>
    <n v="8"/>
    <n v="50"/>
    <n v="0"/>
    <n v="87.14"/>
    <n v="90.37"/>
    <m/>
    <n v="78.370676899809226"/>
    <n v="80.703906972005015"/>
    <n v="0"/>
    <n v="1816.8690000000001"/>
    <n v="1884.2145000000003"/>
    <n v="0"/>
    <n v="1634.0286133610225"/>
    <n v="1682.6764603663046"/>
  </r>
  <r>
    <s v="Sistema de Compensação"/>
    <x v="2"/>
    <x v="4"/>
    <x v="7"/>
    <x v="4"/>
    <x v="0"/>
    <x v="1"/>
    <x v="0"/>
    <x v="2"/>
    <n v="0"/>
    <n v="0"/>
    <n v="2.3E-2"/>
    <n v="8.0499999999999999E-3"/>
    <n v="2.3E-2"/>
    <n v="8.0499999999999999E-3"/>
    <n v="0"/>
    <x v="1"/>
    <n v="0"/>
    <n v="0"/>
    <n v="8"/>
    <n v="50"/>
    <n v="0"/>
    <n v="87.14"/>
    <n v="90.37"/>
    <m/>
    <n v="78.370676899809226"/>
    <n v="80.703906972005015"/>
    <n v="0"/>
    <n v="0.70147700000000002"/>
    <n v="0.72747850000000003"/>
    <n v="0"/>
    <n v="0.63088394904346423"/>
    <n v="0.64966645112464039"/>
  </r>
  <r>
    <s v="Regular"/>
    <x v="2"/>
    <x v="4"/>
    <x v="7"/>
    <x v="4"/>
    <x v="0"/>
    <x v="1"/>
    <x v="0"/>
    <x v="3"/>
    <n v="0"/>
    <n v="0"/>
    <n v="21.12"/>
    <n v="21.12"/>
    <n v="21.12"/>
    <n v="21.12"/>
    <n v="18"/>
    <x v="1"/>
    <n v="0"/>
    <n v="0"/>
    <n v="8"/>
    <n v="50"/>
    <n v="0"/>
    <n v="87.14"/>
    <n v="90.37"/>
    <m/>
    <n v="78.370676899809226"/>
    <n v="80.703906972005015"/>
    <n v="0"/>
    <n v="1840.3968000000002"/>
    <n v="1908.6144000000002"/>
    <n v="0"/>
    <n v="1655.1886961239709"/>
    <n v="1704.466515248746"/>
  </r>
  <r>
    <s v="Regular"/>
    <x v="2"/>
    <x v="4"/>
    <x v="7"/>
    <x v="4"/>
    <x v="0"/>
    <x v="1"/>
    <x v="0"/>
    <x v="4"/>
    <n v="0"/>
    <n v="0"/>
    <n v="21.367000000000001"/>
    <n v="21.367000000000001"/>
    <n v="21.367000000000001"/>
    <n v="21.367000000000001"/>
    <n v="21"/>
    <x v="1"/>
    <n v="0"/>
    <n v="0"/>
    <n v="8"/>
    <n v="50"/>
    <n v="0"/>
    <n v="87.14"/>
    <n v="90.37"/>
    <m/>
    <n v="78.370676899809226"/>
    <n v="80.703906972005015"/>
    <n v="0"/>
    <n v="1861.92038"/>
    <n v="1930.9357900000002"/>
    <n v="0"/>
    <n v="1674.5462533182238"/>
    <n v="1724.4003802708312"/>
  </r>
  <r>
    <s v="Sistema de Compensação"/>
    <x v="2"/>
    <x v="4"/>
    <x v="7"/>
    <x v="4"/>
    <x v="0"/>
    <x v="1"/>
    <x v="0"/>
    <x v="4"/>
    <n v="0"/>
    <n v="0"/>
    <n v="0.03"/>
    <n v="1.0500000000000001E-2"/>
    <n v="0.03"/>
    <n v="1.0500000000000001E-2"/>
    <n v="0"/>
    <x v="1"/>
    <n v="0"/>
    <n v="0"/>
    <n v="8"/>
    <n v="50"/>
    <n v="0"/>
    <n v="87.14"/>
    <n v="90.37"/>
    <m/>
    <n v="78.370676899809226"/>
    <n v="80.703906972005015"/>
    <n v="0"/>
    <n v="0.91497000000000006"/>
    <n v="0.94888500000000009"/>
    <n v="0"/>
    <n v="0.8228921074479969"/>
    <n v="0.84739102320605275"/>
  </r>
  <r>
    <s v="Regular"/>
    <x v="2"/>
    <x v="4"/>
    <x v="7"/>
    <x v="4"/>
    <x v="0"/>
    <x v="1"/>
    <x v="0"/>
    <x v="5"/>
    <n v="0"/>
    <n v="0"/>
    <n v="21.33"/>
    <n v="21.33"/>
    <n v="21.33"/>
    <n v="21.33"/>
    <n v="15"/>
    <x v="1"/>
    <n v="0"/>
    <n v="0"/>
    <n v="8"/>
    <n v="50"/>
    <n v="0"/>
    <n v="87.14"/>
    <n v="90.37"/>
    <m/>
    <n v="78.370676899809226"/>
    <n v="80.703906972005015"/>
    <n v="0"/>
    <n v="1858.6961999999999"/>
    <n v="1927.5920999999998"/>
    <n v="0"/>
    <n v="1671.6465382729307"/>
    <n v="1721.4143357128669"/>
  </r>
  <r>
    <s v="Sistema de Compensação"/>
    <x v="2"/>
    <x v="4"/>
    <x v="7"/>
    <x v="4"/>
    <x v="0"/>
    <x v="1"/>
    <x v="0"/>
    <x v="5"/>
    <n v="0"/>
    <n v="0"/>
    <n v="1.7000000000000001E-2"/>
    <n v="5.9500000000000004E-3"/>
    <n v="1.7000000000000001E-2"/>
    <n v="5.9500000000000004E-3"/>
    <n v="0"/>
    <x v="1"/>
    <n v="0"/>
    <n v="0"/>
    <n v="8"/>
    <n v="50"/>
    <n v="0"/>
    <n v="87.14"/>
    <n v="90.37"/>
    <m/>
    <n v="78.370676899809226"/>
    <n v="80.703906972005015"/>
    <n v="0"/>
    <n v="0.51848300000000003"/>
    <n v="0.53770150000000005"/>
    <n v="0"/>
    <n v="0.46630552755386495"/>
    <n v="0.48018824648342989"/>
  </r>
  <r>
    <s v="Regular"/>
    <x v="2"/>
    <x v="4"/>
    <x v="7"/>
    <x v="4"/>
    <x v="0"/>
    <x v="1"/>
    <x v="0"/>
    <x v="6"/>
    <n v="0"/>
    <n v="0"/>
    <n v="21.36"/>
    <n v="21.36"/>
    <n v="21.36"/>
    <n v="21.36"/>
    <n v="15"/>
    <x v="1"/>
    <n v="0"/>
    <n v="0"/>
    <n v="8"/>
    <n v="50"/>
    <n v="0"/>
    <n v="87.14"/>
    <n v="90.37"/>
    <m/>
    <n v="78.370676899809226"/>
    <n v="80.703906972005015"/>
    <n v="0"/>
    <n v="1861.3104000000001"/>
    <n v="1930.3032000000001"/>
    <n v="0"/>
    <n v="1673.997658579925"/>
    <n v="1723.8354529220271"/>
  </r>
  <r>
    <s v="Sistema de Compensação"/>
    <x v="2"/>
    <x v="4"/>
    <x v="7"/>
    <x v="4"/>
    <x v="0"/>
    <x v="1"/>
    <x v="0"/>
    <x v="6"/>
    <n v="0"/>
    <n v="0"/>
    <n v="0.03"/>
    <n v="1.0500000000000001E-2"/>
    <n v="0.03"/>
    <n v="1.0500000000000001E-2"/>
    <n v="0"/>
    <x v="1"/>
    <n v="0"/>
    <n v="0"/>
    <n v="8"/>
    <n v="50"/>
    <n v="0"/>
    <n v="87.14"/>
    <n v="90.37"/>
    <m/>
    <n v="78.370676899809226"/>
    <n v="80.703906972005015"/>
    <n v="0"/>
    <n v="0.91497000000000006"/>
    <n v="0.94888500000000009"/>
    <n v="0"/>
    <n v="0.8228921074479969"/>
    <n v="0.84739102320605275"/>
  </r>
  <r>
    <s v="Regular"/>
    <x v="2"/>
    <x v="4"/>
    <x v="7"/>
    <x v="4"/>
    <x v="0"/>
    <x v="1"/>
    <x v="0"/>
    <x v="7"/>
    <n v="0"/>
    <n v="0"/>
    <n v="21.393000000000001"/>
    <n v="21.393000000000001"/>
    <n v="21.393000000000001"/>
    <n v="21.393000000000001"/>
    <n v="15"/>
    <x v="1"/>
    <n v="0"/>
    <n v="0"/>
    <n v="8"/>
    <n v="50"/>
    <n v="0"/>
    <n v="87.14"/>
    <n v="90.37"/>
    <m/>
    <n v="78.370676899809226"/>
    <n v="80.703906972005015"/>
    <n v="0"/>
    <n v="1864.1860200000001"/>
    <n v="1933.2854100000002"/>
    <n v="0"/>
    <n v="1676.5838909176189"/>
    <n v="1726.4986818521033"/>
  </r>
  <r>
    <s v="Sistema de Compensação"/>
    <x v="2"/>
    <x v="4"/>
    <x v="7"/>
    <x v="4"/>
    <x v="0"/>
    <x v="1"/>
    <x v="0"/>
    <x v="7"/>
    <n v="0"/>
    <n v="0"/>
    <n v="0.03"/>
    <n v="1.0500000000000001E-2"/>
    <n v="0.03"/>
    <n v="1.0500000000000001E-2"/>
    <n v="0"/>
    <x v="1"/>
    <n v="0"/>
    <n v="0"/>
    <n v="8"/>
    <n v="50"/>
    <n v="0"/>
    <n v="87.14"/>
    <n v="90.37"/>
    <m/>
    <n v="78.370676899809226"/>
    <n v="80.703906972005015"/>
    <n v="0"/>
    <n v="0.91497000000000006"/>
    <n v="0.94888500000000009"/>
    <n v="0"/>
    <n v="0.8228921074479969"/>
    <n v="0.84739102320605275"/>
  </r>
  <r>
    <s v="Regular"/>
    <x v="2"/>
    <x v="4"/>
    <x v="7"/>
    <x v="4"/>
    <x v="0"/>
    <x v="1"/>
    <x v="0"/>
    <x v="8"/>
    <n v="0"/>
    <n v="0"/>
    <n v="21.81"/>
    <n v="21.81"/>
    <n v="21.81"/>
    <n v="21.81"/>
    <n v="27"/>
    <x v="1"/>
    <n v="0"/>
    <n v="0"/>
    <n v="8"/>
    <n v="50"/>
    <n v="0"/>
    <n v="87.14"/>
    <n v="90.37"/>
    <m/>
    <n v="78.370676899809226"/>
    <n v="80.703906972005015"/>
    <n v="0"/>
    <n v="1900.5233999999998"/>
    <n v="1970.9696999999999"/>
    <n v="0"/>
    <n v="1709.2644631848391"/>
    <n v="1760.1522110594292"/>
  </r>
  <r>
    <s v="Sistema de Compensação"/>
    <x v="2"/>
    <x v="4"/>
    <x v="7"/>
    <x v="4"/>
    <x v="0"/>
    <x v="1"/>
    <x v="0"/>
    <x v="8"/>
    <n v="0"/>
    <n v="0"/>
    <n v="0.03"/>
    <n v="1.0500000000000001E-2"/>
    <n v="0.03"/>
    <n v="1.0500000000000001E-2"/>
    <n v="0"/>
    <x v="1"/>
    <n v="0"/>
    <n v="0"/>
    <n v="8"/>
    <n v="50"/>
    <n v="0"/>
    <n v="87.14"/>
    <n v="90.37"/>
    <m/>
    <n v="78.370676899809226"/>
    <n v="80.703906972005015"/>
    <n v="0"/>
    <n v="0.91497000000000006"/>
    <n v="0.94888500000000009"/>
    <n v="0"/>
    <n v="0.8228921074479969"/>
    <n v="0.84739102320605275"/>
  </r>
  <r>
    <s v="Regular"/>
    <x v="2"/>
    <x v="4"/>
    <x v="7"/>
    <x v="4"/>
    <x v="0"/>
    <x v="1"/>
    <x v="0"/>
    <x v="9"/>
    <n v="0"/>
    <n v="0"/>
    <n v="22.26"/>
    <n v="22.26"/>
    <n v="22.26"/>
    <n v="22.26"/>
    <n v="21"/>
    <x v="1"/>
    <n v="0"/>
    <n v="0"/>
    <n v="8"/>
    <n v="50"/>
    <n v="0"/>
    <n v="87.14"/>
    <n v="90.37"/>
    <m/>
    <n v="78.370676899809226"/>
    <n v="80.703906972005015"/>
    <n v="0"/>
    <n v="1939.7364000000002"/>
    <n v="2011.6362000000001"/>
    <n v="0"/>
    <n v="1744.5312677897534"/>
    <n v="1796.4689691968317"/>
  </r>
  <r>
    <s v="Sistema de Compensação"/>
    <x v="2"/>
    <x v="4"/>
    <x v="7"/>
    <x v="4"/>
    <x v="0"/>
    <x v="1"/>
    <x v="0"/>
    <x v="9"/>
    <n v="0"/>
    <n v="0"/>
    <n v="0.03"/>
    <n v="1.0500000000000001E-2"/>
    <n v="0.03"/>
    <n v="1.0500000000000001E-2"/>
    <n v="0"/>
    <x v="1"/>
    <n v="0"/>
    <n v="0"/>
    <n v="8"/>
    <n v="50"/>
    <n v="0"/>
    <n v="87.14"/>
    <n v="90.37"/>
    <m/>
    <n v="78.370676899809226"/>
    <n v="80.703906972005015"/>
    <n v="0"/>
    <n v="0.91497000000000006"/>
    <n v="0.94888500000000009"/>
    <n v="0"/>
    <n v="0.8228921074479969"/>
    <n v="0.84739102320605275"/>
  </r>
  <r>
    <s v="Regular"/>
    <x v="2"/>
    <x v="4"/>
    <x v="7"/>
    <x v="4"/>
    <x v="0"/>
    <x v="1"/>
    <x v="0"/>
    <x v="10"/>
    <n v="0"/>
    <n v="0"/>
    <n v="22.341999999999999"/>
    <n v="22.341999999999999"/>
    <n v="22.341999999999999"/>
    <n v="22.341999999999999"/>
    <n v="26"/>
    <x v="1"/>
    <n v="0"/>
    <n v="0"/>
    <n v="8"/>
    <n v="50"/>
    <n v="0"/>
    <n v="87.14"/>
    <n v="90.37"/>
    <m/>
    <n v="78.370676899809226"/>
    <n v="80.703906972005015"/>
    <n v="0"/>
    <n v="1946.8818799999999"/>
    <n v="2019.04654"/>
    <n v="0"/>
    <n v="1750.9576632955377"/>
    <n v="1803.086689568536"/>
  </r>
  <r>
    <s v="Sistema de Compensação"/>
    <x v="2"/>
    <x v="4"/>
    <x v="7"/>
    <x v="4"/>
    <x v="0"/>
    <x v="1"/>
    <x v="0"/>
    <x v="10"/>
    <n v="0"/>
    <n v="0"/>
    <n v="0.03"/>
    <n v="1.0500000000000001E-2"/>
    <n v="0.03"/>
    <n v="1.0500000000000001E-2"/>
    <n v="0"/>
    <x v="1"/>
    <n v="0"/>
    <n v="0"/>
    <n v="8"/>
    <n v="50"/>
    <n v="0"/>
    <n v="87.14"/>
    <n v="90.37"/>
    <m/>
    <n v="78.370676899809226"/>
    <n v="80.703906972005015"/>
    <n v="0"/>
    <n v="0.91497000000000006"/>
    <n v="0.94888500000000009"/>
    <n v="0"/>
    <n v="0.8228921074479969"/>
    <n v="0.84739102320605275"/>
  </r>
  <r>
    <s v="PROJETADO"/>
    <x v="2"/>
    <x v="4"/>
    <x v="7"/>
    <x v="4"/>
    <x v="0"/>
    <x v="1"/>
    <x v="0"/>
    <x v="11"/>
    <n v="0"/>
    <n v="0"/>
    <n v="22.341999999999999"/>
    <n v="22.341999999999999"/>
    <n v="22.341999999999999"/>
    <n v="22.341999999999999"/>
    <n v="26"/>
    <x v="1"/>
    <n v="0"/>
    <n v="0"/>
    <n v="8"/>
    <n v="50"/>
    <n v="0"/>
    <n v="87.14"/>
    <n v="90.37"/>
    <m/>
    <n v="78.370676899809226"/>
    <n v="80.703906972005015"/>
    <n v="0"/>
    <n v="1946.8818799999999"/>
    <n v="2019.04654"/>
    <n v="0"/>
    <n v="1750.9576632955377"/>
    <n v="1803.086689568536"/>
  </r>
  <r>
    <s v="PROJETADO"/>
    <x v="2"/>
    <x v="4"/>
    <x v="7"/>
    <x v="4"/>
    <x v="0"/>
    <x v="1"/>
    <x v="0"/>
    <x v="11"/>
    <n v="0"/>
    <n v="0"/>
    <n v="0.03"/>
    <n v="1.0500000000000001E-2"/>
    <n v="0.03"/>
    <n v="1.0500000000000001E-2"/>
    <n v="0"/>
    <x v="1"/>
    <n v="0"/>
    <n v="0"/>
    <n v="8"/>
    <n v="50"/>
    <n v="0"/>
    <n v="87.14"/>
    <n v="90.37"/>
    <m/>
    <n v="78.370676899809226"/>
    <n v="80.703906972005015"/>
    <n v="0"/>
    <n v="0.91497000000000006"/>
    <n v="0.94888500000000009"/>
    <n v="0"/>
    <n v="0.8228921074479969"/>
    <n v="0.84739102320605275"/>
  </r>
  <r>
    <s v="Regular"/>
    <x v="2"/>
    <x v="4"/>
    <x v="7"/>
    <x v="5"/>
    <x v="0"/>
    <x v="1"/>
    <x v="0"/>
    <x v="0"/>
    <n v="0"/>
    <n v="0"/>
    <n v="42.869"/>
    <n v="42.869"/>
    <n v="42.869"/>
    <n v="42.869"/>
    <n v="142"/>
    <x v="1"/>
    <n v="0"/>
    <n v="0"/>
    <n v="28"/>
    <n v="53"/>
    <n v="0"/>
    <n v="149.38999999999999"/>
    <n v="154.93"/>
    <m/>
    <n v="134.34973182824439"/>
    <n v="138.34955480915144"/>
    <n v="0"/>
    <n v="6404.1999099999994"/>
    <n v="6641.6941700000007"/>
    <n v="0"/>
    <n v="5759.4386537450082"/>
    <n v="5930.9070651135135"/>
  </r>
  <r>
    <s v="Regular"/>
    <x v="2"/>
    <x v="4"/>
    <x v="7"/>
    <x v="5"/>
    <x v="0"/>
    <x v="1"/>
    <x v="0"/>
    <x v="1"/>
    <n v="0"/>
    <n v="0"/>
    <n v="43.503"/>
    <n v="43.503"/>
    <n v="43.503"/>
    <n v="43.503"/>
    <n v="139"/>
    <x v="1"/>
    <n v="0"/>
    <n v="0"/>
    <n v="28"/>
    <n v="53"/>
    <n v="0"/>
    <n v="149.38999999999999"/>
    <n v="154.93"/>
    <m/>
    <n v="134.34973182824439"/>
    <n v="138.34955480915144"/>
    <n v="0"/>
    <n v="6498.9131699999998"/>
    <n v="6739.9197899999999"/>
    <n v="0"/>
    <n v="5844.6163837241156"/>
    <n v="6018.6206828625154"/>
  </r>
  <r>
    <s v="Regular"/>
    <x v="2"/>
    <x v="4"/>
    <x v="7"/>
    <x v="5"/>
    <x v="0"/>
    <x v="1"/>
    <x v="0"/>
    <x v="2"/>
    <n v="0"/>
    <n v="0"/>
    <n v="43.853999999999999"/>
    <n v="43.853999999999999"/>
    <n v="43.853999999999999"/>
    <n v="43.853999999999999"/>
    <n v="134"/>
    <x v="1"/>
    <n v="0"/>
    <n v="0"/>
    <n v="28"/>
    <n v="53"/>
    <n v="0"/>
    <n v="149.38999999999999"/>
    <n v="154.93"/>
    <m/>
    <n v="134.34973182824439"/>
    <n v="138.34955480915144"/>
    <n v="0"/>
    <n v="6551.3490599999996"/>
    <n v="6794.3002200000001"/>
    <n v="0"/>
    <n v="5891.773139595829"/>
    <n v="6067.1813766005271"/>
  </r>
  <r>
    <s v="Regular"/>
    <x v="2"/>
    <x v="4"/>
    <x v="7"/>
    <x v="5"/>
    <x v="0"/>
    <x v="1"/>
    <x v="0"/>
    <x v="3"/>
    <n v="0"/>
    <n v="0"/>
    <n v="44.758000000000003"/>
    <n v="44.758000000000003"/>
    <n v="44.758000000000003"/>
    <n v="44.758000000000003"/>
    <n v="133"/>
    <x v="1"/>
    <n v="0"/>
    <n v="0"/>
    <n v="28"/>
    <n v="53"/>
    <n v="0"/>
    <n v="149.38999999999999"/>
    <n v="154.93"/>
    <m/>
    <n v="134.34973182824439"/>
    <n v="138.34955480915144"/>
    <n v="0"/>
    <n v="6686.3976199999997"/>
    <n v="6934.3569400000006"/>
    <n v="0"/>
    <n v="6013.225297168563"/>
    <n v="6192.2493741480002"/>
  </r>
  <r>
    <s v="Regular"/>
    <x v="2"/>
    <x v="4"/>
    <x v="7"/>
    <x v="5"/>
    <x v="0"/>
    <x v="1"/>
    <x v="0"/>
    <x v="4"/>
    <n v="0"/>
    <n v="0"/>
    <n v="45.768000000000001"/>
    <n v="45.768000000000001"/>
    <n v="45.768000000000001"/>
    <n v="45.768000000000001"/>
    <n v="111"/>
    <x v="1"/>
    <n v="0"/>
    <n v="0"/>
    <n v="28"/>
    <n v="53"/>
    <n v="0"/>
    <n v="149.38999999999999"/>
    <n v="154.93"/>
    <m/>
    <n v="134.34973182824439"/>
    <n v="138.34955480915144"/>
    <n v="0"/>
    <n v="6837.2815199999995"/>
    <n v="7090.8362400000005"/>
    <n v="0"/>
    <n v="6148.9185263150894"/>
    <n v="6331.9824245052432"/>
  </r>
  <r>
    <s v="Regular"/>
    <x v="2"/>
    <x v="4"/>
    <x v="7"/>
    <x v="5"/>
    <x v="0"/>
    <x v="1"/>
    <x v="0"/>
    <x v="5"/>
    <n v="0"/>
    <n v="0"/>
    <n v="46.033999999999999"/>
    <n v="46.033999999999999"/>
    <n v="46.033999999999999"/>
    <n v="46.033999999999999"/>
    <n v="115"/>
    <x v="1"/>
    <n v="0"/>
    <n v="0"/>
    <n v="28"/>
    <n v="53"/>
    <n v="0"/>
    <n v="149.38999999999999"/>
    <n v="154.93"/>
    <m/>
    <n v="134.34973182824439"/>
    <n v="138.34955480915144"/>
    <n v="0"/>
    <n v="6877.0192599999991"/>
    <n v="7132.0476200000003"/>
    <n v="0"/>
    <n v="6184.655554981402"/>
    <n v="6368.7834060844771"/>
  </r>
  <r>
    <s v="Regular"/>
    <x v="2"/>
    <x v="4"/>
    <x v="7"/>
    <x v="5"/>
    <x v="0"/>
    <x v="1"/>
    <x v="0"/>
    <x v="6"/>
    <n v="0"/>
    <n v="0"/>
    <n v="46.927"/>
    <n v="46.927"/>
    <n v="46.927"/>
    <n v="46.927"/>
    <n v="83"/>
    <x v="1"/>
    <n v="0"/>
    <n v="0"/>
    <n v="28"/>
    <n v="53"/>
    <n v="0"/>
    <n v="149.38999999999999"/>
    <n v="154.93"/>
    <m/>
    <n v="134.34973182824439"/>
    <n v="138.34955480915144"/>
    <n v="0"/>
    <n v="7010.4245299999993"/>
    <n v="7270.4001100000005"/>
    <n v="0"/>
    <n v="6304.6298655040246"/>
    <n v="6492.3295585290498"/>
  </r>
  <r>
    <s v="Regular"/>
    <x v="2"/>
    <x v="4"/>
    <x v="7"/>
    <x v="5"/>
    <x v="0"/>
    <x v="1"/>
    <x v="0"/>
    <x v="7"/>
    <n v="0"/>
    <n v="0"/>
    <n v="46.610999999999997"/>
    <n v="46.610999999999997"/>
    <n v="46.610999999999997"/>
    <n v="46.610999999999997"/>
    <n v="101"/>
    <x v="1"/>
    <n v="0"/>
    <n v="0"/>
    <n v="28"/>
    <n v="53"/>
    <n v="0"/>
    <n v="149.38999999999999"/>
    <n v="154.93"/>
    <m/>
    <n v="134.34973182824439"/>
    <n v="138.34955480915144"/>
    <n v="0"/>
    <n v="6963.2172899999987"/>
    <n v="7221.4422299999997"/>
    <n v="0"/>
    <n v="6262.1753502462989"/>
    <n v="6448.6110992093572"/>
  </r>
  <r>
    <s v="Regular"/>
    <x v="2"/>
    <x v="4"/>
    <x v="7"/>
    <x v="5"/>
    <x v="0"/>
    <x v="1"/>
    <x v="0"/>
    <x v="8"/>
    <n v="0"/>
    <n v="0"/>
    <n v="46.491999999999997"/>
    <n v="46.491999999999997"/>
    <n v="46.491999999999997"/>
    <n v="46.491999999999997"/>
    <n v="93"/>
    <x v="1"/>
    <n v="0"/>
    <n v="0"/>
    <n v="28"/>
    <n v="53"/>
    <n v="0"/>
    <n v="149.38999999999999"/>
    <n v="154.93"/>
    <m/>
    <n v="134.34973182824439"/>
    <n v="138.34955480915144"/>
    <n v="0"/>
    <n v="6945.439879999999"/>
    <n v="7203.0055599999996"/>
    <n v="0"/>
    <n v="6246.1877321587381"/>
    <n v="6432.1475021870683"/>
  </r>
  <r>
    <s v="Regular"/>
    <x v="2"/>
    <x v="4"/>
    <x v="7"/>
    <x v="5"/>
    <x v="0"/>
    <x v="1"/>
    <x v="0"/>
    <x v="9"/>
    <n v="0"/>
    <n v="0"/>
    <n v="46.753"/>
    <n v="46.753"/>
    <n v="46.753"/>
    <n v="46.753"/>
    <n v="144"/>
    <x v="1"/>
    <n v="0"/>
    <n v="0"/>
    <n v="28"/>
    <n v="53"/>
    <n v="0"/>
    <n v="149.38999999999999"/>
    <n v="154.93"/>
    <m/>
    <n v="134.34973182824439"/>
    <n v="138.34955480915144"/>
    <n v="0"/>
    <n v="6984.4306699999997"/>
    <n v="7243.44229"/>
    <n v="0"/>
    <n v="6281.2530121659101"/>
    <n v="6468.2567359922577"/>
  </r>
  <r>
    <s v="Regular"/>
    <x v="2"/>
    <x v="4"/>
    <x v="7"/>
    <x v="5"/>
    <x v="0"/>
    <x v="1"/>
    <x v="0"/>
    <x v="10"/>
    <n v="0"/>
    <n v="0"/>
    <n v="46.506"/>
    <n v="46.506"/>
    <n v="46.506"/>
    <n v="46.506"/>
    <n v="151"/>
    <x v="1"/>
    <n v="0"/>
    <n v="0"/>
    <n v="28"/>
    <n v="53"/>
    <n v="0"/>
    <n v="149.38999999999999"/>
    <n v="154.93"/>
    <m/>
    <n v="134.34973182824439"/>
    <n v="138.34955480915144"/>
    <n v="0"/>
    <n v="6947.5313399999995"/>
    <n v="7205.1745800000008"/>
    <n v="0"/>
    <n v="6248.0686284043331"/>
    <n v="6434.0843959543972"/>
  </r>
  <r>
    <s v="PROJETADO"/>
    <x v="2"/>
    <x v="4"/>
    <x v="7"/>
    <x v="5"/>
    <x v="0"/>
    <x v="1"/>
    <x v="0"/>
    <x v="11"/>
    <n v="0"/>
    <n v="0"/>
    <n v="46.506"/>
    <n v="46.506"/>
    <n v="46.506"/>
    <n v="46.506"/>
    <n v="151"/>
    <x v="1"/>
    <n v="0"/>
    <n v="0"/>
    <n v="28"/>
    <n v="53"/>
    <n v="0"/>
    <n v="149.38999999999999"/>
    <n v="154.93"/>
    <m/>
    <n v="134.34973182824439"/>
    <n v="138.34955480915144"/>
    <n v="0"/>
    <n v="6947.5313399999995"/>
    <n v="7205.1745800000008"/>
    <n v="0"/>
    <n v="6248.0686284043331"/>
    <n v="6434.0843959543972"/>
  </r>
  <r>
    <s v="Regular"/>
    <x v="2"/>
    <x v="4"/>
    <x v="7"/>
    <x v="6"/>
    <x v="0"/>
    <x v="1"/>
    <x v="0"/>
    <x v="0"/>
    <n v="0"/>
    <n v="0"/>
    <n v="42.231000000000002"/>
    <n v="42.231000000000002"/>
    <n v="42.231000000000002"/>
    <n v="42.231000000000002"/>
    <n v="350"/>
    <x v="1"/>
    <n v="0"/>
    <n v="0"/>
    <n v="13"/>
    <n v="55"/>
    <n v="0"/>
    <n v="224.09"/>
    <n v="232.39"/>
    <m/>
    <n v="201.52459774236658"/>
    <n v="207.52433221372721"/>
    <n v="0"/>
    <n v="9463.5447899999999"/>
    <n v="9814.0620899999994"/>
    <n v="0"/>
    <n v="8510.5852872578835"/>
    <n v="8763.9600737179135"/>
  </r>
  <r>
    <s v="Regular"/>
    <x v="2"/>
    <x v="4"/>
    <x v="7"/>
    <x v="6"/>
    <x v="0"/>
    <x v="1"/>
    <x v="0"/>
    <x v="1"/>
    <n v="0"/>
    <n v="0"/>
    <n v="43.195999999999998"/>
    <n v="43.195999999999998"/>
    <n v="43.195999999999998"/>
    <n v="43.195999999999998"/>
    <n v="346"/>
    <x v="1"/>
    <n v="0"/>
    <n v="0"/>
    <n v="13"/>
    <n v="55"/>
    <n v="0"/>
    <n v="224.09"/>
    <n v="232.39"/>
    <m/>
    <n v="201.52459774236658"/>
    <n v="207.52433221372721"/>
    <n v="0"/>
    <n v="9679.7916399999995"/>
    <n v="10038.318439999999"/>
    <n v="0"/>
    <n v="8705.0565240792657"/>
    <n v="8964.2210543041601"/>
  </r>
  <r>
    <s v="Regular"/>
    <x v="2"/>
    <x v="4"/>
    <x v="7"/>
    <x v="6"/>
    <x v="0"/>
    <x v="1"/>
    <x v="0"/>
    <x v="2"/>
    <n v="0"/>
    <n v="0"/>
    <n v="41.781999999999996"/>
    <n v="41.781999999999996"/>
    <n v="41.781999999999996"/>
    <n v="41.781999999999996"/>
    <n v="367"/>
    <x v="1"/>
    <n v="0"/>
    <n v="0"/>
    <n v="13"/>
    <n v="55"/>
    <n v="0"/>
    <n v="224.09"/>
    <n v="232.39"/>
    <m/>
    <n v="201.52459774236658"/>
    <n v="207.52433221372721"/>
    <n v="0"/>
    <n v="9362.9283799999994"/>
    <n v="9709.7189799999978"/>
    <n v="0"/>
    <n v="8420.1007428715602"/>
    <n v="8670.7816485539497"/>
  </r>
  <r>
    <s v="Refaturamento - Regular"/>
    <x v="2"/>
    <x v="4"/>
    <x v="7"/>
    <x v="6"/>
    <x v="0"/>
    <x v="1"/>
    <x v="0"/>
    <x v="2"/>
    <n v="0"/>
    <n v="0"/>
    <n v="-2.7E-2"/>
    <n v="-2.7E-2"/>
    <n v="-2.7E-2"/>
    <n v="-2.7E-2"/>
    <n v="0"/>
    <x v="1"/>
    <n v="0"/>
    <n v="0"/>
    <n v="13"/>
    <n v="55"/>
    <n v="0"/>
    <n v="224.09"/>
    <n v="232.39"/>
    <m/>
    <n v="201.52459774236658"/>
    <n v="207.52433221372721"/>
    <n v="0"/>
    <n v="-6.0504300000000004"/>
    <n v="-6.2745299999999995"/>
    <n v="0"/>
    <n v="-5.4411641390438978"/>
    <n v="-5.6031569697706347"/>
  </r>
  <r>
    <s v="Regular"/>
    <x v="2"/>
    <x v="4"/>
    <x v="7"/>
    <x v="6"/>
    <x v="0"/>
    <x v="1"/>
    <x v="0"/>
    <x v="3"/>
    <n v="0"/>
    <n v="0"/>
    <n v="43.228000000000002"/>
    <n v="43.228000000000002"/>
    <n v="43.228000000000002"/>
    <n v="43.228000000000002"/>
    <n v="378"/>
    <x v="1"/>
    <n v="0"/>
    <n v="0"/>
    <n v="13"/>
    <n v="55"/>
    <n v="0"/>
    <n v="224.09"/>
    <n v="232.39"/>
    <m/>
    <n v="201.52459774236658"/>
    <n v="207.52433221372721"/>
    <n v="0"/>
    <n v="9686.9625200000009"/>
    <n v="10045.754919999999"/>
    <n v="0"/>
    <n v="8711.5053112070236"/>
    <n v="8970.8618329349993"/>
  </r>
  <r>
    <s v="Regular"/>
    <x v="2"/>
    <x v="4"/>
    <x v="7"/>
    <x v="6"/>
    <x v="0"/>
    <x v="1"/>
    <x v="0"/>
    <x v="4"/>
    <n v="0"/>
    <n v="0"/>
    <n v="45.985999999999997"/>
    <n v="45.985999999999997"/>
    <n v="45.985999999999997"/>
    <n v="45.985999999999997"/>
    <n v="381"/>
    <x v="1"/>
    <n v="0"/>
    <n v="0"/>
    <n v="13"/>
    <n v="55"/>
    <n v="0"/>
    <n v="224.09"/>
    <n v="232.39"/>
    <m/>
    <n v="201.52459774236658"/>
    <n v="207.52433221372721"/>
    <n v="0"/>
    <n v="10305.00274"/>
    <n v="10686.686539999999"/>
    <n v="0"/>
    <n v="9267.3101517804698"/>
    <n v="9543.2139411804583"/>
  </r>
  <r>
    <s v="Regular"/>
    <x v="2"/>
    <x v="4"/>
    <x v="7"/>
    <x v="6"/>
    <x v="0"/>
    <x v="1"/>
    <x v="0"/>
    <x v="5"/>
    <n v="0"/>
    <n v="0"/>
    <n v="45.545999999999999"/>
    <n v="45.545999999999999"/>
    <n v="45.545999999999999"/>
    <n v="45.545999999999999"/>
    <n v="397"/>
    <x v="1"/>
    <n v="0"/>
    <n v="0"/>
    <n v="13"/>
    <n v="55"/>
    <n v="0"/>
    <n v="224.09"/>
    <n v="232.39"/>
    <m/>
    <n v="201.52459774236658"/>
    <n v="207.52433221372721"/>
    <n v="0"/>
    <n v="10206.40314"/>
    <n v="10584.434939999999"/>
    <n v="0"/>
    <n v="9178.6393287738283"/>
    <n v="9451.903235006419"/>
  </r>
  <r>
    <s v="Regular"/>
    <x v="2"/>
    <x v="4"/>
    <x v="7"/>
    <x v="6"/>
    <x v="0"/>
    <x v="1"/>
    <x v="0"/>
    <x v="6"/>
    <n v="0"/>
    <n v="0"/>
    <n v="51.369"/>
    <n v="51.369"/>
    <n v="51.369"/>
    <n v="51.369"/>
    <n v="385"/>
    <x v="1"/>
    <n v="0"/>
    <n v="0"/>
    <n v="13"/>
    <n v="55"/>
    <n v="0"/>
    <n v="224.09"/>
    <n v="232.39"/>
    <m/>
    <n v="201.52459774236658"/>
    <n v="207.52433221372721"/>
    <n v="0"/>
    <n v="11511.279210000001"/>
    <n v="11937.641909999998"/>
    <n v="0"/>
    <n v="10352.117061427629"/>
    <n v="10660.317421486952"/>
  </r>
  <r>
    <s v="Regular"/>
    <x v="2"/>
    <x v="4"/>
    <x v="7"/>
    <x v="6"/>
    <x v="0"/>
    <x v="1"/>
    <x v="0"/>
    <x v="7"/>
    <n v="0"/>
    <n v="0"/>
    <n v="49.252000000000002"/>
    <n v="49.252000000000002"/>
    <n v="49.252000000000002"/>
    <n v="49.252000000000002"/>
    <n v="384"/>
    <x v="1"/>
    <n v="0"/>
    <n v="0"/>
    <n v="13"/>
    <n v="55"/>
    <n v="0"/>
    <n v="224.09"/>
    <n v="232.39"/>
    <m/>
    <n v="201.52459774236658"/>
    <n v="207.52433221372721"/>
    <n v="0"/>
    <n v="11036.88068"/>
    <n v="11445.672280000001"/>
    <n v="0"/>
    <n v="9925.4894880070387"/>
    <n v="10220.988410190494"/>
  </r>
  <r>
    <s v="Regular"/>
    <x v="2"/>
    <x v="4"/>
    <x v="7"/>
    <x v="6"/>
    <x v="0"/>
    <x v="1"/>
    <x v="0"/>
    <x v="8"/>
    <n v="0"/>
    <n v="0"/>
    <n v="50.28"/>
    <n v="50.28"/>
    <n v="50.28"/>
    <n v="50.28"/>
    <n v="373"/>
    <x v="1"/>
    <n v="0"/>
    <n v="0"/>
    <n v="13"/>
    <n v="55"/>
    <n v="0"/>
    <n v="224.09"/>
    <n v="232.39"/>
    <m/>
    <n v="201.52459774236658"/>
    <n v="207.52433221372721"/>
    <n v="0"/>
    <n v="11267.245200000001"/>
    <n v="11684.5692"/>
    <n v="0"/>
    <n v="10132.656774486191"/>
    <n v="10434.323423706204"/>
  </r>
  <r>
    <s v="Regular"/>
    <x v="2"/>
    <x v="4"/>
    <x v="7"/>
    <x v="6"/>
    <x v="0"/>
    <x v="1"/>
    <x v="0"/>
    <x v="9"/>
    <n v="0"/>
    <n v="0"/>
    <n v="41.968000000000004"/>
    <n v="41.968000000000004"/>
    <n v="41.968000000000004"/>
    <n v="41.968000000000004"/>
    <n v="416"/>
    <x v="1"/>
    <n v="0"/>
    <n v="0"/>
    <n v="13"/>
    <n v="55"/>
    <n v="0"/>
    <n v="224.09"/>
    <n v="232.39"/>
    <m/>
    <n v="201.52459774236658"/>
    <n v="207.52433221372721"/>
    <n v="0"/>
    <n v="9404.609120000001"/>
    <n v="9752.9435200000007"/>
    <n v="0"/>
    <n v="8457.5843180516422"/>
    <n v="8709.3811743457045"/>
  </r>
  <r>
    <s v="Regular"/>
    <x v="2"/>
    <x v="4"/>
    <x v="7"/>
    <x v="6"/>
    <x v="0"/>
    <x v="1"/>
    <x v="0"/>
    <x v="10"/>
    <n v="0"/>
    <n v="0"/>
    <n v="41.470999999999997"/>
    <n v="41.470999999999997"/>
    <n v="41.470999999999997"/>
    <n v="41.470999999999997"/>
    <n v="410"/>
    <x v="1"/>
    <n v="0"/>
    <n v="0"/>
    <n v="13"/>
    <n v="55"/>
    <n v="0"/>
    <n v="224.09"/>
    <n v="232.39"/>
    <m/>
    <n v="201.52459774236658"/>
    <n v="207.52433221372721"/>
    <n v="0"/>
    <n v="9293.23639"/>
    <n v="9637.4456899999986"/>
    <n v="0"/>
    <n v="8357.426592973683"/>
    <n v="8606.2415812354811"/>
  </r>
  <r>
    <s v="PROJETADO"/>
    <x v="2"/>
    <x v="4"/>
    <x v="7"/>
    <x v="6"/>
    <x v="0"/>
    <x v="1"/>
    <x v="0"/>
    <x v="11"/>
    <n v="0"/>
    <n v="0"/>
    <n v="41.470999999999997"/>
    <n v="41.470999999999997"/>
    <n v="41.470999999999997"/>
    <n v="41.470999999999997"/>
    <n v="410"/>
    <x v="1"/>
    <n v="0"/>
    <n v="0"/>
    <n v="13"/>
    <n v="55"/>
    <n v="0"/>
    <n v="224.09"/>
    <n v="232.39"/>
    <m/>
    <n v="201.52459774236658"/>
    <n v="207.52433221372721"/>
    <n v="0"/>
    <n v="9293.23639"/>
    <n v="9637.4456899999986"/>
    <n v="0"/>
    <n v="8357.426592973683"/>
    <n v="8606.2415812354811"/>
  </r>
  <r>
    <s v="Regular"/>
    <x v="2"/>
    <x v="4"/>
    <x v="7"/>
    <x v="7"/>
    <x v="0"/>
    <x v="1"/>
    <x v="0"/>
    <x v="0"/>
    <n v="0"/>
    <n v="0"/>
    <n v="16.440000000000001"/>
    <n v="16.440000000000001"/>
    <n v="16.440000000000001"/>
    <n v="16.440000000000001"/>
    <n v="180"/>
    <x v="1"/>
    <n v="0"/>
    <n v="0"/>
    <n v="17"/>
    <n v="72"/>
    <n v="0"/>
    <n v="248.98"/>
    <n v="258.20999999999998"/>
    <m/>
    <n v="223.91621971374065"/>
    <n v="230.58259134858577"/>
    <n v="0"/>
    <n v="4093.2312000000002"/>
    <n v="4244.9723999999997"/>
    <n v="0"/>
    <n v="3681.1826520938966"/>
    <n v="3790.7778017707501"/>
  </r>
  <r>
    <s v="Regular"/>
    <x v="2"/>
    <x v="4"/>
    <x v="7"/>
    <x v="7"/>
    <x v="0"/>
    <x v="1"/>
    <x v="0"/>
    <x v="1"/>
    <n v="0"/>
    <n v="0"/>
    <n v="14.932"/>
    <n v="14.932"/>
    <n v="14.932"/>
    <n v="14.932"/>
    <n v="192"/>
    <x v="1"/>
    <n v="0"/>
    <n v="0"/>
    <n v="17"/>
    <n v="72"/>
    <n v="0"/>
    <n v="248.98"/>
    <n v="258.20999999999998"/>
    <m/>
    <n v="223.91621971374065"/>
    <n v="230.58259134858577"/>
    <n v="0"/>
    <n v="3717.7693599999998"/>
    <n v="3855.5917199999999"/>
    <n v="0"/>
    <n v="3343.5169927655752"/>
    <n v="3443.0592540170828"/>
  </r>
  <r>
    <s v="Regular"/>
    <x v="2"/>
    <x v="4"/>
    <x v="7"/>
    <x v="7"/>
    <x v="0"/>
    <x v="1"/>
    <x v="0"/>
    <x v="2"/>
    <n v="0"/>
    <n v="0"/>
    <n v="12.797000000000001"/>
    <n v="12.797000000000001"/>
    <n v="12.797000000000001"/>
    <n v="12.797000000000001"/>
    <n v="172"/>
    <x v="1"/>
    <n v="0"/>
    <n v="0"/>
    <n v="17"/>
    <n v="72"/>
    <n v="0"/>
    <n v="248.98"/>
    <n v="258.20999999999998"/>
    <m/>
    <n v="223.91621971374065"/>
    <n v="230.58259134858577"/>
    <n v="0"/>
    <n v="3186.19706"/>
    <n v="3304.3133699999998"/>
    <n v="0"/>
    <n v="2865.4558636767392"/>
    <n v="2950.7654214878521"/>
  </r>
  <r>
    <s v="Refaturamento - Regular"/>
    <x v="2"/>
    <x v="4"/>
    <x v="7"/>
    <x v="7"/>
    <x v="0"/>
    <x v="1"/>
    <x v="0"/>
    <x v="2"/>
    <n v="0"/>
    <n v="0"/>
    <n v="-0.29799999999999999"/>
    <n v="-0.29799999999999999"/>
    <n v="-0.29799999999999999"/>
    <n v="-0.29799999999999999"/>
    <n v="0"/>
    <x v="1"/>
    <n v="0"/>
    <n v="0"/>
    <n v="17"/>
    <n v="72"/>
    <n v="0"/>
    <n v="248.98"/>
    <n v="258.20999999999998"/>
    <m/>
    <n v="223.91621971374065"/>
    <n v="230.58259134858577"/>
    <n v="0"/>
    <n v="-74.196039999999996"/>
    <n v="-76.946579999999997"/>
    <n v="0"/>
    <n v="-66.727033474694707"/>
    <n v="-68.713612221878549"/>
  </r>
  <r>
    <s v="Regular"/>
    <x v="2"/>
    <x v="4"/>
    <x v="7"/>
    <x v="7"/>
    <x v="0"/>
    <x v="1"/>
    <x v="0"/>
    <x v="3"/>
    <n v="0"/>
    <n v="0"/>
    <n v="12.688000000000001"/>
    <n v="12.688000000000001"/>
    <n v="12.688000000000001"/>
    <n v="12.688000000000001"/>
    <n v="175"/>
    <x v="1"/>
    <n v="0"/>
    <n v="0"/>
    <n v="17"/>
    <n v="72"/>
    <n v="0"/>
    <n v="248.98"/>
    <n v="258.20999999999998"/>
    <m/>
    <n v="223.91621971374065"/>
    <n v="230.58259134858577"/>
    <n v="0"/>
    <n v="3159.0582399999998"/>
    <n v="3276.1684799999998"/>
    <n v="0"/>
    <n v="2841.0489957279415"/>
    <n v="2925.6319190308564"/>
  </r>
  <r>
    <s v="Regular"/>
    <x v="2"/>
    <x v="4"/>
    <x v="7"/>
    <x v="7"/>
    <x v="0"/>
    <x v="1"/>
    <x v="0"/>
    <x v="4"/>
    <n v="0"/>
    <n v="0"/>
    <n v="14.66"/>
    <n v="14.66"/>
    <n v="14.66"/>
    <n v="14.66"/>
    <n v="199"/>
    <x v="1"/>
    <n v="0"/>
    <n v="0"/>
    <n v="17"/>
    <n v="72"/>
    <n v="0"/>
    <n v="248.98"/>
    <n v="258.20999999999998"/>
    <m/>
    <n v="223.91621971374065"/>
    <n v="230.58259134858577"/>
    <n v="0"/>
    <n v="3650.0468000000001"/>
    <n v="3785.3585999999996"/>
    <n v="0"/>
    <n v="3282.611781003438"/>
    <n v="3380.3407891702673"/>
  </r>
  <r>
    <s v="Regular"/>
    <x v="2"/>
    <x v="4"/>
    <x v="7"/>
    <x v="7"/>
    <x v="0"/>
    <x v="1"/>
    <x v="0"/>
    <x v="5"/>
    <n v="0"/>
    <n v="0"/>
    <n v="13.177"/>
    <n v="13.177"/>
    <n v="13.177"/>
    <n v="13.177"/>
    <n v="185"/>
    <x v="1"/>
    <n v="0"/>
    <n v="0"/>
    <n v="17"/>
    <n v="72"/>
    <n v="0"/>
    <n v="248.98"/>
    <n v="258.20999999999998"/>
    <m/>
    <n v="223.91621971374065"/>
    <n v="230.58259134858577"/>
    <n v="0"/>
    <n v="3280.8094599999999"/>
    <n v="3402.4331699999998"/>
    <n v="0"/>
    <n v="2950.5440271679604"/>
    <n v="3038.3868062003144"/>
  </r>
  <r>
    <s v="Regular"/>
    <x v="2"/>
    <x v="4"/>
    <x v="7"/>
    <x v="7"/>
    <x v="0"/>
    <x v="1"/>
    <x v="0"/>
    <x v="6"/>
    <n v="0"/>
    <n v="0"/>
    <n v="20.587"/>
    <n v="20.587"/>
    <n v="20.587"/>
    <n v="20.587"/>
    <n v="229"/>
    <x v="1"/>
    <n v="0"/>
    <n v="0"/>
    <n v="17"/>
    <n v="72"/>
    <n v="0"/>
    <n v="248.98"/>
    <n v="258.20999999999998"/>
    <m/>
    <n v="223.91621971374065"/>
    <n v="230.58259134858577"/>
    <n v="0"/>
    <n v="5125.75126"/>
    <n v="5315.7692699999998"/>
    <n v="0"/>
    <n v="4609.7632152467786"/>
    <n v="4747.0038080933355"/>
  </r>
  <r>
    <s v="Regular"/>
    <x v="2"/>
    <x v="4"/>
    <x v="7"/>
    <x v="7"/>
    <x v="0"/>
    <x v="1"/>
    <x v="0"/>
    <x v="7"/>
    <n v="0"/>
    <n v="0"/>
    <n v="18.414999999999999"/>
    <n v="18.414999999999999"/>
    <n v="18.414999999999999"/>
    <n v="18.414999999999999"/>
    <n v="214"/>
    <x v="1"/>
    <n v="0"/>
    <n v="0"/>
    <n v="17"/>
    <n v="72"/>
    <n v="0"/>
    <n v="248.98"/>
    <n v="258.20999999999998"/>
    <m/>
    <n v="223.91621971374065"/>
    <n v="230.58259134858577"/>
    <n v="0"/>
    <n v="4584.9666999999999"/>
    <n v="4754.9371499999997"/>
    <n v="0"/>
    <n v="4123.4171860285342"/>
    <n v="4246.1784196842063"/>
  </r>
  <r>
    <s v="Refaturamento - Regular"/>
    <x v="2"/>
    <x v="4"/>
    <x v="7"/>
    <x v="7"/>
    <x v="0"/>
    <x v="1"/>
    <x v="0"/>
    <x v="7"/>
    <n v="0"/>
    <n v="0"/>
    <n v="5.5E-2"/>
    <n v="5.5E-2"/>
    <n v="5.5E-2"/>
    <n v="5.5E-2"/>
    <n v="0"/>
    <x v="1"/>
    <n v="0"/>
    <n v="0"/>
    <n v="17"/>
    <n v="72"/>
    <n v="0"/>
    <n v="248.98"/>
    <n v="258.20999999999998"/>
    <m/>
    <n v="223.91621971374065"/>
    <n v="230.58259134858577"/>
    <n v="0"/>
    <n v="13.693899999999999"/>
    <n v="14.201549999999999"/>
    <n v="0"/>
    <n v="12.315392084255736"/>
    <n v="12.682042524172218"/>
  </r>
  <r>
    <s v="Regular"/>
    <x v="2"/>
    <x v="4"/>
    <x v="7"/>
    <x v="7"/>
    <x v="0"/>
    <x v="1"/>
    <x v="0"/>
    <x v="8"/>
    <n v="0"/>
    <n v="0"/>
    <n v="21.835000000000001"/>
    <n v="21.835000000000001"/>
    <n v="21.835000000000001"/>
    <n v="21.835000000000001"/>
    <n v="234"/>
    <x v="1"/>
    <n v="0"/>
    <n v="0"/>
    <n v="17"/>
    <n v="72"/>
    <n v="0"/>
    <n v="248.98"/>
    <n v="258.20999999999998"/>
    <m/>
    <n v="223.91621971374065"/>
    <n v="230.58259134858577"/>
    <n v="0"/>
    <n v="5436.4782999999998"/>
    <n v="5638.0153499999997"/>
    <n v="0"/>
    <n v="4889.2106574495274"/>
    <n v="5034.7708820963708"/>
  </r>
  <r>
    <s v="Regular"/>
    <x v="2"/>
    <x v="4"/>
    <x v="7"/>
    <x v="7"/>
    <x v="0"/>
    <x v="1"/>
    <x v="0"/>
    <x v="9"/>
    <n v="0"/>
    <n v="0"/>
    <n v="10.692"/>
    <n v="10.692"/>
    <n v="10.692"/>
    <n v="10.692"/>
    <n v="161"/>
    <x v="1"/>
    <n v="0"/>
    <n v="0"/>
    <n v="17"/>
    <n v="72"/>
    <n v="0"/>
    <n v="248.98"/>
    <n v="258.20999999999998"/>
    <m/>
    <n v="223.91621971374065"/>
    <n v="230.58259134858577"/>
    <n v="0"/>
    <n v="2662.0941600000001"/>
    <n v="2760.7813200000001"/>
    <n v="0"/>
    <n v="2394.1122211793149"/>
    <n v="2465.3890666990792"/>
  </r>
  <r>
    <s v="Regular"/>
    <x v="2"/>
    <x v="4"/>
    <x v="7"/>
    <x v="7"/>
    <x v="0"/>
    <x v="1"/>
    <x v="0"/>
    <x v="10"/>
    <n v="0"/>
    <n v="0"/>
    <n v="12.063000000000001"/>
    <n v="12.063000000000001"/>
    <n v="12.063000000000001"/>
    <n v="12.063000000000001"/>
    <n v="158"/>
    <x v="1"/>
    <n v="0"/>
    <n v="0"/>
    <n v="17"/>
    <n v="72"/>
    <n v="0"/>
    <n v="248.98"/>
    <n v="258.20999999999998"/>
    <m/>
    <n v="223.91621971374065"/>
    <n v="230.58259134858577"/>
    <n v="0"/>
    <n v="3003.4457400000001"/>
    <n v="3114.7872299999999"/>
    <n v="0"/>
    <n v="2701.1013584068537"/>
    <n v="2781.5177994379901"/>
  </r>
  <r>
    <s v="PROJETADO"/>
    <x v="2"/>
    <x v="4"/>
    <x v="7"/>
    <x v="7"/>
    <x v="0"/>
    <x v="1"/>
    <x v="0"/>
    <x v="11"/>
    <n v="0"/>
    <n v="0"/>
    <n v="12.063000000000001"/>
    <n v="12.063000000000001"/>
    <n v="12.063000000000001"/>
    <n v="12.063000000000001"/>
    <n v="158"/>
    <x v="1"/>
    <n v="0"/>
    <n v="0"/>
    <n v="17"/>
    <n v="72"/>
    <n v="0"/>
    <n v="248.98"/>
    <n v="258.20999999999998"/>
    <m/>
    <n v="223.91621971374065"/>
    <n v="230.58259134858577"/>
    <n v="0"/>
    <n v="3003.4457400000001"/>
    <n v="3114.7872299999999"/>
    <n v="0"/>
    <n v="2701.1013584068537"/>
    <n v="2781.5177994379901"/>
  </r>
  <r>
    <s v="Regular"/>
    <x v="3"/>
    <x v="4"/>
    <x v="6"/>
    <x v="2"/>
    <x v="3"/>
    <x v="1"/>
    <x v="0"/>
    <x v="0"/>
    <n v="0"/>
    <n v="0"/>
    <n v="9.3789999999999996"/>
    <n v="9.3789999999999996"/>
    <n v="9.3789999999999996"/>
    <n v="9.3789999999999996"/>
    <n v="0"/>
    <x v="1"/>
    <n v="0"/>
    <n v="0"/>
    <n v="30"/>
    <n v="70"/>
    <n v="0"/>
    <n v="285.56"/>
    <n v="227.23"/>
    <m/>
    <n v="310.34682484351242"/>
    <n v="216.7476358676706"/>
    <n v="0"/>
    <n v="2678.2672399999997"/>
    <n v="2131.1901699999999"/>
    <n v="0"/>
    <n v="2910.742870207303"/>
    <n v="2032.8760768028824"/>
  </r>
  <r>
    <s v="Regular"/>
    <x v="3"/>
    <x v="4"/>
    <x v="6"/>
    <x v="2"/>
    <x v="3"/>
    <x v="1"/>
    <x v="0"/>
    <x v="1"/>
    <n v="0"/>
    <n v="0"/>
    <n v="8.1590000000000007"/>
    <n v="8.1590000000000007"/>
    <n v="8.1590000000000007"/>
    <n v="8.1590000000000007"/>
    <n v="0"/>
    <x v="1"/>
    <n v="0"/>
    <n v="0"/>
    <n v="30"/>
    <n v="70"/>
    <n v="0"/>
    <n v="285.56"/>
    <n v="227.23"/>
    <m/>
    <n v="310.34682484351242"/>
    <n v="216.7476358676706"/>
    <n v="0"/>
    <n v="2329.8840400000004"/>
    <n v="1853.96957"/>
    <n v="0"/>
    <n v="2532.1197438982181"/>
    <n v="1768.4439610443246"/>
  </r>
  <r>
    <s v="Sistema de Compensação"/>
    <x v="3"/>
    <x v="4"/>
    <x v="6"/>
    <x v="2"/>
    <x v="3"/>
    <x v="1"/>
    <x v="0"/>
    <x v="1"/>
    <n v="0"/>
    <n v="0"/>
    <n v="6.8000000000000005E-2"/>
    <n v="6.8000000000000005E-2"/>
    <n v="6.8000000000000005E-2"/>
    <n v="6.8000000000000005E-2"/>
    <n v="0"/>
    <x v="1"/>
    <n v="0"/>
    <n v="0"/>
    <n v="30"/>
    <n v="70"/>
    <n v="0"/>
    <n v="285.56"/>
    <n v="227.23"/>
    <m/>
    <n v="310.34682484351242"/>
    <n v="216.7476358676706"/>
    <n v="0"/>
    <n v="19.41808"/>
    <n v="15.451640000000001"/>
    <n v="0"/>
    <n v="21.103584089358847"/>
    <n v="14.738839239001601"/>
  </r>
  <r>
    <s v="Regular"/>
    <x v="3"/>
    <x v="4"/>
    <x v="6"/>
    <x v="2"/>
    <x v="3"/>
    <x v="1"/>
    <x v="0"/>
    <x v="2"/>
    <n v="0"/>
    <n v="0"/>
    <n v="9.0139999999999993"/>
    <n v="9.0139999999999993"/>
    <n v="9.0139999999999993"/>
    <n v="9.0139999999999993"/>
    <n v="0"/>
    <x v="1"/>
    <n v="0"/>
    <n v="0"/>
    <n v="30"/>
    <n v="70"/>
    <n v="0"/>
    <n v="285.56"/>
    <n v="227.23"/>
    <m/>
    <n v="310.34682484351242"/>
    <n v="216.7476358676706"/>
    <n v="0"/>
    <n v="2574.03784"/>
    <n v="2048.2512199999996"/>
    <n v="0"/>
    <n v="2797.4662791394207"/>
    <n v="1953.7631897111826"/>
  </r>
  <r>
    <s v="Sistema de Compensação"/>
    <x v="3"/>
    <x v="4"/>
    <x v="6"/>
    <x v="2"/>
    <x v="3"/>
    <x v="1"/>
    <x v="0"/>
    <x v="2"/>
    <n v="0"/>
    <n v="0"/>
    <n v="0.1"/>
    <n v="0.1"/>
    <n v="0.1"/>
    <n v="0.1"/>
    <n v="0"/>
    <x v="1"/>
    <n v="0"/>
    <n v="0"/>
    <n v="30"/>
    <n v="70"/>
    <n v="0"/>
    <n v="285.56"/>
    <n v="227.23"/>
    <m/>
    <n v="310.34682484351242"/>
    <n v="216.7476358676706"/>
    <n v="0"/>
    <n v="28.556000000000001"/>
    <n v="22.722999999999999"/>
    <n v="0"/>
    <n v="31.034682484351244"/>
    <n v="21.67476358676706"/>
  </r>
  <r>
    <s v="Regular"/>
    <x v="3"/>
    <x v="4"/>
    <x v="6"/>
    <x v="2"/>
    <x v="3"/>
    <x v="1"/>
    <x v="0"/>
    <x v="3"/>
    <n v="0"/>
    <n v="0"/>
    <n v="9.7840000000000007"/>
    <n v="9.7840000000000007"/>
    <n v="9.7840000000000007"/>
    <n v="9.7840000000000007"/>
    <n v="0"/>
    <x v="1"/>
    <n v="0"/>
    <n v="0"/>
    <n v="30"/>
    <n v="70"/>
    <n v="0"/>
    <n v="285.56"/>
    <n v="227.23"/>
    <m/>
    <n v="310.34682484351242"/>
    <n v="216.7476358676706"/>
    <n v="0"/>
    <n v="2793.9190400000002"/>
    <n v="2223.2183199999999"/>
    <n v="0"/>
    <n v="3036.4333342689256"/>
    <n v="2120.6588693292892"/>
  </r>
  <r>
    <s v="Sistema de Compensação"/>
    <x v="3"/>
    <x v="4"/>
    <x v="6"/>
    <x v="2"/>
    <x v="3"/>
    <x v="1"/>
    <x v="0"/>
    <x v="3"/>
    <n v="0"/>
    <n v="0"/>
    <n v="0.15"/>
    <n v="0.15"/>
    <n v="0.15"/>
    <n v="0.15"/>
    <n v="0"/>
    <x v="1"/>
    <n v="0"/>
    <n v="0"/>
    <n v="30"/>
    <n v="70"/>
    <n v="0"/>
    <n v="285.56"/>
    <n v="227.23"/>
    <m/>
    <n v="310.34682484351242"/>
    <n v="216.7476358676706"/>
    <n v="0"/>
    <n v="42.833999999999996"/>
    <n v="34.084499999999998"/>
    <n v="0"/>
    <n v="46.552023726526862"/>
    <n v="32.512145380150585"/>
  </r>
  <r>
    <s v="Regular"/>
    <x v="3"/>
    <x v="4"/>
    <x v="6"/>
    <x v="2"/>
    <x v="3"/>
    <x v="1"/>
    <x v="0"/>
    <x v="4"/>
    <n v="0"/>
    <n v="0"/>
    <n v="10.707000000000001"/>
    <n v="10.707000000000001"/>
    <n v="10.707000000000001"/>
    <n v="10.707000000000001"/>
    <n v="0"/>
    <x v="1"/>
    <n v="0"/>
    <n v="0"/>
    <n v="30"/>
    <n v="70"/>
    <n v="0"/>
    <n v="285.56"/>
    <n v="227.23"/>
    <m/>
    <n v="310.34682484351242"/>
    <n v="216.7476358676706"/>
    <n v="0"/>
    <n v="3057.4909200000002"/>
    <n v="2432.9516100000001"/>
    <n v="0"/>
    <n v="3322.8834535994879"/>
    <n v="2320.7169372351491"/>
  </r>
  <r>
    <s v="Sistema de Compensação"/>
    <x v="3"/>
    <x v="4"/>
    <x v="6"/>
    <x v="2"/>
    <x v="3"/>
    <x v="1"/>
    <x v="0"/>
    <x v="4"/>
    <n v="0"/>
    <n v="0"/>
    <n v="0.15"/>
    <n v="0.15"/>
    <n v="0.15"/>
    <n v="0.15"/>
    <n v="0"/>
    <x v="1"/>
    <n v="0"/>
    <n v="0"/>
    <n v="30"/>
    <n v="70"/>
    <n v="0"/>
    <n v="285.56"/>
    <n v="227.23"/>
    <m/>
    <n v="310.34682484351242"/>
    <n v="216.7476358676706"/>
    <n v="0"/>
    <n v="42.833999999999996"/>
    <n v="34.084499999999998"/>
    <n v="0"/>
    <n v="46.552023726526862"/>
    <n v="32.512145380150585"/>
  </r>
  <r>
    <s v="Regular"/>
    <x v="3"/>
    <x v="4"/>
    <x v="6"/>
    <x v="2"/>
    <x v="3"/>
    <x v="1"/>
    <x v="0"/>
    <x v="5"/>
    <n v="0"/>
    <n v="0"/>
    <n v="35.530999999999999"/>
    <n v="35.530999999999999"/>
    <n v="35.530999999999999"/>
    <n v="35.530999999999999"/>
    <n v="0"/>
    <x v="1"/>
    <n v="0"/>
    <n v="0"/>
    <n v="30"/>
    <n v="70"/>
    <n v="0"/>
    <n v="285.56"/>
    <n v="227.23"/>
    <m/>
    <n v="310.34682484351242"/>
    <n v="216.7476358676706"/>
    <n v="0"/>
    <n v="10146.23236"/>
    <n v="8073.7091299999993"/>
    <n v="0"/>
    <n v="11026.933033514839"/>
    <n v="7701.2602500142038"/>
  </r>
  <r>
    <s v="Sistema de Compensação"/>
    <x v="3"/>
    <x v="4"/>
    <x v="6"/>
    <x v="2"/>
    <x v="3"/>
    <x v="1"/>
    <x v="0"/>
    <x v="5"/>
    <n v="0"/>
    <n v="0"/>
    <n v="0.1"/>
    <n v="0.1"/>
    <n v="0.1"/>
    <n v="0.1"/>
    <n v="0"/>
    <x v="1"/>
    <n v="0"/>
    <n v="0"/>
    <n v="30"/>
    <n v="70"/>
    <n v="0"/>
    <n v="285.56"/>
    <n v="227.23"/>
    <m/>
    <n v="310.34682484351242"/>
    <n v="216.7476358676706"/>
    <n v="0"/>
    <n v="28.556000000000001"/>
    <n v="22.722999999999999"/>
    <n v="0"/>
    <n v="31.034682484351244"/>
    <n v="21.67476358676706"/>
  </r>
  <r>
    <s v="Regular"/>
    <x v="3"/>
    <x v="4"/>
    <x v="6"/>
    <x v="2"/>
    <x v="3"/>
    <x v="1"/>
    <x v="0"/>
    <x v="6"/>
    <n v="0"/>
    <n v="0"/>
    <n v="67.302999999999997"/>
    <n v="67.302999999999997"/>
    <n v="67.302999999999997"/>
    <n v="67.302999999999997"/>
    <n v="0"/>
    <x v="1"/>
    <n v="0"/>
    <n v="0"/>
    <n v="30"/>
    <n v="70"/>
    <n v="0"/>
    <n v="285.56"/>
    <n v="227.23"/>
    <m/>
    <n v="310.34682484351242"/>
    <n v="216.7476358676706"/>
    <n v="0"/>
    <n v="19219.044679999999"/>
    <n v="15293.260689999999"/>
    <n v="0"/>
    <n v="20887.272352442917"/>
    <n v="14587.766136801834"/>
  </r>
  <r>
    <s v="Sistema de Compensação"/>
    <x v="3"/>
    <x v="4"/>
    <x v="6"/>
    <x v="2"/>
    <x v="3"/>
    <x v="1"/>
    <x v="0"/>
    <x v="6"/>
    <n v="0"/>
    <n v="0"/>
    <n v="0.15"/>
    <n v="0.15"/>
    <n v="0.15"/>
    <n v="0.15"/>
    <n v="0"/>
    <x v="1"/>
    <n v="0"/>
    <n v="0"/>
    <n v="30"/>
    <n v="70"/>
    <n v="0"/>
    <n v="285.56"/>
    <n v="227.23"/>
    <m/>
    <n v="310.34682484351242"/>
    <n v="216.7476358676706"/>
    <n v="0"/>
    <n v="42.833999999999996"/>
    <n v="34.084499999999998"/>
    <n v="0"/>
    <n v="46.552023726526862"/>
    <n v="32.512145380150585"/>
  </r>
  <r>
    <s v="Regular"/>
    <x v="3"/>
    <x v="4"/>
    <x v="6"/>
    <x v="2"/>
    <x v="3"/>
    <x v="1"/>
    <x v="0"/>
    <x v="7"/>
    <n v="0"/>
    <n v="0"/>
    <n v="32.872"/>
    <n v="32.872"/>
    <n v="32.872"/>
    <n v="32.872"/>
    <n v="0"/>
    <x v="1"/>
    <n v="0"/>
    <n v="0"/>
    <n v="30"/>
    <n v="70"/>
    <n v="0"/>
    <n v="285.56"/>
    <n v="227.23"/>
    <m/>
    <n v="310.34682484351242"/>
    <n v="216.7476358676706"/>
    <n v="0"/>
    <n v="9386.9283200000009"/>
    <n v="7469.5045599999994"/>
    <n v="0"/>
    <n v="10201.72082625594"/>
    <n v="7124.9282862420678"/>
  </r>
  <r>
    <s v="Sistema de Compensação"/>
    <x v="3"/>
    <x v="4"/>
    <x v="6"/>
    <x v="2"/>
    <x v="3"/>
    <x v="1"/>
    <x v="0"/>
    <x v="7"/>
    <n v="0"/>
    <n v="0"/>
    <n v="0.1"/>
    <n v="0.1"/>
    <n v="0.1"/>
    <n v="0.1"/>
    <n v="0"/>
    <x v="1"/>
    <n v="0"/>
    <n v="0"/>
    <n v="30"/>
    <n v="70"/>
    <n v="0"/>
    <n v="285.56"/>
    <n v="227.23"/>
    <m/>
    <n v="310.34682484351242"/>
    <n v="216.7476358676706"/>
    <n v="0"/>
    <n v="28.556000000000001"/>
    <n v="22.722999999999999"/>
    <n v="0"/>
    <n v="31.034682484351244"/>
    <n v="21.67476358676706"/>
  </r>
  <r>
    <s v="Regular"/>
    <x v="3"/>
    <x v="4"/>
    <x v="6"/>
    <x v="2"/>
    <x v="3"/>
    <x v="1"/>
    <x v="0"/>
    <x v="8"/>
    <n v="0"/>
    <n v="0"/>
    <n v="23.164999999999999"/>
    <n v="23.164999999999999"/>
    <n v="23.164999999999999"/>
    <n v="23.164999999999999"/>
    <n v="0"/>
    <x v="1"/>
    <n v="0"/>
    <n v="0"/>
    <n v="30"/>
    <n v="70"/>
    <n v="0"/>
    <n v="285.56"/>
    <n v="227.23"/>
    <m/>
    <n v="310.34682484351242"/>
    <n v="216.7476358676706"/>
    <n v="0"/>
    <n v="6614.9974000000002"/>
    <n v="5263.7829499999998"/>
    <n v="0"/>
    <n v="7189.1841974999652"/>
    <n v="5020.9589848745891"/>
  </r>
  <r>
    <s v="Sistema de Compensação"/>
    <x v="3"/>
    <x v="4"/>
    <x v="6"/>
    <x v="2"/>
    <x v="3"/>
    <x v="1"/>
    <x v="0"/>
    <x v="8"/>
    <n v="0"/>
    <n v="0"/>
    <n v="0.1"/>
    <n v="0.1"/>
    <n v="0.1"/>
    <n v="0.1"/>
    <n v="0"/>
    <x v="1"/>
    <n v="0"/>
    <n v="0"/>
    <n v="30"/>
    <n v="70"/>
    <n v="0"/>
    <n v="285.56"/>
    <n v="227.23"/>
    <m/>
    <n v="310.34682484351242"/>
    <n v="216.7476358676706"/>
    <n v="0"/>
    <n v="28.556000000000001"/>
    <n v="22.722999999999999"/>
    <n v="0"/>
    <n v="31.034682484351244"/>
    <n v="21.67476358676706"/>
  </r>
  <r>
    <s v="Regular"/>
    <x v="3"/>
    <x v="4"/>
    <x v="6"/>
    <x v="2"/>
    <x v="3"/>
    <x v="1"/>
    <x v="0"/>
    <x v="9"/>
    <n v="0"/>
    <n v="0"/>
    <n v="7.4290000000000003"/>
    <n v="7.4290000000000003"/>
    <n v="7.4290000000000003"/>
    <n v="7.4290000000000003"/>
    <n v="0"/>
    <x v="1"/>
    <n v="0"/>
    <n v="0"/>
    <n v="30"/>
    <n v="70"/>
    <n v="0"/>
    <n v="285.56"/>
    <n v="227.23"/>
    <m/>
    <n v="310.34682484351242"/>
    <n v="216.7476358676706"/>
    <n v="0"/>
    <n v="2121.42524"/>
    <n v="1688.09167"/>
    <n v="0"/>
    <n v="2305.5665617624541"/>
    <n v="1610.218186860925"/>
  </r>
  <r>
    <s v="Sistema de Compensação"/>
    <x v="3"/>
    <x v="4"/>
    <x v="6"/>
    <x v="2"/>
    <x v="3"/>
    <x v="1"/>
    <x v="0"/>
    <x v="9"/>
    <n v="0"/>
    <n v="0"/>
    <n v="0.15"/>
    <n v="0.15"/>
    <n v="0.15"/>
    <n v="0.15"/>
    <n v="0"/>
    <x v="1"/>
    <n v="0"/>
    <n v="0"/>
    <n v="30"/>
    <n v="70"/>
    <n v="0"/>
    <n v="285.56"/>
    <n v="227.23"/>
    <m/>
    <n v="310.34682484351242"/>
    <n v="216.7476358676706"/>
    <n v="0"/>
    <n v="42.833999999999996"/>
    <n v="34.084499999999998"/>
    <n v="0"/>
    <n v="46.552023726526862"/>
    <n v="32.512145380150585"/>
  </r>
  <r>
    <s v="Regular"/>
    <x v="3"/>
    <x v="4"/>
    <x v="6"/>
    <x v="2"/>
    <x v="3"/>
    <x v="1"/>
    <x v="0"/>
    <x v="10"/>
    <n v="0"/>
    <n v="0"/>
    <n v="6.1859999999999999"/>
    <n v="6.1859999999999999"/>
    <n v="6.1859999999999999"/>
    <n v="6.1859999999999999"/>
    <n v="0"/>
    <x v="1"/>
    <n v="0"/>
    <n v="0"/>
    <n v="30"/>
    <n v="70"/>
    <n v="0"/>
    <n v="285.56"/>
    <n v="227.23"/>
    <m/>
    <n v="310.34682484351242"/>
    <n v="216.7476358676706"/>
    <n v="0"/>
    <n v="1766.47416"/>
    <n v="1405.6447799999999"/>
    <n v="0"/>
    <n v="1919.8054584819679"/>
    <n v="1340.8008754774103"/>
  </r>
  <r>
    <s v="PROJETADO"/>
    <x v="3"/>
    <x v="4"/>
    <x v="6"/>
    <x v="2"/>
    <x v="3"/>
    <x v="1"/>
    <x v="0"/>
    <x v="11"/>
    <n v="0"/>
    <n v="0"/>
    <n v="6.1859999999999999"/>
    <n v="6.1859999999999999"/>
    <n v="6.1859999999999999"/>
    <n v="6.1859999999999999"/>
    <n v="0"/>
    <x v="1"/>
    <n v="0"/>
    <n v="0"/>
    <n v="30"/>
    <n v="70"/>
    <n v="0"/>
    <n v="285.56"/>
    <n v="227.23"/>
    <m/>
    <n v="310.34682484351242"/>
    <n v="216.7476358676706"/>
    <n v="0"/>
    <n v="1766.47416"/>
    <n v="1405.6447799999999"/>
    <n v="0"/>
    <n v="1919.8054584819679"/>
    <n v="1340.8008754774103"/>
  </r>
  <r>
    <s v="Regular"/>
    <x v="3"/>
    <x v="4"/>
    <x v="6"/>
    <x v="2"/>
    <x v="2"/>
    <x v="1"/>
    <x v="0"/>
    <x v="0"/>
    <n v="0"/>
    <n v="0"/>
    <n v="1.282"/>
    <n v="0.51280000000000003"/>
    <n v="1.282"/>
    <n v="0.51280000000000003"/>
    <n v="0"/>
    <x v="1"/>
    <n v="0"/>
    <n v="0"/>
    <n v="30"/>
    <n v="70"/>
    <n v="0"/>
    <n v="285.56"/>
    <n v="227.23"/>
    <m/>
    <n v="310.34682484351242"/>
    <n v="216.7476358676706"/>
    <n v="0"/>
    <n v="146.435168"/>
    <n v="116.523544"/>
    <n v="0"/>
    <n v="159.14585177975317"/>
    <n v="111.14818767294149"/>
  </r>
  <r>
    <s v="Regular"/>
    <x v="3"/>
    <x v="4"/>
    <x v="6"/>
    <x v="2"/>
    <x v="2"/>
    <x v="1"/>
    <x v="0"/>
    <x v="1"/>
    <n v="0"/>
    <n v="0"/>
    <n v="0.92400000000000004"/>
    <n v="0.36959999999999998"/>
    <n v="0.92400000000000004"/>
    <n v="0.36959999999999998"/>
    <n v="0"/>
    <x v="1"/>
    <n v="0"/>
    <n v="0"/>
    <n v="30"/>
    <n v="70"/>
    <n v="0"/>
    <n v="285.56"/>
    <n v="227.23"/>
    <m/>
    <n v="310.34682484351242"/>
    <n v="216.7476358676706"/>
    <n v="0"/>
    <n v="105.542976"/>
    <n v="83.984207999999995"/>
    <n v="0"/>
    <n v="114.70418646216218"/>
    <n v="80.109926216691051"/>
  </r>
  <r>
    <s v="Sistema de Compensação"/>
    <x v="3"/>
    <x v="4"/>
    <x v="6"/>
    <x v="2"/>
    <x v="2"/>
    <x v="1"/>
    <x v="0"/>
    <x v="1"/>
    <n v="0"/>
    <n v="0"/>
    <n v="9.5000000000000001E-2"/>
    <n v="9.5000000000000001E-2"/>
    <n v="9.5000000000000001E-2"/>
    <n v="9.5000000000000001E-2"/>
    <n v="0"/>
    <x v="1"/>
    <n v="0"/>
    <n v="0"/>
    <n v="30"/>
    <n v="70"/>
    <n v="0"/>
    <n v="285.56"/>
    <n v="227.23"/>
    <m/>
    <n v="310.34682484351242"/>
    <n v="216.7476358676706"/>
    <n v="0"/>
    <n v="27.1282"/>
    <n v="21.586849999999998"/>
    <n v="0"/>
    <n v="29.48294836013368"/>
    <n v="20.591025407428706"/>
  </r>
  <r>
    <s v="Regular"/>
    <x v="3"/>
    <x v="4"/>
    <x v="6"/>
    <x v="2"/>
    <x v="2"/>
    <x v="1"/>
    <x v="0"/>
    <x v="2"/>
    <n v="0"/>
    <n v="0"/>
    <n v="1.5880000000000001"/>
    <n v="0.63519999999999999"/>
    <n v="1.5880000000000001"/>
    <n v="0.63519999999999999"/>
    <n v="0"/>
    <x v="1"/>
    <n v="0"/>
    <n v="0"/>
    <n v="30"/>
    <n v="70"/>
    <n v="0"/>
    <n v="285.56"/>
    <n v="227.23"/>
    <m/>
    <n v="310.34682484351242"/>
    <n v="216.7476358676706"/>
    <n v="0"/>
    <n v="181.38771199999999"/>
    <n v="144.33649599999998"/>
    <n v="0"/>
    <n v="197.13230314059908"/>
    <n v="137.67809830314437"/>
  </r>
  <r>
    <s v="Regular"/>
    <x v="3"/>
    <x v="4"/>
    <x v="6"/>
    <x v="2"/>
    <x v="2"/>
    <x v="1"/>
    <x v="0"/>
    <x v="3"/>
    <n v="0"/>
    <n v="0"/>
    <n v="1.3839999999999999"/>
    <n v="0.55359999999999998"/>
    <n v="1.3839999999999999"/>
    <n v="0.55359999999999998"/>
    <n v="0"/>
    <x v="1"/>
    <n v="0"/>
    <n v="0"/>
    <n v="30"/>
    <n v="70"/>
    <n v="0"/>
    <n v="285.56"/>
    <n v="227.23"/>
    <m/>
    <n v="310.34682484351242"/>
    <n v="216.7476358676706"/>
    <n v="0"/>
    <n v="158.086016"/>
    <n v="125.79452799999999"/>
    <n v="0"/>
    <n v="171.80800223336848"/>
    <n v="119.99149121634244"/>
  </r>
  <r>
    <s v="Regular"/>
    <x v="3"/>
    <x v="4"/>
    <x v="6"/>
    <x v="2"/>
    <x v="2"/>
    <x v="1"/>
    <x v="0"/>
    <x v="4"/>
    <n v="0"/>
    <n v="0"/>
    <n v="22.245000000000001"/>
    <n v="8.8979999999999997"/>
    <n v="22.245000000000001"/>
    <n v="8.8979999999999997"/>
    <n v="0"/>
    <x v="1"/>
    <n v="0"/>
    <n v="0"/>
    <n v="30"/>
    <n v="70"/>
    <n v="0"/>
    <n v="285.56"/>
    <n v="227.23"/>
    <m/>
    <n v="310.34682484351242"/>
    <n v="216.7476358676706"/>
    <n v="0"/>
    <n v="2540.9128799999999"/>
    <n v="2021.8925399999998"/>
    <n v="0"/>
    <n v="2761.4660474575735"/>
    <n v="1928.6204639505329"/>
  </r>
  <r>
    <s v="Regular"/>
    <x v="3"/>
    <x v="4"/>
    <x v="6"/>
    <x v="2"/>
    <x v="2"/>
    <x v="1"/>
    <x v="0"/>
    <x v="5"/>
    <n v="0"/>
    <n v="0"/>
    <n v="36.807000000000002"/>
    <n v="14.722799999999999"/>
    <n v="36.807000000000002"/>
    <n v="14.722799999999999"/>
    <n v="0"/>
    <x v="1"/>
    <n v="0"/>
    <n v="0"/>
    <n v="30"/>
    <n v="70"/>
    <n v="0"/>
    <n v="285.56"/>
    <n v="227.23"/>
    <m/>
    <n v="310.34682484351242"/>
    <n v="216.7476358676706"/>
    <n v="0"/>
    <n v="4204.2427680000001"/>
    <n v="3345.4618439999999"/>
    <n v="0"/>
    <n v="4569.1742328060645"/>
    <n v="3191.1320933525403"/>
  </r>
  <r>
    <s v="Sistema de Compensação"/>
    <x v="3"/>
    <x v="4"/>
    <x v="6"/>
    <x v="2"/>
    <x v="2"/>
    <x v="1"/>
    <x v="0"/>
    <x v="5"/>
    <n v="0"/>
    <n v="0"/>
    <n v="0.55000000000000004"/>
    <n v="0.55000000000000004"/>
    <n v="0.55000000000000004"/>
    <n v="0.55000000000000004"/>
    <n v="0"/>
    <x v="1"/>
    <n v="0"/>
    <n v="0"/>
    <n v="30"/>
    <n v="70"/>
    <n v="0"/>
    <n v="285.56"/>
    <n v="227.23"/>
    <m/>
    <n v="310.34682484351242"/>
    <n v="216.7476358676706"/>
    <n v="0"/>
    <n v="157.05800000000002"/>
    <n v="124.9765"/>
    <n v="0"/>
    <n v="170.69075366393184"/>
    <n v="119.21119972721884"/>
  </r>
  <r>
    <s v="Regular"/>
    <x v="3"/>
    <x v="4"/>
    <x v="6"/>
    <x v="2"/>
    <x v="2"/>
    <x v="1"/>
    <x v="0"/>
    <x v="6"/>
    <n v="0"/>
    <n v="0"/>
    <n v="79.156999999999996"/>
    <n v="31.662800000000001"/>
    <n v="79.156999999999996"/>
    <n v="31.662800000000001"/>
    <n v="0"/>
    <x v="1"/>
    <n v="0"/>
    <n v="0"/>
    <n v="30"/>
    <n v="70"/>
    <n v="0"/>
    <n v="285.56"/>
    <n v="227.23"/>
    <m/>
    <n v="310.34682484351242"/>
    <n v="216.7476358676706"/>
    <n v="0"/>
    <n v="9041.6291679999995"/>
    <n v="7194.7380439999997"/>
    <n v="0"/>
    <n v="9826.4494456551656"/>
    <n v="6862.8370449508811"/>
  </r>
  <r>
    <s v="Regular"/>
    <x v="3"/>
    <x v="4"/>
    <x v="6"/>
    <x v="2"/>
    <x v="2"/>
    <x v="1"/>
    <x v="0"/>
    <x v="7"/>
    <n v="0"/>
    <n v="0"/>
    <n v="27.257999999999999"/>
    <n v="10.9032"/>
    <n v="27.257999999999999"/>
    <n v="10.9032"/>
    <n v="0"/>
    <x v="1"/>
    <n v="0"/>
    <n v="0"/>
    <n v="30"/>
    <n v="70"/>
    <n v="0"/>
    <n v="285.56"/>
    <n v="227.23"/>
    <m/>
    <n v="310.34682484351242"/>
    <n v="216.7476358676706"/>
    <n v="0"/>
    <n v="3113.5177920000001"/>
    <n v="2477.5341359999998"/>
    <n v="0"/>
    <n v="3383.7735006337848"/>
    <n v="2363.2428233923861"/>
  </r>
  <r>
    <s v="Sistema de Compensação"/>
    <x v="3"/>
    <x v="4"/>
    <x v="6"/>
    <x v="2"/>
    <x v="2"/>
    <x v="1"/>
    <x v="0"/>
    <x v="7"/>
    <n v="0"/>
    <n v="0"/>
    <n v="0.4"/>
    <n v="0.4"/>
    <n v="0.4"/>
    <n v="0.4"/>
    <n v="0"/>
    <x v="1"/>
    <n v="0"/>
    <n v="0"/>
    <n v="30"/>
    <n v="70"/>
    <n v="0"/>
    <n v="285.56"/>
    <n v="227.23"/>
    <m/>
    <n v="310.34682484351242"/>
    <n v="216.7476358676706"/>
    <n v="0"/>
    <n v="114.224"/>
    <n v="90.891999999999996"/>
    <n v="0"/>
    <n v="124.13872993740497"/>
    <n v="86.699054347068241"/>
  </r>
  <r>
    <s v="Regular"/>
    <x v="3"/>
    <x v="4"/>
    <x v="6"/>
    <x v="2"/>
    <x v="2"/>
    <x v="1"/>
    <x v="0"/>
    <x v="8"/>
    <n v="0"/>
    <n v="0"/>
    <n v="26.222999999999999"/>
    <n v="10.4892"/>
    <n v="26.222999999999999"/>
    <n v="10.4892"/>
    <n v="0"/>
    <x v="1"/>
    <n v="0"/>
    <n v="0"/>
    <n v="30"/>
    <n v="70"/>
    <n v="0"/>
    <n v="285.56"/>
    <n v="227.23"/>
    <m/>
    <n v="310.34682484351242"/>
    <n v="216.7476358676706"/>
    <n v="0"/>
    <n v="2995.2959519999999"/>
    <n v="2383.460916"/>
    <n v="0"/>
    <n v="3255.2899151485708"/>
    <n v="2273.5093021431703"/>
  </r>
  <r>
    <s v="Sistema de Compensação"/>
    <x v="3"/>
    <x v="4"/>
    <x v="6"/>
    <x v="2"/>
    <x v="2"/>
    <x v="1"/>
    <x v="0"/>
    <x v="8"/>
    <n v="0"/>
    <n v="0"/>
    <n v="0.25"/>
    <n v="0.25"/>
    <n v="0.25"/>
    <n v="0.25"/>
    <n v="0"/>
    <x v="1"/>
    <n v="0"/>
    <n v="0"/>
    <n v="30"/>
    <n v="70"/>
    <n v="0"/>
    <n v="285.56"/>
    <n v="227.23"/>
    <m/>
    <n v="310.34682484351242"/>
    <n v="216.7476358676706"/>
    <n v="0"/>
    <n v="71.39"/>
    <n v="56.807499999999997"/>
    <n v="0"/>
    <n v="77.586706210878106"/>
    <n v="54.186908966917649"/>
  </r>
  <r>
    <s v="Regular"/>
    <x v="3"/>
    <x v="4"/>
    <x v="6"/>
    <x v="2"/>
    <x v="2"/>
    <x v="1"/>
    <x v="0"/>
    <x v="9"/>
    <n v="0"/>
    <n v="0"/>
    <n v="2.411"/>
    <n v="0.96440000000000003"/>
    <n v="2.411"/>
    <n v="0.96440000000000003"/>
    <n v="0"/>
    <x v="1"/>
    <n v="0"/>
    <n v="0"/>
    <n v="30"/>
    <n v="70"/>
    <n v="0"/>
    <n v="285.56"/>
    <n v="227.23"/>
    <m/>
    <n v="310.34682484351242"/>
    <n v="216.7476358676706"/>
    <n v="0"/>
    <n v="275.39406400000001"/>
    <n v="219.140612"/>
    <n v="0"/>
    <n v="299.29847787908341"/>
    <n v="209.03142003078153"/>
  </r>
  <r>
    <s v="Regular"/>
    <x v="3"/>
    <x v="4"/>
    <x v="6"/>
    <x v="2"/>
    <x v="2"/>
    <x v="1"/>
    <x v="0"/>
    <x v="10"/>
    <n v="0"/>
    <n v="0"/>
    <n v="6.82"/>
    <n v="2.7280000000000002"/>
    <n v="6.82"/>
    <n v="2.7280000000000002"/>
    <n v="0"/>
    <x v="1"/>
    <n v="0"/>
    <n v="0"/>
    <n v="30"/>
    <n v="70"/>
    <n v="0"/>
    <n v="285.56"/>
    <n v="227.23"/>
    <m/>
    <n v="310.34682484351242"/>
    <n v="216.7476358676706"/>
    <n v="0"/>
    <n v="779.00768000000005"/>
    <n v="619.88344000000006"/>
    <n v="0"/>
    <n v="846.62613817310194"/>
    <n v="591.28755064700545"/>
  </r>
  <r>
    <s v="PROJETADO"/>
    <x v="3"/>
    <x v="4"/>
    <x v="6"/>
    <x v="2"/>
    <x v="2"/>
    <x v="1"/>
    <x v="0"/>
    <x v="11"/>
    <n v="0"/>
    <n v="0"/>
    <n v="6.82"/>
    <n v="2.7280000000000002"/>
    <n v="6.82"/>
    <n v="2.7280000000000002"/>
    <n v="0"/>
    <x v="1"/>
    <n v="0"/>
    <n v="0"/>
    <n v="30"/>
    <n v="70"/>
    <n v="0"/>
    <n v="285.56"/>
    <n v="227.23"/>
    <m/>
    <n v="310.34682484351242"/>
    <n v="216.7476358676706"/>
    <n v="0"/>
    <n v="779.00768000000005"/>
    <n v="619.88344000000006"/>
    <n v="0"/>
    <n v="846.62613817310194"/>
    <n v="591.28755064700545"/>
  </r>
  <r>
    <s v="Regular"/>
    <x v="3"/>
    <x v="4"/>
    <x v="6"/>
    <x v="8"/>
    <x v="3"/>
    <x v="1"/>
    <x v="0"/>
    <x v="0"/>
    <n v="0"/>
    <n v="0"/>
    <n v="4.6390000000000002"/>
    <n v="4.6390000000000002"/>
    <n v="4.6390000000000002"/>
    <n v="4.6390000000000002"/>
    <n v="0"/>
    <x v="1"/>
    <n v="0"/>
    <n v="0"/>
    <n v="30"/>
    <n v="70"/>
    <n v="0"/>
    <n v="285.56"/>
    <n v="227.23"/>
    <m/>
    <n v="310.34682484351242"/>
    <n v="216.7476358676706"/>
    <n v="0"/>
    <n v="1324.7128400000001"/>
    <n v="1054.11997"/>
    <n v="0"/>
    <n v="1439.6989204490542"/>
    <n v="1005.4922827901239"/>
  </r>
  <r>
    <s v="Regular"/>
    <x v="3"/>
    <x v="4"/>
    <x v="6"/>
    <x v="8"/>
    <x v="3"/>
    <x v="1"/>
    <x v="0"/>
    <x v="1"/>
    <n v="0"/>
    <n v="0"/>
    <n v="4.6219999999999999"/>
    <n v="4.6219999999999999"/>
    <n v="4.6219999999999999"/>
    <n v="4.6219999999999999"/>
    <n v="0"/>
    <x v="1"/>
    <n v="0"/>
    <n v="0"/>
    <n v="30"/>
    <n v="70"/>
    <n v="0"/>
    <n v="285.56"/>
    <n v="227.23"/>
    <m/>
    <n v="310.34682484351242"/>
    <n v="216.7476358676706"/>
    <n v="0"/>
    <n v="1319.85832"/>
    <n v="1050.2570599999999"/>
    <n v="0"/>
    <n v="1434.4230244267144"/>
    <n v="1001.8075729803735"/>
  </r>
  <r>
    <s v="Refaturamento - Regular"/>
    <x v="3"/>
    <x v="4"/>
    <x v="6"/>
    <x v="8"/>
    <x v="3"/>
    <x v="1"/>
    <x v="0"/>
    <x v="1"/>
    <n v="0"/>
    <n v="0"/>
    <n v="-1.766"/>
    <n v="-1.766"/>
    <n v="-1.766"/>
    <n v="-1.766"/>
    <n v="0"/>
    <x v="1"/>
    <n v="0"/>
    <n v="0"/>
    <n v="30"/>
    <n v="70"/>
    <n v="0"/>
    <n v="285.56"/>
    <n v="227.23"/>
    <m/>
    <n v="310.34682484351242"/>
    <n v="216.7476358676706"/>
    <n v="0"/>
    <n v="-504.29896000000002"/>
    <n v="-401.28818000000001"/>
    <n v="0"/>
    <n v="-548.07249267364296"/>
    <n v="-382.7763249423063"/>
  </r>
  <r>
    <s v="Sistema de Compensação"/>
    <x v="3"/>
    <x v="4"/>
    <x v="6"/>
    <x v="8"/>
    <x v="3"/>
    <x v="1"/>
    <x v="0"/>
    <x v="1"/>
    <n v="0"/>
    <n v="0"/>
    <n v="1.845"/>
    <n v="1.845"/>
    <n v="1.845"/>
    <n v="1.845"/>
    <n v="0"/>
    <x v="1"/>
    <n v="0"/>
    <n v="0"/>
    <n v="30"/>
    <n v="70"/>
    <n v="0"/>
    <n v="285.56"/>
    <n v="227.23"/>
    <m/>
    <n v="310.34682484351242"/>
    <n v="216.7476358676706"/>
    <n v="0"/>
    <n v="526.85820000000001"/>
    <n v="419.23935"/>
    <n v="0"/>
    <n v="572.58989183628046"/>
    <n v="399.89938817585227"/>
  </r>
  <r>
    <s v="Regular"/>
    <x v="3"/>
    <x v="4"/>
    <x v="6"/>
    <x v="8"/>
    <x v="3"/>
    <x v="1"/>
    <x v="0"/>
    <x v="2"/>
    <n v="0"/>
    <n v="0"/>
    <n v="1.7450000000000001"/>
    <n v="1.7450000000000001"/>
    <n v="1.7450000000000001"/>
    <n v="1.7450000000000001"/>
    <n v="0"/>
    <x v="1"/>
    <n v="0"/>
    <n v="0"/>
    <n v="30"/>
    <n v="70"/>
    <n v="0"/>
    <n v="285.56"/>
    <n v="227.23"/>
    <m/>
    <n v="310.34682484351242"/>
    <n v="216.7476358676706"/>
    <n v="0"/>
    <n v="498.30220000000003"/>
    <n v="396.51634999999999"/>
    <n v="0"/>
    <n v="541.55520935192919"/>
    <n v="378.22462458908524"/>
  </r>
  <r>
    <s v="Refaturamento - Regular"/>
    <x v="3"/>
    <x v="4"/>
    <x v="6"/>
    <x v="8"/>
    <x v="3"/>
    <x v="1"/>
    <x v="0"/>
    <x v="2"/>
    <n v="0"/>
    <n v="0"/>
    <n v="-1.5509999999999999"/>
    <n v="-1.5509999999999999"/>
    <n v="-1.5509999999999999"/>
    <n v="-1.5509999999999999"/>
    <n v="0"/>
    <x v="1"/>
    <n v="0"/>
    <n v="0"/>
    <n v="30"/>
    <n v="70"/>
    <n v="0"/>
    <n v="285.56"/>
    <n v="227.23"/>
    <m/>
    <n v="310.34682484351242"/>
    <n v="216.7476358676706"/>
    <n v="0"/>
    <n v="-442.90355999999997"/>
    <n v="-352.43372999999997"/>
    <n v="0"/>
    <n v="-481.34792533228773"/>
    <n v="-336.17558323075707"/>
  </r>
  <r>
    <s v="Sistema de Compensação"/>
    <x v="3"/>
    <x v="4"/>
    <x v="6"/>
    <x v="8"/>
    <x v="3"/>
    <x v="1"/>
    <x v="0"/>
    <x v="2"/>
    <n v="0"/>
    <n v="0"/>
    <n v="10.317"/>
    <n v="10.317"/>
    <n v="10.317"/>
    <n v="10.317"/>
    <n v="0"/>
    <x v="1"/>
    <n v="0"/>
    <n v="0"/>
    <n v="30"/>
    <n v="70"/>
    <n v="0"/>
    <n v="285.56"/>
    <n v="227.23"/>
    <m/>
    <n v="310.34682484351242"/>
    <n v="216.7476358676706"/>
    <n v="0"/>
    <n v="2946.1225199999999"/>
    <n v="2344.3319099999999"/>
    <n v="0"/>
    <n v="3201.8481919105179"/>
    <n v="2236.1853592467578"/>
  </r>
  <r>
    <s v="Regular"/>
    <x v="3"/>
    <x v="4"/>
    <x v="6"/>
    <x v="8"/>
    <x v="3"/>
    <x v="1"/>
    <x v="0"/>
    <x v="3"/>
    <n v="0"/>
    <n v="0"/>
    <n v="2.9319999999999999"/>
    <n v="2.9319999999999999"/>
    <n v="2.9319999999999999"/>
    <n v="2.9319999999999999"/>
    <n v="0"/>
    <x v="1"/>
    <n v="0"/>
    <n v="0"/>
    <n v="30"/>
    <n v="70"/>
    <n v="0"/>
    <n v="285.56"/>
    <n v="227.23"/>
    <m/>
    <n v="310.34682484351242"/>
    <n v="216.7476358676706"/>
    <n v="0"/>
    <n v="837.26192000000003"/>
    <n v="666.23835999999994"/>
    <n v="0"/>
    <n v="909.93689044117843"/>
    <n v="635.50406836401021"/>
  </r>
  <r>
    <s v="Sistema de Compensação"/>
    <x v="3"/>
    <x v="4"/>
    <x v="6"/>
    <x v="8"/>
    <x v="3"/>
    <x v="1"/>
    <x v="0"/>
    <x v="3"/>
    <n v="0"/>
    <n v="0"/>
    <n v="8.9480000000000004"/>
    <n v="8.9480000000000004"/>
    <n v="8.9480000000000004"/>
    <n v="8.9480000000000004"/>
    <n v="0"/>
    <x v="1"/>
    <n v="0"/>
    <n v="0"/>
    <n v="30"/>
    <n v="70"/>
    <n v="0"/>
    <n v="285.56"/>
    <n v="227.23"/>
    <m/>
    <n v="310.34682484351242"/>
    <n v="216.7476358676706"/>
    <n v="0"/>
    <n v="2555.1908800000001"/>
    <n v="2033.25404"/>
    <n v="0"/>
    <n v="2776.9833886997494"/>
    <n v="1939.4578457439166"/>
  </r>
  <r>
    <s v="Regular"/>
    <x v="3"/>
    <x v="4"/>
    <x v="6"/>
    <x v="8"/>
    <x v="3"/>
    <x v="1"/>
    <x v="0"/>
    <x v="4"/>
    <n v="0"/>
    <n v="0"/>
    <n v="2.524"/>
    <n v="2.524"/>
    <n v="2.524"/>
    <n v="2.524"/>
    <n v="0"/>
    <x v="1"/>
    <n v="0"/>
    <n v="0"/>
    <n v="30"/>
    <n v="70"/>
    <n v="0"/>
    <n v="285.56"/>
    <n v="227.23"/>
    <m/>
    <n v="310.34682484351242"/>
    <n v="216.7476358676706"/>
    <n v="0"/>
    <n v="720.75343999999996"/>
    <n v="573.52851999999996"/>
    <n v="0"/>
    <n v="783.31538590502532"/>
    <n v="547.07103293000057"/>
  </r>
  <r>
    <s v="Sistema de Compensação"/>
    <x v="3"/>
    <x v="4"/>
    <x v="6"/>
    <x v="8"/>
    <x v="3"/>
    <x v="1"/>
    <x v="0"/>
    <x v="4"/>
    <n v="0"/>
    <n v="0"/>
    <n v="7.024"/>
    <n v="7.024"/>
    <n v="7.024"/>
    <n v="7.024"/>
    <n v="0"/>
    <x v="1"/>
    <n v="0"/>
    <n v="0"/>
    <n v="30"/>
    <n v="70"/>
    <n v="0"/>
    <n v="285.56"/>
    <n v="227.23"/>
    <m/>
    <n v="310.34682484351242"/>
    <n v="216.7476358676706"/>
    <n v="0"/>
    <n v="2005.7734399999999"/>
    <n v="1596.0635199999999"/>
    <n v="0"/>
    <n v="2179.8760977008315"/>
    <n v="1522.4353943345184"/>
  </r>
  <r>
    <s v="Regular"/>
    <x v="3"/>
    <x v="4"/>
    <x v="6"/>
    <x v="8"/>
    <x v="3"/>
    <x v="1"/>
    <x v="0"/>
    <x v="5"/>
    <n v="0"/>
    <n v="0"/>
    <n v="5.0359999999999996"/>
    <n v="5.0359999999999996"/>
    <n v="5.0359999999999996"/>
    <n v="5.0359999999999996"/>
    <n v="0"/>
    <x v="1"/>
    <n v="0"/>
    <n v="0"/>
    <n v="30"/>
    <n v="70"/>
    <n v="0"/>
    <n v="285.56"/>
    <n v="227.23"/>
    <m/>
    <n v="310.34682484351242"/>
    <n v="216.7476358676706"/>
    <n v="0"/>
    <n v="1438.08016"/>
    <n v="1144.3302799999999"/>
    <n v="0"/>
    <n v="1562.9066099119284"/>
    <n v="1091.5410942295891"/>
  </r>
  <r>
    <s v="Sistema de Compensação"/>
    <x v="3"/>
    <x v="4"/>
    <x v="6"/>
    <x v="8"/>
    <x v="3"/>
    <x v="1"/>
    <x v="0"/>
    <x v="5"/>
    <n v="0"/>
    <n v="0"/>
    <n v="8.0090000000000003"/>
    <n v="8.0090000000000003"/>
    <n v="8.0090000000000003"/>
    <n v="8.0090000000000003"/>
    <n v="0"/>
    <x v="1"/>
    <n v="0"/>
    <n v="0"/>
    <n v="30"/>
    <n v="70"/>
    <n v="0"/>
    <n v="285.56"/>
    <n v="227.23"/>
    <m/>
    <n v="310.34682484351242"/>
    <n v="216.7476358676706"/>
    <n v="0"/>
    <n v="2287.0500400000001"/>
    <n v="1819.88507"/>
    <n v="0"/>
    <n v="2485.5677201716912"/>
    <n v="1735.9318156641739"/>
  </r>
  <r>
    <s v="Regular"/>
    <x v="3"/>
    <x v="4"/>
    <x v="6"/>
    <x v="8"/>
    <x v="3"/>
    <x v="1"/>
    <x v="0"/>
    <x v="6"/>
    <n v="0"/>
    <n v="0"/>
    <n v="7.0739999999999998"/>
    <n v="7.0739999999999998"/>
    <n v="7.0739999999999998"/>
    <n v="7.0739999999999998"/>
    <n v="0"/>
    <x v="1"/>
    <n v="0"/>
    <n v="0"/>
    <n v="30"/>
    <n v="70"/>
    <n v="0"/>
    <n v="285.56"/>
    <n v="227.23"/>
    <m/>
    <n v="310.34682484351242"/>
    <n v="216.7476358676706"/>
    <n v="0"/>
    <n v="2020.05144"/>
    <n v="1607.4250199999999"/>
    <n v="0"/>
    <n v="2195.3934389430069"/>
    <n v="1533.2727761279018"/>
  </r>
  <r>
    <s v="Sistema de Compensação"/>
    <x v="3"/>
    <x v="4"/>
    <x v="6"/>
    <x v="8"/>
    <x v="3"/>
    <x v="1"/>
    <x v="0"/>
    <x v="6"/>
    <n v="0"/>
    <n v="0"/>
    <n v="7.4219999999999997"/>
    <n v="7.4219999999999997"/>
    <n v="7.4219999999999997"/>
    <n v="7.4219999999999997"/>
    <n v="0"/>
    <x v="1"/>
    <n v="0"/>
    <n v="0"/>
    <n v="30"/>
    <n v="70"/>
    <n v="0"/>
    <n v="285.56"/>
    <n v="227.23"/>
    <m/>
    <n v="310.34682484351242"/>
    <n v="216.7476358676706"/>
    <n v="0"/>
    <n v="2119.42632"/>
    <n v="1686.5010599999998"/>
    <n v="0"/>
    <n v="2303.3941339885491"/>
    <n v="1608.7009534098511"/>
  </r>
  <r>
    <s v="Regular"/>
    <x v="3"/>
    <x v="4"/>
    <x v="6"/>
    <x v="8"/>
    <x v="3"/>
    <x v="1"/>
    <x v="0"/>
    <x v="7"/>
    <n v="0"/>
    <n v="0"/>
    <n v="5.0780000000000003"/>
    <n v="5.0780000000000003"/>
    <n v="5.0780000000000003"/>
    <n v="5.0780000000000003"/>
    <n v="0"/>
    <x v="1"/>
    <n v="0"/>
    <n v="0"/>
    <n v="30"/>
    <n v="70"/>
    <n v="0"/>
    <n v="285.56"/>
    <n v="227.23"/>
    <m/>
    <n v="310.34682484351242"/>
    <n v="216.7476358676706"/>
    <n v="0"/>
    <n v="1450.0736800000002"/>
    <n v="1153.8739399999999"/>
    <n v="0"/>
    <n v="1575.9411765553562"/>
    <n v="1100.6444949360314"/>
  </r>
  <r>
    <s v="Sistema de Compensação"/>
    <x v="3"/>
    <x v="4"/>
    <x v="6"/>
    <x v="8"/>
    <x v="3"/>
    <x v="1"/>
    <x v="0"/>
    <x v="7"/>
    <n v="0"/>
    <n v="0"/>
    <n v="9.9499999999999993"/>
    <n v="9.9499999999999993"/>
    <n v="9.9499999999999993"/>
    <n v="9.9499999999999993"/>
    <n v="0"/>
    <x v="1"/>
    <n v="0"/>
    <n v="0"/>
    <n v="30"/>
    <n v="70"/>
    <n v="0"/>
    <n v="285.56"/>
    <n v="227.23"/>
    <m/>
    <n v="310.34682484351242"/>
    <n v="216.7476358676706"/>
    <n v="0"/>
    <n v="2841.3219999999997"/>
    <n v="2260.9384999999997"/>
    <n v="0"/>
    <n v="3087.9509071929483"/>
    <n v="2156.6389768833224"/>
  </r>
  <r>
    <s v="Regular"/>
    <x v="3"/>
    <x v="4"/>
    <x v="6"/>
    <x v="8"/>
    <x v="3"/>
    <x v="1"/>
    <x v="0"/>
    <x v="8"/>
    <n v="0"/>
    <n v="0"/>
    <n v="4.3520000000000003"/>
    <n v="4.3520000000000003"/>
    <n v="4.3520000000000003"/>
    <n v="4.3520000000000003"/>
    <n v="0"/>
    <x v="1"/>
    <n v="0"/>
    <n v="0"/>
    <n v="30"/>
    <n v="70"/>
    <n v="0"/>
    <n v="285.56"/>
    <n v="227.23"/>
    <m/>
    <n v="310.34682484351242"/>
    <n v="216.7476358676706"/>
    <n v="0"/>
    <n v="1242.75712"/>
    <n v="988.90496000000007"/>
    <n v="0"/>
    <n v="1350.6293817189662"/>
    <n v="943.28571129610248"/>
  </r>
  <r>
    <s v="Refaturamento - Regular"/>
    <x v="3"/>
    <x v="4"/>
    <x v="6"/>
    <x v="8"/>
    <x v="3"/>
    <x v="1"/>
    <x v="0"/>
    <x v="8"/>
    <n v="0"/>
    <n v="0"/>
    <n v="-0.97199999999999998"/>
    <n v="-0.97199999999999998"/>
    <n v="-0.97199999999999998"/>
    <n v="-0.97199999999999998"/>
    <n v="0"/>
    <x v="1"/>
    <n v="0"/>
    <n v="0"/>
    <n v="30"/>
    <n v="70"/>
    <n v="0"/>
    <n v="285.56"/>
    <n v="227.23"/>
    <m/>
    <n v="310.34682484351242"/>
    <n v="216.7476358676706"/>
    <n v="0"/>
    <n v="-277.56432000000001"/>
    <n v="-220.86756"/>
    <n v="0"/>
    <n v="-301.65711374789407"/>
    <n v="-210.67870206337582"/>
  </r>
  <r>
    <s v="Sistema de Compensação"/>
    <x v="3"/>
    <x v="4"/>
    <x v="6"/>
    <x v="8"/>
    <x v="3"/>
    <x v="1"/>
    <x v="0"/>
    <x v="8"/>
    <n v="0"/>
    <n v="0"/>
    <n v="10.961"/>
    <n v="10.961"/>
    <n v="10.961"/>
    <n v="10.961"/>
    <n v="0"/>
    <x v="1"/>
    <n v="0"/>
    <n v="0"/>
    <n v="30"/>
    <n v="70"/>
    <n v="0"/>
    <n v="285.56"/>
    <n v="227.23"/>
    <m/>
    <n v="310.34682484351242"/>
    <n v="216.7476358676706"/>
    <n v="0"/>
    <n v="3130.0231600000002"/>
    <n v="2490.6680299999998"/>
    <n v="0"/>
    <n v="3401.71154710974"/>
    <n v="2375.7708367455375"/>
  </r>
  <r>
    <s v="Regular"/>
    <x v="3"/>
    <x v="4"/>
    <x v="6"/>
    <x v="8"/>
    <x v="3"/>
    <x v="1"/>
    <x v="0"/>
    <x v="9"/>
    <n v="0"/>
    <n v="0"/>
    <n v="5.8879999999999999"/>
    <n v="5.8879999999999999"/>
    <n v="5.8879999999999999"/>
    <n v="5.8879999999999999"/>
    <n v="0"/>
    <x v="1"/>
    <n v="0"/>
    <n v="0"/>
    <n v="30"/>
    <n v="70"/>
    <n v="0"/>
    <n v="285.56"/>
    <n v="227.23"/>
    <m/>
    <n v="310.34682484351242"/>
    <n v="216.7476358676706"/>
    <n v="0"/>
    <n v="1681.3772799999999"/>
    <n v="1337.9302399999999"/>
    <n v="0"/>
    <n v="1827.3221046786011"/>
    <n v="1276.2100799888444"/>
  </r>
  <r>
    <s v="Sistema de Compensação"/>
    <x v="3"/>
    <x v="4"/>
    <x v="6"/>
    <x v="8"/>
    <x v="3"/>
    <x v="1"/>
    <x v="0"/>
    <x v="9"/>
    <n v="0"/>
    <n v="0"/>
    <n v="10.076000000000001"/>
    <n v="10.076000000000001"/>
    <n v="10.076000000000001"/>
    <n v="10.076000000000001"/>
    <n v="0"/>
    <x v="1"/>
    <n v="0"/>
    <n v="0"/>
    <n v="30"/>
    <n v="70"/>
    <n v="0"/>
    <n v="285.56"/>
    <n v="227.23"/>
    <m/>
    <n v="310.34682484351242"/>
    <n v="216.7476358676706"/>
    <n v="0"/>
    <n v="2877.3025600000001"/>
    <n v="2289.5694800000001"/>
    <n v="0"/>
    <n v="3127.0546071232311"/>
    <n v="2183.9491790026491"/>
  </r>
  <r>
    <s v="Regular"/>
    <x v="3"/>
    <x v="4"/>
    <x v="6"/>
    <x v="8"/>
    <x v="3"/>
    <x v="1"/>
    <x v="0"/>
    <x v="10"/>
    <n v="0"/>
    <n v="0"/>
    <n v="6.9560000000000004"/>
    <n v="6.9560000000000004"/>
    <n v="6.9560000000000004"/>
    <n v="6.9560000000000004"/>
    <n v="0"/>
    <x v="1"/>
    <n v="0"/>
    <n v="0"/>
    <n v="30"/>
    <n v="70"/>
    <n v="0"/>
    <n v="285.56"/>
    <n v="227.23"/>
    <m/>
    <n v="310.34682484351242"/>
    <n v="216.7476358676706"/>
    <n v="0"/>
    <n v="1986.35536"/>
    <n v="1580.6118799999999"/>
    <n v="0"/>
    <n v="2158.7725136114727"/>
    <n v="1507.6965550955167"/>
  </r>
  <r>
    <s v="Sistema de Compensação"/>
    <x v="3"/>
    <x v="4"/>
    <x v="6"/>
    <x v="8"/>
    <x v="3"/>
    <x v="1"/>
    <x v="0"/>
    <x v="10"/>
    <n v="0"/>
    <n v="0"/>
    <n v="9.52"/>
    <n v="9.52"/>
    <n v="9.52"/>
    <n v="9.52"/>
    <n v="0"/>
    <x v="1"/>
    <n v="0"/>
    <n v="0"/>
    <n v="30"/>
    <n v="70"/>
    <n v="0"/>
    <n v="285.56"/>
    <n v="227.23"/>
    <m/>
    <n v="310.34682484351242"/>
    <n v="216.7476358676706"/>
    <n v="0"/>
    <n v="2718.5311999999999"/>
    <n v="2163.2295999999997"/>
    <n v="0"/>
    <n v="2954.501772510238"/>
    <n v="2063.4374934602238"/>
  </r>
  <r>
    <s v="PROJETADO"/>
    <x v="3"/>
    <x v="4"/>
    <x v="6"/>
    <x v="8"/>
    <x v="3"/>
    <x v="1"/>
    <x v="0"/>
    <x v="11"/>
    <n v="0"/>
    <n v="0"/>
    <n v="6.9560000000000004"/>
    <n v="6.9560000000000004"/>
    <n v="6.9560000000000004"/>
    <n v="6.9560000000000004"/>
    <n v="0"/>
    <x v="1"/>
    <n v="0"/>
    <n v="0"/>
    <n v="30"/>
    <n v="70"/>
    <n v="0"/>
    <n v="285.56"/>
    <n v="227.23"/>
    <m/>
    <n v="310.34682484351242"/>
    <n v="216.7476358676706"/>
    <n v="0"/>
    <n v="1986.35536"/>
    <n v="1580.6118799999999"/>
    <n v="0"/>
    <n v="2158.7725136114727"/>
    <n v="1507.6965550955167"/>
  </r>
  <r>
    <s v="PROJETADO"/>
    <x v="3"/>
    <x v="4"/>
    <x v="6"/>
    <x v="8"/>
    <x v="3"/>
    <x v="1"/>
    <x v="0"/>
    <x v="11"/>
    <n v="0"/>
    <n v="0"/>
    <n v="9.52"/>
    <n v="9.52"/>
    <n v="9.52"/>
    <n v="9.52"/>
    <n v="0"/>
    <x v="1"/>
    <n v="0"/>
    <n v="0"/>
    <n v="30"/>
    <n v="70"/>
    <n v="0"/>
    <n v="285.56"/>
    <n v="227.23"/>
    <m/>
    <n v="310.34682484351242"/>
    <n v="216.7476358676706"/>
    <n v="0"/>
    <n v="2718.5311999999999"/>
    <n v="2163.2295999999997"/>
    <n v="0"/>
    <n v="2954.501772510238"/>
    <n v="2063.4374934602238"/>
  </r>
  <r>
    <s v="Regular"/>
    <x v="3"/>
    <x v="4"/>
    <x v="6"/>
    <x v="8"/>
    <x v="2"/>
    <x v="1"/>
    <x v="0"/>
    <x v="0"/>
    <n v="0"/>
    <n v="0"/>
    <n v="1.758"/>
    <n v="0.70320000000000005"/>
    <n v="1.758"/>
    <n v="0.70320000000000005"/>
    <n v="0"/>
    <x v="1"/>
    <n v="0"/>
    <n v="0"/>
    <n v="30"/>
    <n v="70"/>
    <n v="0"/>
    <n v="285.56"/>
    <n v="227.23"/>
    <m/>
    <n v="310.34682484351242"/>
    <n v="216.7476358676706"/>
    <n v="0"/>
    <n v="200.80579200000003"/>
    <n v="159.78813600000001"/>
    <n v="0"/>
    <n v="218.23588722995794"/>
    <n v="152.41693754214597"/>
  </r>
  <r>
    <s v="Regular"/>
    <x v="3"/>
    <x v="4"/>
    <x v="6"/>
    <x v="8"/>
    <x v="2"/>
    <x v="1"/>
    <x v="0"/>
    <x v="1"/>
    <n v="0"/>
    <n v="0"/>
    <n v="0.69899999999999995"/>
    <n v="0.27960000000000002"/>
    <n v="0.69899999999999995"/>
    <n v="0.27960000000000002"/>
    <n v="0"/>
    <x v="1"/>
    <n v="0"/>
    <n v="0"/>
    <n v="30"/>
    <n v="70"/>
    <n v="0"/>
    <n v="285.56"/>
    <n v="227.23"/>
    <m/>
    <n v="310.34682484351242"/>
    <n v="216.7476358676706"/>
    <n v="0"/>
    <n v="79.842576000000008"/>
    <n v="63.533507999999998"/>
    <n v="0"/>
    <n v="86.772972226246083"/>
    <n v="60.602638988600702"/>
  </r>
  <r>
    <s v="Refaturamento - Regular"/>
    <x v="3"/>
    <x v="4"/>
    <x v="6"/>
    <x v="8"/>
    <x v="2"/>
    <x v="1"/>
    <x v="0"/>
    <x v="1"/>
    <n v="0"/>
    <n v="0"/>
    <n v="4.1000000000000002E-2"/>
    <n v="1.6400000000000001E-2"/>
    <n v="4.1000000000000002E-2"/>
    <n v="1.6400000000000001E-2"/>
    <n v="0"/>
    <x v="1"/>
    <n v="0"/>
    <n v="0"/>
    <n v="30"/>
    <n v="70"/>
    <n v="0"/>
    <n v="285.56"/>
    <n v="227.23"/>
    <m/>
    <n v="310.34682484351242"/>
    <n v="216.7476358676706"/>
    <n v="0"/>
    <n v="4.6831840000000007"/>
    <n v="3.726572"/>
    <n v="0"/>
    <n v="5.0896879274336042"/>
    <n v="3.554661228229798"/>
  </r>
  <r>
    <s v="Sistema de Compensação"/>
    <x v="3"/>
    <x v="4"/>
    <x v="6"/>
    <x v="8"/>
    <x v="2"/>
    <x v="1"/>
    <x v="0"/>
    <x v="1"/>
    <n v="0"/>
    <n v="0"/>
    <n v="6.25"/>
    <n v="6.25"/>
    <n v="6.25"/>
    <n v="6.25"/>
    <n v="0"/>
    <x v="1"/>
    <n v="0"/>
    <n v="0"/>
    <n v="30"/>
    <n v="70"/>
    <n v="0"/>
    <n v="285.56"/>
    <n v="227.23"/>
    <m/>
    <n v="310.34682484351242"/>
    <n v="216.7476358676706"/>
    <n v="0"/>
    <n v="1784.75"/>
    <n v="1420.1875"/>
    <n v="0"/>
    <n v="1939.6676552719528"/>
    <n v="1354.6727241729411"/>
  </r>
  <r>
    <s v="Regular"/>
    <x v="3"/>
    <x v="4"/>
    <x v="6"/>
    <x v="8"/>
    <x v="2"/>
    <x v="1"/>
    <x v="0"/>
    <x v="2"/>
    <n v="0"/>
    <n v="0"/>
    <n v="2.3479999999999999"/>
    <n v="0.93920000000000003"/>
    <n v="2.3479999999999999"/>
    <n v="0.93920000000000003"/>
    <n v="0"/>
    <x v="1"/>
    <n v="0"/>
    <n v="0"/>
    <n v="30"/>
    <n v="70"/>
    <n v="0"/>
    <n v="285.56"/>
    <n v="227.23"/>
    <m/>
    <n v="310.34682484351242"/>
    <n v="216.7476358676706"/>
    <n v="0"/>
    <n v="268.19795199999999"/>
    <n v="213.41441599999999"/>
    <n v="0"/>
    <n v="291.47773789302687"/>
    <n v="203.56937960691624"/>
  </r>
  <r>
    <s v="Refaturamento - Regular"/>
    <x v="3"/>
    <x v="4"/>
    <x v="6"/>
    <x v="8"/>
    <x v="2"/>
    <x v="1"/>
    <x v="0"/>
    <x v="2"/>
    <n v="0"/>
    <n v="0"/>
    <n v="4.7E-2"/>
    <n v="1.8800000000000001E-2"/>
    <n v="4.7E-2"/>
    <n v="1.8800000000000001E-2"/>
    <n v="0"/>
    <x v="1"/>
    <n v="0"/>
    <n v="0"/>
    <n v="30"/>
    <n v="70"/>
    <n v="0"/>
    <n v="285.56"/>
    <n v="227.23"/>
    <m/>
    <n v="310.34682484351242"/>
    <n v="216.7476358676706"/>
    <n v="0"/>
    <n v="5.3685280000000004"/>
    <n v="4.2719240000000003"/>
    <n v="0"/>
    <n v="5.8345203070580336"/>
    <n v="4.0748555543122071"/>
  </r>
  <r>
    <s v="Sistema de Compensação"/>
    <x v="3"/>
    <x v="4"/>
    <x v="6"/>
    <x v="8"/>
    <x v="2"/>
    <x v="1"/>
    <x v="0"/>
    <x v="2"/>
    <n v="0"/>
    <n v="0"/>
    <n v="10.151"/>
    <n v="10.151"/>
    <n v="10.151"/>
    <n v="10.151"/>
    <n v="0"/>
    <x v="1"/>
    <n v="0"/>
    <n v="0"/>
    <n v="30"/>
    <n v="70"/>
    <n v="0"/>
    <n v="285.56"/>
    <n v="227.23"/>
    <m/>
    <n v="310.34682484351242"/>
    <n v="216.7476358676706"/>
    <n v="0"/>
    <n v="2898.71956"/>
    <n v="2306.6117299999996"/>
    <n v="0"/>
    <n v="3150.3306189864948"/>
    <n v="2200.2052516927242"/>
  </r>
  <r>
    <s v="Regular"/>
    <x v="3"/>
    <x v="4"/>
    <x v="6"/>
    <x v="8"/>
    <x v="2"/>
    <x v="1"/>
    <x v="0"/>
    <x v="3"/>
    <n v="0"/>
    <n v="0"/>
    <n v="2.39"/>
    <n v="0.95599999999999996"/>
    <n v="2.39"/>
    <n v="0.95599999999999996"/>
    <n v="0"/>
    <x v="1"/>
    <n v="0"/>
    <n v="0"/>
    <n v="30"/>
    <n v="70"/>
    <n v="0"/>
    <n v="285.56"/>
    <n v="227.23"/>
    <m/>
    <n v="310.34682484351242"/>
    <n v="216.7476358676706"/>
    <n v="0"/>
    <n v="272.99536000000001"/>
    <n v="217.23187999999999"/>
    <n v="0"/>
    <n v="296.69156455039786"/>
    <n v="207.21073988949308"/>
  </r>
  <r>
    <s v="Sistema de Compensação"/>
    <x v="3"/>
    <x v="4"/>
    <x v="6"/>
    <x v="8"/>
    <x v="2"/>
    <x v="1"/>
    <x v="0"/>
    <x v="3"/>
    <n v="0"/>
    <n v="0"/>
    <n v="9.3699999999999992"/>
    <n v="9.3699999999999992"/>
    <n v="9.3699999999999992"/>
    <n v="9.3699999999999992"/>
    <n v="0"/>
    <x v="1"/>
    <n v="0"/>
    <n v="0"/>
    <n v="30"/>
    <n v="70"/>
    <n v="0"/>
    <n v="285.56"/>
    <n v="227.23"/>
    <m/>
    <n v="310.34682484351242"/>
    <n v="216.7476358676706"/>
    <n v="0"/>
    <n v="2675.6971999999996"/>
    <n v="2129.1450999999997"/>
    <n v="0"/>
    <n v="2907.9497487837111"/>
    <n v="2030.9253480800733"/>
  </r>
  <r>
    <s v="Regular"/>
    <x v="3"/>
    <x v="4"/>
    <x v="6"/>
    <x v="8"/>
    <x v="2"/>
    <x v="1"/>
    <x v="0"/>
    <x v="4"/>
    <n v="0"/>
    <n v="0"/>
    <n v="1.155"/>
    <n v="0.46200000000000002"/>
    <n v="1.155"/>
    <n v="0.46200000000000002"/>
    <n v="0"/>
    <x v="1"/>
    <n v="0"/>
    <n v="0"/>
    <n v="30"/>
    <n v="70"/>
    <n v="0"/>
    <n v="285.56"/>
    <n v="227.23"/>
    <m/>
    <n v="310.34682484351242"/>
    <n v="216.7476358676706"/>
    <n v="0"/>
    <n v="131.92872"/>
    <n v="104.98026"/>
    <n v="0"/>
    <n v="143.38023307770274"/>
    <n v="100.13740777086382"/>
  </r>
  <r>
    <s v="Sistema de Compensação"/>
    <x v="3"/>
    <x v="4"/>
    <x v="6"/>
    <x v="8"/>
    <x v="2"/>
    <x v="1"/>
    <x v="0"/>
    <x v="4"/>
    <n v="0"/>
    <n v="0"/>
    <n v="9.85"/>
    <n v="9.85"/>
    <n v="9.85"/>
    <n v="9.85"/>
    <n v="0"/>
    <x v="1"/>
    <n v="0"/>
    <n v="0"/>
    <n v="30"/>
    <n v="70"/>
    <n v="0"/>
    <n v="285.56"/>
    <n v="227.23"/>
    <m/>
    <n v="310.34682484351242"/>
    <n v="216.7476358676706"/>
    <n v="0"/>
    <n v="2812.7660000000001"/>
    <n v="2238.2154999999998"/>
    <n v="0"/>
    <n v="3056.9162247085974"/>
    <n v="2134.9642132965555"/>
  </r>
  <r>
    <s v="Regular"/>
    <x v="3"/>
    <x v="4"/>
    <x v="6"/>
    <x v="8"/>
    <x v="2"/>
    <x v="1"/>
    <x v="0"/>
    <x v="5"/>
    <n v="0"/>
    <n v="0"/>
    <n v="2.379"/>
    <n v="0.9516"/>
    <n v="2.379"/>
    <n v="0.9516"/>
    <n v="0"/>
    <x v="1"/>
    <n v="0"/>
    <n v="0"/>
    <n v="30"/>
    <n v="70"/>
    <n v="0"/>
    <n v="285.56"/>
    <n v="227.23"/>
    <m/>
    <n v="310.34682484351242"/>
    <n v="216.7476358676706"/>
    <n v="0"/>
    <n v="271.73889600000001"/>
    <n v="216.232068"/>
    <n v="0"/>
    <n v="295.32603852108645"/>
    <n v="206.25705029167534"/>
  </r>
  <r>
    <s v="Sistema de Compensação"/>
    <x v="3"/>
    <x v="4"/>
    <x v="6"/>
    <x v="8"/>
    <x v="2"/>
    <x v="1"/>
    <x v="0"/>
    <x v="5"/>
    <n v="0"/>
    <n v="0"/>
    <n v="10.172000000000001"/>
    <n v="10.172000000000001"/>
    <n v="10.172000000000001"/>
    <n v="10.172000000000001"/>
    <n v="0"/>
    <x v="1"/>
    <n v="0"/>
    <n v="0"/>
    <n v="30"/>
    <n v="70"/>
    <n v="0"/>
    <n v="285.56"/>
    <n v="227.23"/>
    <m/>
    <n v="310.34682484351242"/>
    <n v="216.7476358676706"/>
    <n v="0"/>
    <n v="2904.71632"/>
    <n v="2311.3835600000002"/>
    <n v="0"/>
    <n v="3156.8479023082086"/>
    <n v="2204.7569520459456"/>
  </r>
  <r>
    <s v="Regular"/>
    <x v="3"/>
    <x v="4"/>
    <x v="6"/>
    <x v="8"/>
    <x v="2"/>
    <x v="1"/>
    <x v="0"/>
    <x v="6"/>
    <n v="0"/>
    <n v="0"/>
    <n v="6.9930000000000003"/>
    <n v="2.7972000000000001"/>
    <n v="6.9930000000000003"/>
    <n v="2.7972000000000001"/>
    <n v="0"/>
    <x v="1"/>
    <n v="0"/>
    <n v="0"/>
    <n v="30"/>
    <n v="70"/>
    <n v="0"/>
    <n v="285.56"/>
    <n v="227.23"/>
    <m/>
    <n v="310.34682484351242"/>
    <n v="216.7476358676706"/>
    <n v="0"/>
    <n v="798.76843200000008"/>
    <n v="635.60775599999999"/>
    <n v="0"/>
    <n v="868.10213845227304"/>
    <n v="606.28648704904822"/>
  </r>
  <r>
    <s v="Sistema de Compensação"/>
    <x v="3"/>
    <x v="4"/>
    <x v="6"/>
    <x v="8"/>
    <x v="2"/>
    <x v="1"/>
    <x v="0"/>
    <x v="6"/>
    <n v="0"/>
    <n v="0"/>
    <n v="9.98"/>
    <n v="9.98"/>
    <n v="9.98"/>
    <n v="9.98"/>
    <n v="0"/>
    <x v="1"/>
    <n v="0"/>
    <n v="0"/>
    <n v="30"/>
    <n v="70"/>
    <n v="0"/>
    <n v="285.56"/>
    <n v="227.23"/>
    <m/>
    <n v="310.34682484351242"/>
    <n v="216.7476358676706"/>
    <n v="0"/>
    <n v="2849.8888000000002"/>
    <n v="2267.7554"/>
    <n v="0"/>
    <n v="3097.261311938254"/>
    <n v="2163.1414059593526"/>
  </r>
  <r>
    <s v="Regular"/>
    <x v="3"/>
    <x v="4"/>
    <x v="6"/>
    <x v="8"/>
    <x v="2"/>
    <x v="1"/>
    <x v="0"/>
    <x v="7"/>
    <n v="0"/>
    <n v="0"/>
    <n v="0.98599999999999999"/>
    <n v="0.39439999999999997"/>
    <n v="0.98599999999999999"/>
    <n v="0.39439999999999997"/>
    <n v="0"/>
    <x v="1"/>
    <n v="0"/>
    <n v="0"/>
    <n v="30"/>
    <n v="70"/>
    <n v="0"/>
    <n v="285.56"/>
    <n v="227.23"/>
    <m/>
    <n v="310.34682484351242"/>
    <n v="216.7476358676706"/>
    <n v="0"/>
    <n v="112.62486399999999"/>
    <n v="89.619511999999986"/>
    <n v="0"/>
    <n v="122.40078771828129"/>
    <n v="85.485267586209275"/>
  </r>
  <r>
    <s v="Sistema de Compensação"/>
    <x v="3"/>
    <x v="4"/>
    <x v="6"/>
    <x v="8"/>
    <x v="2"/>
    <x v="1"/>
    <x v="0"/>
    <x v="7"/>
    <n v="0"/>
    <n v="0"/>
    <n v="10.452999999999999"/>
    <n v="10.452999999999999"/>
    <n v="10.452999999999999"/>
    <n v="10.452999999999999"/>
    <n v="0"/>
    <x v="1"/>
    <n v="0"/>
    <n v="0"/>
    <n v="30"/>
    <n v="70"/>
    <n v="0"/>
    <n v="285.56"/>
    <n v="227.23"/>
    <m/>
    <n v="310.34682484351242"/>
    <n v="216.7476358676706"/>
    <n v="0"/>
    <n v="2984.9586799999997"/>
    <n v="2375.2351899999999"/>
    <n v="0"/>
    <n v="3244.0553600892354"/>
    <n v="2265.6630377247607"/>
  </r>
  <r>
    <s v="Regular"/>
    <x v="3"/>
    <x v="4"/>
    <x v="6"/>
    <x v="8"/>
    <x v="2"/>
    <x v="1"/>
    <x v="0"/>
    <x v="8"/>
    <n v="0"/>
    <n v="0"/>
    <n v="2.355"/>
    <n v="0.94199999999999995"/>
    <n v="2.355"/>
    <n v="0.94199999999999995"/>
    <n v="0"/>
    <x v="1"/>
    <n v="0"/>
    <n v="0"/>
    <n v="30"/>
    <n v="70"/>
    <n v="0"/>
    <n v="285.56"/>
    <n v="227.23"/>
    <m/>
    <n v="310.34682484351242"/>
    <n v="216.7476358676706"/>
    <n v="0"/>
    <n v="268.99752000000001"/>
    <n v="214.05065999999997"/>
    <n v="0"/>
    <n v="292.34670900258868"/>
    <n v="204.1762729873457"/>
  </r>
  <r>
    <s v="Refaturamento - Regular"/>
    <x v="3"/>
    <x v="4"/>
    <x v="6"/>
    <x v="8"/>
    <x v="2"/>
    <x v="1"/>
    <x v="0"/>
    <x v="8"/>
    <n v="0"/>
    <n v="0"/>
    <n v="1.0999999999999999E-2"/>
    <n v="4.4000000000000003E-3"/>
    <n v="1.0999999999999999E-2"/>
    <n v="4.4000000000000003E-3"/>
    <n v="0"/>
    <x v="1"/>
    <n v="0"/>
    <n v="0"/>
    <n v="30"/>
    <n v="70"/>
    <n v="0"/>
    <n v="285.56"/>
    <n v="227.23"/>
    <m/>
    <n v="310.34682484351242"/>
    <n v="216.7476358676706"/>
    <n v="0"/>
    <n v="1.256464"/>
    <n v="0.99981200000000003"/>
    <n v="0"/>
    <n v="1.3655260293114548"/>
    <n v="0.95368959781775064"/>
  </r>
  <r>
    <s v="Sistema de Compensação"/>
    <x v="3"/>
    <x v="4"/>
    <x v="6"/>
    <x v="8"/>
    <x v="2"/>
    <x v="1"/>
    <x v="0"/>
    <x v="8"/>
    <n v="0"/>
    <n v="0"/>
    <n v="9.3070000000000004"/>
    <n v="9.3070000000000004"/>
    <n v="9.3070000000000004"/>
    <n v="9.3070000000000004"/>
    <n v="0"/>
    <x v="1"/>
    <n v="0"/>
    <n v="0"/>
    <n v="30"/>
    <n v="70"/>
    <n v="0"/>
    <n v="285.56"/>
    <n v="227.23"/>
    <m/>
    <n v="310.34682484351242"/>
    <n v="216.7476358676706"/>
    <n v="0"/>
    <n v="2657.7069200000001"/>
    <n v="2114.8296099999998"/>
    <n v="0"/>
    <n v="2888.3978988185704"/>
    <n v="2017.2702470204104"/>
  </r>
  <r>
    <s v="Regular"/>
    <x v="3"/>
    <x v="4"/>
    <x v="6"/>
    <x v="8"/>
    <x v="2"/>
    <x v="1"/>
    <x v="0"/>
    <x v="9"/>
    <n v="0"/>
    <n v="0"/>
    <n v="4.0279999999999996"/>
    <n v="1.6112"/>
    <n v="4.0279999999999996"/>
    <n v="1.6112"/>
    <n v="0"/>
    <x v="1"/>
    <n v="0"/>
    <n v="0"/>
    <n v="30"/>
    <n v="70"/>
    <n v="0"/>
    <n v="285.56"/>
    <n v="227.23"/>
    <m/>
    <n v="310.34682484351242"/>
    <n v="216.7476358676706"/>
    <n v="0"/>
    <n v="460.09427199999999"/>
    <n v="366.112976"/>
    <n v="0"/>
    <n v="500.0308041878672"/>
    <n v="349.22379090999084"/>
  </r>
  <r>
    <s v="Sistema de Compensação"/>
    <x v="3"/>
    <x v="4"/>
    <x v="6"/>
    <x v="8"/>
    <x v="2"/>
    <x v="1"/>
    <x v="0"/>
    <x v="9"/>
    <n v="0"/>
    <n v="0"/>
    <n v="9.84"/>
    <n v="9.84"/>
    <n v="9.84"/>
    <n v="9.84"/>
    <n v="0"/>
    <x v="1"/>
    <n v="0"/>
    <n v="0"/>
    <n v="30"/>
    <n v="70"/>
    <n v="0"/>
    <n v="285.56"/>
    <n v="227.23"/>
    <m/>
    <n v="310.34682484351242"/>
    <n v="216.7476358676706"/>
    <n v="0"/>
    <n v="2809.9104000000002"/>
    <n v="2235.9431999999997"/>
    <n v="0"/>
    <n v="3053.8127564601623"/>
    <n v="2132.7967369378784"/>
  </r>
  <r>
    <s v="Regular"/>
    <x v="3"/>
    <x v="4"/>
    <x v="6"/>
    <x v="8"/>
    <x v="2"/>
    <x v="1"/>
    <x v="0"/>
    <x v="10"/>
    <n v="0"/>
    <n v="0"/>
    <n v="1.613"/>
    <n v="0.6452"/>
    <n v="1.613"/>
    <n v="0.6452"/>
    <n v="0"/>
    <x v="1"/>
    <n v="0"/>
    <n v="0"/>
    <n v="30"/>
    <n v="70"/>
    <n v="0"/>
    <n v="285.56"/>
    <n v="227.23"/>
    <m/>
    <n v="310.34682484351242"/>
    <n v="216.7476358676706"/>
    <n v="0"/>
    <n v="184.243312"/>
    <n v="146.60879599999998"/>
    <n v="0"/>
    <n v="200.23577138903423"/>
    <n v="139.84557466182108"/>
  </r>
  <r>
    <s v="Sistema de Compensação"/>
    <x v="3"/>
    <x v="4"/>
    <x v="6"/>
    <x v="8"/>
    <x v="2"/>
    <x v="1"/>
    <x v="0"/>
    <x v="10"/>
    <n v="0"/>
    <n v="0"/>
    <n v="7.9359999999999999"/>
    <n v="7.9359999999999999"/>
    <n v="7.9359999999999999"/>
    <n v="7.9359999999999999"/>
    <n v="0"/>
    <x v="1"/>
    <n v="0"/>
    <n v="0"/>
    <n v="30"/>
    <n v="70"/>
    <n v="0"/>
    <n v="285.56"/>
    <n v="227.23"/>
    <m/>
    <n v="310.34682484351242"/>
    <n v="216.7476358676706"/>
    <n v="0"/>
    <n v="2266.2041600000002"/>
    <n v="1803.29728"/>
    <n v="0"/>
    <n v="2462.9124019581145"/>
    <n v="1720.1092382458339"/>
  </r>
  <r>
    <s v="PROJETADO"/>
    <x v="3"/>
    <x v="4"/>
    <x v="6"/>
    <x v="8"/>
    <x v="2"/>
    <x v="1"/>
    <x v="0"/>
    <x v="11"/>
    <n v="0"/>
    <n v="0"/>
    <n v="1.613"/>
    <n v="0.6452"/>
    <n v="1.613"/>
    <n v="0.6452"/>
    <n v="0"/>
    <x v="1"/>
    <n v="0"/>
    <n v="0"/>
    <n v="30"/>
    <n v="70"/>
    <n v="0"/>
    <n v="285.56"/>
    <n v="227.23"/>
    <m/>
    <n v="310.34682484351242"/>
    <n v="216.7476358676706"/>
    <n v="0"/>
    <n v="184.243312"/>
    <n v="146.60879599999998"/>
    <n v="0"/>
    <n v="200.23577138903423"/>
    <n v="139.84557466182108"/>
  </r>
  <r>
    <s v="PROJETADO"/>
    <x v="3"/>
    <x v="4"/>
    <x v="6"/>
    <x v="8"/>
    <x v="2"/>
    <x v="1"/>
    <x v="0"/>
    <x v="11"/>
    <n v="0"/>
    <n v="0"/>
    <n v="7.9359999999999999"/>
    <n v="7.9359999999999999"/>
    <n v="7.9359999999999999"/>
    <n v="7.9359999999999999"/>
    <n v="0"/>
    <x v="1"/>
    <n v="0"/>
    <n v="0"/>
    <n v="30"/>
    <n v="70"/>
    <n v="0"/>
    <n v="285.56"/>
    <n v="227.23"/>
    <m/>
    <n v="310.34682484351242"/>
    <n v="216.7476358676706"/>
    <n v="0"/>
    <n v="2266.2041600000002"/>
    <n v="1803.29728"/>
    <n v="0"/>
    <n v="2462.9124019581145"/>
    <n v="1720.1092382458339"/>
  </r>
  <r>
    <s v="Regular"/>
    <x v="3"/>
    <x v="4"/>
    <x v="6"/>
    <x v="0"/>
    <x v="0"/>
    <x v="1"/>
    <x v="0"/>
    <x v="0"/>
    <n v="0"/>
    <n v="0"/>
    <n v="1461.049"/>
    <n v="1461.049"/>
    <n v="1461.049"/>
    <n v="1461.049"/>
    <n v="3611"/>
    <x v="1"/>
    <n v="0"/>
    <n v="0"/>
    <n v="30"/>
    <n v="70"/>
    <n v="0"/>
    <n v="285.56"/>
    <n v="227.23"/>
    <m/>
    <n v="310.34682484351242"/>
    <n v="216.7476358676706"/>
    <n v="0"/>
    <n v="417217.15243999998"/>
    <n v="331994.16427000001"/>
    <n v="0"/>
    <n v="453431.918090789"/>
    <n v="316678.91663682426"/>
  </r>
  <r>
    <s v="Refaturamento - Regular"/>
    <x v="3"/>
    <x v="4"/>
    <x v="6"/>
    <x v="0"/>
    <x v="0"/>
    <x v="1"/>
    <x v="0"/>
    <x v="0"/>
    <n v="0"/>
    <n v="0"/>
    <n v="-2.8149999999999999"/>
    <n v="-2.8149999999999999"/>
    <n v="-2.8149999999999999"/>
    <n v="-2.8149999999999999"/>
    <n v="0"/>
    <x v="1"/>
    <n v="0"/>
    <n v="0"/>
    <n v="30"/>
    <n v="70"/>
    <n v="0"/>
    <n v="285.56"/>
    <n v="227.23"/>
    <m/>
    <n v="310.34682484351242"/>
    <n v="216.7476358676706"/>
    <n v="0"/>
    <n v="-803.85140000000001"/>
    <n v="-639.65244999999993"/>
    <n v="0"/>
    <n v="-873.62631193448749"/>
    <n v="-610.14459496749271"/>
  </r>
  <r>
    <s v="Regular"/>
    <x v="3"/>
    <x v="4"/>
    <x v="6"/>
    <x v="0"/>
    <x v="0"/>
    <x v="1"/>
    <x v="0"/>
    <x v="1"/>
    <n v="0"/>
    <n v="0"/>
    <n v="1449.085"/>
    <n v="1449.085"/>
    <n v="1449.085"/>
    <n v="1449.085"/>
    <n v="3596"/>
    <x v="1"/>
    <n v="0"/>
    <n v="0"/>
    <n v="30"/>
    <n v="70"/>
    <n v="0"/>
    <n v="285.56"/>
    <n v="227.23"/>
    <m/>
    <n v="310.34682484351242"/>
    <n v="216.7476358676706"/>
    <n v="0"/>
    <n v="413800.71260000003"/>
    <n v="329275.58454999997"/>
    <n v="0"/>
    <n v="449718.92867836123"/>
    <n v="314085.74792130344"/>
  </r>
  <r>
    <s v="Refaturamento - Regular"/>
    <x v="3"/>
    <x v="4"/>
    <x v="6"/>
    <x v="0"/>
    <x v="0"/>
    <x v="1"/>
    <x v="0"/>
    <x v="1"/>
    <n v="0"/>
    <n v="0"/>
    <n v="-3.5960000000000001"/>
    <n v="-3.5960000000000001"/>
    <n v="-3.5960000000000001"/>
    <n v="-3.5960000000000001"/>
    <n v="0"/>
    <x v="1"/>
    <n v="0"/>
    <n v="0"/>
    <n v="30"/>
    <n v="70"/>
    <n v="0"/>
    <n v="285.56"/>
    <n v="227.23"/>
    <m/>
    <n v="310.34682484351242"/>
    <n v="216.7476358676706"/>
    <n v="0"/>
    <n v="-1026.8737599999999"/>
    <n v="-817.11907999999994"/>
    <n v="0"/>
    <n v="-1116.0071821372708"/>
    <n v="-779.42449858014345"/>
  </r>
  <r>
    <s v="Sistema de Compensação"/>
    <x v="3"/>
    <x v="4"/>
    <x v="6"/>
    <x v="0"/>
    <x v="0"/>
    <x v="1"/>
    <x v="0"/>
    <x v="1"/>
    <n v="0"/>
    <n v="0"/>
    <n v="50.58"/>
    <n v="50.58"/>
    <n v="50.58"/>
    <n v="50.58"/>
    <n v="140"/>
    <x v="1"/>
    <n v="0"/>
    <n v="0"/>
    <n v="30"/>
    <n v="70"/>
    <n v="0"/>
    <n v="285.56"/>
    <n v="227.23"/>
    <m/>
    <n v="310.34682484351242"/>
    <n v="216.7476358676706"/>
    <n v="0"/>
    <n v="14443.6248"/>
    <n v="11493.293399999999"/>
    <n v="0"/>
    <n v="15697.342400584857"/>
    <n v="10963.095422186778"/>
  </r>
  <r>
    <s v="Sistema de Compensação"/>
    <x v="3"/>
    <x v="4"/>
    <x v="6"/>
    <x v="0"/>
    <x v="0"/>
    <x v="1"/>
    <x v="0"/>
    <x v="1"/>
    <n v="0"/>
    <n v="0"/>
    <n v="2.86"/>
    <n v="2.86"/>
    <n v="2.86"/>
    <n v="2.86"/>
    <n v="1"/>
    <x v="1"/>
    <n v="0"/>
    <n v="0"/>
    <n v="30"/>
    <n v="70"/>
    <n v="0"/>
    <n v="285.56"/>
    <n v="227.23"/>
    <m/>
    <n v="310.34682484351242"/>
    <n v="216.7476358676706"/>
    <n v="0"/>
    <n v="816.70159999999998"/>
    <n v="649.87779999999998"/>
    <n v="0"/>
    <n v="887.59191905244552"/>
    <n v="619.89823858153784"/>
  </r>
  <r>
    <s v="Regular"/>
    <x v="3"/>
    <x v="4"/>
    <x v="6"/>
    <x v="0"/>
    <x v="0"/>
    <x v="1"/>
    <x v="0"/>
    <x v="2"/>
    <n v="0"/>
    <n v="0"/>
    <n v="1487.13"/>
    <n v="1487.13"/>
    <n v="1487.13"/>
    <n v="1487.13"/>
    <n v="3587"/>
    <x v="1"/>
    <n v="0"/>
    <n v="0"/>
    <n v="30"/>
    <n v="70"/>
    <n v="0"/>
    <n v="285.56"/>
    <n v="227.23"/>
    <m/>
    <n v="310.34682484351242"/>
    <n v="216.7476358676706"/>
    <n v="0"/>
    <n v="424664.84280000004"/>
    <n v="337920.54989999998"/>
    <n v="0"/>
    <n v="461526.07362953265"/>
    <n v="322331.91172788898"/>
  </r>
  <r>
    <s v="Refaturamento - Regular"/>
    <x v="3"/>
    <x v="4"/>
    <x v="6"/>
    <x v="0"/>
    <x v="0"/>
    <x v="1"/>
    <x v="0"/>
    <x v="2"/>
    <n v="0"/>
    <n v="0"/>
    <n v="-2.6749999999999998"/>
    <n v="-2.6749999999999998"/>
    <n v="-2.6749999999999998"/>
    <n v="-2.6749999999999998"/>
    <n v="0"/>
    <x v="1"/>
    <n v="0"/>
    <n v="0"/>
    <n v="30"/>
    <n v="70"/>
    <n v="0"/>
    <n v="285.56"/>
    <n v="227.23"/>
    <m/>
    <n v="310.34682484351242"/>
    <n v="216.7476358676706"/>
    <n v="0"/>
    <n v="-763.87299999999993"/>
    <n v="-607.84024999999997"/>
    <n v="0"/>
    <n v="-830.17775645639563"/>
    <n v="-579.79992594601879"/>
  </r>
  <r>
    <s v="Sistema de Compensação"/>
    <x v="3"/>
    <x v="4"/>
    <x v="6"/>
    <x v="0"/>
    <x v="0"/>
    <x v="1"/>
    <x v="0"/>
    <x v="2"/>
    <n v="0"/>
    <n v="0"/>
    <n v="42.877000000000002"/>
    <n v="42.877000000000002"/>
    <n v="42.877000000000002"/>
    <n v="42.877000000000002"/>
    <n v="142"/>
    <x v="1"/>
    <n v="0"/>
    <n v="0"/>
    <n v="30"/>
    <n v="70"/>
    <n v="0"/>
    <n v="285.56"/>
    <n v="227.23"/>
    <m/>
    <n v="310.34682484351242"/>
    <n v="216.7476358676706"/>
    <n v="0"/>
    <n v="12243.956120000001"/>
    <n v="9742.9407100000008"/>
    <n v="0"/>
    <n v="13306.740808815282"/>
    <n v="9293.4883830981125"/>
  </r>
  <r>
    <s v="Regular"/>
    <x v="3"/>
    <x v="4"/>
    <x v="6"/>
    <x v="0"/>
    <x v="0"/>
    <x v="1"/>
    <x v="0"/>
    <x v="3"/>
    <n v="0"/>
    <n v="0"/>
    <n v="1471.472"/>
    <n v="1471.472"/>
    <n v="1471.472"/>
    <n v="1471.472"/>
    <n v="3564"/>
    <x v="1"/>
    <n v="0"/>
    <n v="0"/>
    <n v="30"/>
    <n v="70"/>
    <n v="0"/>
    <n v="285.56"/>
    <n v="227.23"/>
    <m/>
    <n v="310.34682484351242"/>
    <n v="216.7476358676706"/>
    <n v="0"/>
    <n v="420193.54431999999"/>
    <n v="334362.58255999995"/>
    <n v="0"/>
    <n v="456666.66304613289"/>
    <n v="318938.07724547299"/>
  </r>
  <r>
    <s v="Refaturamento - Regular"/>
    <x v="3"/>
    <x v="4"/>
    <x v="6"/>
    <x v="0"/>
    <x v="0"/>
    <x v="1"/>
    <x v="0"/>
    <x v="3"/>
    <n v="0"/>
    <n v="0"/>
    <n v="-0.53800000000000003"/>
    <n v="-0.53800000000000003"/>
    <n v="-0.53800000000000003"/>
    <n v="-0.53800000000000003"/>
    <n v="0"/>
    <x v="1"/>
    <n v="0"/>
    <n v="0"/>
    <n v="30"/>
    <n v="70"/>
    <n v="0"/>
    <n v="285.56"/>
    <n v="227.23"/>
    <m/>
    <n v="310.34682484351242"/>
    <n v="216.7476358676706"/>
    <n v="0"/>
    <n v="-153.63128"/>
    <n v="-122.24974"/>
    <n v="0"/>
    <n v="-166.96659176580968"/>
    <n v="-116.61022809680679"/>
  </r>
  <r>
    <s v="Sistema de Compensação"/>
    <x v="3"/>
    <x v="4"/>
    <x v="6"/>
    <x v="0"/>
    <x v="0"/>
    <x v="1"/>
    <x v="0"/>
    <x v="3"/>
    <n v="0"/>
    <n v="0"/>
    <n v="153.453"/>
    <n v="153.453"/>
    <n v="153.453"/>
    <n v="153.453"/>
    <n v="154"/>
    <x v="1"/>
    <n v="0"/>
    <n v="0"/>
    <n v="30"/>
    <n v="70"/>
    <n v="0"/>
    <n v="285.56"/>
    <n v="227.23"/>
    <m/>
    <n v="310.34682484351242"/>
    <n v="216.7476358676706"/>
    <n v="0"/>
    <n v="43820.038679999998"/>
    <n v="34869.125189999999"/>
    <n v="0"/>
    <n v="47623.65131271151"/>
    <n v="33260.574966801658"/>
  </r>
  <r>
    <s v="Sistema de Compensação"/>
    <x v="3"/>
    <x v="4"/>
    <x v="6"/>
    <x v="0"/>
    <x v="0"/>
    <x v="1"/>
    <x v="0"/>
    <x v="3"/>
    <n v="0"/>
    <n v="0"/>
    <n v="-99.662999999999997"/>
    <n v="-99.662999999999997"/>
    <n v="-99.662999999999997"/>
    <n v="-99.662999999999997"/>
    <n v="2"/>
    <x v="1"/>
    <n v="0"/>
    <n v="0"/>
    <n v="30"/>
    <n v="70"/>
    <n v="0"/>
    <n v="285.56"/>
    <n v="227.23"/>
    <m/>
    <n v="310.34682484351242"/>
    <n v="216.7476358676706"/>
    <n v="0"/>
    <n v="-28459.76628"/>
    <n v="-22646.423489999997"/>
    <n v="0"/>
    <n v="-30930.095604378977"/>
    <n v="-21601.719633479654"/>
  </r>
  <r>
    <s v="Regular"/>
    <x v="3"/>
    <x v="4"/>
    <x v="6"/>
    <x v="0"/>
    <x v="0"/>
    <x v="1"/>
    <x v="0"/>
    <x v="4"/>
    <n v="0"/>
    <n v="0"/>
    <n v="1486.4380000000001"/>
    <n v="1486.4380000000001"/>
    <n v="1486.4380000000001"/>
    <n v="1486.4380000000001"/>
    <n v="3541"/>
    <x v="1"/>
    <n v="0"/>
    <n v="0"/>
    <n v="30"/>
    <n v="70"/>
    <n v="0"/>
    <n v="285.56"/>
    <n v="227.23"/>
    <m/>
    <n v="310.34682484351242"/>
    <n v="216.7476358676706"/>
    <n v="0"/>
    <n v="424467.23528000002"/>
    <n v="337763.30674000003"/>
    <n v="0"/>
    <n v="461311.31362674094"/>
    <n v="322181.92236386857"/>
  </r>
  <r>
    <s v="Refaturamento - Regular"/>
    <x v="3"/>
    <x v="4"/>
    <x v="6"/>
    <x v="0"/>
    <x v="0"/>
    <x v="1"/>
    <x v="0"/>
    <x v="4"/>
    <n v="0"/>
    <n v="0"/>
    <n v="-7.9989999999999997"/>
    <n v="-7.9989999999999997"/>
    <n v="-7.9989999999999997"/>
    <n v="-7.9989999999999997"/>
    <n v="0"/>
    <x v="1"/>
    <n v="0"/>
    <n v="0"/>
    <n v="30"/>
    <n v="70"/>
    <n v="0"/>
    <n v="285.56"/>
    <n v="227.23"/>
    <m/>
    <n v="310.34682484351242"/>
    <n v="216.7476358676706"/>
    <n v="0"/>
    <n v="-2284.1944399999998"/>
    <n v="-1817.61277"/>
    <n v="0"/>
    <n v="-2482.4642519232557"/>
    <n v="-1733.7643393054971"/>
  </r>
  <r>
    <s v="Sistema de Compensação"/>
    <x v="3"/>
    <x v="4"/>
    <x v="6"/>
    <x v="0"/>
    <x v="0"/>
    <x v="1"/>
    <x v="0"/>
    <x v="4"/>
    <n v="0"/>
    <n v="0"/>
    <n v="48.371000000000002"/>
    <n v="48.371000000000002"/>
    <n v="48.371000000000002"/>
    <n v="48.371000000000002"/>
    <n v="175"/>
    <x v="1"/>
    <n v="0"/>
    <n v="0"/>
    <n v="30"/>
    <n v="70"/>
    <n v="0"/>
    <n v="285.56"/>
    <n v="227.23"/>
    <m/>
    <n v="310.34682484351242"/>
    <n v="216.7476358676706"/>
    <n v="0"/>
    <n v="13812.822760000001"/>
    <n v="10991.342329999999"/>
    <n v="0"/>
    <n v="15011.786264505539"/>
    <n v="10484.299894555095"/>
  </r>
  <r>
    <s v="Sistema de Compensação"/>
    <x v="3"/>
    <x v="4"/>
    <x v="6"/>
    <x v="0"/>
    <x v="0"/>
    <x v="1"/>
    <x v="0"/>
    <x v="4"/>
    <n v="0"/>
    <n v="0"/>
    <n v="-0.42099999999999999"/>
    <n v="-0.42099999999999999"/>
    <n v="-0.42099999999999999"/>
    <n v="-0.42099999999999999"/>
    <n v="3"/>
    <x v="1"/>
    <n v="0"/>
    <n v="0"/>
    <n v="30"/>
    <n v="70"/>
    <n v="0"/>
    <n v="285.56"/>
    <n v="227.23"/>
    <m/>
    <n v="310.34682484351242"/>
    <n v="216.7476358676706"/>
    <n v="0"/>
    <n v="-120.22076"/>
    <n v="-95.66382999999999"/>
    <n v="0"/>
    <n v="-130.65601325911874"/>
    <n v="-91.25075470028932"/>
  </r>
  <r>
    <s v="Regular"/>
    <x v="3"/>
    <x v="4"/>
    <x v="6"/>
    <x v="0"/>
    <x v="0"/>
    <x v="1"/>
    <x v="0"/>
    <x v="5"/>
    <n v="0"/>
    <n v="0"/>
    <n v="1485.425"/>
    <n v="1485.425"/>
    <n v="1485.425"/>
    <n v="1485.425"/>
    <n v="3487"/>
    <x v="1"/>
    <n v="0"/>
    <n v="0"/>
    <n v="30"/>
    <n v="70"/>
    <n v="0"/>
    <n v="285.56"/>
    <n v="227.23"/>
    <m/>
    <n v="310.34682484351242"/>
    <n v="216.7476358676706"/>
    <n v="0"/>
    <n v="424177.96299999999"/>
    <n v="337533.12274999998"/>
    <n v="0"/>
    <n v="460996.93229317444"/>
    <n v="321962.3570087346"/>
  </r>
  <r>
    <s v="Refaturamento - Regular"/>
    <x v="3"/>
    <x v="4"/>
    <x v="6"/>
    <x v="0"/>
    <x v="0"/>
    <x v="1"/>
    <x v="0"/>
    <x v="5"/>
    <n v="0"/>
    <n v="0"/>
    <n v="-4.8369999999999997"/>
    <n v="-4.8369999999999997"/>
    <n v="-4.8369999999999997"/>
    <n v="-4.8369999999999997"/>
    <n v="0"/>
    <x v="1"/>
    <n v="0"/>
    <n v="0"/>
    <n v="30"/>
    <n v="70"/>
    <n v="0"/>
    <n v="285.56"/>
    <n v="227.23"/>
    <m/>
    <n v="310.34682484351242"/>
    <n v="216.7476358676706"/>
    <n v="0"/>
    <n v="-1381.2537199999999"/>
    <n v="-1099.11151"/>
    <n v="0"/>
    <n v="-1501.1475917680696"/>
    <n v="-1048.4083146919227"/>
  </r>
  <r>
    <s v="Sistema de Compensação"/>
    <x v="3"/>
    <x v="4"/>
    <x v="6"/>
    <x v="0"/>
    <x v="0"/>
    <x v="1"/>
    <x v="0"/>
    <x v="5"/>
    <n v="0"/>
    <n v="0"/>
    <n v="54.66"/>
    <n v="54.66"/>
    <n v="54.66"/>
    <n v="54.66"/>
    <n v="202"/>
    <x v="1"/>
    <n v="0"/>
    <n v="0"/>
    <n v="30"/>
    <n v="70"/>
    <n v="0"/>
    <n v="285.56"/>
    <n v="227.23"/>
    <m/>
    <n v="310.34682484351242"/>
    <n v="216.7476358676706"/>
    <n v="0"/>
    <n v="15608.709599999998"/>
    <n v="12420.391799999999"/>
    <n v="0"/>
    <n v="16963.55744594639"/>
    <n v="11847.425776526874"/>
  </r>
  <r>
    <s v="Sistema de Compensação"/>
    <x v="3"/>
    <x v="4"/>
    <x v="6"/>
    <x v="0"/>
    <x v="0"/>
    <x v="1"/>
    <x v="0"/>
    <x v="5"/>
    <n v="0"/>
    <n v="0"/>
    <n v="-3.8969999999999998"/>
    <n v="-3.8969999999999998"/>
    <n v="-3.8969999999999998"/>
    <n v="-3.8969999999999998"/>
    <n v="3"/>
    <x v="1"/>
    <n v="0"/>
    <n v="0"/>
    <n v="30"/>
    <n v="70"/>
    <n v="0"/>
    <n v="285.56"/>
    <n v="227.23"/>
    <m/>
    <n v="310.34682484351242"/>
    <n v="216.7476358676706"/>
    <n v="0"/>
    <n v="-1112.8273199999999"/>
    <n v="-885.51530999999989"/>
    <n v="0"/>
    <n v="-1209.4215764151679"/>
    <n v="-844.6655369763123"/>
  </r>
  <r>
    <s v="Regular"/>
    <x v="3"/>
    <x v="4"/>
    <x v="6"/>
    <x v="0"/>
    <x v="0"/>
    <x v="1"/>
    <x v="0"/>
    <x v="6"/>
    <n v="0"/>
    <n v="0"/>
    <n v="1602.441"/>
    <n v="1602.441"/>
    <n v="1602.441"/>
    <n v="1602.441"/>
    <n v="3483"/>
    <x v="1"/>
    <n v="0"/>
    <n v="0"/>
    <n v="30"/>
    <n v="70"/>
    <n v="0"/>
    <n v="285.56"/>
    <n v="227.23"/>
    <m/>
    <n v="310.34682484351242"/>
    <n v="216.7476358676706"/>
    <n v="0"/>
    <n v="457593.05196000001"/>
    <n v="364122.66842999996"/>
    <n v="0"/>
    <n v="497312.47634906293"/>
    <n v="347325.29836742592"/>
  </r>
  <r>
    <s v="Refaturamento - Regular"/>
    <x v="3"/>
    <x v="4"/>
    <x v="6"/>
    <x v="0"/>
    <x v="0"/>
    <x v="1"/>
    <x v="0"/>
    <x v="6"/>
    <n v="0"/>
    <n v="0"/>
    <n v="-60.328000000000003"/>
    <n v="-60.328000000000003"/>
    <n v="-60.328000000000003"/>
    <n v="-60.328000000000003"/>
    <n v="0"/>
    <x v="1"/>
    <n v="0"/>
    <n v="0"/>
    <n v="30"/>
    <n v="70"/>
    <n v="0"/>
    <n v="285.56"/>
    <n v="227.23"/>
    <m/>
    <n v="310.34682484351242"/>
    <n v="216.7476358676706"/>
    <n v="0"/>
    <n v="-17227.26368"/>
    <n v="-13708.33144"/>
    <n v="0"/>
    <n v="-18722.60324915942"/>
    <n v="-13075.951376624833"/>
  </r>
  <r>
    <s v="Sistema de Compensação"/>
    <x v="3"/>
    <x v="4"/>
    <x v="6"/>
    <x v="0"/>
    <x v="0"/>
    <x v="1"/>
    <x v="0"/>
    <x v="6"/>
    <n v="0"/>
    <n v="0"/>
    <n v="48.277000000000001"/>
    <n v="48.277000000000001"/>
    <n v="48.277000000000001"/>
    <n v="48.277000000000001"/>
    <n v="205"/>
    <x v="1"/>
    <n v="0"/>
    <n v="0"/>
    <n v="30"/>
    <n v="70"/>
    <n v="0"/>
    <n v="285.56"/>
    <n v="227.23"/>
    <m/>
    <n v="310.34682484351242"/>
    <n v="216.7476358676706"/>
    <n v="0"/>
    <n v="13785.98012"/>
    <n v="10969.98271"/>
    <n v="0"/>
    <n v="14982.613662970249"/>
    <n v="10463.925616783534"/>
  </r>
  <r>
    <s v="Regular"/>
    <x v="3"/>
    <x v="4"/>
    <x v="6"/>
    <x v="0"/>
    <x v="0"/>
    <x v="1"/>
    <x v="0"/>
    <x v="7"/>
    <n v="0"/>
    <n v="0"/>
    <n v="1841.87"/>
    <n v="1841.87"/>
    <n v="1841.87"/>
    <n v="1841.87"/>
    <n v="3436"/>
    <x v="1"/>
    <n v="0"/>
    <n v="0"/>
    <n v="30"/>
    <n v="70"/>
    <n v="0"/>
    <n v="285.56"/>
    <n v="227.23"/>
    <m/>
    <n v="310.34682484351242"/>
    <n v="216.7476358676706"/>
    <n v="0"/>
    <n v="525964.39720000001"/>
    <n v="418528.12009999994"/>
    <n v="0"/>
    <n v="571618.50627452019"/>
    <n v="399220.96807558642"/>
  </r>
  <r>
    <s v="Refaturamento - Regular"/>
    <x v="3"/>
    <x v="4"/>
    <x v="6"/>
    <x v="0"/>
    <x v="0"/>
    <x v="1"/>
    <x v="0"/>
    <x v="7"/>
    <n v="0"/>
    <n v="0"/>
    <n v="-1.823"/>
    <n v="-1.823"/>
    <n v="-1.823"/>
    <n v="-1.823"/>
    <n v="0"/>
    <x v="1"/>
    <n v="0"/>
    <n v="0"/>
    <n v="30"/>
    <n v="70"/>
    <n v="0"/>
    <n v="285.56"/>
    <n v="227.23"/>
    <m/>
    <n v="310.34682484351242"/>
    <n v="216.7476358676706"/>
    <n v="0"/>
    <n v="-520.57587999999998"/>
    <n v="-414.24028999999996"/>
    <n v="0"/>
    <n v="-565.76226168972312"/>
    <n v="-395.1309401867635"/>
  </r>
  <r>
    <s v="Sistema de Compensação"/>
    <x v="3"/>
    <x v="4"/>
    <x v="6"/>
    <x v="0"/>
    <x v="0"/>
    <x v="1"/>
    <x v="0"/>
    <x v="7"/>
    <n v="0"/>
    <n v="0"/>
    <n v="55.790999999999997"/>
    <n v="55.790999999999997"/>
    <n v="55.790999999999997"/>
    <n v="55.790999999999997"/>
    <n v="233"/>
    <x v="1"/>
    <n v="0"/>
    <n v="0"/>
    <n v="30"/>
    <n v="70"/>
    <n v="0"/>
    <n v="285.56"/>
    <n v="227.23"/>
    <m/>
    <n v="310.34682484351242"/>
    <n v="216.7476358676706"/>
    <n v="0"/>
    <n v="15931.677959999999"/>
    <n v="12677.388929999999"/>
    <n v="0"/>
    <n v="17314.5597048444"/>
    <n v="12092.56735269321"/>
  </r>
  <r>
    <s v="Regular"/>
    <x v="3"/>
    <x v="4"/>
    <x v="6"/>
    <x v="0"/>
    <x v="0"/>
    <x v="1"/>
    <x v="0"/>
    <x v="8"/>
    <n v="0"/>
    <n v="0"/>
    <n v="1456.9090000000001"/>
    <n v="1456.9090000000001"/>
    <n v="1456.9090000000001"/>
    <n v="1456.9090000000001"/>
    <n v="3418"/>
    <x v="1"/>
    <n v="0"/>
    <n v="0"/>
    <n v="30"/>
    <n v="70"/>
    <n v="0"/>
    <n v="285.56"/>
    <n v="227.23"/>
    <m/>
    <n v="310.34682484351242"/>
    <n v="216.7476358676706"/>
    <n v="0"/>
    <n v="416034.93404000002"/>
    <n v="331053.43206999998"/>
    <n v="0"/>
    <n v="452147.08223593689"/>
    <n v="315781.58142433211"/>
  </r>
  <r>
    <s v="Refaturamento - Regular"/>
    <x v="3"/>
    <x v="4"/>
    <x v="6"/>
    <x v="0"/>
    <x v="0"/>
    <x v="1"/>
    <x v="0"/>
    <x v="8"/>
    <n v="0"/>
    <n v="0"/>
    <n v="-196.922"/>
    <n v="-196.922"/>
    <n v="-196.922"/>
    <n v="-196.922"/>
    <n v="0"/>
    <x v="1"/>
    <n v="0"/>
    <n v="0"/>
    <n v="30"/>
    <n v="70"/>
    <n v="0"/>
    <n v="285.56"/>
    <n v="227.23"/>
    <m/>
    <n v="310.34682484351242"/>
    <n v="216.7476358676706"/>
    <n v="0"/>
    <n v="-56233.046320000001"/>
    <n v="-44746.586059999994"/>
    <n v="0"/>
    <n v="-61114.117441834154"/>
    <n v="-42682.37795033343"/>
  </r>
  <r>
    <s v="Sistema de Compensação"/>
    <x v="3"/>
    <x v="4"/>
    <x v="6"/>
    <x v="0"/>
    <x v="0"/>
    <x v="1"/>
    <x v="0"/>
    <x v="8"/>
    <n v="0"/>
    <n v="0"/>
    <n v="60.874000000000002"/>
    <n v="60.874000000000002"/>
    <n v="60.874000000000002"/>
    <n v="60.874000000000002"/>
    <n v="256"/>
    <x v="1"/>
    <n v="0"/>
    <n v="0"/>
    <n v="30"/>
    <n v="70"/>
    <n v="0"/>
    <n v="285.56"/>
    <n v="227.23"/>
    <m/>
    <n v="310.34682484351242"/>
    <n v="216.7476358676706"/>
    <n v="0"/>
    <n v="17383.17944"/>
    <n v="13832.399020000001"/>
    <n v="0"/>
    <n v="18892.052615523975"/>
    <n v="13194.295585808581"/>
  </r>
  <r>
    <s v="Sistema de Compensação"/>
    <x v="3"/>
    <x v="4"/>
    <x v="6"/>
    <x v="0"/>
    <x v="0"/>
    <x v="1"/>
    <x v="0"/>
    <x v="8"/>
    <n v="0"/>
    <n v="0"/>
    <n v="0.2"/>
    <n v="0.2"/>
    <n v="0.2"/>
    <n v="0.2"/>
    <n v="2"/>
    <x v="1"/>
    <n v="0"/>
    <n v="0"/>
    <n v="30"/>
    <n v="70"/>
    <n v="0"/>
    <n v="285.56"/>
    <n v="227.23"/>
    <m/>
    <n v="310.34682484351242"/>
    <n v="216.7476358676706"/>
    <n v="0"/>
    <n v="57.112000000000002"/>
    <n v="45.445999999999998"/>
    <n v="0"/>
    <n v="62.069364968702487"/>
    <n v="43.349527173534121"/>
  </r>
  <r>
    <s v="Regular"/>
    <x v="3"/>
    <x v="4"/>
    <x v="6"/>
    <x v="0"/>
    <x v="0"/>
    <x v="1"/>
    <x v="0"/>
    <x v="9"/>
    <n v="0"/>
    <n v="0"/>
    <n v="1410.451"/>
    <n v="1410.451"/>
    <n v="1410.451"/>
    <n v="1410.451"/>
    <n v="3394"/>
    <x v="1"/>
    <n v="0"/>
    <n v="0"/>
    <n v="30"/>
    <n v="70"/>
    <n v="0"/>
    <n v="285.56"/>
    <n v="227.23"/>
    <m/>
    <n v="310.34682484351242"/>
    <n v="216.7476358676706"/>
    <n v="0"/>
    <n v="402768.38756"/>
    <n v="320496.78073"/>
    <n v="0"/>
    <n v="437728.98944735696"/>
    <n v="305711.91975719185"/>
  </r>
  <r>
    <s v="Refaturamento - Regular"/>
    <x v="3"/>
    <x v="4"/>
    <x v="6"/>
    <x v="0"/>
    <x v="0"/>
    <x v="1"/>
    <x v="0"/>
    <x v="9"/>
    <n v="0"/>
    <n v="0"/>
    <n v="-112.73"/>
    <n v="-112.73"/>
    <n v="-112.73"/>
    <n v="-112.73"/>
    <n v="0"/>
    <x v="1"/>
    <n v="0"/>
    <n v="0"/>
    <n v="30"/>
    <n v="70"/>
    <n v="0"/>
    <n v="285.56"/>
    <n v="227.23"/>
    <m/>
    <n v="310.34682484351242"/>
    <n v="216.7476358676706"/>
    <n v="0"/>
    <n v="-32191.178800000002"/>
    <n v="-25615.637900000002"/>
    <n v="0"/>
    <n v="-34985.397564609157"/>
    <n v="-24433.960991362506"/>
  </r>
  <r>
    <s v="Sistema de Compensação"/>
    <x v="3"/>
    <x v="4"/>
    <x v="6"/>
    <x v="0"/>
    <x v="0"/>
    <x v="1"/>
    <x v="0"/>
    <x v="9"/>
    <n v="0"/>
    <n v="0"/>
    <n v="95.173000000000002"/>
    <n v="95.173000000000002"/>
    <n v="95.173000000000002"/>
    <n v="95.173000000000002"/>
    <n v="276"/>
    <x v="1"/>
    <n v="0"/>
    <n v="0"/>
    <n v="30"/>
    <n v="70"/>
    <n v="0"/>
    <n v="285.56"/>
    <n v="227.23"/>
    <m/>
    <n v="310.34682484351242"/>
    <n v="216.7476358676706"/>
    <n v="0"/>
    <n v="27177.601880000002"/>
    <n v="21626.160789999998"/>
    <n v="0"/>
    <n v="29536.63836083161"/>
    <n v="20628.522748433814"/>
  </r>
  <r>
    <s v="Regular"/>
    <x v="3"/>
    <x v="4"/>
    <x v="6"/>
    <x v="0"/>
    <x v="0"/>
    <x v="1"/>
    <x v="0"/>
    <x v="10"/>
    <n v="0"/>
    <n v="0"/>
    <n v="1287.5889999999999"/>
    <n v="1287.5889999999999"/>
    <n v="1287.5889999999999"/>
    <n v="1287.5889999999999"/>
    <n v="3370"/>
    <x v="1"/>
    <n v="0"/>
    <n v="0"/>
    <n v="30"/>
    <n v="70"/>
    <n v="0"/>
    <n v="285.56"/>
    <n v="227.23"/>
    <m/>
    <n v="310.34682484351242"/>
    <n v="216.7476358676706"/>
    <n v="0"/>
    <n v="367683.91483999998"/>
    <n v="292578.84846999997"/>
    <n v="0"/>
    <n v="399599.15785343328"/>
    <n v="279081.87171921809"/>
  </r>
  <r>
    <s v="Refaturamento - Regular"/>
    <x v="3"/>
    <x v="4"/>
    <x v="6"/>
    <x v="0"/>
    <x v="0"/>
    <x v="1"/>
    <x v="0"/>
    <x v="10"/>
    <n v="0"/>
    <n v="0"/>
    <n v="-4.1399999999999997"/>
    <n v="-4.1399999999999997"/>
    <n v="-4.1399999999999997"/>
    <n v="-4.1399999999999997"/>
    <n v="0"/>
    <x v="1"/>
    <n v="0"/>
    <n v="0"/>
    <n v="30"/>
    <n v="70"/>
    <n v="0"/>
    <n v="285.56"/>
    <n v="227.23"/>
    <m/>
    <n v="310.34682484351242"/>
    <n v="216.7476358676706"/>
    <n v="0"/>
    <n v="-1182.2184"/>
    <n v="-940.73219999999992"/>
    <n v="0"/>
    <n v="-1284.8358548521414"/>
    <n v="-897.33521249215619"/>
  </r>
  <r>
    <s v="Sistema de Compensação"/>
    <x v="3"/>
    <x v="4"/>
    <x v="6"/>
    <x v="0"/>
    <x v="0"/>
    <x v="1"/>
    <x v="0"/>
    <x v="10"/>
    <n v="0"/>
    <n v="0"/>
    <n v="87.944000000000003"/>
    <n v="87.944000000000003"/>
    <n v="87.944000000000003"/>
    <n v="87.944000000000003"/>
    <n v="293"/>
    <x v="1"/>
    <n v="0"/>
    <n v="0"/>
    <n v="30"/>
    <n v="70"/>
    <n v="0"/>
    <n v="285.56"/>
    <n v="227.23"/>
    <m/>
    <n v="310.34682484351242"/>
    <n v="216.7476358676706"/>
    <n v="0"/>
    <n v="25113.288640000002"/>
    <n v="19983.51512"/>
    <n v="0"/>
    <n v="27293.141164037857"/>
    <n v="19061.654088746422"/>
  </r>
  <r>
    <s v="Sistema de Compensação"/>
    <x v="3"/>
    <x v="4"/>
    <x v="6"/>
    <x v="0"/>
    <x v="0"/>
    <x v="1"/>
    <x v="0"/>
    <x v="10"/>
    <n v="0"/>
    <n v="0"/>
    <n v="-0.11899999999999999"/>
    <n v="-0.11899999999999999"/>
    <n v="-0.11899999999999999"/>
    <n v="-0.11899999999999999"/>
    <n v="2"/>
    <x v="1"/>
    <n v="0"/>
    <n v="0"/>
    <n v="30"/>
    <n v="70"/>
    <n v="0"/>
    <n v="285.56"/>
    <n v="227.23"/>
    <m/>
    <n v="310.34682484351242"/>
    <n v="216.7476358676706"/>
    <n v="0"/>
    <n v="-33.981639999999999"/>
    <n v="-27.040369999999996"/>
    <n v="0"/>
    <n v="-36.931272156377979"/>
    <n v="-25.792968668252801"/>
  </r>
  <r>
    <s v="PROJETADO"/>
    <x v="3"/>
    <x v="4"/>
    <x v="6"/>
    <x v="0"/>
    <x v="0"/>
    <x v="1"/>
    <x v="0"/>
    <x v="11"/>
    <n v="0"/>
    <n v="0"/>
    <n v="1287.5889999999999"/>
    <n v="1287.5889999999999"/>
    <n v="1287.5889999999999"/>
    <n v="1287.5889999999999"/>
    <n v="3370"/>
    <x v="1"/>
    <n v="0"/>
    <n v="0"/>
    <n v="30"/>
    <n v="70"/>
    <n v="0"/>
    <n v="285.56"/>
    <n v="227.23"/>
    <m/>
    <n v="310.34682484351242"/>
    <n v="216.7476358676706"/>
    <n v="0"/>
    <n v="367683.91483999998"/>
    <n v="292578.84846999997"/>
    <n v="0"/>
    <n v="399599.15785343328"/>
    <n v="279081.87171921809"/>
  </r>
  <r>
    <s v="PROJETADO"/>
    <x v="3"/>
    <x v="4"/>
    <x v="6"/>
    <x v="0"/>
    <x v="0"/>
    <x v="1"/>
    <x v="0"/>
    <x v="11"/>
    <n v="0"/>
    <n v="0"/>
    <n v="-4.1399999999999997"/>
    <n v="-4.1399999999999997"/>
    <n v="-4.1399999999999997"/>
    <n v="-4.1399999999999997"/>
    <n v="0"/>
    <x v="1"/>
    <n v="0"/>
    <n v="0"/>
    <n v="30"/>
    <n v="70"/>
    <n v="0"/>
    <n v="285.56"/>
    <n v="227.23"/>
    <m/>
    <n v="310.34682484351242"/>
    <n v="216.7476358676706"/>
    <n v="0"/>
    <n v="-1182.2184"/>
    <n v="-940.73219999999992"/>
    <n v="0"/>
    <n v="-1284.8358548521414"/>
    <n v="-897.33521249215619"/>
  </r>
  <r>
    <s v="PROJETADO"/>
    <x v="3"/>
    <x v="4"/>
    <x v="6"/>
    <x v="0"/>
    <x v="0"/>
    <x v="1"/>
    <x v="0"/>
    <x v="11"/>
    <n v="0"/>
    <n v="0"/>
    <n v="87.944000000000003"/>
    <n v="87.944000000000003"/>
    <n v="87.944000000000003"/>
    <n v="87.944000000000003"/>
    <n v="293"/>
    <x v="1"/>
    <n v="0"/>
    <n v="0"/>
    <n v="30"/>
    <n v="70"/>
    <n v="0"/>
    <n v="285.56"/>
    <n v="227.23"/>
    <m/>
    <n v="310.34682484351242"/>
    <n v="216.7476358676706"/>
    <n v="0"/>
    <n v="25113.288640000002"/>
    <n v="19983.51512"/>
    <n v="0"/>
    <n v="27293.141164037857"/>
    <n v="19061.654088746422"/>
  </r>
  <r>
    <s v="PROJETADO"/>
    <x v="3"/>
    <x v="4"/>
    <x v="6"/>
    <x v="0"/>
    <x v="0"/>
    <x v="1"/>
    <x v="0"/>
    <x v="11"/>
    <n v="0"/>
    <n v="0"/>
    <n v="-0.11899999999999999"/>
    <n v="-0.11899999999999999"/>
    <n v="-0.11899999999999999"/>
    <n v="-0.11899999999999999"/>
    <n v="2"/>
    <x v="1"/>
    <n v="0"/>
    <n v="0"/>
    <n v="30"/>
    <n v="70"/>
    <n v="0"/>
    <n v="285.56"/>
    <n v="227.23"/>
    <m/>
    <n v="310.34682484351242"/>
    <n v="216.7476358676706"/>
    <n v="0"/>
    <n v="-33.981639999999999"/>
    <n v="-27.040369999999996"/>
    <n v="0"/>
    <n v="-36.931272156377979"/>
    <n v="-25.792968668252801"/>
  </r>
  <r>
    <s v="Regular"/>
    <x v="4"/>
    <x v="3"/>
    <x v="1"/>
    <x v="0"/>
    <x v="0"/>
    <x v="1"/>
    <x v="1"/>
    <x v="0"/>
    <n v="0"/>
    <n v="0"/>
    <n v="19.925000000000001"/>
    <n v="19.925000000000001"/>
    <n v="19.925000000000001"/>
    <n v="19.925000000000001"/>
    <n v="0"/>
    <x v="1"/>
    <n v="0"/>
    <n v="0"/>
    <n v="26"/>
    <n v="69"/>
    <n v="0"/>
    <n v="245.71"/>
    <n v="246.3"/>
    <m/>
    <n v="223.26795372656312"/>
    <n v="219.40364509824883"/>
    <n v="0"/>
    <n v="4895.7717499999999"/>
    <n v="4907.5275000000001"/>
    <n v="0"/>
    <n v="4448.6139780017702"/>
    <n v="4371.6176285826077"/>
  </r>
  <r>
    <s v="Regular"/>
    <x v="4"/>
    <x v="3"/>
    <x v="1"/>
    <x v="0"/>
    <x v="0"/>
    <x v="1"/>
    <x v="1"/>
    <x v="1"/>
    <n v="0"/>
    <n v="0"/>
    <n v="17.105"/>
    <n v="17.105"/>
    <n v="17.105"/>
    <n v="17.105"/>
    <n v="0"/>
    <x v="1"/>
    <n v="0"/>
    <n v="0"/>
    <n v="26"/>
    <n v="69"/>
    <n v="0"/>
    <n v="245.71"/>
    <n v="246.3"/>
    <m/>
    <n v="223.26795372656312"/>
    <n v="219.40364509824883"/>
    <n v="0"/>
    <n v="4202.8695500000003"/>
    <n v="4212.9615000000003"/>
    <n v="0"/>
    <n v="3818.9983484928621"/>
    <n v="3752.8993494055462"/>
  </r>
  <r>
    <s v="Regular"/>
    <x v="4"/>
    <x v="3"/>
    <x v="1"/>
    <x v="0"/>
    <x v="0"/>
    <x v="1"/>
    <x v="1"/>
    <x v="2"/>
    <n v="0"/>
    <n v="0"/>
    <n v="16.241"/>
    <n v="16.241"/>
    <n v="16.241"/>
    <n v="16.241"/>
    <n v="0"/>
    <x v="1"/>
    <n v="0"/>
    <n v="0"/>
    <n v="26"/>
    <n v="69"/>
    <n v="0"/>
    <n v="245.71"/>
    <n v="246.3"/>
    <m/>
    <n v="223.26795372656312"/>
    <n v="219.40364509824883"/>
    <n v="0"/>
    <n v="3990.57611"/>
    <n v="4000.1583000000001"/>
    <n v="0"/>
    <n v="3626.0948364731116"/>
    <n v="3563.3346000406591"/>
  </r>
  <r>
    <s v="Regular"/>
    <x v="4"/>
    <x v="3"/>
    <x v="1"/>
    <x v="0"/>
    <x v="0"/>
    <x v="1"/>
    <x v="1"/>
    <x v="3"/>
    <n v="0"/>
    <n v="0"/>
    <n v="16.625"/>
    <n v="16.625"/>
    <n v="16.625"/>
    <n v="16.625"/>
    <n v="0"/>
    <x v="1"/>
    <n v="0"/>
    <n v="0"/>
    <n v="26"/>
    <n v="69"/>
    <n v="0"/>
    <n v="245.71"/>
    <n v="246.3"/>
    <m/>
    <n v="223.26795372656312"/>
    <n v="219.40364509824883"/>
    <n v="0"/>
    <n v="4084.92875"/>
    <n v="4094.7375000000002"/>
    <n v="0"/>
    <n v="3711.8297307041121"/>
    <n v="3647.5855997583867"/>
  </r>
  <r>
    <s v="Regular"/>
    <x v="4"/>
    <x v="3"/>
    <x v="1"/>
    <x v="0"/>
    <x v="0"/>
    <x v="1"/>
    <x v="1"/>
    <x v="4"/>
    <n v="0"/>
    <n v="0"/>
    <n v="18.853000000000002"/>
    <n v="18.853000000000002"/>
    <n v="18.853000000000002"/>
    <n v="18.853000000000002"/>
    <n v="0"/>
    <x v="1"/>
    <n v="0"/>
    <n v="0"/>
    <n v="26"/>
    <n v="69"/>
    <n v="0"/>
    <n v="245.71"/>
    <n v="246.3"/>
    <m/>
    <n v="223.26795372656312"/>
    <n v="219.40364509824883"/>
    <n v="0"/>
    <n v="4632.3706300000003"/>
    <n v="4643.4939000000004"/>
    <n v="0"/>
    <n v="4209.2707316068945"/>
    <n v="4136.4169210372856"/>
  </r>
  <r>
    <s v="Regular"/>
    <x v="4"/>
    <x v="3"/>
    <x v="1"/>
    <x v="0"/>
    <x v="0"/>
    <x v="1"/>
    <x v="1"/>
    <x v="5"/>
    <n v="0"/>
    <n v="0"/>
    <n v="18.457999999999998"/>
    <n v="18.457999999999998"/>
    <n v="18.457999999999998"/>
    <n v="18.457999999999998"/>
    <n v="0"/>
    <x v="1"/>
    <n v="0"/>
    <n v="0"/>
    <n v="26"/>
    <n v="69"/>
    <n v="0"/>
    <n v="245.71"/>
    <n v="246.3"/>
    <m/>
    <n v="223.26795372656312"/>
    <n v="219.40364509824883"/>
    <n v="0"/>
    <n v="4535.3151799999996"/>
    <n v="4546.2053999999998"/>
    <n v="0"/>
    <n v="4121.0798898849016"/>
    <n v="4049.7524812234765"/>
  </r>
  <r>
    <s v="Regular"/>
    <x v="4"/>
    <x v="3"/>
    <x v="1"/>
    <x v="0"/>
    <x v="0"/>
    <x v="1"/>
    <x v="1"/>
    <x v="6"/>
    <n v="0"/>
    <n v="0"/>
    <n v="25.123999999999999"/>
    <n v="25.123999999999999"/>
    <n v="25.123999999999999"/>
    <n v="25.123999999999999"/>
    <n v="0"/>
    <x v="1"/>
    <n v="0"/>
    <n v="0"/>
    <n v="26"/>
    <n v="69"/>
    <n v="0"/>
    <n v="245.71"/>
    <n v="246.3"/>
    <m/>
    <n v="223.26795372656312"/>
    <n v="219.40364509824883"/>
    <n v="0"/>
    <n v="6173.2180399999997"/>
    <n v="6188.0411999999997"/>
    <n v="0"/>
    <n v="5609.3840694261717"/>
    <n v="5512.2971794484038"/>
  </r>
  <r>
    <s v="Regular"/>
    <x v="4"/>
    <x v="3"/>
    <x v="1"/>
    <x v="0"/>
    <x v="0"/>
    <x v="1"/>
    <x v="1"/>
    <x v="7"/>
    <n v="0"/>
    <n v="0"/>
    <n v="17.977"/>
    <n v="17.977"/>
    <n v="17.977"/>
    <n v="17.977"/>
    <n v="0"/>
    <x v="1"/>
    <n v="0"/>
    <n v="0"/>
    <n v="26"/>
    <n v="69"/>
    <n v="0"/>
    <n v="245.71"/>
    <n v="246.3"/>
    <m/>
    <n v="223.26795372656312"/>
    <n v="219.40364509824883"/>
    <n v="0"/>
    <n v="4417.1286700000001"/>
    <n v="4427.7350999999999"/>
    <n v="0"/>
    <n v="4013.6880041424251"/>
    <n v="3944.2193279312191"/>
  </r>
  <r>
    <s v="Regular"/>
    <x v="4"/>
    <x v="3"/>
    <x v="1"/>
    <x v="0"/>
    <x v="0"/>
    <x v="1"/>
    <x v="1"/>
    <x v="8"/>
    <n v="0"/>
    <n v="0"/>
    <n v="13.593999999999999"/>
    <n v="13.593999999999999"/>
    <n v="13.593999999999999"/>
    <n v="13.593999999999999"/>
    <n v="0"/>
    <x v="1"/>
    <n v="0"/>
    <n v="0"/>
    <n v="26"/>
    <n v="69"/>
    <n v="0"/>
    <n v="245.71"/>
    <n v="246.3"/>
    <m/>
    <n v="223.26795372656312"/>
    <n v="219.40364509824883"/>
    <n v="0"/>
    <n v="3340.18174"/>
    <n v="3348.2022000000002"/>
    <n v="0"/>
    <n v="3035.1045629588989"/>
    <n v="2982.5731514655945"/>
  </r>
  <r>
    <s v="Regular"/>
    <x v="4"/>
    <x v="3"/>
    <x v="1"/>
    <x v="0"/>
    <x v="0"/>
    <x v="1"/>
    <x v="1"/>
    <x v="9"/>
    <n v="0"/>
    <n v="0"/>
    <n v="21.498999999999999"/>
    <n v="21.498999999999999"/>
    <n v="21.498999999999999"/>
    <n v="21.498999999999999"/>
    <n v="0"/>
    <x v="1"/>
    <n v="0"/>
    <n v="0"/>
    <n v="26"/>
    <n v="69"/>
    <n v="0"/>
    <n v="245.71"/>
    <n v="246.3"/>
    <m/>
    <n v="223.26795372656312"/>
    <n v="219.40364509824883"/>
    <n v="0"/>
    <n v="5282.5192900000002"/>
    <n v="5295.2037"/>
    <n v="0"/>
    <n v="4800.0377371673803"/>
    <n v="4716.9589659672511"/>
  </r>
  <r>
    <s v="Regular"/>
    <x v="4"/>
    <x v="3"/>
    <x v="1"/>
    <x v="0"/>
    <x v="0"/>
    <x v="1"/>
    <x v="1"/>
    <x v="10"/>
    <n v="0"/>
    <n v="0"/>
    <n v="15.483000000000001"/>
    <n v="15.483000000000001"/>
    <n v="15.483000000000001"/>
    <n v="15.483000000000001"/>
    <n v="0"/>
    <x v="1"/>
    <n v="0"/>
    <n v="0"/>
    <n v="26"/>
    <n v="69"/>
    <n v="0"/>
    <n v="245.71"/>
    <n v="246.3"/>
    <m/>
    <n v="223.26795372656312"/>
    <n v="219.40364509824883"/>
    <n v="0"/>
    <n v="3804.3279300000004"/>
    <n v="3813.4629000000004"/>
    <n v="0"/>
    <n v="3456.8577275483767"/>
    <n v="3397.0266370561867"/>
  </r>
  <r>
    <s v="PROJETADO"/>
    <x v="4"/>
    <x v="3"/>
    <x v="1"/>
    <x v="0"/>
    <x v="0"/>
    <x v="1"/>
    <x v="1"/>
    <x v="11"/>
    <n v="0"/>
    <n v="0"/>
    <n v="15.483000000000001"/>
    <n v="15.483000000000001"/>
    <n v="15.483000000000001"/>
    <n v="15.483000000000001"/>
    <n v="0"/>
    <x v="1"/>
    <n v="0"/>
    <n v="0"/>
    <n v="26"/>
    <n v="69"/>
    <n v="0"/>
    <n v="245.71"/>
    <n v="246.3"/>
    <m/>
    <n v="223.26795372656312"/>
    <n v="219.40364509824883"/>
    <n v="0"/>
    <n v="3804.3279300000004"/>
    <n v="3813.4629000000004"/>
    <n v="0"/>
    <n v="3456.8577275483767"/>
    <n v="3397.0266370561867"/>
  </r>
  <r>
    <s v="Regular"/>
    <x v="4"/>
    <x v="3"/>
    <x v="1"/>
    <x v="0"/>
    <x v="0"/>
    <x v="1"/>
    <x v="3"/>
    <x v="0"/>
    <n v="0"/>
    <n v="0"/>
    <n v="1.2869999999999999"/>
    <n v="1.2869999999999999"/>
    <n v="1.2869999999999999"/>
    <n v="1.2869999999999999"/>
    <n v="0"/>
    <x v="1"/>
    <n v="0"/>
    <n v="0"/>
    <n v="31"/>
    <n v="71"/>
    <n v="0"/>
    <n v="479.1"/>
    <n v="246.3"/>
    <m/>
    <n v="420.60013627588546"/>
    <n v="219.40364509824883"/>
    <n v="0"/>
    <n v="616.60169999999994"/>
    <n v="316.98809999999997"/>
    <n v="0"/>
    <n v="541.31237538706455"/>
    <n v="282.37249124144626"/>
  </r>
  <r>
    <s v="Regular"/>
    <x v="4"/>
    <x v="3"/>
    <x v="1"/>
    <x v="0"/>
    <x v="0"/>
    <x v="1"/>
    <x v="3"/>
    <x v="1"/>
    <n v="0"/>
    <n v="0"/>
    <n v="1.155"/>
    <n v="1.155"/>
    <n v="1.155"/>
    <n v="1.155"/>
    <n v="0"/>
    <x v="1"/>
    <n v="0"/>
    <n v="0"/>
    <n v="31"/>
    <n v="71"/>
    <n v="0"/>
    <n v="479.1"/>
    <n v="246.3"/>
    <m/>
    <n v="420.60013627588546"/>
    <n v="219.40364509824883"/>
    <n v="0"/>
    <n v="553.3605"/>
    <n v="284.47650000000004"/>
    <n v="0"/>
    <n v="485.79315739864774"/>
    <n v="253.41121008847742"/>
  </r>
  <r>
    <s v="Regular"/>
    <x v="4"/>
    <x v="3"/>
    <x v="1"/>
    <x v="0"/>
    <x v="0"/>
    <x v="1"/>
    <x v="3"/>
    <x v="2"/>
    <n v="0"/>
    <n v="0"/>
    <n v="1.115"/>
    <n v="1.115"/>
    <n v="1.115"/>
    <n v="1.115"/>
    <n v="0"/>
    <x v="1"/>
    <n v="0"/>
    <n v="0"/>
    <n v="31"/>
    <n v="71"/>
    <n v="0"/>
    <n v="479.1"/>
    <n v="246.3"/>
    <m/>
    <n v="420.60013627588546"/>
    <n v="219.40364509824883"/>
    <n v="0"/>
    <n v="534.19650000000001"/>
    <n v="274.62450000000001"/>
    <n v="0"/>
    <n v="468.96915194761226"/>
    <n v="244.63506428454744"/>
  </r>
  <r>
    <s v="Regular"/>
    <x v="4"/>
    <x v="3"/>
    <x v="1"/>
    <x v="0"/>
    <x v="0"/>
    <x v="1"/>
    <x v="3"/>
    <x v="3"/>
    <n v="0"/>
    <n v="0"/>
    <n v="1.157"/>
    <n v="1.157"/>
    <n v="1.157"/>
    <n v="1.157"/>
    <n v="0"/>
    <x v="1"/>
    <n v="0"/>
    <n v="0"/>
    <n v="31"/>
    <n v="71"/>
    <n v="0"/>
    <n v="479.1"/>
    <n v="246.3"/>
    <m/>
    <n v="420.60013627588546"/>
    <n v="219.40364509824883"/>
    <n v="0"/>
    <n v="554.31870000000004"/>
    <n v="284.96910000000003"/>
    <n v="0"/>
    <n v="486.6343576711995"/>
    <n v="253.8500173786739"/>
  </r>
  <r>
    <s v="Regular"/>
    <x v="4"/>
    <x v="3"/>
    <x v="1"/>
    <x v="0"/>
    <x v="0"/>
    <x v="1"/>
    <x v="3"/>
    <x v="4"/>
    <n v="0"/>
    <n v="0"/>
    <n v="1.415"/>
    <n v="1.415"/>
    <n v="1.415"/>
    <n v="1.415"/>
    <n v="0"/>
    <x v="1"/>
    <n v="0"/>
    <n v="0"/>
    <n v="31"/>
    <n v="71"/>
    <n v="0"/>
    <n v="479.1"/>
    <n v="246.3"/>
    <m/>
    <n v="420.60013627588546"/>
    <n v="219.40364509824883"/>
    <n v="0"/>
    <n v="677.92650000000003"/>
    <n v="348.5145"/>
    <n v="0"/>
    <n v="595.14919283037796"/>
    <n v="310.45615781402211"/>
  </r>
  <r>
    <s v="Regular"/>
    <x v="4"/>
    <x v="3"/>
    <x v="1"/>
    <x v="0"/>
    <x v="0"/>
    <x v="1"/>
    <x v="3"/>
    <x v="5"/>
    <n v="0"/>
    <n v="0"/>
    <n v="1.536"/>
    <n v="1.536"/>
    <n v="1.536"/>
    <n v="1.536"/>
    <n v="0"/>
    <x v="1"/>
    <n v="0"/>
    <n v="0"/>
    <n v="31"/>
    <n v="71"/>
    <n v="0"/>
    <n v="479.1"/>
    <n v="246.3"/>
    <m/>
    <n v="420.60013627588546"/>
    <n v="219.40364509824883"/>
    <n v="0"/>
    <n v="735.89760000000001"/>
    <n v="378.3168"/>
    <n v="0"/>
    <n v="646.04180931976009"/>
    <n v="337.00399887091021"/>
  </r>
  <r>
    <s v="Regular"/>
    <x v="4"/>
    <x v="3"/>
    <x v="1"/>
    <x v="0"/>
    <x v="0"/>
    <x v="1"/>
    <x v="3"/>
    <x v="6"/>
    <n v="0"/>
    <n v="0"/>
    <n v="2.0840000000000001"/>
    <n v="2.0840000000000001"/>
    <n v="2.0840000000000001"/>
    <n v="2.0840000000000001"/>
    <n v="0"/>
    <x v="1"/>
    <n v="0"/>
    <n v="0"/>
    <n v="31"/>
    <n v="71"/>
    <n v="0"/>
    <n v="479.1"/>
    <n v="246.3"/>
    <m/>
    <n v="420.60013627588546"/>
    <n v="219.40364509824883"/>
    <n v="0"/>
    <n v="998.44440000000009"/>
    <n v="513.28920000000005"/>
    <n v="0"/>
    <n v="876.53068399894528"/>
    <n v="457.23719638475058"/>
  </r>
  <r>
    <s v="Regular"/>
    <x v="4"/>
    <x v="3"/>
    <x v="1"/>
    <x v="0"/>
    <x v="0"/>
    <x v="1"/>
    <x v="3"/>
    <x v="7"/>
    <n v="0"/>
    <n v="0"/>
    <n v="1.64"/>
    <n v="1.64"/>
    <n v="1.64"/>
    <n v="1.64"/>
    <n v="0"/>
    <x v="1"/>
    <n v="0"/>
    <n v="0"/>
    <n v="31"/>
    <n v="71"/>
    <n v="0"/>
    <n v="479.1"/>
    <n v="246.3"/>
    <m/>
    <n v="420.60013627588546"/>
    <n v="219.40364509824883"/>
    <n v="0"/>
    <n v="785.72400000000005"/>
    <n v="403.93200000000002"/>
    <n v="0"/>
    <n v="689.78422349245216"/>
    <n v="359.82197796112808"/>
  </r>
  <r>
    <s v="Regular"/>
    <x v="4"/>
    <x v="3"/>
    <x v="1"/>
    <x v="0"/>
    <x v="0"/>
    <x v="1"/>
    <x v="3"/>
    <x v="8"/>
    <n v="0"/>
    <n v="0"/>
    <n v="1.492"/>
    <n v="1.492"/>
    <n v="1.492"/>
    <n v="1.492"/>
    <n v="0"/>
    <x v="1"/>
    <n v="0"/>
    <n v="0"/>
    <n v="31"/>
    <n v="71"/>
    <n v="0"/>
    <n v="479.1"/>
    <n v="246.3"/>
    <m/>
    <n v="420.60013627588546"/>
    <n v="219.40364509824883"/>
    <n v="0"/>
    <n v="714.81720000000007"/>
    <n v="367.4796"/>
    <n v="0"/>
    <n v="627.53540332362115"/>
    <n v="327.35023848658727"/>
  </r>
  <r>
    <s v="Regular"/>
    <x v="4"/>
    <x v="3"/>
    <x v="1"/>
    <x v="0"/>
    <x v="0"/>
    <x v="1"/>
    <x v="3"/>
    <x v="9"/>
    <n v="0"/>
    <n v="0"/>
    <n v="1.5289999999999999"/>
    <n v="1.5289999999999999"/>
    <n v="1.5289999999999999"/>
    <n v="1.5289999999999999"/>
    <n v="0"/>
    <x v="1"/>
    <n v="0"/>
    <n v="0"/>
    <n v="31"/>
    <n v="71"/>
    <n v="0"/>
    <n v="479.1"/>
    <n v="246.3"/>
    <m/>
    <n v="420.60013627588546"/>
    <n v="219.40364509824883"/>
    <n v="0"/>
    <n v="732.54390000000001"/>
    <n v="376.59269999999998"/>
    <n v="0"/>
    <n v="643.09760836582882"/>
    <n v="335.46817335522246"/>
  </r>
  <r>
    <s v="Regular"/>
    <x v="4"/>
    <x v="3"/>
    <x v="1"/>
    <x v="0"/>
    <x v="0"/>
    <x v="1"/>
    <x v="3"/>
    <x v="10"/>
    <n v="0"/>
    <n v="0"/>
    <n v="1.139"/>
    <n v="1.139"/>
    <n v="1.139"/>
    <n v="1.139"/>
    <n v="0"/>
    <x v="1"/>
    <n v="0"/>
    <n v="0"/>
    <n v="31"/>
    <n v="71"/>
    <n v="0"/>
    <n v="479.1"/>
    <n v="246.3"/>
    <m/>
    <n v="420.60013627588546"/>
    <n v="219.40364509824883"/>
    <n v="0"/>
    <n v="545.69490000000008"/>
    <n v="280.53570000000002"/>
    <n v="0"/>
    <n v="479.06355521823355"/>
    <n v="249.90075176690542"/>
  </r>
  <r>
    <s v="PROJETADO"/>
    <x v="4"/>
    <x v="3"/>
    <x v="1"/>
    <x v="0"/>
    <x v="0"/>
    <x v="1"/>
    <x v="3"/>
    <x v="11"/>
    <n v="0"/>
    <n v="0"/>
    <n v="1.139"/>
    <n v="1.139"/>
    <n v="1.139"/>
    <n v="1.139"/>
    <n v="0"/>
    <x v="1"/>
    <n v="0"/>
    <n v="0"/>
    <n v="31"/>
    <n v="71"/>
    <n v="0"/>
    <n v="479.1"/>
    <n v="246.3"/>
    <m/>
    <n v="420.60013627588546"/>
    <n v="219.40364509824883"/>
    <n v="0"/>
    <n v="545.69490000000008"/>
    <n v="280.53570000000002"/>
    <n v="0"/>
    <n v="479.06355521823355"/>
    <n v="249.90075176690542"/>
  </r>
  <r>
    <s v="Regular"/>
    <x v="4"/>
    <x v="3"/>
    <x v="1"/>
    <x v="0"/>
    <x v="0"/>
    <x v="1"/>
    <x v="2"/>
    <x v="0"/>
    <n v="0"/>
    <n v="0"/>
    <n v="1.661"/>
    <n v="1.661"/>
    <n v="1.661"/>
    <n v="1.661"/>
    <n v="0"/>
    <x v="1"/>
    <n v="0"/>
    <n v="0"/>
    <n v="33"/>
    <n v="75"/>
    <n v="0"/>
    <n v="858.83"/>
    <n v="389.21"/>
    <m/>
    <n v="1111.2627392273312"/>
    <n v="353.55100010229148"/>
    <n v="0"/>
    <n v="1426.5166300000001"/>
    <n v="646.47780999999998"/>
    <n v="0"/>
    <n v="1845.8074098565971"/>
    <n v="587.2482111699062"/>
  </r>
  <r>
    <s v="Regular"/>
    <x v="4"/>
    <x v="3"/>
    <x v="1"/>
    <x v="0"/>
    <x v="0"/>
    <x v="1"/>
    <x v="2"/>
    <x v="1"/>
    <n v="0"/>
    <n v="0"/>
    <n v="1.4"/>
    <n v="1.4"/>
    <n v="1.4"/>
    <n v="1.4"/>
    <n v="0"/>
    <x v="1"/>
    <n v="0"/>
    <n v="0"/>
    <n v="33"/>
    <n v="75"/>
    <n v="0"/>
    <n v="858.83"/>
    <n v="389.21"/>
    <m/>
    <n v="1111.2627392273312"/>
    <n v="353.55100010229148"/>
    <n v="0"/>
    <n v="1202.3620000000001"/>
    <n v="544.89399999999989"/>
    <n v="0"/>
    <n v="1555.7678349182636"/>
    <n v="494.97140014320803"/>
  </r>
  <r>
    <s v="Regular"/>
    <x v="4"/>
    <x v="3"/>
    <x v="1"/>
    <x v="0"/>
    <x v="0"/>
    <x v="1"/>
    <x v="2"/>
    <x v="2"/>
    <n v="0"/>
    <n v="0"/>
    <n v="1.401"/>
    <n v="1.401"/>
    <n v="1.401"/>
    <n v="1.401"/>
    <n v="0"/>
    <x v="1"/>
    <n v="0"/>
    <n v="0"/>
    <n v="33"/>
    <n v="75"/>
    <n v="0"/>
    <n v="858.83"/>
    <n v="389.21"/>
    <m/>
    <n v="1111.2627392273312"/>
    <n v="353.55100010229148"/>
    <n v="0"/>
    <n v="1203.22083"/>
    <n v="545.28320999999994"/>
    <n v="0"/>
    <n v="1556.879097657491"/>
    <n v="495.32495114331039"/>
  </r>
  <r>
    <s v="Regular"/>
    <x v="4"/>
    <x v="3"/>
    <x v="1"/>
    <x v="0"/>
    <x v="0"/>
    <x v="1"/>
    <x v="2"/>
    <x v="3"/>
    <n v="0"/>
    <n v="0"/>
    <n v="1.506"/>
    <n v="1.506"/>
    <n v="1.506"/>
    <n v="1.506"/>
    <n v="0"/>
    <x v="1"/>
    <n v="0"/>
    <n v="0"/>
    <n v="33"/>
    <n v="75"/>
    <n v="0"/>
    <n v="858.83"/>
    <n v="389.21"/>
    <m/>
    <n v="1111.2627392273312"/>
    <n v="353.55100010229148"/>
    <n v="0"/>
    <n v="1293.39798"/>
    <n v="586.15026"/>
    <n v="0"/>
    <n v="1673.5616852763608"/>
    <n v="532.44780615405102"/>
  </r>
  <r>
    <s v="Regular"/>
    <x v="4"/>
    <x v="3"/>
    <x v="1"/>
    <x v="0"/>
    <x v="0"/>
    <x v="1"/>
    <x v="2"/>
    <x v="4"/>
    <n v="0"/>
    <n v="0"/>
    <n v="1.865"/>
    <n v="1.865"/>
    <n v="1.865"/>
    <n v="1.865"/>
    <n v="0"/>
    <x v="1"/>
    <n v="0"/>
    <n v="0"/>
    <n v="33"/>
    <n v="75"/>
    <n v="0"/>
    <n v="858.83"/>
    <n v="389.21"/>
    <m/>
    <n v="1111.2627392273312"/>
    <n v="353.55100010229148"/>
    <n v="0"/>
    <n v="1601.71795"/>
    <n v="725.87664999999993"/>
    <n v="0"/>
    <n v="2072.5050086589727"/>
    <n v="659.37261519077356"/>
  </r>
  <r>
    <s v="Regular"/>
    <x v="4"/>
    <x v="3"/>
    <x v="1"/>
    <x v="0"/>
    <x v="0"/>
    <x v="1"/>
    <x v="2"/>
    <x v="5"/>
    <n v="0"/>
    <n v="0"/>
    <n v="1.996"/>
    <n v="1.996"/>
    <n v="1.996"/>
    <n v="1.996"/>
    <n v="0"/>
    <x v="1"/>
    <n v="0"/>
    <n v="0"/>
    <n v="33"/>
    <n v="75"/>
    <n v="0"/>
    <n v="858.83"/>
    <n v="389.21"/>
    <m/>
    <n v="1111.2627392273312"/>
    <n v="353.55100010229148"/>
    <n v="0"/>
    <n v="1714.22468"/>
    <n v="776.86315999999999"/>
    <n v="0"/>
    <n v="2218.0804274977531"/>
    <n v="705.68779620417376"/>
  </r>
  <r>
    <s v="Regular"/>
    <x v="4"/>
    <x v="3"/>
    <x v="1"/>
    <x v="0"/>
    <x v="0"/>
    <x v="1"/>
    <x v="2"/>
    <x v="6"/>
    <n v="0"/>
    <n v="0"/>
    <n v="2.5379999999999998"/>
    <n v="2.5379999999999998"/>
    <n v="2.5379999999999998"/>
    <n v="2.5379999999999998"/>
    <n v="0"/>
    <x v="1"/>
    <n v="0"/>
    <n v="0"/>
    <n v="33"/>
    <n v="75"/>
    <n v="0"/>
    <n v="858.83"/>
    <n v="389.21"/>
    <m/>
    <n v="1111.2627392273312"/>
    <n v="353.55100010229148"/>
    <n v="0"/>
    <n v="2179.71054"/>
    <n v="987.81497999999988"/>
    <n v="0"/>
    <n v="2820.3848321589662"/>
    <n v="897.31243825961576"/>
  </r>
  <r>
    <s v="Regular"/>
    <x v="4"/>
    <x v="3"/>
    <x v="1"/>
    <x v="0"/>
    <x v="0"/>
    <x v="1"/>
    <x v="2"/>
    <x v="7"/>
    <n v="0"/>
    <n v="0"/>
    <n v="1.871"/>
    <n v="1.871"/>
    <n v="1.871"/>
    <n v="1.871"/>
    <n v="0"/>
    <x v="1"/>
    <n v="0"/>
    <n v="0"/>
    <n v="33"/>
    <n v="75"/>
    <n v="0"/>
    <n v="858.83"/>
    <n v="389.21"/>
    <m/>
    <n v="1111.2627392273312"/>
    <n v="353.55100010229148"/>
    <n v="0"/>
    <n v="1606.87093"/>
    <n v="728.21190999999999"/>
    <n v="0"/>
    <n v="2079.1725850943367"/>
    <n v="661.49392119138736"/>
  </r>
  <r>
    <s v="Regular"/>
    <x v="4"/>
    <x v="3"/>
    <x v="1"/>
    <x v="0"/>
    <x v="0"/>
    <x v="1"/>
    <x v="2"/>
    <x v="8"/>
    <n v="0"/>
    <n v="0"/>
    <n v="1.47"/>
    <n v="1.47"/>
    <n v="1.47"/>
    <n v="1.47"/>
    <n v="0"/>
    <x v="1"/>
    <n v="0"/>
    <n v="0"/>
    <n v="33"/>
    <n v="75"/>
    <n v="0"/>
    <n v="858.83"/>
    <n v="389.21"/>
    <m/>
    <n v="1111.2627392273312"/>
    <n v="353.55100010229148"/>
    <n v="0"/>
    <n v="1262.4801"/>
    <n v="572.13869999999997"/>
    <n v="0"/>
    <n v="1633.5562266641768"/>
    <n v="519.71997015036845"/>
  </r>
  <r>
    <s v="Regular"/>
    <x v="4"/>
    <x v="3"/>
    <x v="1"/>
    <x v="0"/>
    <x v="0"/>
    <x v="1"/>
    <x v="2"/>
    <x v="9"/>
    <n v="0"/>
    <n v="0"/>
    <n v="1.9059999999999999"/>
    <n v="1.9059999999999999"/>
    <n v="1.9059999999999999"/>
    <n v="1.9059999999999999"/>
    <n v="0"/>
    <x v="1"/>
    <n v="0"/>
    <n v="0"/>
    <n v="33"/>
    <n v="75"/>
    <n v="0"/>
    <n v="858.83"/>
    <n v="389.21"/>
    <m/>
    <n v="1111.2627392273312"/>
    <n v="353.55100010229148"/>
    <n v="0"/>
    <n v="1636.9299800000001"/>
    <n v="741.83425999999997"/>
    <n v="0"/>
    <n v="2118.0667809672932"/>
    <n v="673.86820619496757"/>
  </r>
  <r>
    <s v="Regular"/>
    <x v="4"/>
    <x v="3"/>
    <x v="1"/>
    <x v="0"/>
    <x v="0"/>
    <x v="1"/>
    <x v="2"/>
    <x v="10"/>
    <n v="0"/>
    <n v="0"/>
    <n v="1.429"/>
    <n v="1.429"/>
    <n v="1.429"/>
    <n v="1.429"/>
    <n v="0"/>
    <x v="1"/>
    <n v="0"/>
    <n v="0"/>
    <n v="33"/>
    <n v="75"/>
    <n v="0"/>
    <n v="858.83"/>
    <n v="389.21"/>
    <m/>
    <n v="1111.2627392273312"/>
    <n v="353.55100010229148"/>
    <n v="0"/>
    <n v="1227.2680700000001"/>
    <n v="556.18109000000004"/>
    <n v="0"/>
    <n v="1587.9944543558563"/>
    <n v="505.22437914617456"/>
  </r>
  <r>
    <s v="PROJETADO"/>
    <x v="4"/>
    <x v="3"/>
    <x v="1"/>
    <x v="0"/>
    <x v="0"/>
    <x v="1"/>
    <x v="2"/>
    <x v="11"/>
    <n v="0"/>
    <n v="0"/>
    <n v="1.429"/>
    <n v="1.429"/>
    <n v="1.429"/>
    <n v="1.429"/>
    <n v="0"/>
    <x v="1"/>
    <n v="0"/>
    <n v="0"/>
    <n v="33"/>
    <n v="75"/>
    <n v="0"/>
    <n v="858.83"/>
    <n v="389.21"/>
    <m/>
    <n v="1111.2627392273312"/>
    <n v="353.55100010229148"/>
    <n v="0"/>
    <n v="1227.2680700000001"/>
    <n v="556.18109000000004"/>
    <n v="0"/>
    <n v="1587.9944543558563"/>
    <n v="505.22437914617456"/>
  </r>
  <r>
    <s v="Regular"/>
    <x v="4"/>
    <x v="4"/>
    <x v="1"/>
    <x v="0"/>
    <x v="0"/>
    <x v="1"/>
    <x v="0"/>
    <x v="0"/>
    <n v="0"/>
    <n v="0"/>
    <n v="1496.1780000000001"/>
    <n v="1496.1780000000001"/>
    <n v="1496.1780000000001"/>
    <n v="1496.1780000000001"/>
    <n v="3511"/>
    <x v="1"/>
    <n v="0"/>
    <n v="0"/>
    <n v="34"/>
    <n v="80"/>
    <n v="0"/>
    <n v="324.5"/>
    <n v="258.20999999999998"/>
    <m/>
    <n v="330.1561966420345"/>
    <n v="230.58259134858577"/>
    <n v="0"/>
    <n v="485509.76100000006"/>
    <n v="386328.12138000003"/>
    <n v="0"/>
    <n v="493972.43797948596"/>
    <n v="344992.60035874438"/>
  </r>
  <r>
    <s v="Refaturamento - Regular"/>
    <x v="4"/>
    <x v="4"/>
    <x v="1"/>
    <x v="0"/>
    <x v="0"/>
    <x v="1"/>
    <x v="0"/>
    <x v="0"/>
    <n v="0"/>
    <n v="0"/>
    <n v="4.2000000000000003E-2"/>
    <n v="4.2000000000000003E-2"/>
    <n v="4.2000000000000003E-2"/>
    <n v="4.2000000000000003E-2"/>
    <n v="0"/>
    <x v="1"/>
    <n v="0"/>
    <n v="0"/>
    <n v="34"/>
    <n v="80"/>
    <n v="0"/>
    <n v="324.5"/>
    <n v="258.20999999999998"/>
    <m/>
    <n v="330.1561966420345"/>
    <n v="230.58259134858577"/>
    <n v="0"/>
    <n v="13.629000000000001"/>
    <n v="10.84482"/>
    <n v="0"/>
    <n v="13.86656025896545"/>
    <n v="9.6844688366406029"/>
  </r>
  <r>
    <s v="Regular"/>
    <x v="4"/>
    <x v="4"/>
    <x v="1"/>
    <x v="0"/>
    <x v="0"/>
    <x v="1"/>
    <x v="0"/>
    <x v="1"/>
    <n v="0"/>
    <n v="0"/>
    <n v="1480.2719999999999"/>
    <n v="1480.2719999999999"/>
    <n v="1480.2719999999999"/>
    <n v="1480.2719999999999"/>
    <n v="3497"/>
    <x v="1"/>
    <n v="0"/>
    <n v="0"/>
    <n v="34"/>
    <n v="80"/>
    <n v="0"/>
    <n v="324.5"/>
    <n v="258.20999999999998"/>
    <m/>
    <n v="330.1561966420345"/>
    <n v="230.58259134858577"/>
    <n v="0"/>
    <n v="480348.26399999997"/>
    <n v="382221.03311999998"/>
    <n v="0"/>
    <n v="488720.9735156977"/>
    <n v="341324.95366075373"/>
  </r>
  <r>
    <s v="Refaturamento - Regular"/>
    <x v="4"/>
    <x v="4"/>
    <x v="1"/>
    <x v="0"/>
    <x v="0"/>
    <x v="1"/>
    <x v="0"/>
    <x v="1"/>
    <n v="0"/>
    <n v="0"/>
    <n v="-6.6000000000000003E-2"/>
    <n v="-6.6000000000000003E-2"/>
    <n v="-6.6000000000000003E-2"/>
    <n v="-6.6000000000000003E-2"/>
    <n v="0"/>
    <x v="1"/>
    <n v="0"/>
    <n v="0"/>
    <n v="34"/>
    <n v="80"/>
    <n v="0"/>
    <n v="324.5"/>
    <n v="258.20999999999998"/>
    <m/>
    <n v="330.1561966420345"/>
    <n v="230.58259134858577"/>
    <n v="0"/>
    <n v="-21.417000000000002"/>
    <n v="-17.04186"/>
    <n v="0"/>
    <n v="-21.790308978374277"/>
    <n v="-15.218451029006662"/>
  </r>
  <r>
    <s v="Sistema de Compensação"/>
    <x v="4"/>
    <x v="4"/>
    <x v="1"/>
    <x v="0"/>
    <x v="0"/>
    <x v="1"/>
    <x v="0"/>
    <x v="1"/>
    <n v="0"/>
    <n v="0"/>
    <n v="98.412000000000006"/>
    <n v="98.412000000000006"/>
    <n v="98.412000000000006"/>
    <n v="98.412000000000006"/>
    <n v="263"/>
    <x v="1"/>
    <n v="0"/>
    <n v="0"/>
    <n v="34"/>
    <n v="80"/>
    <n v="0"/>
    <n v="324.5"/>
    <n v="258.20999999999998"/>
    <m/>
    <n v="330.1561966420345"/>
    <n v="230.58259134858577"/>
    <n v="0"/>
    <n v="31934.694000000003"/>
    <n v="25410.962520000001"/>
    <n v="0"/>
    <n v="32491.331623935901"/>
    <n v="22692.093979797024"/>
  </r>
  <r>
    <s v="Regular"/>
    <x v="4"/>
    <x v="4"/>
    <x v="1"/>
    <x v="0"/>
    <x v="0"/>
    <x v="1"/>
    <x v="0"/>
    <x v="2"/>
    <n v="0"/>
    <n v="0"/>
    <n v="1433.048"/>
    <n v="1433.048"/>
    <n v="1433.048"/>
    <n v="1433.048"/>
    <n v="3490"/>
    <x v="1"/>
    <n v="0"/>
    <n v="0"/>
    <n v="34"/>
    <n v="80"/>
    <n v="0"/>
    <n v="324.5"/>
    <n v="258.20999999999998"/>
    <m/>
    <n v="330.1561966420345"/>
    <n v="230.58259134858577"/>
    <n v="0"/>
    <n v="465024.076"/>
    <n v="370027.32407999999"/>
    <n v="0"/>
    <n v="473129.67728547426"/>
    <n v="330435.92136690812"/>
  </r>
  <r>
    <s v="Refaturamento - Regular"/>
    <x v="4"/>
    <x v="4"/>
    <x v="1"/>
    <x v="0"/>
    <x v="0"/>
    <x v="1"/>
    <x v="0"/>
    <x v="2"/>
    <n v="0"/>
    <n v="0"/>
    <n v="-3.03"/>
    <n v="-3.03"/>
    <n v="-3.03"/>
    <n v="-3.03"/>
    <n v="0"/>
    <x v="1"/>
    <n v="0"/>
    <n v="0"/>
    <n v="34"/>
    <n v="80"/>
    <n v="0"/>
    <n v="324.5"/>
    <n v="258.20999999999998"/>
    <m/>
    <n v="330.1561966420345"/>
    <n v="230.58259134858577"/>
    <n v="0"/>
    <n v="-983.2349999999999"/>
    <n v="-782.3762999999999"/>
    <n v="0"/>
    <n v="-1000.3732758253644"/>
    <n v="-698.66525178621487"/>
  </r>
  <r>
    <s v="Sistema de Compensação"/>
    <x v="4"/>
    <x v="4"/>
    <x v="1"/>
    <x v="0"/>
    <x v="0"/>
    <x v="1"/>
    <x v="0"/>
    <x v="2"/>
    <n v="0"/>
    <n v="0"/>
    <n v="102.071"/>
    <n v="102.071"/>
    <n v="102.071"/>
    <n v="102.071"/>
    <n v="279"/>
    <x v="1"/>
    <n v="0"/>
    <n v="0"/>
    <n v="34"/>
    <n v="80"/>
    <n v="0"/>
    <n v="324.5"/>
    <n v="258.20999999999998"/>
    <m/>
    <n v="330.1561966420345"/>
    <n v="230.58259134858577"/>
    <n v="0"/>
    <n v="33122.039499999999"/>
    <n v="26355.752909999996"/>
    <n v="0"/>
    <n v="33699.3731474491"/>
    <n v="23535.795681541498"/>
  </r>
  <r>
    <s v="Sistema de Compensação"/>
    <x v="4"/>
    <x v="4"/>
    <x v="1"/>
    <x v="0"/>
    <x v="0"/>
    <x v="1"/>
    <x v="0"/>
    <x v="2"/>
    <n v="0"/>
    <n v="0"/>
    <n v="0.997"/>
    <n v="0.997"/>
    <n v="0.997"/>
    <n v="0.997"/>
    <n v="1"/>
    <x v="1"/>
    <n v="0"/>
    <n v="0"/>
    <n v="34"/>
    <n v="80"/>
    <n v="0"/>
    <n v="324.5"/>
    <n v="258.20999999999998"/>
    <m/>
    <n v="330.1561966420345"/>
    <n v="230.58259134858577"/>
    <n v="0"/>
    <n v="323.5265"/>
    <n v="257.43536999999998"/>
    <n v="0"/>
    <n v="329.16572805210842"/>
    <n v="229.89084357454001"/>
  </r>
  <r>
    <s v="Regular"/>
    <x v="4"/>
    <x v="4"/>
    <x v="1"/>
    <x v="0"/>
    <x v="0"/>
    <x v="1"/>
    <x v="0"/>
    <x v="3"/>
    <n v="0"/>
    <n v="0"/>
    <n v="1456.4770000000001"/>
    <n v="1456.4770000000001"/>
    <n v="1456.4770000000001"/>
    <n v="1456.4770000000001"/>
    <n v="3478"/>
    <x v="1"/>
    <n v="0"/>
    <n v="0"/>
    <n v="34"/>
    <n v="80"/>
    <n v="0"/>
    <n v="324.5"/>
    <n v="258.20999999999998"/>
    <m/>
    <n v="330.1561966420345"/>
    <n v="230.58259134858577"/>
    <n v="0"/>
    <n v="472626.78650000005"/>
    <n v="376076.92616999999"/>
    <n v="0"/>
    <n v="480864.90681660053"/>
    <n v="335838.24089961417"/>
  </r>
  <r>
    <s v="Refaturamento - Regular"/>
    <x v="4"/>
    <x v="4"/>
    <x v="1"/>
    <x v="0"/>
    <x v="0"/>
    <x v="1"/>
    <x v="0"/>
    <x v="3"/>
    <n v="0"/>
    <n v="0"/>
    <n v="-11.048999999999999"/>
    <n v="-11.048999999999999"/>
    <n v="-11.048999999999999"/>
    <n v="-11.048999999999999"/>
    <n v="0"/>
    <x v="1"/>
    <n v="0"/>
    <n v="0"/>
    <n v="34"/>
    <n v="80"/>
    <n v="0"/>
    <n v="324.5"/>
    <n v="258.20999999999998"/>
    <m/>
    <n v="330.1561966420345"/>
    <n v="230.58259134858577"/>
    <n v="0"/>
    <n v="-3585.4004999999997"/>
    <n v="-2852.9622899999995"/>
    <n v="0"/>
    <n v="-3647.8958166978391"/>
    <n v="-2547.7070518105238"/>
  </r>
  <r>
    <s v="Sistema de Compensação"/>
    <x v="4"/>
    <x v="4"/>
    <x v="1"/>
    <x v="0"/>
    <x v="0"/>
    <x v="1"/>
    <x v="0"/>
    <x v="3"/>
    <n v="0"/>
    <n v="0"/>
    <n v="94.376000000000005"/>
    <n v="94.376000000000005"/>
    <n v="94.376000000000005"/>
    <n v="94.376000000000005"/>
    <n v="289"/>
    <x v="1"/>
    <n v="0"/>
    <n v="0"/>
    <n v="34"/>
    <n v="80"/>
    <n v="0"/>
    <n v="324.5"/>
    <n v="258.20999999999998"/>
    <m/>
    <n v="330.1561966420345"/>
    <n v="230.58259134858577"/>
    <n v="0"/>
    <n v="30625.012000000002"/>
    <n v="24368.826959999999"/>
    <n v="0"/>
    <n v="31158.821214288651"/>
    <n v="21761.462641114133"/>
  </r>
  <r>
    <s v="Regular"/>
    <x v="4"/>
    <x v="4"/>
    <x v="1"/>
    <x v="0"/>
    <x v="0"/>
    <x v="1"/>
    <x v="0"/>
    <x v="4"/>
    <n v="0"/>
    <n v="0"/>
    <n v="1624.27"/>
    <n v="1624.27"/>
    <n v="1624.27"/>
    <n v="1624.27"/>
    <n v="3459"/>
    <x v="1"/>
    <n v="0"/>
    <n v="0"/>
    <n v="34"/>
    <n v="80"/>
    <n v="0"/>
    <n v="324.5"/>
    <n v="258.20999999999998"/>
    <m/>
    <n v="330.1561966420345"/>
    <n v="230.58259134858577"/>
    <n v="0"/>
    <n v="527075.61499999999"/>
    <n v="419402.75669999997"/>
    <n v="0"/>
    <n v="536262.80551975733"/>
    <n v="374528.38564976741"/>
  </r>
  <r>
    <s v="Refaturamento - Regular"/>
    <x v="4"/>
    <x v="4"/>
    <x v="1"/>
    <x v="0"/>
    <x v="0"/>
    <x v="1"/>
    <x v="0"/>
    <x v="4"/>
    <n v="0"/>
    <n v="0"/>
    <n v="-7.5990000000000002"/>
    <n v="-7.5990000000000002"/>
    <n v="-7.5990000000000002"/>
    <n v="-7.5990000000000002"/>
    <n v="0"/>
    <x v="1"/>
    <n v="0"/>
    <n v="0"/>
    <n v="34"/>
    <n v="80"/>
    <n v="0"/>
    <n v="324.5"/>
    <n v="258.20999999999998"/>
    <m/>
    <n v="330.1561966420345"/>
    <n v="230.58259134858577"/>
    <n v="0"/>
    <n v="-2465.8755000000001"/>
    <n v="-1962.13779"/>
    <n v="0"/>
    <n v="-2508.8569382828205"/>
    <n v="-1752.1971116579032"/>
  </r>
  <r>
    <s v="Sistema de Compensação"/>
    <x v="4"/>
    <x v="4"/>
    <x v="1"/>
    <x v="0"/>
    <x v="0"/>
    <x v="1"/>
    <x v="0"/>
    <x v="4"/>
    <n v="0"/>
    <n v="0"/>
    <n v="91.132999999999996"/>
    <n v="91.132999999999996"/>
    <n v="91.132999999999996"/>
    <n v="91.132999999999996"/>
    <n v="308"/>
    <x v="1"/>
    <n v="0"/>
    <n v="0"/>
    <n v="34"/>
    <n v="80"/>
    <n v="0"/>
    <n v="324.5"/>
    <n v="258.20999999999998"/>
    <m/>
    <n v="330.1561966420345"/>
    <n v="230.58259134858577"/>
    <n v="0"/>
    <n v="29572.658499999998"/>
    <n v="23531.451929999996"/>
    <n v="0"/>
    <n v="30088.12466857853"/>
    <n v="21013.683297370666"/>
  </r>
  <r>
    <s v="Regular"/>
    <x v="4"/>
    <x v="4"/>
    <x v="1"/>
    <x v="0"/>
    <x v="0"/>
    <x v="1"/>
    <x v="0"/>
    <x v="5"/>
    <n v="0"/>
    <n v="0"/>
    <n v="1704.2360000000001"/>
    <n v="1704.2360000000001"/>
    <n v="1704.2360000000001"/>
    <n v="1704.2360000000001"/>
    <n v="3467"/>
    <x v="1"/>
    <n v="0"/>
    <n v="0"/>
    <n v="34"/>
    <n v="80"/>
    <n v="0"/>
    <n v="324.5"/>
    <n v="258.20999999999998"/>
    <m/>
    <n v="330.1561966420345"/>
    <n v="230.58259134858577"/>
    <n v="0"/>
    <n v="553024.58200000005"/>
    <n v="440050.77756000002"/>
    <n v="0"/>
    <n v="562664.07594043436"/>
    <n v="392967.15314954845"/>
  </r>
  <r>
    <s v="Refaturamento - Regular"/>
    <x v="4"/>
    <x v="4"/>
    <x v="1"/>
    <x v="0"/>
    <x v="0"/>
    <x v="1"/>
    <x v="0"/>
    <x v="5"/>
    <n v="0"/>
    <n v="0"/>
    <n v="-211.714"/>
    <n v="-211.714"/>
    <n v="-211.714"/>
    <n v="-211.714"/>
    <n v="0"/>
    <x v="1"/>
    <n v="0"/>
    <n v="0"/>
    <n v="34"/>
    <n v="80"/>
    <n v="0"/>
    <n v="324.5"/>
    <n v="258.20999999999998"/>
    <m/>
    <n v="330.1561966420345"/>
    <n v="230.58259134858577"/>
    <n v="0"/>
    <n v="-68701.192999999999"/>
    <n v="-54666.671939999993"/>
    <n v="0"/>
    <n v="-69898.689015871685"/>
    <n v="-48817.562744774485"/>
  </r>
  <r>
    <s v="Sistema de Compensação"/>
    <x v="4"/>
    <x v="4"/>
    <x v="1"/>
    <x v="0"/>
    <x v="0"/>
    <x v="1"/>
    <x v="0"/>
    <x v="5"/>
    <n v="0"/>
    <n v="0"/>
    <n v="120.959"/>
    <n v="120.959"/>
    <n v="120.959"/>
    <n v="120.959"/>
    <n v="330"/>
    <x v="1"/>
    <n v="0"/>
    <n v="0"/>
    <n v="34"/>
    <n v="80"/>
    <n v="0"/>
    <n v="324.5"/>
    <n v="258.20999999999998"/>
    <m/>
    <n v="330.1561966420345"/>
    <n v="230.58259134858577"/>
    <n v="0"/>
    <n v="39251.195500000002"/>
    <n v="31232.823389999998"/>
    <n v="0"/>
    <n v="39935.363389623853"/>
    <n v="27891.039666933586"/>
  </r>
  <r>
    <s v="Sistema de Compensação"/>
    <x v="4"/>
    <x v="4"/>
    <x v="1"/>
    <x v="0"/>
    <x v="0"/>
    <x v="1"/>
    <x v="0"/>
    <x v="5"/>
    <n v="0"/>
    <n v="0"/>
    <n v="0.1"/>
    <n v="0.1"/>
    <n v="0.1"/>
    <n v="0.1"/>
    <n v="1"/>
    <x v="1"/>
    <n v="0"/>
    <n v="0"/>
    <n v="34"/>
    <n v="80"/>
    <n v="0"/>
    <n v="324.5"/>
    <n v="258.20999999999998"/>
    <m/>
    <n v="330.1561966420345"/>
    <n v="230.58259134858577"/>
    <n v="0"/>
    <n v="32.450000000000003"/>
    <n v="25.820999999999998"/>
    <n v="0"/>
    <n v="33.015619664203449"/>
    <n v="23.058259134858577"/>
  </r>
  <r>
    <s v="Regular"/>
    <x v="4"/>
    <x v="4"/>
    <x v="1"/>
    <x v="0"/>
    <x v="0"/>
    <x v="1"/>
    <x v="0"/>
    <x v="6"/>
    <n v="0"/>
    <n v="0"/>
    <n v="1899.3979999999999"/>
    <n v="1899.3979999999999"/>
    <n v="1899.3979999999999"/>
    <n v="1899.3979999999999"/>
    <n v="3426"/>
    <x v="1"/>
    <n v="0"/>
    <n v="0"/>
    <n v="34"/>
    <n v="80"/>
    <n v="0"/>
    <n v="324.5"/>
    <n v="258.20999999999998"/>
    <m/>
    <n v="330.1561966420345"/>
    <n v="230.58259134858577"/>
    <n v="0"/>
    <n v="616354.65099999995"/>
    <n v="490443.55757999996"/>
    <n v="0"/>
    <n v="627098.019589487"/>
    <n v="437968.1128423211"/>
  </r>
  <r>
    <s v="Refaturamento - Regular"/>
    <x v="4"/>
    <x v="4"/>
    <x v="1"/>
    <x v="0"/>
    <x v="0"/>
    <x v="1"/>
    <x v="0"/>
    <x v="6"/>
    <n v="0"/>
    <n v="0"/>
    <n v="-0.47399999999999998"/>
    <n v="-0.47399999999999998"/>
    <n v="-0.47399999999999998"/>
    <n v="-0.47399999999999998"/>
    <n v="0"/>
    <x v="1"/>
    <n v="0"/>
    <n v="0"/>
    <n v="34"/>
    <n v="80"/>
    <n v="0"/>
    <n v="324.5"/>
    <n v="258.20999999999998"/>
    <m/>
    <n v="330.1561966420345"/>
    <n v="230.58259134858577"/>
    <n v="0"/>
    <n v="-153.81299999999999"/>
    <n v="-122.39153999999998"/>
    <n v="0"/>
    <n v="-156.49403720832436"/>
    <n v="-109.29614829922964"/>
  </r>
  <r>
    <s v="Sistema de Compensação"/>
    <x v="4"/>
    <x v="4"/>
    <x v="1"/>
    <x v="0"/>
    <x v="0"/>
    <x v="1"/>
    <x v="0"/>
    <x v="6"/>
    <n v="0"/>
    <n v="0"/>
    <n v="115.46"/>
    <n v="115.46"/>
    <n v="115.46"/>
    <n v="115.46"/>
    <n v="344"/>
    <x v="1"/>
    <n v="0"/>
    <n v="0"/>
    <n v="34"/>
    <n v="80"/>
    <n v="0"/>
    <n v="324.5"/>
    <n v="258.20999999999998"/>
    <m/>
    <n v="330.1561966420345"/>
    <n v="230.58259134858577"/>
    <n v="0"/>
    <n v="37466.769999999997"/>
    <n v="29812.926599999995"/>
    <n v="0"/>
    <n v="38119.834464289299"/>
    <n v="26623.065997107711"/>
  </r>
  <r>
    <s v="Sistema de Compensação"/>
    <x v="4"/>
    <x v="4"/>
    <x v="1"/>
    <x v="0"/>
    <x v="0"/>
    <x v="1"/>
    <x v="0"/>
    <x v="6"/>
    <n v="0"/>
    <n v="0"/>
    <n v="0.1"/>
    <n v="0.1"/>
    <n v="0.1"/>
    <n v="0.1"/>
    <n v="1"/>
    <x v="1"/>
    <n v="0"/>
    <n v="0"/>
    <n v="34"/>
    <n v="80"/>
    <n v="0"/>
    <n v="324.5"/>
    <n v="258.20999999999998"/>
    <m/>
    <n v="330.1561966420345"/>
    <n v="230.58259134858577"/>
    <n v="0"/>
    <n v="32.450000000000003"/>
    <n v="25.820999999999998"/>
    <n v="0"/>
    <n v="33.015619664203449"/>
    <n v="23.058259134858577"/>
  </r>
  <r>
    <s v="Regular"/>
    <x v="4"/>
    <x v="4"/>
    <x v="1"/>
    <x v="0"/>
    <x v="0"/>
    <x v="1"/>
    <x v="0"/>
    <x v="7"/>
    <n v="0"/>
    <n v="0"/>
    <n v="1757.3530000000001"/>
    <n v="1757.3530000000001"/>
    <n v="1757.3530000000001"/>
    <n v="1757.3530000000001"/>
    <n v="3403"/>
    <x v="1"/>
    <n v="0"/>
    <n v="0"/>
    <n v="34"/>
    <n v="80"/>
    <n v="0"/>
    <n v="324.5"/>
    <n v="258.20999999999998"/>
    <m/>
    <n v="330.1561966420345"/>
    <n v="230.58259134858577"/>
    <n v="0"/>
    <n v="570261.04850000003"/>
    <n v="453766.11812999996"/>
    <n v="0"/>
    <n v="580200.98263746931"/>
    <n v="405215.00865421124"/>
  </r>
  <r>
    <s v="Refaturamento - Regular"/>
    <x v="4"/>
    <x v="4"/>
    <x v="1"/>
    <x v="0"/>
    <x v="0"/>
    <x v="1"/>
    <x v="0"/>
    <x v="7"/>
    <n v="0"/>
    <n v="0"/>
    <n v="-1.524"/>
    <n v="-1.524"/>
    <n v="-1.524"/>
    <n v="-1.524"/>
    <n v="0"/>
    <x v="1"/>
    <n v="0"/>
    <n v="0"/>
    <n v="34"/>
    <n v="80"/>
    <n v="0"/>
    <n v="324.5"/>
    <n v="258.20999999999998"/>
    <m/>
    <n v="330.1561966420345"/>
    <n v="230.58259134858577"/>
    <n v="0"/>
    <n v="-494.53800000000001"/>
    <n v="-393.51203999999996"/>
    <n v="0"/>
    <n v="-503.15804368246057"/>
    <n v="-351.40786921524472"/>
  </r>
  <r>
    <s v="Sistema de Compensação"/>
    <x v="4"/>
    <x v="4"/>
    <x v="1"/>
    <x v="0"/>
    <x v="0"/>
    <x v="1"/>
    <x v="0"/>
    <x v="7"/>
    <n v="0"/>
    <n v="0"/>
    <n v="138.67599999999999"/>
    <n v="138.67599999999999"/>
    <n v="138.67599999999999"/>
    <n v="138.67599999999999"/>
    <n v="364"/>
    <x v="1"/>
    <n v="0"/>
    <n v="0"/>
    <n v="34"/>
    <n v="80"/>
    <n v="0"/>
    <n v="324.5"/>
    <n v="258.20999999999998"/>
    <m/>
    <n v="330.1561966420345"/>
    <n v="230.58259134858577"/>
    <n v="0"/>
    <n v="45000.361999999994"/>
    <n v="35807.529959999993"/>
    <n v="0"/>
    <n v="45784.74072553077"/>
    <n v="31976.271437856478"/>
  </r>
  <r>
    <s v="Regular"/>
    <x v="4"/>
    <x v="4"/>
    <x v="1"/>
    <x v="0"/>
    <x v="0"/>
    <x v="1"/>
    <x v="0"/>
    <x v="8"/>
    <n v="0"/>
    <n v="0"/>
    <n v="1864.232"/>
    <n v="1864.232"/>
    <n v="1864.232"/>
    <n v="1864.232"/>
    <n v="3405"/>
    <x v="1"/>
    <n v="0"/>
    <n v="0"/>
    <n v="34"/>
    <n v="80"/>
    <n v="0"/>
    <n v="324.5"/>
    <n v="258.20999999999998"/>
    <m/>
    <n v="330.1561966420345"/>
    <n v="230.58259134858577"/>
    <n v="0"/>
    <n v="604943.28399999999"/>
    <n v="481363.34471999994"/>
    <n v="0"/>
    <n v="615487.74677837326"/>
    <n v="429859.44543495675"/>
  </r>
  <r>
    <s v="Refaturamento - Regular"/>
    <x v="4"/>
    <x v="4"/>
    <x v="1"/>
    <x v="0"/>
    <x v="0"/>
    <x v="1"/>
    <x v="0"/>
    <x v="8"/>
    <n v="0"/>
    <n v="0"/>
    <n v="-0.33700000000000002"/>
    <n v="-0.33700000000000002"/>
    <n v="-0.33700000000000002"/>
    <n v="-0.33700000000000002"/>
    <n v="0"/>
    <x v="1"/>
    <n v="0"/>
    <n v="0"/>
    <n v="34"/>
    <n v="80"/>
    <n v="0"/>
    <n v="324.5"/>
    <n v="258.20999999999998"/>
    <m/>
    <n v="330.1561966420345"/>
    <n v="230.58259134858577"/>
    <n v="0"/>
    <n v="-109.35650000000001"/>
    <n v="-87.016769999999994"/>
    <n v="0"/>
    <n v="-111.26263826836563"/>
    <n v="-77.706333284473402"/>
  </r>
  <r>
    <s v="Sistema de Compensação"/>
    <x v="4"/>
    <x v="4"/>
    <x v="1"/>
    <x v="0"/>
    <x v="0"/>
    <x v="1"/>
    <x v="0"/>
    <x v="8"/>
    <n v="0"/>
    <n v="0"/>
    <n v="162.666"/>
    <n v="162.666"/>
    <n v="162.666"/>
    <n v="162.666"/>
    <n v="373"/>
    <x v="1"/>
    <n v="0"/>
    <n v="0"/>
    <n v="34"/>
    <n v="80"/>
    <n v="0"/>
    <n v="324.5"/>
    <n v="258.20999999999998"/>
    <m/>
    <n v="330.1561966420345"/>
    <n v="230.58259134858577"/>
    <n v="0"/>
    <n v="52785.116999999998"/>
    <n v="42001.987859999994"/>
    <n v="0"/>
    <n v="53705.187882973187"/>
    <n v="37507.947804309049"/>
  </r>
  <r>
    <s v="Sistema de Compensação"/>
    <x v="4"/>
    <x v="4"/>
    <x v="1"/>
    <x v="0"/>
    <x v="0"/>
    <x v="1"/>
    <x v="0"/>
    <x v="8"/>
    <n v="0"/>
    <n v="0"/>
    <n v="-1.3220000000000001"/>
    <n v="-1.3220000000000001"/>
    <n v="-1.3220000000000001"/>
    <n v="-1.3220000000000001"/>
    <n v="8"/>
    <x v="1"/>
    <n v="0"/>
    <n v="0"/>
    <n v="34"/>
    <n v="80"/>
    <n v="0"/>
    <n v="324.5"/>
    <n v="258.20999999999998"/>
    <m/>
    <n v="330.1561966420345"/>
    <n v="230.58259134858577"/>
    <n v="0"/>
    <n v="-428.98900000000003"/>
    <n v="-341.35361999999998"/>
    <n v="0"/>
    <n v="-436.46649196076964"/>
    <n v="-304.83018576283041"/>
  </r>
  <r>
    <s v="Regular"/>
    <x v="4"/>
    <x v="4"/>
    <x v="1"/>
    <x v="0"/>
    <x v="0"/>
    <x v="1"/>
    <x v="0"/>
    <x v="9"/>
    <n v="0"/>
    <n v="0"/>
    <n v="1404.752"/>
    <n v="1404.752"/>
    <n v="1404.752"/>
    <n v="1404.752"/>
    <n v="3393"/>
    <x v="1"/>
    <n v="0"/>
    <n v="0"/>
    <n v="34"/>
    <n v="80"/>
    <n v="0"/>
    <n v="324.5"/>
    <n v="258.20999999999998"/>
    <m/>
    <n v="330.1561966420345"/>
    <n v="230.58259134858577"/>
    <n v="0"/>
    <n v="455842.02399999998"/>
    <n v="362721.01391999994"/>
    <n v="0"/>
    <n v="463787.57754529122"/>
    <n v="323911.35636210855"/>
  </r>
  <r>
    <s v="Refaturamento - Regular"/>
    <x v="4"/>
    <x v="4"/>
    <x v="1"/>
    <x v="0"/>
    <x v="0"/>
    <x v="1"/>
    <x v="0"/>
    <x v="9"/>
    <n v="0"/>
    <n v="0"/>
    <n v="-2.246"/>
    <n v="-2.246"/>
    <n v="-2.246"/>
    <n v="-2.246"/>
    <n v="0"/>
    <x v="1"/>
    <n v="0"/>
    <n v="0"/>
    <n v="34"/>
    <n v="80"/>
    <n v="0"/>
    <n v="324.5"/>
    <n v="258.20999999999998"/>
    <m/>
    <n v="330.1561966420345"/>
    <n v="230.58259134858577"/>
    <n v="0"/>
    <n v="-728.827"/>
    <n v="-579.93966"/>
    <n v="0"/>
    <n v="-741.53081765800948"/>
    <n v="-517.88850016892366"/>
  </r>
  <r>
    <s v="Sistema de Compensação"/>
    <x v="4"/>
    <x v="4"/>
    <x v="1"/>
    <x v="0"/>
    <x v="0"/>
    <x v="1"/>
    <x v="0"/>
    <x v="9"/>
    <n v="0"/>
    <n v="0"/>
    <n v="141.43"/>
    <n v="141.43"/>
    <n v="141.43"/>
    <n v="141.43"/>
    <n v="376"/>
    <x v="1"/>
    <n v="0"/>
    <n v="0"/>
    <n v="34"/>
    <n v="80"/>
    <n v="0"/>
    <n v="324.5"/>
    <n v="258.20999999999998"/>
    <m/>
    <n v="330.1561966420345"/>
    <n v="230.58259134858577"/>
    <n v="0"/>
    <n v="45894.035000000003"/>
    <n v="36518.640299999999"/>
    <n v="0"/>
    <n v="46693.99089108294"/>
    <n v="32611.295894430485"/>
  </r>
  <r>
    <s v="Sistema de Compensação"/>
    <x v="4"/>
    <x v="4"/>
    <x v="1"/>
    <x v="0"/>
    <x v="0"/>
    <x v="1"/>
    <x v="0"/>
    <x v="9"/>
    <n v="0"/>
    <n v="0"/>
    <n v="9.5510000000000002"/>
    <n v="9.5510000000000002"/>
    <n v="9.5510000000000002"/>
    <n v="9.5510000000000002"/>
    <n v="11"/>
    <x v="1"/>
    <n v="0"/>
    <n v="0"/>
    <n v="34"/>
    <n v="80"/>
    <n v="0"/>
    <n v="324.5"/>
    <n v="258.20999999999998"/>
    <m/>
    <n v="330.1561966420345"/>
    <n v="230.58259134858577"/>
    <n v="0"/>
    <n v="3099.2995000000001"/>
    <n v="2466.1637099999998"/>
    <n v="0"/>
    <n v="3153.3218341280717"/>
    <n v="2202.2943299703425"/>
  </r>
  <r>
    <s v="Regular"/>
    <x v="4"/>
    <x v="4"/>
    <x v="1"/>
    <x v="0"/>
    <x v="0"/>
    <x v="1"/>
    <x v="0"/>
    <x v="10"/>
    <n v="0"/>
    <n v="0"/>
    <n v="1289.569"/>
    <n v="1289.569"/>
    <n v="1289.569"/>
    <n v="1289.569"/>
    <n v="3370"/>
    <x v="1"/>
    <n v="0"/>
    <n v="0"/>
    <n v="34"/>
    <n v="80"/>
    <n v="0"/>
    <n v="324.5"/>
    <n v="258.20999999999998"/>
    <m/>
    <n v="330.1561966420345"/>
    <n v="230.58259134858577"/>
    <n v="0"/>
    <n v="418465.14049999998"/>
    <n v="332979.61148999998"/>
    <n v="0"/>
    <n v="425759.19634747179"/>
    <n v="297352.1617428044"/>
  </r>
  <r>
    <s v="Sistema de Compensação"/>
    <x v="4"/>
    <x v="4"/>
    <x v="1"/>
    <x v="0"/>
    <x v="0"/>
    <x v="1"/>
    <x v="0"/>
    <x v="10"/>
    <n v="0"/>
    <n v="0"/>
    <n v="159.91200000000001"/>
    <n v="159.91200000000001"/>
    <n v="159.91200000000001"/>
    <n v="159.91200000000001"/>
    <n v="405"/>
    <x v="1"/>
    <n v="0"/>
    <n v="0"/>
    <n v="34"/>
    <n v="80"/>
    <n v="0"/>
    <n v="324.5"/>
    <n v="258.20999999999998"/>
    <m/>
    <n v="330.1561966420345"/>
    <n v="230.58259134858577"/>
    <n v="0"/>
    <n v="51891.444000000003"/>
    <n v="41290.877520000002"/>
    <n v="0"/>
    <n v="52795.937717421024"/>
    <n v="36872.92334773505"/>
  </r>
  <r>
    <s v="PROJETADO"/>
    <x v="4"/>
    <x v="4"/>
    <x v="1"/>
    <x v="0"/>
    <x v="0"/>
    <x v="1"/>
    <x v="0"/>
    <x v="11"/>
    <n v="0"/>
    <n v="0"/>
    <n v="1289.569"/>
    <n v="1289.569"/>
    <n v="1289.569"/>
    <n v="1289.569"/>
    <n v="3370"/>
    <x v="1"/>
    <n v="0"/>
    <n v="0"/>
    <n v="34"/>
    <n v="80"/>
    <n v="0"/>
    <n v="324.5"/>
    <n v="258.20999999999998"/>
    <m/>
    <n v="330.1561966420345"/>
    <n v="230.58259134858577"/>
    <n v="0"/>
    <n v="418465.14049999998"/>
    <n v="332979.61148999998"/>
    <n v="0"/>
    <n v="425759.19634747179"/>
    <n v="297352.1617428044"/>
  </r>
  <r>
    <s v="PROJETADO"/>
    <x v="4"/>
    <x v="4"/>
    <x v="1"/>
    <x v="0"/>
    <x v="0"/>
    <x v="1"/>
    <x v="0"/>
    <x v="11"/>
    <n v="0"/>
    <n v="0"/>
    <n v="159.91200000000001"/>
    <n v="159.91200000000001"/>
    <n v="159.91200000000001"/>
    <n v="159.91200000000001"/>
    <n v="405"/>
    <x v="1"/>
    <n v="0"/>
    <n v="0"/>
    <n v="34"/>
    <n v="80"/>
    <n v="0"/>
    <n v="324.5"/>
    <n v="258.20999999999998"/>
    <m/>
    <n v="330.1561966420345"/>
    <n v="230.58259134858577"/>
    <n v="0"/>
    <n v="51891.444000000003"/>
    <n v="41290.877520000002"/>
    <n v="0"/>
    <n v="52795.937717421024"/>
    <n v="36872.92334773505"/>
  </r>
  <r>
    <s v="Regular"/>
    <x v="4"/>
    <x v="4"/>
    <x v="4"/>
    <x v="0"/>
    <x v="0"/>
    <x v="1"/>
    <x v="0"/>
    <x v="0"/>
    <n v="0"/>
    <n v="0"/>
    <n v="6.26"/>
    <n v="6.26"/>
    <n v="6.26"/>
    <n v="6.26"/>
    <n v="4"/>
    <x v="1"/>
    <n v="0"/>
    <n v="0"/>
    <n v="34"/>
    <n v="80"/>
    <n v="0"/>
    <n v="324.5"/>
    <n v="258.20999999999998"/>
    <m/>
    <n v="330.1561966420345"/>
    <n v="230.58259134858577"/>
    <n v="0"/>
    <n v="2031.37"/>
    <n v="1616.3945999999999"/>
    <n v="0"/>
    <n v="2066.7777909791357"/>
    <n v="1443.4470218421468"/>
  </r>
  <r>
    <s v="Regular"/>
    <x v="4"/>
    <x v="4"/>
    <x v="4"/>
    <x v="0"/>
    <x v="0"/>
    <x v="1"/>
    <x v="0"/>
    <x v="1"/>
    <n v="0"/>
    <n v="0"/>
    <n v="6.88"/>
    <n v="6.88"/>
    <n v="6.88"/>
    <n v="6.88"/>
    <n v="4"/>
    <x v="1"/>
    <n v="0"/>
    <n v="0"/>
    <n v="34"/>
    <n v="80"/>
    <n v="0"/>
    <n v="324.5"/>
    <n v="258.20999999999998"/>
    <m/>
    <n v="330.1561966420345"/>
    <n v="230.58259134858577"/>
    <n v="0"/>
    <n v="2232.56"/>
    <n v="1776.4847999999997"/>
    <n v="0"/>
    <n v="2271.4746328971974"/>
    <n v="1586.4082284782701"/>
  </r>
  <r>
    <s v="Regular"/>
    <x v="4"/>
    <x v="4"/>
    <x v="4"/>
    <x v="0"/>
    <x v="0"/>
    <x v="1"/>
    <x v="0"/>
    <x v="2"/>
    <n v="0"/>
    <n v="0"/>
    <n v="6.58"/>
    <n v="6.58"/>
    <n v="6.58"/>
    <n v="6.58"/>
    <n v="4"/>
    <x v="1"/>
    <n v="0"/>
    <n v="0"/>
    <n v="34"/>
    <n v="80"/>
    <n v="0"/>
    <n v="324.5"/>
    <n v="258.20999999999998"/>
    <m/>
    <n v="330.1561966420345"/>
    <n v="230.58259134858577"/>
    <n v="0"/>
    <n v="2135.21"/>
    <n v="1699.0218"/>
    <n v="0"/>
    <n v="2172.427773904587"/>
    <n v="1517.2334510736944"/>
  </r>
  <r>
    <s v="Regular"/>
    <x v="4"/>
    <x v="4"/>
    <x v="4"/>
    <x v="0"/>
    <x v="0"/>
    <x v="1"/>
    <x v="0"/>
    <x v="3"/>
    <n v="0"/>
    <n v="0"/>
    <n v="7.3239999999999998"/>
    <n v="7.3239999999999998"/>
    <n v="7.3239999999999998"/>
    <n v="7.3239999999999998"/>
    <n v="4"/>
    <x v="1"/>
    <n v="0"/>
    <n v="0"/>
    <n v="34"/>
    <n v="80"/>
    <n v="0"/>
    <n v="324.5"/>
    <n v="258.20999999999998"/>
    <m/>
    <n v="330.1561966420345"/>
    <n v="230.58259134858577"/>
    <n v="0"/>
    <n v="2376.6379999999999"/>
    <n v="1891.1300399999998"/>
    <n v="0"/>
    <n v="2418.0639842062606"/>
    <n v="1688.7868990370421"/>
  </r>
  <r>
    <s v="Regular"/>
    <x v="4"/>
    <x v="4"/>
    <x v="4"/>
    <x v="0"/>
    <x v="0"/>
    <x v="1"/>
    <x v="0"/>
    <x v="4"/>
    <n v="0"/>
    <n v="0"/>
    <n v="6.5979999999999999"/>
    <n v="6.5979999999999999"/>
    <n v="6.5979999999999999"/>
    <n v="6.5979999999999999"/>
    <n v="4"/>
    <x v="1"/>
    <n v="0"/>
    <n v="0"/>
    <n v="34"/>
    <n v="80"/>
    <n v="0"/>
    <n v="324.5"/>
    <n v="258.20999999999998"/>
    <m/>
    <n v="330.1561966420345"/>
    <n v="230.58259134858577"/>
    <n v="0"/>
    <n v="2141.0509999999999"/>
    <n v="1703.6695799999998"/>
    <n v="0"/>
    <n v="2178.3705854441437"/>
    <n v="1521.3839377179688"/>
  </r>
  <r>
    <s v="Regular"/>
    <x v="4"/>
    <x v="4"/>
    <x v="4"/>
    <x v="0"/>
    <x v="0"/>
    <x v="1"/>
    <x v="0"/>
    <x v="5"/>
    <n v="0"/>
    <n v="0"/>
    <n v="7.2380000000000004"/>
    <n v="7.2380000000000004"/>
    <n v="7.2380000000000004"/>
    <n v="7.2380000000000004"/>
    <n v="4"/>
    <x v="1"/>
    <n v="0"/>
    <n v="0"/>
    <n v="34"/>
    <n v="80"/>
    <n v="0"/>
    <n v="324.5"/>
    <n v="258.20999999999998"/>
    <m/>
    <n v="330.1561966420345"/>
    <n v="230.58259134858577"/>
    <n v="0"/>
    <n v="2348.7310000000002"/>
    <n v="1868.92398"/>
    <n v="0"/>
    <n v="2389.6705512950457"/>
    <n v="1668.956796181064"/>
  </r>
  <r>
    <s v="Regular"/>
    <x v="4"/>
    <x v="4"/>
    <x v="4"/>
    <x v="0"/>
    <x v="0"/>
    <x v="1"/>
    <x v="0"/>
    <x v="6"/>
    <n v="0"/>
    <n v="0"/>
    <n v="9.24"/>
    <n v="9.24"/>
    <n v="9.24"/>
    <n v="9.24"/>
    <n v="4"/>
    <x v="1"/>
    <n v="0"/>
    <n v="0"/>
    <n v="34"/>
    <n v="80"/>
    <n v="0"/>
    <n v="324.5"/>
    <n v="258.20999999999998"/>
    <m/>
    <n v="330.1561966420345"/>
    <n v="230.58259134858577"/>
    <n v="0"/>
    <n v="2998.38"/>
    <n v="2385.8604"/>
    <n v="0"/>
    <n v="3050.6432569723988"/>
    <n v="2130.5831440609327"/>
  </r>
  <r>
    <s v="Regular"/>
    <x v="4"/>
    <x v="4"/>
    <x v="4"/>
    <x v="0"/>
    <x v="0"/>
    <x v="1"/>
    <x v="0"/>
    <x v="7"/>
    <n v="0"/>
    <n v="0"/>
    <n v="7.9509999999999996"/>
    <n v="7.9509999999999996"/>
    <n v="7.9509999999999996"/>
    <n v="7.9509999999999996"/>
    <n v="4"/>
    <x v="1"/>
    <n v="0"/>
    <n v="0"/>
    <n v="34"/>
    <n v="80"/>
    <n v="0"/>
    <n v="324.5"/>
    <n v="258.20999999999998"/>
    <m/>
    <n v="330.1561966420345"/>
    <n v="230.58259134858577"/>
    <n v="0"/>
    <n v="2580.0994999999998"/>
    <n v="2053.0277099999998"/>
    <n v="0"/>
    <n v="2625.0719195008164"/>
    <n v="1833.3621838126053"/>
  </r>
  <r>
    <s v="Regular"/>
    <x v="4"/>
    <x v="4"/>
    <x v="4"/>
    <x v="0"/>
    <x v="0"/>
    <x v="1"/>
    <x v="0"/>
    <x v="8"/>
    <n v="0"/>
    <n v="0"/>
    <n v="7.4459999999999997"/>
    <n v="7.4459999999999997"/>
    <n v="7.4459999999999997"/>
    <n v="7.4459999999999997"/>
    <n v="4"/>
    <x v="1"/>
    <n v="0"/>
    <n v="0"/>
    <n v="34"/>
    <n v="80"/>
    <n v="0"/>
    <n v="324.5"/>
    <n v="258.20999999999998"/>
    <m/>
    <n v="330.1561966420345"/>
    <n v="230.58259134858577"/>
    <n v="0"/>
    <n v="2416.2269999999999"/>
    <n v="1922.6316599999998"/>
    <n v="0"/>
    <n v="2458.3430401965888"/>
    <n v="1716.9179751815695"/>
  </r>
  <r>
    <s v="Regular"/>
    <x v="4"/>
    <x v="4"/>
    <x v="4"/>
    <x v="0"/>
    <x v="0"/>
    <x v="1"/>
    <x v="0"/>
    <x v="9"/>
    <n v="0"/>
    <n v="0"/>
    <n v="7.6"/>
    <n v="7.6"/>
    <n v="7.6"/>
    <n v="7.6"/>
    <n v="4"/>
    <x v="1"/>
    <n v="0"/>
    <n v="0"/>
    <n v="34"/>
    <n v="80"/>
    <n v="0"/>
    <n v="324.5"/>
    <n v="258.20999999999998"/>
    <m/>
    <n v="330.1561966420345"/>
    <n v="230.58259134858577"/>
    <n v="0"/>
    <n v="2466.1999999999998"/>
    <n v="1962.3959999999997"/>
    <n v="0"/>
    <n v="2509.1870944794623"/>
    <n v="1752.4276942492518"/>
  </r>
  <r>
    <s v="Regular"/>
    <x v="4"/>
    <x v="4"/>
    <x v="4"/>
    <x v="0"/>
    <x v="0"/>
    <x v="1"/>
    <x v="0"/>
    <x v="10"/>
    <n v="0"/>
    <n v="0"/>
    <n v="6.72"/>
    <n v="6.72"/>
    <n v="6.72"/>
    <n v="6.72"/>
    <n v="4"/>
    <x v="1"/>
    <n v="0"/>
    <n v="0"/>
    <n v="34"/>
    <n v="80"/>
    <n v="0"/>
    <n v="324.5"/>
    <n v="258.20999999999998"/>
    <m/>
    <n v="330.1561966420345"/>
    <n v="230.58259134858577"/>
    <n v="0"/>
    <n v="2180.64"/>
    <n v="1735.1711999999998"/>
    <n v="0"/>
    <n v="2218.649641434472"/>
    <n v="1549.5150138624963"/>
  </r>
  <r>
    <s v="PROJETADO"/>
    <x v="4"/>
    <x v="4"/>
    <x v="4"/>
    <x v="0"/>
    <x v="0"/>
    <x v="1"/>
    <x v="0"/>
    <x v="11"/>
    <n v="0"/>
    <n v="0"/>
    <n v="6.72"/>
    <n v="6.72"/>
    <n v="6.72"/>
    <n v="6.72"/>
    <n v="4"/>
    <x v="1"/>
    <n v="0"/>
    <n v="0"/>
    <n v="34"/>
    <n v="80"/>
    <n v="0"/>
    <n v="324.5"/>
    <n v="258.20999999999998"/>
    <m/>
    <n v="330.1561966420345"/>
    <n v="230.58259134858577"/>
    <n v="0"/>
    <n v="2180.64"/>
    <n v="1735.1711999999998"/>
    <n v="0"/>
    <n v="2218.649641434472"/>
    <n v="1549.5150138624963"/>
  </r>
  <r>
    <s v="Regular"/>
    <x v="4"/>
    <x v="4"/>
    <x v="2"/>
    <x v="0"/>
    <x v="0"/>
    <x v="1"/>
    <x v="0"/>
    <x v="0"/>
    <n v="0"/>
    <n v="0"/>
    <n v="91.245000000000005"/>
    <n v="91.245000000000005"/>
    <n v="91.245000000000005"/>
    <n v="91.245000000000005"/>
    <n v="99"/>
    <x v="1"/>
    <n v="0"/>
    <n v="0"/>
    <n v="34"/>
    <n v="80"/>
    <n v="0"/>
    <n v="324.5"/>
    <n v="258.20999999999998"/>
    <m/>
    <n v="330.1561966420345"/>
    <n v="230.58259134858577"/>
    <n v="0"/>
    <n v="29609.002500000002"/>
    <n v="23560.371449999999"/>
    <n v="0"/>
    <n v="30125.102162602441"/>
    <n v="21039.508547601708"/>
  </r>
  <r>
    <s v="Regular"/>
    <x v="4"/>
    <x v="4"/>
    <x v="2"/>
    <x v="0"/>
    <x v="0"/>
    <x v="1"/>
    <x v="0"/>
    <x v="1"/>
    <n v="0"/>
    <n v="0"/>
    <n v="94.638999999999996"/>
    <n v="94.638999999999996"/>
    <n v="94.638999999999996"/>
    <n v="94.638999999999996"/>
    <n v="100"/>
    <x v="1"/>
    <n v="0"/>
    <n v="0"/>
    <n v="34"/>
    <n v="80"/>
    <n v="0"/>
    <n v="324.5"/>
    <n v="258.20999999999998"/>
    <m/>
    <n v="330.1561966420345"/>
    <n v="230.58259134858577"/>
    <n v="0"/>
    <n v="30710.355499999998"/>
    <n v="24436.736189999996"/>
    <n v="0"/>
    <n v="31245.6522940055"/>
    <n v="21822.105862638808"/>
  </r>
  <r>
    <s v="Sistema de Compensação"/>
    <x v="4"/>
    <x v="4"/>
    <x v="2"/>
    <x v="0"/>
    <x v="0"/>
    <x v="1"/>
    <x v="0"/>
    <x v="1"/>
    <n v="0"/>
    <n v="0"/>
    <n v="13.840999999999999"/>
    <n v="13.840999999999999"/>
    <n v="13.840999999999999"/>
    <n v="13.840999999999999"/>
    <n v="16"/>
    <x v="1"/>
    <n v="0"/>
    <n v="0"/>
    <n v="34"/>
    <n v="80"/>
    <n v="0"/>
    <n v="324.5"/>
    <n v="258.20999999999998"/>
    <m/>
    <n v="330.1561966420345"/>
    <n v="230.58259134858577"/>
    <n v="0"/>
    <n v="4491.4044999999996"/>
    <n v="3573.8846099999996"/>
    <n v="0"/>
    <n v="4569.691917722399"/>
    <n v="3191.4936468557753"/>
  </r>
  <r>
    <s v="Regular"/>
    <x v="4"/>
    <x v="4"/>
    <x v="2"/>
    <x v="0"/>
    <x v="0"/>
    <x v="1"/>
    <x v="0"/>
    <x v="2"/>
    <n v="0"/>
    <n v="0"/>
    <n v="96.843999999999994"/>
    <n v="96.843999999999994"/>
    <n v="96.843999999999994"/>
    <n v="96.843999999999994"/>
    <n v="103"/>
    <x v="1"/>
    <n v="0"/>
    <n v="0"/>
    <n v="34"/>
    <n v="80"/>
    <n v="0"/>
    <n v="324.5"/>
    <n v="258.20999999999998"/>
    <m/>
    <n v="330.1561966420345"/>
    <n v="230.58259134858577"/>
    <n v="0"/>
    <n v="31425.877999999997"/>
    <n v="25006.089239999998"/>
    <n v="0"/>
    <n v="31973.646707601187"/>
    <n v="22330.540476562437"/>
  </r>
  <r>
    <s v="Sistema de Compensação"/>
    <x v="4"/>
    <x v="4"/>
    <x v="2"/>
    <x v="0"/>
    <x v="0"/>
    <x v="1"/>
    <x v="0"/>
    <x v="2"/>
    <n v="0"/>
    <n v="0"/>
    <n v="16.565999999999999"/>
    <n v="16.565999999999999"/>
    <n v="16.565999999999999"/>
    <n v="16.565999999999999"/>
    <n v="16"/>
    <x v="1"/>
    <n v="0"/>
    <n v="0"/>
    <n v="34"/>
    <n v="80"/>
    <n v="0"/>
    <n v="324.5"/>
    <n v="258.20999999999998"/>
    <m/>
    <n v="330.1561966420345"/>
    <n v="230.58259134858577"/>
    <n v="0"/>
    <n v="5375.6669999999995"/>
    <n v="4277.5068599999995"/>
    <n v="0"/>
    <n v="5469.3675535719431"/>
    <n v="3819.8312082806715"/>
  </r>
  <r>
    <s v="Regular"/>
    <x v="4"/>
    <x v="4"/>
    <x v="2"/>
    <x v="0"/>
    <x v="0"/>
    <x v="1"/>
    <x v="0"/>
    <x v="3"/>
    <n v="0"/>
    <n v="0"/>
    <n v="104.761"/>
    <n v="104.761"/>
    <n v="104.761"/>
    <n v="104.761"/>
    <n v="103"/>
    <x v="1"/>
    <n v="0"/>
    <n v="0"/>
    <n v="34"/>
    <n v="80"/>
    <n v="0"/>
    <n v="324.5"/>
    <n v="258.20999999999998"/>
    <m/>
    <n v="330.1561966420345"/>
    <n v="230.58259134858577"/>
    <n v="0"/>
    <n v="33994.944499999998"/>
    <n v="27050.337809999997"/>
    <n v="0"/>
    <n v="34587.493316416178"/>
    <n v="24156.062852269191"/>
  </r>
  <r>
    <s v="Sistema de Compensação"/>
    <x v="4"/>
    <x v="4"/>
    <x v="2"/>
    <x v="0"/>
    <x v="0"/>
    <x v="1"/>
    <x v="0"/>
    <x v="3"/>
    <n v="0"/>
    <n v="0"/>
    <n v="16.713999999999999"/>
    <n v="16.713999999999999"/>
    <n v="16.713999999999999"/>
    <n v="16.713999999999999"/>
    <n v="16"/>
    <x v="1"/>
    <n v="0"/>
    <n v="0"/>
    <n v="34"/>
    <n v="80"/>
    <n v="0"/>
    <n v="324.5"/>
    <n v="258.20999999999998"/>
    <m/>
    <n v="330.1561966420345"/>
    <n v="230.58259134858577"/>
    <n v="0"/>
    <n v="5423.6929999999993"/>
    <n v="4315.7219399999994"/>
    <n v="0"/>
    <n v="5518.2306706749641"/>
    <n v="3853.9574318002624"/>
  </r>
  <r>
    <s v="Regular"/>
    <x v="4"/>
    <x v="4"/>
    <x v="2"/>
    <x v="0"/>
    <x v="0"/>
    <x v="1"/>
    <x v="0"/>
    <x v="4"/>
    <n v="0"/>
    <n v="0"/>
    <n v="123.17700000000001"/>
    <n v="123.17700000000001"/>
    <n v="123.17700000000001"/>
    <n v="123.17700000000001"/>
    <n v="105"/>
    <x v="1"/>
    <n v="0"/>
    <n v="0"/>
    <n v="34"/>
    <n v="80"/>
    <n v="0"/>
    <n v="324.5"/>
    <n v="258.20999999999998"/>
    <m/>
    <n v="330.1561966420345"/>
    <n v="230.58259134858577"/>
    <n v="0"/>
    <n v="39970.936500000003"/>
    <n v="31805.533169999999"/>
    <n v="0"/>
    <n v="40667.649833775889"/>
    <n v="28402.47185454475"/>
  </r>
  <r>
    <s v="Sistema de Compensação"/>
    <x v="4"/>
    <x v="4"/>
    <x v="2"/>
    <x v="0"/>
    <x v="0"/>
    <x v="1"/>
    <x v="0"/>
    <x v="4"/>
    <n v="0"/>
    <n v="0"/>
    <n v="15.544"/>
    <n v="15.544"/>
    <n v="15.544"/>
    <n v="15.544"/>
    <n v="17"/>
    <x v="1"/>
    <n v="0"/>
    <n v="0"/>
    <n v="34"/>
    <n v="80"/>
    <n v="0"/>
    <n v="324.5"/>
    <n v="258.20999999999998"/>
    <m/>
    <n v="330.1561966420345"/>
    <n v="230.58259134858577"/>
    <n v="0"/>
    <n v="5044.0280000000002"/>
    <n v="4013.6162399999998"/>
    <n v="0"/>
    <n v="5131.947920603784"/>
    <n v="3584.1757999224174"/>
  </r>
  <r>
    <s v="Regular"/>
    <x v="4"/>
    <x v="4"/>
    <x v="2"/>
    <x v="0"/>
    <x v="0"/>
    <x v="1"/>
    <x v="0"/>
    <x v="5"/>
    <n v="0"/>
    <n v="0"/>
    <n v="130.61099999999999"/>
    <n v="130.61099999999999"/>
    <n v="130.61099999999999"/>
    <n v="130.61099999999999"/>
    <n v="105"/>
    <x v="1"/>
    <n v="0"/>
    <n v="0"/>
    <n v="34"/>
    <n v="80"/>
    <n v="0"/>
    <n v="324.5"/>
    <n v="258.20999999999998"/>
    <m/>
    <n v="330.1561966420345"/>
    <n v="230.58259134858577"/>
    <n v="0"/>
    <n v="42383.269499999995"/>
    <n v="33725.066309999995"/>
    <n v="0"/>
    <n v="43122.030999612762"/>
    <n v="30116.622838630134"/>
  </r>
  <r>
    <s v="Refaturamento - Regular"/>
    <x v="4"/>
    <x v="4"/>
    <x v="2"/>
    <x v="0"/>
    <x v="0"/>
    <x v="1"/>
    <x v="0"/>
    <x v="5"/>
    <n v="0"/>
    <n v="0"/>
    <n v="209.90799999999999"/>
    <n v="209.90799999999999"/>
    <n v="209.90799999999999"/>
    <n v="209.90799999999999"/>
    <n v="0"/>
    <x v="1"/>
    <n v="0"/>
    <n v="0"/>
    <n v="34"/>
    <n v="80"/>
    <n v="0"/>
    <n v="324.5"/>
    <n v="258.20999999999998"/>
    <m/>
    <n v="330.1561966420345"/>
    <n v="230.58259134858577"/>
    <n v="0"/>
    <n v="68115.145999999993"/>
    <n v="54200.344679999995"/>
    <n v="0"/>
    <n v="69302.426924736181"/>
    <n v="48401.130584798935"/>
  </r>
  <r>
    <s v="Sistema de Compensação"/>
    <x v="4"/>
    <x v="4"/>
    <x v="2"/>
    <x v="0"/>
    <x v="0"/>
    <x v="1"/>
    <x v="0"/>
    <x v="5"/>
    <n v="0"/>
    <n v="0"/>
    <n v="18.53"/>
    <n v="18.53"/>
    <n v="18.53"/>
    <n v="18.53"/>
    <n v="16"/>
    <x v="1"/>
    <n v="0"/>
    <n v="0"/>
    <n v="34"/>
    <n v="80"/>
    <n v="0"/>
    <n v="324.5"/>
    <n v="258.20999999999998"/>
    <m/>
    <n v="330.1561966420345"/>
    <n v="230.58259134858577"/>
    <n v="0"/>
    <n v="6012.9850000000006"/>
    <n v="4784.6313"/>
    <n v="0"/>
    <n v="6117.7943237768995"/>
    <n v="4272.6954176892941"/>
  </r>
  <r>
    <s v="Regular"/>
    <x v="4"/>
    <x v="4"/>
    <x v="2"/>
    <x v="0"/>
    <x v="0"/>
    <x v="1"/>
    <x v="0"/>
    <x v="6"/>
    <n v="0"/>
    <n v="0"/>
    <n v="125.572"/>
    <n v="125.572"/>
    <n v="125.572"/>
    <n v="125.572"/>
    <n v="103"/>
    <x v="1"/>
    <n v="0"/>
    <n v="0"/>
    <n v="34"/>
    <n v="80"/>
    <n v="0"/>
    <n v="324.5"/>
    <n v="258.20999999999998"/>
    <m/>
    <n v="330.1561966420345"/>
    <n v="230.58259134858577"/>
    <n v="0"/>
    <n v="40748.114000000001"/>
    <n v="32423.946119999997"/>
    <n v="0"/>
    <n v="41458.373924733554"/>
    <n v="28954.717160824614"/>
  </r>
  <r>
    <s v="Sistema de Compensação"/>
    <x v="4"/>
    <x v="4"/>
    <x v="2"/>
    <x v="0"/>
    <x v="0"/>
    <x v="1"/>
    <x v="0"/>
    <x v="6"/>
    <n v="0"/>
    <n v="0"/>
    <n v="11.912000000000001"/>
    <n v="11.912000000000001"/>
    <n v="11.912000000000001"/>
    <n v="11.912000000000001"/>
    <n v="17"/>
    <x v="1"/>
    <n v="0"/>
    <n v="0"/>
    <n v="34"/>
    <n v="80"/>
    <n v="0"/>
    <n v="324.5"/>
    <n v="258.20999999999998"/>
    <m/>
    <n v="330.1561966420345"/>
    <n v="230.58259134858577"/>
    <n v="0"/>
    <n v="3865.4440000000004"/>
    <n v="3075.7975200000001"/>
    <n v="0"/>
    <n v="3932.820614399915"/>
    <n v="2746.6998281443539"/>
  </r>
  <r>
    <s v="Regular"/>
    <x v="4"/>
    <x v="4"/>
    <x v="2"/>
    <x v="0"/>
    <x v="0"/>
    <x v="1"/>
    <x v="0"/>
    <x v="7"/>
    <n v="0"/>
    <n v="0"/>
    <n v="100.13200000000001"/>
    <n v="100.13200000000001"/>
    <n v="100.13200000000001"/>
    <n v="100.13200000000001"/>
    <n v="98"/>
    <x v="1"/>
    <n v="0"/>
    <n v="0"/>
    <n v="34"/>
    <n v="80"/>
    <n v="0"/>
    <n v="324.5"/>
    <n v="258.20999999999998"/>
    <m/>
    <n v="330.1561966420345"/>
    <n v="230.58259134858577"/>
    <n v="0"/>
    <n v="32492.834000000003"/>
    <n v="25855.083719999999"/>
    <n v="0"/>
    <n v="33059.2002821602"/>
    <n v="23088.69603691659"/>
  </r>
  <r>
    <s v="Sistema de Compensação"/>
    <x v="4"/>
    <x v="4"/>
    <x v="2"/>
    <x v="0"/>
    <x v="0"/>
    <x v="1"/>
    <x v="0"/>
    <x v="7"/>
    <n v="0"/>
    <n v="0"/>
    <n v="25.227"/>
    <n v="25.227"/>
    <n v="25.227"/>
    <n v="25.227"/>
    <n v="21"/>
    <x v="1"/>
    <n v="0"/>
    <n v="0"/>
    <n v="34"/>
    <n v="80"/>
    <n v="0"/>
    <n v="324.5"/>
    <n v="258.20999999999998"/>
    <m/>
    <n v="330.1561966420345"/>
    <n v="230.58259134858577"/>
    <n v="0"/>
    <n v="8186.1615000000002"/>
    <n v="6513.8636699999997"/>
    <n v="0"/>
    <n v="8328.8503726886047"/>
    <n v="5816.9070319507728"/>
  </r>
  <r>
    <s v="Regular"/>
    <x v="4"/>
    <x v="4"/>
    <x v="2"/>
    <x v="0"/>
    <x v="0"/>
    <x v="1"/>
    <x v="0"/>
    <x v="8"/>
    <n v="0"/>
    <n v="0"/>
    <n v="93.885000000000005"/>
    <n v="93.885000000000005"/>
    <n v="93.885000000000005"/>
    <n v="93.885000000000005"/>
    <n v="98"/>
    <x v="1"/>
    <n v="0"/>
    <n v="0"/>
    <n v="34"/>
    <n v="80"/>
    <n v="0"/>
    <n v="324.5"/>
    <n v="258.20999999999998"/>
    <m/>
    <n v="330.1561966420345"/>
    <n v="230.58259134858577"/>
    <n v="0"/>
    <n v="30465.682500000003"/>
    <n v="24242.045849999999"/>
    <n v="0"/>
    <n v="30996.714521737409"/>
    <n v="21648.246588761976"/>
  </r>
  <r>
    <s v="Sistema de Compensação"/>
    <x v="4"/>
    <x v="4"/>
    <x v="2"/>
    <x v="0"/>
    <x v="0"/>
    <x v="1"/>
    <x v="0"/>
    <x v="8"/>
    <n v="0"/>
    <n v="0"/>
    <n v="16.547000000000001"/>
    <n v="16.547000000000001"/>
    <n v="16.547000000000001"/>
    <n v="16.547000000000001"/>
    <n v="21"/>
    <x v="1"/>
    <n v="0"/>
    <n v="0"/>
    <n v="34"/>
    <n v="80"/>
    <n v="0"/>
    <n v="324.5"/>
    <n v="258.20999999999998"/>
    <m/>
    <n v="330.1561966420345"/>
    <n v="230.58259134858577"/>
    <n v="0"/>
    <n v="5369.5015000000003"/>
    <n v="4272.6008700000002"/>
    <n v="0"/>
    <n v="5463.0945858357454"/>
    <n v="3815.4501390450487"/>
  </r>
  <r>
    <s v="Regular"/>
    <x v="4"/>
    <x v="4"/>
    <x v="2"/>
    <x v="0"/>
    <x v="0"/>
    <x v="1"/>
    <x v="0"/>
    <x v="9"/>
    <n v="0"/>
    <n v="0"/>
    <n v="97.992000000000004"/>
    <n v="97.992000000000004"/>
    <n v="97.992000000000004"/>
    <n v="97.992000000000004"/>
    <n v="97"/>
    <x v="1"/>
    <n v="0"/>
    <n v="0"/>
    <n v="34"/>
    <n v="80"/>
    <n v="0"/>
    <n v="324.5"/>
    <n v="258.20999999999998"/>
    <m/>
    <n v="330.1561966420345"/>
    <n v="230.58259134858577"/>
    <n v="0"/>
    <n v="31798.404000000002"/>
    <n v="25302.514319999998"/>
    <n v="0"/>
    <n v="32352.666021346246"/>
    <n v="22595.249291430617"/>
  </r>
  <r>
    <s v="Sistema de Compensação"/>
    <x v="4"/>
    <x v="4"/>
    <x v="2"/>
    <x v="0"/>
    <x v="0"/>
    <x v="1"/>
    <x v="0"/>
    <x v="9"/>
    <n v="0"/>
    <n v="0"/>
    <n v="11.519"/>
    <n v="11.519"/>
    <n v="11.519"/>
    <n v="11.519"/>
    <n v="21"/>
    <x v="1"/>
    <n v="0"/>
    <n v="0"/>
    <n v="34"/>
    <n v="80"/>
    <n v="0"/>
    <n v="324.5"/>
    <n v="258.20999999999998"/>
    <m/>
    <n v="330.1561966420345"/>
    <n v="230.58259134858577"/>
    <n v="0"/>
    <n v="3737.9155000000001"/>
    <n v="2974.3209899999997"/>
    <n v="0"/>
    <n v="3803.0692291195955"/>
    <n v="2656.0808697443595"/>
  </r>
  <r>
    <s v="Regular"/>
    <x v="4"/>
    <x v="4"/>
    <x v="2"/>
    <x v="0"/>
    <x v="0"/>
    <x v="1"/>
    <x v="0"/>
    <x v="10"/>
    <n v="0"/>
    <n v="0"/>
    <n v="74.156000000000006"/>
    <n v="74.156000000000006"/>
    <n v="74.156000000000006"/>
    <n v="74.156000000000006"/>
    <n v="94"/>
    <x v="1"/>
    <n v="0"/>
    <n v="0"/>
    <n v="34"/>
    <n v="80"/>
    <n v="0"/>
    <n v="324.5"/>
    <n v="258.20999999999998"/>
    <m/>
    <n v="330.1561966420345"/>
    <n v="230.58259134858577"/>
    <n v="0"/>
    <n v="24063.622000000003"/>
    <n v="19147.820759999999"/>
    <n v="0"/>
    <n v="24483.062918186712"/>
    <n v="17099.082644045728"/>
  </r>
  <r>
    <s v="Sistema de Compensação"/>
    <x v="4"/>
    <x v="4"/>
    <x v="2"/>
    <x v="0"/>
    <x v="0"/>
    <x v="1"/>
    <x v="0"/>
    <x v="10"/>
    <n v="0"/>
    <n v="0"/>
    <n v="9.9749999999999996"/>
    <n v="9.9749999999999996"/>
    <n v="9.9749999999999996"/>
    <n v="9.9749999999999996"/>
    <n v="24"/>
    <x v="1"/>
    <n v="0"/>
    <n v="0"/>
    <n v="34"/>
    <n v="80"/>
    <n v="0"/>
    <n v="324.5"/>
    <n v="258.20999999999998"/>
    <m/>
    <n v="330.1561966420345"/>
    <n v="230.58259134858577"/>
    <n v="0"/>
    <n v="3236.8874999999998"/>
    <n v="2575.6447499999999"/>
    <n v="0"/>
    <n v="3293.3080615042941"/>
    <n v="2300.0613487021428"/>
  </r>
  <r>
    <s v="PROJETADO"/>
    <x v="4"/>
    <x v="4"/>
    <x v="2"/>
    <x v="0"/>
    <x v="0"/>
    <x v="1"/>
    <x v="0"/>
    <x v="11"/>
    <n v="0"/>
    <n v="0"/>
    <n v="74.156000000000006"/>
    <n v="74.156000000000006"/>
    <n v="74.156000000000006"/>
    <n v="74.156000000000006"/>
    <n v="94"/>
    <x v="1"/>
    <n v="0"/>
    <n v="0"/>
    <n v="34"/>
    <n v="80"/>
    <n v="0"/>
    <n v="324.5"/>
    <n v="258.20999999999998"/>
    <m/>
    <n v="330.1561966420345"/>
    <n v="230.58259134858577"/>
    <n v="0"/>
    <n v="24063.622000000003"/>
    <n v="19147.820759999999"/>
    <n v="0"/>
    <n v="24483.062918186712"/>
    <n v="17099.082644045728"/>
  </r>
  <r>
    <s v="PROJETADO"/>
    <x v="4"/>
    <x v="4"/>
    <x v="2"/>
    <x v="0"/>
    <x v="0"/>
    <x v="1"/>
    <x v="0"/>
    <x v="11"/>
    <n v="0"/>
    <n v="0"/>
    <n v="9.9749999999999996"/>
    <n v="9.9749999999999996"/>
    <n v="9.9749999999999996"/>
    <n v="9.9749999999999996"/>
    <n v="24"/>
    <x v="1"/>
    <n v="0"/>
    <n v="0"/>
    <n v="34"/>
    <n v="80"/>
    <n v="0"/>
    <n v="324.5"/>
    <n v="258.20999999999998"/>
    <m/>
    <n v="330.1561966420345"/>
    <n v="230.58259134858577"/>
    <n v="0"/>
    <n v="3236.8874999999998"/>
    <n v="2575.6447499999999"/>
    <n v="0"/>
    <n v="3293.3080615042941"/>
    <n v="2300.0613487021428"/>
  </r>
  <r>
    <s v="Regular"/>
    <x v="4"/>
    <x v="4"/>
    <x v="5"/>
    <x v="0"/>
    <x v="0"/>
    <x v="1"/>
    <x v="0"/>
    <x v="0"/>
    <n v="0"/>
    <n v="0"/>
    <n v="295.88299999999998"/>
    <n v="295.88299999999998"/>
    <n v="295.88299999999998"/>
    <n v="295.88299999999998"/>
    <n v="419"/>
    <x v="1"/>
    <n v="0"/>
    <n v="0"/>
    <n v="34"/>
    <n v="80"/>
    <n v="0"/>
    <n v="324.5"/>
    <n v="258.20999999999998"/>
    <m/>
    <n v="330.1561966420345"/>
    <n v="230.58259134858577"/>
    <n v="0"/>
    <n v="96014.03349999999"/>
    <n v="76399.949429999993"/>
    <n v="0"/>
    <n v="97687.605931035083"/>
    <n v="68225.468875993596"/>
  </r>
  <r>
    <s v="Regular"/>
    <x v="4"/>
    <x v="4"/>
    <x v="5"/>
    <x v="0"/>
    <x v="0"/>
    <x v="1"/>
    <x v="0"/>
    <x v="1"/>
    <n v="0"/>
    <n v="0"/>
    <n v="287.26499999999999"/>
    <n v="287.26499999999999"/>
    <n v="287.26499999999999"/>
    <n v="287.26499999999999"/>
    <n v="420"/>
    <x v="1"/>
    <n v="0"/>
    <n v="0"/>
    <n v="34"/>
    <n v="80"/>
    <n v="0"/>
    <n v="324.5"/>
    <n v="258.20999999999998"/>
    <m/>
    <n v="330.1561966420345"/>
    <n v="230.58259134858577"/>
    <n v="0"/>
    <n v="93217.492499999993"/>
    <n v="74174.695649999994"/>
    <n v="0"/>
    <n v="94842.319828374035"/>
    <n v="66238.308103751493"/>
  </r>
  <r>
    <s v="Regular"/>
    <x v="4"/>
    <x v="4"/>
    <x v="5"/>
    <x v="0"/>
    <x v="0"/>
    <x v="1"/>
    <x v="0"/>
    <x v="2"/>
    <n v="0"/>
    <n v="0"/>
    <n v="255.31399999999999"/>
    <n v="255.31399999999999"/>
    <n v="255.31399999999999"/>
    <n v="255.31399999999999"/>
    <n v="418"/>
    <x v="1"/>
    <n v="0"/>
    <n v="0"/>
    <n v="34"/>
    <n v="80"/>
    <n v="0"/>
    <n v="324.5"/>
    <n v="258.20999999999998"/>
    <m/>
    <n v="330.1561966420345"/>
    <n v="230.58259134858577"/>
    <n v="0"/>
    <n v="82849.392999999996"/>
    <n v="65924.627939999991"/>
    <n v="0"/>
    <n v="84293.49918946439"/>
    <n v="58870.963727572824"/>
  </r>
  <r>
    <s v="Regular"/>
    <x v="4"/>
    <x v="4"/>
    <x v="5"/>
    <x v="0"/>
    <x v="0"/>
    <x v="1"/>
    <x v="0"/>
    <x v="3"/>
    <n v="0"/>
    <n v="0"/>
    <n v="241.05600000000001"/>
    <n v="241.05600000000001"/>
    <n v="241.05600000000001"/>
    <n v="241.05600000000001"/>
    <n v="421"/>
    <x v="1"/>
    <n v="0"/>
    <n v="0"/>
    <n v="34"/>
    <n v="80"/>
    <n v="0"/>
    <n v="324.5"/>
    <n v="258.20999999999998"/>
    <m/>
    <n v="330.1561966420345"/>
    <n v="230.58259134858577"/>
    <n v="0"/>
    <n v="78222.672000000006"/>
    <n v="62243.069759999998"/>
    <n v="0"/>
    <n v="79586.132137742272"/>
    <n v="55583.317140124695"/>
  </r>
  <r>
    <s v="Refaturamento - Regular"/>
    <x v="4"/>
    <x v="4"/>
    <x v="5"/>
    <x v="0"/>
    <x v="0"/>
    <x v="1"/>
    <x v="0"/>
    <x v="3"/>
    <n v="0"/>
    <n v="0"/>
    <n v="0.16500000000000001"/>
    <n v="0.16500000000000001"/>
    <n v="0.16500000000000001"/>
    <n v="0.16500000000000001"/>
    <n v="0"/>
    <x v="1"/>
    <n v="0"/>
    <n v="0"/>
    <n v="34"/>
    <n v="80"/>
    <n v="0"/>
    <n v="324.5"/>
    <n v="258.20999999999998"/>
    <m/>
    <n v="330.1561966420345"/>
    <n v="230.58259134858577"/>
    <n v="0"/>
    <n v="53.542500000000004"/>
    <n v="42.604649999999999"/>
    <n v="0"/>
    <n v="54.475772445935696"/>
    <n v="38.046127572516653"/>
  </r>
  <r>
    <s v="Regular"/>
    <x v="4"/>
    <x v="4"/>
    <x v="5"/>
    <x v="0"/>
    <x v="0"/>
    <x v="1"/>
    <x v="0"/>
    <x v="4"/>
    <n v="0"/>
    <n v="0"/>
    <n v="248.298"/>
    <n v="248.298"/>
    <n v="248.298"/>
    <n v="248.298"/>
    <n v="419"/>
    <x v="1"/>
    <n v="0"/>
    <n v="0"/>
    <n v="34"/>
    <n v="80"/>
    <n v="0"/>
    <n v="324.5"/>
    <n v="258.20999999999998"/>
    <m/>
    <n v="330.1561966420345"/>
    <n v="230.58259134858577"/>
    <n v="0"/>
    <n v="80572.701000000001"/>
    <n v="64113.026579999998"/>
    <n v="0"/>
    <n v="81977.123313823889"/>
    <n v="57253.196266671148"/>
  </r>
  <r>
    <s v="Regular"/>
    <x v="4"/>
    <x v="4"/>
    <x v="5"/>
    <x v="0"/>
    <x v="0"/>
    <x v="1"/>
    <x v="0"/>
    <x v="5"/>
    <n v="0"/>
    <n v="0"/>
    <n v="343.28899999999999"/>
    <n v="343.28899999999999"/>
    <n v="343.28899999999999"/>
    <n v="343.28899999999999"/>
    <n v="421"/>
    <x v="1"/>
    <n v="0"/>
    <n v="0"/>
    <n v="34"/>
    <n v="80"/>
    <n v="0"/>
    <n v="324.5"/>
    <n v="258.20999999999998"/>
    <m/>
    <n v="330.1561966420345"/>
    <n v="230.58259134858577"/>
    <n v="0"/>
    <n v="111397.28049999999"/>
    <n v="88640.652689999988"/>
    <n v="0"/>
    <n v="113338.99058904737"/>
    <n v="79156.467201464649"/>
  </r>
  <r>
    <s v="Regular"/>
    <x v="4"/>
    <x v="4"/>
    <x v="5"/>
    <x v="0"/>
    <x v="0"/>
    <x v="1"/>
    <x v="0"/>
    <x v="6"/>
    <n v="0"/>
    <n v="0"/>
    <n v="303.61599999999999"/>
    <n v="303.61599999999999"/>
    <n v="303.61599999999999"/>
    <n v="303.61599999999999"/>
    <n v="428"/>
    <x v="1"/>
    <n v="0"/>
    <n v="0"/>
    <n v="34"/>
    <n v="80"/>
    <n v="0"/>
    <n v="324.5"/>
    <n v="258.20999999999998"/>
    <m/>
    <n v="330.1561966420345"/>
    <n v="230.58259134858577"/>
    <n v="0"/>
    <n v="98523.391999999993"/>
    <n v="78396.687359999996"/>
    <n v="0"/>
    <n v="100240.70379966794"/>
    <n v="70008.564054892209"/>
  </r>
  <r>
    <s v="Regular"/>
    <x v="4"/>
    <x v="4"/>
    <x v="5"/>
    <x v="0"/>
    <x v="0"/>
    <x v="1"/>
    <x v="0"/>
    <x v="7"/>
    <n v="0"/>
    <n v="0"/>
    <n v="306.42200000000003"/>
    <n v="306.42200000000003"/>
    <n v="306.42200000000003"/>
    <n v="306.42200000000003"/>
    <n v="438"/>
    <x v="1"/>
    <n v="0"/>
    <n v="0"/>
    <n v="34"/>
    <n v="80"/>
    <n v="0"/>
    <n v="324.5"/>
    <n v="258.20999999999998"/>
    <m/>
    <n v="330.1561966420345"/>
    <n v="230.58259134858577"/>
    <n v="0"/>
    <n v="99433.939000000013"/>
    <n v="79121.224619999994"/>
    <n v="0"/>
    <n v="101167.1220874455"/>
    <n v="70655.578806216348"/>
  </r>
  <r>
    <s v="Regular"/>
    <x v="4"/>
    <x v="4"/>
    <x v="5"/>
    <x v="0"/>
    <x v="0"/>
    <x v="1"/>
    <x v="0"/>
    <x v="8"/>
    <n v="0"/>
    <n v="0"/>
    <n v="406.154"/>
    <n v="406.154"/>
    <n v="406.154"/>
    <n v="406.154"/>
    <n v="445"/>
    <x v="1"/>
    <n v="0"/>
    <n v="0"/>
    <n v="34"/>
    <n v="80"/>
    <n v="0"/>
    <n v="324.5"/>
    <n v="258.20999999999998"/>
    <m/>
    <n v="330.1561966420345"/>
    <n v="230.58259134858577"/>
    <n v="0"/>
    <n v="131796.973"/>
    <n v="104873.02433999999"/>
    <n v="0"/>
    <n v="134094.25989094889"/>
    <n v="93652.041806593508"/>
  </r>
  <r>
    <s v="Refaturamento - Regular"/>
    <x v="4"/>
    <x v="4"/>
    <x v="5"/>
    <x v="0"/>
    <x v="0"/>
    <x v="1"/>
    <x v="0"/>
    <x v="8"/>
    <n v="0"/>
    <n v="0"/>
    <n v="-4.4390000000000001"/>
    <n v="-4.4390000000000001"/>
    <n v="-4.4390000000000001"/>
    <n v="-4.4390000000000001"/>
    <n v="0"/>
    <x v="1"/>
    <n v="0"/>
    <n v="0"/>
    <n v="34"/>
    <n v="80"/>
    <n v="0"/>
    <n v="324.5"/>
    <n v="258.20999999999998"/>
    <m/>
    <n v="330.1561966420345"/>
    <n v="230.58259134858577"/>
    <n v="0"/>
    <n v="-1440.4555"/>
    <n v="-1146.1941899999999"/>
    <n v="0"/>
    <n v="-1465.5633568939911"/>
    <n v="-1023.5561229963722"/>
  </r>
  <r>
    <s v="Regular"/>
    <x v="4"/>
    <x v="4"/>
    <x v="5"/>
    <x v="0"/>
    <x v="0"/>
    <x v="1"/>
    <x v="0"/>
    <x v="9"/>
    <n v="0"/>
    <n v="0"/>
    <n v="292.38600000000002"/>
    <n v="292.38600000000002"/>
    <n v="292.38600000000002"/>
    <n v="292.38600000000002"/>
    <n v="446"/>
    <x v="1"/>
    <n v="0"/>
    <n v="0"/>
    <n v="34"/>
    <n v="80"/>
    <n v="0"/>
    <n v="324.5"/>
    <n v="258.20999999999998"/>
    <m/>
    <n v="330.1561966420345"/>
    <n v="230.58259134858577"/>
    <n v="0"/>
    <n v="94879.257000000012"/>
    <n v="75496.989060000007"/>
    <n v="0"/>
    <n v="96533.049711377913"/>
    <n v="67419.121554047597"/>
  </r>
  <r>
    <s v="Refaturamento - Regular"/>
    <x v="4"/>
    <x v="4"/>
    <x v="5"/>
    <x v="0"/>
    <x v="0"/>
    <x v="1"/>
    <x v="0"/>
    <x v="9"/>
    <n v="0"/>
    <n v="0"/>
    <n v="-1.4079999999999999"/>
    <n v="-1.4079999999999999"/>
    <n v="-1.4079999999999999"/>
    <n v="-1.4079999999999999"/>
    <n v="0"/>
    <x v="1"/>
    <n v="0"/>
    <n v="0"/>
    <n v="34"/>
    <n v="80"/>
    <n v="0"/>
    <n v="324.5"/>
    <n v="258.20999999999998"/>
    <m/>
    <n v="330.1561966420345"/>
    <n v="230.58259134858577"/>
    <n v="0"/>
    <n v="-456.89599999999996"/>
    <n v="-363.55967999999996"/>
    <n v="0"/>
    <n v="-464.85992487198456"/>
    <n v="-324.66028861880875"/>
  </r>
  <r>
    <s v="Regular"/>
    <x v="4"/>
    <x v="4"/>
    <x v="5"/>
    <x v="0"/>
    <x v="0"/>
    <x v="1"/>
    <x v="0"/>
    <x v="10"/>
    <n v="0"/>
    <n v="0"/>
    <n v="247.535"/>
    <n v="247.535"/>
    <n v="247.535"/>
    <n v="247.535"/>
    <n v="447"/>
    <x v="1"/>
    <n v="0"/>
    <n v="0"/>
    <n v="34"/>
    <n v="80"/>
    <n v="0"/>
    <n v="324.5"/>
    <n v="258.20999999999998"/>
    <m/>
    <n v="330.1561966420345"/>
    <n v="230.58259134858577"/>
    <n v="0"/>
    <n v="80325.107499999998"/>
    <n v="63916.012349999997"/>
    <n v="0"/>
    <n v="81725.214135786009"/>
    <n v="57077.261749472178"/>
  </r>
  <r>
    <s v="Refaturamento - Regular"/>
    <x v="4"/>
    <x v="4"/>
    <x v="5"/>
    <x v="0"/>
    <x v="0"/>
    <x v="1"/>
    <x v="0"/>
    <x v="10"/>
    <n v="0"/>
    <n v="0"/>
    <n v="-4.4770000000000003"/>
    <n v="-4.4770000000000003"/>
    <n v="-4.4770000000000003"/>
    <n v="-4.4770000000000003"/>
    <n v="0"/>
    <x v="1"/>
    <n v="0"/>
    <n v="0"/>
    <n v="34"/>
    <n v="80"/>
    <n v="0"/>
    <n v="324.5"/>
    <n v="258.20999999999998"/>
    <m/>
    <n v="330.1561966420345"/>
    <n v="230.58259134858577"/>
    <n v="0"/>
    <n v="-1452.7865000000002"/>
    <n v="-1156.0061699999999"/>
    <n v="0"/>
    <n v="-1478.1092923663887"/>
    <n v="-1032.3182614676186"/>
  </r>
  <r>
    <s v="PROJETADO"/>
    <x v="4"/>
    <x v="4"/>
    <x v="5"/>
    <x v="0"/>
    <x v="0"/>
    <x v="1"/>
    <x v="0"/>
    <x v="11"/>
    <n v="0"/>
    <n v="0"/>
    <n v="247.535"/>
    <n v="247.535"/>
    <n v="247.535"/>
    <n v="247.535"/>
    <n v="447"/>
    <x v="1"/>
    <n v="0"/>
    <n v="0"/>
    <n v="34"/>
    <n v="80"/>
    <n v="0"/>
    <n v="324.5"/>
    <n v="258.20999999999998"/>
    <m/>
    <n v="330.1561966420345"/>
    <n v="230.58259134858577"/>
    <n v="0"/>
    <n v="80325.107499999998"/>
    <n v="63916.012349999997"/>
    <n v="0"/>
    <n v="81725.214135786009"/>
    <n v="57077.261749472178"/>
  </r>
  <r>
    <s v="PROJETADO"/>
    <x v="4"/>
    <x v="4"/>
    <x v="5"/>
    <x v="0"/>
    <x v="0"/>
    <x v="1"/>
    <x v="0"/>
    <x v="11"/>
    <n v="0"/>
    <n v="0"/>
    <n v="-4.4770000000000003"/>
    <n v="-4.4770000000000003"/>
    <n v="-4.4770000000000003"/>
    <n v="-4.4770000000000003"/>
    <n v="0"/>
    <x v="1"/>
    <n v="0"/>
    <n v="0"/>
    <n v="34"/>
    <n v="80"/>
    <n v="0"/>
    <n v="324.5"/>
    <n v="258.20999999999998"/>
    <m/>
    <n v="330.1561966420345"/>
    <n v="230.58259134858577"/>
    <n v="0"/>
    <n v="-1452.7865000000002"/>
    <n v="-1156.0061699999999"/>
    <n v="0"/>
    <n v="-1478.1092923663887"/>
    <n v="-1032.3182614676186"/>
  </r>
  <r>
    <s v="Regular"/>
    <x v="4"/>
    <x v="4"/>
    <x v="3"/>
    <x v="1"/>
    <x v="0"/>
    <x v="1"/>
    <x v="0"/>
    <x v="0"/>
    <n v="0"/>
    <n v="0"/>
    <n v="91.671000000000006"/>
    <n v="91.671000000000006"/>
    <n v="91.671000000000006"/>
    <n v="91.671000000000006"/>
    <n v="26"/>
    <x v="1"/>
    <n v="0"/>
    <n v="0"/>
    <n v="34"/>
    <n v="80"/>
    <n v="0"/>
    <n v="305.02999999999997"/>
    <n v="242.71739999999997"/>
    <m/>
    <n v="320.25151074277346"/>
    <n v="223.66511360812819"/>
    <n v="0"/>
    <n v="27962.405129999999"/>
    <n v="22250.1467754"/>
    <n v="0"/>
    <n v="29357.776241300788"/>
    <n v="20503.60462957072"/>
  </r>
  <r>
    <s v="Regular"/>
    <x v="4"/>
    <x v="4"/>
    <x v="3"/>
    <x v="1"/>
    <x v="0"/>
    <x v="1"/>
    <x v="0"/>
    <x v="1"/>
    <n v="0"/>
    <n v="0"/>
    <n v="94.36"/>
    <n v="94.36"/>
    <n v="94.36"/>
    <n v="94.36"/>
    <n v="26"/>
    <x v="1"/>
    <n v="0"/>
    <n v="0"/>
    <n v="34"/>
    <n v="80"/>
    <n v="0"/>
    <n v="305.02999999999997"/>
    <n v="242.71739999999997"/>
    <m/>
    <n v="320.25151074277346"/>
    <n v="223.66511360812819"/>
    <n v="0"/>
    <n v="28782.630799999999"/>
    <n v="22902.813863999996"/>
    <n v="0"/>
    <n v="30218.932553688104"/>
    <n v="21105.040120062975"/>
  </r>
  <r>
    <s v="Regular"/>
    <x v="4"/>
    <x v="4"/>
    <x v="3"/>
    <x v="1"/>
    <x v="0"/>
    <x v="1"/>
    <x v="0"/>
    <x v="2"/>
    <n v="0"/>
    <n v="0"/>
    <n v="98.474999999999994"/>
    <n v="98.474999999999994"/>
    <n v="98.474999999999994"/>
    <n v="98.474999999999994"/>
    <n v="26"/>
    <x v="1"/>
    <n v="0"/>
    <n v="0"/>
    <n v="34"/>
    <n v="80"/>
    <n v="0"/>
    <n v="305.02999999999997"/>
    <n v="242.71739999999997"/>
    <m/>
    <n v="320.25151074277346"/>
    <n v="223.66511360812819"/>
    <n v="0"/>
    <n v="30037.829249999995"/>
    <n v="23901.595964999997"/>
    <n v="0"/>
    <n v="31536.767520394616"/>
    <n v="22025.422062560421"/>
  </r>
  <r>
    <s v="Regular"/>
    <x v="4"/>
    <x v="4"/>
    <x v="3"/>
    <x v="1"/>
    <x v="0"/>
    <x v="1"/>
    <x v="0"/>
    <x v="3"/>
    <n v="0"/>
    <n v="0"/>
    <n v="105.744"/>
    <n v="105.744"/>
    <n v="105.744"/>
    <n v="105.744"/>
    <n v="26"/>
    <x v="1"/>
    <n v="0"/>
    <n v="0"/>
    <n v="34"/>
    <n v="80"/>
    <n v="0"/>
    <n v="305.02999999999997"/>
    <n v="242.71739999999997"/>
    <m/>
    <n v="320.25151074277346"/>
    <n v="223.66511360812819"/>
    <n v="0"/>
    <n v="32255.092319999996"/>
    <n v="25665.908745599998"/>
    <n v="0"/>
    <n v="33864.675751983836"/>
    <n v="23651.243773377908"/>
  </r>
  <r>
    <s v="Regular"/>
    <x v="4"/>
    <x v="4"/>
    <x v="3"/>
    <x v="1"/>
    <x v="0"/>
    <x v="1"/>
    <x v="0"/>
    <x v="4"/>
    <n v="0"/>
    <n v="0"/>
    <n v="77.584999999999994"/>
    <n v="77.584999999999994"/>
    <n v="77.584999999999994"/>
    <n v="77.584999999999994"/>
    <n v="26"/>
    <x v="1"/>
    <n v="0"/>
    <n v="0"/>
    <n v="34"/>
    <n v="80"/>
    <n v="0"/>
    <n v="305.02999999999997"/>
    <n v="242.71739999999997"/>
    <m/>
    <n v="320.25151074277346"/>
    <n v="223.66511360812819"/>
    <n v="0"/>
    <n v="23665.752549999997"/>
    <n v="18831.229478999998"/>
    <n v="0"/>
    <n v="24846.713460978077"/>
    <n v="17353.057839286626"/>
  </r>
  <r>
    <s v="Regular"/>
    <x v="4"/>
    <x v="4"/>
    <x v="3"/>
    <x v="1"/>
    <x v="0"/>
    <x v="1"/>
    <x v="0"/>
    <x v="5"/>
    <n v="0"/>
    <n v="0"/>
    <n v="94.201999999999998"/>
    <n v="94.201999999999998"/>
    <n v="94.201999999999998"/>
    <n v="94.201999999999998"/>
    <n v="26"/>
    <x v="1"/>
    <n v="0"/>
    <n v="0"/>
    <n v="34"/>
    <n v="80"/>
    <n v="0"/>
    <n v="305.02999999999997"/>
    <n v="242.71739999999997"/>
    <m/>
    <n v="320.25151074277346"/>
    <n v="223.66511360812819"/>
    <n v="0"/>
    <n v="28734.436059999996"/>
    <n v="22864.464514799998"/>
    <n v="0"/>
    <n v="30168.332814990747"/>
    <n v="21069.701032112891"/>
  </r>
  <r>
    <s v="Regular"/>
    <x v="4"/>
    <x v="4"/>
    <x v="3"/>
    <x v="1"/>
    <x v="0"/>
    <x v="1"/>
    <x v="0"/>
    <x v="6"/>
    <n v="0"/>
    <n v="0"/>
    <n v="94.076999999999998"/>
    <n v="94.076999999999998"/>
    <n v="94.076999999999998"/>
    <n v="94.076999999999998"/>
    <n v="26"/>
    <x v="1"/>
    <n v="0"/>
    <n v="0"/>
    <n v="34"/>
    <n v="80"/>
    <n v="0"/>
    <n v="305.02999999999997"/>
    <n v="242.71739999999997"/>
    <m/>
    <n v="320.25151074277346"/>
    <n v="223.66511360812819"/>
    <n v="0"/>
    <n v="28696.307309999997"/>
    <n v="22834.124839799995"/>
    <n v="0"/>
    <n v="30128.301376147898"/>
    <n v="21041.742892911876"/>
  </r>
  <r>
    <s v="Regular"/>
    <x v="4"/>
    <x v="4"/>
    <x v="3"/>
    <x v="1"/>
    <x v="0"/>
    <x v="1"/>
    <x v="0"/>
    <x v="7"/>
    <n v="0"/>
    <n v="0"/>
    <n v="94.504000000000005"/>
    <n v="94.504000000000005"/>
    <n v="94.504000000000005"/>
    <n v="94.504000000000005"/>
    <n v="26"/>
    <x v="1"/>
    <n v="0"/>
    <n v="0"/>
    <n v="34"/>
    <n v="80"/>
    <n v="0"/>
    <n v="305.02999999999997"/>
    <n v="242.71739999999997"/>
    <m/>
    <n v="320.25151074277346"/>
    <n v="223.66511360812819"/>
    <n v="0"/>
    <n v="28826.555119999997"/>
    <n v="22937.765169599999"/>
    <n v="0"/>
    <n v="30265.048771235066"/>
    <n v="21137.247896422548"/>
  </r>
  <r>
    <s v="Regular"/>
    <x v="4"/>
    <x v="4"/>
    <x v="3"/>
    <x v="1"/>
    <x v="0"/>
    <x v="1"/>
    <x v="0"/>
    <x v="8"/>
    <n v="0"/>
    <n v="0"/>
    <n v="94.319000000000003"/>
    <n v="94.319000000000003"/>
    <n v="94.319000000000003"/>
    <n v="94.319000000000003"/>
    <n v="26"/>
    <x v="1"/>
    <n v="0"/>
    <n v="0"/>
    <n v="34"/>
    <n v="80"/>
    <n v="0"/>
    <n v="305.02999999999997"/>
    <n v="242.71739999999997"/>
    <m/>
    <n v="320.25151074277346"/>
    <n v="223.66511360812819"/>
    <n v="0"/>
    <n v="28770.12457"/>
    <n v="22892.862450599998"/>
    <n v="0"/>
    <n v="30205.80224174765"/>
    <n v="21095.869850405044"/>
  </r>
  <r>
    <s v="Regular"/>
    <x v="4"/>
    <x v="4"/>
    <x v="3"/>
    <x v="1"/>
    <x v="0"/>
    <x v="1"/>
    <x v="0"/>
    <x v="9"/>
    <n v="0"/>
    <n v="0"/>
    <n v="108.834"/>
    <n v="108.834"/>
    <n v="108.834"/>
    <n v="108.834"/>
    <n v="26"/>
    <x v="1"/>
    <n v="0"/>
    <n v="0"/>
    <n v="34"/>
    <n v="80"/>
    <n v="0"/>
    <n v="305.02999999999997"/>
    <n v="242.71739999999997"/>
    <m/>
    <n v="320.25151074277346"/>
    <n v="223.66511360812819"/>
    <n v="0"/>
    <n v="33197.635020000002"/>
    <n v="26415.905511599998"/>
    <n v="0"/>
    <n v="34854.252920179009"/>
    <n v="24342.368974427023"/>
  </r>
  <r>
    <s v="Regular"/>
    <x v="4"/>
    <x v="4"/>
    <x v="3"/>
    <x v="1"/>
    <x v="0"/>
    <x v="1"/>
    <x v="0"/>
    <x v="10"/>
    <n v="0"/>
    <n v="0"/>
    <n v="92.935000000000002"/>
    <n v="92.935000000000002"/>
    <n v="92.935000000000002"/>
    <n v="92.935000000000002"/>
    <n v="26"/>
    <x v="1"/>
    <n v="0"/>
    <n v="0"/>
    <n v="34"/>
    <n v="80"/>
    <n v="0"/>
    <n v="305.02999999999997"/>
    <n v="242.71739999999997"/>
    <m/>
    <n v="320.25151074277346"/>
    <n v="223.66511360812819"/>
    <n v="0"/>
    <n v="28347.963049999998"/>
    <n v="22556.941568999999"/>
    <n v="0"/>
    <n v="29762.574150879653"/>
    <n v="20786.317333171395"/>
  </r>
  <r>
    <s v="PROJETADO"/>
    <x v="4"/>
    <x v="4"/>
    <x v="3"/>
    <x v="1"/>
    <x v="0"/>
    <x v="1"/>
    <x v="0"/>
    <x v="11"/>
    <n v="0"/>
    <n v="0"/>
    <n v="92.935000000000002"/>
    <n v="92.935000000000002"/>
    <n v="92.935000000000002"/>
    <n v="92.935000000000002"/>
    <n v="26"/>
    <x v="1"/>
    <n v="0"/>
    <n v="0"/>
    <n v="34"/>
    <n v="80"/>
    <n v="0"/>
    <n v="305.02999999999997"/>
    <n v="242.71739999999997"/>
    <m/>
    <n v="320.25151074277346"/>
    <n v="223.66511360812819"/>
    <n v="0"/>
    <n v="28347.963049999998"/>
    <n v="22556.941568999999"/>
    <n v="0"/>
    <n v="29762.574150879653"/>
    <n v="20786.317333171395"/>
  </r>
  <r>
    <s v="Regular"/>
    <x v="5"/>
    <x v="4"/>
    <x v="8"/>
    <x v="9"/>
    <x v="0"/>
    <x v="1"/>
    <x v="0"/>
    <x v="0"/>
    <n v="0"/>
    <n v="0"/>
    <n v="471.03500000000003"/>
    <n v="471.03500000000003"/>
    <n v="471.03500000000003"/>
    <n v="471.03500000000003"/>
    <n v="9"/>
    <x v="1"/>
    <n v="0"/>
    <n v="0"/>
    <n v="65"/>
    <n v="82"/>
    <n v="0"/>
    <n v="178.47"/>
    <n v="142.02000000000001"/>
    <m/>
    <n v="181.58590815311899"/>
    <n v="126.82042524172216"/>
    <n v="0"/>
    <n v="84065.616450000001"/>
    <n v="66896.390700000004"/>
    <n v="0"/>
    <n v="85533.318246904411"/>
    <n v="59736.8590037346"/>
  </r>
  <r>
    <s v="Regular"/>
    <x v="5"/>
    <x v="4"/>
    <x v="8"/>
    <x v="9"/>
    <x v="0"/>
    <x v="1"/>
    <x v="0"/>
    <x v="1"/>
    <n v="0"/>
    <n v="0"/>
    <n v="462.63900000000001"/>
    <n v="462.63900000000001"/>
    <n v="462.63900000000001"/>
    <n v="462.63900000000001"/>
    <n v="9"/>
    <x v="1"/>
    <n v="0"/>
    <n v="0"/>
    <n v="65"/>
    <n v="82"/>
    <n v="0"/>
    <n v="178.47"/>
    <n v="142.02000000000001"/>
    <m/>
    <n v="181.58590815311899"/>
    <n v="126.82042524172216"/>
    <n v="0"/>
    <n v="82567.182329999996"/>
    <n v="65703.990780000007"/>
    <n v="0"/>
    <n v="84008.722962050815"/>
    <n v="58672.074713405098"/>
  </r>
  <r>
    <s v="Regular"/>
    <x v="5"/>
    <x v="4"/>
    <x v="8"/>
    <x v="9"/>
    <x v="0"/>
    <x v="1"/>
    <x v="0"/>
    <x v="2"/>
    <n v="0"/>
    <n v="0"/>
    <n v="447.71600000000001"/>
    <n v="447.71600000000001"/>
    <n v="447.71600000000001"/>
    <n v="447.71600000000001"/>
    <n v="9"/>
    <x v="1"/>
    <n v="0"/>
    <n v="0"/>
    <n v="65"/>
    <n v="82"/>
    <n v="0"/>
    <n v="178.47"/>
    <n v="142.02000000000001"/>
    <m/>
    <n v="181.58590815311899"/>
    <n v="126.82042524172216"/>
    <n v="0"/>
    <n v="79903.874519999998"/>
    <n v="63584.626320000003"/>
    <n v="0"/>
    <n v="81298.916454681821"/>
    <n v="56779.53350752288"/>
  </r>
  <r>
    <s v="Regular"/>
    <x v="5"/>
    <x v="4"/>
    <x v="8"/>
    <x v="9"/>
    <x v="0"/>
    <x v="1"/>
    <x v="0"/>
    <x v="3"/>
    <n v="0"/>
    <n v="0"/>
    <n v="462.63900000000001"/>
    <n v="462.63900000000001"/>
    <n v="462.63900000000001"/>
    <n v="462.63900000000001"/>
    <n v="9"/>
    <x v="1"/>
    <n v="0"/>
    <n v="0"/>
    <n v="65"/>
    <n v="82"/>
    <n v="0"/>
    <n v="178.47"/>
    <n v="142.02000000000001"/>
    <m/>
    <n v="181.58590815311899"/>
    <n v="126.82042524172216"/>
    <n v="0"/>
    <n v="82567.182329999996"/>
    <n v="65703.990780000007"/>
    <n v="0"/>
    <n v="84008.722962050815"/>
    <n v="58672.074713405098"/>
  </r>
  <r>
    <s v="Regular"/>
    <x v="5"/>
    <x v="4"/>
    <x v="8"/>
    <x v="9"/>
    <x v="0"/>
    <x v="1"/>
    <x v="0"/>
    <x v="4"/>
    <n v="0"/>
    <n v="0"/>
    <n v="448.31"/>
    <n v="448.31"/>
    <n v="448.31"/>
    <n v="448.31"/>
    <n v="10"/>
    <x v="1"/>
    <n v="0"/>
    <n v="0"/>
    <n v="65"/>
    <n v="82"/>
    <n v="0"/>
    <n v="178.47"/>
    <n v="142.02000000000001"/>
    <m/>
    <n v="181.58590815311899"/>
    <n v="126.82042524172216"/>
    <n v="0"/>
    <n v="80009.885699999999"/>
    <n v="63668.986200000007"/>
    <n v="0"/>
    <n v="81406.778484124778"/>
    <n v="56854.864840116461"/>
  </r>
  <r>
    <s v="Regular"/>
    <x v="5"/>
    <x v="4"/>
    <x v="8"/>
    <x v="9"/>
    <x v="0"/>
    <x v="1"/>
    <x v="0"/>
    <x v="5"/>
    <n v="0"/>
    <n v="0"/>
    <n v="463.16500000000002"/>
    <n v="463.16500000000002"/>
    <n v="463.16500000000002"/>
    <n v="463.16500000000002"/>
    <n v="10"/>
    <x v="1"/>
    <n v="0"/>
    <n v="0"/>
    <n v="65"/>
    <n v="82"/>
    <n v="0"/>
    <n v="178.47"/>
    <n v="142.02000000000001"/>
    <m/>
    <n v="181.58590815311899"/>
    <n v="126.82042524172216"/>
    <n v="0"/>
    <n v="82661.057549999998"/>
    <n v="65778.693300000014"/>
    <n v="0"/>
    <n v="84104.237149739361"/>
    <n v="58738.782257082246"/>
  </r>
  <r>
    <s v="Regular"/>
    <x v="5"/>
    <x v="4"/>
    <x v="8"/>
    <x v="9"/>
    <x v="0"/>
    <x v="1"/>
    <x v="0"/>
    <x v="6"/>
    <n v="0"/>
    <n v="0"/>
    <n v="463.16500000000002"/>
    <n v="463.16500000000002"/>
    <n v="463.16500000000002"/>
    <n v="463.16500000000002"/>
    <n v="10"/>
    <x v="1"/>
    <n v="0"/>
    <n v="0"/>
    <n v="65"/>
    <n v="82"/>
    <n v="0"/>
    <n v="178.47"/>
    <n v="142.02000000000001"/>
    <m/>
    <n v="181.58590815311899"/>
    <n v="126.82042524172216"/>
    <n v="0"/>
    <n v="82661.057549999998"/>
    <n v="65778.693300000014"/>
    <n v="0"/>
    <n v="84104.237149739361"/>
    <n v="58738.782257082246"/>
  </r>
  <r>
    <s v="Regular"/>
    <x v="5"/>
    <x v="4"/>
    <x v="8"/>
    <x v="9"/>
    <x v="0"/>
    <x v="1"/>
    <x v="0"/>
    <x v="7"/>
    <n v="0"/>
    <n v="0"/>
    <n v="418.34300000000002"/>
    <n v="418.34300000000002"/>
    <n v="418.34300000000002"/>
    <n v="418.34300000000002"/>
    <n v="10"/>
    <x v="1"/>
    <n v="0"/>
    <n v="0"/>
    <n v="65"/>
    <n v="82"/>
    <n v="0"/>
    <n v="178.47"/>
    <n v="142.02000000000001"/>
    <m/>
    <n v="181.58590815311899"/>
    <n v="126.82042524172216"/>
    <n v="0"/>
    <n v="74661.675210000001"/>
    <n v="59413.072860000007"/>
    <n v="0"/>
    <n v="75965.193574500256"/>
    <n v="53054.43715689778"/>
  </r>
  <r>
    <s v="Regular"/>
    <x v="5"/>
    <x v="4"/>
    <x v="8"/>
    <x v="9"/>
    <x v="0"/>
    <x v="1"/>
    <x v="0"/>
    <x v="8"/>
    <n v="0"/>
    <n v="0"/>
    <n v="463.16500000000002"/>
    <n v="463.16500000000002"/>
    <n v="463.16500000000002"/>
    <n v="463.16500000000002"/>
    <n v="10"/>
    <x v="1"/>
    <n v="0"/>
    <n v="0"/>
    <n v="65"/>
    <n v="82"/>
    <n v="0"/>
    <n v="178.47"/>
    <n v="142.02000000000001"/>
    <m/>
    <n v="181.58590815311899"/>
    <n v="126.82042524172216"/>
    <n v="0"/>
    <n v="82661.057549999998"/>
    <n v="65778.693300000014"/>
    <n v="0"/>
    <n v="84104.237149739361"/>
    <n v="58738.782257082246"/>
  </r>
  <r>
    <s v="Regular"/>
    <x v="5"/>
    <x v="4"/>
    <x v="8"/>
    <x v="9"/>
    <x v="0"/>
    <x v="1"/>
    <x v="0"/>
    <x v="9"/>
    <n v="0"/>
    <n v="0"/>
    <n v="448.22500000000002"/>
    <n v="448.22500000000002"/>
    <n v="448.22500000000002"/>
    <n v="448.22500000000002"/>
    <n v="10"/>
    <x v="1"/>
    <n v="0"/>
    <n v="0"/>
    <n v="65"/>
    <n v="82"/>
    <n v="0"/>
    <n v="178.47"/>
    <n v="142.02000000000001"/>
    <m/>
    <n v="181.58590815311899"/>
    <n v="126.82042524172216"/>
    <n v="0"/>
    <n v="79994.715750000003"/>
    <n v="63656.914500000006"/>
    <n v="0"/>
    <n v="81391.343681931758"/>
    <n v="56844.085103970916"/>
  </r>
  <r>
    <s v="Regular"/>
    <x v="5"/>
    <x v="4"/>
    <x v="8"/>
    <x v="9"/>
    <x v="0"/>
    <x v="1"/>
    <x v="0"/>
    <x v="10"/>
    <n v="0"/>
    <n v="0"/>
    <n v="463.16500000000002"/>
    <n v="463.16500000000002"/>
    <n v="463.16500000000002"/>
    <n v="463.16500000000002"/>
    <n v="10"/>
    <x v="1"/>
    <n v="0"/>
    <n v="0"/>
    <n v="65"/>
    <n v="82"/>
    <n v="0"/>
    <n v="178.47"/>
    <n v="142.02000000000001"/>
    <m/>
    <n v="181.58590815311899"/>
    <n v="126.82042524172216"/>
    <n v="0"/>
    <n v="82661.057549999998"/>
    <n v="65778.693300000014"/>
    <n v="0"/>
    <n v="84104.237149739361"/>
    <n v="58738.782257082246"/>
  </r>
  <r>
    <s v="PROJETADO"/>
    <x v="5"/>
    <x v="4"/>
    <x v="8"/>
    <x v="9"/>
    <x v="0"/>
    <x v="1"/>
    <x v="0"/>
    <x v="11"/>
    <n v="0"/>
    <n v="0"/>
    <n v="463.16500000000002"/>
    <n v="463.16500000000002"/>
    <n v="463.16500000000002"/>
    <n v="463.16500000000002"/>
    <n v="10"/>
    <x v="1"/>
    <n v="0"/>
    <n v="0"/>
    <n v="65"/>
    <n v="82"/>
    <n v="0"/>
    <n v="178.47"/>
    <n v="142.02000000000001"/>
    <m/>
    <n v="181.58590815311899"/>
    <n v="126.82042524172216"/>
    <n v="0"/>
    <n v="82661.057549999998"/>
    <n v="65778.693300000014"/>
    <n v="0"/>
    <n v="84104.237149739361"/>
    <n v="58738.7822570822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50981-6DED-4416-9535-D31C3054C8CC}" name="Efeito Resumo" cacheId="2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24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sd="0" x="1"/>
        <item sd="0" x="3"/>
        <item sd="0" x="4"/>
        <item sd="0" x="0"/>
        <item sd="0" x="2"/>
        <item t="default"/>
      </items>
    </pivotField>
    <pivotField axis="axisRow" showAll="0">
      <items count="10">
        <item x="1"/>
        <item x="4"/>
        <item x="8"/>
        <item x="2"/>
        <item x="0"/>
        <item x="5"/>
        <item x="7"/>
        <item x="6"/>
        <item x="3"/>
        <item t="default"/>
      </items>
    </pivotField>
    <pivotField axis="axisRow" showAll="0">
      <items count="11">
        <item x="2"/>
        <item x="1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1"/>
        <item x="0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23">
    <i>
      <x/>
    </i>
    <i r="1">
      <x v="1"/>
    </i>
    <i r="2">
      <x/>
    </i>
    <i r="2">
      <x v="4"/>
    </i>
    <i r="1">
      <x v="2"/>
    </i>
    <i r="2">
      <x v="1"/>
    </i>
    <i r="2">
      <x v="2"/>
    </i>
    <i r="1">
      <x v="3"/>
    </i>
    <i r="2">
      <x v="2"/>
    </i>
    <i r="1">
      <x v="4"/>
    </i>
    <i r="2">
      <x v="1"/>
    </i>
    <i r="2">
      <x v="2"/>
    </i>
    <i r="1">
      <x v="5"/>
    </i>
    <i r="2">
      <x v="2"/>
    </i>
    <i>
      <x v="1"/>
    </i>
    <i r="1">
      <x/>
    </i>
    <i r="2">
      <x v="3"/>
    </i>
    <i r="1">
      <x v="1"/>
    </i>
    <i r="2">
      <x v="3"/>
    </i>
    <i>
      <x v="2"/>
    </i>
    <i r="1">
      <x v="1"/>
    </i>
    <i r="2">
      <x/>
    </i>
    <i r="2">
      <x v="4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04">
    <format dxfId="954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95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952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951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950">
      <pivotArea type="all" dataOnly="0" outline="0" fieldPosition="0"/>
    </format>
    <format dxfId="949">
      <pivotArea outline="0" collapsedLevelsAreSubtotals="1" fieldPosition="0"/>
    </format>
    <format dxfId="948">
      <pivotArea field="16" type="button" dataOnly="0" labelOnly="1" outline="0" axis="axisRow" fieldPosition="0"/>
    </format>
    <format dxfId="947">
      <pivotArea dataOnly="0" labelOnly="1" fieldPosition="0">
        <references count="1">
          <reference field="16" count="0"/>
        </references>
      </pivotArea>
    </format>
    <format dxfId="946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94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944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94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94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41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4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3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3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3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3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93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93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5">
            <x v="0"/>
            <x v="1"/>
            <x v="3"/>
            <x v="5"/>
            <x v="7"/>
          </reference>
          <reference field="16" count="1" selected="0">
            <x v="0"/>
          </reference>
        </references>
      </pivotArea>
    </format>
    <format dxfId="93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32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3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3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92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928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92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2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2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2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2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2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2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2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1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91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1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0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0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0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06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90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90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90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90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9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88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8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7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87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87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87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87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7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4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84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84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2">
            <x v="0"/>
            <x v="3"/>
          </reference>
          <reference field="16" count="1" selected="0">
            <x v="1"/>
          </reference>
        </references>
      </pivotArea>
    </format>
    <format dxfId="84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84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84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3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3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0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0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8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8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8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7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6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5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5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5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5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5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5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50">
      <pivotArea type="all" dataOnly="0" outline="0" fieldPosition="0"/>
    </format>
    <format dxfId="749">
      <pivotArea outline="0" collapsedLevelsAreSubtotals="1" fieldPosition="0"/>
    </format>
    <format dxfId="748">
      <pivotArea field="16" type="button" dataOnly="0" labelOnly="1" outline="0" axis="axisRow" fieldPosition="0"/>
    </format>
    <format dxfId="747">
      <pivotArea dataOnly="0" labelOnly="1" fieldPosition="0">
        <references count="1">
          <reference field="16" count="0"/>
        </references>
      </pivotArea>
    </format>
    <format dxfId="746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744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74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3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3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73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5">
            <x v="0"/>
            <x v="1"/>
            <x v="3"/>
            <x v="5"/>
            <x v="7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2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2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2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2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70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70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70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70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7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7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7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7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64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2">
            <x v="0"/>
            <x v="3"/>
          </reference>
          <reference field="16" count="1" selected="0">
            <x v="1"/>
          </reference>
        </references>
      </pivotArea>
    </format>
    <format dxfId="64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64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64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1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1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0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5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5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5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5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5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5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8420B-6334-4977-BA33-9B85AEFA220F}" name="Subsidio Resumo" cacheId="17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488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6">
        <item x="1"/>
        <item x="0"/>
        <item x="4"/>
        <item x="3"/>
        <item x="2"/>
        <item t="default"/>
      </items>
    </pivotField>
    <pivotField axis="axisRow" showAll="0">
      <items count="10">
        <item x="2"/>
        <item x="1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2"/>
        <item x="6"/>
        <item x="1"/>
        <item x="0"/>
        <item x="3"/>
        <item x="4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487">
    <i>
      <x/>
    </i>
    <i r="1">
      <x v="1"/>
    </i>
    <i r="2">
      <x/>
    </i>
    <i r="3">
      <x v="4"/>
    </i>
    <i r="4">
      <x v="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4"/>
    </i>
    <i r="4">
      <x v="1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1"/>
    </i>
    <i r="3">
      <x v="2"/>
    </i>
    <i r="4">
      <x v="5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3">
      <x/>
    </i>
    <i r="4">
      <x v="3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3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2"/>
    </i>
    <i r="3">
      <x v="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 v="3"/>
    </i>
    <i r="3">
      <x v="3"/>
    </i>
    <i r="4">
      <x/>
    </i>
    <i r="5">
      <x v="2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2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3"/>
    </i>
    <i r="3">
      <x v="3"/>
    </i>
    <i r="4">
      <x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2"/>
    </i>
    <i r="7">
      <x v="1"/>
    </i>
    <i r="8">
      <x v="1"/>
    </i>
    <i r="8">
      <x v="5"/>
    </i>
    <i r="8">
      <x v="7"/>
    </i>
    <i r="8">
      <x v="8"/>
    </i>
    <i r="4">
      <x v="2"/>
    </i>
    <i r="5">
      <x v="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2"/>
    </i>
    <i r="7">
      <x v="1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1"/>
    </i>
    <i r="3">
      <x v="2"/>
    </i>
    <i r="4">
      <x v="4"/>
    </i>
    <i r="5">
      <x v="3"/>
    </i>
    <i r="6">
      <x v="2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82">
    <format dxfId="550">
      <pivotArea outline="0" collapsedLevelsAreSubtotals="1" fieldPosition="0"/>
    </format>
    <format dxfId="54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48">
      <pivotArea type="all" dataOnly="0" outline="0" fieldPosition="0"/>
    </format>
    <format dxfId="547">
      <pivotArea outline="0" collapsedLevelsAreSubtotals="1" fieldPosition="0"/>
    </format>
    <format dxfId="546">
      <pivotArea field="31" type="button" dataOnly="0" labelOnly="1" outline="0" axis="axisRow" fieldPosition="0"/>
    </format>
    <format dxfId="545">
      <pivotArea dataOnly="0" labelOnly="1" fieldPosition="0">
        <references count="1">
          <reference field="31" count="0"/>
        </references>
      </pivotArea>
    </format>
    <format dxfId="544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543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542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541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540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4"/>
          </reference>
        </references>
      </pivotArea>
    </format>
    <format dxfId="539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538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537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536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535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53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53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532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531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530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52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528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527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52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5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23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22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2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2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1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1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1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1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1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51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1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1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51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1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0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08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0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50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50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50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50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50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0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0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9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9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9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9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9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9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9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9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9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9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8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8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8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48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48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8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48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48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48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48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47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47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47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47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47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47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0"/>
            <x v="3"/>
          </reference>
          <reference field="31" count="1" selected="0">
            <x v="3"/>
          </reference>
        </references>
      </pivotArea>
    </format>
    <format dxfId="47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47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47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47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46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46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46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46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46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46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46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6"/>
          </reference>
        </references>
      </pivotArea>
    </format>
    <format dxfId="46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46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46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5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5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5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5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45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45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5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5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5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45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44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44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44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44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4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4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4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4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4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44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3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3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43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3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43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3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2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42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2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2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2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2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42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42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42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42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41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41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41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4">
            <x v="1"/>
            <x v="5"/>
            <x v="7"/>
            <x v="8"/>
          </reference>
          <reference field="31" count="1" selected="0">
            <x v="5"/>
          </reference>
        </references>
      </pivotArea>
    </format>
    <format dxfId="41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1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40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08">
      <pivotArea type="all" dataOnly="0" outline="0" fieldPosition="0"/>
    </format>
    <format dxfId="407">
      <pivotArea outline="0" collapsedLevelsAreSubtotals="1" fieldPosition="0"/>
    </format>
    <format dxfId="406">
      <pivotArea field="31" type="button" dataOnly="0" labelOnly="1" outline="0" axis="axisRow" fieldPosition="0"/>
    </format>
    <format dxfId="405">
      <pivotArea dataOnly="0" labelOnly="1" fieldPosition="0">
        <references count="1">
          <reference field="31" count="0"/>
        </references>
      </pivotArea>
    </format>
    <format dxfId="404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403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402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401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400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4"/>
          </reference>
        </references>
      </pivotArea>
    </format>
    <format dxfId="399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398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397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96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95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9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39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92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91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390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8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388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87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8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5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83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82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8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8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7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7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7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7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7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7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7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7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7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7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6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68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6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6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6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36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6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6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6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6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5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5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5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5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5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5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5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5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5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5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4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4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4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34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34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4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4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34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34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4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3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3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3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33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33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33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0"/>
            <x v="3"/>
          </reference>
          <reference field="31" count="1" selected="0">
            <x v="3"/>
          </reference>
        </references>
      </pivotArea>
    </format>
    <format dxfId="33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3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3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3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2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2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2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2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2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2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6"/>
          </reference>
        </references>
      </pivotArea>
    </format>
    <format dxfId="32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32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2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1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1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1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1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31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31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1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1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1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1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0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0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30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30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0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0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0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0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0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30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9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9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9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9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9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9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8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8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8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8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8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8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7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7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7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4">
            <x v="1"/>
            <x v="5"/>
            <x v="7"/>
            <x v="8"/>
          </reference>
          <reference field="31" count="1" selected="0">
            <x v="5"/>
          </reference>
        </references>
      </pivotArea>
    </format>
    <format dxfId="27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7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8BE5EDF-6D10-43F3-86C0-BCB00B0A85D2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9F62BB29-CB6D-4617-B09B-4147EFD6FF3A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D70ECB60-1645-41D5-A1D1-82AAE2BD4907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F74883-A8B1-4474-B7EC-6299672B5A4F}" name="Efeito" displayName="Efeito" ref="A1:AG921" totalsRowShown="0" headerRowDxfId="1023" dataDxfId="1022">
  <autoFilter ref="A1:AG921" xr:uid="{66F74883-A8B1-4474-B7EC-6299672B5A4F}"/>
  <tableColumns count="33">
    <tableColumn id="1" xr3:uid="{E05BB916-7394-4C4A-A9EB-0BA17956CBBD}" name="TipoMercado" dataDxfId="1021"/>
    <tableColumn id="2" xr3:uid="{187D322D-DE50-4250-BCD1-82F64543F5FF}" name="Subgrupo" dataDxfId="1020"/>
    <tableColumn id="3" xr3:uid="{FE7F91E0-0840-48B7-827E-E99076C4B026}" name="Modalidade" dataDxfId="1019"/>
    <tableColumn id="4" xr3:uid="{1D91E038-739D-4895-B725-E9EBE3D1FFC7}" name="Classe" dataDxfId="1018"/>
    <tableColumn id="5" xr3:uid="{8ECEA742-DD29-4DE7-BBE6-5874A9221B79}" name="Subclasse" dataDxfId="1017"/>
    <tableColumn id="6" xr3:uid="{2369DA3E-8465-495C-8F70-485C98B02618}" name="Detalhe" dataDxfId="1016"/>
    <tableColumn id="7" xr3:uid="{E49F834E-E1BE-4A5A-ACCC-EBC9A1A264F3}" name="Agente" dataDxfId="1015"/>
    <tableColumn id="8" xr3:uid="{7FBF149D-623E-4745-9CF8-479791A290E2}" name="Posto" dataDxfId="1014"/>
    <tableColumn id="9" xr3:uid="{DC118E75-5576-4123-8EFE-F453FE119869}" name="AnoMes" dataDxfId="1013"/>
    <tableColumn id="10" xr3:uid="{21BE2306-8A2F-415F-9B00-5AF99B0DF321}" name="D" dataDxfId="1012"/>
    <tableColumn id="11" xr3:uid="{45A8CBB1-420A-4A67-8CB4-E0902578F2DC}" name="Daj" dataDxfId="1011"/>
    <tableColumn id="12" xr3:uid="{B8634E22-91B1-4759-B11F-DAC9E6D82412}" name="TUSD_E" dataDxfId="1010"/>
    <tableColumn id="13" xr3:uid="{685EF4B5-9AEF-4802-8E40-6271F21E69FB}" name="TUSD_Eaj" dataDxfId="1009"/>
    <tableColumn id="14" xr3:uid="{3A343B06-B16B-4A44-809F-0B78DFA746B3}" name="TE_E" dataDxfId="1008"/>
    <tableColumn id="15" xr3:uid="{9A88FBFA-F6FC-41A1-A8E4-9A7FD21991F7}" name="TE_Eaj" dataDxfId="1007"/>
    <tableColumn id="16" xr3:uid="{D72C5D20-ED2E-491A-975A-7DA515B92A17}" name="UC" dataDxfId="1006"/>
    <tableColumn id="17" xr3:uid="{1AF45C76-62FD-4968-BEF5-C3D48104BF9E}" name="OPÇÃO" dataDxfId="1005"/>
    <tableColumn id="18" xr3:uid="{3A04028D-BBFC-4E07-A2C5-11A8B6B7B0C8}" name="CóD. AUX." dataDxfId="1004"/>
    <tableColumn id="19" xr3:uid="{3BC3743D-CA9A-4D2E-B6D5-8C192A04E77A}" name="CóD. AUX. TUSD R$/kW" dataDxfId="1003"/>
    <tableColumn id="20" xr3:uid="{9C17EC8B-4712-46F7-B905-D633B20F0882}" name="CóD. AUX. TUSD R$/MWh" dataDxfId="1002"/>
    <tableColumn id="21" xr3:uid="{1B4DA07C-15B3-48A0-8B6F-E2164D231EF8}" name="CóD. AUX. TE R$/MWh" dataDxfId="1001"/>
    <tableColumn id="22" xr3:uid="{3F16CE66-20C4-4543-87CE-BD49C7C83336}" name="TUSD (R$/kW)" dataDxfId="1000"/>
    <tableColumn id="23" xr3:uid="{3DD8EBA0-A2A5-4279-9278-30AA33378C72}" name="TUSD (R$/MWh)" dataDxfId="999"/>
    <tableColumn id="24" xr3:uid="{25F39A04-0654-4F1D-94E8-DD4D9AF1583B}" name="TE (R$/MWh)" dataDxfId="998"/>
    <tableColumn id="25" xr3:uid="{6E3B8240-461A-4661-AAAB-4311C424A401}" name="TUSD (R$/kW) NOVA" dataDxfId="997"/>
    <tableColumn id="26" xr3:uid="{3A260685-C649-47CD-AFBC-A426AF4BE242}" name="TUSD (R$/MWh) NOVA" dataDxfId="996">
      <calculatedColumnFormula>('TUSD BE'!$AM$51+'TUSD BF'!$AM$51+'TUSD CVA'!$AM$51)*1</calculatedColumnFormula>
    </tableColumn>
    <tableColumn id="27" xr3:uid="{4F1DDB56-F318-4257-8BB9-AD4B82A6F438}" name="TE (R$/MWh) NOVA" dataDxfId="995">
      <calculatedColumnFormula>('TE BE'!$AB$41+'TE BF'!$AB$41+'TE CVA'!$AB$41)*1</calculatedColumnFormula>
    </tableColumn>
    <tableColumn id="28" xr3:uid="{5D21F910-D702-43C1-A0E3-007146BC72D6}" name="RA0 ou RV - TUSD (kW)" dataDxfId="994"/>
    <tableColumn id="29" xr3:uid="{9B48E2BA-6668-49F1-8FBA-7CE57F91C90E}" name="RA0 ou RV - TUSD (MWh)" dataDxfId="993"/>
    <tableColumn id="30" xr3:uid="{331AA421-B272-4C4E-A35A-9EC784254FD9}" name="RA0 ou RV - TE (MWh)" dataDxfId="992"/>
    <tableColumn id="31" xr3:uid="{14B412B8-ACF4-4CEA-BEF4-D6E324EBCEDA}" name="RA1 ou RRD - TUSD (kW)" dataDxfId="991"/>
    <tableColumn id="32" xr3:uid="{AC00614F-FC2F-4056-A1A4-F3DD3082B837}" name="RA1 ou RRD - TUSD (MWh)" dataDxfId="990"/>
    <tableColumn id="33" xr3:uid="{4D8A12F0-608B-47CC-AACC-89D3E452EF35}" name="RA1 ou RRD - TE (MWh)" dataDxfId="98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8E4372-DC52-4666-94DF-7D50F137D28F}" name="Subsidio" displayName="Subsidio" ref="A1:AF457" totalsRowShown="0" headerRowDxfId="988" dataDxfId="987">
  <autoFilter ref="A1:AF457" xr:uid="{9C8E4372-DC52-4666-94DF-7D50F137D28F}"/>
  <tableColumns count="32">
    <tableColumn id="1" xr3:uid="{3AD83D0A-7D76-419A-8A49-823045276ED5}" name="TipoMercado" dataDxfId="986"/>
    <tableColumn id="2" xr3:uid="{04C133A2-DDE1-4DBA-A1A0-57D2F38453E2}" name="Subgrupo" dataDxfId="985"/>
    <tableColumn id="3" xr3:uid="{2992C162-7420-49DE-87EB-868A575BC349}" name="Modalidade" dataDxfId="984"/>
    <tableColumn id="4" xr3:uid="{2E9193D9-B1C1-43FE-A128-9EF1A630AA73}" name="Classe" dataDxfId="983"/>
    <tableColumn id="5" xr3:uid="{4F305F6C-58D1-49A0-B4BF-9898DEEB41A5}" name="Subclasse" dataDxfId="982"/>
    <tableColumn id="6" xr3:uid="{07DED9AC-0217-4067-853D-9A0A3EF675BA}" name="Detalhe" dataDxfId="981"/>
    <tableColumn id="7" xr3:uid="{0AAAAB69-1649-40C4-89DC-027B7CF017F7}" name="Agente" dataDxfId="980"/>
    <tableColumn id="8" xr3:uid="{F209DBDC-D26D-4320-99DE-E1B3AE1DAF19}" name="Posto" dataDxfId="979"/>
    <tableColumn id="9" xr3:uid="{29B0302F-2710-469A-9112-E2783E2D08D8}" name="AnoMes" dataDxfId="978"/>
    <tableColumn id="10" xr3:uid="{470A73D6-B110-45E7-9168-593C32D0AE5C}" name="D" dataDxfId="977"/>
    <tableColumn id="11" xr3:uid="{BD73D027-75BC-47B0-A985-BA7349504B77}" name="Daj" dataDxfId="976"/>
    <tableColumn id="12" xr3:uid="{963CE79A-73D1-4226-89B7-E07465426075}" name="TUSD_E" dataDxfId="975"/>
    <tableColumn id="13" xr3:uid="{DA851BFE-F388-463B-915C-B9665349BC75}" name="TUSD_Eaj" dataDxfId="974"/>
    <tableColumn id="14" xr3:uid="{43D29ABF-0137-4AEB-95FD-0E3E158013A8}" name="TE_E" dataDxfId="973"/>
    <tableColumn id="15" xr3:uid="{ED7E9CC9-2AA2-4C76-AE8E-19A3AFD9864E}" name="TE_Eaj" dataDxfId="972"/>
    <tableColumn id="16" xr3:uid="{5319B5D8-E45C-4049-9A61-CAB3E96E2A38}" name="UC" dataDxfId="971"/>
    <tableColumn id="17" xr3:uid="{57D8F610-4A45-4820-89C3-D4894906348A}" name="OPÇÃO" dataDxfId="970"/>
    <tableColumn id="18" xr3:uid="{EDF5419D-318A-4770-A78A-2C48142D6374}" name="CóD. AUX." dataDxfId="969"/>
    <tableColumn id="19" xr3:uid="{8D0A1E09-B292-48E4-982D-C794CBC6D1B5}" name="CóD. AUX. TUSD R$/kW" dataDxfId="968"/>
    <tableColumn id="20" xr3:uid="{EE5E3A8A-3AC2-434C-B4F1-CF67A89A0EC7}" name="CóD. AUX. TUSD R$/MWh" dataDxfId="967"/>
    <tableColumn id="21" xr3:uid="{B024868C-B9B3-4034-BC6D-4714CEAC832A}" name="CóD. AUX. TE R$/MWh" dataDxfId="966"/>
    <tableColumn id="22" xr3:uid="{54469CC9-DE77-482B-9628-E24FBCDAD6E9}" name="TUSD (R$/kW)" dataDxfId="965"/>
    <tableColumn id="23" xr3:uid="{7C44FAF4-E5E2-43B0-9CAC-AF9D2A52044C}" name="TUSD (R$/MWh)" dataDxfId="964"/>
    <tableColumn id="24" xr3:uid="{F0B3D93F-50AE-410E-B917-1C1ED36E7314}" name="TE (R$/MWh)" dataDxfId="963"/>
    <tableColumn id="25" xr3:uid="{58A5622F-6D09-4F7B-9818-7E0B7A98B607}" name="TUSD (R$/kW) NOVA" dataDxfId="962"/>
    <tableColumn id="26" xr3:uid="{ACC3DAE8-1C8F-418F-8826-028DEF538570}" name="TUSD (R$/MWh) NOVA" dataDxfId="961">
      <calculatedColumnFormula>('TUSD BE'!$AM$49+'TUSD BF'!$AM$49+'TUSD CVA'!$AM$49)*1</calculatedColumnFormula>
    </tableColumn>
    <tableColumn id="27" xr3:uid="{849BDF3E-E14F-4362-9584-8CAE3994415E}" name="TE (R$/MWh) NOVA" dataDxfId="960">
      <calculatedColumnFormula>('TE BE'!$AB$39+'TE BF'!$AB$39+'TE CVA'!$AB$39)*1</calculatedColumnFormula>
    </tableColumn>
    <tableColumn id="28" xr3:uid="{A31E92DC-410C-449A-979D-C0F018D64444}" name="SUBSIDIO kW - TV" dataDxfId="959">
      <calculatedColumnFormula>(J2-K2)*V2</calculatedColumnFormula>
    </tableColumn>
    <tableColumn id="29" xr3:uid="{1D71E8B4-5773-4162-9FCF-100116101FF9}" name="SUBSIDIO MWh - TV" dataDxfId="958">
      <calculatedColumnFormula>(L2-M2)*W2+(N2-O2)*X2</calculatedColumnFormula>
    </tableColumn>
    <tableColumn id="30" xr3:uid="{5EFCCF63-40D1-4B1F-A4F5-BBCC8266695B}" name="SUBSIDIO kW - TN" dataDxfId="957">
      <calculatedColumnFormula>(J2-K2)*Y2</calculatedColumnFormula>
    </tableColumn>
    <tableColumn id="31" xr3:uid="{9656BACA-A535-430C-9CB6-C1F79D45949A}" name="SUBSIDIO MWh - TN" dataDxfId="956">
      <calculatedColumnFormula>(L2-M2)*Z2+(N2-O2)*AA2</calculatedColumnFormula>
    </tableColumn>
    <tableColumn id="32" xr3:uid="{0326ED52-E748-4432-A3FC-A167E62D1620}" name="TIPO" dataDxfId="9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C66F1F-75BA-408B-B6ED-49F314B51C9D}" name="Efeito4" displayName="Efeito4" ref="A1:AG921" totalsRowShown="0" headerRowDxfId="178" dataDxfId="177">
  <autoFilter ref="A1:AG921" xr:uid="{66F74883-A8B1-4474-B7EC-6299672B5A4F}"/>
  <tableColumns count="33">
    <tableColumn id="1" xr3:uid="{0202864C-6AD9-4D77-BDEC-441DE198BBD2}" name="TipoMercado" dataDxfId="176"/>
    <tableColumn id="2" xr3:uid="{7A536E17-1DAC-494D-8D4A-F5F2C8D431FD}" name="Subgrupo" dataDxfId="175"/>
    <tableColumn id="3" xr3:uid="{3AE36D7E-BF2E-4854-9595-C33F023681FB}" name="Modalidade" dataDxfId="174"/>
    <tableColumn id="4" xr3:uid="{447581AC-ABD9-49CD-A3FE-2040B27D2849}" name="Classe" dataDxfId="173"/>
    <tableColumn id="5" xr3:uid="{4B285C46-4689-4F77-A030-B53E678FDB8F}" name="Subclasse" dataDxfId="172"/>
    <tableColumn id="6" xr3:uid="{8DA36B89-A1DB-460E-AF8F-39FFEEAFDAB4}" name="Detalhe" dataDxfId="171"/>
    <tableColumn id="7" xr3:uid="{76F5DB29-5C72-4E47-8F23-CC59B6AAD35E}" name="Agente" dataDxfId="170"/>
    <tableColumn id="8" xr3:uid="{65AE93B6-4DDC-4CF8-B3E9-0665AD26226D}" name="Posto" dataDxfId="169"/>
    <tableColumn id="9" xr3:uid="{AD920DB3-6A45-403A-BFA9-10070B0F5273}" name="AnoMes" dataDxfId="168"/>
    <tableColumn id="10" xr3:uid="{B45E64B5-0580-497B-A322-2150F7B5CD58}" name="D" dataDxfId="167"/>
    <tableColumn id="11" xr3:uid="{AFE18350-6752-4B22-A21B-305B9767ADD6}" name="Daj" dataDxfId="166"/>
    <tableColumn id="12" xr3:uid="{D0C3C0EE-E29F-4BC1-89D7-7BCC689FEFF7}" name="TUSD_E" dataDxfId="165"/>
    <tableColumn id="13" xr3:uid="{2DF5BEEB-644E-4A75-AF15-803CAD3B8314}" name="TUSD_Eaj" dataDxfId="164"/>
    <tableColumn id="14" xr3:uid="{2715BAD2-07B6-404F-B992-A7CC2478AD3E}" name="TE_E" dataDxfId="163"/>
    <tableColumn id="15" xr3:uid="{B8A21768-0D80-4EC2-8131-349EE2E38E7A}" name="TE_Eaj" dataDxfId="162"/>
    <tableColumn id="16" xr3:uid="{EC4B8CFA-273F-4621-BCC4-28B8466EE4C6}" name="UC" dataDxfId="161"/>
    <tableColumn id="17" xr3:uid="{678E9DD2-5FF3-4964-B3C5-623B737E5243}" name="OPÇÃO" dataDxfId="160"/>
    <tableColumn id="18" xr3:uid="{7F08780F-EE96-4A9D-AC5F-6A2CB04ACF0B}" name="CóD. AUX." dataDxfId="159"/>
    <tableColumn id="19" xr3:uid="{736711C1-FEA2-43EF-89B4-D72B2E5ACF08}" name="CóD. AUX. TUSD R$/kW" dataDxfId="158"/>
    <tableColumn id="20" xr3:uid="{D60E58E6-CA54-49E0-B7C4-95E3E2ECC9D1}" name="CóD. AUX. TUSD R$/MWh" dataDxfId="157"/>
    <tableColumn id="21" xr3:uid="{5AB61837-EA43-4B6F-9166-495579AFC47C}" name="CóD. AUX. TE R$/MWh" dataDxfId="156"/>
    <tableColumn id="22" xr3:uid="{F39061C4-3A0D-4CB0-ADE5-FE8DE7C32222}" name="TUSD (R$/kW)" dataDxfId="155"/>
    <tableColumn id="23" xr3:uid="{4703A427-E83E-4D2C-AC99-45A9979A6F4D}" name="TUSD (R$/MWh)" dataDxfId="154"/>
    <tableColumn id="24" xr3:uid="{B005BBE9-48C4-4B15-9FD4-53159C2F51DB}" name="TE (R$/MWh)" dataDxfId="153"/>
    <tableColumn id="25" xr3:uid="{A96336C8-D948-4CE6-906F-A0BB6C108968}" name="TUSD (R$/kW) NOVA" dataDxfId="152"/>
    <tableColumn id="26" xr3:uid="{6186CAF7-F4B9-49C0-949E-DB2C3AE9FFE0}" name="TUSD (R$/MWh) NOVA" dataDxfId="151">
      <calculatedColumnFormula>('TUSD BE'!$AM$51+'TUSD BF'!$AM$51+'TUSD CVA'!$AM$51)*1</calculatedColumnFormula>
    </tableColumn>
    <tableColumn id="27" xr3:uid="{A4A2FF68-D593-465D-85B1-3237B439629B}" name="TE (R$/MWh) NOVA" dataDxfId="150">
      <calculatedColumnFormula>('TE BE'!$AB$41+'TE BF'!$AB$41+'TE CVA'!$AB$41)*1</calculatedColumnFormula>
    </tableColumn>
    <tableColumn id="28" xr3:uid="{B7CC24DA-BC50-46E1-A795-8978B6501243}" name="RA0 ou RV - TUSD (kW)" dataDxfId="149"/>
    <tableColumn id="29" xr3:uid="{4C869A50-883F-4A56-A72A-0E312F00FF80}" name="RA0 ou RV - TUSD (MWh)" dataDxfId="148"/>
    <tableColumn id="30" xr3:uid="{05CC4269-873B-4680-8E34-2C0BCE314549}" name="RA0 ou RV - TE (MWh)" dataDxfId="147"/>
    <tableColumn id="31" xr3:uid="{35E39116-6B96-41AE-A9CE-CC0844B699AA}" name="RA1 ou RRD - TUSD (kW)" dataDxfId="146"/>
    <tableColumn id="32" xr3:uid="{46E76524-9F0B-4389-B0BA-2B1E70EE7562}" name="RA1 ou RRD - TUSD (MWh)" dataDxfId="145"/>
    <tableColumn id="33" xr3:uid="{2EFDE84D-77AD-4A4F-A5F6-377CFBA857CB}" name="RA1 ou RRD - TE (MWh)" dataDxfId="1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DD2575-F9DF-4069-802C-50B10B3CB7A6}" name="TabelaFin" displayName="TabelaFin" ref="B3:AR51" tableType="queryTable" totalsRowShown="0" headerRowDxfId="143" dataDxfId="141" headerRowBorderDxfId="142" tableBorderDxfId="140" totalsRowBorderDxfId="139">
  <autoFilter ref="B3:AR51" xr:uid="{4FDD2575-F9DF-4069-802C-50B10B3CB7A6}"/>
  <sortState xmlns:xlrd2="http://schemas.microsoft.com/office/spreadsheetml/2017/richdata2" ref="B4:AR51">
    <sortCondition ref="B4:B51"/>
    <sortCondition ref="C4:C51"/>
    <sortCondition ref="D4:D51"/>
    <sortCondition ref="E4:E51"/>
    <sortCondition ref="F4:F51"/>
    <sortCondition descending="1" ref="G4:G51"/>
    <sortCondition descending="1" ref="H4:H51"/>
    <sortCondition ref="I4:I51"/>
  </sortState>
  <tableColumns count="43">
    <tableColumn id="44" xr3:uid="{CB87A3A6-AD26-4E62-BCE7-91AC7A879339}" uniqueName="44" name="SUBGRUPO" queryTableFieldId="1" dataDxfId="138"/>
    <tableColumn id="45" xr3:uid="{4CCC53A4-FC50-4ED5-A221-E25EEEF7032D}" uniqueName="45" name="MODALIDADE" queryTableFieldId="2" dataDxfId="137"/>
    <tableColumn id="46" xr3:uid="{75A8A407-B538-46BD-BF2A-31CBBDA95B73}" uniqueName="46" name="CLASSE" queryTableFieldId="3" dataDxfId="136"/>
    <tableColumn id="47" xr3:uid="{E937DEDB-A9FF-4293-ADC2-23D9B436EA75}" uniqueName="47" name="SUBCLASSE" queryTableFieldId="4" dataDxfId="135"/>
    <tableColumn id="48" xr3:uid="{87C9A728-2FAA-488E-B148-D0B2199CF689}" uniqueName="48" name="DETALHE" queryTableFieldId="5" dataDxfId="134"/>
    <tableColumn id="49" xr3:uid="{E2A36652-E1A4-4D4C-8DDB-5BFD33706D8D}" uniqueName="49" name="POSTO" queryTableFieldId="6" dataDxfId="133"/>
    <tableColumn id="50" xr3:uid="{F32D46F9-9A8A-4984-A718-4D3A677A8BC7}" uniqueName="50" name="UNIDADE" queryTableFieldId="7" dataDxfId="132"/>
    <tableColumn id="51" xr3:uid="{CD57727C-11D3-4E4F-8894-7BC60264A547}" uniqueName="51" name="ACESSANTE" queryTableFieldId="8" dataDxfId="131"/>
    <tableColumn id="52" xr3:uid="{A0676ACE-5C3B-4C88-A5F1-0A0D1E645FAD}" uniqueName="52" name="Total TUSD" queryTableFieldId="9" dataDxfId="130"/>
    <tableColumn id="53" xr3:uid="{7195CD93-A9AF-4F61-AAF0-66FE85E79A8B}" uniqueName="53" name="Total TE" queryTableFieldId="10" dataDxfId="129"/>
    <tableColumn id="54" xr3:uid="{28CF8971-DA7E-4E5F-89C0-A9E8FF6D7BE7}" uniqueName="54" name="TUSD_CDE_COVID" queryTableFieldId="11" dataDxfId="128"/>
    <tableColumn id="55" xr3:uid="{72E66CC2-6F60-4C3C-8684-25DAD0498C87}" uniqueName="55" name="TUSD_TFSEE" queryTableFieldId="12" dataDxfId="127"/>
    <tableColumn id="56" xr3:uid="{2482CEE7-3ECD-43F9-B393-8D42ED3F59F2}" uniqueName="56" name="TUSD_PeD" queryTableFieldId="13" dataDxfId="126"/>
    <tableColumn id="57" xr3:uid="{247F481B-B50E-49B4-86DC-8AA51CB32579}" uniqueName="57" name="TUSD_ONS" queryTableFieldId="14" dataDxfId="125"/>
    <tableColumn id="58" xr3:uid="{508A83C4-5DC1-4735-A775-47EAE7E16A65}" uniqueName="58" name="TUSD_CCC" queryTableFieldId="15" dataDxfId="124"/>
    <tableColumn id="59" xr3:uid="{1017263F-D613-4A2C-A3BA-7871558001B8}" uniqueName="59" name="TUSD_CDE" queryTableFieldId="16" dataDxfId="123"/>
    <tableColumn id="60" xr3:uid="{C961618F-0CEB-4791-8E1C-4FD555976CD2}" uniqueName="60" name="TUSD_PROINFA" queryTableFieldId="17" dataDxfId="122"/>
    <tableColumn id="61" xr3:uid="{2CDAE2E4-A7E6-46AD-A2D3-F3933EA267F5}" uniqueName="61" name="Liminar1" queryTableFieldId="18" dataDxfId="121"/>
    <tableColumn id="62" xr3:uid="{E4D6573A-3289-4065-BCDA-FD6A9C657E8A}" uniqueName="62" name="TUSD_RB" queryTableFieldId="19" dataDxfId="120"/>
    <tableColumn id="63" xr3:uid="{AA0DCA99-4AE2-4F7D-927D-2ADBE20B07C4}" uniqueName="63" name="TUSD_FR" queryTableFieldId="20" dataDxfId="119"/>
    <tableColumn id="64" xr3:uid="{11BD54B8-F949-4215-A70C-95F6E64D0EA3}" uniqueName="64" name="TUSD_CCT" queryTableFieldId="21" dataDxfId="118"/>
    <tableColumn id="65" xr3:uid="{5BFA5E51-460D-494D-9B2A-6AD797F43A7A}" uniqueName="65" name="TUSD_CCD" queryTableFieldId="22" dataDxfId="117"/>
    <tableColumn id="66" xr3:uid="{1FCC4A8A-FCC3-4389-90F2-F27D85C8E018}" uniqueName="66" name="TUSD_CUSD" queryTableFieldId="23" dataDxfId="116"/>
    <tableColumn id="67" xr3:uid="{23CC13AD-C03F-4A2B-9EA2-11EFA1238382}" uniqueName="67" name="TUSDG_T" queryTableFieldId="24" dataDxfId="115"/>
    <tableColumn id="68" xr3:uid="{C3731240-9EF4-41E7-A8B8-AF93A2D58A7F}" uniqueName="68" name="TUSDG_ONS" queryTableFieldId="25" dataDxfId="114"/>
    <tableColumn id="69" xr3:uid="{D2E6100F-D67C-4F15-AEAE-0D4429BB7C0B}" uniqueName="69" name="TUSD_FioB" queryTableFieldId="26" dataDxfId="113"/>
    <tableColumn id="70" xr3:uid="{95A6D122-1A5E-4232-9155-1DD5280B8615}" uniqueName="70" name="TUSD Subsidio" queryTableFieldId="27" dataDxfId="112"/>
    <tableColumn id="71" xr3:uid="{408A1798-550E-46FA-8330-CC0440188DD0}" uniqueName="71" name="TUSD Outros" queryTableFieldId="28" dataDxfId="111"/>
    <tableColumn id="72" xr3:uid="{789C3B2F-8428-4004-AD58-012C2757C183}" uniqueName="72" name="TUSD_PT" queryTableFieldId="29" dataDxfId="110"/>
    <tableColumn id="73" xr3:uid="{F90AC978-9E1E-42C1-BF06-3E6536744496}" uniqueName="73" name="TUSD_Per_RB_D" queryTableFieldId="30" dataDxfId="109"/>
    <tableColumn id="74" xr3:uid="{93D98263-741A-457E-B4C6-08F6EE3098FE}" uniqueName="74" name="TUSD_PNT" queryTableFieldId="31" dataDxfId="108"/>
    <tableColumn id="75" xr3:uid="{78487BDB-4AA7-4623-A5AE-103439DC5610}" uniqueName="75" name="TUSD_RI" queryTableFieldId="32" dataDxfId="107"/>
    <tableColumn id="76" xr3:uid="{83BD3A55-03DD-4C82-8257-6F15DAB71A63}" uniqueName="76" name="TE_CDE_COVID" queryTableFieldId="33" dataDxfId="106"/>
    <tableColumn id="77" xr3:uid="{EA41ADB2-F837-4AFE-9A9D-3E74C3EA34EE}" uniqueName="77" name="TE_CDE_ELET" queryTableFieldId="34" dataDxfId="105"/>
    <tableColumn id="78" xr3:uid="{078D479F-0042-4C37-8AE8-410963C04C5B}" uniqueName="78" name="TE_PeD" queryTableFieldId="35" dataDxfId="104"/>
    <tableColumn id="79" xr3:uid="{FF948222-F235-42E1-B56B-FDF0157B32E9}" uniqueName="79" name="TE_ESSERR" queryTableFieldId="36" dataDxfId="103"/>
    <tableColumn id="80" xr3:uid="{83C8E5A9-EAB6-442C-A216-F13ADD94B3E6}" uniqueName="80" name="TE_CFURH" queryTableFieldId="37" dataDxfId="102"/>
    <tableColumn id="81" xr3:uid="{5AC34175-7727-4D97-A42C-2409C537385B}" uniqueName="81" name="TE_ENERGIA" queryTableFieldId="38" dataDxfId="101"/>
    <tableColumn id="82" xr3:uid="{E5020B2A-5C3F-4190-8ACA-99CB74999FEB}" uniqueName="82" name="TE_TRANSPORTE_ITAIPU" queryTableFieldId="39" dataDxfId="100"/>
    <tableColumn id="83" xr3:uid="{65A8D304-9688-414C-9787-A5765190F0D3}" uniqueName="83" name="TE_TUST_ITAIPU" queryTableFieldId="40" dataDxfId="99"/>
    <tableColumn id="84" xr3:uid="{43FE5F7B-4811-484B-8A37-2875185670AF}" uniqueName="84" name="TE_TUST_CI" queryTableFieldId="41" dataDxfId="98"/>
    <tableColumn id="85" xr3:uid="{BC01DF71-EEB6-432A-B2D3-EB975DF95E24}" uniqueName="85" name="TE Subsidio" queryTableFieldId="42" dataDxfId="97"/>
    <tableColumn id="86" xr3:uid="{51CDCDCC-B296-4366-B5BB-60704ADF4C3E}" uniqueName="86" name="TE_Per_RB" queryTableFieldId="43" dataDxfId="9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18AFED-DE49-49C6-81C0-273BC861FF7E}" name="TabelaEc" displayName="TabelaEc" ref="B3:AR51" tableType="queryTable" totalsRowShown="0" headerRowDxfId="95" dataDxfId="93" headerRowBorderDxfId="94" tableBorderDxfId="92" totalsRowBorderDxfId="91">
  <autoFilter ref="B3:AR51" xr:uid="{1E18AFED-DE49-49C6-81C0-273BC861FF7E}"/>
  <sortState xmlns:xlrd2="http://schemas.microsoft.com/office/spreadsheetml/2017/richdata2" ref="B4:AR51">
    <sortCondition ref="B4:B51"/>
    <sortCondition ref="C4:C51"/>
    <sortCondition ref="D4:D51"/>
    <sortCondition ref="E4:E51"/>
    <sortCondition ref="F4:F51"/>
    <sortCondition descending="1" ref="G4:G51"/>
    <sortCondition descending="1" ref="H4:H51"/>
    <sortCondition ref="I4:I51"/>
  </sortState>
  <tableColumns count="43">
    <tableColumn id="44" xr3:uid="{53D6725C-CF99-4D6F-BF41-BA43D89B1888}" uniqueName="44" name="SUBGRUPO" queryTableFieldId="1" dataDxfId="90"/>
    <tableColumn id="45" xr3:uid="{74CD14A6-F011-4ECB-9487-9CA73D4872EC}" uniqueName="45" name="MODALIDADE" queryTableFieldId="2" dataDxfId="89"/>
    <tableColumn id="46" xr3:uid="{610AFDAA-682A-4040-8DD0-29F76DB8F9F5}" uniqueName="46" name="CLASSE" queryTableFieldId="3" dataDxfId="88"/>
    <tableColumn id="47" xr3:uid="{8D932594-C572-4237-8182-0FD1897D0C09}" uniqueName="47" name="SUBCLASSE" queryTableFieldId="4" dataDxfId="87"/>
    <tableColumn id="48" xr3:uid="{E58BB65B-B22C-43AC-9E7B-02650AD52639}" uniqueName="48" name="DETALHE" queryTableFieldId="5" dataDxfId="86"/>
    <tableColumn id="49" xr3:uid="{AC5272AE-24C1-46CA-BE36-E3AD31D291B2}" uniqueName="49" name="POSTO" queryTableFieldId="6" dataDxfId="85"/>
    <tableColumn id="50" xr3:uid="{02552CA9-EAC9-4A83-9DBC-C67132992010}" uniqueName="50" name="UNIDADE" queryTableFieldId="7" dataDxfId="84"/>
    <tableColumn id="51" xr3:uid="{2B9B6ABD-F7CD-4FBD-AFFC-9C79DBA26717}" uniqueName="51" name="ACESSANTE" queryTableFieldId="8" dataDxfId="83"/>
    <tableColumn id="52" xr3:uid="{9F92A9D7-96D1-4E79-8481-8A4932AB1932}" uniqueName="52" name="Total TUSD" queryTableFieldId="9" dataDxfId="82"/>
    <tableColumn id="53" xr3:uid="{BCF1FAD8-C996-4417-A120-1263310926EA}" uniqueName="53" name="Total TE" queryTableFieldId="10" dataDxfId="81"/>
    <tableColumn id="54" xr3:uid="{095212C3-9EF1-417E-B273-1B13F5F59129}" uniqueName="54" name="TUSD_CDE_COVID" queryTableFieldId="11" dataDxfId="80"/>
    <tableColumn id="55" xr3:uid="{FE72D447-A98C-4CC1-BCFA-C85196719577}" uniqueName="55" name="TUSD_TFSEE" queryTableFieldId="12" dataDxfId="79"/>
    <tableColumn id="56" xr3:uid="{AFEC899F-0DB2-4036-A01F-0B8379859F4D}" uniqueName="56" name="TUSD_PeD" queryTableFieldId="13" dataDxfId="78"/>
    <tableColumn id="57" xr3:uid="{3E637313-3151-4A3A-8011-5CBBCA5CCB1E}" uniqueName="57" name="TUSD_ONS" queryTableFieldId="14" dataDxfId="77"/>
    <tableColumn id="58" xr3:uid="{653CE625-B905-46AC-84E4-C00917697C5D}" uniqueName="58" name="TUSD_CCC" queryTableFieldId="15" dataDxfId="76"/>
    <tableColumn id="59" xr3:uid="{E96520F3-B1F8-481C-A7CB-52EA44E60B50}" uniqueName="59" name="TUSD_CDE" queryTableFieldId="16" dataDxfId="75"/>
    <tableColumn id="60" xr3:uid="{AD3D4D23-E7BD-43EC-B37C-58C8EB49BE32}" uniqueName="60" name="TUSD_PROINFA" queryTableFieldId="17" dataDxfId="74"/>
    <tableColumn id="61" xr3:uid="{D6EC551B-8EA9-4CC0-8396-9C6E22F38F45}" uniqueName="61" name="Liminar1" queryTableFieldId="18" dataDxfId="73"/>
    <tableColumn id="62" xr3:uid="{CCE12E7E-0CD7-43D9-A7E4-ECBCFC49E96D}" uniqueName="62" name="TUSD_RB" queryTableFieldId="19" dataDxfId="72"/>
    <tableColumn id="63" xr3:uid="{545194B6-05EB-41BB-963D-02DE8351F5F3}" uniqueName="63" name="TUSD_FR" queryTableFieldId="20" dataDxfId="71"/>
    <tableColumn id="64" xr3:uid="{5002DCDC-EDE2-4F0D-93F6-1475E1CD7D2B}" uniqueName="64" name="TUSD_CCT" queryTableFieldId="21" dataDxfId="70"/>
    <tableColumn id="65" xr3:uid="{3FF317E4-5F76-49E8-BB36-C589E6B259E4}" uniqueName="65" name="TUSD_CCD" queryTableFieldId="22" dataDxfId="69"/>
    <tableColumn id="66" xr3:uid="{8809C6FB-CFAA-4848-8BC0-50D9DC22DFA8}" uniqueName="66" name="TUSD_CUSD" queryTableFieldId="23" dataDxfId="68"/>
    <tableColumn id="67" xr3:uid="{2E308115-DBA2-4819-93FC-1FE250F93334}" uniqueName="67" name="TUSDG_T" queryTableFieldId="24" dataDxfId="67"/>
    <tableColumn id="68" xr3:uid="{B427C2A7-8B13-4B8B-AFA2-51CA6CF9DF5E}" uniqueName="68" name="TUSDG_ONS" queryTableFieldId="25" dataDxfId="66"/>
    <tableColumn id="69" xr3:uid="{6A5196FD-EC94-47A4-B2C6-040124E25B3D}" uniqueName="69" name="TUSD_FioB" queryTableFieldId="26" dataDxfId="65"/>
    <tableColumn id="70" xr3:uid="{220939F8-FFEB-4462-8BAE-64FFA0E2A89C}" uniqueName="70" name="TUSD Subsidio" queryTableFieldId="27" dataDxfId="64"/>
    <tableColumn id="71" xr3:uid="{1D43BDB8-AB75-4C51-9742-FE121D9B22CC}" uniqueName="71" name="TUSD Outros" queryTableFieldId="28" dataDxfId="63"/>
    <tableColumn id="72" xr3:uid="{862DD39D-8657-456E-A053-8FD91F0A7D0A}" uniqueName="72" name="TUSD_PT" queryTableFieldId="29" dataDxfId="62"/>
    <tableColumn id="73" xr3:uid="{5E6C87B4-B721-4924-91E1-29AA48ED9ACE}" uniqueName="73" name="TUSD_Per_RB_D" queryTableFieldId="30" dataDxfId="61"/>
    <tableColumn id="74" xr3:uid="{72DCA1B0-7325-4F48-8C53-6FAB9617FD7C}" uniqueName="74" name="TUSD_PNT" queryTableFieldId="31" dataDxfId="60"/>
    <tableColumn id="75" xr3:uid="{53618C2A-D8D7-4F6C-922A-102AF17EDB35}" uniqueName="75" name="TUSD_RI" queryTableFieldId="32" dataDxfId="59"/>
    <tableColumn id="76" xr3:uid="{B6FE7101-0BDF-4186-9F01-4E28FE8649E9}" uniqueName="76" name="TE_CDE_COVID" queryTableFieldId="33" dataDxfId="58"/>
    <tableColumn id="77" xr3:uid="{B55AF66C-86F6-4C4F-894D-C6B0BC3EF78C}" uniqueName="77" name="TE_CDE_ELET" queryTableFieldId="34" dataDxfId="57"/>
    <tableColumn id="78" xr3:uid="{793C3626-0699-4162-95F0-23967E5F5601}" uniqueName="78" name="TE_PeD" queryTableFieldId="35" dataDxfId="56"/>
    <tableColumn id="79" xr3:uid="{BB213D0E-E6EF-42C8-9732-1F290802F66C}" uniqueName="79" name="TE_ESSERR" queryTableFieldId="36" dataDxfId="55"/>
    <tableColumn id="80" xr3:uid="{65656039-1847-4EEB-B3CB-6A785A08BEEA}" uniqueName="80" name="TE_CFURH" queryTableFieldId="37" dataDxfId="54"/>
    <tableColumn id="81" xr3:uid="{5F147DF2-EBDB-4F6A-8F71-2FF80C931E56}" uniqueName="81" name="TE_ENERGIA" queryTableFieldId="38" dataDxfId="53"/>
    <tableColumn id="82" xr3:uid="{653F098A-8D0E-488A-9B19-BBA97D371092}" uniqueName="82" name="TE_TRANSPORTE_ITAIPU" queryTableFieldId="39" dataDxfId="52"/>
    <tableColumn id="83" xr3:uid="{5646D4DF-E2A4-4ADB-8CB3-B0D94B41A2C3}" uniqueName="83" name="TE_TUST_ITAIPU" queryTableFieldId="40" dataDxfId="51"/>
    <tableColumn id="84" xr3:uid="{2B0021DA-6000-40C9-AC8F-FB463D46A2BC}" uniqueName="84" name="TE_TUST_CI" queryTableFieldId="41" dataDxfId="50"/>
    <tableColumn id="85" xr3:uid="{F4F6BFD9-81F7-42D8-A4ED-54A865FFA6C7}" uniqueName="85" name="TE Subsidio" queryTableFieldId="42" dataDxfId="49"/>
    <tableColumn id="86" xr3:uid="{6EB47FD6-2B93-4D70-B5DA-63C4671C15B8}" uniqueName="86" name="TE_Per_RB" queryTableFieldId="43" dataDxfId="4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98A469-CEB0-4CC0-B82F-9D0D546C043B}" name="TabelaCVA" displayName="TabelaCVA" ref="B3:AR51" tableType="queryTable" totalsRowShown="0" headerRowDxfId="47" dataDxfId="45" headerRowBorderDxfId="46" tableBorderDxfId="44" totalsRowBorderDxfId="43">
  <autoFilter ref="B3:AR51" xr:uid="{9C98A469-CEB0-4CC0-B82F-9D0D546C043B}"/>
  <sortState xmlns:xlrd2="http://schemas.microsoft.com/office/spreadsheetml/2017/richdata2" ref="B4:AR51">
    <sortCondition ref="B4:B51"/>
    <sortCondition ref="C4:C51"/>
    <sortCondition ref="D4:D51"/>
    <sortCondition ref="E4:E51"/>
    <sortCondition ref="F4:F51"/>
    <sortCondition descending="1" ref="G4:G51"/>
    <sortCondition descending="1" ref="H4:H51"/>
    <sortCondition ref="I4:I51"/>
  </sortState>
  <tableColumns count="43">
    <tableColumn id="44" xr3:uid="{B5A165FA-1648-4AB5-BCDC-6B642506F145}" uniqueName="44" name="SUBGRUPO" queryTableFieldId="1" dataDxfId="42"/>
    <tableColumn id="45" xr3:uid="{0F06F984-C4C7-4EA9-BE7D-C403F0270240}" uniqueName="45" name="MODALIDADE" queryTableFieldId="2" dataDxfId="41"/>
    <tableColumn id="46" xr3:uid="{98EB661C-6698-4F4F-BA54-A437202D4B13}" uniqueName="46" name="CLASSE" queryTableFieldId="3" dataDxfId="40"/>
    <tableColumn id="47" xr3:uid="{86C324F5-E9E5-4B90-AFA7-C7C211F65073}" uniqueName="47" name="SUBCLASSE" queryTableFieldId="4" dataDxfId="39"/>
    <tableColumn id="48" xr3:uid="{56EF9FDE-5297-44FE-A808-2C88E0445CFF}" uniqueName="48" name="DETALHE" queryTableFieldId="5" dataDxfId="38"/>
    <tableColumn id="49" xr3:uid="{7C35712B-4118-486F-AFC8-752EE22875BF}" uniqueName="49" name="POSTO" queryTableFieldId="6" dataDxfId="37"/>
    <tableColumn id="50" xr3:uid="{20672347-2E00-4CD6-8903-65D397912CC7}" uniqueName="50" name="UNIDADE" queryTableFieldId="7" dataDxfId="36"/>
    <tableColumn id="51" xr3:uid="{0B44BCD4-766F-4F10-AD07-7691C0E2D188}" uniqueName="51" name="ACESSANTE" queryTableFieldId="8" dataDxfId="35"/>
    <tableColumn id="52" xr3:uid="{E369F774-E35D-4A61-AAE3-80E3743A1BDF}" uniqueName="52" name="Total TUSD" queryTableFieldId="9" dataDxfId="34"/>
    <tableColumn id="53" xr3:uid="{9206A236-8B45-4349-ADFF-1C93E686C2EB}" uniqueName="53" name="Total TE" queryTableFieldId="10" dataDxfId="33"/>
    <tableColumn id="54" xr3:uid="{C85F55E1-2340-4669-9F27-DF01AB484CD5}" uniqueName="54" name="TUSD_CDE_COVID" queryTableFieldId="11" dataDxfId="32"/>
    <tableColumn id="55" xr3:uid="{B5025918-57E2-4DFC-8F8F-3C7EC78BD8E5}" uniqueName="55" name="TUSD_TFSEE" queryTableFieldId="12" dataDxfId="31"/>
    <tableColumn id="56" xr3:uid="{289E719E-E312-47FC-A833-A8EA4EB4C5DA}" uniqueName="56" name="TUSD_PeD" queryTableFieldId="13" dataDxfId="30"/>
    <tableColumn id="57" xr3:uid="{783CDC1E-7512-4A70-8AD7-A4FE30DBFC60}" uniqueName="57" name="TUSD_ONS" queryTableFieldId="14" dataDxfId="29"/>
    <tableColumn id="58" xr3:uid="{3012426A-7A9E-4E1F-A43F-65E598B7882A}" uniqueName="58" name="TUSD_CCC" queryTableFieldId="15" dataDxfId="28"/>
    <tableColumn id="59" xr3:uid="{8768C322-1EAF-485F-B4D0-99490324688C}" uniqueName="59" name="TUSD_CDE" queryTableFieldId="16" dataDxfId="27"/>
    <tableColumn id="60" xr3:uid="{CE552656-1E63-496B-AD96-61C2C5ADEFE6}" uniqueName="60" name="TUSD_PROINFA" queryTableFieldId="17" dataDxfId="26"/>
    <tableColumn id="61" xr3:uid="{016EFB55-F735-45AC-AF2F-086306FB58C8}" uniqueName="61" name="Liminar1" queryTableFieldId="18" dataDxfId="25"/>
    <tableColumn id="62" xr3:uid="{6D4E458F-E69D-4F8A-A032-DE70E53AFFEF}" uniqueName="62" name="TUSD_RB" queryTableFieldId="19" dataDxfId="24"/>
    <tableColumn id="63" xr3:uid="{A6171098-3C4A-4A7D-9818-7DEAF27C0642}" uniqueName="63" name="TUSD_FR" queryTableFieldId="20" dataDxfId="23"/>
    <tableColumn id="64" xr3:uid="{48118E47-622A-47AC-B908-0A3027FCB69C}" uniqueName="64" name="TUSD_CCT" queryTableFieldId="21" dataDxfId="22"/>
    <tableColumn id="65" xr3:uid="{930BD09E-486B-4C01-A094-548F1E6B5526}" uniqueName="65" name="TUSD_CCD" queryTableFieldId="22" dataDxfId="21"/>
    <tableColumn id="66" xr3:uid="{08C62408-B830-4112-B70C-298D5A8FBC02}" uniqueName="66" name="TUSD_CUSD" queryTableFieldId="23" dataDxfId="20"/>
    <tableColumn id="67" xr3:uid="{193A3986-9BA9-4628-AED2-E99D4D1EB847}" uniqueName="67" name="TUSDG_T" queryTableFieldId="24" dataDxfId="19"/>
    <tableColumn id="68" xr3:uid="{2CE29608-3177-4FB5-9B64-2DE9207BA96E}" uniqueName="68" name="TUSDG_ONS" queryTableFieldId="25" dataDxfId="18"/>
    <tableColumn id="69" xr3:uid="{C0BDA9B7-9900-4350-8334-C52B2683A403}" uniqueName="69" name="TUSD_FioB" queryTableFieldId="26" dataDxfId="17"/>
    <tableColumn id="70" xr3:uid="{52CCA63D-5787-40CE-95EF-59D6443086B4}" uniqueName="70" name="TUSD Subsidio" queryTableFieldId="27" dataDxfId="16"/>
    <tableColumn id="71" xr3:uid="{D27096E5-B24C-425F-8C3F-940D645624F1}" uniqueName="71" name="TUSD Outros" queryTableFieldId="28" dataDxfId="15"/>
    <tableColumn id="72" xr3:uid="{D3949917-FC32-49AE-9637-4DADAE8149C5}" uniqueName="72" name="TUSD_PT" queryTableFieldId="29" dataDxfId="14"/>
    <tableColumn id="73" xr3:uid="{5EF14897-77D9-4B8D-8197-5109D7A8E9B8}" uniqueName="73" name="TUSD_Per_RB_D" queryTableFieldId="30" dataDxfId="13"/>
    <tableColumn id="74" xr3:uid="{B89D339A-E5E1-4A8E-8E3F-6C274D529B47}" uniqueName="74" name="TUSD_PNT" queryTableFieldId="31" dataDxfId="12"/>
    <tableColumn id="75" xr3:uid="{F4F16102-4A49-4996-8669-80A447E4CE32}" uniqueName="75" name="TUSD_RI" queryTableFieldId="32" dataDxfId="11"/>
    <tableColumn id="76" xr3:uid="{4FF5D671-CB96-45E8-A7C6-B99AE35AC80F}" uniqueName="76" name="TE_CDE_COVID" queryTableFieldId="33" dataDxfId="10"/>
    <tableColumn id="77" xr3:uid="{4948EC9C-1543-4A5D-817F-D902AABF61D4}" uniqueName="77" name="TE_CDE_ELET" queryTableFieldId="34" dataDxfId="9"/>
    <tableColumn id="78" xr3:uid="{A8EFFA17-CDF2-4CA5-A849-E8885C4458AE}" uniqueName="78" name="TE_PeD" queryTableFieldId="35" dataDxfId="8"/>
    <tableColumn id="79" xr3:uid="{E574E4BC-2856-46BD-B3B1-965093B43785}" uniqueName="79" name="TE_ESSERR" queryTableFieldId="36" dataDxfId="7"/>
    <tableColumn id="80" xr3:uid="{26F861BD-79CD-4269-B100-054F531626B6}" uniqueName="80" name="TE_CFURH" queryTableFieldId="37" dataDxfId="6"/>
    <tableColumn id="81" xr3:uid="{8EC13BC2-5585-4B68-9855-C478750A2B68}" uniqueName="81" name="TE_ENERGIA" queryTableFieldId="38" dataDxfId="5"/>
    <tableColumn id="82" xr3:uid="{09CAACB5-CB18-409B-875C-082B5B38F309}" uniqueName="82" name="TE_TRANSPORTE_ITAIPU" queryTableFieldId="39" dataDxfId="4"/>
    <tableColumn id="83" xr3:uid="{877A58F8-135D-40A3-B143-8AB5E9F829DF}" uniqueName="83" name="TE_TUST_ITAIPU" queryTableFieldId="40" dataDxfId="3"/>
    <tableColumn id="84" xr3:uid="{624F3C36-B27F-4C75-99B5-FBFA04762F28}" uniqueName="84" name="TE_TUST_CI" queryTableFieldId="41" dataDxfId="2"/>
    <tableColumn id="85" xr3:uid="{52E3F5B7-97FB-4420-9AA6-2F9737923115}" uniqueName="85" name="TE Subsidio" queryTableFieldId="42" dataDxfId="1"/>
    <tableColumn id="86" xr3:uid="{CF95BAC4-9BF1-49A1-945D-B5FCE5048800}" uniqueName="86" name="TE_Per_RB" queryTableFieldId="4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AB1B2-7B28-4DAA-AD71-99355016131D}">
  <dimension ref="A1:W921"/>
  <sheetViews>
    <sheetView showGridLines="0" topLeftCell="L901" workbookViewId="0">
      <selection activeCell="T922" sqref="T922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8.7109375" style="4" bestFit="1" customWidth="1"/>
    <col min="8" max="8" width="10.28515625" style="4" bestFit="1" customWidth="1"/>
    <col min="9" max="9" width="8.7109375" style="5" bestFit="1" customWidth="1"/>
    <col min="10" max="12" width="7" style="6" bestFit="1" customWidth="1"/>
    <col min="13" max="13" width="8" style="6" bestFit="1" customWidth="1"/>
    <col min="14" max="15" width="7" style="6" bestFit="1" customWidth="1"/>
    <col min="16" max="16" width="7.85546875" style="6" bestFit="1" customWidth="1"/>
    <col min="17" max="17" width="8.42578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99</v>
      </c>
      <c r="T1" s="1" t="s">
        <v>364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62</v>
      </c>
      <c r="C2" s="4" t="s">
        <v>59</v>
      </c>
      <c r="D2" s="4" t="s">
        <v>25</v>
      </c>
      <c r="E2" s="4" t="s">
        <v>25</v>
      </c>
      <c r="F2" s="4" t="s">
        <v>25</v>
      </c>
      <c r="G2" s="4" t="s">
        <v>63</v>
      </c>
      <c r="H2" s="4" t="s">
        <v>25</v>
      </c>
      <c r="I2" s="5">
        <v>44378</v>
      </c>
      <c r="J2" s="6">
        <v>2300</v>
      </c>
      <c r="K2" s="6">
        <v>1150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61</v>
      </c>
      <c r="R2" s="4">
        <v>1433</v>
      </c>
      <c r="S2" s="4" t="s">
        <v>100</v>
      </c>
      <c r="U2" s="4">
        <v>29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62</v>
      </c>
      <c r="C3" s="4" t="s">
        <v>59</v>
      </c>
      <c r="D3" s="4" t="s">
        <v>25</v>
      </c>
      <c r="E3" s="4" t="s">
        <v>25</v>
      </c>
      <c r="F3" s="4" t="s">
        <v>25</v>
      </c>
      <c r="G3" s="4" t="s">
        <v>63</v>
      </c>
      <c r="H3" s="4" t="s">
        <v>25</v>
      </c>
      <c r="I3" s="5">
        <v>44409</v>
      </c>
      <c r="J3" s="6">
        <v>2300</v>
      </c>
      <c r="K3" s="6">
        <v>1150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61</v>
      </c>
      <c r="R3" s="4">
        <v>1433</v>
      </c>
      <c r="S3" s="4" t="s">
        <v>101</v>
      </c>
      <c r="U3" s="4">
        <v>29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62</v>
      </c>
      <c r="C4" s="4" t="s">
        <v>59</v>
      </c>
      <c r="D4" s="4" t="s">
        <v>25</v>
      </c>
      <c r="E4" s="4" t="s">
        <v>25</v>
      </c>
      <c r="F4" s="4" t="s">
        <v>25</v>
      </c>
      <c r="G4" s="4" t="s">
        <v>63</v>
      </c>
      <c r="H4" s="4" t="s">
        <v>25</v>
      </c>
      <c r="I4" s="5">
        <v>44440</v>
      </c>
      <c r="J4" s="6">
        <v>2300</v>
      </c>
      <c r="K4" s="6">
        <v>1150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61</v>
      </c>
      <c r="R4" s="4">
        <v>1433</v>
      </c>
      <c r="S4" s="4" t="s">
        <v>102</v>
      </c>
      <c r="U4" s="4">
        <v>29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62</v>
      </c>
      <c r="C5" s="4" t="s">
        <v>59</v>
      </c>
      <c r="D5" s="4" t="s">
        <v>25</v>
      </c>
      <c r="E5" s="4" t="s">
        <v>25</v>
      </c>
      <c r="F5" s="4" t="s">
        <v>25</v>
      </c>
      <c r="G5" s="4" t="s">
        <v>63</v>
      </c>
      <c r="H5" s="4" t="s">
        <v>25</v>
      </c>
      <c r="I5" s="5">
        <v>44470</v>
      </c>
      <c r="J5" s="6">
        <v>2300</v>
      </c>
      <c r="K5" s="6">
        <v>1150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61</v>
      </c>
      <c r="R5" s="4">
        <v>1433</v>
      </c>
      <c r="S5" s="4" t="s">
        <v>103</v>
      </c>
      <c r="U5" s="4">
        <v>29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62</v>
      </c>
      <c r="C6" s="4" t="s">
        <v>59</v>
      </c>
      <c r="D6" s="4" t="s">
        <v>25</v>
      </c>
      <c r="E6" s="4" t="s">
        <v>25</v>
      </c>
      <c r="F6" s="4" t="s">
        <v>25</v>
      </c>
      <c r="G6" s="4" t="s">
        <v>63</v>
      </c>
      <c r="H6" s="4" t="s">
        <v>25</v>
      </c>
      <c r="I6" s="5">
        <v>44501</v>
      </c>
      <c r="J6" s="6">
        <v>2300</v>
      </c>
      <c r="K6" s="6">
        <v>1150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61</v>
      </c>
      <c r="R6" s="4">
        <v>1433</v>
      </c>
      <c r="S6" s="4" t="s">
        <v>104</v>
      </c>
      <c r="U6" s="4">
        <v>29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62</v>
      </c>
      <c r="C7" s="4" t="s">
        <v>59</v>
      </c>
      <c r="D7" s="4" t="s">
        <v>25</v>
      </c>
      <c r="E7" s="4" t="s">
        <v>25</v>
      </c>
      <c r="F7" s="4" t="s">
        <v>25</v>
      </c>
      <c r="G7" s="4" t="s">
        <v>63</v>
      </c>
      <c r="H7" s="4" t="s">
        <v>25</v>
      </c>
      <c r="I7" s="5">
        <v>44531</v>
      </c>
      <c r="J7" s="6">
        <v>2300</v>
      </c>
      <c r="K7" s="6">
        <v>1150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61</v>
      </c>
      <c r="R7" s="4">
        <v>1433</v>
      </c>
      <c r="S7" s="4" t="s">
        <v>105</v>
      </c>
      <c r="U7" s="4">
        <v>29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62</v>
      </c>
      <c r="C8" s="4" t="s">
        <v>59</v>
      </c>
      <c r="D8" s="4" t="s">
        <v>25</v>
      </c>
      <c r="E8" s="4" t="s">
        <v>25</v>
      </c>
      <c r="F8" s="4" t="s">
        <v>25</v>
      </c>
      <c r="G8" s="4" t="s">
        <v>63</v>
      </c>
      <c r="H8" s="4" t="s">
        <v>25</v>
      </c>
      <c r="I8" s="5">
        <v>44562</v>
      </c>
      <c r="J8" s="6">
        <v>2300</v>
      </c>
      <c r="K8" s="6">
        <v>1150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61</v>
      </c>
      <c r="R8" s="4">
        <v>1433</v>
      </c>
      <c r="S8" s="4" t="s">
        <v>106</v>
      </c>
      <c r="U8" s="4">
        <v>29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62</v>
      </c>
      <c r="C9" s="4" t="s">
        <v>59</v>
      </c>
      <c r="D9" s="4" t="s">
        <v>25</v>
      </c>
      <c r="E9" s="4" t="s">
        <v>25</v>
      </c>
      <c r="F9" s="4" t="s">
        <v>25</v>
      </c>
      <c r="G9" s="4" t="s">
        <v>63</v>
      </c>
      <c r="H9" s="4" t="s">
        <v>25</v>
      </c>
      <c r="I9" s="5">
        <v>44593</v>
      </c>
      <c r="J9" s="6">
        <v>2300</v>
      </c>
      <c r="K9" s="6">
        <v>1150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61</v>
      </c>
      <c r="R9" s="4">
        <v>1433</v>
      </c>
      <c r="S9" s="4" t="s">
        <v>107</v>
      </c>
      <c r="U9" s="4">
        <v>29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62</v>
      </c>
      <c r="C10" s="4" t="s">
        <v>59</v>
      </c>
      <c r="D10" s="4" t="s">
        <v>25</v>
      </c>
      <c r="E10" s="4" t="s">
        <v>25</v>
      </c>
      <c r="F10" s="4" t="s">
        <v>25</v>
      </c>
      <c r="G10" s="4" t="s">
        <v>63</v>
      </c>
      <c r="H10" s="4" t="s">
        <v>25</v>
      </c>
      <c r="I10" s="5">
        <v>44621</v>
      </c>
      <c r="J10" s="6">
        <v>2300</v>
      </c>
      <c r="K10" s="6">
        <v>1150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61</v>
      </c>
      <c r="R10" s="4">
        <v>1433</v>
      </c>
      <c r="S10" s="4" t="s">
        <v>108</v>
      </c>
      <c r="U10" s="4">
        <v>29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62</v>
      </c>
      <c r="C11" s="4" t="s">
        <v>59</v>
      </c>
      <c r="D11" s="4" t="s">
        <v>25</v>
      </c>
      <c r="E11" s="4" t="s">
        <v>25</v>
      </c>
      <c r="F11" s="4" t="s">
        <v>25</v>
      </c>
      <c r="G11" s="4" t="s">
        <v>63</v>
      </c>
      <c r="H11" s="4" t="s">
        <v>25</v>
      </c>
      <c r="I11" s="5">
        <v>44652</v>
      </c>
      <c r="J11" s="6">
        <v>2300</v>
      </c>
      <c r="K11" s="6">
        <v>1150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61</v>
      </c>
      <c r="R11" s="4">
        <v>1433</v>
      </c>
      <c r="S11" s="4" t="s">
        <v>109</v>
      </c>
      <c r="U11" s="4">
        <v>29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62</v>
      </c>
      <c r="C12" s="4" t="s">
        <v>59</v>
      </c>
      <c r="D12" s="4" t="s">
        <v>25</v>
      </c>
      <c r="E12" s="4" t="s">
        <v>25</v>
      </c>
      <c r="F12" s="4" t="s">
        <v>25</v>
      </c>
      <c r="G12" s="4" t="s">
        <v>63</v>
      </c>
      <c r="H12" s="4" t="s">
        <v>25</v>
      </c>
      <c r="I12" s="5">
        <v>44682</v>
      </c>
      <c r="J12" s="6">
        <v>2300</v>
      </c>
      <c r="K12" s="6">
        <v>1150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61</v>
      </c>
      <c r="R12" s="4">
        <v>1433</v>
      </c>
      <c r="S12" s="4" t="s">
        <v>110</v>
      </c>
      <c r="U12" s="4">
        <v>29</v>
      </c>
      <c r="V12" s="4">
        <v>0</v>
      </c>
      <c r="W12" s="4">
        <v>0</v>
      </c>
    </row>
    <row r="13" spans="1:23" ht="11.25" customHeight="1" x14ac:dyDescent="0.25">
      <c r="A13" s="4" t="s">
        <v>56</v>
      </c>
      <c r="B13" s="4" t="s">
        <v>62</v>
      </c>
      <c r="C13" s="4" t="s">
        <v>59</v>
      </c>
      <c r="D13" s="4" t="s">
        <v>25</v>
      </c>
      <c r="E13" s="4" t="s">
        <v>25</v>
      </c>
      <c r="F13" s="4" t="s">
        <v>25</v>
      </c>
      <c r="G13" s="4" t="s">
        <v>63</v>
      </c>
      <c r="H13" s="4" t="s">
        <v>25</v>
      </c>
      <c r="I13" s="5">
        <v>44713</v>
      </c>
      <c r="J13" s="6">
        <v>2300</v>
      </c>
      <c r="K13" s="6">
        <v>1150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61</v>
      </c>
      <c r="R13" s="4">
        <v>1433</v>
      </c>
      <c r="S13" s="4" t="s">
        <v>111</v>
      </c>
      <c r="U13" s="4">
        <v>29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38</v>
      </c>
      <c r="C14" s="4" t="s">
        <v>39</v>
      </c>
      <c r="D14" s="4" t="s">
        <v>41</v>
      </c>
      <c r="E14" s="4" t="s">
        <v>25</v>
      </c>
      <c r="F14" s="4" t="s">
        <v>25</v>
      </c>
      <c r="G14" s="4" t="s">
        <v>25</v>
      </c>
      <c r="H14" s="4" t="s">
        <v>34</v>
      </c>
      <c r="I14" s="5">
        <v>44378</v>
      </c>
      <c r="J14" s="6">
        <v>88</v>
      </c>
      <c r="K14" s="6">
        <v>88</v>
      </c>
      <c r="L14" s="6">
        <v>8.8919999999999995</v>
      </c>
      <c r="M14" s="6">
        <v>8.8919999999999995</v>
      </c>
      <c r="N14" s="6">
        <v>8.8919999999999995</v>
      </c>
      <c r="O14" s="6">
        <v>8.8919999999999995</v>
      </c>
      <c r="P14" s="6">
        <v>0</v>
      </c>
      <c r="Q14" s="4" t="s">
        <v>26</v>
      </c>
      <c r="R14" s="4">
        <v>0</v>
      </c>
      <c r="S14" s="4" t="s">
        <v>112</v>
      </c>
      <c r="T14" s="4" t="s">
        <v>365</v>
      </c>
      <c r="U14" s="4">
        <v>22</v>
      </c>
      <c r="V14" s="4">
        <v>7</v>
      </c>
      <c r="W14" s="4">
        <v>42</v>
      </c>
    </row>
    <row r="15" spans="1:23" ht="11.25" customHeight="1" x14ac:dyDescent="0.25">
      <c r="A15" s="4" t="s">
        <v>21</v>
      </c>
      <c r="B15" s="4" t="s">
        <v>38</v>
      </c>
      <c r="C15" s="4" t="s">
        <v>39</v>
      </c>
      <c r="D15" s="4" t="s">
        <v>41</v>
      </c>
      <c r="E15" s="4" t="s">
        <v>25</v>
      </c>
      <c r="F15" s="4" t="s">
        <v>25</v>
      </c>
      <c r="G15" s="4" t="s">
        <v>25</v>
      </c>
      <c r="H15" s="4" t="s">
        <v>34</v>
      </c>
      <c r="I15" s="5">
        <v>44409</v>
      </c>
      <c r="J15" s="6">
        <v>88</v>
      </c>
      <c r="K15" s="6">
        <v>88</v>
      </c>
      <c r="L15" s="6">
        <v>7.0890000000000004</v>
      </c>
      <c r="M15" s="6">
        <v>7.0890000000000004</v>
      </c>
      <c r="N15" s="6">
        <v>7.0890000000000004</v>
      </c>
      <c r="O15" s="6">
        <v>7.0890000000000004</v>
      </c>
      <c r="P15" s="6">
        <v>0</v>
      </c>
      <c r="Q15" s="4" t="s">
        <v>26</v>
      </c>
      <c r="R15" s="4">
        <v>0</v>
      </c>
      <c r="S15" s="4" t="s">
        <v>113</v>
      </c>
      <c r="T15" s="4" t="s">
        <v>366</v>
      </c>
      <c r="U15" s="4">
        <v>22</v>
      </c>
      <c r="V15" s="4">
        <v>7</v>
      </c>
      <c r="W15" s="4">
        <v>42</v>
      </c>
    </row>
    <row r="16" spans="1:23" ht="11.25" customHeight="1" x14ac:dyDescent="0.25">
      <c r="A16" s="4" t="s">
        <v>21</v>
      </c>
      <c r="B16" s="4" t="s">
        <v>38</v>
      </c>
      <c r="C16" s="4" t="s">
        <v>39</v>
      </c>
      <c r="D16" s="4" t="s">
        <v>41</v>
      </c>
      <c r="E16" s="4" t="s">
        <v>25</v>
      </c>
      <c r="F16" s="4" t="s">
        <v>25</v>
      </c>
      <c r="G16" s="4" t="s">
        <v>25</v>
      </c>
      <c r="H16" s="4" t="s">
        <v>34</v>
      </c>
      <c r="I16" s="5">
        <v>44440</v>
      </c>
      <c r="J16" s="6">
        <v>88</v>
      </c>
      <c r="K16" s="6">
        <v>88</v>
      </c>
      <c r="L16" s="6">
        <v>6.3319999999999999</v>
      </c>
      <c r="M16" s="6">
        <v>6.3319999999999999</v>
      </c>
      <c r="N16" s="6">
        <v>6.3319999999999999</v>
      </c>
      <c r="O16" s="6">
        <v>6.3319999999999999</v>
      </c>
      <c r="P16" s="6">
        <v>0</v>
      </c>
      <c r="Q16" s="4" t="s">
        <v>26</v>
      </c>
      <c r="R16" s="4">
        <v>0</v>
      </c>
      <c r="S16" s="4" t="s">
        <v>114</v>
      </c>
      <c r="T16" s="4" t="s">
        <v>367</v>
      </c>
      <c r="U16" s="4">
        <v>22</v>
      </c>
      <c r="V16" s="4">
        <v>7</v>
      </c>
      <c r="W16" s="4">
        <v>42</v>
      </c>
    </row>
    <row r="17" spans="1:23" ht="11.25" customHeight="1" x14ac:dyDescent="0.25">
      <c r="A17" s="4" t="s">
        <v>21</v>
      </c>
      <c r="B17" s="4" t="s">
        <v>38</v>
      </c>
      <c r="C17" s="4" t="s">
        <v>39</v>
      </c>
      <c r="D17" s="4" t="s">
        <v>41</v>
      </c>
      <c r="E17" s="4" t="s">
        <v>25</v>
      </c>
      <c r="F17" s="4" t="s">
        <v>25</v>
      </c>
      <c r="G17" s="4" t="s">
        <v>25</v>
      </c>
      <c r="H17" s="4" t="s">
        <v>34</v>
      </c>
      <c r="I17" s="5">
        <v>44470</v>
      </c>
      <c r="J17" s="6">
        <v>88</v>
      </c>
      <c r="K17" s="6">
        <v>88</v>
      </c>
      <c r="L17" s="6">
        <v>6.67</v>
      </c>
      <c r="M17" s="6">
        <v>6.67</v>
      </c>
      <c r="N17" s="6">
        <v>6.67</v>
      </c>
      <c r="O17" s="6">
        <v>6.67</v>
      </c>
      <c r="P17" s="6">
        <v>0</v>
      </c>
      <c r="Q17" s="4" t="s">
        <v>26</v>
      </c>
      <c r="R17" s="4">
        <v>0</v>
      </c>
      <c r="S17" s="4" t="s">
        <v>115</v>
      </c>
      <c r="T17" s="4" t="s">
        <v>368</v>
      </c>
      <c r="U17" s="4">
        <v>22</v>
      </c>
      <c r="V17" s="4">
        <v>7</v>
      </c>
      <c r="W17" s="4">
        <v>42</v>
      </c>
    </row>
    <row r="18" spans="1:23" ht="11.25" customHeight="1" x14ac:dyDescent="0.25">
      <c r="A18" s="4" t="s">
        <v>21</v>
      </c>
      <c r="B18" s="4" t="s">
        <v>38</v>
      </c>
      <c r="C18" s="4" t="s">
        <v>39</v>
      </c>
      <c r="D18" s="4" t="s">
        <v>41</v>
      </c>
      <c r="E18" s="4" t="s">
        <v>25</v>
      </c>
      <c r="F18" s="4" t="s">
        <v>25</v>
      </c>
      <c r="G18" s="4" t="s">
        <v>25</v>
      </c>
      <c r="H18" s="4" t="s">
        <v>34</v>
      </c>
      <c r="I18" s="5">
        <v>44501</v>
      </c>
      <c r="J18" s="6">
        <v>88</v>
      </c>
      <c r="K18" s="6">
        <v>88</v>
      </c>
      <c r="L18" s="6">
        <v>10.019</v>
      </c>
      <c r="M18" s="6">
        <v>10.019</v>
      </c>
      <c r="N18" s="6">
        <v>10.019</v>
      </c>
      <c r="O18" s="6">
        <v>10.019</v>
      </c>
      <c r="P18" s="6">
        <v>0</v>
      </c>
      <c r="Q18" s="4" t="s">
        <v>26</v>
      </c>
      <c r="R18" s="4">
        <v>0</v>
      </c>
      <c r="S18" s="4" t="s">
        <v>116</v>
      </c>
      <c r="T18" s="4" t="s">
        <v>369</v>
      </c>
      <c r="U18" s="4">
        <v>22</v>
      </c>
      <c r="V18" s="4">
        <v>7</v>
      </c>
      <c r="W18" s="4">
        <v>42</v>
      </c>
    </row>
    <row r="19" spans="1:23" ht="11.25" customHeight="1" x14ac:dyDescent="0.25">
      <c r="A19" s="4" t="s">
        <v>21</v>
      </c>
      <c r="B19" s="4" t="s">
        <v>38</v>
      </c>
      <c r="C19" s="4" t="s">
        <v>39</v>
      </c>
      <c r="D19" s="4" t="s">
        <v>41</v>
      </c>
      <c r="E19" s="4" t="s">
        <v>25</v>
      </c>
      <c r="F19" s="4" t="s">
        <v>25</v>
      </c>
      <c r="G19" s="4" t="s">
        <v>25</v>
      </c>
      <c r="H19" s="4" t="s">
        <v>34</v>
      </c>
      <c r="I19" s="5">
        <v>44531</v>
      </c>
      <c r="J19" s="6">
        <v>88</v>
      </c>
      <c r="K19" s="6">
        <v>88</v>
      </c>
      <c r="L19" s="6">
        <v>12.58</v>
      </c>
      <c r="M19" s="6">
        <v>12.58</v>
      </c>
      <c r="N19" s="6">
        <v>12.58</v>
      </c>
      <c r="O19" s="6">
        <v>12.58</v>
      </c>
      <c r="P19" s="6">
        <v>0</v>
      </c>
      <c r="Q19" s="4" t="s">
        <v>26</v>
      </c>
      <c r="R19" s="4">
        <v>0</v>
      </c>
      <c r="S19" s="4" t="s">
        <v>117</v>
      </c>
      <c r="T19" s="4" t="s">
        <v>370</v>
      </c>
      <c r="U19" s="4">
        <v>22</v>
      </c>
      <c r="V19" s="4">
        <v>7</v>
      </c>
      <c r="W19" s="4">
        <v>42</v>
      </c>
    </row>
    <row r="20" spans="1:23" ht="11.25" customHeight="1" x14ac:dyDescent="0.25">
      <c r="A20" s="4" t="s">
        <v>21</v>
      </c>
      <c r="B20" s="4" t="s">
        <v>38</v>
      </c>
      <c r="C20" s="4" t="s">
        <v>39</v>
      </c>
      <c r="D20" s="4" t="s">
        <v>41</v>
      </c>
      <c r="E20" s="4" t="s">
        <v>25</v>
      </c>
      <c r="F20" s="4" t="s">
        <v>25</v>
      </c>
      <c r="G20" s="4" t="s">
        <v>25</v>
      </c>
      <c r="H20" s="4" t="s">
        <v>34</v>
      </c>
      <c r="I20" s="5">
        <v>44562</v>
      </c>
      <c r="J20" s="6">
        <v>89</v>
      </c>
      <c r="K20" s="6">
        <v>89</v>
      </c>
      <c r="L20" s="6">
        <v>14.016</v>
      </c>
      <c r="M20" s="6">
        <v>14.016</v>
      </c>
      <c r="N20" s="6">
        <v>14.016</v>
      </c>
      <c r="O20" s="6">
        <v>14.016</v>
      </c>
      <c r="P20" s="6">
        <v>0</v>
      </c>
      <c r="Q20" s="4" t="s">
        <v>26</v>
      </c>
      <c r="R20" s="4">
        <v>0</v>
      </c>
      <c r="S20" s="4" t="s">
        <v>118</v>
      </c>
      <c r="T20" s="4" t="s">
        <v>371</v>
      </c>
      <c r="U20" s="4">
        <v>22</v>
      </c>
      <c r="V20" s="4">
        <v>7</v>
      </c>
      <c r="W20" s="4">
        <v>42</v>
      </c>
    </row>
    <row r="21" spans="1:23" ht="11.25" customHeight="1" x14ac:dyDescent="0.25">
      <c r="A21" s="4" t="s">
        <v>21</v>
      </c>
      <c r="B21" s="4" t="s">
        <v>38</v>
      </c>
      <c r="C21" s="4" t="s">
        <v>39</v>
      </c>
      <c r="D21" s="4" t="s">
        <v>41</v>
      </c>
      <c r="E21" s="4" t="s">
        <v>25</v>
      </c>
      <c r="F21" s="4" t="s">
        <v>25</v>
      </c>
      <c r="G21" s="4" t="s">
        <v>25</v>
      </c>
      <c r="H21" s="4" t="s">
        <v>34</v>
      </c>
      <c r="I21" s="5">
        <v>44593</v>
      </c>
      <c r="J21" s="6">
        <v>88</v>
      </c>
      <c r="K21" s="6">
        <v>88</v>
      </c>
      <c r="L21" s="6">
        <v>11.776999999999999</v>
      </c>
      <c r="M21" s="6">
        <v>11.776999999999999</v>
      </c>
      <c r="N21" s="6">
        <v>11.776999999999999</v>
      </c>
      <c r="O21" s="6">
        <v>11.776999999999999</v>
      </c>
      <c r="P21" s="6">
        <v>0</v>
      </c>
      <c r="Q21" s="4" t="s">
        <v>26</v>
      </c>
      <c r="R21" s="4">
        <v>0</v>
      </c>
      <c r="S21" s="4" t="s">
        <v>119</v>
      </c>
      <c r="T21" s="4" t="s">
        <v>372</v>
      </c>
      <c r="U21" s="4">
        <v>22</v>
      </c>
      <c r="V21" s="4">
        <v>7</v>
      </c>
      <c r="W21" s="4">
        <v>42</v>
      </c>
    </row>
    <row r="22" spans="1:23" ht="11.25" customHeight="1" x14ac:dyDescent="0.25">
      <c r="A22" s="4" t="s">
        <v>21</v>
      </c>
      <c r="B22" s="4" t="s">
        <v>38</v>
      </c>
      <c r="C22" s="4" t="s">
        <v>39</v>
      </c>
      <c r="D22" s="4" t="s">
        <v>41</v>
      </c>
      <c r="E22" s="4" t="s">
        <v>25</v>
      </c>
      <c r="F22" s="4" t="s">
        <v>25</v>
      </c>
      <c r="G22" s="4" t="s">
        <v>25</v>
      </c>
      <c r="H22" s="4" t="s">
        <v>34</v>
      </c>
      <c r="I22" s="5">
        <v>44621</v>
      </c>
      <c r="J22" s="6">
        <v>88</v>
      </c>
      <c r="K22" s="6">
        <v>88</v>
      </c>
      <c r="L22" s="6">
        <v>11.601000000000001</v>
      </c>
      <c r="M22" s="6">
        <v>11.601000000000001</v>
      </c>
      <c r="N22" s="6">
        <v>11.601000000000001</v>
      </c>
      <c r="O22" s="6">
        <v>11.601000000000001</v>
      </c>
      <c r="P22" s="6">
        <v>0</v>
      </c>
      <c r="Q22" s="4" t="s">
        <v>26</v>
      </c>
      <c r="R22" s="4">
        <v>0</v>
      </c>
      <c r="S22" s="4" t="s">
        <v>120</v>
      </c>
      <c r="T22" s="4" t="s">
        <v>373</v>
      </c>
      <c r="U22" s="4">
        <v>22</v>
      </c>
      <c r="V22" s="4">
        <v>7</v>
      </c>
      <c r="W22" s="4">
        <v>42</v>
      </c>
    </row>
    <row r="23" spans="1:23" ht="11.25" customHeight="1" x14ac:dyDescent="0.25">
      <c r="A23" s="4" t="s">
        <v>21</v>
      </c>
      <c r="B23" s="4" t="s">
        <v>38</v>
      </c>
      <c r="C23" s="4" t="s">
        <v>39</v>
      </c>
      <c r="D23" s="4" t="s">
        <v>41</v>
      </c>
      <c r="E23" s="4" t="s">
        <v>25</v>
      </c>
      <c r="F23" s="4" t="s">
        <v>25</v>
      </c>
      <c r="G23" s="4" t="s">
        <v>25</v>
      </c>
      <c r="H23" s="4" t="s">
        <v>34</v>
      </c>
      <c r="I23" s="5">
        <v>44652</v>
      </c>
      <c r="J23" s="6">
        <v>88</v>
      </c>
      <c r="K23" s="6">
        <v>88</v>
      </c>
      <c r="L23" s="6">
        <v>7.383</v>
      </c>
      <c r="M23" s="6">
        <v>7.383</v>
      </c>
      <c r="N23" s="6">
        <v>7.383</v>
      </c>
      <c r="O23" s="6">
        <v>7.383</v>
      </c>
      <c r="P23" s="6">
        <v>0</v>
      </c>
      <c r="Q23" s="4" t="s">
        <v>26</v>
      </c>
      <c r="R23" s="4">
        <v>0</v>
      </c>
      <c r="S23" s="4" t="s">
        <v>121</v>
      </c>
      <c r="T23" s="4" t="s">
        <v>374</v>
      </c>
      <c r="U23" s="4">
        <v>22</v>
      </c>
      <c r="V23" s="4">
        <v>7</v>
      </c>
      <c r="W23" s="4">
        <v>42</v>
      </c>
    </row>
    <row r="24" spans="1:23" ht="11.25" customHeight="1" x14ac:dyDescent="0.25">
      <c r="A24" s="4" t="s">
        <v>21</v>
      </c>
      <c r="B24" s="4" t="s">
        <v>38</v>
      </c>
      <c r="C24" s="4" t="s">
        <v>39</v>
      </c>
      <c r="D24" s="4" t="s">
        <v>41</v>
      </c>
      <c r="E24" s="4" t="s">
        <v>25</v>
      </c>
      <c r="F24" s="4" t="s">
        <v>25</v>
      </c>
      <c r="G24" s="4" t="s">
        <v>25</v>
      </c>
      <c r="H24" s="4" t="s">
        <v>34</v>
      </c>
      <c r="I24" s="5">
        <v>44682</v>
      </c>
      <c r="J24" s="6">
        <v>88</v>
      </c>
      <c r="K24" s="6">
        <v>88</v>
      </c>
      <c r="L24" s="6">
        <v>7.8659999999999997</v>
      </c>
      <c r="M24" s="6">
        <v>7.8659999999999997</v>
      </c>
      <c r="N24" s="6">
        <v>7.8659999999999997</v>
      </c>
      <c r="O24" s="6">
        <v>7.8659999999999997</v>
      </c>
      <c r="P24" s="6">
        <v>0</v>
      </c>
      <c r="Q24" s="4" t="s">
        <v>26</v>
      </c>
      <c r="R24" s="4">
        <v>0</v>
      </c>
      <c r="S24" s="4" t="s">
        <v>122</v>
      </c>
      <c r="T24" s="4" t="s">
        <v>375</v>
      </c>
      <c r="U24" s="4">
        <v>22</v>
      </c>
      <c r="V24" s="4">
        <v>7</v>
      </c>
      <c r="W24" s="4">
        <v>42</v>
      </c>
    </row>
    <row r="25" spans="1:23" ht="11.25" customHeight="1" x14ac:dyDescent="0.25">
      <c r="A25" s="4" t="s">
        <v>56</v>
      </c>
      <c r="B25" s="4" t="s">
        <v>38</v>
      </c>
      <c r="C25" s="4" t="s">
        <v>39</v>
      </c>
      <c r="D25" s="4" t="s">
        <v>41</v>
      </c>
      <c r="E25" s="4" t="s">
        <v>25</v>
      </c>
      <c r="F25" s="4" t="s">
        <v>25</v>
      </c>
      <c r="G25" s="4" t="s">
        <v>25</v>
      </c>
      <c r="H25" s="4" t="s">
        <v>34</v>
      </c>
      <c r="I25" s="5">
        <v>44713</v>
      </c>
      <c r="J25" s="6">
        <v>88</v>
      </c>
      <c r="K25" s="6">
        <v>88</v>
      </c>
      <c r="L25" s="6">
        <v>7.8659999999999997</v>
      </c>
      <c r="M25" s="6">
        <v>7.8659999999999997</v>
      </c>
      <c r="N25" s="6">
        <v>7.8659999999999997</v>
      </c>
      <c r="O25" s="6">
        <v>7.8659999999999997</v>
      </c>
      <c r="P25" s="6">
        <v>0</v>
      </c>
      <c r="Q25" s="4" t="s">
        <v>26</v>
      </c>
      <c r="R25" s="4">
        <v>0</v>
      </c>
      <c r="S25" s="4" t="s">
        <v>123</v>
      </c>
      <c r="T25" s="4" t="s">
        <v>376</v>
      </c>
      <c r="U25" s="4">
        <v>22</v>
      </c>
      <c r="V25" s="4">
        <v>7</v>
      </c>
      <c r="W25" s="4">
        <v>42</v>
      </c>
    </row>
    <row r="26" spans="1:23" ht="11.25" customHeight="1" x14ac:dyDescent="0.25">
      <c r="A26" s="4" t="s">
        <v>21</v>
      </c>
      <c r="B26" s="4" t="s">
        <v>38</v>
      </c>
      <c r="C26" s="4" t="s">
        <v>39</v>
      </c>
      <c r="D26" s="4" t="s">
        <v>41</v>
      </c>
      <c r="E26" s="4" t="s">
        <v>25</v>
      </c>
      <c r="F26" s="4" t="s">
        <v>25</v>
      </c>
      <c r="G26" s="4" t="s">
        <v>25</v>
      </c>
      <c r="H26" s="4" t="s">
        <v>33</v>
      </c>
      <c r="I26" s="5">
        <v>44378</v>
      </c>
      <c r="J26" s="6">
        <v>53</v>
      </c>
      <c r="K26" s="6">
        <v>53</v>
      </c>
      <c r="L26" s="6">
        <v>0.41399999999999998</v>
      </c>
      <c r="M26" s="6">
        <v>0.41399999999999998</v>
      </c>
      <c r="N26" s="6">
        <v>0.41399999999999998</v>
      </c>
      <c r="O26" s="6">
        <v>0.41399999999999998</v>
      </c>
      <c r="P26" s="6">
        <v>0</v>
      </c>
      <c r="Q26" s="4" t="s">
        <v>26</v>
      </c>
      <c r="R26" s="4">
        <v>0</v>
      </c>
      <c r="S26" s="4" t="s">
        <v>124</v>
      </c>
      <c r="T26" s="4" t="s">
        <v>377</v>
      </c>
      <c r="U26" s="4">
        <v>3</v>
      </c>
      <c r="V26" s="4">
        <v>7</v>
      </c>
      <c r="W26" s="4">
        <v>47</v>
      </c>
    </row>
    <row r="27" spans="1:23" ht="11.25" customHeight="1" x14ac:dyDescent="0.25">
      <c r="A27" s="4" t="s">
        <v>21</v>
      </c>
      <c r="B27" s="4" t="s">
        <v>38</v>
      </c>
      <c r="C27" s="4" t="s">
        <v>39</v>
      </c>
      <c r="D27" s="4" t="s">
        <v>41</v>
      </c>
      <c r="E27" s="4" t="s">
        <v>25</v>
      </c>
      <c r="F27" s="4" t="s">
        <v>25</v>
      </c>
      <c r="G27" s="4" t="s">
        <v>25</v>
      </c>
      <c r="H27" s="4" t="s">
        <v>33</v>
      </c>
      <c r="I27" s="5">
        <v>44409</v>
      </c>
      <c r="J27" s="6">
        <v>53</v>
      </c>
      <c r="K27" s="6">
        <v>53</v>
      </c>
      <c r="L27" s="6">
        <v>0.42099999999999999</v>
      </c>
      <c r="M27" s="6">
        <v>0.42099999999999999</v>
      </c>
      <c r="N27" s="6">
        <v>0.42099999999999999</v>
      </c>
      <c r="O27" s="6">
        <v>0.42099999999999999</v>
      </c>
      <c r="P27" s="6">
        <v>0</v>
      </c>
      <c r="Q27" s="4" t="s">
        <v>26</v>
      </c>
      <c r="R27" s="4">
        <v>0</v>
      </c>
      <c r="S27" s="4" t="s">
        <v>125</v>
      </c>
      <c r="T27" s="4" t="s">
        <v>378</v>
      </c>
      <c r="U27" s="4">
        <v>3</v>
      </c>
      <c r="V27" s="4">
        <v>7</v>
      </c>
      <c r="W27" s="4">
        <v>47</v>
      </c>
    </row>
    <row r="28" spans="1:23" ht="11.25" customHeight="1" x14ac:dyDescent="0.25">
      <c r="A28" s="4" t="s">
        <v>21</v>
      </c>
      <c r="B28" s="4" t="s">
        <v>38</v>
      </c>
      <c r="C28" s="4" t="s">
        <v>39</v>
      </c>
      <c r="D28" s="4" t="s">
        <v>41</v>
      </c>
      <c r="E28" s="4" t="s">
        <v>25</v>
      </c>
      <c r="F28" s="4" t="s">
        <v>25</v>
      </c>
      <c r="G28" s="4" t="s">
        <v>25</v>
      </c>
      <c r="H28" s="4" t="s">
        <v>33</v>
      </c>
      <c r="I28" s="5">
        <v>44440</v>
      </c>
      <c r="J28" s="6">
        <v>53</v>
      </c>
      <c r="K28" s="6">
        <v>53</v>
      </c>
      <c r="L28" s="6">
        <v>0.41399999999999998</v>
      </c>
      <c r="M28" s="6">
        <v>0.41399999999999998</v>
      </c>
      <c r="N28" s="6">
        <v>0.41399999999999998</v>
      </c>
      <c r="O28" s="6">
        <v>0.41399999999999998</v>
      </c>
      <c r="P28" s="6">
        <v>0</v>
      </c>
      <c r="Q28" s="4" t="s">
        <v>26</v>
      </c>
      <c r="R28" s="4">
        <v>0</v>
      </c>
      <c r="S28" s="4" t="s">
        <v>126</v>
      </c>
      <c r="T28" s="4" t="s">
        <v>379</v>
      </c>
      <c r="U28" s="4">
        <v>3</v>
      </c>
      <c r="V28" s="4">
        <v>7</v>
      </c>
      <c r="W28" s="4">
        <v>47</v>
      </c>
    </row>
    <row r="29" spans="1:23" ht="11.25" customHeight="1" x14ac:dyDescent="0.25">
      <c r="A29" s="4" t="s">
        <v>21</v>
      </c>
      <c r="B29" s="4" t="s">
        <v>38</v>
      </c>
      <c r="C29" s="4" t="s">
        <v>39</v>
      </c>
      <c r="D29" s="4" t="s">
        <v>41</v>
      </c>
      <c r="E29" s="4" t="s">
        <v>25</v>
      </c>
      <c r="F29" s="4" t="s">
        <v>25</v>
      </c>
      <c r="G29" s="4" t="s">
        <v>25</v>
      </c>
      <c r="H29" s="4" t="s">
        <v>33</v>
      </c>
      <c r="I29" s="5">
        <v>44470</v>
      </c>
      <c r="J29" s="6">
        <v>53</v>
      </c>
      <c r="K29" s="6">
        <v>53</v>
      </c>
      <c r="L29" s="6">
        <v>0.39</v>
      </c>
      <c r="M29" s="6">
        <v>0.39</v>
      </c>
      <c r="N29" s="6">
        <v>0.39</v>
      </c>
      <c r="O29" s="6">
        <v>0.39</v>
      </c>
      <c r="P29" s="6">
        <v>0</v>
      </c>
      <c r="Q29" s="4" t="s">
        <v>26</v>
      </c>
      <c r="R29" s="4">
        <v>0</v>
      </c>
      <c r="S29" s="4" t="s">
        <v>127</v>
      </c>
      <c r="T29" s="4" t="s">
        <v>380</v>
      </c>
      <c r="U29" s="4">
        <v>3</v>
      </c>
      <c r="V29" s="4">
        <v>7</v>
      </c>
      <c r="W29" s="4">
        <v>47</v>
      </c>
    </row>
    <row r="30" spans="1:23" ht="11.25" customHeight="1" x14ac:dyDescent="0.25">
      <c r="A30" s="4" t="s">
        <v>21</v>
      </c>
      <c r="B30" s="4" t="s">
        <v>38</v>
      </c>
      <c r="C30" s="4" t="s">
        <v>39</v>
      </c>
      <c r="D30" s="4" t="s">
        <v>41</v>
      </c>
      <c r="E30" s="4" t="s">
        <v>25</v>
      </c>
      <c r="F30" s="4" t="s">
        <v>25</v>
      </c>
      <c r="G30" s="4" t="s">
        <v>25</v>
      </c>
      <c r="H30" s="4" t="s">
        <v>33</v>
      </c>
      <c r="I30" s="5">
        <v>44501</v>
      </c>
      <c r="J30" s="6">
        <v>53</v>
      </c>
      <c r="K30" s="6">
        <v>53</v>
      </c>
      <c r="L30" s="6">
        <v>0.39500000000000002</v>
      </c>
      <c r="M30" s="6">
        <v>0.39500000000000002</v>
      </c>
      <c r="N30" s="6">
        <v>0.39500000000000002</v>
      </c>
      <c r="O30" s="6">
        <v>0.39500000000000002</v>
      </c>
      <c r="P30" s="6">
        <v>0</v>
      </c>
      <c r="Q30" s="4" t="s">
        <v>26</v>
      </c>
      <c r="R30" s="4">
        <v>0</v>
      </c>
      <c r="S30" s="4" t="s">
        <v>128</v>
      </c>
      <c r="T30" s="4" t="s">
        <v>381</v>
      </c>
      <c r="U30" s="4">
        <v>3</v>
      </c>
      <c r="V30" s="4">
        <v>7</v>
      </c>
      <c r="W30" s="4">
        <v>47</v>
      </c>
    </row>
    <row r="31" spans="1:23" ht="11.25" customHeight="1" x14ac:dyDescent="0.25">
      <c r="A31" s="4" t="s">
        <v>21</v>
      </c>
      <c r="B31" s="4" t="s">
        <v>38</v>
      </c>
      <c r="C31" s="4" t="s">
        <v>39</v>
      </c>
      <c r="D31" s="4" t="s">
        <v>41</v>
      </c>
      <c r="E31" s="4" t="s">
        <v>25</v>
      </c>
      <c r="F31" s="4" t="s">
        <v>25</v>
      </c>
      <c r="G31" s="4" t="s">
        <v>25</v>
      </c>
      <c r="H31" s="4" t="s">
        <v>33</v>
      </c>
      <c r="I31" s="5">
        <v>44531</v>
      </c>
      <c r="J31" s="6">
        <v>53</v>
      </c>
      <c r="K31" s="6">
        <v>53</v>
      </c>
      <c r="L31" s="6">
        <v>0.47199999999999998</v>
      </c>
      <c r="M31" s="6">
        <v>0.47199999999999998</v>
      </c>
      <c r="N31" s="6">
        <v>0.47199999999999998</v>
      </c>
      <c r="O31" s="6">
        <v>0.47199999999999998</v>
      </c>
      <c r="P31" s="6">
        <v>0</v>
      </c>
      <c r="Q31" s="4" t="s">
        <v>26</v>
      </c>
      <c r="R31" s="4">
        <v>0</v>
      </c>
      <c r="S31" s="4" t="s">
        <v>129</v>
      </c>
      <c r="T31" s="4" t="s">
        <v>382</v>
      </c>
      <c r="U31" s="4">
        <v>3</v>
      </c>
      <c r="V31" s="4">
        <v>7</v>
      </c>
      <c r="W31" s="4">
        <v>47</v>
      </c>
    </row>
    <row r="32" spans="1:23" ht="11.25" customHeight="1" x14ac:dyDescent="0.25">
      <c r="A32" s="4" t="s">
        <v>21</v>
      </c>
      <c r="B32" s="4" t="s">
        <v>38</v>
      </c>
      <c r="C32" s="4" t="s">
        <v>39</v>
      </c>
      <c r="D32" s="4" t="s">
        <v>41</v>
      </c>
      <c r="E32" s="4" t="s">
        <v>25</v>
      </c>
      <c r="F32" s="4" t="s">
        <v>25</v>
      </c>
      <c r="G32" s="4" t="s">
        <v>25</v>
      </c>
      <c r="H32" s="4" t="s">
        <v>33</v>
      </c>
      <c r="I32" s="5">
        <v>44562</v>
      </c>
      <c r="J32" s="6">
        <v>53</v>
      </c>
      <c r="K32" s="6">
        <v>53</v>
      </c>
      <c r="L32" s="6">
        <v>0.38600000000000001</v>
      </c>
      <c r="M32" s="6">
        <v>0.38600000000000001</v>
      </c>
      <c r="N32" s="6">
        <v>0.38600000000000001</v>
      </c>
      <c r="O32" s="6">
        <v>0.38600000000000001</v>
      </c>
      <c r="P32" s="6">
        <v>0</v>
      </c>
      <c r="Q32" s="4" t="s">
        <v>26</v>
      </c>
      <c r="R32" s="4">
        <v>0</v>
      </c>
      <c r="S32" s="4" t="s">
        <v>130</v>
      </c>
      <c r="T32" s="4" t="s">
        <v>383</v>
      </c>
      <c r="U32" s="4">
        <v>3</v>
      </c>
      <c r="V32" s="4">
        <v>7</v>
      </c>
      <c r="W32" s="4">
        <v>47</v>
      </c>
    </row>
    <row r="33" spans="1:23" ht="11.25" customHeight="1" x14ac:dyDescent="0.25">
      <c r="A33" s="4" t="s">
        <v>21</v>
      </c>
      <c r="B33" s="4" t="s">
        <v>38</v>
      </c>
      <c r="C33" s="4" t="s">
        <v>39</v>
      </c>
      <c r="D33" s="4" t="s">
        <v>41</v>
      </c>
      <c r="E33" s="4" t="s">
        <v>25</v>
      </c>
      <c r="F33" s="4" t="s">
        <v>25</v>
      </c>
      <c r="G33" s="4" t="s">
        <v>25</v>
      </c>
      <c r="H33" s="4" t="s">
        <v>33</v>
      </c>
      <c r="I33" s="5">
        <v>44593</v>
      </c>
      <c r="J33" s="6">
        <v>53</v>
      </c>
      <c r="K33" s="6">
        <v>53</v>
      </c>
      <c r="L33" s="6">
        <v>0.39200000000000002</v>
      </c>
      <c r="M33" s="6">
        <v>0.39200000000000002</v>
      </c>
      <c r="N33" s="6">
        <v>0.39200000000000002</v>
      </c>
      <c r="O33" s="6">
        <v>0.39200000000000002</v>
      </c>
      <c r="P33" s="6">
        <v>0</v>
      </c>
      <c r="Q33" s="4" t="s">
        <v>26</v>
      </c>
      <c r="R33" s="4">
        <v>0</v>
      </c>
      <c r="S33" s="4" t="s">
        <v>131</v>
      </c>
      <c r="T33" s="4" t="s">
        <v>384</v>
      </c>
      <c r="U33" s="4">
        <v>3</v>
      </c>
      <c r="V33" s="4">
        <v>7</v>
      </c>
      <c r="W33" s="4">
        <v>47</v>
      </c>
    </row>
    <row r="34" spans="1:23" ht="11.25" customHeight="1" x14ac:dyDescent="0.25">
      <c r="A34" s="4" t="s">
        <v>21</v>
      </c>
      <c r="B34" s="4" t="s">
        <v>38</v>
      </c>
      <c r="C34" s="4" t="s">
        <v>39</v>
      </c>
      <c r="D34" s="4" t="s">
        <v>41</v>
      </c>
      <c r="E34" s="4" t="s">
        <v>25</v>
      </c>
      <c r="F34" s="4" t="s">
        <v>25</v>
      </c>
      <c r="G34" s="4" t="s">
        <v>25</v>
      </c>
      <c r="H34" s="4" t="s">
        <v>33</v>
      </c>
      <c r="I34" s="5">
        <v>44621</v>
      </c>
      <c r="J34" s="6">
        <v>53</v>
      </c>
      <c r="K34" s="6">
        <v>53</v>
      </c>
      <c r="L34" s="6">
        <v>0.40899999999999997</v>
      </c>
      <c r="M34" s="6">
        <v>0.40899999999999997</v>
      </c>
      <c r="N34" s="6">
        <v>0.40899999999999997</v>
      </c>
      <c r="O34" s="6">
        <v>0.40899999999999997</v>
      </c>
      <c r="P34" s="6">
        <v>0</v>
      </c>
      <c r="Q34" s="4" t="s">
        <v>26</v>
      </c>
      <c r="R34" s="4">
        <v>0</v>
      </c>
      <c r="S34" s="4" t="s">
        <v>132</v>
      </c>
      <c r="T34" s="4" t="s">
        <v>385</v>
      </c>
      <c r="U34" s="4">
        <v>3</v>
      </c>
      <c r="V34" s="4">
        <v>7</v>
      </c>
      <c r="W34" s="4">
        <v>47</v>
      </c>
    </row>
    <row r="35" spans="1:23" ht="11.25" customHeight="1" x14ac:dyDescent="0.25">
      <c r="A35" s="4" t="s">
        <v>21</v>
      </c>
      <c r="B35" s="4" t="s">
        <v>38</v>
      </c>
      <c r="C35" s="4" t="s">
        <v>39</v>
      </c>
      <c r="D35" s="4" t="s">
        <v>41</v>
      </c>
      <c r="E35" s="4" t="s">
        <v>25</v>
      </c>
      <c r="F35" s="4" t="s">
        <v>25</v>
      </c>
      <c r="G35" s="4" t="s">
        <v>25</v>
      </c>
      <c r="H35" s="4" t="s">
        <v>33</v>
      </c>
      <c r="I35" s="5">
        <v>44652</v>
      </c>
      <c r="J35" s="6">
        <v>53</v>
      </c>
      <c r="K35" s="6">
        <v>53</v>
      </c>
      <c r="L35" s="6">
        <v>0.35899999999999999</v>
      </c>
      <c r="M35" s="6">
        <v>0.35899999999999999</v>
      </c>
      <c r="N35" s="6">
        <v>0.35899999999999999</v>
      </c>
      <c r="O35" s="6">
        <v>0.35899999999999999</v>
      </c>
      <c r="P35" s="6">
        <v>0</v>
      </c>
      <c r="Q35" s="4" t="s">
        <v>26</v>
      </c>
      <c r="R35" s="4">
        <v>0</v>
      </c>
      <c r="S35" s="4" t="s">
        <v>133</v>
      </c>
      <c r="T35" s="4" t="s">
        <v>386</v>
      </c>
      <c r="U35" s="4">
        <v>3</v>
      </c>
      <c r="V35" s="4">
        <v>7</v>
      </c>
      <c r="W35" s="4">
        <v>47</v>
      </c>
    </row>
    <row r="36" spans="1:23" ht="11.25" customHeight="1" x14ac:dyDescent="0.25">
      <c r="A36" s="4" t="s">
        <v>21</v>
      </c>
      <c r="B36" s="4" t="s">
        <v>38</v>
      </c>
      <c r="C36" s="4" t="s">
        <v>39</v>
      </c>
      <c r="D36" s="4" t="s">
        <v>41</v>
      </c>
      <c r="E36" s="4" t="s">
        <v>25</v>
      </c>
      <c r="F36" s="4" t="s">
        <v>25</v>
      </c>
      <c r="G36" s="4" t="s">
        <v>25</v>
      </c>
      <c r="H36" s="4" t="s">
        <v>33</v>
      </c>
      <c r="I36" s="5">
        <v>44682</v>
      </c>
      <c r="J36" s="6">
        <v>53</v>
      </c>
      <c r="K36" s="6">
        <v>53</v>
      </c>
      <c r="L36" s="6">
        <v>0.38600000000000001</v>
      </c>
      <c r="M36" s="6">
        <v>0.38600000000000001</v>
      </c>
      <c r="N36" s="6">
        <v>0.38600000000000001</v>
      </c>
      <c r="O36" s="6">
        <v>0.38600000000000001</v>
      </c>
      <c r="P36" s="6">
        <v>0</v>
      </c>
      <c r="Q36" s="4" t="s">
        <v>26</v>
      </c>
      <c r="R36" s="4">
        <v>0</v>
      </c>
      <c r="S36" s="4" t="s">
        <v>134</v>
      </c>
      <c r="T36" s="4" t="s">
        <v>387</v>
      </c>
      <c r="U36" s="4">
        <v>3</v>
      </c>
      <c r="V36" s="4">
        <v>7</v>
      </c>
      <c r="W36" s="4">
        <v>47</v>
      </c>
    </row>
    <row r="37" spans="1:23" ht="11.25" customHeight="1" x14ac:dyDescent="0.25">
      <c r="A37" s="4" t="s">
        <v>56</v>
      </c>
      <c r="B37" s="4" t="s">
        <v>38</v>
      </c>
      <c r="C37" s="4" t="s">
        <v>39</v>
      </c>
      <c r="D37" s="4" t="s">
        <v>41</v>
      </c>
      <c r="E37" s="4" t="s">
        <v>25</v>
      </c>
      <c r="F37" s="4" t="s">
        <v>25</v>
      </c>
      <c r="G37" s="4" t="s">
        <v>25</v>
      </c>
      <c r="H37" s="4" t="s">
        <v>33</v>
      </c>
      <c r="I37" s="5">
        <v>44713</v>
      </c>
      <c r="J37" s="6">
        <v>53</v>
      </c>
      <c r="K37" s="6">
        <v>53</v>
      </c>
      <c r="L37" s="6">
        <v>0.38600000000000001</v>
      </c>
      <c r="M37" s="6">
        <v>0.38600000000000001</v>
      </c>
      <c r="N37" s="6">
        <v>0.38600000000000001</v>
      </c>
      <c r="O37" s="6">
        <v>0.38600000000000001</v>
      </c>
      <c r="P37" s="6">
        <v>0</v>
      </c>
      <c r="Q37" s="4" t="s">
        <v>26</v>
      </c>
      <c r="R37" s="4">
        <v>0</v>
      </c>
      <c r="S37" s="4" t="s">
        <v>135</v>
      </c>
      <c r="T37" s="4" t="s">
        <v>388</v>
      </c>
      <c r="U37" s="4">
        <v>3</v>
      </c>
      <c r="V37" s="4">
        <v>7</v>
      </c>
      <c r="W37" s="4">
        <v>47</v>
      </c>
    </row>
    <row r="38" spans="1:23" ht="11.25" customHeight="1" x14ac:dyDescent="0.25">
      <c r="A38" s="4" t="s">
        <v>21</v>
      </c>
      <c r="B38" s="4" t="s">
        <v>38</v>
      </c>
      <c r="C38" s="4" t="s">
        <v>39</v>
      </c>
      <c r="D38" s="4" t="s">
        <v>37</v>
      </c>
      <c r="E38" s="4" t="s">
        <v>25</v>
      </c>
      <c r="F38" s="4" t="s">
        <v>57</v>
      </c>
      <c r="G38" s="4" t="s">
        <v>25</v>
      </c>
      <c r="H38" s="4" t="s">
        <v>34</v>
      </c>
      <c r="I38" s="5">
        <v>44378</v>
      </c>
      <c r="J38" s="6">
        <v>5515</v>
      </c>
      <c r="K38" s="6">
        <v>2757.5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58</v>
      </c>
      <c r="R38" s="4">
        <v>0</v>
      </c>
      <c r="S38" s="4" t="s">
        <v>112</v>
      </c>
      <c r="U38" s="4">
        <v>22</v>
      </c>
      <c r="V38" s="4">
        <v>0</v>
      </c>
      <c r="W38" s="4">
        <v>0</v>
      </c>
    </row>
    <row r="39" spans="1:23" ht="11.25" customHeight="1" x14ac:dyDescent="0.25">
      <c r="A39" s="4" t="s">
        <v>21</v>
      </c>
      <c r="B39" s="4" t="s">
        <v>38</v>
      </c>
      <c r="C39" s="4" t="s">
        <v>39</v>
      </c>
      <c r="D39" s="4" t="s">
        <v>37</v>
      </c>
      <c r="E39" s="4" t="s">
        <v>25</v>
      </c>
      <c r="F39" s="4" t="s">
        <v>57</v>
      </c>
      <c r="G39" s="4" t="s">
        <v>25</v>
      </c>
      <c r="H39" s="4" t="s">
        <v>34</v>
      </c>
      <c r="I39" s="5">
        <v>44409</v>
      </c>
      <c r="J39" s="6">
        <v>5578</v>
      </c>
      <c r="K39" s="6">
        <v>2789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58</v>
      </c>
      <c r="R39" s="4">
        <v>0</v>
      </c>
      <c r="S39" s="4" t="s">
        <v>113</v>
      </c>
      <c r="U39" s="4">
        <v>22</v>
      </c>
      <c r="V39" s="4">
        <v>0</v>
      </c>
      <c r="W39" s="4">
        <v>0</v>
      </c>
    </row>
    <row r="40" spans="1:23" ht="11.25" customHeight="1" x14ac:dyDescent="0.25">
      <c r="A40" s="4" t="s">
        <v>21</v>
      </c>
      <c r="B40" s="4" t="s">
        <v>38</v>
      </c>
      <c r="C40" s="4" t="s">
        <v>39</v>
      </c>
      <c r="D40" s="4" t="s">
        <v>37</v>
      </c>
      <c r="E40" s="4" t="s">
        <v>25</v>
      </c>
      <c r="F40" s="4" t="s">
        <v>57</v>
      </c>
      <c r="G40" s="4" t="s">
        <v>25</v>
      </c>
      <c r="H40" s="4" t="s">
        <v>34</v>
      </c>
      <c r="I40" s="5">
        <v>44440</v>
      </c>
      <c r="J40" s="6">
        <v>5550</v>
      </c>
      <c r="K40" s="6">
        <v>2775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58</v>
      </c>
      <c r="R40" s="4">
        <v>0</v>
      </c>
      <c r="S40" s="4" t="s">
        <v>114</v>
      </c>
      <c r="U40" s="4">
        <v>22</v>
      </c>
      <c r="V40" s="4">
        <v>0</v>
      </c>
      <c r="W40" s="4">
        <v>0</v>
      </c>
    </row>
    <row r="41" spans="1:23" ht="11.25" customHeight="1" x14ac:dyDescent="0.25">
      <c r="A41" s="4" t="s">
        <v>21</v>
      </c>
      <c r="B41" s="4" t="s">
        <v>38</v>
      </c>
      <c r="C41" s="4" t="s">
        <v>39</v>
      </c>
      <c r="D41" s="4" t="s">
        <v>37</v>
      </c>
      <c r="E41" s="4" t="s">
        <v>25</v>
      </c>
      <c r="F41" s="4" t="s">
        <v>57</v>
      </c>
      <c r="G41" s="4" t="s">
        <v>25</v>
      </c>
      <c r="H41" s="4" t="s">
        <v>34</v>
      </c>
      <c r="I41" s="5">
        <v>44470</v>
      </c>
      <c r="J41" s="6">
        <v>5570</v>
      </c>
      <c r="K41" s="6">
        <v>2785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58</v>
      </c>
      <c r="R41" s="4">
        <v>0</v>
      </c>
      <c r="S41" s="4" t="s">
        <v>115</v>
      </c>
      <c r="U41" s="4">
        <v>22</v>
      </c>
      <c r="V41" s="4">
        <v>0</v>
      </c>
      <c r="W41" s="4">
        <v>0</v>
      </c>
    </row>
    <row r="42" spans="1:23" ht="11.25" customHeight="1" x14ac:dyDescent="0.25">
      <c r="A42" s="4" t="s">
        <v>21</v>
      </c>
      <c r="B42" s="4" t="s">
        <v>38</v>
      </c>
      <c r="C42" s="4" t="s">
        <v>39</v>
      </c>
      <c r="D42" s="4" t="s">
        <v>37</v>
      </c>
      <c r="E42" s="4" t="s">
        <v>25</v>
      </c>
      <c r="F42" s="4" t="s">
        <v>57</v>
      </c>
      <c r="G42" s="4" t="s">
        <v>25</v>
      </c>
      <c r="H42" s="4" t="s">
        <v>34</v>
      </c>
      <c r="I42" s="5">
        <v>44501</v>
      </c>
      <c r="J42" s="6">
        <v>5615</v>
      </c>
      <c r="K42" s="6">
        <v>2807.5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58</v>
      </c>
      <c r="R42" s="4">
        <v>0</v>
      </c>
      <c r="S42" s="4" t="s">
        <v>116</v>
      </c>
      <c r="U42" s="4">
        <v>22</v>
      </c>
      <c r="V42" s="4">
        <v>0</v>
      </c>
      <c r="W42" s="4">
        <v>0</v>
      </c>
    </row>
    <row r="43" spans="1:23" ht="11.25" customHeight="1" x14ac:dyDescent="0.25">
      <c r="A43" s="4" t="s">
        <v>21</v>
      </c>
      <c r="B43" s="4" t="s">
        <v>38</v>
      </c>
      <c r="C43" s="4" t="s">
        <v>39</v>
      </c>
      <c r="D43" s="4" t="s">
        <v>37</v>
      </c>
      <c r="E43" s="4" t="s">
        <v>25</v>
      </c>
      <c r="F43" s="4" t="s">
        <v>57</v>
      </c>
      <c r="G43" s="4" t="s">
        <v>25</v>
      </c>
      <c r="H43" s="4" t="s">
        <v>34</v>
      </c>
      <c r="I43" s="5">
        <v>44531</v>
      </c>
      <c r="J43" s="6">
        <v>5648</v>
      </c>
      <c r="K43" s="6">
        <v>2824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58</v>
      </c>
      <c r="R43" s="4">
        <v>0</v>
      </c>
      <c r="S43" s="4" t="s">
        <v>117</v>
      </c>
      <c r="U43" s="4">
        <v>22</v>
      </c>
      <c r="V43" s="4">
        <v>0</v>
      </c>
      <c r="W43" s="4">
        <v>0</v>
      </c>
    </row>
    <row r="44" spans="1:23" ht="11.25" customHeight="1" x14ac:dyDescent="0.25">
      <c r="A44" s="4" t="s">
        <v>21</v>
      </c>
      <c r="B44" s="4" t="s">
        <v>38</v>
      </c>
      <c r="C44" s="4" t="s">
        <v>39</v>
      </c>
      <c r="D44" s="4" t="s">
        <v>37</v>
      </c>
      <c r="E44" s="4" t="s">
        <v>25</v>
      </c>
      <c r="F44" s="4" t="s">
        <v>57</v>
      </c>
      <c r="G44" s="4" t="s">
        <v>25</v>
      </c>
      <c r="H44" s="4" t="s">
        <v>34</v>
      </c>
      <c r="I44" s="5">
        <v>44562</v>
      </c>
      <c r="J44" s="6">
        <v>5716</v>
      </c>
      <c r="K44" s="6">
        <v>2858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58</v>
      </c>
      <c r="R44" s="4">
        <v>0</v>
      </c>
      <c r="S44" s="4" t="s">
        <v>118</v>
      </c>
      <c r="U44" s="4">
        <v>22</v>
      </c>
      <c r="V44" s="4">
        <v>0</v>
      </c>
      <c r="W44" s="4">
        <v>0</v>
      </c>
    </row>
    <row r="45" spans="1:23" ht="11.25" customHeight="1" x14ac:dyDescent="0.25">
      <c r="A45" s="4" t="s">
        <v>21</v>
      </c>
      <c r="B45" s="4" t="s">
        <v>38</v>
      </c>
      <c r="C45" s="4" t="s">
        <v>39</v>
      </c>
      <c r="D45" s="4" t="s">
        <v>37</v>
      </c>
      <c r="E45" s="4" t="s">
        <v>25</v>
      </c>
      <c r="F45" s="4" t="s">
        <v>57</v>
      </c>
      <c r="G45" s="4" t="s">
        <v>25</v>
      </c>
      <c r="H45" s="4" t="s">
        <v>34</v>
      </c>
      <c r="I45" s="5">
        <v>44593</v>
      </c>
      <c r="J45" s="6">
        <v>5640</v>
      </c>
      <c r="K45" s="6">
        <v>2820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58</v>
      </c>
      <c r="R45" s="4">
        <v>0</v>
      </c>
      <c r="S45" s="4" t="s">
        <v>119</v>
      </c>
      <c r="U45" s="4">
        <v>22</v>
      </c>
      <c r="V45" s="4">
        <v>0</v>
      </c>
      <c r="W45" s="4">
        <v>0</v>
      </c>
    </row>
    <row r="46" spans="1:23" ht="11.25" customHeight="1" x14ac:dyDescent="0.25">
      <c r="A46" s="4" t="s">
        <v>21</v>
      </c>
      <c r="B46" s="4" t="s">
        <v>38</v>
      </c>
      <c r="C46" s="4" t="s">
        <v>39</v>
      </c>
      <c r="D46" s="4" t="s">
        <v>37</v>
      </c>
      <c r="E46" s="4" t="s">
        <v>25</v>
      </c>
      <c r="F46" s="4" t="s">
        <v>57</v>
      </c>
      <c r="G46" s="4" t="s">
        <v>25</v>
      </c>
      <c r="H46" s="4" t="s">
        <v>34</v>
      </c>
      <c r="I46" s="5">
        <v>44621</v>
      </c>
      <c r="J46" s="6">
        <v>5643</v>
      </c>
      <c r="K46" s="6">
        <v>2821.5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58</v>
      </c>
      <c r="R46" s="4">
        <v>0</v>
      </c>
      <c r="S46" s="4" t="s">
        <v>120</v>
      </c>
      <c r="U46" s="4">
        <v>22</v>
      </c>
      <c r="V46" s="4">
        <v>0</v>
      </c>
      <c r="W46" s="4">
        <v>0</v>
      </c>
    </row>
    <row r="47" spans="1:23" ht="11.25" customHeight="1" x14ac:dyDescent="0.25">
      <c r="A47" s="4" t="s">
        <v>21</v>
      </c>
      <c r="B47" s="4" t="s">
        <v>38</v>
      </c>
      <c r="C47" s="4" t="s">
        <v>39</v>
      </c>
      <c r="D47" s="4" t="s">
        <v>37</v>
      </c>
      <c r="E47" s="4" t="s">
        <v>25</v>
      </c>
      <c r="F47" s="4" t="s">
        <v>57</v>
      </c>
      <c r="G47" s="4" t="s">
        <v>25</v>
      </c>
      <c r="H47" s="4" t="s">
        <v>34</v>
      </c>
      <c r="I47" s="5">
        <v>44652</v>
      </c>
      <c r="J47" s="6">
        <v>5618</v>
      </c>
      <c r="K47" s="6">
        <v>2809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58</v>
      </c>
      <c r="R47" s="4">
        <v>0</v>
      </c>
      <c r="S47" s="4" t="s">
        <v>121</v>
      </c>
      <c r="U47" s="4">
        <v>22</v>
      </c>
      <c r="V47" s="4">
        <v>0</v>
      </c>
      <c r="W47" s="4">
        <v>0</v>
      </c>
    </row>
    <row r="48" spans="1:23" ht="11.25" customHeight="1" x14ac:dyDescent="0.25">
      <c r="A48" s="4" t="s">
        <v>21</v>
      </c>
      <c r="B48" s="4" t="s">
        <v>38</v>
      </c>
      <c r="C48" s="4" t="s">
        <v>39</v>
      </c>
      <c r="D48" s="4" t="s">
        <v>37</v>
      </c>
      <c r="E48" s="4" t="s">
        <v>25</v>
      </c>
      <c r="F48" s="4" t="s">
        <v>57</v>
      </c>
      <c r="G48" s="4" t="s">
        <v>25</v>
      </c>
      <c r="H48" s="4" t="s">
        <v>34</v>
      </c>
      <c r="I48" s="5">
        <v>44682</v>
      </c>
      <c r="J48" s="6">
        <v>5674</v>
      </c>
      <c r="K48" s="6">
        <v>2837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58</v>
      </c>
      <c r="R48" s="4">
        <v>0</v>
      </c>
      <c r="S48" s="4" t="s">
        <v>122</v>
      </c>
      <c r="U48" s="4">
        <v>22</v>
      </c>
      <c r="V48" s="4">
        <v>0</v>
      </c>
      <c r="W48" s="4">
        <v>0</v>
      </c>
    </row>
    <row r="49" spans="1:23" ht="11.25" customHeight="1" x14ac:dyDescent="0.25">
      <c r="A49" s="4" t="s">
        <v>56</v>
      </c>
      <c r="B49" s="4" t="s">
        <v>38</v>
      </c>
      <c r="C49" s="4" t="s">
        <v>39</v>
      </c>
      <c r="D49" s="4" t="s">
        <v>37</v>
      </c>
      <c r="E49" s="4" t="s">
        <v>25</v>
      </c>
      <c r="F49" s="4" t="s">
        <v>57</v>
      </c>
      <c r="G49" s="4" t="s">
        <v>25</v>
      </c>
      <c r="H49" s="4" t="s">
        <v>34</v>
      </c>
      <c r="I49" s="5">
        <v>44713</v>
      </c>
      <c r="J49" s="6">
        <v>5674</v>
      </c>
      <c r="K49" s="6">
        <v>2837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58</v>
      </c>
      <c r="R49" s="4">
        <v>0</v>
      </c>
      <c r="S49" s="4" t="s">
        <v>123</v>
      </c>
      <c r="U49" s="4">
        <v>22</v>
      </c>
      <c r="V49" s="4">
        <v>0</v>
      </c>
      <c r="W49" s="4">
        <v>0</v>
      </c>
    </row>
    <row r="50" spans="1:23" ht="11.25" customHeight="1" x14ac:dyDescent="0.25">
      <c r="A50" s="4" t="s">
        <v>21</v>
      </c>
      <c r="B50" s="4" t="s">
        <v>38</v>
      </c>
      <c r="C50" s="4" t="s">
        <v>39</v>
      </c>
      <c r="D50" s="4" t="s">
        <v>37</v>
      </c>
      <c r="E50" s="4" t="s">
        <v>25</v>
      </c>
      <c r="F50" s="4" t="s">
        <v>57</v>
      </c>
      <c r="G50" s="4" t="s">
        <v>25</v>
      </c>
      <c r="H50" s="4" t="s">
        <v>25</v>
      </c>
      <c r="I50" s="5">
        <v>44378</v>
      </c>
      <c r="J50" s="6">
        <v>0</v>
      </c>
      <c r="K50" s="6">
        <v>0</v>
      </c>
      <c r="L50" s="6">
        <v>2527.2869999999998</v>
      </c>
      <c r="M50" s="6">
        <v>1263.6434999999999</v>
      </c>
      <c r="N50" s="6">
        <v>0</v>
      </c>
      <c r="O50" s="6">
        <v>0</v>
      </c>
      <c r="P50" s="6">
        <v>4</v>
      </c>
      <c r="Q50" s="4" t="s">
        <v>58</v>
      </c>
      <c r="R50" s="4">
        <v>0</v>
      </c>
      <c r="S50" s="4" t="s">
        <v>136</v>
      </c>
      <c r="U50" s="4">
        <v>0</v>
      </c>
      <c r="V50" s="4">
        <v>7</v>
      </c>
      <c r="W50" s="4">
        <v>0</v>
      </c>
    </row>
    <row r="51" spans="1:23" ht="11.25" customHeight="1" x14ac:dyDescent="0.25">
      <c r="A51" s="4" t="s">
        <v>21</v>
      </c>
      <c r="B51" s="4" t="s">
        <v>38</v>
      </c>
      <c r="C51" s="4" t="s">
        <v>39</v>
      </c>
      <c r="D51" s="4" t="s">
        <v>37</v>
      </c>
      <c r="E51" s="4" t="s">
        <v>25</v>
      </c>
      <c r="F51" s="4" t="s">
        <v>57</v>
      </c>
      <c r="G51" s="4" t="s">
        <v>25</v>
      </c>
      <c r="H51" s="4" t="s">
        <v>25</v>
      </c>
      <c r="I51" s="5">
        <v>44409</v>
      </c>
      <c r="J51" s="6">
        <v>0</v>
      </c>
      <c r="K51" s="6">
        <v>0</v>
      </c>
      <c r="L51" s="6">
        <v>2597.9349999999999</v>
      </c>
      <c r="M51" s="6">
        <v>1298.9675</v>
      </c>
      <c r="N51" s="6">
        <v>0</v>
      </c>
      <c r="O51" s="6">
        <v>0</v>
      </c>
      <c r="P51" s="6">
        <v>4</v>
      </c>
      <c r="Q51" s="4" t="s">
        <v>58</v>
      </c>
      <c r="R51" s="4">
        <v>0</v>
      </c>
      <c r="S51" s="4" t="s">
        <v>137</v>
      </c>
      <c r="U51" s="4">
        <v>0</v>
      </c>
      <c r="V51" s="4">
        <v>7</v>
      </c>
      <c r="W51" s="4">
        <v>0</v>
      </c>
    </row>
    <row r="52" spans="1:23" ht="11.25" customHeight="1" x14ac:dyDescent="0.25">
      <c r="A52" s="4" t="s">
        <v>21</v>
      </c>
      <c r="B52" s="4" t="s">
        <v>38</v>
      </c>
      <c r="C52" s="4" t="s">
        <v>39</v>
      </c>
      <c r="D52" s="4" t="s">
        <v>37</v>
      </c>
      <c r="E52" s="4" t="s">
        <v>25</v>
      </c>
      <c r="F52" s="4" t="s">
        <v>57</v>
      </c>
      <c r="G52" s="4" t="s">
        <v>25</v>
      </c>
      <c r="H52" s="4" t="s">
        <v>25</v>
      </c>
      <c r="I52" s="5">
        <v>44440</v>
      </c>
      <c r="J52" s="6">
        <v>0</v>
      </c>
      <c r="K52" s="6">
        <v>0</v>
      </c>
      <c r="L52" s="6">
        <v>2547.232</v>
      </c>
      <c r="M52" s="6">
        <v>1273.616</v>
      </c>
      <c r="N52" s="6">
        <v>0</v>
      </c>
      <c r="O52" s="6">
        <v>0</v>
      </c>
      <c r="P52" s="6">
        <v>4</v>
      </c>
      <c r="Q52" s="4" t="s">
        <v>58</v>
      </c>
      <c r="R52" s="4">
        <v>0</v>
      </c>
      <c r="S52" s="4" t="s">
        <v>138</v>
      </c>
      <c r="U52" s="4">
        <v>0</v>
      </c>
      <c r="V52" s="4">
        <v>7</v>
      </c>
      <c r="W52" s="4">
        <v>0</v>
      </c>
    </row>
    <row r="53" spans="1:23" ht="11.25" customHeight="1" x14ac:dyDescent="0.25">
      <c r="A53" s="4" t="s">
        <v>21</v>
      </c>
      <c r="B53" s="4" t="s">
        <v>38</v>
      </c>
      <c r="C53" s="4" t="s">
        <v>39</v>
      </c>
      <c r="D53" s="4" t="s">
        <v>37</v>
      </c>
      <c r="E53" s="4" t="s">
        <v>25</v>
      </c>
      <c r="F53" s="4" t="s">
        <v>57</v>
      </c>
      <c r="G53" s="4" t="s">
        <v>25</v>
      </c>
      <c r="H53" s="4" t="s">
        <v>25</v>
      </c>
      <c r="I53" s="5">
        <v>44470</v>
      </c>
      <c r="J53" s="6">
        <v>0</v>
      </c>
      <c r="K53" s="6">
        <v>0</v>
      </c>
      <c r="L53" s="6">
        <v>2494.2710000000002</v>
      </c>
      <c r="M53" s="6">
        <v>1247.1355000000001</v>
      </c>
      <c r="N53" s="6">
        <v>0</v>
      </c>
      <c r="O53" s="6">
        <v>0</v>
      </c>
      <c r="P53" s="6">
        <v>4</v>
      </c>
      <c r="Q53" s="4" t="s">
        <v>58</v>
      </c>
      <c r="R53" s="4">
        <v>0</v>
      </c>
      <c r="S53" s="4" t="s">
        <v>139</v>
      </c>
      <c r="U53" s="4">
        <v>0</v>
      </c>
      <c r="V53" s="4">
        <v>7</v>
      </c>
      <c r="W53" s="4">
        <v>0</v>
      </c>
    </row>
    <row r="54" spans="1:23" ht="11.25" customHeight="1" x14ac:dyDescent="0.25">
      <c r="A54" s="4" t="s">
        <v>21</v>
      </c>
      <c r="B54" s="4" t="s">
        <v>38</v>
      </c>
      <c r="C54" s="4" t="s">
        <v>39</v>
      </c>
      <c r="D54" s="4" t="s">
        <v>37</v>
      </c>
      <c r="E54" s="4" t="s">
        <v>25</v>
      </c>
      <c r="F54" s="4" t="s">
        <v>57</v>
      </c>
      <c r="G54" s="4" t="s">
        <v>25</v>
      </c>
      <c r="H54" s="4" t="s">
        <v>25</v>
      </c>
      <c r="I54" s="5">
        <v>44501</v>
      </c>
      <c r="J54" s="6">
        <v>0</v>
      </c>
      <c r="K54" s="6">
        <v>0</v>
      </c>
      <c r="L54" s="6">
        <v>2493.67</v>
      </c>
      <c r="M54" s="6">
        <v>1246.835</v>
      </c>
      <c r="N54" s="6">
        <v>0</v>
      </c>
      <c r="O54" s="6">
        <v>0</v>
      </c>
      <c r="P54" s="6">
        <v>4</v>
      </c>
      <c r="Q54" s="4" t="s">
        <v>58</v>
      </c>
      <c r="R54" s="4">
        <v>0</v>
      </c>
      <c r="S54" s="4" t="s">
        <v>140</v>
      </c>
      <c r="U54" s="4">
        <v>0</v>
      </c>
      <c r="V54" s="4">
        <v>7</v>
      </c>
      <c r="W54" s="4">
        <v>0</v>
      </c>
    </row>
    <row r="55" spans="1:23" ht="11.25" customHeight="1" x14ac:dyDescent="0.25">
      <c r="A55" s="4" t="s">
        <v>21</v>
      </c>
      <c r="B55" s="4" t="s">
        <v>38</v>
      </c>
      <c r="C55" s="4" t="s">
        <v>39</v>
      </c>
      <c r="D55" s="4" t="s">
        <v>37</v>
      </c>
      <c r="E55" s="4" t="s">
        <v>25</v>
      </c>
      <c r="F55" s="4" t="s">
        <v>57</v>
      </c>
      <c r="G55" s="4" t="s">
        <v>25</v>
      </c>
      <c r="H55" s="4" t="s">
        <v>25</v>
      </c>
      <c r="I55" s="5">
        <v>44531</v>
      </c>
      <c r="J55" s="6">
        <v>0</v>
      </c>
      <c r="K55" s="6">
        <v>0</v>
      </c>
      <c r="L55" s="6">
        <v>2788.4180000000001</v>
      </c>
      <c r="M55" s="6">
        <v>1394.2090000000001</v>
      </c>
      <c r="N55" s="6">
        <v>0</v>
      </c>
      <c r="O55" s="6">
        <v>0</v>
      </c>
      <c r="P55" s="6">
        <v>4</v>
      </c>
      <c r="Q55" s="4" t="s">
        <v>58</v>
      </c>
      <c r="R55" s="4">
        <v>0</v>
      </c>
      <c r="S55" s="4" t="s">
        <v>141</v>
      </c>
      <c r="U55" s="4">
        <v>0</v>
      </c>
      <c r="V55" s="4">
        <v>7</v>
      </c>
      <c r="W55" s="4">
        <v>0</v>
      </c>
    </row>
    <row r="56" spans="1:23" ht="11.25" customHeight="1" x14ac:dyDescent="0.25">
      <c r="A56" s="4" t="s">
        <v>21</v>
      </c>
      <c r="B56" s="4" t="s">
        <v>38</v>
      </c>
      <c r="C56" s="4" t="s">
        <v>39</v>
      </c>
      <c r="D56" s="4" t="s">
        <v>37</v>
      </c>
      <c r="E56" s="4" t="s">
        <v>25</v>
      </c>
      <c r="F56" s="4" t="s">
        <v>57</v>
      </c>
      <c r="G56" s="4" t="s">
        <v>25</v>
      </c>
      <c r="H56" s="4" t="s">
        <v>25</v>
      </c>
      <c r="I56" s="5">
        <v>44562</v>
      </c>
      <c r="J56" s="6">
        <v>0</v>
      </c>
      <c r="K56" s="6">
        <v>0</v>
      </c>
      <c r="L56" s="6">
        <v>2800.7049999999999</v>
      </c>
      <c r="M56" s="6">
        <v>1400.3525</v>
      </c>
      <c r="N56" s="6">
        <v>0</v>
      </c>
      <c r="O56" s="6">
        <v>0</v>
      </c>
      <c r="P56" s="6">
        <v>4</v>
      </c>
      <c r="Q56" s="4" t="s">
        <v>58</v>
      </c>
      <c r="R56" s="4">
        <v>0</v>
      </c>
      <c r="S56" s="4" t="s">
        <v>142</v>
      </c>
      <c r="U56" s="4">
        <v>0</v>
      </c>
      <c r="V56" s="4">
        <v>7</v>
      </c>
      <c r="W56" s="4">
        <v>0</v>
      </c>
    </row>
    <row r="57" spans="1:23" ht="11.25" customHeight="1" x14ac:dyDescent="0.25">
      <c r="A57" s="4" t="s">
        <v>21</v>
      </c>
      <c r="B57" s="4" t="s">
        <v>38</v>
      </c>
      <c r="C57" s="4" t="s">
        <v>39</v>
      </c>
      <c r="D57" s="4" t="s">
        <v>37</v>
      </c>
      <c r="E57" s="4" t="s">
        <v>25</v>
      </c>
      <c r="F57" s="4" t="s">
        <v>57</v>
      </c>
      <c r="G57" s="4" t="s">
        <v>25</v>
      </c>
      <c r="H57" s="4" t="s">
        <v>25</v>
      </c>
      <c r="I57" s="5">
        <v>44593</v>
      </c>
      <c r="J57" s="6">
        <v>0</v>
      </c>
      <c r="K57" s="6">
        <v>0</v>
      </c>
      <c r="L57" s="6">
        <v>2477.1469999999999</v>
      </c>
      <c r="M57" s="6">
        <v>1238.5735</v>
      </c>
      <c r="N57" s="6">
        <v>0</v>
      </c>
      <c r="O57" s="6">
        <v>0</v>
      </c>
      <c r="P57" s="6">
        <v>4</v>
      </c>
      <c r="Q57" s="4" t="s">
        <v>58</v>
      </c>
      <c r="R57" s="4">
        <v>0</v>
      </c>
      <c r="S57" s="4" t="s">
        <v>143</v>
      </c>
      <c r="U57" s="4">
        <v>0</v>
      </c>
      <c r="V57" s="4">
        <v>7</v>
      </c>
      <c r="W57" s="4">
        <v>0</v>
      </c>
    </row>
    <row r="58" spans="1:23" ht="11.25" customHeight="1" x14ac:dyDescent="0.25">
      <c r="A58" s="4" t="s">
        <v>21</v>
      </c>
      <c r="B58" s="4" t="s">
        <v>38</v>
      </c>
      <c r="C58" s="4" t="s">
        <v>39</v>
      </c>
      <c r="D58" s="4" t="s">
        <v>37</v>
      </c>
      <c r="E58" s="4" t="s">
        <v>25</v>
      </c>
      <c r="F58" s="4" t="s">
        <v>57</v>
      </c>
      <c r="G58" s="4" t="s">
        <v>25</v>
      </c>
      <c r="H58" s="4" t="s">
        <v>25</v>
      </c>
      <c r="I58" s="5">
        <v>44621</v>
      </c>
      <c r="J58" s="6">
        <v>0</v>
      </c>
      <c r="K58" s="6">
        <v>0</v>
      </c>
      <c r="L58" s="6">
        <v>2716.36</v>
      </c>
      <c r="M58" s="6">
        <v>1358.18</v>
      </c>
      <c r="N58" s="6">
        <v>0</v>
      </c>
      <c r="O58" s="6">
        <v>0</v>
      </c>
      <c r="P58" s="6">
        <v>4</v>
      </c>
      <c r="Q58" s="4" t="s">
        <v>58</v>
      </c>
      <c r="R58" s="4">
        <v>0</v>
      </c>
      <c r="S58" s="4" t="s">
        <v>144</v>
      </c>
      <c r="U58" s="4">
        <v>0</v>
      </c>
      <c r="V58" s="4">
        <v>7</v>
      </c>
      <c r="W58" s="4">
        <v>0</v>
      </c>
    </row>
    <row r="59" spans="1:23" ht="11.25" customHeight="1" x14ac:dyDescent="0.25">
      <c r="A59" s="4" t="s">
        <v>21</v>
      </c>
      <c r="B59" s="4" t="s">
        <v>38</v>
      </c>
      <c r="C59" s="4" t="s">
        <v>39</v>
      </c>
      <c r="D59" s="4" t="s">
        <v>37</v>
      </c>
      <c r="E59" s="4" t="s">
        <v>25</v>
      </c>
      <c r="F59" s="4" t="s">
        <v>57</v>
      </c>
      <c r="G59" s="4" t="s">
        <v>25</v>
      </c>
      <c r="H59" s="4" t="s">
        <v>25</v>
      </c>
      <c r="I59" s="5">
        <v>44652</v>
      </c>
      <c r="J59" s="6">
        <v>0</v>
      </c>
      <c r="K59" s="6">
        <v>0</v>
      </c>
      <c r="L59" s="6">
        <v>2357.3380000000002</v>
      </c>
      <c r="M59" s="6">
        <v>1178.6690000000001</v>
      </c>
      <c r="N59" s="6">
        <v>0</v>
      </c>
      <c r="O59" s="6">
        <v>0</v>
      </c>
      <c r="P59" s="6">
        <v>4</v>
      </c>
      <c r="Q59" s="4" t="s">
        <v>58</v>
      </c>
      <c r="R59" s="4">
        <v>0</v>
      </c>
      <c r="S59" s="4" t="s">
        <v>145</v>
      </c>
      <c r="U59" s="4">
        <v>0</v>
      </c>
      <c r="V59" s="4">
        <v>7</v>
      </c>
      <c r="W59" s="4">
        <v>0</v>
      </c>
    </row>
    <row r="60" spans="1:23" ht="11.25" customHeight="1" x14ac:dyDescent="0.25">
      <c r="A60" s="4" t="s">
        <v>21</v>
      </c>
      <c r="B60" s="4" t="s">
        <v>38</v>
      </c>
      <c r="C60" s="4" t="s">
        <v>39</v>
      </c>
      <c r="D60" s="4" t="s">
        <v>37</v>
      </c>
      <c r="E60" s="4" t="s">
        <v>25</v>
      </c>
      <c r="F60" s="4" t="s">
        <v>57</v>
      </c>
      <c r="G60" s="4" t="s">
        <v>25</v>
      </c>
      <c r="H60" s="4" t="s">
        <v>25</v>
      </c>
      <c r="I60" s="5">
        <v>44682</v>
      </c>
      <c r="J60" s="6">
        <v>0</v>
      </c>
      <c r="K60" s="6">
        <v>0</v>
      </c>
      <c r="L60" s="6">
        <v>2365.0210000000002</v>
      </c>
      <c r="M60" s="6">
        <v>1182.5105000000001</v>
      </c>
      <c r="N60" s="6">
        <v>0</v>
      </c>
      <c r="O60" s="6">
        <v>0</v>
      </c>
      <c r="P60" s="6">
        <v>4</v>
      </c>
      <c r="Q60" s="4" t="s">
        <v>58</v>
      </c>
      <c r="R60" s="4">
        <v>0</v>
      </c>
      <c r="S60" s="4" t="s">
        <v>146</v>
      </c>
      <c r="U60" s="4">
        <v>0</v>
      </c>
      <c r="V60" s="4">
        <v>7</v>
      </c>
      <c r="W60" s="4">
        <v>0</v>
      </c>
    </row>
    <row r="61" spans="1:23" ht="11.25" customHeight="1" x14ac:dyDescent="0.25">
      <c r="A61" s="4" t="s">
        <v>56</v>
      </c>
      <c r="B61" s="4" t="s">
        <v>38</v>
      </c>
      <c r="C61" s="4" t="s">
        <v>39</v>
      </c>
      <c r="D61" s="4" t="s">
        <v>37</v>
      </c>
      <c r="E61" s="4" t="s">
        <v>25</v>
      </c>
      <c r="F61" s="4" t="s">
        <v>57</v>
      </c>
      <c r="G61" s="4" t="s">
        <v>25</v>
      </c>
      <c r="H61" s="4" t="s">
        <v>25</v>
      </c>
      <c r="I61" s="5">
        <v>44713</v>
      </c>
      <c r="J61" s="6">
        <v>0</v>
      </c>
      <c r="K61" s="6">
        <v>0</v>
      </c>
      <c r="L61" s="6">
        <v>2365.0210000000002</v>
      </c>
      <c r="M61" s="6">
        <v>1182.5105000000001</v>
      </c>
      <c r="N61" s="6">
        <v>0</v>
      </c>
      <c r="O61" s="6">
        <v>0</v>
      </c>
      <c r="P61" s="6">
        <v>4</v>
      </c>
      <c r="Q61" s="4" t="s">
        <v>58</v>
      </c>
      <c r="R61" s="4">
        <v>0</v>
      </c>
      <c r="S61" s="4" t="s">
        <v>147</v>
      </c>
      <c r="U61" s="4">
        <v>0</v>
      </c>
      <c r="V61" s="4">
        <v>7</v>
      </c>
      <c r="W61" s="4">
        <v>0</v>
      </c>
    </row>
    <row r="62" spans="1:23" ht="11.25" customHeight="1" x14ac:dyDescent="0.25">
      <c r="A62" s="4" t="s">
        <v>21</v>
      </c>
      <c r="B62" s="4" t="s">
        <v>38</v>
      </c>
      <c r="C62" s="4" t="s">
        <v>39</v>
      </c>
      <c r="D62" s="4" t="s">
        <v>37</v>
      </c>
      <c r="E62" s="4" t="s">
        <v>25</v>
      </c>
      <c r="F62" s="4" t="s">
        <v>57</v>
      </c>
      <c r="G62" s="4" t="s">
        <v>25</v>
      </c>
      <c r="H62" s="4" t="s">
        <v>33</v>
      </c>
      <c r="I62" s="5">
        <v>44378</v>
      </c>
      <c r="J62" s="6">
        <v>5232</v>
      </c>
      <c r="K62" s="6">
        <v>2616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58</v>
      </c>
      <c r="R62" s="4">
        <v>0</v>
      </c>
      <c r="S62" s="4" t="s">
        <v>124</v>
      </c>
      <c r="U62" s="4">
        <v>3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38</v>
      </c>
      <c r="C63" s="4" t="s">
        <v>39</v>
      </c>
      <c r="D63" s="4" t="s">
        <v>37</v>
      </c>
      <c r="E63" s="4" t="s">
        <v>25</v>
      </c>
      <c r="F63" s="4" t="s">
        <v>57</v>
      </c>
      <c r="G63" s="4" t="s">
        <v>25</v>
      </c>
      <c r="H63" s="4" t="s">
        <v>33</v>
      </c>
      <c r="I63" s="5">
        <v>44409</v>
      </c>
      <c r="J63" s="6">
        <v>5286</v>
      </c>
      <c r="K63" s="6">
        <v>2643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58</v>
      </c>
      <c r="R63" s="4">
        <v>0</v>
      </c>
      <c r="S63" s="4" t="s">
        <v>125</v>
      </c>
      <c r="U63" s="4">
        <v>3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38</v>
      </c>
      <c r="C64" s="4" t="s">
        <v>39</v>
      </c>
      <c r="D64" s="4" t="s">
        <v>37</v>
      </c>
      <c r="E64" s="4" t="s">
        <v>25</v>
      </c>
      <c r="F64" s="4" t="s">
        <v>57</v>
      </c>
      <c r="G64" s="4" t="s">
        <v>25</v>
      </c>
      <c r="H64" s="4" t="s">
        <v>33</v>
      </c>
      <c r="I64" s="5">
        <v>44440</v>
      </c>
      <c r="J64" s="6">
        <v>5291</v>
      </c>
      <c r="K64" s="6">
        <v>2645.5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58</v>
      </c>
      <c r="R64" s="4">
        <v>0</v>
      </c>
      <c r="S64" s="4" t="s">
        <v>126</v>
      </c>
      <c r="U64" s="4">
        <v>3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38</v>
      </c>
      <c r="C65" s="4" t="s">
        <v>39</v>
      </c>
      <c r="D65" s="4" t="s">
        <v>37</v>
      </c>
      <c r="E65" s="4" t="s">
        <v>25</v>
      </c>
      <c r="F65" s="4" t="s">
        <v>57</v>
      </c>
      <c r="G65" s="4" t="s">
        <v>25</v>
      </c>
      <c r="H65" s="4" t="s">
        <v>33</v>
      </c>
      <c r="I65" s="5">
        <v>44470</v>
      </c>
      <c r="J65" s="6">
        <v>5310</v>
      </c>
      <c r="K65" s="6">
        <v>2655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58</v>
      </c>
      <c r="R65" s="4">
        <v>0</v>
      </c>
      <c r="S65" s="4" t="s">
        <v>127</v>
      </c>
      <c r="U65" s="4">
        <v>3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38</v>
      </c>
      <c r="C66" s="4" t="s">
        <v>39</v>
      </c>
      <c r="D66" s="4" t="s">
        <v>37</v>
      </c>
      <c r="E66" s="4" t="s">
        <v>25</v>
      </c>
      <c r="F66" s="4" t="s">
        <v>57</v>
      </c>
      <c r="G66" s="4" t="s">
        <v>25</v>
      </c>
      <c r="H66" s="4" t="s">
        <v>33</v>
      </c>
      <c r="I66" s="5">
        <v>44501</v>
      </c>
      <c r="J66" s="6">
        <v>5312</v>
      </c>
      <c r="K66" s="6">
        <v>2656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58</v>
      </c>
      <c r="R66" s="4">
        <v>0</v>
      </c>
      <c r="S66" s="4" t="s">
        <v>128</v>
      </c>
      <c r="U66" s="4">
        <v>3</v>
      </c>
      <c r="V66" s="4">
        <v>0</v>
      </c>
      <c r="W66" s="4">
        <v>0</v>
      </c>
    </row>
    <row r="67" spans="1:23" ht="11.25" customHeight="1" x14ac:dyDescent="0.25">
      <c r="A67" s="4" t="s">
        <v>21</v>
      </c>
      <c r="B67" s="4" t="s">
        <v>38</v>
      </c>
      <c r="C67" s="4" t="s">
        <v>39</v>
      </c>
      <c r="D67" s="4" t="s">
        <v>37</v>
      </c>
      <c r="E67" s="4" t="s">
        <v>25</v>
      </c>
      <c r="F67" s="4" t="s">
        <v>57</v>
      </c>
      <c r="G67" s="4" t="s">
        <v>25</v>
      </c>
      <c r="H67" s="4" t="s">
        <v>33</v>
      </c>
      <c r="I67" s="5">
        <v>44531</v>
      </c>
      <c r="J67" s="6">
        <v>5357</v>
      </c>
      <c r="K67" s="6">
        <v>2678.5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58</v>
      </c>
      <c r="R67" s="4">
        <v>0</v>
      </c>
      <c r="S67" s="4" t="s">
        <v>129</v>
      </c>
      <c r="U67" s="4">
        <v>3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38</v>
      </c>
      <c r="C68" s="4" t="s">
        <v>39</v>
      </c>
      <c r="D68" s="4" t="s">
        <v>37</v>
      </c>
      <c r="E68" s="4" t="s">
        <v>25</v>
      </c>
      <c r="F68" s="4" t="s">
        <v>57</v>
      </c>
      <c r="G68" s="4" t="s">
        <v>25</v>
      </c>
      <c r="H68" s="4" t="s">
        <v>33</v>
      </c>
      <c r="I68" s="5">
        <v>44562</v>
      </c>
      <c r="J68" s="6">
        <v>5406</v>
      </c>
      <c r="K68" s="6">
        <v>2703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58</v>
      </c>
      <c r="R68" s="4">
        <v>0</v>
      </c>
      <c r="S68" s="4" t="s">
        <v>130</v>
      </c>
      <c r="U68" s="4">
        <v>3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38</v>
      </c>
      <c r="C69" s="4" t="s">
        <v>39</v>
      </c>
      <c r="D69" s="4" t="s">
        <v>37</v>
      </c>
      <c r="E69" s="4" t="s">
        <v>25</v>
      </c>
      <c r="F69" s="4" t="s">
        <v>57</v>
      </c>
      <c r="G69" s="4" t="s">
        <v>25</v>
      </c>
      <c r="H69" s="4" t="s">
        <v>33</v>
      </c>
      <c r="I69" s="5">
        <v>44593</v>
      </c>
      <c r="J69" s="6">
        <v>5387</v>
      </c>
      <c r="K69" s="6">
        <v>2693.5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58</v>
      </c>
      <c r="R69" s="4">
        <v>0</v>
      </c>
      <c r="S69" s="4" t="s">
        <v>131</v>
      </c>
      <c r="U69" s="4">
        <v>3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38</v>
      </c>
      <c r="C70" s="4" t="s">
        <v>39</v>
      </c>
      <c r="D70" s="4" t="s">
        <v>37</v>
      </c>
      <c r="E70" s="4" t="s">
        <v>25</v>
      </c>
      <c r="F70" s="4" t="s">
        <v>57</v>
      </c>
      <c r="G70" s="4" t="s">
        <v>25</v>
      </c>
      <c r="H70" s="4" t="s">
        <v>33</v>
      </c>
      <c r="I70" s="5">
        <v>44621</v>
      </c>
      <c r="J70" s="6">
        <v>5395</v>
      </c>
      <c r="K70" s="6">
        <v>2697.5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58</v>
      </c>
      <c r="R70" s="4">
        <v>0</v>
      </c>
      <c r="S70" s="4" t="s">
        <v>132</v>
      </c>
      <c r="U70" s="4">
        <v>3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38</v>
      </c>
      <c r="C71" s="4" t="s">
        <v>39</v>
      </c>
      <c r="D71" s="4" t="s">
        <v>37</v>
      </c>
      <c r="E71" s="4" t="s">
        <v>25</v>
      </c>
      <c r="F71" s="4" t="s">
        <v>57</v>
      </c>
      <c r="G71" s="4" t="s">
        <v>25</v>
      </c>
      <c r="H71" s="4" t="s">
        <v>33</v>
      </c>
      <c r="I71" s="5">
        <v>44652</v>
      </c>
      <c r="J71" s="6">
        <v>5332</v>
      </c>
      <c r="K71" s="6">
        <v>2666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58</v>
      </c>
      <c r="R71" s="4">
        <v>0</v>
      </c>
      <c r="S71" s="4" t="s">
        <v>133</v>
      </c>
      <c r="U71" s="4">
        <v>3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38</v>
      </c>
      <c r="C72" s="4" t="s">
        <v>39</v>
      </c>
      <c r="D72" s="4" t="s">
        <v>37</v>
      </c>
      <c r="E72" s="4" t="s">
        <v>25</v>
      </c>
      <c r="F72" s="4" t="s">
        <v>57</v>
      </c>
      <c r="G72" s="4" t="s">
        <v>25</v>
      </c>
      <c r="H72" s="4" t="s">
        <v>33</v>
      </c>
      <c r="I72" s="5">
        <v>44682</v>
      </c>
      <c r="J72" s="6">
        <v>5385</v>
      </c>
      <c r="K72" s="6">
        <v>2692.5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R72" s="4">
        <v>0</v>
      </c>
      <c r="S72" s="4" t="s">
        <v>134</v>
      </c>
      <c r="U72" s="4">
        <v>3</v>
      </c>
      <c r="V72" s="4">
        <v>0</v>
      </c>
      <c r="W72" s="4">
        <v>0</v>
      </c>
    </row>
    <row r="73" spans="1:23" ht="11.25" customHeight="1" x14ac:dyDescent="0.25">
      <c r="A73" s="4" t="s">
        <v>56</v>
      </c>
      <c r="B73" s="4" t="s">
        <v>38</v>
      </c>
      <c r="C73" s="4" t="s">
        <v>39</v>
      </c>
      <c r="D73" s="4" t="s">
        <v>37</v>
      </c>
      <c r="E73" s="4" t="s">
        <v>25</v>
      </c>
      <c r="F73" s="4" t="s">
        <v>57</v>
      </c>
      <c r="G73" s="4" t="s">
        <v>25</v>
      </c>
      <c r="H73" s="4" t="s">
        <v>33</v>
      </c>
      <c r="I73" s="5">
        <v>44713</v>
      </c>
      <c r="J73" s="6">
        <v>5385</v>
      </c>
      <c r="K73" s="6">
        <v>2692.5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0</v>
      </c>
      <c r="S73" s="4" t="s">
        <v>135</v>
      </c>
      <c r="U73" s="4">
        <v>3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44378</v>
      </c>
      <c r="J74" s="6">
        <v>180</v>
      </c>
      <c r="K74" s="6">
        <v>180</v>
      </c>
      <c r="L74" s="6">
        <v>22.048999999999999</v>
      </c>
      <c r="M74" s="6">
        <v>22.048999999999999</v>
      </c>
      <c r="N74" s="6">
        <v>22.048999999999999</v>
      </c>
      <c r="O74" s="6">
        <v>22.048999999999999</v>
      </c>
      <c r="P74" s="6">
        <v>0</v>
      </c>
      <c r="Q74" s="4" t="s">
        <v>26</v>
      </c>
      <c r="R74" s="4">
        <v>0</v>
      </c>
      <c r="S74" s="4" t="s">
        <v>112</v>
      </c>
      <c r="T74" s="4" t="s">
        <v>365</v>
      </c>
      <c r="U74" s="4">
        <v>22</v>
      </c>
      <c r="V74" s="4">
        <v>7</v>
      </c>
      <c r="W74" s="4">
        <v>42</v>
      </c>
    </row>
    <row r="75" spans="1:2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44409</v>
      </c>
      <c r="J75" s="6">
        <v>180</v>
      </c>
      <c r="K75" s="6">
        <v>180</v>
      </c>
      <c r="L75" s="6">
        <v>21.363</v>
      </c>
      <c r="M75" s="6">
        <v>21.363</v>
      </c>
      <c r="N75" s="6">
        <v>21.363</v>
      </c>
      <c r="O75" s="6">
        <v>21.363</v>
      </c>
      <c r="P75" s="6">
        <v>0</v>
      </c>
      <c r="Q75" s="4" t="s">
        <v>26</v>
      </c>
      <c r="R75" s="4">
        <v>0</v>
      </c>
      <c r="S75" s="4" t="s">
        <v>113</v>
      </c>
      <c r="T75" s="4" t="s">
        <v>366</v>
      </c>
      <c r="U75" s="4">
        <v>22</v>
      </c>
      <c r="V75" s="4">
        <v>7</v>
      </c>
      <c r="W75" s="4">
        <v>42</v>
      </c>
    </row>
    <row r="76" spans="1:23" ht="11.25" customHeight="1" x14ac:dyDescent="0.25">
      <c r="A76" s="4" t="s">
        <v>21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44440</v>
      </c>
      <c r="J76" s="6">
        <v>180</v>
      </c>
      <c r="K76" s="6">
        <v>180</v>
      </c>
      <c r="L76" s="6">
        <v>24.32</v>
      </c>
      <c r="M76" s="6">
        <v>24.32</v>
      </c>
      <c r="N76" s="6">
        <v>24.32</v>
      </c>
      <c r="O76" s="6">
        <v>24.32</v>
      </c>
      <c r="P76" s="6">
        <v>0</v>
      </c>
      <c r="Q76" s="4" t="s">
        <v>26</v>
      </c>
      <c r="R76" s="4">
        <v>0</v>
      </c>
      <c r="S76" s="4" t="s">
        <v>114</v>
      </c>
      <c r="T76" s="4" t="s">
        <v>367</v>
      </c>
      <c r="U76" s="4">
        <v>22</v>
      </c>
      <c r="V76" s="4">
        <v>7</v>
      </c>
      <c r="W76" s="4">
        <v>42</v>
      </c>
    </row>
    <row r="77" spans="1:2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44470</v>
      </c>
      <c r="J77" s="6">
        <v>180</v>
      </c>
      <c r="K77" s="6">
        <v>180</v>
      </c>
      <c r="L77" s="6">
        <v>24.283000000000001</v>
      </c>
      <c r="M77" s="6">
        <v>24.283000000000001</v>
      </c>
      <c r="N77" s="6">
        <v>24.283000000000001</v>
      </c>
      <c r="O77" s="6">
        <v>24.283000000000001</v>
      </c>
      <c r="P77" s="6">
        <v>0</v>
      </c>
      <c r="Q77" s="4" t="s">
        <v>26</v>
      </c>
      <c r="R77" s="4">
        <v>0</v>
      </c>
      <c r="S77" s="4" t="s">
        <v>115</v>
      </c>
      <c r="T77" s="4" t="s">
        <v>368</v>
      </c>
      <c r="U77" s="4">
        <v>22</v>
      </c>
      <c r="V77" s="4">
        <v>7</v>
      </c>
      <c r="W77" s="4">
        <v>42</v>
      </c>
    </row>
    <row r="78" spans="1:23" ht="11.25" customHeight="1" x14ac:dyDescent="0.25">
      <c r="A78" s="4" t="s">
        <v>21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44501</v>
      </c>
      <c r="J78" s="6">
        <v>180</v>
      </c>
      <c r="K78" s="6">
        <v>180</v>
      </c>
      <c r="L78" s="6">
        <v>22.431999999999999</v>
      </c>
      <c r="M78" s="6">
        <v>22.431999999999999</v>
      </c>
      <c r="N78" s="6">
        <v>22.431999999999999</v>
      </c>
      <c r="O78" s="6">
        <v>22.431999999999999</v>
      </c>
      <c r="P78" s="6">
        <v>0</v>
      </c>
      <c r="Q78" s="4" t="s">
        <v>26</v>
      </c>
      <c r="R78" s="4">
        <v>0</v>
      </c>
      <c r="S78" s="4" t="s">
        <v>116</v>
      </c>
      <c r="T78" s="4" t="s">
        <v>369</v>
      </c>
      <c r="U78" s="4">
        <v>22</v>
      </c>
      <c r="V78" s="4">
        <v>7</v>
      </c>
      <c r="W78" s="4">
        <v>42</v>
      </c>
    </row>
    <row r="79" spans="1:2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44531</v>
      </c>
      <c r="J79" s="6">
        <v>180</v>
      </c>
      <c r="K79" s="6">
        <v>180</v>
      </c>
      <c r="L79" s="6">
        <v>20.414999999999999</v>
      </c>
      <c r="M79" s="6">
        <v>20.414999999999999</v>
      </c>
      <c r="N79" s="6">
        <v>20.414999999999999</v>
      </c>
      <c r="O79" s="6">
        <v>20.414999999999999</v>
      </c>
      <c r="P79" s="6">
        <v>0</v>
      </c>
      <c r="Q79" s="4" t="s">
        <v>26</v>
      </c>
      <c r="R79" s="4">
        <v>0</v>
      </c>
      <c r="S79" s="4" t="s">
        <v>117</v>
      </c>
      <c r="T79" s="4" t="s">
        <v>370</v>
      </c>
      <c r="U79" s="4">
        <v>22</v>
      </c>
      <c r="V79" s="4">
        <v>7</v>
      </c>
      <c r="W79" s="4">
        <v>42</v>
      </c>
    </row>
    <row r="80" spans="1:23" ht="11.25" customHeight="1" x14ac:dyDescent="0.25">
      <c r="A80" s="4" t="s">
        <v>21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44562</v>
      </c>
      <c r="J80" s="6">
        <v>180</v>
      </c>
      <c r="K80" s="6">
        <v>180</v>
      </c>
      <c r="L80" s="6">
        <v>22.443000000000001</v>
      </c>
      <c r="M80" s="6">
        <v>22.443000000000001</v>
      </c>
      <c r="N80" s="6">
        <v>22.443000000000001</v>
      </c>
      <c r="O80" s="6">
        <v>22.443000000000001</v>
      </c>
      <c r="P80" s="6">
        <v>0</v>
      </c>
      <c r="Q80" s="4" t="s">
        <v>26</v>
      </c>
      <c r="R80" s="4">
        <v>0</v>
      </c>
      <c r="S80" s="4" t="s">
        <v>118</v>
      </c>
      <c r="T80" s="4" t="s">
        <v>371</v>
      </c>
      <c r="U80" s="4">
        <v>22</v>
      </c>
      <c r="V80" s="4">
        <v>7</v>
      </c>
      <c r="W80" s="4">
        <v>42</v>
      </c>
    </row>
    <row r="81" spans="1:2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44593</v>
      </c>
      <c r="J81" s="6">
        <v>180</v>
      </c>
      <c r="K81" s="6">
        <v>180</v>
      </c>
      <c r="L81" s="6">
        <v>22.344999999999999</v>
      </c>
      <c r="M81" s="6">
        <v>22.344999999999999</v>
      </c>
      <c r="N81" s="6">
        <v>22.344999999999999</v>
      </c>
      <c r="O81" s="6">
        <v>22.344999999999999</v>
      </c>
      <c r="P81" s="6">
        <v>0</v>
      </c>
      <c r="Q81" s="4" t="s">
        <v>26</v>
      </c>
      <c r="R81" s="4">
        <v>0</v>
      </c>
      <c r="S81" s="4" t="s">
        <v>119</v>
      </c>
      <c r="T81" s="4" t="s">
        <v>372</v>
      </c>
      <c r="U81" s="4">
        <v>22</v>
      </c>
      <c r="V81" s="4">
        <v>7</v>
      </c>
      <c r="W81" s="4">
        <v>42</v>
      </c>
    </row>
    <row r="82" spans="1:23" ht="11.25" customHeight="1" x14ac:dyDescent="0.25">
      <c r="A82" s="4" t="s">
        <v>21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44621</v>
      </c>
      <c r="J82" s="6">
        <v>180</v>
      </c>
      <c r="K82" s="6">
        <v>180</v>
      </c>
      <c r="L82" s="6">
        <v>23.327999999999999</v>
      </c>
      <c r="M82" s="6">
        <v>23.327999999999999</v>
      </c>
      <c r="N82" s="6">
        <v>23.327999999999999</v>
      </c>
      <c r="O82" s="6">
        <v>23.327999999999999</v>
      </c>
      <c r="P82" s="6">
        <v>0</v>
      </c>
      <c r="Q82" s="4" t="s">
        <v>26</v>
      </c>
      <c r="R82" s="4">
        <v>0</v>
      </c>
      <c r="S82" s="4" t="s">
        <v>120</v>
      </c>
      <c r="T82" s="4" t="s">
        <v>373</v>
      </c>
      <c r="U82" s="4">
        <v>22</v>
      </c>
      <c r="V82" s="4">
        <v>7</v>
      </c>
      <c r="W82" s="4">
        <v>42</v>
      </c>
    </row>
    <row r="83" spans="1:2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44652</v>
      </c>
      <c r="J83" s="6">
        <v>180</v>
      </c>
      <c r="K83" s="6">
        <v>180</v>
      </c>
      <c r="L83" s="6">
        <v>18.952999999999999</v>
      </c>
      <c r="M83" s="6">
        <v>18.952999999999999</v>
      </c>
      <c r="N83" s="6">
        <v>18.952999999999999</v>
      </c>
      <c r="O83" s="6">
        <v>18.952999999999999</v>
      </c>
      <c r="P83" s="6">
        <v>0</v>
      </c>
      <c r="Q83" s="4" t="s">
        <v>26</v>
      </c>
      <c r="R83" s="4">
        <v>0</v>
      </c>
      <c r="S83" s="4" t="s">
        <v>121</v>
      </c>
      <c r="T83" s="4" t="s">
        <v>374</v>
      </c>
      <c r="U83" s="4">
        <v>22</v>
      </c>
      <c r="V83" s="4">
        <v>7</v>
      </c>
      <c r="W83" s="4">
        <v>42</v>
      </c>
    </row>
    <row r="84" spans="1:23" ht="11.25" customHeight="1" x14ac:dyDescent="0.25">
      <c r="A84" s="4" t="s">
        <v>21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44682</v>
      </c>
      <c r="J84" s="6">
        <v>180</v>
      </c>
      <c r="K84" s="6">
        <v>180</v>
      </c>
      <c r="L84" s="6">
        <v>19.52</v>
      </c>
      <c r="M84" s="6">
        <v>19.52</v>
      </c>
      <c r="N84" s="6">
        <v>19.52</v>
      </c>
      <c r="O84" s="6">
        <v>19.52</v>
      </c>
      <c r="P84" s="6">
        <v>0</v>
      </c>
      <c r="Q84" s="4" t="s">
        <v>26</v>
      </c>
      <c r="R84" s="4">
        <v>0</v>
      </c>
      <c r="S84" s="4" t="s">
        <v>122</v>
      </c>
      <c r="T84" s="4" t="s">
        <v>375</v>
      </c>
      <c r="U84" s="4">
        <v>22</v>
      </c>
      <c r="V84" s="4">
        <v>7</v>
      </c>
      <c r="W84" s="4">
        <v>42</v>
      </c>
    </row>
    <row r="85" spans="1:23" ht="11.25" customHeight="1" x14ac:dyDescent="0.25">
      <c r="A85" s="4" t="s">
        <v>56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44713</v>
      </c>
      <c r="J85" s="6">
        <v>180</v>
      </c>
      <c r="K85" s="6">
        <v>180</v>
      </c>
      <c r="L85" s="6">
        <v>19.52</v>
      </c>
      <c r="M85" s="6">
        <v>19.52</v>
      </c>
      <c r="N85" s="6">
        <v>19.52</v>
      </c>
      <c r="O85" s="6">
        <v>19.52</v>
      </c>
      <c r="P85" s="6">
        <v>0</v>
      </c>
      <c r="Q85" s="4" t="s">
        <v>26</v>
      </c>
      <c r="R85" s="4">
        <v>0</v>
      </c>
      <c r="S85" s="4" t="s">
        <v>123</v>
      </c>
      <c r="T85" s="4" t="s">
        <v>376</v>
      </c>
      <c r="U85" s="4">
        <v>22</v>
      </c>
      <c r="V85" s="4">
        <v>7</v>
      </c>
      <c r="W85" s="4">
        <v>42</v>
      </c>
    </row>
    <row r="86" spans="1:23" ht="11.25" customHeight="1" x14ac:dyDescent="0.25">
      <c r="A86" s="4" t="s">
        <v>21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33</v>
      </c>
      <c r="I86" s="5">
        <v>44378</v>
      </c>
      <c r="J86" s="6">
        <v>165</v>
      </c>
      <c r="K86" s="6">
        <v>165</v>
      </c>
      <c r="L86" s="6">
        <v>3.4580000000000002</v>
      </c>
      <c r="M86" s="6">
        <v>3.4580000000000002</v>
      </c>
      <c r="N86" s="6">
        <v>3.4580000000000002</v>
      </c>
      <c r="O86" s="6">
        <v>3.4580000000000002</v>
      </c>
      <c r="P86" s="6">
        <v>0</v>
      </c>
      <c r="Q86" s="4" t="s">
        <v>26</v>
      </c>
      <c r="R86" s="4">
        <v>0</v>
      </c>
      <c r="S86" s="4" t="s">
        <v>124</v>
      </c>
      <c r="T86" s="4" t="s">
        <v>377</v>
      </c>
      <c r="U86" s="4">
        <v>3</v>
      </c>
      <c r="V86" s="4">
        <v>7</v>
      </c>
      <c r="W86" s="4">
        <v>47</v>
      </c>
    </row>
    <row r="87" spans="1:2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33</v>
      </c>
      <c r="I87" s="5">
        <v>44409</v>
      </c>
      <c r="J87" s="6">
        <v>165</v>
      </c>
      <c r="K87" s="6">
        <v>165</v>
      </c>
      <c r="L87" s="6">
        <v>3.202</v>
      </c>
      <c r="M87" s="6">
        <v>3.202</v>
      </c>
      <c r="N87" s="6">
        <v>3.202</v>
      </c>
      <c r="O87" s="6">
        <v>3.202</v>
      </c>
      <c r="P87" s="6">
        <v>0</v>
      </c>
      <c r="Q87" s="4" t="s">
        <v>26</v>
      </c>
      <c r="R87" s="4">
        <v>0</v>
      </c>
      <c r="S87" s="4" t="s">
        <v>125</v>
      </c>
      <c r="T87" s="4" t="s">
        <v>378</v>
      </c>
      <c r="U87" s="4">
        <v>3</v>
      </c>
      <c r="V87" s="4">
        <v>7</v>
      </c>
      <c r="W87" s="4">
        <v>47</v>
      </c>
    </row>
    <row r="88" spans="1:23" ht="11.25" customHeight="1" x14ac:dyDescent="0.25">
      <c r="A88" s="4" t="s">
        <v>21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33</v>
      </c>
      <c r="I88" s="5">
        <v>44440</v>
      </c>
      <c r="J88" s="6">
        <v>165</v>
      </c>
      <c r="K88" s="6">
        <v>165</v>
      </c>
      <c r="L88" s="6">
        <v>3.1219999999999999</v>
      </c>
      <c r="M88" s="6">
        <v>3.1219999999999999</v>
      </c>
      <c r="N88" s="6">
        <v>3.1219999999999999</v>
      </c>
      <c r="O88" s="6">
        <v>3.1219999999999999</v>
      </c>
      <c r="P88" s="6">
        <v>0</v>
      </c>
      <c r="Q88" s="4" t="s">
        <v>26</v>
      </c>
      <c r="R88" s="4">
        <v>0</v>
      </c>
      <c r="S88" s="4" t="s">
        <v>126</v>
      </c>
      <c r="T88" s="4" t="s">
        <v>379</v>
      </c>
      <c r="U88" s="4">
        <v>3</v>
      </c>
      <c r="V88" s="4">
        <v>7</v>
      </c>
      <c r="W88" s="4">
        <v>47</v>
      </c>
    </row>
    <row r="89" spans="1:2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33</v>
      </c>
      <c r="I89" s="5">
        <v>44470</v>
      </c>
      <c r="J89" s="6">
        <v>165</v>
      </c>
      <c r="K89" s="6">
        <v>165</v>
      </c>
      <c r="L89" s="6">
        <v>2.8860000000000001</v>
      </c>
      <c r="M89" s="6">
        <v>2.8860000000000001</v>
      </c>
      <c r="N89" s="6">
        <v>2.8860000000000001</v>
      </c>
      <c r="O89" s="6">
        <v>2.8860000000000001</v>
      </c>
      <c r="P89" s="6">
        <v>0</v>
      </c>
      <c r="Q89" s="4" t="s">
        <v>26</v>
      </c>
      <c r="R89" s="4">
        <v>0</v>
      </c>
      <c r="S89" s="4" t="s">
        <v>127</v>
      </c>
      <c r="T89" s="4" t="s">
        <v>380</v>
      </c>
      <c r="U89" s="4">
        <v>3</v>
      </c>
      <c r="V89" s="4">
        <v>7</v>
      </c>
      <c r="W89" s="4">
        <v>47</v>
      </c>
    </row>
    <row r="90" spans="1:23" ht="11.25" customHeight="1" x14ac:dyDescent="0.25">
      <c r="A90" s="4" t="s">
        <v>21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33</v>
      </c>
      <c r="I90" s="5">
        <v>44501</v>
      </c>
      <c r="J90" s="6">
        <v>165</v>
      </c>
      <c r="K90" s="6">
        <v>165</v>
      </c>
      <c r="L90" s="6">
        <v>2.7719999999999998</v>
      </c>
      <c r="M90" s="6">
        <v>2.7719999999999998</v>
      </c>
      <c r="N90" s="6">
        <v>2.7719999999999998</v>
      </c>
      <c r="O90" s="6">
        <v>2.7719999999999998</v>
      </c>
      <c r="P90" s="6">
        <v>0</v>
      </c>
      <c r="Q90" s="4" t="s">
        <v>26</v>
      </c>
      <c r="R90" s="4">
        <v>0</v>
      </c>
      <c r="S90" s="4" t="s">
        <v>128</v>
      </c>
      <c r="T90" s="4" t="s">
        <v>381</v>
      </c>
      <c r="U90" s="4">
        <v>3</v>
      </c>
      <c r="V90" s="4">
        <v>7</v>
      </c>
      <c r="W90" s="4">
        <v>47</v>
      </c>
    </row>
    <row r="91" spans="1:2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33</v>
      </c>
      <c r="I91" s="5">
        <v>44531</v>
      </c>
      <c r="J91" s="6">
        <v>165</v>
      </c>
      <c r="K91" s="6">
        <v>165</v>
      </c>
      <c r="L91" s="6">
        <v>2.907</v>
      </c>
      <c r="M91" s="6">
        <v>2.907</v>
      </c>
      <c r="N91" s="6">
        <v>2.907</v>
      </c>
      <c r="O91" s="6">
        <v>2.907</v>
      </c>
      <c r="P91" s="6">
        <v>0</v>
      </c>
      <c r="Q91" s="4" t="s">
        <v>26</v>
      </c>
      <c r="R91" s="4">
        <v>0</v>
      </c>
      <c r="S91" s="4" t="s">
        <v>129</v>
      </c>
      <c r="T91" s="4" t="s">
        <v>382</v>
      </c>
      <c r="U91" s="4">
        <v>3</v>
      </c>
      <c r="V91" s="4">
        <v>7</v>
      </c>
      <c r="W91" s="4">
        <v>47</v>
      </c>
    </row>
    <row r="92" spans="1:23" ht="11.25" customHeight="1" x14ac:dyDescent="0.25">
      <c r="A92" s="4" t="s">
        <v>21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33</v>
      </c>
      <c r="I92" s="5">
        <v>44562</v>
      </c>
      <c r="J92" s="6">
        <v>165</v>
      </c>
      <c r="K92" s="6">
        <v>165</v>
      </c>
      <c r="L92" s="6">
        <v>2.9220000000000002</v>
      </c>
      <c r="M92" s="6">
        <v>2.9220000000000002</v>
      </c>
      <c r="N92" s="6">
        <v>2.9220000000000002</v>
      </c>
      <c r="O92" s="6">
        <v>2.9220000000000002</v>
      </c>
      <c r="P92" s="6">
        <v>0</v>
      </c>
      <c r="Q92" s="4" t="s">
        <v>26</v>
      </c>
      <c r="R92" s="4">
        <v>0</v>
      </c>
      <c r="S92" s="4" t="s">
        <v>130</v>
      </c>
      <c r="T92" s="4" t="s">
        <v>383</v>
      </c>
      <c r="U92" s="4">
        <v>3</v>
      </c>
      <c r="V92" s="4">
        <v>7</v>
      </c>
      <c r="W92" s="4">
        <v>47</v>
      </c>
    </row>
    <row r="93" spans="1:2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33</v>
      </c>
      <c r="I93" s="5">
        <v>44593</v>
      </c>
      <c r="J93" s="6">
        <v>165</v>
      </c>
      <c r="K93" s="6">
        <v>165</v>
      </c>
      <c r="L93" s="6">
        <v>2.8410000000000002</v>
      </c>
      <c r="M93" s="6">
        <v>2.8410000000000002</v>
      </c>
      <c r="N93" s="6">
        <v>2.8410000000000002</v>
      </c>
      <c r="O93" s="6">
        <v>2.8410000000000002</v>
      </c>
      <c r="P93" s="6">
        <v>0</v>
      </c>
      <c r="Q93" s="4" t="s">
        <v>26</v>
      </c>
      <c r="R93" s="4">
        <v>0</v>
      </c>
      <c r="S93" s="4" t="s">
        <v>131</v>
      </c>
      <c r="T93" s="4" t="s">
        <v>384</v>
      </c>
      <c r="U93" s="4">
        <v>3</v>
      </c>
      <c r="V93" s="4">
        <v>7</v>
      </c>
      <c r="W93" s="4">
        <v>47</v>
      </c>
    </row>
    <row r="94" spans="1:23" ht="11.25" customHeight="1" x14ac:dyDescent="0.25">
      <c r="A94" s="4" t="s">
        <v>21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33</v>
      </c>
      <c r="I94" s="5">
        <v>44621</v>
      </c>
      <c r="J94" s="6">
        <v>165</v>
      </c>
      <c r="K94" s="6">
        <v>165</v>
      </c>
      <c r="L94" s="6">
        <v>3.2040000000000002</v>
      </c>
      <c r="M94" s="6">
        <v>3.2040000000000002</v>
      </c>
      <c r="N94" s="6">
        <v>3.2040000000000002</v>
      </c>
      <c r="O94" s="6">
        <v>3.2040000000000002</v>
      </c>
      <c r="P94" s="6">
        <v>0</v>
      </c>
      <c r="Q94" s="4" t="s">
        <v>26</v>
      </c>
      <c r="R94" s="4">
        <v>0</v>
      </c>
      <c r="S94" s="4" t="s">
        <v>132</v>
      </c>
      <c r="T94" s="4" t="s">
        <v>385</v>
      </c>
      <c r="U94" s="4">
        <v>3</v>
      </c>
      <c r="V94" s="4">
        <v>7</v>
      </c>
      <c r="W94" s="4">
        <v>47</v>
      </c>
    </row>
    <row r="95" spans="1:2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33</v>
      </c>
      <c r="I95" s="5">
        <v>44652</v>
      </c>
      <c r="J95" s="6">
        <v>165</v>
      </c>
      <c r="K95" s="6">
        <v>165</v>
      </c>
      <c r="L95" s="6">
        <v>2.589</v>
      </c>
      <c r="M95" s="6">
        <v>2.589</v>
      </c>
      <c r="N95" s="6">
        <v>2.589</v>
      </c>
      <c r="O95" s="6">
        <v>2.589</v>
      </c>
      <c r="P95" s="6">
        <v>0</v>
      </c>
      <c r="Q95" s="4" t="s">
        <v>26</v>
      </c>
      <c r="R95" s="4">
        <v>0</v>
      </c>
      <c r="S95" s="4" t="s">
        <v>133</v>
      </c>
      <c r="T95" s="4" t="s">
        <v>386</v>
      </c>
      <c r="U95" s="4">
        <v>3</v>
      </c>
      <c r="V95" s="4">
        <v>7</v>
      </c>
      <c r="W95" s="4">
        <v>47</v>
      </c>
    </row>
    <row r="96" spans="1:23" ht="11.25" customHeight="1" x14ac:dyDescent="0.25">
      <c r="A96" s="4" t="s">
        <v>21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33</v>
      </c>
      <c r="I96" s="5">
        <v>44682</v>
      </c>
      <c r="J96" s="6">
        <v>165</v>
      </c>
      <c r="K96" s="6">
        <v>165</v>
      </c>
      <c r="L96" s="6">
        <v>3.3330000000000002</v>
      </c>
      <c r="M96" s="6">
        <v>3.3330000000000002</v>
      </c>
      <c r="N96" s="6">
        <v>3.3330000000000002</v>
      </c>
      <c r="O96" s="6">
        <v>3.3330000000000002</v>
      </c>
      <c r="P96" s="6">
        <v>0</v>
      </c>
      <c r="Q96" s="4" t="s">
        <v>26</v>
      </c>
      <c r="R96" s="4">
        <v>0</v>
      </c>
      <c r="S96" s="4" t="s">
        <v>134</v>
      </c>
      <c r="T96" s="4" t="s">
        <v>387</v>
      </c>
      <c r="U96" s="4">
        <v>3</v>
      </c>
      <c r="V96" s="4">
        <v>7</v>
      </c>
      <c r="W96" s="4">
        <v>47</v>
      </c>
    </row>
    <row r="97" spans="1:23" ht="11.25" customHeight="1" x14ac:dyDescent="0.25">
      <c r="A97" s="4" t="s">
        <v>56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33</v>
      </c>
      <c r="I97" s="5">
        <v>44713</v>
      </c>
      <c r="J97" s="6">
        <v>165</v>
      </c>
      <c r="K97" s="6">
        <v>165</v>
      </c>
      <c r="L97" s="6">
        <v>3.3330000000000002</v>
      </c>
      <c r="M97" s="6">
        <v>3.3330000000000002</v>
      </c>
      <c r="N97" s="6">
        <v>3.3330000000000002</v>
      </c>
      <c r="O97" s="6">
        <v>3.3330000000000002</v>
      </c>
      <c r="P97" s="6">
        <v>0</v>
      </c>
      <c r="Q97" s="4" t="s">
        <v>26</v>
      </c>
      <c r="R97" s="4">
        <v>0</v>
      </c>
      <c r="S97" s="4" t="s">
        <v>135</v>
      </c>
      <c r="T97" s="4" t="s">
        <v>388</v>
      </c>
      <c r="U97" s="4">
        <v>3</v>
      </c>
      <c r="V97" s="4">
        <v>7</v>
      </c>
      <c r="W97" s="4">
        <v>47</v>
      </c>
    </row>
    <row r="98" spans="1:23" ht="11.25" customHeight="1" x14ac:dyDescent="0.25">
      <c r="A98" s="4" t="s">
        <v>21</v>
      </c>
      <c r="B98" s="4" t="s">
        <v>38</v>
      </c>
      <c r="C98" s="4" t="s">
        <v>39</v>
      </c>
      <c r="D98" s="4" t="s">
        <v>48</v>
      </c>
      <c r="E98" s="4" t="s">
        <v>49</v>
      </c>
      <c r="F98" s="4" t="s">
        <v>25</v>
      </c>
      <c r="G98" s="4" t="s">
        <v>25</v>
      </c>
      <c r="H98" s="4" t="s">
        <v>34</v>
      </c>
      <c r="I98" s="5">
        <v>44378</v>
      </c>
      <c r="J98" s="6">
        <v>677</v>
      </c>
      <c r="K98" s="6">
        <v>636.38</v>
      </c>
      <c r="L98" s="6">
        <v>362.75799999999998</v>
      </c>
      <c r="M98" s="6">
        <v>340.99251999999996</v>
      </c>
      <c r="N98" s="6">
        <v>362.75799999999998</v>
      </c>
      <c r="O98" s="6">
        <v>340.99251999999996</v>
      </c>
      <c r="P98" s="6">
        <v>0</v>
      </c>
      <c r="Q98" s="4" t="s">
        <v>26</v>
      </c>
      <c r="R98" s="4">
        <v>0</v>
      </c>
      <c r="S98" s="4" t="s">
        <v>112</v>
      </c>
      <c r="T98" s="4" t="s">
        <v>365</v>
      </c>
      <c r="U98" s="4">
        <v>22</v>
      </c>
      <c r="V98" s="4">
        <v>7</v>
      </c>
      <c r="W98" s="4">
        <v>42</v>
      </c>
    </row>
    <row r="99" spans="1:23" ht="11.25" customHeight="1" x14ac:dyDescent="0.25">
      <c r="A99" s="4" t="s">
        <v>21</v>
      </c>
      <c r="B99" s="4" t="s">
        <v>38</v>
      </c>
      <c r="C99" s="4" t="s">
        <v>39</v>
      </c>
      <c r="D99" s="4" t="s">
        <v>48</v>
      </c>
      <c r="E99" s="4" t="s">
        <v>49</v>
      </c>
      <c r="F99" s="4" t="s">
        <v>25</v>
      </c>
      <c r="G99" s="4" t="s">
        <v>25</v>
      </c>
      <c r="H99" s="4" t="s">
        <v>34</v>
      </c>
      <c r="I99" s="5">
        <v>44409</v>
      </c>
      <c r="J99" s="6">
        <v>642</v>
      </c>
      <c r="K99" s="6">
        <v>603.48</v>
      </c>
      <c r="L99" s="6">
        <v>360.85899999999998</v>
      </c>
      <c r="M99" s="6">
        <v>339.20746000000003</v>
      </c>
      <c r="N99" s="6">
        <v>360.85899999999998</v>
      </c>
      <c r="O99" s="6">
        <v>339.20746000000003</v>
      </c>
      <c r="P99" s="6">
        <v>0</v>
      </c>
      <c r="Q99" s="4" t="s">
        <v>26</v>
      </c>
      <c r="R99" s="4">
        <v>0</v>
      </c>
      <c r="S99" s="4" t="s">
        <v>113</v>
      </c>
      <c r="T99" s="4" t="s">
        <v>366</v>
      </c>
      <c r="U99" s="4">
        <v>22</v>
      </c>
      <c r="V99" s="4">
        <v>7</v>
      </c>
      <c r="W99" s="4">
        <v>42</v>
      </c>
    </row>
    <row r="100" spans="1:23" ht="11.25" customHeight="1" x14ac:dyDescent="0.25">
      <c r="A100" s="4" t="s">
        <v>21</v>
      </c>
      <c r="B100" s="4" t="s">
        <v>38</v>
      </c>
      <c r="C100" s="4" t="s">
        <v>39</v>
      </c>
      <c r="D100" s="4" t="s">
        <v>48</v>
      </c>
      <c r="E100" s="4" t="s">
        <v>49</v>
      </c>
      <c r="F100" s="4" t="s">
        <v>25</v>
      </c>
      <c r="G100" s="4" t="s">
        <v>25</v>
      </c>
      <c r="H100" s="4" t="s">
        <v>34</v>
      </c>
      <c r="I100" s="5">
        <v>44440</v>
      </c>
      <c r="J100" s="6">
        <v>642</v>
      </c>
      <c r="K100" s="6">
        <v>603.48</v>
      </c>
      <c r="L100" s="6">
        <v>350.08800000000002</v>
      </c>
      <c r="M100" s="6">
        <v>329.08271999999999</v>
      </c>
      <c r="N100" s="6">
        <v>350.08800000000002</v>
      </c>
      <c r="O100" s="6">
        <v>329.08271999999999</v>
      </c>
      <c r="P100" s="6">
        <v>0</v>
      </c>
      <c r="Q100" s="4" t="s">
        <v>26</v>
      </c>
      <c r="R100" s="4">
        <v>0</v>
      </c>
      <c r="S100" s="4" t="s">
        <v>114</v>
      </c>
      <c r="T100" s="4" t="s">
        <v>367</v>
      </c>
      <c r="U100" s="4">
        <v>22</v>
      </c>
      <c r="V100" s="4">
        <v>7</v>
      </c>
      <c r="W100" s="4">
        <v>42</v>
      </c>
    </row>
    <row r="101" spans="1:23" ht="11.25" customHeight="1" x14ac:dyDescent="0.25">
      <c r="A101" s="4" t="s">
        <v>21</v>
      </c>
      <c r="B101" s="4" t="s">
        <v>38</v>
      </c>
      <c r="C101" s="4" t="s">
        <v>39</v>
      </c>
      <c r="D101" s="4" t="s">
        <v>48</v>
      </c>
      <c r="E101" s="4" t="s">
        <v>49</v>
      </c>
      <c r="F101" s="4" t="s">
        <v>25</v>
      </c>
      <c r="G101" s="4" t="s">
        <v>25</v>
      </c>
      <c r="H101" s="4" t="s">
        <v>34</v>
      </c>
      <c r="I101" s="5">
        <v>44470</v>
      </c>
      <c r="J101" s="6">
        <v>640</v>
      </c>
      <c r="K101" s="6">
        <v>601.6</v>
      </c>
      <c r="L101" s="6">
        <v>362.85399999999998</v>
      </c>
      <c r="M101" s="6">
        <v>341.08276000000001</v>
      </c>
      <c r="N101" s="6">
        <v>362.85399999999998</v>
      </c>
      <c r="O101" s="6">
        <v>341.08276000000001</v>
      </c>
      <c r="P101" s="6">
        <v>0</v>
      </c>
      <c r="Q101" s="4" t="s">
        <v>26</v>
      </c>
      <c r="R101" s="4">
        <v>0</v>
      </c>
      <c r="S101" s="4" t="s">
        <v>115</v>
      </c>
      <c r="T101" s="4" t="s">
        <v>368</v>
      </c>
      <c r="U101" s="4">
        <v>22</v>
      </c>
      <c r="V101" s="4">
        <v>7</v>
      </c>
      <c r="W101" s="4">
        <v>42</v>
      </c>
    </row>
    <row r="102" spans="1:23" ht="11.25" customHeight="1" x14ac:dyDescent="0.25">
      <c r="A102" s="4" t="s">
        <v>21</v>
      </c>
      <c r="B102" s="4" t="s">
        <v>38</v>
      </c>
      <c r="C102" s="4" t="s">
        <v>39</v>
      </c>
      <c r="D102" s="4" t="s">
        <v>48</v>
      </c>
      <c r="E102" s="4" t="s">
        <v>49</v>
      </c>
      <c r="F102" s="4" t="s">
        <v>25</v>
      </c>
      <c r="G102" s="4" t="s">
        <v>25</v>
      </c>
      <c r="H102" s="4" t="s">
        <v>34</v>
      </c>
      <c r="I102" s="5">
        <v>44501</v>
      </c>
      <c r="J102" s="6">
        <v>652</v>
      </c>
      <c r="K102" s="6">
        <v>612.88</v>
      </c>
      <c r="L102" s="6">
        <v>367.28899999999999</v>
      </c>
      <c r="M102" s="6">
        <v>345.25166000000002</v>
      </c>
      <c r="N102" s="6">
        <v>367.28899999999999</v>
      </c>
      <c r="O102" s="6">
        <v>345.25166000000002</v>
      </c>
      <c r="P102" s="6">
        <v>0</v>
      </c>
      <c r="Q102" s="4" t="s">
        <v>26</v>
      </c>
      <c r="R102" s="4">
        <v>0</v>
      </c>
      <c r="S102" s="4" t="s">
        <v>116</v>
      </c>
      <c r="T102" s="4" t="s">
        <v>369</v>
      </c>
      <c r="U102" s="4">
        <v>22</v>
      </c>
      <c r="V102" s="4">
        <v>7</v>
      </c>
      <c r="W102" s="4">
        <v>42</v>
      </c>
    </row>
    <row r="103" spans="1:23" ht="11.25" customHeight="1" x14ac:dyDescent="0.25">
      <c r="A103" s="4" t="s">
        <v>21</v>
      </c>
      <c r="B103" s="4" t="s">
        <v>38</v>
      </c>
      <c r="C103" s="4" t="s">
        <v>39</v>
      </c>
      <c r="D103" s="4" t="s">
        <v>48</v>
      </c>
      <c r="E103" s="4" t="s">
        <v>49</v>
      </c>
      <c r="F103" s="4" t="s">
        <v>25</v>
      </c>
      <c r="G103" s="4" t="s">
        <v>25</v>
      </c>
      <c r="H103" s="4" t="s">
        <v>34</v>
      </c>
      <c r="I103" s="5">
        <v>44531</v>
      </c>
      <c r="J103" s="6">
        <v>654</v>
      </c>
      <c r="K103" s="6">
        <v>614.76</v>
      </c>
      <c r="L103" s="6">
        <v>390.88799999999998</v>
      </c>
      <c r="M103" s="6">
        <v>367.43472000000003</v>
      </c>
      <c r="N103" s="6">
        <v>390.88799999999998</v>
      </c>
      <c r="O103" s="6">
        <v>367.43472000000003</v>
      </c>
      <c r="P103" s="6">
        <v>0</v>
      </c>
      <c r="Q103" s="4" t="s">
        <v>26</v>
      </c>
      <c r="R103" s="4">
        <v>0</v>
      </c>
      <c r="S103" s="4" t="s">
        <v>117</v>
      </c>
      <c r="T103" s="4" t="s">
        <v>370</v>
      </c>
      <c r="U103" s="4">
        <v>22</v>
      </c>
      <c r="V103" s="4">
        <v>7</v>
      </c>
      <c r="W103" s="4">
        <v>42</v>
      </c>
    </row>
    <row r="104" spans="1:23" ht="11.25" customHeight="1" x14ac:dyDescent="0.25">
      <c r="A104" s="4" t="s">
        <v>21</v>
      </c>
      <c r="B104" s="4" t="s">
        <v>38</v>
      </c>
      <c r="C104" s="4" t="s">
        <v>39</v>
      </c>
      <c r="D104" s="4" t="s">
        <v>48</v>
      </c>
      <c r="E104" s="4" t="s">
        <v>49</v>
      </c>
      <c r="F104" s="4" t="s">
        <v>25</v>
      </c>
      <c r="G104" s="4" t="s">
        <v>25</v>
      </c>
      <c r="H104" s="4" t="s">
        <v>34</v>
      </c>
      <c r="I104" s="5">
        <v>44562</v>
      </c>
      <c r="J104" s="6">
        <v>669</v>
      </c>
      <c r="K104" s="6">
        <v>628.86</v>
      </c>
      <c r="L104" s="6">
        <v>398.32</v>
      </c>
      <c r="M104" s="6">
        <v>374.42079999999999</v>
      </c>
      <c r="N104" s="6">
        <v>398.32</v>
      </c>
      <c r="O104" s="6">
        <v>374.42079999999999</v>
      </c>
      <c r="P104" s="6">
        <v>0</v>
      </c>
      <c r="Q104" s="4" t="s">
        <v>26</v>
      </c>
      <c r="R104" s="4">
        <v>0</v>
      </c>
      <c r="S104" s="4" t="s">
        <v>118</v>
      </c>
      <c r="T104" s="4" t="s">
        <v>371</v>
      </c>
      <c r="U104" s="4">
        <v>22</v>
      </c>
      <c r="V104" s="4">
        <v>7</v>
      </c>
      <c r="W104" s="4">
        <v>42</v>
      </c>
    </row>
    <row r="105" spans="1:23" ht="11.25" customHeight="1" x14ac:dyDescent="0.25">
      <c r="A105" s="4" t="s">
        <v>21</v>
      </c>
      <c r="B105" s="4" t="s">
        <v>38</v>
      </c>
      <c r="C105" s="4" t="s">
        <v>39</v>
      </c>
      <c r="D105" s="4" t="s">
        <v>48</v>
      </c>
      <c r="E105" s="4" t="s">
        <v>49</v>
      </c>
      <c r="F105" s="4" t="s">
        <v>25</v>
      </c>
      <c r="G105" s="4" t="s">
        <v>25</v>
      </c>
      <c r="H105" s="4" t="s">
        <v>34</v>
      </c>
      <c r="I105" s="5">
        <v>44593</v>
      </c>
      <c r="J105" s="6">
        <v>684</v>
      </c>
      <c r="K105" s="6">
        <v>642.96</v>
      </c>
      <c r="L105" s="6">
        <v>360.32400000000001</v>
      </c>
      <c r="M105" s="6">
        <v>338.70456000000001</v>
      </c>
      <c r="N105" s="6">
        <v>360.32400000000001</v>
      </c>
      <c r="O105" s="6">
        <v>338.70456000000001</v>
      </c>
      <c r="P105" s="6">
        <v>0</v>
      </c>
      <c r="Q105" s="4" t="s">
        <v>26</v>
      </c>
      <c r="R105" s="4">
        <v>0</v>
      </c>
      <c r="S105" s="4" t="s">
        <v>119</v>
      </c>
      <c r="T105" s="4" t="s">
        <v>372</v>
      </c>
      <c r="U105" s="4">
        <v>22</v>
      </c>
      <c r="V105" s="4">
        <v>7</v>
      </c>
      <c r="W105" s="4">
        <v>42</v>
      </c>
    </row>
    <row r="106" spans="1:23" ht="11.25" customHeight="1" x14ac:dyDescent="0.25">
      <c r="A106" s="4" t="s">
        <v>21</v>
      </c>
      <c r="B106" s="4" t="s">
        <v>38</v>
      </c>
      <c r="C106" s="4" t="s">
        <v>39</v>
      </c>
      <c r="D106" s="4" t="s">
        <v>48</v>
      </c>
      <c r="E106" s="4" t="s">
        <v>49</v>
      </c>
      <c r="F106" s="4" t="s">
        <v>25</v>
      </c>
      <c r="G106" s="4" t="s">
        <v>25</v>
      </c>
      <c r="H106" s="4" t="s">
        <v>34</v>
      </c>
      <c r="I106" s="5">
        <v>44621</v>
      </c>
      <c r="J106" s="6">
        <v>709</v>
      </c>
      <c r="K106" s="6">
        <v>666.46</v>
      </c>
      <c r="L106" s="6">
        <v>396.178</v>
      </c>
      <c r="M106" s="6">
        <v>372.40732000000003</v>
      </c>
      <c r="N106" s="6">
        <v>396.178</v>
      </c>
      <c r="O106" s="6">
        <v>372.40732000000003</v>
      </c>
      <c r="P106" s="6">
        <v>0</v>
      </c>
      <c r="Q106" s="4" t="s">
        <v>26</v>
      </c>
      <c r="R106" s="4">
        <v>0</v>
      </c>
      <c r="S106" s="4" t="s">
        <v>120</v>
      </c>
      <c r="T106" s="4" t="s">
        <v>373</v>
      </c>
      <c r="U106" s="4">
        <v>22</v>
      </c>
      <c r="V106" s="4">
        <v>7</v>
      </c>
      <c r="W106" s="4">
        <v>42</v>
      </c>
    </row>
    <row r="107" spans="1:23" ht="11.25" customHeight="1" x14ac:dyDescent="0.25">
      <c r="A107" s="4" t="s">
        <v>21</v>
      </c>
      <c r="B107" s="4" t="s">
        <v>38</v>
      </c>
      <c r="C107" s="4" t="s">
        <v>39</v>
      </c>
      <c r="D107" s="4" t="s">
        <v>48</v>
      </c>
      <c r="E107" s="4" t="s">
        <v>49</v>
      </c>
      <c r="F107" s="4" t="s">
        <v>25</v>
      </c>
      <c r="G107" s="4" t="s">
        <v>25</v>
      </c>
      <c r="H107" s="4" t="s">
        <v>34</v>
      </c>
      <c r="I107" s="5">
        <v>44652</v>
      </c>
      <c r="J107" s="6">
        <v>669</v>
      </c>
      <c r="K107" s="6">
        <v>628.86</v>
      </c>
      <c r="L107" s="6">
        <v>384.61700000000002</v>
      </c>
      <c r="M107" s="6">
        <v>361.53998000000001</v>
      </c>
      <c r="N107" s="6">
        <v>384.61700000000002</v>
      </c>
      <c r="O107" s="6">
        <v>361.53998000000001</v>
      </c>
      <c r="P107" s="6">
        <v>0</v>
      </c>
      <c r="Q107" s="4" t="s">
        <v>26</v>
      </c>
      <c r="R107" s="4">
        <v>0</v>
      </c>
      <c r="S107" s="4" t="s">
        <v>121</v>
      </c>
      <c r="T107" s="4" t="s">
        <v>374</v>
      </c>
      <c r="U107" s="4">
        <v>22</v>
      </c>
      <c r="V107" s="4">
        <v>7</v>
      </c>
      <c r="W107" s="4">
        <v>42</v>
      </c>
    </row>
    <row r="108" spans="1:23" ht="11.25" customHeight="1" x14ac:dyDescent="0.25">
      <c r="A108" s="4" t="s">
        <v>21</v>
      </c>
      <c r="B108" s="4" t="s">
        <v>38</v>
      </c>
      <c r="C108" s="4" t="s">
        <v>39</v>
      </c>
      <c r="D108" s="4" t="s">
        <v>48</v>
      </c>
      <c r="E108" s="4" t="s">
        <v>49</v>
      </c>
      <c r="F108" s="4" t="s">
        <v>25</v>
      </c>
      <c r="G108" s="4" t="s">
        <v>25</v>
      </c>
      <c r="H108" s="4" t="s">
        <v>34</v>
      </c>
      <c r="I108" s="5">
        <v>44682</v>
      </c>
      <c r="J108" s="6">
        <v>683</v>
      </c>
      <c r="K108" s="6">
        <v>642.02</v>
      </c>
      <c r="L108" s="6">
        <v>384.69600000000003</v>
      </c>
      <c r="M108" s="6">
        <v>361.61424</v>
      </c>
      <c r="N108" s="6">
        <v>384.69600000000003</v>
      </c>
      <c r="O108" s="6">
        <v>361.61424</v>
      </c>
      <c r="P108" s="6">
        <v>0</v>
      </c>
      <c r="Q108" s="4" t="s">
        <v>26</v>
      </c>
      <c r="R108" s="4">
        <v>0</v>
      </c>
      <c r="S108" s="4" t="s">
        <v>122</v>
      </c>
      <c r="T108" s="4" t="s">
        <v>375</v>
      </c>
      <c r="U108" s="4">
        <v>22</v>
      </c>
      <c r="V108" s="4">
        <v>7</v>
      </c>
      <c r="W108" s="4">
        <v>42</v>
      </c>
    </row>
    <row r="109" spans="1:23" ht="11.25" customHeight="1" x14ac:dyDescent="0.25">
      <c r="A109" s="4" t="s">
        <v>56</v>
      </c>
      <c r="B109" s="4" t="s">
        <v>38</v>
      </c>
      <c r="C109" s="4" t="s">
        <v>39</v>
      </c>
      <c r="D109" s="4" t="s">
        <v>48</v>
      </c>
      <c r="E109" s="4" t="s">
        <v>49</v>
      </c>
      <c r="F109" s="4" t="s">
        <v>25</v>
      </c>
      <c r="G109" s="4" t="s">
        <v>25</v>
      </c>
      <c r="H109" s="4" t="s">
        <v>34</v>
      </c>
      <c r="I109" s="5">
        <v>44713</v>
      </c>
      <c r="J109" s="6">
        <v>683</v>
      </c>
      <c r="K109" s="6">
        <v>642.02</v>
      </c>
      <c r="L109" s="6">
        <v>384.69600000000003</v>
      </c>
      <c r="M109" s="6">
        <v>361.61424</v>
      </c>
      <c r="N109" s="6">
        <v>384.69600000000003</v>
      </c>
      <c r="O109" s="6">
        <v>361.61424</v>
      </c>
      <c r="P109" s="6">
        <v>0</v>
      </c>
      <c r="Q109" s="4" t="s">
        <v>26</v>
      </c>
      <c r="R109" s="4">
        <v>0</v>
      </c>
      <c r="S109" s="4" t="s">
        <v>123</v>
      </c>
      <c r="T109" s="4" t="s">
        <v>376</v>
      </c>
      <c r="U109" s="4">
        <v>22</v>
      </c>
      <c r="V109" s="4">
        <v>7</v>
      </c>
      <c r="W109" s="4">
        <v>42</v>
      </c>
    </row>
    <row r="110" spans="1:23" ht="11.25" customHeight="1" x14ac:dyDescent="0.25">
      <c r="A110" s="4" t="s">
        <v>21</v>
      </c>
      <c r="B110" s="4" t="s">
        <v>38</v>
      </c>
      <c r="C110" s="4" t="s">
        <v>39</v>
      </c>
      <c r="D110" s="4" t="s">
        <v>48</v>
      </c>
      <c r="E110" s="4" t="s">
        <v>49</v>
      </c>
      <c r="F110" s="4" t="s">
        <v>25</v>
      </c>
      <c r="G110" s="4" t="s">
        <v>25</v>
      </c>
      <c r="H110" s="4" t="s">
        <v>33</v>
      </c>
      <c r="I110" s="5">
        <v>44378</v>
      </c>
      <c r="J110" s="6">
        <v>640</v>
      </c>
      <c r="K110" s="6">
        <v>601.59999999999991</v>
      </c>
      <c r="L110" s="6">
        <v>37.576999999999998</v>
      </c>
      <c r="M110" s="6">
        <v>35.322379999999995</v>
      </c>
      <c r="N110" s="6">
        <v>37.576999999999998</v>
      </c>
      <c r="O110" s="6">
        <v>35.322379999999995</v>
      </c>
      <c r="P110" s="6">
        <v>0</v>
      </c>
      <c r="Q110" s="4" t="s">
        <v>26</v>
      </c>
      <c r="R110" s="4">
        <v>0</v>
      </c>
      <c r="S110" s="4" t="s">
        <v>124</v>
      </c>
      <c r="T110" s="4" t="s">
        <v>377</v>
      </c>
      <c r="U110" s="4">
        <v>3</v>
      </c>
      <c r="V110" s="4">
        <v>7</v>
      </c>
      <c r="W110" s="4">
        <v>47</v>
      </c>
    </row>
    <row r="111" spans="1:23" ht="11.25" customHeight="1" x14ac:dyDescent="0.25">
      <c r="A111" s="4" t="s">
        <v>21</v>
      </c>
      <c r="B111" s="4" t="s">
        <v>38</v>
      </c>
      <c r="C111" s="4" t="s">
        <v>39</v>
      </c>
      <c r="D111" s="4" t="s">
        <v>48</v>
      </c>
      <c r="E111" s="4" t="s">
        <v>49</v>
      </c>
      <c r="F111" s="4" t="s">
        <v>25</v>
      </c>
      <c r="G111" s="4" t="s">
        <v>25</v>
      </c>
      <c r="H111" s="4" t="s">
        <v>33</v>
      </c>
      <c r="I111" s="5">
        <v>44409</v>
      </c>
      <c r="J111" s="6">
        <v>640</v>
      </c>
      <c r="K111" s="6">
        <v>601.6</v>
      </c>
      <c r="L111" s="6">
        <v>37.415999999999997</v>
      </c>
      <c r="M111" s="6">
        <v>35.171039999999998</v>
      </c>
      <c r="N111" s="6">
        <v>37.415999999999997</v>
      </c>
      <c r="O111" s="6">
        <v>35.171039999999998</v>
      </c>
      <c r="P111" s="6">
        <v>0</v>
      </c>
      <c r="Q111" s="4" t="s">
        <v>26</v>
      </c>
      <c r="R111" s="4">
        <v>0</v>
      </c>
      <c r="S111" s="4" t="s">
        <v>125</v>
      </c>
      <c r="T111" s="4" t="s">
        <v>378</v>
      </c>
      <c r="U111" s="4">
        <v>3</v>
      </c>
      <c r="V111" s="4">
        <v>7</v>
      </c>
      <c r="W111" s="4">
        <v>47</v>
      </c>
    </row>
    <row r="112" spans="1:23" ht="11.25" customHeight="1" x14ac:dyDescent="0.25">
      <c r="A112" s="4" t="s">
        <v>21</v>
      </c>
      <c r="B112" s="4" t="s">
        <v>38</v>
      </c>
      <c r="C112" s="4" t="s">
        <v>39</v>
      </c>
      <c r="D112" s="4" t="s">
        <v>48</v>
      </c>
      <c r="E112" s="4" t="s">
        <v>49</v>
      </c>
      <c r="F112" s="4" t="s">
        <v>25</v>
      </c>
      <c r="G112" s="4" t="s">
        <v>25</v>
      </c>
      <c r="H112" s="4" t="s">
        <v>33</v>
      </c>
      <c r="I112" s="5">
        <v>44440</v>
      </c>
      <c r="J112" s="6">
        <v>640</v>
      </c>
      <c r="K112" s="6">
        <v>601.6</v>
      </c>
      <c r="L112" s="6">
        <v>36.036999999999999</v>
      </c>
      <c r="M112" s="6">
        <v>33.874780000000001</v>
      </c>
      <c r="N112" s="6">
        <v>36.036999999999999</v>
      </c>
      <c r="O112" s="6">
        <v>33.874780000000001</v>
      </c>
      <c r="P112" s="6">
        <v>0</v>
      </c>
      <c r="Q112" s="4" t="s">
        <v>26</v>
      </c>
      <c r="R112" s="4">
        <v>0</v>
      </c>
      <c r="S112" s="4" t="s">
        <v>126</v>
      </c>
      <c r="T112" s="4" t="s">
        <v>379</v>
      </c>
      <c r="U112" s="4">
        <v>3</v>
      </c>
      <c r="V112" s="4">
        <v>7</v>
      </c>
      <c r="W112" s="4">
        <v>47</v>
      </c>
    </row>
    <row r="113" spans="1:23" ht="11.25" customHeight="1" x14ac:dyDescent="0.25">
      <c r="A113" s="4" t="s">
        <v>21</v>
      </c>
      <c r="B113" s="4" t="s">
        <v>38</v>
      </c>
      <c r="C113" s="4" t="s">
        <v>39</v>
      </c>
      <c r="D113" s="4" t="s">
        <v>48</v>
      </c>
      <c r="E113" s="4" t="s">
        <v>49</v>
      </c>
      <c r="F113" s="4" t="s">
        <v>25</v>
      </c>
      <c r="G113" s="4" t="s">
        <v>25</v>
      </c>
      <c r="H113" s="4" t="s">
        <v>33</v>
      </c>
      <c r="I113" s="5">
        <v>44470</v>
      </c>
      <c r="J113" s="6">
        <v>640</v>
      </c>
      <c r="K113" s="6">
        <v>601.6</v>
      </c>
      <c r="L113" s="6">
        <v>33.704999999999998</v>
      </c>
      <c r="M113" s="6">
        <v>31.682700000000001</v>
      </c>
      <c r="N113" s="6">
        <v>33.704999999999998</v>
      </c>
      <c r="O113" s="6">
        <v>31.682700000000001</v>
      </c>
      <c r="P113" s="6">
        <v>0</v>
      </c>
      <c r="Q113" s="4" t="s">
        <v>26</v>
      </c>
      <c r="R113" s="4">
        <v>0</v>
      </c>
      <c r="S113" s="4" t="s">
        <v>127</v>
      </c>
      <c r="T113" s="4" t="s">
        <v>380</v>
      </c>
      <c r="U113" s="4">
        <v>3</v>
      </c>
      <c r="V113" s="4">
        <v>7</v>
      </c>
      <c r="W113" s="4">
        <v>47</v>
      </c>
    </row>
    <row r="114" spans="1:23" ht="11.25" customHeight="1" x14ac:dyDescent="0.25">
      <c r="A114" s="4" t="s">
        <v>21</v>
      </c>
      <c r="B114" s="4" t="s">
        <v>38</v>
      </c>
      <c r="C114" s="4" t="s">
        <v>39</v>
      </c>
      <c r="D114" s="4" t="s">
        <v>48</v>
      </c>
      <c r="E114" s="4" t="s">
        <v>49</v>
      </c>
      <c r="F114" s="4" t="s">
        <v>25</v>
      </c>
      <c r="G114" s="4" t="s">
        <v>25</v>
      </c>
      <c r="H114" s="4" t="s">
        <v>33</v>
      </c>
      <c r="I114" s="5">
        <v>44501</v>
      </c>
      <c r="J114" s="6">
        <v>648</v>
      </c>
      <c r="K114" s="6">
        <v>609.12</v>
      </c>
      <c r="L114" s="6">
        <v>35.029000000000003</v>
      </c>
      <c r="M114" s="6">
        <v>32.927259999999997</v>
      </c>
      <c r="N114" s="6">
        <v>35.029000000000003</v>
      </c>
      <c r="O114" s="6">
        <v>32.927259999999997</v>
      </c>
      <c r="P114" s="6">
        <v>0</v>
      </c>
      <c r="Q114" s="4" t="s">
        <v>26</v>
      </c>
      <c r="R114" s="4">
        <v>0</v>
      </c>
      <c r="S114" s="4" t="s">
        <v>128</v>
      </c>
      <c r="T114" s="4" t="s">
        <v>381</v>
      </c>
      <c r="U114" s="4">
        <v>3</v>
      </c>
      <c r="V114" s="4">
        <v>7</v>
      </c>
      <c r="W114" s="4">
        <v>47</v>
      </c>
    </row>
    <row r="115" spans="1:23" ht="11.25" customHeight="1" x14ac:dyDescent="0.25">
      <c r="A115" s="4" t="s">
        <v>21</v>
      </c>
      <c r="B115" s="4" t="s">
        <v>38</v>
      </c>
      <c r="C115" s="4" t="s">
        <v>39</v>
      </c>
      <c r="D115" s="4" t="s">
        <v>48</v>
      </c>
      <c r="E115" s="4" t="s">
        <v>49</v>
      </c>
      <c r="F115" s="4" t="s">
        <v>25</v>
      </c>
      <c r="G115" s="4" t="s">
        <v>25</v>
      </c>
      <c r="H115" s="4" t="s">
        <v>33</v>
      </c>
      <c r="I115" s="5">
        <v>44531</v>
      </c>
      <c r="J115" s="6">
        <v>651</v>
      </c>
      <c r="K115" s="6">
        <v>611.94000000000005</v>
      </c>
      <c r="L115" s="6">
        <v>41.866</v>
      </c>
      <c r="M115" s="6">
        <v>39.354039999999998</v>
      </c>
      <c r="N115" s="6">
        <v>41.866</v>
      </c>
      <c r="O115" s="6">
        <v>39.354039999999998</v>
      </c>
      <c r="P115" s="6">
        <v>0</v>
      </c>
      <c r="Q115" s="4" t="s">
        <v>26</v>
      </c>
      <c r="R115" s="4">
        <v>0</v>
      </c>
      <c r="S115" s="4" t="s">
        <v>129</v>
      </c>
      <c r="T115" s="4" t="s">
        <v>382</v>
      </c>
      <c r="U115" s="4">
        <v>3</v>
      </c>
      <c r="V115" s="4">
        <v>7</v>
      </c>
      <c r="W115" s="4">
        <v>47</v>
      </c>
    </row>
    <row r="116" spans="1:23" ht="11.25" customHeight="1" x14ac:dyDescent="0.25">
      <c r="A116" s="4" t="s">
        <v>21</v>
      </c>
      <c r="B116" s="4" t="s">
        <v>38</v>
      </c>
      <c r="C116" s="4" t="s">
        <v>39</v>
      </c>
      <c r="D116" s="4" t="s">
        <v>48</v>
      </c>
      <c r="E116" s="4" t="s">
        <v>49</v>
      </c>
      <c r="F116" s="4" t="s">
        <v>25</v>
      </c>
      <c r="G116" s="4" t="s">
        <v>25</v>
      </c>
      <c r="H116" s="4" t="s">
        <v>33</v>
      </c>
      <c r="I116" s="5">
        <v>44562</v>
      </c>
      <c r="J116" s="6">
        <v>655</v>
      </c>
      <c r="K116" s="6">
        <v>615.70000000000005</v>
      </c>
      <c r="L116" s="6">
        <v>38.148000000000003</v>
      </c>
      <c r="M116" s="6">
        <v>35.859119999999997</v>
      </c>
      <c r="N116" s="6">
        <v>38.148000000000003</v>
      </c>
      <c r="O116" s="6">
        <v>35.859119999999997</v>
      </c>
      <c r="P116" s="6">
        <v>0</v>
      </c>
      <c r="Q116" s="4" t="s">
        <v>26</v>
      </c>
      <c r="R116" s="4">
        <v>0</v>
      </c>
      <c r="S116" s="4" t="s">
        <v>130</v>
      </c>
      <c r="T116" s="4" t="s">
        <v>383</v>
      </c>
      <c r="U116" s="4">
        <v>3</v>
      </c>
      <c r="V116" s="4">
        <v>7</v>
      </c>
      <c r="W116" s="4">
        <v>47</v>
      </c>
    </row>
    <row r="117" spans="1:23" ht="11.25" customHeight="1" x14ac:dyDescent="0.25">
      <c r="A117" s="4" t="s">
        <v>21</v>
      </c>
      <c r="B117" s="4" t="s">
        <v>38</v>
      </c>
      <c r="C117" s="4" t="s">
        <v>39</v>
      </c>
      <c r="D117" s="4" t="s">
        <v>48</v>
      </c>
      <c r="E117" s="4" t="s">
        <v>49</v>
      </c>
      <c r="F117" s="4" t="s">
        <v>25</v>
      </c>
      <c r="G117" s="4" t="s">
        <v>25</v>
      </c>
      <c r="H117" s="4" t="s">
        <v>33</v>
      </c>
      <c r="I117" s="5">
        <v>44593</v>
      </c>
      <c r="J117" s="6">
        <v>683</v>
      </c>
      <c r="K117" s="6">
        <v>642.02</v>
      </c>
      <c r="L117" s="6">
        <v>36.609000000000002</v>
      </c>
      <c r="M117" s="6">
        <v>34.412460000000003</v>
      </c>
      <c r="N117" s="6">
        <v>36.609000000000002</v>
      </c>
      <c r="O117" s="6">
        <v>34.412460000000003</v>
      </c>
      <c r="P117" s="6">
        <v>0</v>
      </c>
      <c r="Q117" s="4" t="s">
        <v>26</v>
      </c>
      <c r="R117" s="4">
        <v>0</v>
      </c>
      <c r="S117" s="4" t="s">
        <v>131</v>
      </c>
      <c r="T117" s="4" t="s">
        <v>384</v>
      </c>
      <c r="U117" s="4">
        <v>3</v>
      </c>
      <c r="V117" s="4">
        <v>7</v>
      </c>
      <c r="W117" s="4">
        <v>47</v>
      </c>
    </row>
    <row r="118" spans="1:23" ht="11.25" customHeight="1" x14ac:dyDescent="0.25">
      <c r="A118" s="4" t="s">
        <v>21</v>
      </c>
      <c r="B118" s="4" t="s">
        <v>38</v>
      </c>
      <c r="C118" s="4" t="s">
        <v>39</v>
      </c>
      <c r="D118" s="4" t="s">
        <v>48</v>
      </c>
      <c r="E118" s="4" t="s">
        <v>49</v>
      </c>
      <c r="F118" s="4" t="s">
        <v>25</v>
      </c>
      <c r="G118" s="4" t="s">
        <v>25</v>
      </c>
      <c r="H118" s="4" t="s">
        <v>33</v>
      </c>
      <c r="I118" s="5">
        <v>44621</v>
      </c>
      <c r="J118" s="6">
        <v>651</v>
      </c>
      <c r="K118" s="6">
        <v>611.94000000000005</v>
      </c>
      <c r="L118" s="6">
        <v>39.953000000000003</v>
      </c>
      <c r="M118" s="6">
        <v>37.555819999999997</v>
      </c>
      <c r="N118" s="6">
        <v>39.953000000000003</v>
      </c>
      <c r="O118" s="6">
        <v>37.555819999999997</v>
      </c>
      <c r="P118" s="6">
        <v>0</v>
      </c>
      <c r="Q118" s="4" t="s">
        <v>26</v>
      </c>
      <c r="R118" s="4">
        <v>0</v>
      </c>
      <c r="S118" s="4" t="s">
        <v>132</v>
      </c>
      <c r="T118" s="4" t="s">
        <v>385</v>
      </c>
      <c r="U118" s="4">
        <v>3</v>
      </c>
      <c r="V118" s="4">
        <v>7</v>
      </c>
      <c r="W118" s="4">
        <v>47</v>
      </c>
    </row>
    <row r="119" spans="1:23" ht="11.25" customHeight="1" x14ac:dyDescent="0.25">
      <c r="A119" s="4" t="s">
        <v>21</v>
      </c>
      <c r="B119" s="4" t="s">
        <v>38</v>
      </c>
      <c r="C119" s="4" t="s">
        <v>39</v>
      </c>
      <c r="D119" s="4" t="s">
        <v>48</v>
      </c>
      <c r="E119" s="4" t="s">
        <v>49</v>
      </c>
      <c r="F119" s="4" t="s">
        <v>25</v>
      </c>
      <c r="G119" s="4" t="s">
        <v>25</v>
      </c>
      <c r="H119" s="4" t="s">
        <v>33</v>
      </c>
      <c r="I119" s="5">
        <v>44652</v>
      </c>
      <c r="J119" s="6">
        <v>650</v>
      </c>
      <c r="K119" s="6">
        <v>611</v>
      </c>
      <c r="L119" s="6">
        <v>34.774999999999999</v>
      </c>
      <c r="M119" s="6">
        <v>32.688499999999998</v>
      </c>
      <c r="N119" s="6">
        <v>34.774999999999999</v>
      </c>
      <c r="O119" s="6">
        <v>32.688499999999998</v>
      </c>
      <c r="P119" s="6">
        <v>0</v>
      </c>
      <c r="Q119" s="4" t="s">
        <v>26</v>
      </c>
      <c r="R119" s="4">
        <v>0</v>
      </c>
      <c r="S119" s="4" t="s">
        <v>133</v>
      </c>
      <c r="T119" s="4" t="s">
        <v>386</v>
      </c>
      <c r="U119" s="4">
        <v>3</v>
      </c>
      <c r="V119" s="4">
        <v>7</v>
      </c>
      <c r="W119" s="4">
        <v>47</v>
      </c>
    </row>
    <row r="120" spans="1:23" ht="11.25" customHeight="1" x14ac:dyDescent="0.25">
      <c r="A120" s="4" t="s">
        <v>21</v>
      </c>
      <c r="B120" s="4" t="s">
        <v>38</v>
      </c>
      <c r="C120" s="4" t="s">
        <v>39</v>
      </c>
      <c r="D120" s="4" t="s">
        <v>48</v>
      </c>
      <c r="E120" s="4" t="s">
        <v>49</v>
      </c>
      <c r="F120" s="4" t="s">
        <v>25</v>
      </c>
      <c r="G120" s="4" t="s">
        <v>25</v>
      </c>
      <c r="H120" s="4" t="s">
        <v>33</v>
      </c>
      <c r="I120" s="5">
        <v>44682</v>
      </c>
      <c r="J120" s="6">
        <v>669</v>
      </c>
      <c r="K120" s="6">
        <v>628.86</v>
      </c>
      <c r="L120" s="6">
        <v>39.667000000000002</v>
      </c>
      <c r="M120" s="6">
        <v>37.28698</v>
      </c>
      <c r="N120" s="6">
        <v>39.667000000000002</v>
      </c>
      <c r="O120" s="6">
        <v>37.28698</v>
      </c>
      <c r="P120" s="6">
        <v>0</v>
      </c>
      <c r="Q120" s="4" t="s">
        <v>26</v>
      </c>
      <c r="R120" s="4">
        <v>0</v>
      </c>
      <c r="S120" s="4" t="s">
        <v>134</v>
      </c>
      <c r="T120" s="4" t="s">
        <v>387</v>
      </c>
      <c r="U120" s="4">
        <v>3</v>
      </c>
      <c r="V120" s="4">
        <v>7</v>
      </c>
      <c r="W120" s="4">
        <v>47</v>
      </c>
    </row>
    <row r="121" spans="1:23" ht="11.25" customHeight="1" x14ac:dyDescent="0.25">
      <c r="A121" s="4" t="s">
        <v>56</v>
      </c>
      <c r="B121" s="4" t="s">
        <v>38</v>
      </c>
      <c r="C121" s="4" t="s">
        <v>39</v>
      </c>
      <c r="D121" s="4" t="s">
        <v>48</v>
      </c>
      <c r="E121" s="4" t="s">
        <v>49</v>
      </c>
      <c r="F121" s="4" t="s">
        <v>25</v>
      </c>
      <c r="G121" s="4" t="s">
        <v>25</v>
      </c>
      <c r="H121" s="4" t="s">
        <v>33</v>
      </c>
      <c r="I121" s="5">
        <v>44713</v>
      </c>
      <c r="J121" s="6">
        <v>669</v>
      </c>
      <c r="K121" s="6">
        <v>628.86</v>
      </c>
      <c r="L121" s="6">
        <v>39.667000000000002</v>
      </c>
      <c r="M121" s="6">
        <v>37.28698</v>
      </c>
      <c r="N121" s="6">
        <v>39.667000000000002</v>
      </c>
      <c r="O121" s="6">
        <v>37.28698</v>
      </c>
      <c r="P121" s="6">
        <v>0</v>
      </c>
      <c r="Q121" s="4" t="s">
        <v>26</v>
      </c>
      <c r="R121" s="4">
        <v>0</v>
      </c>
      <c r="S121" s="4" t="s">
        <v>135</v>
      </c>
      <c r="T121" s="4" t="s">
        <v>388</v>
      </c>
      <c r="U121" s="4">
        <v>3</v>
      </c>
      <c r="V121" s="4">
        <v>7</v>
      </c>
      <c r="W121" s="4">
        <v>47</v>
      </c>
    </row>
    <row r="122" spans="1:23" ht="11.25" customHeight="1" x14ac:dyDescent="0.25">
      <c r="A122" s="4" t="s">
        <v>21</v>
      </c>
      <c r="B122" s="4" t="s">
        <v>38</v>
      </c>
      <c r="C122" s="4" t="s">
        <v>59</v>
      </c>
      <c r="D122" s="4" t="s">
        <v>25</v>
      </c>
      <c r="E122" s="4" t="s">
        <v>25</v>
      </c>
      <c r="F122" s="4" t="s">
        <v>25</v>
      </c>
      <c r="G122" s="4" t="s">
        <v>60</v>
      </c>
      <c r="H122" s="4" t="s">
        <v>25</v>
      </c>
      <c r="I122" s="5">
        <v>44378</v>
      </c>
      <c r="J122" s="6">
        <v>1000</v>
      </c>
      <c r="K122" s="6">
        <v>500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61</v>
      </c>
      <c r="R122" s="4">
        <v>797</v>
      </c>
      <c r="S122" s="4" t="s">
        <v>148</v>
      </c>
      <c r="U122" s="4">
        <v>12</v>
      </c>
      <c r="V122" s="4">
        <v>0</v>
      </c>
      <c r="W122" s="4">
        <v>0</v>
      </c>
    </row>
    <row r="123" spans="1:23" ht="11.25" customHeight="1" x14ac:dyDescent="0.25">
      <c r="A123" s="4" t="s">
        <v>21</v>
      </c>
      <c r="B123" s="4" t="s">
        <v>38</v>
      </c>
      <c r="C123" s="4" t="s">
        <v>59</v>
      </c>
      <c r="D123" s="4" t="s">
        <v>25</v>
      </c>
      <c r="E123" s="4" t="s">
        <v>25</v>
      </c>
      <c r="F123" s="4" t="s">
        <v>25</v>
      </c>
      <c r="G123" s="4" t="s">
        <v>64</v>
      </c>
      <c r="H123" s="4" t="s">
        <v>25</v>
      </c>
      <c r="I123" s="5">
        <v>44378</v>
      </c>
      <c r="J123" s="6">
        <v>280</v>
      </c>
      <c r="K123" s="6">
        <v>140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61</v>
      </c>
      <c r="S123" s="4" t="s">
        <v>148</v>
      </c>
      <c r="U123" s="4">
        <v>12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38</v>
      </c>
      <c r="C124" s="4" t="s">
        <v>59</v>
      </c>
      <c r="D124" s="4" t="s">
        <v>25</v>
      </c>
      <c r="E124" s="4" t="s">
        <v>25</v>
      </c>
      <c r="F124" s="4" t="s">
        <v>25</v>
      </c>
      <c r="G124" s="4" t="s">
        <v>60</v>
      </c>
      <c r="H124" s="4" t="s">
        <v>25</v>
      </c>
      <c r="I124" s="5">
        <v>44409</v>
      </c>
      <c r="J124" s="6">
        <v>1000</v>
      </c>
      <c r="K124" s="6">
        <v>500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61</v>
      </c>
      <c r="R124" s="4">
        <v>797</v>
      </c>
      <c r="S124" s="4" t="s">
        <v>149</v>
      </c>
      <c r="U124" s="4">
        <v>12</v>
      </c>
      <c r="V124" s="4">
        <v>0</v>
      </c>
      <c r="W124" s="4">
        <v>0</v>
      </c>
    </row>
    <row r="125" spans="1:23" ht="11.25" customHeight="1" x14ac:dyDescent="0.25">
      <c r="A125" s="4" t="s">
        <v>21</v>
      </c>
      <c r="B125" s="4" t="s">
        <v>38</v>
      </c>
      <c r="C125" s="4" t="s">
        <v>59</v>
      </c>
      <c r="D125" s="4" t="s">
        <v>25</v>
      </c>
      <c r="E125" s="4" t="s">
        <v>25</v>
      </c>
      <c r="F125" s="4" t="s">
        <v>25</v>
      </c>
      <c r="G125" s="4" t="s">
        <v>64</v>
      </c>
      <c r="H125" s="4" t="s">
        <v>25</v>
      </c>
      <c r="I125" s="5">
        <v>44409</v>
      </c>
      <c r="J125" s="6">
        <v>280</v>
      </c>
      <c r="K125" s="6">
        <v>140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61</v>
      </c>
      <c r="S125" s="4" t="s">
        <v>149</v>
      </c>
      <c r="U125" s="4">
        <v>12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38</v>
      </c>
      <c r="C126" s="4" t="s">
        <v>59</v>
      </c>
      <c r="D126" s="4" t="s">
        <v>25</v>
      </c>
      <c r="E126" s="4" t="s">
        <v>25</v>
      </c>
      <c r="F126" s="4" t="s">
        <v>25</v>
      </c>
      <c r="G126" s="4" t="s">
        <v>60</v>
      </c>
      <c r="H126" s="4" t="s">
        <v>25</v>
      </c>
      <c r="I126" s="5">
        <v>44440</v>
      </c>
      <c r="J126" s="6">
        <v>1000</v>
      </c>
      <c r="K126" s="6">
        <v>500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61</v>
      </c>
      <c r="R126" s="4">
        <v>797</v>
      </c>
      <c r="S126" s="4" t="s">
        <v>150</v>
      </c>
      <c r="U126" s="4">
        <v>12</v>
      </c>
      <c r="V126" s="4">
        <v>0</v>
      </c>
      <c r="W126" s="4">
        <v>0</v>
      </c>
    </row>
    <row r="127" spans="1:23" ht="11.25" customHeight="1" x14ac:dyDescent="0.25">
      <c r="A127" s="4" t="s">
        <v>21</v>
      </c>
      <c r="B127" s="4" t="s">
        <v>38</v>
      </c>
      <c r="C127" s="4" t="s">
        <v>59</v>
      </c>
      <c r="D127" s="4" t="s">
        <v>25</v>
      </c>
      <c r="E127" s="4" t="s">
        <v>25</v>
      </c>
      <c r="F127" s="4" t="s">
        <v>25</v>
      </c>
      <c r="G127" s="4" t="s">
        <v>64</v>
      </c>
      <c r="H127" s="4" t="s">
        <v>25</v>
      </c>
      <c r="I127" s="5">
        <v>44440</v>
      </c>
      <c r="J127" s="6">
        <v>280</v>
      </c>
      <c r="K127" s="6">
        <v>140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61</v>
      </c>
      <c r="S127" s="4" t="s">
        <v>150</v>
      </c>
      <c r="U127" s="4">
        <v>12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38</v>
      </c>
      <c r="C128" s="4" t="s">
        <v>59</v>
      </c>
      <c r="D128" s="4" t="s">
        <v>25</v>
      </c>
      <c r="E128" s="4" t="s">
        <v>25</v>
      </c>
      <c r="F128" s="4" t="s">
        <v>25</v>
      </c>
      <c r="G128" s="4" t="s">
        <v>60</v>
      </c>
      <c r="H128" s="4" t="s">
        <v>25</v>
      </c>
      <c r="I128" s="5">
        <v>44470</v>
      </c>
      <c r="J128" s="6">
        <v>1000</v>
      </c>
      <c r="K128" s="6">
        <v>500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61</v>
      </c>
      <c r="R128" s="4">
        <v>797</v>
      </c>
      <c r="S128" s="4" t="s">
        <v>151</v>
      </c>
      <c r="U128" s="4">
        <v>12</v>
      </c>
      <c r="V128" s="4">
        <v>0</v>
      </c>
      <c r="W128" s="4">
        <v>0</v>
      </c>
    </row>
    <row r="129" spans="1:23" ht="11.25" customHeight="1" x14ac:dyDescent="0.25">
      <c r="A129" s="4" t="s">
        <v>21</v>
      </c>
      <c r="B129" s="4" t="s">
        <v>38</v>
      </c>
      <c r="C129" s="4" t="s">
        <v>59</v>
      </c>
      <c r="D129" s="4" t="s">
        <v>25</v>
      </c>
      <c r="E129" s="4" t="s">
        <v>25</v>
      </c>
      <c r="F129" s="4" t="s">
        <v>25</v>
      </c>
      <c r="G129" s="4" t="s">
        <v>64</v>
      </c>
      <c r="H129" s="4" t="s">
        <v>25</v>
      </c>
      <c r="I129" s="5">
        <v>44470</v>
      </c>
      <c r="J129" s="6">
        <v>280</v>
      </c>
      <c r="K129" s="6">
        <v>140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61</v>
      </c>
      <c r="S129" s="4" t="s">
        <v>151</v>
      </c>
      <c r="U129" s="4">
        <v>12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38</v>
      </c>
      <c r="C130" s="4" t="s">
        <v>59</v>
      </c>
      <c r="D130" s="4" t="s">
        <v>25</v>
      </c>
      <c r="E130" s="4" t="s">
        <v>25</v>
      </c>
      <c r="F130" s="4" t="s">
        <v>25</v>
      </c>
      <c r="G130" s="4" t="s">
        <v>60</v>
      </c>
      <c r="H130" s="4" t="s">
        <v>25</v>
      </c>
      <c r="I130" s="5">
        <v>44501</v>
      </c>
      <c r="J130" s="6">
        <v>1000</v>
      </c>
      <c r="K130" s="6">
        <v>500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61</v>
      </c>
      <c r="R130" s="4">
        <v>797</v>
      </c>
      <c r="S130" s="4" t="s">
        <v>152</v>
      </c>
      <c r="U130" s="4">
        <v>12</v>
      </c>
      <c r="V130" s="4">
        <v>0</v>
      </c>
      <c r="W130" s="4">
        <v>0</v>
      </c>
    </row>
    <row r="131" spans="1:23" ht="11.25" customHeight="1" x14ac:dyDescent="0.25">
      <c r="A131" s="4" t="s">
        <v>21</v>
      </c>
      <c r="B131" s="4" t="s">
        <v>38</v>
      </c>
      <c r="C131" s="4" t="s">
        <v>59</v>
      </c>
      <c r="D131" s="4" t="s">
        <v>25</v>
      </c>
      <c r="E131" s="4" t="s">
        <v>25</v>
      </c>
      <c r="F131" s="4" t="s">
        <v>25</v>
      </c>
      <c r="G131" s="4" t="s">
        <v>64</v>
      </c>
      <c r="H131" s="4" t="s">
        <v>25</v>
      </c>
      <c r="I131" s="5">
        <v>44501</v>
      </c>
      <c r="J131" s="6">
        <v>280</v>
      </c>
      <c r="K131" s="6">
        <v>140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61</v>
      </c>
      <c r="S131" s="4" t="s">
        <v>152</v>
      </c>
      <c r="U131" s="4">
        <v>12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38</v>
      </c>
      <c r="C132" s="4" t="s">
        <v>59</v>
      </c>
      <c r="D132" s="4" t="s">
        <v>25</v>
      </c>
      <c r="E132" s="4" t="s">
        <v>25</v>
      </c>
      <c r="F132" s="4" t="s">
        <v>25</v>
      </c>
      <c r="G132" s="4" t="s">
        <v>60</v>
      </c>
      <c r="H132" s="4" t="s">
        <v>25</v>
      </c>
      <c r="I132" s="5">
        <v>44531</v>
      </c>
      <c r="J132" s="6">
        <v>1000</v>
      </c>
      <c r="K132" s="6">
        <v>500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61</v>
      </c>
      <c r="R132" s="4">
        <v>797</v>
      </c>
      <c r="S132" s="4" t="s">
        <v>153</v>
      </c>
      <c r="U132" s="4">
        <v>12</v>
      </c>
      <c r="V132" s="4">
        <v>0</v>
      </c>
      <c r="W132" s="4">
        <v>0</v>
      </c>
    </row>
    <row r="133" spans="1:23" ht="11.25" customHeight="1" x14ac:dyDescent="0.25">
      <c r="A133" s="4" t="s">
        <v>21</v>
      </c>
      <c r="B133" s="4" t="s">
        <v>38</v>
      </c>
      <c r="C133" s="4" t="s">
        <v>59</v>
      </c>
      <c r="D133" s="4" t="s">
        <v>25</v>
      </c>
      <c r="E133" s="4" t="s">
        <v>25</v>
      </c>
      <c r="F133" s="4" t="s">
        <v>25</v>
      </c>
      <c r="G133" s="4" t="s">
        <v>64</v>
      </c>
      <c r="H133" s="4" t="s">
        <v>25</v>
      </c>
      <c r="I133" s="5">
        <v>44531</v>
      </c>
      <c r="J133" s="6">
        <v>280</v>
      </c>
      <c r="K133" s="6">
        <v>140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61</v>
      </c>
      <c r="S133" s="4" t="s">
        <v>153</v>
      </c>
      <c r="U133" s="4">
        <v>12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38</v>
      </c>
      <c r="C134" s="4" t="s">
        <v>59</v>
      </c>
      <c r="D134" s="4" t="s">
        <v>25</v>
      </c>
      <c r="E134" s="4" t="s">
        <v>25</v>
      </c>
      <c r="F134" s="4" t="s">
        <v>25</v>
      </c>
      <c r="G134" s="4" t="s">
        <v>60</v>
      </c>
      <c r="H134" s="4" t="s">
        <v>25</v>
      </c>
      <c r="I134" s="5">
        <v>44562</v>
      </c>
      <c r="J134" s="6">
        <v>1000</v>
      </c>
      <c r="K134" s="6">
        <v>500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61</v>
      </c>
      <c r="R134" s="4">
        <v>797</v>
      </c>
      <c r="S134" s="4" t="s">
        <v>154</v>
      </c>
      <c r="U134" s="4">
        <v>12</v>
      </c>
      <c r="V134" s="4">
        <v>0</v>
      </c>
      <c r="W134" s="4">
        <v>0</v>
      </c>
    </row>
    <row r="135" spans="1:23" ht="11.25" customHeight="1" x14ac:dyDescent="0.25">
      <c r="A135" s="4" t="s">
        <v>21</v>
      </c>
      <c r="B135" s="4" t="s">
        <v>38</v>
      </c>
      <c r="C135" s="4" t="s">
        <v>59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44562</v>
      </c>
      <c r="J135" s="6">
        <v>280</v>
      </c>
      <c r="K135" s="6">
        <v>140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61</v>
      </c>
      <c r="S135" s="4" t="s">
        <v>154</v>
      </c>
      <c r="U135" s="4">
        <v>12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38</v>
      </c>
      <c r="C136" s="4" t="s">
        <v>59</v>
      </c>
      <c r="D136" s="4" t="s">
        <v>25</v>
      </c>
      <c r="E136" s="4" t="s">
        <v>25</v>
      </c>
      <c r="F136" s="4" t="s">
        <v>25</v>
      </c>
      <c r="G136" s="4" t="s">
        <v>60</v>
      </c>
      <c r="H136" s="4" t="s">
        <v>25</v>
      </c>
      <c r="I136" s="5">
        <v>44593</v>
      </c>
      <c r="J136" s="6">
        <v>1000</v>
      </c>
      <c r="K136" s="6">
        <v>500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61</v>
      </c>
      <c r="R136" s="4">
        <v>797</v>
      </c>
      <c r="S136" s="4" t="s">
        <v>155</v>
      </c>
      <c r="U136" s="4">
        <v>12</v>
      </c>
      <c r="V136" s="4">
        <v>0</v>
      </c>
      <c r="W136" s="4">
        <v>0</v>
      </c>
    </row>
    <row r="137" spans="1:23" ht="11.25" customHeight="1" x14ac:dyDescent="0.25">
      <c r="A137" s="4" t="s">
        <v>21</v>
      </c>
      <c r="B137" s="4" t="s">
        <v>38</v>
      </c>
      <c r="C137" s="4" t="s">
        <v>59</v>
      </c>
      <c r="D137" s="4" t="s">
        <v>25</v>
      </c>
      <c r="E137" s="4" t="s">
        <v>25</v>
      </c>
      <c r="F137" s="4" t="s">
        <v>25</v>
      </c>
      <c r="G137" s="4" t="s">
        <v>64</v>
      </c>
      <c r="H137" s="4" t="s">
        <v>25</v>
      </c>
      <c r="I137" s="5">
        <v>44593</v>
      </c>
      <c r="J137" s="6">
        <v>280</v>
      </c>
      <c r="K137" s="6">
        <v>140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61</v>
      </c>
      <c r="S137" s="4" t="s">
        <v>155</v>
      </c>
      <c r="U137" s="4">
        <v>12</v>
      </c>
      <c r="V137" s="4">
        <v>0</v>
      </c>
      <c r="W137" s="4">
        <v>0</v>
      </c>
    </row>
    <row r="138" spans="1:23" ht="11.25" customHeight="1" x14ac:dyDescent="0.25">
      <c r="A138" s="4" t="s">
        <v>21</v>
      </c>
      <c r="B138" s="4" t="s">
        <v>38</v>
      </c>
      <c r="C138" s="4" t="s">
        <v>59</v>
      </c>
      <c r="D138" s="4" t="s">
        <v>25</v>
      </c>
      <c r="E138" s="4" t="s">
        <v>25</v>
      </c>
      <c r="F138" s="4" t="s">
        <v>25</v>
      </c>
      <c r="G138" s="4" t="s">
        <v>60</v>
      </c>
      <c r="H138" s="4" t="s">
        <v>25</v>
      </c>
      <c r="I138" s="5">
        <v>44621</v>
      </c>
      <c r="J138" s="6">
        <v>1000</v>
      </c>
      <c r="K138" s="6">
        <v>500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61</v>
      </c>
      <c r="R138" s="4">
        <v>797</v>
      </c>
      <c r="S138" s="4" t="s">
        <v>156</v>
      </c>
      <c r="U138" s="4">
        <v>12</v>
      </c>
      <c r="V138" s="4">
        <v>0</v>
      </c>
      <c r="W138" s="4">
        <v>0</v>
      </c>
    </row>
    <row r="139" spans="1:23" ht="11.25" customHeight="1" x14ac:dyDescent="0.25">
      <c r="A139" s="4" t="s">
        <v>21</v>
      </c>
      <c r="B139" s="4" t="s">
        <v>38</v>
      </c>
      <c r="C139" s="4" t="s">
        <v>59</v>
      </c>
      <c r="D139" s="4" t="s">
        <v>25</v>
      </c>
      <c r="E139" s="4" t="s">
        <v>25</v>
      </c>
      <c r="F139" s="4" t="s">
        <v>25</v>
      </c>
      <c r="G139" s="4" t="s">
        <v>64</v>
      </c>
      <c r="H139" s="4" t="s">
        <v>25</v>
      </c>
      <c r="I139" s="5">
        <v>44621</v>
      </c>
      <c r="J139" s="6">
        <v>280</v>
      </c>
      <c r="K139" s="6">
        <v>140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61</v>
      </c>
      <c r="S139" s="4" t="s">
        <v>156</v>
      </c>
      <c r="U139" s="4">
        <v>12</v>
      </c>
      <c r="V139" s="4">
        <v>0</v>
      </c>
      <c r="W139" s="4">
        <v>0</v>
      </c>
    </row>
    <row r="140" spans="1:23" ht="11.25" customHeight="1" x14ac:dyDescent="0.25">
      <c r="A140" s="4" t="s">
        <v>21</v>
      </c>
      <c r="B140" s="4" t="s">
        <v>38</v>
      </c>
      <c r="C140" s="4" t="s">
        <v>59</v>
      </c>
      <c r="D140" s="4" t="s">
        <v>25</v>
      </c>
      <c r="E140" s="4" t="s">
        <v>25</v>
      </c>
      <c r="F140" s="4" t="s">
        <v>25</v>
      </c>
      <c r="G140" s="4" t="s">
        <v>60</v>
      </c>
      <c r="H140" s="4" t="s">
        <v>25</v>
      </c>
      <c r="I140" s="5">
        <v>44652</v>
      </c>
      <c r="J140" s="6">
        <v>1000</v>
      </c>
      <c r="K140" s="6">
        <v>500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61</v>
      </c>
      <c r="R140" s="4">
        <v>797</v>
      </c>
      <c r="S140" s="4" t="s">
        <v>157</v>
      </c>
      <c r="U140" s="4">
        <v>12</v>
      </c>
      <c r="V140" s="4">
        <v>0</v>
      </c>
      <c r="W140" s="4">
        <v>0</v>
      </c>
    </row>
    <row r="141" spans="1:23" ht="11.25" customHeight="1" x14ac:dyDescent="0.25">
      <c r="A141" s="4" t="s">
        <v>21</v>
      </c>
      <c r="B141" s="4" t="s">
        <v>38</v>
      </c>
      <c r="C141" s="4" t="s">
        <v>59</v>
      </c>
      <c r="D141" s="4" t="s">
        <v>25</v>
      </c>
      <c r="E141" s="4" t="s">
        <v>25</v>
      </c>
      <c r="F141" s="4" t="s">
        <v>25</v>
      </c>
      <c r="G141" s="4" t="s">
        <v>64</v>
      </c>
      <c r="H141" s="4" t="s">
        <v>25</v>
      </c>
      <c r="I141" s="5">
        <v>44652</v>
      </c>
      <c r="J141" s="6">
        <v>280</v>
      </c>
      <c r="K141" s="6">
        <v>140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61</v>
      </c>
      <c r="S141" s="4" t="s">
        <v>157</v>
      </c>
      <c r="U141" s="4">
        <v>12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38</v>
      </c>
      <c r="C142" s="4" t="s">
        <v>59</v>
      </c>
      <c r="D142" s="4" t="s">
        <v>25</v>
      </c>
      <c r="E142" s="4" t="s">
        <v>25</v>
      </c>
      <c r="F142" s="4" t="s">
        <v>25</v>
      </c>
      <c r="G142" s="4" t="s">
        <v>60</v>
      </c>
      <c r="H142" s="4" t="s">
        <v>25</v>
      </c>
      <c r="I142" s="5">
        <v>44682</v>
      </c>
      <c r="J142" s="6">
        <v>1000</v>
      </c>
      <c r="K142" s="6">
        <v>500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61</v>
      </c>
      <c r="R142" s="4">
        <v>797</v>
      </c>
      <c r="S142" s="4" t="s">
        <v>158</v>
      </c>
      <c r="U142" s="4">
        <v>12</v>
      </c>
      <c r="V142" s="4">
        <v>0</v>
      </c>
      <c r="W142" s="4">
        <v>0</v>
      </c>
    </row>
    <row r="143" spans="1:23" ht="11.25" customHeight="1" x14ac:dyDescent="0.25">
      <c r="A143" s="4" t="s">
        <v>21</v>
      </c>
      <c r="B143" s="4" t="s">
        <v>38</v>
      </c>
      <c r="C143" s="4" t="s">
        <v>59</v>
      </c>
      <c r="D143" s="4" t="s">
        <v>25</v>
      </c>
      <c r="E143" s="4" t="s">
        <v>25</v>
      </c>
      <c r="F143" s="4" t="s">
        <v>25</v>
      </c>
      <c r="G143" s="4" t="s">
        <v>64</v>
      </c>
      <c r="H143" s="4" t="s">
        <v>25</v>
      </c>
      <c r="I143" s="5">
        <v>44682</v>
      </c>
      <c r="J143" s="6">
        <v>280</v>
      </c>
      <c r="K143" s="6">
        <v>140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61</v>
      </c>
      <c r="S143" s="4" t="s">
        <v>158</v>
      </c>
      <c r="U143" s="4">
        <v>12</v>
      </c>
      <c r="V143" s="4">
        <v>0</v>
      </c>
      <c r="W143" s="4">
        <v>0</v>
      </c>
    </row>
    <row r="144" spans="1:23" ht="11.25" customHeight="1" x14ac:dyDescent="0.25">
      <c r="A144" s="4" t="s">
        <v>56</v>
      </c>
      <c r="B144" s="4" t="s">
        <v>38</v>
      </c>
      <c r="C144" s="4" t="s">
        <v>59</v>
      </c>
      <c r="D144" s="4" t="s">
        <v>25</v>
      </c>
      <c r="E144" s="4" t="s">
        <v>25</v>
      </c>
      <c r="F144" s="4" t="s">
        <v>25</v>
      </c>
      <c r="G144" s="4" t="s">
        <v>60</v>
      </c>
      <c r="H144" s="4" t="s">
        <v>25</v>
      </c>
      <c r="I144" s="5">
        <v>44713</v>
      </c>
      <c r="J144" s="6">
        <v>1000</v>
      </c>
      <c r="K144" s="6">
        <v>500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61</v>
      </c>
      <c r="R144" s="4">
        <v>797</v>
      </c>
      <c r="S144" s="4" t="s">
        <v>159</v>
      </c>
      <c r="U144" s="4">
        <v>12</v>
      </c>
      <c r="V144" s="4">
        <v>0</v>
      </c>
      <c r="W144" s="4">
        <v>0</v>
      </c>
    </row>
    <row r="145" spans="1:23" ht="11.25" customHeight="1" x14ac:dyDescent="0.25">
      <c r="A145" s="4" t="s">
        <v>56</v>
      </c>
      <c r="B145" s="4" t="s">
        <v>38</v>
      </c>
      <c r="C145" s="4" t="s">
        <v>59</v>
      </c>
      <c r="D145" s="4" t="s">
        <v>25</v>
      </c>
      <c r="E145" s="4" t="s">
        <v>25</v>
      </c>
      <c r="F145" s="4" t="s">
        <v>25</v>
      </c>
      <c r="G145" s="4" t="s">
        <v>64</v>
      </c>
      <c r="H145" s="4" t="s">
        <v>25</v>
      </c>
      <c r="I145" s="5">
        <v>44713</v>
      </c>
      <c r="J145" s="6">
        <v>280</v>
      </c>
      <c r="K145" s="6">
        <v>140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61</v>
      </c>
      <c r="S145" s="4" t="s">
        <v>159</v>
      </c>
      <c r="U145" s="4">
        <v>12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38</v>
      </c>
      <c r="C146" s="4" t="s">
        <v>40</v>
      </c>
      <c r="D146" s="4" t="s">
        <v>41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44378</v>
      </c>
      <c r="J146" s="6">
        <v>0</v>
      </c>
      <c r="K146" s="6">
        <v>0</v>
      </c>
      <c r="L146" s="6">
        <v>747.43399999999997</v>
      </c>
      <c r="M146" s="6">
        <v>747.43399999999997</v>
      </c>
      <c r="N146" s="6">
        <v>747.43399999999997</v>
      </c>
      <c r="O146" s="6">
        <v>747.43399999999997</v>
      </c>
      <c r="P146" s="6">
        <v>0</v>
      </c>
      <c r="Q146" s="4" t="s">
        <v>26</v>
      </c>
      <c r="R146" s="4">
        <v>0</v>
      </c>
      <c r="S146" s="4" t="s">
        <v>160</v>
      </c>
      <c r="T146" s="4" t="s">
        <v>365</v>
      </c>
      <c r="U146" s="4">
        <v>0</v>
      </c>
      <c r="V146" s="4">
        <v>14</v>
      </c>
      <c r="W146" s="4">
        <v>42</v>
      </c>
    </row>
    <row r="147" spans="1:23" ht="11.25" customHeight="1" x14ac:dyDescent="0.25">
      <c r="A147" s="4" t="s">
        <v>21</v>
      </c>
      <c r="B147" s="4" t="s">
        <v>38</v>
      </c>
      <c r="C147" s="4" t="s">
        <v>40</v>
      </c>
      <c r="D147" s="4" t="s">
        <v>41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44409</v>
      </c>
      <c r="J147" s="6">
        <v>0</v>
      </c>
      <c r="K147" s="6">
        <v>0</v>
      </c>
      <c r="L147" s="6">
        <v>693.30399999999997</v>
      </c>
      <c r="M147" s="6">
        <v>693.30399999999997</v>
      </c>
      <c r="N147" s="6">
        <v>693.30399999999997</v>
      </c>
      <c r="O147" s="6">
        <v>693.30399999999997</v>
      </c>
      <c r="P147" s="6">
        <v>0</v>
      </c>
      <c r="Q147" s="4" t="s">
        <v>26</v>
      </c>
      <c r="R147" s="4">
        <v>0</v>
      </c>
      <c r="S147" s="4" t="s">
        <v>161</v>
      </c>
      <c r="T147" s="4" t="s">
        <v>366</v>
      </c>
      <c r="U147" s="4">
        <v>0</v>
      </c>
      <c r="V147" s="4">
        <v>14</v>
      </c>
      <c r="W147" s="4">
        <v>42</v>
      </c>
    </row>
    <row r="148" spans="1:23" ht="11.25" customHeight="1" x14ac:dyDescent="0.25">
      <c r="A148" s="4" t="s">
        <v>21</v>
      </c>
      <c r="B148" s="4" t="s">
        <v>38</v>
      </c>
      <c r="C148" s="4" t="s">
        <v>40</v>
      </c>
      <c r="D148" s="4" t="s">
        <v>41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44440</v>
      </c>
      <c r="J148" s="6">
        <v>0</v>
      </c>
      <c r="K148" s="6">
        <v>0</v>
      </c>
      <c r="L148" s="6">
        <v>666.08699999999999</v>
      </c>
      <c r="M148" s="6">
        <v>666.08699999999999</v>
      </c>
      <c r="N148" s="6">
        <v>666.08699999999999</v>
      </c>
      <c r="O148" s="6">
        <v>666.08699999999999</v>
      </c>
      <c r="P148" s="6">
        <v>0</v>
      </c>
      <c r="Q148" s="4" t="s">
        <v>26</v>
      </c>
      <c r="R148" s="4">
        <v>0</v>
      </c>
      <c r="S148" s="4" t="s">
        <v>162</v>
      </c>
      <c r="T148" s="4" t="s">
        <v>367</v>
      </c>
      <c r="U148" s="4">
        <v>0</v>
      </c>
      <c r="V148" s="4">
        <v>14</v>
      </c>
      <c r="W148" s="4">
        <v>42</v>
      </c>
    </row>
    <row r="149" spans="1:23" ht="11.25" customHeight="1" x14ac:dyDescent="0.25">
      <c r="A149" s="4" t="s">
        <v>21</v>
      </c>
      <c r="B149" s="4" t="s">
        <v>38</v>
      </c>
      <c r="C149" s="4" t="s">
        <v>40</v>
      </c>
      <c r="D149" s="4" t="s">
        <v>41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44470</v>
      </c>
      <c r="J149" s="6">
        <v>0</v>
      </c>
      <c r="K149" s="6">
        <v>0</v>
      </c>
      <c r="L149" s="6">
        <v>748.976</v>
      </c>
      <c r="M149" s="6">
        <v>748.976</v>
      </c>
      <c r="N149" s="6">
        <v>748.976</v>
      </c>
      <c r="O149" s="6">
        <v>748.976</v>
      </c>
      <c r="P149" s="6">
        <v>0</v>
      </c>
      <c r="Q149" s="4" t="s">
        <v>26</v>
      </c>
      <c r="R149" s="4">
        <v>0</v>
      </c>
      <c r="S149" s="4" t="s">
        <v>163</v>
      </c>
      <c r="T149" s="4" t="s">
        <v>368</v>
      </c>
      <c r="U149" s="4">
        <v>0</v>
      </c>
      <c r="V149" s="4">
        <v>14</v>
      </c>
      <c r="W149" s="4">
        <v>42</v>
      </c>
    </row>
    <row r="150" spans="1:23" ht="11.25" customHeight="1" x14ac:dyDescent="0.25">
      <c r="A150" s="4" t="s">
        <v>21</v>
      </c>
      <c r="B150" s="4" t="s">
        <v>38</v>
      </c>
      <c r="C150" s="4" t="s">
        <v>40</v>
      </c>
      <c r="D150" s="4" t="s">
        <v>41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44501</v>
      </c>
      <c r="J150" s="6">
        <v>0</v>
      </c>
      <c r="K150" s="6">
        <v>0</v>
      </c>
      <c r="L150" s="6">
        <v>1103.527</v>
      </c>
      <c r="M150" s="6">
        <v>1103.527</v>
      </c>
      <c r="N150" s="6">
        <v>1103.527</v>
      </c>
      <c r="O150" s="6">
        <v>1103.527</v>
      </c>
      <c r="P150" s="6">
        <v>0</v>
      </c>
      <c r="Q150" s="4" t="s">
        <v>26</v>
      </c>
      <c r="R150" s="4">
        <v>0</v>
      </c>
      <c r="S150" s="4" t="s">
        <v>164</v>
      </c>
      <c r="T150" s="4" t="s">
        <v>369</v>
      </c>
      <c r="U150" s="4">
        <v>0</v>
      </c>
      <c r="V150" s="4">
        <v>14</v>
      </c>
      <c r="W150" s="4">
        <v>42</v>
      </c>
    </row>
    <row r="151" spans="1:23" ht="11.25" customHeight="1" x14ac:dyDescent="0.25">
      <c r="A151" s="4" t="s">
        <v>55</v>
      </c>
      <c r="B151" s="4" t="s">
        <v>38</v>
      </c>
      <c r="C151" s="4" t="s">
        <v>40</v>
      </c>
      <c r="D151" s="4" t="s">
        <v>41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44501</v>
      </c>
      <c r="J151" s="6">
        <v>0</v>
      </c>
      <c r="K151" s="6">
        <v>0</v>
      </c>
      <c r="L151" s="6">
        <v>22.718</v>
      </c>
      <c r="M151" s="6">
        <v>22.718</v>
      </c>
      <c r="N151" s="6">
        <v>22.718</v>
      </c>
      <c r="O151" s="6">
        <v>22.718</v>
      </c>
      <c r="P151" s="6">
        <v>0</v>
      </c>
      <c r="Q151" s="4" t="s">
        <v>26</v>
      </c>
      <c r="R151" s="4">
        <v>0</v>
      </c>
      <c r="S151" s="4" t="s">
        <v>164</v>
      </c>
      <c r="T151" s="4" t="s">
        <v>369</v>
      </c>
      <c r="U151" s="4">
        <v>0</v>
      </c>
      <c r="V151" s="4">
        <v>14</v>
      </c>
      <c r="W151" s="4">
        <v>42</v>
      </c>
    </row>
    <row r="152" spans="1:23" ht="11.25" customHeight="1" x14ac:dyDescent="0.25">
      <c r="A152" s="4" t="s">
        <v>21</v>
      </c>
      <c r="B152" s="4" t="s">
        <v>38</v>
      </c>
      <c r="C152" s="4" t="s">
        <v>40</v>
      </c>
      <c r="D152" s="4" t="s">
        <v>41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44531</v>
      </c>
      <c r="J152" s="6">
        <v>0</v>
      </c>
      <c r="K152" s="6">
        <v>0</v>
      </c>
      <c r="L152" s="6">
        <v>916.07899999999995</v>
      </c>
      <c r="M152" s="6">
        <v>916.07899999999995</v>
      </c>
      <c r="N152" s="6">
        <v>916.07899999999995</v>
      </c>
      <c r="O152" s="6">
        <v>916.07899999999995</v>
      </c>
      <c r="P152" s="6">
        <v>0</v>
      </c>
      <c r="Q152" s="4" t="s">
        <v>26</v>
      </c>
      <c r="R152" s="4">
        <v>0</v>
      </c>
      <c r="S152" s="4" t="s">
        <v>165</v>
      </c>
      <c r="T152" s="4" t="s">
        <v>370</v>
      </c>
      <c r="U152" s="4">
        <v>0</v>
      </c>
      <c r="V152" s="4">
        <v>14</v>
      </c>
      <c r="W152" s="4">
        <v>42</v>
      </c>
    </row>
    <row r="153" spans="1:23" ht="11.25" customHeight="1" x14ac:dyDescent="0.25">
      <c r="A153" s="4" t="s">
        <v>21</v>
      </c>
      <c r="B153" s="4" t="s">
        <v>38</v>
      </c>
      <c r="C153" s="4" t="s">
        <v>40</v>
      </c>
      <c r="D153" s="4" t="s">
        <v>41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44562</v>
      </c>
      <c r="J153" s="6">
        <v>0</v>
      </c>
      <c r="K153" s="6">
        <v>0</v>
      </c>
      <c r="L153" s="6">
        <v>960.27</v>
      </c>
      <c r="M153" s="6">
        <v>960.27</v>
      </c>
      <c r="N153" s="6">
        <v>960.27</v>
      </c>
      <c r="O153" s="6">
        <v>960.27</v>
      </c>
      <c r="P153" s="6">
        <v>0</v>
      </c>
      <c r="Q153" s="4" t="s">
        <v>26</v>
      </c>
      <c r="R153" s="4">
        <v>0</v>
      </c>
      <c r="S153" s="4" t="s">
        <v>166</v>
      </c>
      <c r="T153" s="4" t="s">
        <v>371</v>
      </c>
      <c r="U153" s="4">
        <v>0</v>
      </c>
      <c r="V153" s="4">
        <v>14</v>
      </c>
      <c r="W153" s="4">
        <v>42</v>
      </c>
    </row>
    <row r="154" spans="1:23" ht="11.25" customHeight="1" x14ac:dyDescent="0.25">
      <c r="A154" s="4" t="s">
        <v>55</v>
      </c>
      <c r="B154" s="4" t="s">
        <v>38</v>
      </c>
      <c r="C154" s="4" t="s">
        <v>40</v>
      </c>
      <c r="D154" s="4" t="s">
        <v>41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44562</v>
      </c>
      <c r="J154" s="6">
        <v>0</v>
      </c>
      <c r="K154" s="6">
        <v>0</v>
      </c>
      <c r="L154" s="6">
        <v>1.3919999999999999</v>
      </c>
      <c r="M154" s="6">
        <v>1.3919999999999999</v>
      </c>
      <c r="N154" s="6">
        <v>1.3919999999999999</v>
      </c>
      <c r="O154" s="6">
        <v>1.3919999999999999</v>
      </c>
      <c r="P154" s="6">
        <v>0</v>
      </c>
      <c r="Q154" s="4" t="s">
        <v>26</v>
      </c>
      <c r="R154" s="4">
        <v>0</v>
      </c>
      <c r="S154" s="4" t="s">
        <v>166</v>
      </c>
      <c r="T154" s="4" t="s">
        <v>371</v>
      </c>
      <c r="U154" s="4">
        <v>0</v>
      </c>
      <c r="V154" s="4">
        <v>14</v>
      </c>
      <c r="W154" s="4">
        <v>42</v>
      </c>
    </row>
    <row r="155" spans="1:23" ht="11.25" customHeight="1" x14ac:dyDescent="0.25">
      <c r="A155" s="4" t="s">
        <v>55</v>
      </c>
      <c r="B155" s="4" t="s">
        <v>38</v>
      </c>
      <c r="C155" s="4" t="s">
        <v>40</v>
      </c>
      <c r="D155" s="4" t="s">
        <v>41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44562</v>
      </c>
      <c r="J155" s="6">
        <v>0</v>
      </c>
      <c r="K155" s="6">
        <v>0</v>
      </c>
      <c r="L155" s="6">
        <v>10.99</v>
      </c>
      <c r="M155" s="6">
        <v>10.99</v>
      </c>
      <c r="N155" s="6">
        <v>10.99</v>
      </c>
      <c r="O155" s="6">
        <v>10.99</v>
      </c>
      <c r="P155" s="6">
        <v>0</v>
      </c>
      <c r="Q155" s="4" t="s">
        <v>26</v>
      </c>
      <c r="R155" s="4">
        <v>0</v>
      </c>
      <c r="S155" s="4" t="s">
        <v>166</v>
      </c>
      <c r="T155" s="4" t="s">
        <v>371</v>
      </c>
      <c r="U155" s="4">
        <v>0</v>
      </c>
      <c r="V155" s="4">
        <v>14</v>
      </c>
      <c r="W155" s="4">
        <v>42</v>
      </c>
    </row>
    <row r="156" spans="1:23" ht="11.25" customHeight="1" x14ac:dyDescent="0.25">
      <c r="A156" s="4" t="s">
        <v>21</v>
      </c>
      <c r="B156" s="4" t="s">
        <v>38</v>
      </c>
      <c r="C156" s="4" t="s">
        <v>40</v>
      </c>
      <c r="D156" s="4" t="s">
        <v>41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44593</v>
      </c>
      <c r="J156" s="6">
        <v>0</v>
      </c>
      <c r="K156" s="6">
        <v>0</v>
      </c>
      <c r="L156" s="6">
        <v>860.49400000000003</v>
      </c>
      <c r="M156" s="6">
        <v>860.49400000000003</v>
      </c>
      <c r="N156" s="6">
        <v>860.49400000000003</v>
      </c>
      <c r="O156" s="6">
        <v>860.49400000000003</v>
      </c>
      <c r="P156" s="6">
        <v>0</v>
      </c>
      <c r="Q156" s="4" t="s">
        <v>26</v>
      </c>
      <c r="R156" s="4">
        <v>0</v>
      </c>
      <c r="S156" s="4" t="s">
        <v>167</v>
      </c>
      <c r="T156" s="4" t="s">
        <v>372</v>
      </c>
      <c r="U156" s="4">
        <v>0</v>
      </c>
      <c r="V156" s="4">
        <v>14</v>
      </c>
      <c r="W156" s="4">
        <v>42</v>
      </c>
    </row>
    <row r="157" spans="1:23" ht="11.25" customHeight="1" x14ac:dyDescent="0.25">
      <c r="A157" s="4" t="s">
        <v>55</v>
      </c>
      <c r="B157" s="4" t="s">
        <v>38</v>
      </c>
      <c r="C157" s="4" t="s">
        <v>40</v>
      </c>
      <c r="D157" s="4" t="s">
        <v>41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44593</v>
      </c>
      <c r="J157" s="6">
        <v>0</v>
      </c>
      <c r="K157" s="6">
        <v>0</v>
      </c>
      <c r="L157" s="6">
        <v>34.200000000000003</v>
      </c>
      <c r="M157" s="6">
        <v>34.200000000000003</v>
      </c>
      <c r="N157" s="6">
        <v>34.200000000000003</v>
      </c>
      <c r="O157" s="6">
        <v>34.200000000000003</v>
      </c>
      <c r="P157" s="6">
        <v>0</v>
      </c>
      <c r="Q157" s="4" t="s">
        <v>26</v>
      </c>
      <c r="R157" s="4">
        <v>0</v>
      </c>
      <c r="S157" s="4" t="s">
        <v>167</v>
      </c>
      <c r="T157" s="4" t="s">
        <v>372</v>
      </c>
      <c r="U157" s="4">
        <v>0</v>
      </c>
      <c r="V157" s="4">
        <v>14</v>
      </c>
      <c r="W157" s="4">
        <v>42</v>
      </c>
    </row>
    <row r="158" spans="1:23" ht="11.25" customHeight="1" x14ac:dyDescent="0.25">
      <c r="A158" s="4" t="s">
        <v>21</v>
      </c>
      <c r="B158" s="4" t="s">
        <v>38</v>
      </c>
      <c r="C158" s="4" t="s">
        <v>40</v>
      </c>
      <c r="D158" s="4" t="s">
        <v>41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44621</v>
      </c>
      <c r="J158" s="6">
        <v>0</v>
      </c>
      <c r="K158" s="6">
        <v>0</v>
      </c>
      <c r="L158" s="6">
        <v>916.50900000000001</v>
      </c>
      <c r="M158" s="6">
        <v>916.50900000000001</v>
      </c>
      <c r="N158" s="6">
        <v>916.50900000000001</v>
      </c>
      <c r="O158" s="6">
        <v>916.50900000000001</v>
      </c>
      <c r="P158" s="6">
        <v>0</v>
      </c>
      <c r="Q158" s="4" t="s">
        <v>26</v>
      </c>
      <c r="R158" s="4">
        <v>0</v>
      </c>
      <c r="S158" s="4" t="s">
        <v>168</v>
      </c>
      <c r="T158" s="4" t="s">
        <v>373</v>
      </c>
      <c r="U158" s="4">
        <v>0</v>
      </c>
      <c r="V158" s="4">
        <v>14</v>
      </c>
      <c r="W158" s="4">
        <v>42</v>
      </c>
    </row>
    <row r="159" spans="1:23" ht="11.25" customHeight="1" x14ac:dyDescent="0.25">
      <c r="A159" s="4" t="s">
        <v>55</v>
      </c>
      <c r="B159" s="4" t="s">
        <v>38</v>
      </c>
      <c r="C159" s="4" t="s">
        <v>40</v>
      </c>
      <c r="D159" s="4" t="s">
        <v>41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44621</v>
      </c>
      <c r="J159" s="6">
        <v>0</v>
      </c>
      <c r="K159" s="6">
        <v>0</v>
      </c>
      <c r="L159" s="6">
        <v>34.744999999999997</v>
      </c>
      <c r="M159" s="6">
        <v>34.744999999999997</v>
      </c>
      <c r="N159" s="6">
        <v>34.744999999999997</v>
      </c>
      <c r="O159" s="6">
        <v>34.744999999999997</v>
      </c>
      <c r="P159" s="6">
        <v>0</v>
      </c>
      <c r="Q159" s="4" t="s">
        <v>26</v>
      </c>
      <c r="R159" s="4">
        <v>0</v>
      </c>
      <c r="S159" s="4" t="s">
        <v>168</v>
      </c>
      <c r="T159" s="4" t="s">
        <v>373</v>
      </c>
      <c r="U159" s="4">
        <v>0</v>
      </c>
      <c r="V159" s="4">
        <v>14</v>
      </c>
      <c r="W159" s="4">
        <v>42</v>
      </c>
    </row>
    <row r="160" spans="1:23" ht="11.25" customHeight="1" x14ac:dyDescent="0.25">
      <c r="A160" s="4" t="s">
        <v>21</v>
      </c>
      <c r="B160" s="4" t="s">
        <v>38</v>
      </c>
      <c r="C160" s="4" t="s">
        <v>40</v>
      </c>
      <c r="D160" s="4" t="s">
        <v>41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44652</v>
      </c>
      <c r="J160" s="6">
        <v>0</v>
      </c>
      <c r="K160" s="6">
        <v>0</v>
      </c>
      <c r="L160" s="6">
        <v>1019.015</v>
      </c>
      <c r="M160" s="6">
        <v>1019.015</v>
      </c>
      <c r="N160" s="6">
        <v>1019.015</v>
      </c>
      <c r="O160" s="6">
        <v>1019.015</v>
      </c>
      <c r="P160" s="6">
        <v>0</v>
      </c>
      <c r="Q160" s="4" t="s">
        <v>26</v>
      </c>
      <c r="R160" s="4">
        <v>0</v>
      </c>
      <c r="S160" s="4" t="s">
        <v>169</v>
      </c>
      <c r="T160" s="4" t="s">
        <v>374</v>
      </c>
      <c r="U160" s="4">
        <v>0</v>
      </c>
      <c r="V160" s="4">
        <v>14</v>
      </c>
      <c r="W160" s="4">
        <v>42</v>
      </c>
    </row>
    <row r="161" spans="1:23" ht="11.25" customHeight="1" x14ac:dyDescent="0.25">
      <c r="A161" s="4" t="s">
        <v>55</v>
      </c>
      <c r="B161" s="4" t="s">
        <v>38</v>
      </c>
      <c r="C161" s="4" t="s">
        <v>40</v>
      </c>
      <c r="D161" s="4" t="s">
        <v>41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44652</v>
      </c>
      <c r="J161" s="6">
        <v>0</v>
      </c>
      <c r="K161" s="6">
        <v>0</v>
      </c>
      <c r="L161" s="6">
        <v>23.873999999999999</v>
      </c>
      <c r="M161" s="6">
        <v>23.873999999999999</v>
      </c>
      <c r="N161" s="6">
        <v>23.873999999999999</v>
      </c>
      <c r="O161" s="6">
        <v>23.873999999999999</v>
      </c>
      <c r="P161" s="6">
        <v>0</v>
      </c>
      <c r="Q161" s="4" t="s">
        <v>26</v>
      </c>
      <c r="R161" s="4">
        <v>0</v>
      </c>
      <c r="S161" s="4" t="s">
        <v>169</v>
      </c>
      <c r="T161" s="4" t="s">
        <v>374</v>
      </c>
      <c r="U161" s="4">
        <v>0</v>
      </c>
      <c r="V161" s="4">
        <v>14</v>
      </c>
      <c r="W161" s="4">
        <v>42</v>
      </c>
    </row>
    <row r="162" spans="1:23" ht="11.25" customHeight="1" x14ac:dyDescent="0.25">
      <c r="A162" s="4" t="s">
        <v>21</v>
      </c>
      <c r="B162" s="4" t="s">
        <v>38</v>
      </c>
      <c r="C162" s="4" t="s">
        <v>40</v>
      </c>
      <c r="D162" s="4" t="s">
        <v>41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44682</v>
      </c>
      <c r="J162" s="6">
        <v>0</v>
      </c>
      <c r="K162" s="6">
        <v>0</v>
      </c>
      <c r="L162" s="6">
        <v>920.80799999999999</v>
      </c>
      <c r="M162" s="6">
        <v>920.80799999999999</v>
      </c>
      <c r="N162" s="6">
        <v>920.80799999999999</v>
      </c>
      <c r="O162" s="6">
        <v>920.80799999999999</v>
      </c>
      <c r="P162" s="6">
        <v>0</v>
      </c>
      <c r="Q162" s="4" t="s">
        <v>26</v>
      </c>
      <c r="R162" s="4">
        <v>0</v>
      </c>
      <c r="S162" s="4" t="s">
        <v>170</v>
      </c>
      <c r="T162" s="4" t="s">
        <v>375</v>
      </c>
      <c r="U162" s="4">
        <v>0</v>
      </c>
      <c r="V162" s="4">
        <v>14</v>
      </c>
      <c r="W162" s="4">
        <v>42</v>
      </c>
    </row>
    <row r="163" spans="1:23" ht="11.25" customHeight="1" x14ac:dyDescent="0.25">
      <c r="A163" s="4" t="s">
        <v>55</v>
      </c>
      <c r="B163" s="4" t="s">
        <v>38</v>
      </c>
      <c r="C163" s="4" t="s">
        <v>40</v>
      </c>
      <c r="D163" s="4" t="s">
        <v>41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44682</v>
      </c>
      <c r="J163" s="6">
        <v>0</v>
      </c>
      <c r="K163" s="6">
        <v>0</v>
      </c>
      <c r="L163" s="6">
        <v>5.8579999999999997</v>
      </c>
      <c r="M163" s="6">
        <v>5.8579999999999997</v>
      </c>
      <c r="N163" s="6">
        <v>5.8579999999999997</v>
      </c>
      <c r="O163" s="6">
        <v>5.8579999999999997</v>
      </c>
      <c r="P163" s="6">
        <v>0</v>
      </c>
      <c r="Q163" s="4" t="s">
        <v>26</v>
      </c>
      <c r="R163" s="4">
        <v>0</v>
      </c>
      <c r="S163" s="4" t="s">
        <v>170</v>
      </c>
      <c r="T163" s="4" t="s">
        <v>375</v>
      </c>
      <c r="U163" s="4">
        <v>0</v>
      </c>
      <c r="V163" s="4">
        <v>14</v>
      </c>
      <c r="W163" s="4">
        <v>42</v>
      </c>
    </row>
    <row r="164" spans="1:23" ht="11.25" customHeight="1" x14ac:dyDescent="0.25">
      <c r="A164" s="4" t="s">
        <v>56</v>
      </c>
      <c r="B164" s="4" t="s">
        <v>38</v>
      </c>
      <c r="C164" s="4" t="s">
        <v>40</v>
      </c>
      <c r="D164" s="4" t="s">
        <v>41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44713</v>
      </c>
      <c r="J164" s="6">
        <v>0</v>
      </c>
      <c r="K164" s="6">
        <v>0</v>
      </c>
      <c r="L164" s="6">
        <v>920.80799999999999</v>
      </c>
      <c r="M164" s="6">
        <v>920.80799999999999</v>
      </c>
      <c r="N164" s="6">
        <v>920.80799999999999</v>
      </c>
      <c r="O164" s="6">
        <v>920.80799999999999</v>
      </c>
      <c r="P164" s="6">
        <v>0</v>
      </c>
      <c r="Q164" s="4" t="s">
        <v>26</v>
      </c>
      <c r="R164" s="4">
        <v>0</v>
      </c>
      <c r="S164" s="4" t="s">
        <v>171</v>
      </c>
      <c r="T164" s="4" t="s">
        <v>376</v>
      </c>
      <c r="U164" s="4">
        <v>0</v>
      </c>
      <c r="V164" s="4">
        <v>14</v>
      </c>
      <c r="W164" s="4">
        <v>42</v>
      </c>
    </row>
    <row r="165" spans="1:23" ht="11.25" customHeight="1" x14ac:dyDescent="0.25">
      <c r="A165" s="4" t="s">
        <v>56</v>
      </c>
      <c r="B165" s="4" t="s">
        <v>38</v>
      </c>
      <c r="C165" s="4" t="s">
        <v>40</v>
      </c>
      <c r="D165" s="4" t="s">
        <v>41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44713</v>
      </c>
      <c r="J165" s="6">
        <v>0</v>
      </c>
      <c r="K165" s="6">
        <v>0</v>
      </c>
      <c r="L165" s="6">
        <v>5.8579999999999997</v>
      </c>
      <c r="M165" s="6">
        <v>5.8579999999999997</v>
      </c>
      <c r="N165" s="6">
        <v>5.8579999999999997</v>
      </c>
      <c r="O165" s="6">
        <v>5.8579999999999997</v>
      </c>
      <c r="P165" s="6">
        <v>0</v>
      </c>
      <c r="Q165" s="4" t="s">
        <v>26</v>
      </c>
      <c r="R165" s="4">
        <v>0</v>
      </c>
      <c r="S165" s="4" t="s">
        <v>171</v>
      </c>
      <c r="T165" s="4" t="s">
        <v>376</v>
      </c>
      <c r="U165" s="4">
        <v>0</v>
      </c>
      <c r="V165" s="4">
        <v>14</v>
      </c>
      <c r="W165" s="4">
        <v>42</v>
      </c>
    </row>
    <row r="166" spans="1:23" ht="11.25" customHeight="1" x14ac:dyDescent="0.25">
      <c r="A166" s="4" t="s">
        <v>21</v>
      </c>
      <c r="B166" s="4" t="s">
        <v>38</v>
      </c>
      <c r="C166" s="4" t="s">
        <v>40</v>
      </c>
      <c r="D166" s="4" t="s">
        <v>41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44378</v>
      </c>
      <c r="J166" s="6">
        <v>6871</v>
      </c>
      <c r="K166" s="6">
        <v>6871</v>
      </c>
      <c r="L166" s="6">
        <v>0</v>
      </c>
      <c r="M166" s="6">
        <v>0</v>
      </c>
      <c r="N166" s="6">
        <v>0</v>
      </c>
      <c r="O166" s="6">
        <v>0</v>
      </c>
      <c r="P166" s="6">
        <v>64</v>
      </c>
      <c r="Q166" s="4" t="s">
        <v>26</v>
      </c>
      <c r="R166" s="4">
        <v>0</v>
      </c>
      <c r="S166" s="4" t="s">
        <v>172</v>
      </c>
      <c r="U166" s="4">
        <v>18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38</v>
      </c>
      <c r="C167" s="4" t="s">
        <v>40</v>
      </c>
      <c r="D167" s="4" t="s">
        <v>41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44409</v>
      </c>
      <c r="J167" s="6">
        <v>6365</v>
      </c>
      <c r="K167" s="6">
        <v>6365</v>
      </c>
      <c r="L167" s="6">
        <v>0</v>
      </c>
      <c r="M167" s="6">
        <v>0</v>
      </c>
      <c r="N167" s="6">
        <v>0</v>
      </c>
      <c r="O167" s="6">
        <v>0</v>
      </c>
      <c r="P167" s="6">
        <v>64</v>
      </c>
      <c r="Q167" s="4" t="s">
        <v>26</v>
      </c>
      <c r="R167" s="4">
        <v>0</v>
      </c>
      <c r="S167" s="4" t="s">
        <v>173</v>
      </c>
      <c r="U167" s="4">
        <v>18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38</v>
      </c>
      <c r="C168" s="4" t="s">
        <v>40</v>
      </c>
      <c r="D168" s="4" t="s">
        <v>41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44440</v>
      </c>
      <c r="J168" s="6">
        <v>6236</v>
      </c>
      <c r="K168" s="6">
        <v>6236</v>
      </c>
      <c r="L168" s="6">
        <v>0</v>
      </c>
      <c r="M168" s="6">
        <v>0</v>
      </c>
      <c r="N168" s="6">
        <v>0</v>
      </c>
      <c r="O168" s="6">
        <v>0</v>
      </c>
      <c r="P168" s="6">
        <v>64</v>
      </c>
      <c r="Q168" s="4" t="s">
        <v>26</v>
      </c>
      <c r="R168" s="4">
        <v>0</v>
      </c>
      <c r="S168" s="4" t="s">
        <v>174</v>
      </c>
      <c r="U168" s="4">
        <v>18</v>
      </c>
      <c r="V168" s="4">
        <v>0</v>
      </c>
      <c r="W168" s="4">
        <v>0</v>
      </c>
    </row>
    <row r="169" spans="1:23" ht="11.25" customHeight="1" x14ac:dyDescent="0.25">
      <c r="A169" s="4" t="s">
        <v>21</v>
      </c>
      <c r="B169" s="4" t="s">
        <v>38</v>
      </c>
      <c r="C169" s="4" t="s">
        <v>40</v>
      </c>
      <c r="D169" s="4" t="s">
        <v>41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44470</v>
      </c>
      <c r="J169" s="6">
        <v>6694</v>
      </c>
      <c r="K169" s="6">
        <v>6694</v>
      </c>
      <c r="L169" s="6">
        <v>0</v>
      </c>
      <c r="M169" s="6">
        <v>0</v>
      </c>
      <c r="N169" s="6">
        <v>0</v>
      </c>
      <c r="O169" s="6">
        <v>0</v>
      </c>
      <c r="P169" s="6">
        <v>63</v>
      </c>
      <c r="Q169" s="4" t="s">
        <v>26</v>
      </c>
      <c r="R169" s="4">
        <v>0</v>
      </c>
      <c r="S169" s="4" t="s">
        <v>175</v>
      </c>
      <c r="U169" s="4">
        <v>18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38</v>
      </c>
      <c r="C170" s="4" t="s">
        <v>40</v>
      </c>
      <c r="D170" s="4" t="s">
        <v>41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44501</v>
      </c>
      <c r="J170" s="6">
        <v>7286</v>
      </c>
      <c r="K170" s="6">
        <v>7286</v>
      </c>
      <c r="L170" s="6">
        <v>0</v>
      </c>
      <c r="M170" s="6">
        <v>0</v>
      </c>
      <c r="N170" s="6">
        <v>0</v>
      </c>
      <c r="O170" s="6">
        <v>0</v>
      </c>
      <c r="P170" s="6">
        <v>63</v>
      </c>
      <c r="Q170" s="4" t="s">
        <v>26</v>
      </c>
      <c r="R170" s="4">
        <v>0</v>
      </c>
      <c r="S170" s="4" t="s">
        <v>176</v>
      </c>
      <c r="U170" s="4">
        <v>18</v>
      </c>
      <c r="V170" s="4">
        <v>0</v>
      </c>
      <c r="W170" s="4">
        <v>0</v>
      </c>
    </row>
    <row r="171" spans="1:23" ht="11.25" customHeight="1" x14ac:dyDescent="0.25">
      <c r="A171" s="4" t="s">
        <v>55</v>
      </c>
      <c r="B171" s="4" t="s">
        <v>38</v>
      </c>
      <c r="C171" s="4" t="s">
        <v>40</v>
      </c>
      <c r="D171" s="4" t="s">
        <v>41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44501</v>
      </c>
      <c r="J171" s="6">
        <v>93</v>
      </c>
      <c r="K171" s="6">
        <v>93</v>
      </c>
      <c r="L171" s="6">
        <v>0</v>
      </c>
      <c r="M171" s="6">
        <v>0</v>
      </c>
      <c r="N171" s="6">
        <v>0</v>
      </c>
      <c r="O171" s="6">
        <v>0</v>
      </c>
      <c r="P171" s="6">
        <v>1</v>
      </c>
      <c r="Q171" s="4" t="s">
        <v>26</v>
      </c>
      <c r="R171" s="4">
        <v>0</v>
      </c>
      <c r="S171" s="4" t="s">
        <v>176</v>
      </c>
      <c r="U171" s="4">
        <v>18</v>
      </c>
      <c r="V171" s="4">
        <v>0</v>
      </c>
      <c r="W171" s="4">
        <v>0</v>
      </c>
    </row>
    <row r="172" spans="1:23" ht="11.25" customHeight="1" x14ac:dyDescent="0.25">
      <c r="A172" s="4" t="s">
        <v>21</v>
      </c>
      <c r="B172" s="4" t="s">
        <v>38</v>
      </c>
      <c r="C172" s="4" t="s">
        <v>40</v>
      </c>
      <c r="D172" s="4" t="s">
        <v>41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44531</v>
      </c>
      <c r="J172" s="6">
        <v>6333</v>
      </c>
      <c r="K172" s="6">
        <v>6333</v>
      </c>
      <c r="L172" s="6">
        <v>0</v>
      </c>
      <c r="M172" s="6">
        <v>0</v>
      </c>
      <c r="N172" s="6">
        <v>0</v>
      </c>
      <c r="O172" s="6">
        <v>0</v>
      </c>
      <c r="P172" s="6">
        <v>64</v>
      </c>
      <c r="Q172" s="4" t="s">
        <v>26</v>
      </c>
      <c r="R172" s="4">
        <v>0</v>
      </c>
      <c r="S172" s="4" t="s">
        <v>177</v>
      </c>
      <c r="U172" s="4">
        <v>18</v>
      </c>
      <c r="V172" s="4">
        <v>0</v>
      </c>
      <c r="W172" s="4">
        <v>0</v>
      </c>
    </row>
    <row r="173" spans="1:23" ht="11.25" customHeight="1" x14ac:dyDescent="0.25">
      <c r="A173" s="4" t="s">
        <v>55</v>
      </c>
      <c r="B173" s="4" t="s">
        <v>38</v>
      </c>
      <c r="C173" s="4" t="s">
        <v>40</v>
      </c>
      <c r="D173" s="4" t="s">
        <v>41</v>
      </c>
      <c r="E173" s="4" t="s">
        <v>25</v>
      </c>
      <c r="F173" s="4" t="s">
        <v>25</v>
      </c>
      <c r="G173" s="4" t="s">
        <v>25</v>
      </c>
      <c r="H173" s="4" t="s">
        <v>25</v>
      </c>
      <c r="I173" s="5">
        <v>44531</v>
      </c>
      <c r="J173" s="6">
        <v>221</v>
      </c>
      <c r="K173" s="6">
        <v>221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4" t="s">
        <v>26</v>
      </c>
      <c r="R173" s="4">
        <v>0</v>
      </c>
      <c r="S173" s="4" t="s">
        <v>177</v>
      </c>
      <c r="U173" s="4">
        <v>18</v>
      </c>
      <c r="V173" s="4">
        <v>0</v>
      </c>
      <c r="W173" s="4">
        <v>0</v>
      </c>
    </row>
    <row r="174" spans="1:23" ht="11.25" customHeight="1" x14ac:dyDescent="0.25">
      <c r="A174" s="4" t="s">
        <v>21</v>
      </c>
      <c r="B174" s="4" t="s">
        <v>38</v>
      </c>
      <c r="C174" s="4" t="s">
        <v>40</v>
      </c>
      <c r="D174" s="4" t="s">
        <v>41</v>
      </c>
      <c r="E174" s="4" t="s">
        <v>25</v>
      </c>
      <c r="F174" s="4" t="s">
        <v>25</v>
      </c>
      <c r="G174" s="4" t="s">
        <v>25</v>
      </c>
      <c r="H174" s="4" t="s">
        <v>25</v>
      </c>
      <c r="I174" s="5">
        <v>44562</v>
      </c>
      <c r="J174" s="6">
        <v>6823</v>
      </c>
      <c r="K174" s="6">
        <v>6823</v>
      </c>
      <c r="L174" s="6">
        <v>0</v>
      </c>
      <c r="M174" s="6">
        <v>0</v>
      </c>
      <c r="N174" s="6">
        <v>0</v>
      </c>
      <c r="O174" s="6">
        <v>0</v>
      </c>
      <c r="P174" s="6">
        <v>62</v>
      </c>
      <c r="Q174" s="4" t="s">
        <v>26</v>
      </c>
      <c r="R174" s="4">
        <v>0</v>
      </c>
      <c r="S174" s="4" t="s">
        <v>178</v>
      </c>
      <c r="U174" s="4">
        <v>18</v>
      </c>
      <c r="V174" s="4">
        <v>0</v>
      </c>
      <c r="W174" s="4">
        <v>0</v>
      </c>
    </row>
    <row r="175" spans="1:23" ht="11.25" customHeight="1" x14ac:dyDescent="0.25">
      <c r="A175" s="4" t="s">
        <v>55</v>
      </c>
      <c r="B175" s="4" t="s">
        <v>38</v>
      </c>
      <c r="C175" s="4" t="s">
        <v>40</v>
      </c>
      <c r="D175" s="4" t="s">
        <v>41</v>
      </c>
      <c r="E175" s="4" t="s">
        <v>25</v>
      </c>
      <c r="F175" s="4" t="s">
        <v>25</v>
      </c>
      <c r="G175" s="4" t="s">
        <v>25</v>
      </c>
      <c r="H175" s="4" t="s">
        <v>25</v>
      </c>
      <c r="I175" s="5">
        <v>44562</v>
      </c>
      <c r="J175" s="6">
        <v>1678</v>
      </c>
      <c r="K175" s="6">
        <v>1678</v>
      </c>
      <c r="L175" s="6">
        <v>0</v>
      </c>
      <c r="M175" s="6">
        <v>0</v>
      </c>
      <c r="N175" s="6">
        <v>0</v>
      </c>
      <c r="O175" s="6">
        <v>0</v>
      </c>
      <c r="P175" s="6">
        <v>3</v>
      </c>
      <c r="Q175" s="4" t="s">
        <v>26</v>
      </c>
      <c r="R175" s="4">
        <v>0</v>
      </c>
      <c r="S175" s="4" t="s">
        <v>178</v>
      </c>
      <c r="U175" s="4">
        <v>18</v>
      </c>
      <c r="V175" s="4">
        <v>0</v>
      </c>
      <c r="W175" s="4">
        <v>0</v>
      </c>
    </row>
    <row r="176" spans="1:23" ht="11.25" customHeight="1" x14ac:dyDescent="0.25">
      <c r="A176" s="4" t="s">
        <v>21</v>
      </c>
      <c r="B176" s="4" t="s">
        <v>38</v>
      </c>
      <c r="C176" s="4" t="s">
        <v>40</v>
      </c>
      <c r="D176" s="4" t="s">
        <v>41</v>
      </c>
      <c r="E176" s="4" t="s">
        <v>25</v>
      </c>
      <c r="F176" s="4" t="s">
        <v>25</v>
      </c>
      <c r="G176" s="4" t="s">
        <v>25</v>
      </c>
      <c r="H176" s="4" t="s">
        <v>25</v>
      </c>
      <c r="I176" s="5">
        <v>44593</v>
      </c>
      <c r="J176" s="6">
        <v>6939</v>
      </c>
      <c r="K176" s="6">
        <v>6939</v>
      </c>
      <c r="L176" s="6">
        <v>0</v>
      </c>
      <c r="M176" s="6">
        <v>0</v>
      </c>
      <c r="N176" s="6">
        <v>0</v>
      </c>
      <c r="O176" s="6">
        <v>0</v>
      </c>
      <c r="P176" s="6">
        <v>57</v>
      </c>
      <c r="Q176" s="4" t="s">
        <v>26</v>
      </c>
      <c r="R176" s="4">
        <v>0</v>
      </c>
      <c r="S176" s="4" t="s">
        <v>179</v>
      </c>
      <c r="U176" s="4">
        <v>18</v>
      </c>
      <c r="V176" s="4">
        <v>0</v>
      </c>
      <c r="W176" s="4">
        <v>0</v>
      </c>
    </row>
    <row r="177" spans="1:23" ht="11.25" customHeight="1" x14ac:dyDescent="0.25">
      <c r="A177" s="4" t="s">
        <v>55</v>
      </c>
      <c r="B177" s="4" t="s">
        <v>38</v>
      </c>
      <c r="C177" s="4" t="s">
        <v>40</v>
      </c>
      <c r="D177" s="4" t="s">
        <v>41</v>
      </c>
      <c r="E177" s="4" t="s">
        <v>25</v>
      </c>
      <c r="F177" s="4" t="s">
        <v>25</v>
      </c>
      <c r="G177" s="4" t="s">
        <v>25</v>
      </c>
      <c r="H177" s="4" t="s">
        <v>25</v>
      </c>
      <c r="I177" s="5">
        <v>44593</v>
      </c>
      <c r="J177" s="6">
        <v>2154</v>
      </c>
      <c r="K177" s="6">
        <v>2154</v>
      </c>
      <c r="L177" s="6">
        <v>0</v>
      </c>
      <c r="M177" s="6">
        <v>0</v>
      </c>
      <c r="N177" s="6">
        <v>0</v>
      </c>
      <c r="O177" s="6">
        <v>0</v>
      </c>
      <c r="P177" s="6">
        <v>8</v>
      </c>
      <c r="Q177" s="4" t="s">
        <v>26</v>
      </c>
      <c r="R177" s="4">
        <v>0</v>
      </c>
      <c r="S177" s="4" t="s">
        <v>179</v>
      </c>
      <c r="U177" s="4">
        <v>18</v>
      </c>
      <c r="V177" s="4">
        <v>0</v>
      </c>
      <c r="W177" s="4">
        <v>0</v>
      </c>
    </row>
    <row r="178" spans="1:23" ht="11.25" customHeight="1" x14ac:dyDescent="0.25">
      <c r="A178" s="4" t="s">
        <v>21</v>
      </c>
      <c r="B178" s="4" t="s">
        <v>38</v>
      </c>
      <c r="C178" s="4" t="s">
        <v>40</v>
      </c>
      <c r="D178" s="4" t="s">
        <v>41</v>
      </c>
      <c r="E178" s="4" t="s">
        <v>25</v>
      </c>
      <c r="F178" s="4" t="s">
        <v>25</v>
      </c>
      <c r="G178" s="4" t="s">
        <v>25</v>
      </c>
      <c r="H178" s="4" t="s">
        <v>25</v>
      </c>
      <c r="I178" s="5">
        <v>44621</v>
      </c>
      <c r="J178" s="6">
        <v>6755</v>
      </c>
      <c r="K178" s="6">
        <v>6755</v>
      </c>
      <c r="L178" s="6">
        <v>0</v>
      </c>
      <c r="M178" s="6">
        <v>0</v>
      </c>
      <c r="N178" s="6">
        <v>0</v>
      </c>
      <c r="O178" s="6">
        <v>0</v>
      </c>
      <c r="P178" s="6">
        <v>56</v>
      </c>
      <c r="Q178" s="4" t="s">
        <v>26</v>
      </c>
      <c r="R178" s="4">
        <v>0</v>
      </c>
      <c r="S178" s="4" t="s">
        <v>180</v>
      </c>
      <c r="U178" s="4">
        <v>18</v>
      </c>
      <c r="V178" s="4">
        <v>0</v>
      </c>
      <c r="W178" s="4">
        <v>0</v>
      </c>
    </row>
    <row r="179" spans="1:23" ht="11.25" customHeight="1" x14ac:dyDescent="0.25">
      <c r="A179" s="4" t="s">
        <v>55</v>
      </c>
      <c r="B179" s="4" t="s">
        <v>38</v>
      </c>
      <c r="C179" s="4" t="s">
        <v>40</v>
      </c>
      <c r="D179" s="4" t="s">
        <v>41</v>
      </c>
      <c r="E179" s="4" t="s">
        <v>25</v>
      </c>
      <c r="F179" s="4" t="s">
        <v>25</v>
      </c>
      <c r="G179" s="4" t="s">
        <v>25</v>
      </c>
      <c r="H179" s="4" t="s">
        <v>25</v>
      </c>
      <c r="I179" s="5">
        <v>44621</v>
      </c>
      <c r="J179" s="6">
        <v>567</v>
      </c>
      <c r="K179" s="6">
        <v>567</v>
      </c>
      <c r="L179" s="6">
        <v>0</v>
      </c>
      <c r="M179" s="6">
        <v>0</v>
      </c>
      <c r="N179" s="6">
        <v>0</v>
      </c>
      <c r="O179" s="6">
        <v>0</v>
      </c>
      <c r="P179" s="6">
        <v>7</v>
      </c>
      <c r="Q179" s="4" t="s">
        <v>26</v>
      </c>
      <c r="R179" s="4">
        <v>0</v>
      </c>
      <c r="S179" s="4" t="s">
        <v>180</v>
      </c>
      <c r="U179" s="4">
        <v>18</v>
      </c>
      <c r="V179" s="4">
        <v>0</v>
      </c>
      <c r="W179" s="4">
        <v>0</v>
      </c>
    </row>
    <row r="180" spans="1:23" ht="11.25" customHeight="1" x14ac:dyDescent="0.25">
      <c r="A180" s="4" t="s">
        <v>21</v>
      </c>
      <c r="B180" s="4" t="s">
        <v>38</v>
      </c>
      <c r="C180" s="4" t="s">
        <v>40</v>
      </c>
      <c r="D180" s="4" t="s">
        <v>41</v>
      </c>
      <c r="E180" s="4" t="s">
        <v>25</v>
      </c>
      <c r="F180" s="4" t="s">
        <v>25</v>
      </c>
      <c r="G180" s="4" t="s">
        <v>25</v>
      </c>
      <c r="H180" s="4" t="s">
        <v>25</v>
      </c>
      <c r="I180" s="5">
        <v>44652</v>
      </c>
      <c r="J180" s="6">
        <v>6850</v>
      </c>
      <c r="K180" s="6">
        <v>6850</v>
      </c>
      <c r="L180" s="6">
        <v>0</v>
      </c>
      <c r="M180" s="6">
        <v>0</v>
      </c>
      <c r="N180" s="6">
        <v>0</v>
      </c>
      <c r="O180" s="6">
        <v>0</v>
      </c>
      <c r="P180" s="6">
        <v>56</v>
      </c>
      <c r="Q180" s="4" t="s">
        <v>26</v>
      </c>
      <c r="R180" s="4">
        <v>0</v>
      </c>
      <c r="S180" s="4" t="s">
        <v>181</v>
      </c>
      <c r="U180" s="4">
        <v>18</v>
      </c>
      <c r="V180" s="4">
        <v>0</v>
      </c>
      <c r="W180" s="4">
        <v>0</v>
      </c>
    </row>
    <row r="181" spans="1:23" ht="11.25" customHeight="1" x14ac:dyDescent="0.25">
      <c r="A181" s="4" t="s">
        <v>55</v>
      </c>
      <c r="B181" s="4" t="s">
        <v>38</v>
      </c>
      <c r="C181" s="4" t="s">
        <v>40</v>
      </c>
      <c r="D181" s="4" t="s">
        <v>41</v>
      </c>
      <c r="E181" s="4" t="s">
        <v>25</v>
      </c>
      <c r="F181" s="4" t="s">
        <v>25</v>
      </c>
      <c r="G181" s="4" t="s">
        <v>25</v>
      </c>
      <c r="H181" s="4" t="s">
        <v>25</v>
      </c>
      <c r="I181" s="5">
        <v>44652</v>
      </c>
      <c r="J181" s="6">
        <v>611</v>
      </c>
      <c r="K181" s="6">
        <v>611</v>
      </c>
      <c r="L181" s="6">
        <v>0</v>
      </c>
      <c r="M181" s="6">
        <v>0</v>
      </c>
      <c r="N181" s="6">
        <v>0</v>
      </c>
      <c r="O181" s="6">
        <v>0</v>
      </c>
      <c r="P181" s="6">
        <v>7</v>
      </c>
      <c r="Q181" s="4" t="s">
        <v>26</v>
      </c>
      <c r="R181" s="4">
        <v>0</v>
      </c>
      <c r="S181" s="4" t="s">
        <v>181</v>
      </c>
      <c r="U181" s="4">
        <v>18</v>
      </c>
      <c r="V181" s="4">
        <v>0</v>
      </c>
      <c r="W181" s="4">
        <v>0</v>
      </c>
    </row>
    <row r="182" spans="1:23" ht="11.25" customHeight="1" x14ac:dyDescent="0.25">
      <c r="A182" s="4" t="s">
        <v>21</v>
      </c>
      <c r="B182" s="4" t="s">
        <v>38</v>
      </c>
      <c r="C182" s="4" t="s">
        <v>40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44682</v>
      </c>
      <c r="J182" s="6">
        <v>6462</v>
      </c>
      <c r="K182" s="6">
        <v>6462</v>
      </c>
      <c r="L182" s="6">
        <v>0</v>
      </c>
      <c r="M182" s="6">
        <v>0</v>
      </c>
      <c r="N182" s="6">
        <v>0</v>
      </c>
      <c r="O182" s="6">
        <v>0</v>
      </c>
      <c r="P182" s="6">
        <v>56</v>
      </c>
      <c r="Q182" s="4" t="s">
        <v>26</v>
      </c>
      <c r="R182" s="4">
        <v>0</v>
      </c>
      <c r="S182" s="4" t="s">
        <v>182</v>
      </c>
      <c r="U182" s="4">
        <v>18</v>
      </c>
      <c r="V182" s="4">
        <v>0</v>
      </c>
      <c r="W182" s="4">
        <v>0</v>
      </c>
    </row>
    <row r="183" spans="1:23" ht="11.25" customHeight="1" x14ac:dyDescent="0.25">
      <c r="A183" s="4" t="s">
        <v>55</v>
      </c>
      <c r="B183" s="4" t="s">
        <v>38</v>
      </c>
      <c r="C183" s="4" t="s">
        <v>40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44682</v>
      </c>
      <c r="J183" s="6">
        <v>556</v>
      </c>
      <c r="K183" s="6">
        <v>556</v>
      </c>
      <c r="L183" s="6">
        <v>0</v>
      </c>
      <c r="M183" s="6">
        <v>0</v>
      </c>
      <c r="N183" s="6">
        <v>0</v>
      </c>
      <c r="O183" s="6">
        <v>0</v>
      </c>
      <c r="P183" s="6">
        <v>7</v>
      </c>
      <c r="Q183" s="4" t="s">
        <v>26</v>
      </c>
      <c r="R183" s="4">
        <v>0</v>
      </c>
      <c r="S183" s="4" t="s">
        <v>182</v>
      </c>
      <c r="U183" s="4">
        <v>18</v>
      </c>
      <c r="V183" s="4">
        <v>0</v>
      </c>
      <c r="W183" s="4">
        <v>0</v>
      </c>
    </row>
    <row r="184" spans="1:23" ht="11.25" customHeight="1" x14ac:dyDescent="0.25">
      <c r="A184" s="4" t="s">
        <v>55</v>
      </c>
      <c r="B184" s="4" t="s">
        <v>38</v>
      </c>
      <c r="C184" s="4" t="s">
        <v>40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44682</v>
      </c>
      <c r="J184" s="6">
        <v>26</v>
      </c>
      <c r="K184" s="6">
        <v>26</v>
      </c>
      <c r="L184" s="6">
        <v>0</v>
      </c>
      <c r="M184" s="6">
        <v>0</v>
      </c>
      <c r="N184" s="6">
        <v>0</v>
      </c>
      <c r="O184" s="6">
        <v>0</v>
      </c>
      <c r="P184" s="6">
        <v>2</v>
      </c>
      <c r="Q184" s="4" t="s">
        <v>26</v>
      </c>
      <c r="R184" s="4">
        <v>0</v>
      </c>
      <c r="S184" s="4" t="s">
        <v>182</v>
      </c>
      <c r="U184" s="4">
        <v>18</v>
      </c>
      <c r="V184" s="4">
        <v>0</v>
      </c>
      <c r="W184" s="4">
        <v>0</v>
      </c>
    </row>
    <row r="185" spans="1:23" ht="11.25" customHeight="1" x14ac:dyDescent="0.25">
      <c r="A185" s="4" t="s">
        <v>56</v>
      </c>
      <c r="B185" s="4" t="s">
        <v>38</v>
      </c>
      <c r="C185" s="4" t="s">
        <v>40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44713</v>
      </c>
      <c r="J185" s="6">
        <v>6462</v>
      </c>
      <c r="K185" s="6">
        <v>6462</v>
      </c>
      <c r="L185" s="6">
        <v>0</v>
      </c>
      <c r="M185" s="6">
        <v>0</v>
      </c>
      <c r="N185" s="6">
        <v>0</v>
      </c>
      <c r="O185" s="6">
        <v>0</v>
      </c>
      <c r="P185" s="6">
        <v>56</v>
      </c>
      <c r="Q185" s="4" t="s">
        <v>26</v>
      </c>
      <c r="R185" s="4">
        <v>0</v>
      </c>
      <c r="S185" s="4" t="s">
        <v>183</v>
      </c>
      <c r="U185" s="4">
        <v>18</v>
      </c>
      <c r="V185" s="4">
        <v>0</v>
      </c>
      <c r="W185" s="4">
        <v>0</v>
      </c>
    </row>
    <row r="186" spans="1:23" ht="11.25" customHeight="1" x14ac:dyDescent="0.25">
      <c r="A186" s="4" t="s">
        <v>56</v>
      </c>
      <c r="B186" s="4" t="s">
        <v>38</v>
      </c>
      <c r="C186" s="4" t="s">
        <v>40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44713</v>
      </c>
      <c r="J186" s="6">
        <v>556</v>
      </c>
      <c r="K186" s="6">
        <v>556</v>
      </c>
      <c r="L186" s="6">
        <v>0</v>
      </c>
      <c r="M186" s="6">
        <v>0</v>
      </c>
      <c r="N186" s="6">
        <v>0</v>
      </c>
      <c r="O186" s="6">
        <v>0</v>
      </c>
      <c r="P186" s="6">
        <v>7</v>
      </c>
      <c r="Q186" s="4" t="s">
        <v>26</v>
      </c>
      <c r="R186" s="4">
        <v>0</v>
      </c>
      <c r="S186" s="4" t="s">
        <v>183</v>
      </c>
      <c r="U186" s="4">
        <v>18</v>
      </c>
      <c r="V186" s="4">
        <v>0</v>
      </c>
      <c r="W186" s="4">
        <v>0</v>
      </c>
    </row>
    <row r="187" spans="1:23" ht="11.25" customHeight="1" x14ac:dyDescent="0.25">
      <c r="A187" s="4" t="s">
        <v>56</v>
      </c>
      <c r="B187" s="4" t="s">
        <v>38</v>
      </c>
      <c r="C187" s="4" t="s">
        <v>40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44713</v>
      </c>
      <c r="J187" s="6">
        <v>26</v>
      </c>
      <c r="K187" s="6">
        <v>26</v>
      </c>
      <c r="L187" s="6">
        <v>0</v>
      </c>
      <c r="M187" s="6">
        <v>0</v>
      </c>
      <c r="N187" s="6">
        <v>0</v>
      </c>
      <c r="O187" s="6">
        <v>0</v>
      </c>
      <c r="P187" s="6">
        <v>2</v>
      </c>
      <c r="Q187" s="4" t="s">
        <v>26</v>
      </c>
      <c r="R187" s="4">
        <v>0</v>
      </c>
      <c r="S187" s="4" t="s">
        <v>183</v>
      </c>
      <c r="U187" s="4">
        <v>18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38</v>
      </c>
      <c r="C188" s="4" t="s">
        <v>40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33</v>
      </c>
      <c r="I188" s="5">
        <v>44378</v>
      </c>
      <c r="J188" s="6">
        <v>0</v>
      </c>
      <c r="K188" s="6">
        <v>0</v>
      </c>
      <c r="L188" s="6">
        <v>61.9</v>
      </c>
      <c r="M188" s="6">
        <v>61.9</v>
      </c>
      <c r="N188" s="6">
        <v>61.9</v>
      </c>
      <c r="O188" s="6">
        <v>61.9</v>
      </c>
      <c r="P188" s="6">
        <v>0</v>
      </c>
      <c r="Q188" s="4" t="s">
        <v>26</v>
      </c>
      <c r="R188" s="4">
        <v>0</v>
      </c>
      <c r="S188" s="4" t="s">
        <v>184</v>
      </c>
      <c r="T188" s="4" t="s">
        <v>377</v>
      </c>
      <c r="U188" s="4">
        <v>0</v>
      </c>
      <c r="V188" s="4">
        <v>16</v>
      </c>
      <c r="W188" s="4">
        <v>47</v>
      </c>
    </row>
    <row r="189" spans="1:23" ht="11.25" customHeight="1" x14ac:dyDescent="0.25">
      <c r="A189" s="4" t="s">
        <v>21</v>
      </c>
      <c r="B189" s="4" t="s">
        <v>38</v>
      </c>
      <c r="C189" s="4" t="s">
        <v>40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33</v>
      </c>
      <c r="I189" s="5">
        <v>44409</v>
      </c>
      <c r="J189" s="6">
        <v>0</v>
      </c>
      <c r="K189" s="6">
        <v>0</v>
      </c>
      <c r="L189" s="6">
        <v>56.838000000000001</v>
      </c>
      <c r="M189" s="6">
        <v>56.838000000000001</v>
      </c>
      <c r="N189" s="6">
        <v>56.838000000000001</v>
      </c>
      <c r="O189" s="6">
        <v>56.838000000000001</v>
      </c>
      <c r="P189" s="6">
        <v>0</v>
      </c>
      <c r="Q189" s="4" t="s">
        <v>26</v>
      </c>
      <c r="R189" s="4">
        <v>0</v>
      </c>
      <c r="S189" s="4" t="s">
        <v>185</v>
      </c>
      <c r="T189" s="4" t="s">
        <v>378</v>
      </c>
      <c r="U189" s="4">
        <v>0</v>
      </c>
      <c r="V189" s="4">
        <v>16</v>
      </c>
      <c r="W189" s="4">
        <v>47</v>
      </c>
    </row>
    <row r="190" spans="1:23" ht="11.25" customHeight="1" x14ac:dyDescent="0.25">
      <c r="A190" s="4" t="s">
        <v>21</v>
      </c>
      <c r="B190" s="4" t="s">
        <v>38</v>
      </c>
      <c r="C190" s="4" t="s">
        <v>40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33</v>
      </c>
      <c r="I190" s="5">
        <v>44440</v>
      </c>
      <c r="J190" s="6">
        <v>0</v>
      </c>
      <c r="K190" s="6">
        <v>0</v>
      </c>
      <c r="L190" s="6">
        <v>52.494</v>
      </c>
      <c r="M190" s="6">
        <v>52.494</v>
      </c>
      <c r="N190" s="6">
        <v>52.494</v>
      </c>
      <c r="O190" s="6">
        <v>52.494</v>
      </c>
      <c r="P190" s="6">
        <v>0</v>
      </c>
      <c r="Q190" s="4" t="s">
        <v>26</v>
      </c>
      <c r="R190" s="4">
        <v>0</v>
      </c>
      <c r="S190" s="4" t="s">
        <v>186</v>
      </c>
      <c r="T190" s="4" t="s">
        <v>379</v>
      </c>
      <c r="U190" s="4">
        <v>0</v>
      </c>
      <c r="V190" s="4">
        <v>16</v>
      </c>
      <c r="W190" s="4">
        <v>47</v>
      </c>
    </row>
    <row r="191" spans="1:23" ht="11.25" customHeight="1" x14ac:dyDescent="0.25">
      <c r="A191" s="4" t="s">
        <v>21</v>
      </c>
      <c r="B191" s="4" t="s">
        <v>38</v>
      </c>
      <c r="C191" s="4" t="s">
        <v>40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33</v>
      </c>
      <c r="I191" s="5">
        <v>44470</v>
      </c>
      <c r="J191" s="6">
        <v>0</v>
      </c>
      <c r="K191" s="6">
        <v>0</v>
      </c>
      <c r="L191" s="6">
        <v>56.337000000000003</v>
      </c>
      <c r="M191" s="6">
        <v>56.337000000000003</v>
      </c>
      <c r="N191" s="6">
        <v>56.337000000000003</v>
      </c>
      <c r="O191" s="6">
        <v>56.337000000000003</v>
      </c>
      <c r="P191" s="6">
        <v>0</v>
      </c>
      <c r="Q191" s="4" t="s">
        <v>26</v>
      </c>
      <c r="R191" s="4">
        <v>0</v>
      </c>
      <c r="S191" s="4" t="s">
        <v>187</v>
      </c>
      <c r="T191" s="4" t="s">
        <v>380</v>
      </c>
      <c r="U191" s="4">
        <v>0</v>
      </c>
      <c r="V191" s="4">
        <v>16</v>
      </c>
      <c r="W191" s="4">
        <v>47</v>
      </c>
    </row>
    <row r="192" spans="1:23" ht="11.25" customHeight="1" x14ac:dyDescent="0.25">
      <c r="A192" s="4" t="s">
        <v>21</v>
      </c>
      <c r="B192" s="4" t="s">
        <v>38</v>
      </c>
      <c r="C192" s="4" t="s">
        <v>40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33</v>
      </c>
      <c r="I192" s="5">
        <v>44501</v>
      </c>
      <c r="J192" s="6">
        <v>0</v>
      </c>
      <c r="K192" s="6">
        <v>0</v>
      </c>
      <c r="L192" s="6">
        <v>71.677000000000007</v>
      </c>
      <c r="M192" s="6">
        <v>71.677000000000007</v>
      </c>
      <c r="N192" s="6">
        <v>71.677000000000007</v>
      </c>
      <c r="O192" s="6">
        <v>71.677000000000007</v>
      </c>
      <c r="P192" s="6">
        <v>0</v>
      </c>
      <c r="Q192" s="4" t="s">
        <v>26</v>
      </c>
      <c r="R192" s="4">
        <v>0</v>
      </c>
      <c r="S192" s="4" t="s">
        <v>188</v>
      </c>
      <c r="T192" s="4" t="s">
        <v>381</v>
      </c>
      <c r="U192" s="4">
        <v>0</v>
      </c>
      <c r="V192" s="4">
        <v>16</v>
      </c>
      <c r="W192" s="4">
        <v>47</v>
      </c>
    </row>
    <row r="193" spans="1:23" ht="11.25" customHeight="1" x14ac:dyDescent="0.25">
      <c r="A193" s="4" t="s">
        <v>55</v>
      </c>
      <c r="B193" s="4" t="s">
        <v>38</v>
      </c>
      <c r="C193" s="4" t="s">
        <v>40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33</v>
      </c>
      <c r="I193" s="5">
        <v>44501</v>
      </c>
      <c r="J193" s="6">
        <v>0</v>
      </c>
      <c r="K193" s="6">
        <v>0</v>
      </c>
      <c r="L193" s="6">
        <v>1.75</v>
      </c>
      <c r="M193" s="6">
        <v>1.75</v>
      </c>
      <c r="N193" s="6">
        <v>1.75</v>
      </c>
      <c r="O193" s="6">
        <v>1.75</v>
      </c>
      <c r="P193" s="6">
        <v>0</v>
      </c>
      <c r="Q193" s="4" t="s">
        <v>26</v>
      </c>
      <c r="R193" s="4">
        <v>0</v>
      </c>
      <c r="S193" s="4" t="s">
        <v>188</v>
      </c>
      <c r="T193" s="4" t="s">
        <v>381</v>
      </c>
      <c r="U193" s="4">
        <v>0</v>
      </c>
      <c r="V193" s="4">
        <v>16</v>
      </c>
      <c r="W193" s="4">
        <v>47</v>
      </c>
    </row>
    <row r="194" spans="1:23" ht="11.25" customHeight="1" x14ac:dyDescent="0.25">
      <c r="A194" s="4" t="s">
        <v>21</v>
      </c>
      <c r="B194" s="4" t="s">
        <v>38</v>
      </c>
      <c r="C194" s="4" t="s">
        <v>40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33</v>
      </c>
      <c r="I194" s="5">
        <v>44531</v>
      </c>
      <c r="J194" s="6">
        <v>0</v>
      </c>
      <c r="K194" s="6">
        <v>0</v>
      </c>
      <c r="L194" s="6">
        <v>71.185000000000002</v>
      </c>
      <c r="M194" s="6">
        <v>71.185000000000002</v>
      </c>
      <c r="N194" s="6">
        <v>71.185000000000002</v>
      </c>
      <c r="O194" s="6">
        <v>71.185000000000002</v>
      </c>
      <c r="P194" s="6">
        <v>0</v>
      </c>
      <c r="Q194" s="4" t="s">
        <v>26</v>
      </c>
      <c r="R194" s="4">
        <v>0</v>
      </c>
      <c r="S194" s="4" t="s">
        <v>189</v>
      </c>
      <c r="T194" s="4" t="s">
        <v>382</v>
      </c>
      <c r="U194" s="4">
        <v>0</v>
      </c>
      <c r="V194" s="4">
        <v>16</v>
      </c>
      <c r="W194" s="4">
        <v>47</v>
      </c>
    </row>
    <row r="195" spans="1:23" ht="11.25" customHeight="1" x14ac:dyDescent="0.25">
      <c r="A195" s="4" t="s">
        <v>21</v>
      </c>
      <c r="B195" s="4" t="s">
        <v>38</v>
      </c>
      <c r="C195" s="4" t="s">
        <v>40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33</v>
      </c>
      <c r="I195" s="5">
        <v>44562</v>
      </c>
      <c r="J195" s="6">
        <v>0</v>
      </c>
      <c r="K195" s="6">
        <v>0</v>
      </c>
      <c r="L195" s="6">
        <v>68.304000000000002</v>
      </c>
      <c r="M195" s="6">
        <v>68.304000000000002</v>
      </c>
      <c r="N195" s="6">
        <v>68.304000000000002</v>
      </c>
      <c r="O195" s="6">
        <v>68.304000000000002</v>
      </c>
      <c r="P195" s="6">
        <v>0</v>
      </c>
      <c r="Q195" s="4" t="s">
        <v>26</v>
      </c>
      <c r="R195" s="4">
        <v>0</v>
      </c>
      <c r="S195" s="4" t="s">
        <v>190</v>
      </c>
      <c r="T195" s="4" t="s">
        <v>383</v>
      </c>
      <c r="U195" s="4">
        <v>0</v>
      </c>
      <c r="V195" s="4">
        <v>16</v>
      </c>
      <c r="W195" s="4">
        <v>47</v>
      </c>
    </row>
    <row r="196" spans="1:23" ht="11.25" customHeight="1" x14ac:dyDescent="0.25">
      <c r="A196" s="4" t="s">
        <v>55</v>
      </c>
      <c r="B196" s="4" t="s">
        <v>38</v>
      </c>
      <c r="C196" s="4" t="s">
        <v>40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33</v>
      </c>
      <c r="I196" s="5">
        <v>44562</v>
      </c>
      <c r="J196" s="6">
        <v>0</v>
      </c>
      <c r="K196" s="6">
        <v>0</v>
      </c>
      <c r="L196" s="6">
        <v>0.13400000000000001</v>
      </c>
      <c r="M196" s="6">
        <v>0.13400000000000001</v>
      </c>
      <c r="N196" s="6">
        <v>0.13400000000000001</v>
      </c>
      <c r="O196" s="6">
        <v>0.13400000000000001</v>
      </c>
      <c r="P196" s="6">
        <v>0</v>
      </c>
      <c r="Q196" s="4" t="s">
        <v>26</v>
      </c>
      <c r="R196" s="4">
        <v>0</v>
      </c>
      <c r="S196" s="4" t="s">
        <v>190</v>
      </c>
      <c r="T196" s="4" t="s">
        <v>383</v>
      </c>
      <c r="U196" s="4">
        <v>0</v>
      </c>
      <c r="V196" s="4">
        <v>16</v>
      </c>
      <c r="W196" s="4">
        <v>47</v>
      </c>
    </row>
    <row r="197" spans="1:23" ht="11.25" customHeight="1" x14ac:dyDescent="0.25">
      <c r="A197" s="4" t="s">
        <v>21</v>
      </c>
      <c r="B197" s="4" t="s">
        <v>38</v>
      </c>
      <c r="C197" s="4" t="s">
        <v>40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33</v>
      </c>
      <c r="I197" s="5">
        <v>44593</v>
      </c>
      <c r="J197" s="6">
        <v>0</v>
      </c>
      <c r="K197" s="6">
        <v>0</v>
      </c>
      <c r="L197" s="6">
        <v>56.64</v>
      </c>
      <c r="M197" s="6">
        <v>56.64</v>
      </c>
      <c r="N197" s="6">
        <v>56.64</v>
      </c>
      <c r="O197" s="6">
        <v>56.64</v>
      </c>
      <c r="P197" s="6">
        <v>0</v>
      </c>
      <c r="Q197" s="4" t="s">
        <v>26</v>
      </c>
      <c r="R197" s="4">
        <v>0</v>
      </c>
      <c r="S197" s="4" t="s">
        <v>191</v>
      </c>
      <c r="T197" s="4" t="s">
        <v>384</v>
      </c>
      <c r="U197" s="4">
        <v>0</v>
      </c>
      <c r="V197" s="4">
        <v>16</v>
      </c>
      <c r="W197" s="4">
        <v>47</v>
      </c>
    </row>
    <row r="198" spans="1:23" ht="11.25" customHeight="1" x14ac:dyDescent="0.25">
      <c r="A198" s="4" t="s">
        <v>55</v>
      </c>
      <c r="B198" s="4" t="s">
        <v>38</v>
      </c>
      <c r="C198" s="4" t="s">
        <v>40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33</v>
      </c>
      <c r="I198" s="5">
        <v>44593</v>
      </c>
      <c r="J198" s="6">
        <v>0</v>
      </c>
      <c r="K198" s="6">
        <v>0</v>
      </c>
      <c r="L198" s="6">
        <v>3.1629999999999998</v>
      </c>
      <c r="M198" s="6">
        <v>3.1629999999999998</v>
      </c>
      <c r="N198" s="6">
        <v>3.1629999999999998</v>
      </c>
      <c r="O198" s="6">
        <v>3.1629999999999998</v>
      </c>
      <c r="P198" s="6">
        <v>0</v>
      </c>
      <c r="Q198" s="4" t="s">
        <v>26</v>
      </c>
      <c r="R198" s="4">
        <v>0</v>
      </c>
      <c r="S198" s="4" t="s">
        <v>191</v>
      </c>
      <c r="T198" s="4" t="s">
        <v>384</v>
      </c>
      <c r="U198" s="4">
        <v>0</v>
      </c>
      <c r="V198" s="4">
        <v>16</v>
      </c>
      <c r="W198" s="4">
        <v>47</v>
      </c>
    </row>
    <row r="199" spans="1:23" ht="11.25" customHeight="1" x14ac:dyDescent="0.25">
      <c r="A199" s="4" t="s">
        <v>21</v>
      </c>
      <c r="B199" s="4" t="s">
        <v>38</v>
      </c>
      <c r="C199" s="4" t="s">
        <v>40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33</v>
      </c>
      <c r="I199" s="5">
        <v>44621</v>
      </c>
      <c r="J199" s="6">
        <v>0</v>
      </c>
      <c r="K199" s="6">
        <v>0</v>
      </c>
      <c r="L199" s="6">
        <v>69.090999999999994</v>
      </c>
      <c r="M199" s="6">
        <v>69.090999999999994</v>
      </c>
      <c r="N199" s="6">
        <v>69.090999999999994</v>
      </c>
      <c r="O199" s="6">
        <v>69.090999999999994</v>
      </c>
      <c r="P199" s="6">
        <v>0</v>
      </c>
      <c r="Q199" s="4" t="s">
        <v>26</v>
      </c>
      <c r="R199" s="4">
        <v>0</v>
      </c>
      <c r="S199" s="4" t="s">
        <v>192</v>
      </c>
      <c r="T199" s="4" t="s">
        <v>385</v>
      </c>
      <c r="U199" s="4">
        <v>0</v>
      </c>
      <c r="V199" s="4">
        <v>16</v>
      </c>
      <c r="W199" s="4">
        <v>47</v>
      </c>
    </row>
    <row r="200" spans="1:23" ht="11.25" customHeight="1" x14ac:dyDescent="0.25">
      <c r="A200" s="4" t="s">
        <v>55</v>
      </c>
      <c r="B200" s="4" t="s">
        <v>38</v>
      </c>
      <c r="C200" s="4" t="s">
        <v>40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33</v>
      </c>
      <c r="I200" s="5">
        <v>44621</v>
      </c>
      <c r="J200" s="6">
        <v>0</v>
      </c>
      <c r="K200" s="6">
        <v>0</v>
      </c>
      <c r="L200" s="6">
        <v>3.5049999999999999</v>
      </c>
      <c r="M200" s="6">
        <v>3.5049999999999999</v>
      </c>
      <c r="N200" s="6">
        <v>3.5049999999999999</v>
      </c>
      <c r="O200" s="6">
        <v>3.5049999999999999</v>
      </c>
      <c r="P200" s="6">
        <v>0</v>
      </c>
      <c r="Q200" s="4" t="s">
        <v>26</v>
      </c>
      <c r="R200" s="4">
        <v>0</v>
      </c>
      <c r="S200" s="4" t="s">
        <v>192</v>
      </c>
      <c r="T200" s="4" t="s">
        <v>385</v>
      </c>
      <c r="U200" s="4">
        <v>0</v>
      </c>
      <c r="V200" s="4">
        <v>16</v>
      </c>
      <c r="W200" s="4">
        <v>47</v>
      </c>
    </row>
    <row r="201" spans="1:23" ht="11.25" customHeight="1" x14ac:dyDescent="0.25">
      <c r="A201" s="4" t="s">
        <v>21</v>
      </c>
      <c r="B201" s="4" t="s">
        <v>38</v>
      </c>
      <c r="C201" s="4" t="s">
        <v>40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33</v>
      </c>
      <c r="I201" s="5">
        <v>44652</v>
      </c>
      <c r="J201" s="6">
        <v>0</v>
      </c>
      <c r="K201" s="6">
        <v>0</v>
      </c>
      <c r="L201" s="6">
        <v>67.497</v>
      </c>
      <c r="M201" s="6">
        <v>67.497</v>
      </c>
      <c r="N201" s="6">
        <v>67.497</v>
      </c>
      <c r="O201" s="6">
        <v>67.497</v>
      </c>
      <c r="P201" s="6">
        <v>0</v>
      </c>
      <c r="Q201" s="4" t="s">
        <v>26</v>
      </c>
      <c r="R201" s="4">
        <v>0</v>
      </c>
      <c r="S201" s="4" t="s">
        <v>193</v>
      </c>
      <c r="T201" s="4" t="s">
        <v>386</v>
      </c>
      <c r="U201" s="4">
        <v>0</v>
      </c>
      <c r="V201" s="4">
        <v>16</v>
      </c>
      <c r="W201" s="4">
        <v>47</v>
      </c>
    </row>
    <row r="202" spans="1:23" ht="11.25" customHeight="1" x14ac:dyDescent="0.25">
      <c r="A202" s="4" t="s">
        <v>55</v>
      </c>
      <c r="B202" s="4" t="s">
        <v>38</v>
      </c>
      <c r="C202" s="4" t="s">
        <v>40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33</v>
      </c>
      <c r="I202" s="5">
        <v>44652</v>
      </c>
      <c r="J202" s="6">
        <v>0</v>
      </c>
      <c r="K202" s="6">
        <v>0</v>
      </c>
      <c r="L202" s="6">
        <v>2.3639999999999999</v>
      </c>
      <c r="M202" s="6">
        <v>2.3639999999999999</v>
      </c>
      <c r="N202" s="6">
        <v>2.3639999999999999</v>
      </c>
      <c r="O202" s="6">
        <v>2.3639999999999999</v>
      </c>
      <c r="P202" s="6">
        <v>0</v>
      </c>
      <c r="Q202" s="4" t="s">
        <v>26</v>
      </c>
      <c r="R202" s="4">
        <v>0</v>
      </c>
      <c r="S202" s="4" t="s">
        <v>193</v>
      </c>
      <c r="T202" s="4" t="s">
        <v>386</v>
      </c>
      <c r="U202" s="4">
        <v>0</v>
      </c>
      <c r="V202" s="4">
        <v>16</v>
      </c>
      <c r="W202" s="4">
        <v>47</v>
      </c>
    </row>
    <row r="203" spans="1:23" ht="11.25" customHeight="1" x14ac:dyDescent="0.25">
      <c r="A203" s="4" t="s">
        <v>21</v>
      </c>
      <c r="B203" s="4" t="s">
        <v>38</v>
      </c>
      <c r="C203" s="4" t="s">
        <v>40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33</v>
      </c>
      <c r="I203" s="5">
        <v>44682</v>
      </c>
      <c r="J203" s="6">
        <v>0</v>
      </c>
      <c r="K203" s="6">
        <v>0</v>
      </c>
      <c r="L203" s="6">
        <v>62.526000000000003</v>
      </c>
      <c r="M203" s="6">
        <v>62.526000000000003</v>
      </c>
      <c r="N203" s="6">
        <v>62.526000000000003</v>
      </c>
      <c r="O203" s="6">
        <v>62.526000000000003</v>
      </c>
      <c r="P203" s="6">
        <v>0</v>
      </c>
      <c r="Q203" s="4" t="s">
        <v>26</v>
      </c>
      <c r="R203" s="4">
        <v>0</v>
      </c>
      <c r="S203" s="4" t="s">
        <v>194</v>
      </c>
      <c r="T203" s="4" t="s">
        <v>387</v>
      </c>
      <c r="U203" s="4">
        <v>0</v>
      </c>
      <c r="V203" s="4">
        <v>16</v>
      </c>
      <c r="W203" s="4">
        <v>47</v>
      </c>
    </row>
    <row r="204" spans="1:23" ht="11.25" customHeight="1" x14ac:dyDescent="0.25">
      <c r="A204" s="4" t="s">
        <v>55</v>
      </c>
      <c r="B204" s="4" t="s">
        <v>38</v>
      </c>
      <c r="C204" s="4" t="s">
        <v>40</v>
      </c>
      <c r="D204" s="4" t="s">
        <v>41</v>
      </c>
      <c r="E204" s="4" t="s">
        <v>25</v>
      </c>
      <c r="F204" s="4" t="s">
        <v>25</v>
      </c>
      <c r="G204" s="4" t="s">
        <v>25</v>
      </c>
      <c r="H204" s="4" t="s">
        <v>33</v>
      </c>
      <c r="I204" s="5">
        <v>44682</v>
      </c>
      <c r="J204" s="6">
        <v>0</v>
      </c>
      <c r="K204" s="6">
        <v>0</v>
      </c>
      <c r="L204" s="6">
        <v>1.514</v>
      </c>
      <c r="M204" s="6">
        <v>1.514</v>
      </c>
      <c r="N204" s="6">
        <v>1.514</v>
      </c>
      <c r="O204" s="6">
        <v>1.514</v>
      </c>
      <c r="P204" s="6">
        <v>0</v>
      </c>
      <c r="Q204" s="4" t="s">
        <v>26</v>
      </c>
      <c r="R204" s="4">
        <v>0</v>
      </c>
      <c r="S204" s="4" t="s">
        <v>194</v>
      </c>
      <c r="T204" s="4" t="s">
        <v>387</v>
      </c>
      <c r="U204" s="4">
        <v>0</v>
      </c>
      <c r="V204" s="4">
        <v>16</v>
      </c>
      <c r="W204" s="4">
        <v>47</v>
      </c>
    </row>
    <row r="205" spans="1:23" ht="11.25" customHeight="1" x14ac:dyDescent="0.25">
      <c r="A205" s="4" t="s">
        <v>56</v>
      </c>
      <c r="B205" s="4" t="s">
        <v>38</v>
      </c>
      <c r="C205" s="4" t="s">
        <v>40</v>
      </c>
      <c r="D205" s="4" t="s">
        <v>41</v>
      </c>
      <c r="E205" s="4" t="s">
        <v>25</v>
      </c>
      <c r="F205" s="4" t="s">
        <v>25</v>
      </c>
      <c r="G205" s="4" t="s">
        <v>25</v>
      </c>
      <c r="H205" s="4" t="s">
        <v>33</v>
      </c>
      <c r="I205" s="5">
        <v>44713</v>
      </c>
      <c r="J205" s="6">
        <v>0</v>
      </c>
      <c r="K205" s="6">
        <v>0</v>
      </c>
      <c r="L205" s="6">
        <v>62.526000000000003</v>
      </c>
      <c r="M205" s="6">
        <v>62.526000000000003</v>
      </c>
      <c r="N205" s="6">
        <v>62.526000000000003</v>
      </c>
      <c r="O205" s="6">
        <v>62.526000000000003</v>
      </c>
      <c r="P205" s="6">
        <v>0</v>
      </c>
      <c r="Q205" s="4" t="s">
        <v>26</v>
      </c>
      <c r="R205" s="4">
        <v>0</v>
      </c>
      <c r="S205" s="4" t="s">
        <v>195</v>
      </c>
      <c r="T205" s="4" t="s">
        <v>388</v>
      </c>
      <c r="U205" s="4">
        <v>0</v>
      </c>
      <c r="V205" s="4">
        <v>16</v>
      </c>
      <c r="W205" s="4">
        <v>47</v>
      </c>
    </row>
    <row r="206" spans="1:23" ht="11.25" customHeight="1" x14ac:dyDescent="0.25">
      <c r="A206" s="4" t="s">
        <v>56</v>
      </c>
      <c r="B206" s="4" t="s">
        <v>38</v>
      </c>
      <c r="C206" s="4" t="s">
        <v>40</v>
      </c>
      <c r="D206" s="4" t="s">
        <v>41</v>
      </c>
      <c r="E206" s="4" t="s">
        <v>25</v>
      </c>
      <c r="F206" s="4" t="s">
        <v>25</v>
      </c>
      <c r="G206" s="4" t="s">
        <v>25</v>
      </c>
      <c r="H206" s="4" t="s">
        <v>33</v>
      </c>
      <c r="I206" s="5">
        <v>44713</v>
      </c>
      <c r="J206" s="6">
        <v>0</v>
      </c>
      <c r="K206" s="6">
        <v>0</v>
      </c>
      <c r="L206" s="6">
        <v>1.514</v>
      </c>
      <c r="M206" s="6">
        <v>1.514</v>
      </c>
      <c r="N206" s="6">
        <v>1.514</v>
      </c>
      <c r="O206" s="6">
        <v>1.514</v>
      </c>
      <c r="P206" s="6">
        <v>0</v>
      </c>
      <c r="Q206" s="4" t="s">
        <v>26</v>
      </c>
      <c r="R206" s="4">
        <v>0</v>
      </c>
      <c r="S206" s="4" t="s">
        <v>195</v>
      </c>
      <c r="T206" s="4" t="s">
        <v>388</v>
      </c>
      <c r="U206" s="4">
        <v>0</v>
      </c>
      <c r="V206" s="4">
        <v>16</v>
      </c>
      <c r="W206" s="4">
        <v>47</v>
      </c>
    </row>
    <row r="207" spans="1:23" ht="11.25" customHeight="1" x14ac:dyDescent="0.25">
      <c r="A207" s="4" t="s">
        <v>21</v>
      </c>
      <c r="B207" s="4" t="s">
        <v>38</v>
      </c>
      <c r="C207" s="4" t="s">
        <v>40</v>
      </c>
      <c r="D207" s="4" t="s">
        <v>50</v>
      </c>
      <c r="E207" s="4" t="s">
        <v>25</v>
      </c>
      <c r="F207" s="4" t="s">
        <v>25</v>
      </c>
      <c r="G207" s="4" t="s">
        <v>25</v>
      </c>
      <c r="H207" s="4" t="s">
        <v>34</v>
      </c>
      <c r="I207" s="5">
        <v>44378</v>
      </c>
      <c r="J207" s="6">
        <v>0</v>
      </c>
      <c r="K207" s="6">
        <v>0</v>
      </c>
      <c r="L207" s="6">
        <v>11.233000000000001</v>
      </c>
      <c r="M207" s="6">
        <v>11.233000000000001</v>
      </c>
      <c r="N207" s="6">
        <v>11.233000000000001</v>
      </c>
      <c r="O207" s="6">
        <v>11.233000000000001</v>
      </c>
      <c r="P207" s="6">
        <v>0</v>
      </c>
      <c r="Q207" s="4" t="s">
        <v>26</v>
      </c>
      <c r="R207" s="4">
        <v>0</v>
      </c>
      <c r="S207" s="4" t="s">
        <v>160</v>
      </c>
      <c r="T207" s="4" t="s">
        <v>365</v>
      </c>
      <c r="U207" s="4">
        <v>0</v>
      </c>
      <c r="V207" s="4">
        <v>14</v>
      </c>
      <c r="W207" s="4">
        <v>42</v>
      </c>
    </row>
    <row r="208" spans="1:23" ht="11.25" customHeight="1" x14ac:dyDescent="0.25">
      <c r="A208" s="4" t="s">
        <v>21</v>
      </c>
      <c r="B208" s="4" t="s">
        <v>38</v>
      </c>
      <c r="C208" s="4" t="s">
        <v>40</v>
      </c>
      <c r="D208" s="4" t="s">
        <v>50</v>
      </c>
      <c r="E208" s="4" t="s">
        <v>25</v>
      </c>
      <c r="F208" s="4" t="s">
        <v>25</v>
      </c>
      <c r="G208" s="4" t="s">
        <v>25</v>
      </c>
      <c r="H208" s="4" t="s">
        <v>34</v>
      </c>
      <c r="I208" s="5">
        <v>44409</v>
      </c>
      <c r="J208" s="6">
        <v>0</v>
      </c>
      <c r="K208" s="6">
        <v>0</v>
      </c>
      <c r="L208" s="6">
        <v>10.305999999999999</v>
      </c>
      <c r="M208" s="6">
        <v>10.305999999999999</v>
      </c>
      <c r="N208" s="6">
        <v>10.305999999999999</v>
      </c>
      <c r="O208" s="6">
        <v>10.305999999999999</v>
      </c>
      <c r="P208" s="6">
        <v>0</v>
      </c>
      <c r="Q208" s="4" t="s">
        <v>26</v>
      </c>
      <c r="R208" s="4">
        <v>0</v>
      </c>
      <c r="S208" s="4" t="s">
        <v>161</v>
      </c>
      <c r="T208" s="4" t="s">
        <v>366</v>
      </c>
      <c r="U208" s="4">
        <v>0</v>
      </c>
      <c r="V208" s="4">
        <v>14</v>
      </c>
      <c r="W208" s="4">
        <v>42</v>
      </c>
    </row>
    <row r="209" spans="1:23" ht="11.25" customHeight="1" x14ac:dyDescent="0.25">
      <c r="A209" s="4" t="s">
        <v>21</v>
      </c>
      <c r="B209" s="4" t="s">
        <v>38</v>
      </c>
      <c r="C209" s="4" t="s">
        <v>40</v>
      </c>
      <c r="D209" s="4" t="s">
        <v>50</v>
      </c>
      <c r="E209" s="4" t="s">
        <v>25</v>
      </c>
      <c r="F209" s="4" t="s">
        <v>25</v>
      </c>
      <c r="G209" s="4" t="s">
        <v>25</v>
      </c>
      <c r="H209" s="4" t="s">
        <v>34</v>
      </c>
      <c r="I209" s="5">
        <v>44440</v>
      </c>
      <c r="J209" s="6">
        <v>0</v>
      </c>
      <c r="K209" s="6">
        <v>0</v>
      </c>
      <c r="L209" s="6">
        <v>8.7579999999999991</v>
      </c>
      <c r="M209" s="6">
        <v>8.7579999999999991</v>
      </c>
      <c r="N209" s="6">
        <v>8.7579999999999991</v>
      </c>
      <c r="O209" s="6">
        <v>8.7579999999999991</v>
      </c>
      <c r="P209" s="6">
        <v>0</v>
      </c>
      <c r="Q209" s="4" t="s">
        <v>26</v>
      </c>
      <c r="R209" s="4">
        <v>0</v>
      </c>
      <c r="S209" s="4" t="s">
        <v>162</v>
      </c>
      <c r="T209" s="4" t="s">
        <v>367</v>
      </c>
      <c r="U209" s="4">
        <v>0</v>
      </c>
      <c r="V209" s="4">
        <v>14</v>
      </c>
      <c r="W209" s="4">
        <v>42</v>
      </c>
    </row>
    <row r="210" spans="1:23" ht="11.25" customHeight="1" x14ac:dyDescent="0.25">
      <c r="A210" s="4" t="s">
        <v>21</v>
      </c>
      <c r="B210" s="4" t="s">
        <v>38</v>
      </c>
      <c r="C210" s="4" t="s">
        <v>40</v>
      </c>
      <c r="D210" s="4" t="s">
        <v>50</v>
      </c>
      <c r="E210" s="4" t="s">
        <v>25</v>
      </c>
      <c r="F210" s="4" t="s">
        <v>25</v>
      </c>
      <c r="G210" s="4" t="s">
        <v>25</v>
      </c>
      <c r="H210" s="4" t="s">
        <v>34</v>
      </c>
      <c r="I210" s="5">
        <v>44470</v>
      </c>
      <c r="J210" s="6">
        <v>0</v>
      </c>
      <c r="K210" s="6">
        <v>0</v>
      </c>
      <c r="L210" s="6">
        <v>9.0060000000000002</v>
      </c>
      <c r="M210" s="6">
        <v>9.0060000000000002</v>
      </c>
      <c r="N210" s="6">
        <v>9.0060000000000002</v>
      </c>
      <c r="O210" s="6">
        <v>9.0060000000000002</v>
      </c>
      <c r="P210" s="6">
        <v>0</v>
      </c>
      <c r="Q210" s="4" t="s">
        <v>26</v>
      </c>
      <c r="R210" s="4">
        <v>0</v>
      </c>
      <c r="S210" s="4" t="s">
        <v>163</v>
      </c>
      <c r="T210" s="4" t="s">
        <v>368</v>
      </c>
      <c r="U210" s="4">
        <v>0</v>
      </c>
      <c r="V210" s="4">
        <v>14</v>
      </c>
      <c r="W210" s="4">
        <v>42</v>
      </c>
    </row>
    <row r="211" spans="1:23" ht="11.25" customHeight="1" x14ac:dyDescent="0.25">
      <c r="A211" s="4" t="s">
        <v>21</v>
      </c>
      <c r="B211" s="4" t="s">
        <v>38</v>
      </c>
      <c r="C211" s="4" t="s">
        <v>40</v>
      </c>
      <c r="D211" s="4" t="s">
        <v>50</v>
      </c>
      <c r="E211" s="4" t="s">
        <v>25</v>
      </c>
      <c r="F211" s="4" t="s">
        <v>25</v>
      </c>
      <c r="G211" s="4" t="s">
        <v>25</v>
      </c>
      <c r="H211" s="4" t="s">
        <v>34</v>
      </c>
      <c r="I211" s="5">
        <v>44501</v>
      </c>
      <c r="J211" s="6">
        <v>0</v>
      </c>
      <c r="K211" s="6">
        <v>0</v>
      </c>
      <c r="L211" s="6">
        <v>10.497</v>
      </c>
      <c r="M211" s="6">
        <v>10.497</v>
      </c>
      <c r="N211" s="6">
        <v>10.497</v>
      </c>
      <c r="O211" s="6">
        <v>10.497</v>
      </c>
      <c r="P211" s="6">
        <v>0</v>
      </c>
      <c r="Q211" s="4" t="s">
        <v>26</v>
      </c>
      <c r="R211" s="4">
        <v>0</v>
      </c>
      <c r="S211" s="4" t="s">
        <v>164</v>
      </c>
      <c r="T211" s="4" t="s">
        <v>369</v>
      </c>
      <c r="U211" s="4">
        <v>0</v>
      </c>
      <c r="V211" s="4">
        <v>14</v>
      </c>
      <c r="W211" s="4">
        <v>42</v>
      </c>
    </row>
    <row r="212" spans="1:23" ht="11.25" customHeight="1" x14ac:dyDescent="0.25">
      <c r="A212" s="4" t="s">
        <v>21</v>
      </c>
      <c r="B212" s="4" t="s">
        <v>38</v>
      </c>
      <c r="C212" s="4" t="s">
        <v>40</v>
      </c>
      <c r="D212" s="4" t="s">
        <v>50</v>
      </c>
      <c r="E212" s="4" t="s">
        <v>25</v>
      </c>
      <c r="F212" s="4" t="s">
        <v>25</v>
      </c>
      <c r="G212" s="4" t="s">
        <v>25</v>
      </c>
      <c r="H212" s="4" t="s">
        <v>34</v>
      </c>
      <c r="I212" s="5">
        <v>44531</v>
      </c>
      <c r="J212" s="6">
        <v>0</v>
      </c>
      <c r="K212" s="6">
        <v>0</v>
      </c>
      <c r="L212" s="6">
        <v>12.769</v>
      </c>
      <c r="M212" s="6">
        <v>12.769</v>
      </c>
      <c r="N212" s="6">
        <v>12.769</v>
      </c>
      <c r="O212" s="6">
        <v>12.769</v>
      </c>
      <c r="P212" s="6">
        <v>0</v>
      </c>
      <c r="Q212" s="4" t="s">
        <v>26</v>
      </c>
      <c r="R212" s="4">
        <v>0</v>
      </c>
      <c r="S212" s="4" t="s">
        <v>165</v>
      </c>
      <c r="T212" s="4" t="s">
        <v>370</v>
      </c>
      <c r="U212" s="4">
        <v>0</v>
      </c>
      <c r="V212" s="4">
        <v>14</v>
      </c>
      <c r="W212" s="4">
        <v>42</v>
      </c>
    </row>
    <row r="213" spans="1:23" ht="11.25" customHeight="1" x14ac:dyDescent="0.25">
      <c r="A213" s="4" t="s">
        <v>21</v>
      </c>
      <c r="B213" s="4" t="s">
        <v>38</v>
      </c>
      <c r="C213" s="4" t="s">
        <v>40</v>
      </c>
      <c r="D213" s="4" t="s">
        <v>50</v>
      </c>
      <c r="E213" s="4" t="s">
        <v>25</v>
      </c>
      <c r="F213" s="4" t="s">
        <v>25</v>
      </c>
      <c r="G213" s="4" t="s">
        <v>25</v>
      </c>
      <c r="H213" s="4" t="s">
        <v>34</v>
      </c>
      <c r="I213" s="5">
        <v>44562</v>
      </c>
      <c r="J213" s="6">
        <v>0</v>
      </c>
      <c r="K213" s="6">
        <v>0</v>
      </c>
      <c r="L213" s="6">
        <v>13.202</v>
      </c>
      <c r="M213" s="6">
        <v>13.202</v>
      </c>
      <c r="N213" s="6">
        <v>13.202</v>
      </c>
      <c r="O213" s="6">
        <v>13.202</v>
      </c>
      <c r="P213" s="6">
        <v>0</v>
      </c>
      <c r="Q213" s="4" t="s">
        <v>26</v>
      </c>
      <c r="R213" s="4">
        <v>0</v>
      </c>
      <c r="S213" s="4" t="s">
        <v>166</v>
      </c>
      <c r="T213" s="4" t="s">
        <v>371</v>
      </c>
      <c r="U213" s="4">
        <v>0</v>
      </c>
      <c r="V213" s="4">
        <v>14</v>
      </c>
      <c r="W213" s="4">
        <v>42</v>
      </c>
    </row>
    <row r="214" spans="1:23" ht="11.25" customHeight="1" x14ac:dyDescent="0.25">
      <c r="A214" s="4" t="s">
        <v>21</v>
      </c>
      <c r="B214" s="4" t="s">
        <v>38</v>
      </c>
      <c r="C214" s="4" t="s">
        <v>40</v>
      </c>
      <c r="D214" s="4" t="s">
        <v>50</v>
      </c>
      <c r="E214" s="4" t="s">
        <v>25</v>
      </c>
      <c r="F214" s="4" t="s">
        <v>25</v>
      </c>
      <c r="G214" s="4" t="s">
        <v>25</v>
      </c>
      <c r="H214" s="4" t="s">
        <v>34</v>
      </c>
      <c r="I214" s="5">
        <v>44593</v>
      </c>
      <c r="J214" s="6">
        <v>0</v>
      </c>
      <c r="K214" s="6">
        <v>0</v>
      </c>
      <c r="L214" s="6">
        <v>11.307</v>
      </c>
      <c r="M214" s="6">
        <v>11.307</v>
      </c>
      <c r="N214" s="6">
        <v>11.307</v>
      </c>
      <c r="O214" s="6">
        <v>11.307</v>
      </c>
      <c r="P214" s="6">
        <v>0</v>
      </c>
      <c r="Q214" s="4" t="s">
        <v>26</v>
      </c>
      <c r="R214" s="4">
        <v>0</v>
      </c>
      <c r="S214" s="4" t="s">
        <v>167</v>
      </c>
      <c r="T214" s="4" t="s">
        <v>372</v>
      </c>
      <c r="U214" s="4">
        <v>0</v>
      </c>
      <c r="V214" s="4">
        <v>14</v>
      </c>
      <c r="W214" s="4">
        <v>42</v>
      </c>
    </row>
    <row r="215" spans="1:23" ht="11.25" customHeight="1" x14ac:dyDescent="0.25">
      <c r="A215" s="4" t="s">
        <v>21</v>
      </c>
      <c r="B215" s="4" t="s">
        <v>38</v>
      </c>
      <c r="C215" s="4" t="s">
        <v>40</v>
      </c>
      <c r="D215" s="4" t="s">
        <v>50</v>
      </c>
      <c r="E215" s="4" t="s">
        <v>25</v>
      </c>
      <c r="F215" s="4" t="s">
        <v>25</v>
      </c>
      <c r="G215" s="4" t="s">
        <v>25</v>
      </c>
      <c r="H215" s="4" t="s">
        <v>34</v>
      </c>
      <c r="I215" s="5">
        <v>44621</v>
      </c>
      <c r="J215" s="6">
        <v>0</v>
      </c>
      <c r="K215" s="6">
        <v>0</v>
      </c>
      <c r="L215" s="6">
        <v>10.997</v>
      </c>
      <c r="M215" s="6">
        <v>10.997</v>
      </c>
      <c r="N215" s="6">
        <v>10.997</v>
      </c>
      <c r="O215" s="6">
        <v>10.997</v>
      </c>
      <c r="P215" s="6">
        <v>0</v>
      </c>
      <c r="Q215" s="4" t="s">
        <v>26</v>
      </c>
      <c r="R215" s="4">
        <v>0</v>
      </c>
      <c r="S215" s="4" t="s">
        <v>168</v>
      </c>
      <c r="T215" s="4" t="s">
        <v>373</v>
      </c>
      <c r="U215" s="4">
        <v>0</v>
      </c>
      <c r="V215" s="4">
        <v>14</v>
      </c>
      <c r="W215" s="4">
        <v>42</v>
      </c>
    </row>
    <row r="216" spans="1:23" ht="11.25" customHeight="1" x14ac:dyDescent="0.25">
      <c r="A216" s="4" t="s">
        <v>21</v>
      </c>
      <c r="B216" s="4" t="s">
        <v>38</v>
      </c>
      <c r="C216" s="4" t="s">
        <v>40</v>
      </c>
      <c r="D216" s="4" t="s">
        <v>50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44652</v>
      </c>
      <c r="J216" s="6">
        <v>0</v>
      </c>
      <c r="K216" s="6">
        <v>0</v>
      </c>
      <c r="L216" s="6">
        <v>8.1660000000000004</v>
      </c>
      <c r="M216" s="6">
        <v>8.1660000000000004</v>
      </c>
      <c r="N216" s="6">
        <v>8.1660000000000004</v>
      </c>
      <c r="O216" s="6">
        <v>8.1660000000000004</v>
      </c>
      <c r="P216" s="6">
        <v>0</v>
      </c>
      <c r="Q216" s="4" t="s">
        <v>26</v>
      </c>
      <c r="R216" s="4">
        <v>0</v>
      </c>
      <c r="S216" s="4" t="s">
        <v>169</v>
      </c>
      <c r="T216" s="4" t="s">
        <v>374</v>
      </c>
      <c r="U216" s="4">
        <v>0</v>
      </c>
      <c r="V216" s="4">
        <v>14</v>
      </c>
      <c r="W216" s="4">
        <v>42</v>
      </c>
    </row>
    <row r="217" spans="1:23" ht="11.25" customHeight="1" x14ac:dyDescent="0.25">
      <c r="A217" s="4" t="s">
        <v>21</v>
      </c>
      <c r="B217" s="4" t="s">
        <v>38</v>
      </c>
      <c r="C217" s="4" t="s">
        <v>40</v>
      </c>
      <c r="D217" s="4" t="s">
        <v>50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44682</v>
      </c>
      <c r="J217" s="6">
        <v>0</v>
      </c>
      <c r="K217" s="6">
        <v>0</v>
      </c>
      <c r="L217" s="6">
        <v>10.173</v>
      </c>
      <c r="M217" s="6">
        <v>10.173</v>
      </c>
      <c r="N217" s="6">
        <v>10.173</v>
      </c>
      <c r="O217" s="6">
        <v>10.173</v>
      </c>
      <c r="P217" s="6">
        <v>0</v>
      </c>
      <c r="Q217" s="4" t="s">
        <v>26</v>
      </c>
      <c r="R217" s="4">
        <v>0</v>
      </c>
      <c r="S217" s="4" t="s">
        <v>170</v>
      </c>
      <c r="T217" s="4" t="s">
        <v>375</v>
      </c>
      <c r="U217" s="4">
        <v>0</v>
      </c>
      <c r="V217" s="4">
        <v>14</v>
      </c>
      <c r="W217" s="4">
        <v>42</v>
      </c>
    </row>
    <row r="218" spans="1:23" ht="11.25" customHeight="1" x14ac:dyDescent="0.25">
      <c r="A218" s="4" t="s">
        <v>56</v>
      </c>
      <c r="B218" s="4" t="s">
        <v>38</v>
      </c>
      <c r="C218" s="4" t="s">
        <v>40</v>
      </c>
      <c r="D218" s="4" t="s">
        <v>50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44713</v>
      </c>
      <c r="J218" s="6">
        <v>0</v>
      </c>
      <c r="K218" s="6">
        <v>0</v>
      </c>
      <c r="L218" s="6">
        <v>10.173</v>
      </c>
      <c r="M218" s="6">
        <v>10.173</v>
      </c>
      <c r="N218" s="6">
        <v>10.173</v>
      </c>
      <c r="O218" s="6">
        <v>10.173</v>
      </c>
      <c r="P218" s="6">
        <v>0</v>
      </c>
      <c r="Q218" s="4" t="s">
        <v>26</v>
      </c>
      <c r="R218" s="4">
        <v>0</v>
      </c>
      <c r="S218" s="4" t="s">
        <v>171</v>
      </c>
      <c r="T218" s="4" t="s">
        <v>376</v>
      </c>
      <c r="U218" s="4">
        <v>0</v>
      </c>
      <c r="V218" s="4">
        <v>14</v>
      </c>
      <c r="W218" s="4">
        <v>42</v>
      </c>
    </row>
    <row r="219" spans="1:23" ht="11.25" customHeight="1" x14ac:dyDescent="0.25">
      <c r="A219" s="4" t="s">
        <v>21</v>
      </c>
      <c r="B219" s="4" t="s">
        <v>38</v>
      </c>
      <c r="C219" s="4" t="s">
        <v>40</v>
      </c>
      <c r="D219" s="4" t="s">
        <v>50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44378</v>
      </c>
      <c r="J219" s="6">
        <v>53</v>
      </c>
      <c r="K219" s="6">
        <v>53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4" t="s">
        <v>26</v>
      </c>
      <c r="R219" s="4">
        <v>0</v>
      </c>
      <c r="S219" s="4" t="s">
        <v>172</v>
      </c>
      <c r="U219" s="4">
        <v>18</v>
      </c>
      <c r="V219" s="4">
        <v>0</v>
      </c>
      <c r="W219" s="4">
        <v>0</v>
      </c>
    </row>
    <row r="220" spans="1:23" ht="11.25" customHeight="1" x14ac:dyDescent="0.25">
      <c r="A220" s="4" t="s">
        <v>21</v>
      </c>
      <c r="B220" s="4" t="s">
        <v>38</v>
      </c>
      <c r="C220" s="4" t="s">
        <v>40</v>
      </c>
      <c r="D220" s="4" t="s">
        <v>50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44409</v>
      </c>
      <c r="J220" s="6">
        <v>50</v>
      </c>
      <c r="K220" s="6">
        <v>50</v>
      </c>
      <c r="L220" s="6">
        <v>0</v>
      </c>
      <c r="M220" s="6">
        <v>0</v>
      </c>
      <c r="N220" s="6">
        <v>0</v>
      </c>
      <c r="O220" s="6">
        <v>0</v>
      </c>
      <c r="P220" s="6">
        <v>1</v>
      </c>
      <c r="Q220" s="4" t="s">
        <v>26</v>
      </c>
      <c r="R220" s="4">
        <v>0</v>
      </c>
      <c r="S220" s="4" t="s">
        <v>173</v>
      </c>
      <c r="U220" s="4">
        <v>18</v>
      </c>
      <c r="V220" s="4">
        <v>0</v>
      </c>
      <c r="W220" s="4">
        <v>0</v>
      </c>
    </row>
    <row r="221" spans="1:23" ht="11.25" customHeight="1" x14ac:dyDescent="0.25">
      <c r="A221" s="4" t="s">
        <v>21</v>
      </c>
      <c r="B221" s="4" t="s">
        <v>38</v>
      </c>
      <c r="C221" s="4" t="s">
        <v>40</v>
      </c>
      <c r="D221" s="4" t="s">
        <v>50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30</v>
      </c>
      <c r="K221" s="6">
        <v>30</v>
      </c>
      <c r="L221" s="6">
        <v>0</v>
      </c>
      <c r="M221" s="6">
        <v>0</v>
      </c>
      <c r="N221" s="6">
        <v>0</v>
      </c>
      <c r="O221" s="6">
        <v>0</v>
      </c>
      <c r="P221" s="6">
        <v>1</v>
      </c>
      <c r="Q221" s="4" t="s">
        <v>26</v>
      </c>
      <c r="R221" s="4">
        <v>0</v>
      </c>
      <c r="S221" s="4" t="s">
        <v>174</v>
      </c>
      <c r="U221" s="4">
        <v>18</v>
      </c>
      <c r="V221" s="4">
        <v>0</v>
      </c>
      <c r="W221" s="4">
        <v>0</v>
      </c>
    </row>
    <row r="222" spans="1:23" ht="11.25" customHeight="1" x14ac:dyDescent="0.25">
      <c r="A222" s="4" t="s">
        <v>21</v>
      </c>
      <c r="B222" s="4" t="s">
        <v>38</v>
      </c>
      <c r="C222" s="4" t="s">
        <v>40</v>
      </c>
      <c r="D222" s="4" t="s">
        <v>50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38</v>
      </c>
      <c r="K222" s="6">
        <v>38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4" t="s">
        <v>26</v>
      </c>
      <c r="R222" s="4">
        <v>0</v>
      </c>
      <c r="S222" s="4" t="s">
        <v>175</v>
      </c>
      <c r="U222" s="4">
        <v>18</v>
      </c>
      <c r="V222" s="4">
        <v>0</v>
      </c>
      <c r="W222" s="4">
        <v>0</v>
      </c>
    </row>
    <row r="223" spans="1:23" ht="11.25" customHeight="1" x14ac:dyDescent="0.25">
      <c r="A223" s="4" t="s">
        <v>21</v>
      </c>
      <c r="B223" s="4" t="s">
        <v>38</v>
      </c>
      <c r="C223" s="4" t="s">
        <v>40</v>
      </c>
      <c r="D223" s="4" t="s">
        <v>50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44501</v>
      </c>
      <c r="J223" s="6">
        <v>56</v>
      </c>
      <c r="K223" s="6">
        <v>56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4" t="s">
        <v>26</v>
      </c>
      <c r="R223" s="4">
        <v>0</v>
      </c>
      <c r="S223" s="4" t="s">
        <v>176</v>
      </c>
      <c r="U223" s="4">
        <v>18</v>
      </c>
      <c r="V223" s="4">
        <v>0</v>
      </c>
      <c r="W223" s="4">
        <v>0</v>
      </c>
    </row>
    <row r="224" spans="1:23" ht="11.25" customHeight="1" x14ac:dyDescent="0.25">
      <c r="A224" s="4" t="s">
        <v>21</v>
      </c>
      <c r="B224" s="4" t="s">
        <v>38</v>
      </c>
      <c r="C224" s="4" t="s">
        <v>40</v>
      </c>
      <c r="D224" s="4" t="s">
        <v>50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44531</v>
      </c>
      <c r="J224" s="6">
        <v>59</v>
      </c>
      <c r="K224" s="6">
        <v>59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26</v>
      </c>
      <c r="R224" s="4">
        <v>0</v>
      </c>
      <c r="S224" s="4" t="s">
        <v>177</v>
      </c>
      <c r="U224" s="4">
        <v>18</v>
      </c>
      <c r="V224" s="4">
        <v>0</v>
      </c>
      <c r="W224" s="4">
        <v>0</v>
      </c>
    </row>
    <row r="225" spans="1:23" ht="11.25" customHeight="1" x14ac:dyDescent="0.25">
      <c r="A225" s="4" t="s">
        <v>21</v>
      </c>
      <c r="B225" s="4" t="s">
        <v>38</v>
      </c>
      <c r="C225" s="4" t="s">
        <v>40</v>
      </c>
      <c r="D225" s="4" t="s">
        <v>50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44562</v>
      </c>
      <c r="J225" s="6">
        <v>59</v>
      </c>
      <c r="K225" s="6">
        <v>59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4" t="s">
        <v>178</v>
      </c>
      <c r="U225" s="4">
        <v>18</v>
      </c>
      <c r="V225" s="4">
        <v>0</v>
      </c>
      <c r="W225" s="4">
        <v>0</v>
      </c>
    </row>
    <row r="226" spans="1:23" ht="11.25" customHeight="1" x14ac:dyDescent="0.25">
      <c r="A226" s="4" t="s">
        <v>21</v>
      </c>
      <c r="B226" s="4" t="s">
        <v>38</v>
      </c>
      <c r="C226" s="4" t="s">
        <v>40</v>
      </c>
      <c r="D226" s="4" t="s">
        <v>50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44593</v>
      </c>
      <c r="J226" s="6">
        <v>54</v>
      </c>
      <c r="K226" s="6">
        <v>54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26</v>
      </c>
      <c r="R226" s="4">
        <v>0</v>
      </c>
      <c r="S226" s="4" t="s">
        <v>179</v>
      </c>
      <c r="U226" s="4">
        <v>18</v>
      </c>
      <c r="V226" s="4">
        <v>0</v>
      </c>
      <c r="W226" s="4">
        <v>0</v>
      </c>
    </row>
    <row r="227" spans="1:23" ht="11.25" customHeight="1" x14ac:dyDescent="0.25">
      <c r="A227" s="4" t="s">
        <v>21</v>
      </c>
      <c r="B227" s="4" t="s">
        <v>38</v>
      </c>
      <c r="C227" s="4" t="s">
        <v>40</v>
      </c>
      <c r="D227" s="4" t="s">
        <v>50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44621</v>
      </c>
      <c r="J227" s="6">
        <v>48</v>
      </c>
      <c r="K227" s="6">
        <v>48</v>
      </c>
      <c r="L227" s="6">
        <v>0</v>
      </c>
      <c r="M227" s="6">
        <v>0</v>
      </c>
      <c r="N227" s="6">
        <v>0</v>
      </c>
      <c r="O227" s="6">
        <v>0</v>
      </c>
      <c r="P227" s="6">
        <v>1</v>
      </c>
      <c r="Q227" s="4" t="s">
        <v>26</v>
      </c>
      <c r="R227" s="4">
        <v>0</v>
      </c>
      <c r="S227" s="4" t="s">
        <v>180</v>
      </c>
      <c r="U227" s="4">
        <v>18</v>
      </c>
      <c r="V227" s="4">
        <v>0</v>
      </c>
      <c r="W227" s="4">
        <v>0</v>
      </c>
    </row>
    <row r="228" spans="1:23" ht="11.25" customHeight="1" x14ac:dyDescent="0.25">
      <c r="A228" s="4" t="s">
        <v>21</v>
      </c>
      <c r="B228" s="4" t="s">
        <v>38</v>
      </c>
      <c r="C228" s="4" t="s">
        <v>40</v>
      </c>
      <c r="D228" s="4" t="s">
        <v>50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44652</v>
      </c>
      <c r="J228" s="6">
        <v>37</v>
      </c>
      <c r="K228" s="6">
        <v>37</v>
      </c>
      <c r="L228" s="6">
        <v>0</v>
      </c>
      <c r="M228" s="6">
        <v>0</v>
      </c>
      <c r="N228" s="6">
        <v>0</v>
      </c>
      <c r="O228" s="6">
        <v>0</v>
      </c>
      <c r="P228" s="6">
        <v>1</v>
      </c>
      <c r="Q228" s="4" t="s">
        <v>26</v>
      </c>
      <c r="R228" s="4">
        <v>0</v>
      </c>
      <c r="S228" s="4" t="s">
        <v>181</v>
      </c>
      <c r="U228" s="4">
        <v>18</v>
      </c>
      <c r="V228" s="4">
        <v>0</v>
      </c>
      <c r="W228" s="4">
        <v>0</v>
      </c>
    </row>
    <row r="229" spans="1:23" ht="11.25" customHeight="1" x14ac:dyDescent="0.25">
      <c r="A229" s="4" t="s">
        <v>21</v>
      </c>
      <c r="B229" s="4" t="s">
        <v>38</v>
      </c>
      <c r="C229" s="4" t="s">
        <v>40</v>
      </c>
      <c r="D229" s="4" t="s">
        <v>50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44682</v>
      </c>
      <c r="J229" s="6">
        <v>42</v>
      </c>
      <c r="K229" s="6">
        <v>42</v>
      </c>
      <c r="L229" s="6">
        <v>0</v>
      </c>
      <c r="M229" s="6">
        <v>0</v>
      </c>
      <c r="N229" s="6">
        <v>0</v>
      </c>
      <c r="O229" s="6">
        <v>0</v>
      </c>
      <c r="P229" s="6">
        <v>1</v>
      </c>
      <c r="Q229" s="4" t="s">
        <v>26</v>
      </c>
      <c r="R229" s="4">
        <v>0</v>
      </c>
      <c r="S229" s="4" t="s">
        <v>182</v>
      </c>
      <c r="U229" s="4">
        <v>18</v>
      </c>
      <c r="V229" s="4">
        <v>0</v>
      </c>
      <c r="W229" s="4">
        <v>0</v>
      </c>
    </row>
    <row r="230" spans="1:23" ht="11.25" customHeight="1" x14ac:dyDescent="0.25">
      <c r="A230" s="4" t="s">
        <v>56</v>
      </c>
      <c r="B230" s="4" t="s">
        <v>38</v>
      </c>
      <c r="C230" s="4" t="s">
        <v>40</v>
      </c>
      <c r="D230" s="4" t="s">
        <v>50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44713</v>
      </c>
      <c r="J230" s="6">
        <v>42</v>
      </c>
      <c r="K230" s="6">
        <v>42</v>
      </c>
      <c r="L230" s="6">
        <v>0</v>
      </c>
      <c r="M230" s="6">
        <v>0</v>
      </c>
      <c r="N230" s="6">
        <v>0</v>
      </c>
      <c r="O230" s="6">
        <v>0</v>
      </c>
      <c r="P230" s="6">
        <v>1</v>
      </c>
      <c r="Q230" s="4" t="s">
        <v>26</v>
      </c>
      <c r="R230" s="4">
        <v>0</v>
      </c>
      <c r="S230" s="4" t="s">
        <v>183</v>
      </c>
      <c r="U230" s="4">
        <v>18</v>
      </c>
      <c r="V230" s="4">
        <v>0</v>
      </c>
      <c r="W230" s="4">
        <v>0</v>
      </c>
    </row>
    <row r="231" spans="1:23" ht="11.25" customHeight="1" x14ac:dyDescent="0.25">
      <c r="A231" s="4" t="s">
        <v>21</v>
      </c>
      <c r="B231" s="4" t="s">
        <v>38</v>
      </c>
      <c r="C231" s="4" t="s">
        <v>40</v>
      </c>
      <c r="D231" s="4" t="s">
        <v>50</v>
      </c>
      <c r="E231" s="4" t="s">
        <v>25</v>
      </c>
      <c r="F231" s="4" t="s">
        <v>25</v>
      </c>
      <c r="G231" s="4" t="s">
        <v>25</v>
      </c>
      <c r="H231" s="4" t="s">
        <v>33</v>
      </c>
      <c r="I231" s="5">
        <v>44378</v>
      </c>
      <c r="J231" s="6">
        <v>0</v>
      </c>
      <c r="K231" s="6">
        <v>0</v>
      </c>
      <c r="L231" s="6">
        <v>1.0940000000000001</v>
      </c>
      <c r="M231" s="6">
        <v>1.0940000000000001</v>
      </c>
      <c r="N231" s="6">
        <v>1.0940000000000001</v>
      </c>
      <c r="O231" s="6">
        <v>1.0940000000000001</v>
      </c>
      <c r="P231" s="6">
        <v>0</v>
      </c>
      <c r="Q231" s="4" t="s">
        <v>26</v>
      </c>
      <c r="R231" s="4">
        <v>0</v>
      </c>
      <c r="S231" s="4" t="s">
        <v>184</v>
      </c>
      <c r="T231" s="4" t="s">
        <v>377</v>
      </c>
      <c r="U231" s="4">
        <v>0</v>
      </c>
      <c r="V231" s="4">
        <v>16</v>
      </c>
      <c r="W231" s="4">
        <v>47</v>
      </c>
    </row>
    <row r="232" spans="1:23" ht="11.25" customHeight="1" x14ac:dyDescent="0.25">
      <c r="A232" s="4" t="s">
        <v>21</v>
      </c>
      <c r="B232" s="4" t="s">
        <v>38</v>
      </c>
      <c r="C232" s="4" t="s">
        <v>40</v>
      </c>
      <c r="D232" s="4" t="s">
        <v>50</v>
      </c>
      <c r="E232" s="4" t="s">
        <v>25</v>
      </c>
      <c r="F232" s="4" t="s">
        <v>25</v>
      </c>
      <c r="G232" s="4" t="s">
        <v>25</v>
      </c>
      <c r="H232" s="4" t="s">
        <v>33</v>
      </c>
      <c r="I232" s="5">
        <v>44409</v>
      </c>
      <c r="J232" s="6">
        <v>0</v>
      </c>
      <c r="K232" s="6">
        <v>0</v>
      </c>
      <c r="L232" s="6">
        <v>1.0640000000000001</v>
      </c>
      <c r="M232" s="6">
        <v>1.0640000000000001</v>
      </c>
      <c r="N232" s="6">
        <v>1.0640000000000001</v>
      </c>
      <c r="O232" s="6">
        <v>1.0640000000000001</v>
      </c>
      <c r="P232" s="6">
        <v>0</v>
      </c>
      <c r="Q232" s="4" t="s">
        <v>26</v>
      </c>
      <c r="R232" s="4">
        <v>0</v>
      </c>
      <c r="S232" s="4" t="s">
        <v>185</v>
      </c>
      <c r="T232" s="4" t="s">
        <v>378</v>
      </c>
      <c r="U232" s="4">
        <v>0</v>
      </c>
      <c r="V232" s="4">
        <v>16</v>
      </c>
      <c r="W232" s="4">
        <v>47</v>
      </c>
    </row>
    <row r="233" spans="1:23" ht="11.25" customHeight="1" x14ac:dyDescent="0.25">
      <c r="A233" s="4" t="s">
        <v>21</v>
      </c>
      <c r="B233" s="4" t="s">
        <v>38</v>
      </c>
      <c r="C233" s="4" t="s">
        <v>40</v>
      </c>
      <c r="D233" s="4" t="s">
        <v>50</v>
      </c>
      <c r="E233" s="4" t="s">
        <v>25</v>
      </c>
      <c r="F233" s="4" t="s">
        <v>25</v>
      </c>
      <c r="G233" s="4" t="s">
        <v>25</v>
      </c>
      <c r="H233" s="4" t="s">
        <v>33</v>
      </c>
      <c r="I233" s="5">
        <v>44440</v>
      </c>
      <c r="J233" s="6">
        <v>0</v>
      </c>
      <c r="K233" s="6">
        <v>0</v>
      </c>
      <c r="L233" s="6">
        <v>0.94599999999999995</v>
      </c>
      <c r="M233" s="6">
        <v>0.94599999999999995</v>
      </c>
      <c r="N233" s="6">
        <v>0.94599999999999995</v>
      </c>
      <c r="O233" s="6">
        <v>0.94599999999999995</v>
      </c>
      <c r="P233" s="6">
        <v>0</v>
      </c>
      <c r="Q233" s="4" t="s">
        <v>26</v>
      </c>
      <c r="R233" s="4">
        <v>0</v>
      </c>
      <c r="S233" s="4" t="s">
        <v>186</v>
      </c>
      <c r="T233" s="4" t="s">
        <v>379</v>
      </c>
      <c r="U233" s="4">
        <v>0</v>
      </c>
      <c r="V233" s="4">
        <v>16</v>
      </c>
      <c r="W233" s="4">
        <v>47</v>
      </c>
    </row>
    <row r="234" spans="1:23" ht="11.25" customHeight="1" x14ac:dyDescent="0.25">
      <c r="A234" s="4" t="s">
        <v>21</v>
      </c>
      <c r="B234" s="4" t="s">
        <v>38</v>
      </c>
      <c r="C234" s="4" t="s">
        <v>40</v>
      </c>
      <c r="D234" s="4" t="s">
        <v>50</v>
      </c>
      <c r="E234" s="4" t="s">
        <v>25</v>
      </c>
      <c r="F234" s="4" t="s">
        <v>25</v>
      </c>
      <c r="G234" s="4" t="s">
        <v>25</v>
      </c>
      <c r="H234" s="4" t="s">
        <v>33</v>
      </c>
      <c r="I234" s="5">
        <v>44470</v>
      </c>
      <c r="J234" s="6">
        <v>0</v>
      </c>
      <c r="K234" s="6">
        <v>0</v>
      </c>
      <c r="L234" s="6">
        <v>0.85399999999999998</v>
      </c>
      <c r="M234" s="6">
        <v>0.85399999999999998</v>
      </c>
      <c r="N234" s="6">
        <v>0.85399999999999998</v>
      </c>
      <c r="O234" s="6">
        <v>0.85399999999999998</v>
      </c>
      <c r="P234" s="6">
        <v>0</v>
      </c>
      <c r="Q234" s="4" t="s">
        <v>26</v>
      </c>
      <c r="R234" s="4">
        <v>0</v>
      </c>
      <c r="S234" s="4" t="s">
        <v>187</v>
      </c>
      <c r="T234" s="4" t="s">
        <v>380</v>
      </c>
      <c r="U234" s="4">
        <v>0</v>
      </c>
      <c r="V234" s="4">
        <v>16</v>
      </c>
      <c r="W234" s="4">
        <v>47</v>
      </c>
    </row>
    <row r="235" spans="1:23" ht="11.25" customHeight="1" x14ac:dyDescent="0.25">
      <c r="A235" s="4" t="s">
        <v>21</v>
      </c>
      <c r="B235" s="4" t="s">
        <v>38</v>
      </c>
      <c r="C235" s="4" t="s">
        <v>40</v>
      </c>
      <c r="D235" s="4" t="s">
        <v>50</v>
      </c>
      <c r="E235" s="4" t="s">
        <v>25</v>
      </c>
      <c r="F235" s="4" t="s">
        <v>25</v>
      </c>
      <c r="G235" s="4" t="s">
        <v>25</v>
      </c>
      <c r="H235" s="4" t="s">
        <v>33</v>
      </c>
      <c r="I235" s="5">
        <v>44501</v>
      </c>
      <c r="J235" s="6">
        <v>0</v>
      </c>
      <c r="K235" s="6">
        <v>0</v>
      </c>
      <c r="L235" s="6">
        <v>0.85299999999999998</v>
      </c>
      <c r="M235" s="6">
        <v>0.85299999999999998</v>
      </c>
      <c r="N235" s="6">
        <v>0.85299999999999998</v>
      </c>
      <c r="O235" s="6">
        <v>0.85299999999999998</v>
      </c>
      <c r="P235" s="6">
        <v>0</v>
      </c>
      <c r="Q235" s="4" t="s">
        <v>26</v>
      </c>
      <c r="R235" s="4">
        <v>0</v>
      </c>
      <c r="S235" s="4" t="s">
        <v>188</v>
      </c>
      <c r="T235" s="4" t="s">
        <v>381</v>
      </c>
      <c r="U235" s="4">
        <v>0</v>
      </c>
      <c r="V235" s="4">
        <v>16</v>
      </c>
      <c r="W235" s="4">
        <v>47</v>
      </c>
    </row>
    <row r="236" spans="1:23" ht="11.25" customHeight="1" x14ac:dyDescent="0.25">
      <c r="A236" s="4" t="s">
        <v>21</v>
      </c>
      <c r="B236" s="4" t="s">
        <v>38</v>
      </c>
      <c r="C236" s="4" t="s">
        <v>40</v>
      </c>
      <c r="D236" s="4" t="s">
        <v>50</v>
      </c>
      <c r="E236" s="4" t="s">
        <v>25</v>
      </c>
      <c r="F236" s="4" t="s">
        <v>25</v>
      </c>
      <c r="G236" s="4" t="s">
        <v>25</v>
      </c>
      <c r="H236" s="4" t="s">
        <v>33</v>
      </c>
      <c r="I236" s="5">
        <v>44531</v>
      </c>
      <c r="J236" s="6">
        <v>0</v>
      </c>
      <c r="K236" s="6">
        <v>0</v>
      </c>
      <c r="L236" s="6">
        <v>0.98099999999999998</v>
      </c>
      <c r="M236" s="6">
        <v>0.98099999999999998</v>
      </c>
      <c r="N236" s="6">
        <v>0.98099999999999998</v>
      </c>
      <c r="O236" s="6">
        <v>0.98099999999999998</v>
      </c>
      <c r="P236" s="6">
        <v>0</v>
      </c>
      <c r="Q236" s="4" t="s">
        <v>26</v>
      </c>
      <c r="R236" s="4">
        <v>0</v>
      </c>
      <c r="S236" s="4" t="s">
        <v>189</v>
      </c>
      <c r="T236" s="4" t="s">
        <v>382</v>
      </c>
      <c r="U236" s="4">
        <v>0</v>
      </c>
      <c r="V236" s="4">
        <v>16</v>
      </c>
      <c r="W236" s="4">
        <v>47</v>
      </c>
    </row>
    <row r="237" spans="1:23" ht="11.25" customHeight="1" x14ac:dyDescent="0.25">
      <c r="A237" s="4" t="s">
        <v>21</v>
      </c>
      <c r="B237" s="4" t="s">
        <v>38</v>
      </c>
      <c r="C237" s="4" t="s">
        <v>40</v>
      </c>
      <c r="D237" s="4" t="s">
        <v>50</v>
      </c>
      <c r="E237" s="4" t="s">
        <v>25</v>
      </c>
      <c r="F237" s="4" t="s">
        <v>25</v>
      </c>
      <c r="G237" s="4" t="s">
        <v>25</v>
      </c>
      <c r="H237" s="4" t="s">
        <v>33</v>
      </c>
      <c r="I237" s="5">
        <v>44562</v>
      </c>
      <c r="J237" s="6">
        <v>0</v>
      </c>
      <c r="K237" s="6">
        <v>0</v>
      </c>
      <c r="L237" s="6">
        <v>0.92700000000000005</v>
      </c>
      <c r="M237" s="6">
        <v>0.92700000000000005</v>
      </c>
      <c r="N237" s="6">
        <v>0.92700000000000005</v>
      </c>
      <c r="O237" s="6">
        <v>0.92700000000000005</v>
      </c>
      <c r="P237" s="6">
        <v>0</v>
      </c>
      <c r="Q237" s="4" t="s">
        <v>26</v>
      </c>
      <c r="R237" s="4">
        <v>0</v>
      </c>
      <c r="S237" s="4" t="s">
        <v>190</v>
      </c>
      <c r="T237" s="4" t="s">
        <v>383</v>
      </c>
      <c r="U237" s="4">
        <v>0</v>
      </c>
      <c r="V237" s="4">
        <v>16</v>
      </c>
      <c r="W237" s="4">
        <v>47</v>
      </c>
    </row>
    <row r="238" spans="1:23" ht="11.25" customHeight="1" x14ac:dyDescent="0.25">
      <c r="A238" s="4" t="s">
        <v>21</v>
      </c>
      <c r="B238" s="4" t="s">
        <v>38</v>
      </c>
      <c r="C238" s="4" t="s">
        <v>40</v>
      </c>
      <c r="D238" s="4" t="s">
        <v>50</v>
      </c>
      <c r="E238" s="4" t="s">
        <v>25</v>
      </c>
      <c r="F238" s="4" t="s">
        <v>25</v>
      </c>
      <c r="G238" s="4" t="s">
        <v>25</v>
      </c>
      <c r="H238" s="4" t="s">
        <v>33</v>
      </c>
      <c r="I238" s="5">
        <v>44593</v>
      </c>
      <c r="J238" s="6">
        <v>0</v>
      </c>
      <c r="K238" s="6">
        <v>0</v>
      </c>
      <c r="L238" s="6">
        <v>0.89800000000000002</v>
      </c>
      <c r="M238" s="6">
        <v>0.89800000000000002</v>
      </c>
      <c r="N238" s="6">
        <v>0.89800000000000002</v>
      </c>
      <c r="O238" s="6">
        <v>0.89800000000000002</v>
      </c>
      <c r="P238" s="6">
        <v>0</v>
      </c>
      <c r="Q238" s="4" t="s">
        <v>26</v>
      </c>
      <c r="R238" s="4">
        <v>0</v>
      </c>
      <c r="S238" s="4" t="s">
        <v>191</v>
      </c>
      <c r="T238" s="4" t="s">
        <v>384</v>
      </c>
      <c r="U238" s="4">
        <v>0</v>
      </c>
      <c r="V238" s="4">
        <v>16</v>
      </c>
      <c r="W238" s="4">
        <v>47</v>
      </c>
    </row>
    <row r="239" spans="1:23" ht="11.25" customHeight="1" x14ac:dyDescent="0.25">
      <c r="A239" s="4" t="s">
        <v>21</v>
      </c>
      <c r="B239" s="4" t="s">
        <v>38</v>
      </c>
      <c r="C239" s="4" t="s">
        <v>40</v>
      </c>
      <c r="D239" s="4" t="s">
        <v>50</v>
      </c>
      <c r="E239" s="4" t="s">
        <v>25</v>
      </c>
      <c r="F239" s="4" t="s">
        <v>25</v>
      </c>
      <c r="G239" s="4" t="s">
        <v>25</v>
      </c>
      <c r="H239" s="4" t="s">
        <v>33</v>
      </c>
      <c r="I239" s="5">
        <v>44621</v>
      </c>
      <c r="J239" s="6">
        <v>0</v>
      </c>
      <c r="K239" s="6">
        <v>0</v>
      </c>
      <c r="L239" s="6">
        <v>0.99399999999999999</v>
      </c>
      <c r="M239" s="6">
        <v>0.99399999999999999</v>
      </c>
      <c r="N239" s="6">
        <v>0.99399999999999999</v>
      </c>
      <c r="O239" s="6">
        <v>0.99399999999999999</v>
      </c>
      <c r="P239" s="6">
        <v>0</v>
      </c>
      <c r="Q239" s="4" t="s">
        <v>26</v>
      </c>
      <c r="R239" s="4">
        <v>0</v>
      </c>
      <c r="S239" s="4" t="s">
        <v>192</v>
      </c>
      <c r="T239" s="4" t="s">
        <v>385</v>
      </c>
      <c r="U239" s="4">
        <v>0</v>
      </c>
      <c r="V239" s="4">
        <v>16</v>
      </c>
      <c r="W239" s="4">
        <v>47</v>
      </c>
    </row>
    <row r="240" spans="1:23" ht="11.25" customHeight="1" x14ac:dyDescent="0.25">
      <c r="A240" s="4" t="s">
        <v>21</v>
      </c>
      <c r="B240" s="4" t="s">
        <v>38</v>
      </c>
      <c r="C240" s="4" t="s">
        <v>40</v>
      </c>
      <c r="D240" s="4" t="s">
        <v>50</v>
      </c>
      <c r="E240" s="4" t="s">
        <v>25</v>
      </c>
      <c r="F240" s="4" t="s">
        <v>25</v>
      </c>
      <c r="G240" s="4" t="s">
        <v>25</v>
      </c>
      <c r="H240" s="4" t="s">
        <v>33</v>
      </c>
      <c r="I240" s="5">
        <v>44652</v>
      </c>
      <c r="J240" s="6">
        <v>0</v>
      </c>
      <c r="K240" s="6">
        <v>0</v>
      </c>
      <c r="L240" s="6">
        <v>0.79500000000000004</v>
      </c>
      <c r="M240" s="6">
        <v>0.79500000000000004</v>
      </c>
      <c r="N240" s="6">
        <v>0.79500000000000004</v>
      </c>
      <c r="O240" s="6">
        <v>0.79500000000000004</v>
      </c>
      <c r="P240" s="6">
        <v>0</v>
      </c>
      <c r="Q240" s="4" t="s">
        <v>26</v>
      </c>
      <c r="R240" s="4">
        <v>0</v>
      </c>
      <c r="S240" s="4" t="s">
        <v>193</v>
      </c>
      <c r="T240" s="4" t="s">
        <v>386</v>
      </c>
      <c r="U240" s="4">
        <v>0</v>
      </c>
      <c r="V240" s="4">
        <v>16</v>
      </c>
      <c r="W240" s="4">
        <v>47</v>
      </c>
    </row>
    <row r="241" spans="1:23" ht="11.25" customHeight="1" x14ac:dyDescent="0.25">
      <c r="A241" s="4" t="s">
        <v>21</v>
      </c>
      <c r="B241" s="4" t="s">
        <v>38</v>
      </c>
      <c r="C241" s="4" t="s">
        <v>40</v>
      </c>
      <c r="D241" s="4" t="s">
        <v>50</v>
      </c>
      <c r="E241" s="4" t="s">
        <v>25</v>
      </c>
      <c r="F241" s="4" t="s">
        <v>25</v>
      </c>
      <c r="G241" s="4" t="s">
        <v>25</v>
      </c>
      <c r="H241" s="4" t="s">
        <v>33</v>
      </c>
      <c r="I241" s="5">
        <v>44682</v>
      </c>
      <c r="J241" s="6">
        <v>0</v>
      </c>
      <c r="K241" s="6">
        <v>0</v>
      </c>
      <c r="L241" s="6">
        <v>0.98899999999999999</v>
      </c>
      <c r="M241" s="6">
        <v>0.98899999999999999</v>
      </c>
      <c r="N241" s="6">
        <v>0.98899999999999999</v>
      </c>
      <c r="O241" s="6">
        <v>0.98899999999999999</v>
      </c>
      <c r="P241" s="6">
        <v>0</v>
      </c>
      <c r="Q241" s="4" t="s">
        <v>26</v>
      </c>
      <c r="R241" s="4">
        <v>0</v>
      </c>
      <c r="S241" s="4" t="s">
        <v>194</v>
      </c>
      <c r="T241" s="4" t="s">
        <v>387</v>
      </c>
      <c r="U241" s="4">
        <v>0</v>
      </c>
      <c r="V241" s="4">
        <v>16</v>
      </c>
      <c r="W241" s="4">
        <v>47</v>
      </c>
    </row>
    <row r="242" spans="1:23" ht="11.25" customHeight="1" x14ac:dyDescent="0.25">
      <c r="A242" s="4" t="s">
        <v>56</v>
      </c>
      <c r="B242" s="4" t="s">
        <v>38</v>
      </c>
      <c r="C242" s="4" t="s">
        <v>40</v>
      </c>
      <c r="D242" s="4" t="s">
        <v>50</v>
      </c>
      <c r="E242" s="4" t="s">
        <v>25</v>
      </c>
      <c r="F242" s="4" t="s">
        <v>25</v>
      </c>
      <c r="G242" s="4" t="s">
        <v>25</v>
      </c>
      <c r="H242" s="4" t="s">
        <v>33</v>
      </c>
      <c r="I242" s="5">
        <v>44713</v>
      </c>
      <c r="J242" s="6">
        <v>0</v>
      </c>
      <c r="K242" s="6">
        <v>0</v>
      </c>
      <c r="L242" s="6">
        <v>0.98899999999999999</v>
      </c>
      <c r="M242" s="6">
        <v>0.98899999999999999</v>
      </c>
      <c r="N242" s="6">
        <v>0.98899999999999999</v>
      </c>
      <c r="O242" s="6">
        <v>0.98899999999999999</v>
      </c>
      <c r="P242" s="6">
        <v>0</v>
      </c>
      <c r="Q242" s="4" t="s">
        <v>26</v>
      </c>
      <c r="R242" s="4">
        <v>0</v>
      </c>
      <c r="S242" s="4" t="s">
        <v>195</v>
      </c>
      <c r="T242" s="4" t="s">
        <v>388</v>
      </c>
      <c r="U242" s="4">
        <v>0</v>
      </c>
      <c r="V242" s="4">
        <v>16</v>
      </c>
      <c r="W242" s="4">
        <v>47</v>
      </c>
    </row>
    <row r="243" spans="1:23" ht="11.25" customHeight="1" x14ac:dyDescent="0.25">
      <c r="A243" s="4" t="s">
        <v>21</v>
      </c>
      <c r="B243" s="4" t="s">
        <v>38</v>
      </c>
      <c r="C243" s="4" t="s">
        <v>40</v>
      </c>
      <c r="D243" s="4" t="s">
        <v>37</v>
      </c>
      <c r="E243" s="4" t="s">
        <v>25</v>
      </c>
      <c r="F243" s="4" t="s">
        <v>57</v>
      </c>
      <c r="G243" s="4" t="s">
        <v>25</v>
      </c>
      <c r="H243" s="4" t="s">
        <v>34</v>
      </c>
      <c r="I243" s="5">
        <v>44378</v>
      </c>
      <c r="J243" s="6">
        <v>0</v>
      </c>
      <c r="K243" s="6">
        <v>0</v>
      </c>
      <c r="L243" s="6">
        <v>1883.799</v>
      </c>
      <c r="M243" s="6">
        <v>784.97904329999994</v>
      </c>
      <c r="N243" s="6">
        <v>0</v>
      </c>
      <c r="O243" s="6">
        <v>0</v>
      </c>
      <c r="P243" s="6">
        <v>0</v>
      </c>
      <c r="Q243" s="4" t="s">
        <v>58</v>
      </c>
      <c r="R243" s="4">
        <v>0</v>
      </c>
      <c r="S243" s="4" t="s">
        <v>160</v>
      </c>
      <c r="U243" s="4">
        <v>0</v>
      </c>
      <c r="V243" s="4">
        <v>14</v>
      </c>
      <c r="W243" s="4">
        <v>0</v>
      </c>
    </row>
    <row r="244" spans="1:23" ht="11.25" customHeight="1" x14ac:dyDescent="0.25">
      <c r="A244" s="4" t="s">
        <v>21</v>
      </c>
      <c r="B244" s="4" t="s">
        <v>38</v>
      </c>
      <c r="C244" s="4" t="s">
        <v>40</v>
      </c>
      <c r="D244" s="4" t="s">
        <v>37</v>
      </c>
      <c r="E244" s="4" t="s">
        <v>25</v>
      </c>
      <c r="F244" s="4" t="s">
        <v>57</v>
      </c>
      <c r="G244" s="4" t="s">
        <v>25</v>
      </c>
      <c r="H244" s="4" t="s">
        <v>34</v>
      </c>
      <c r="I244" s="5">
        <v>44409</v>
      </c>
      <c r="J244" s="6">
        <v>0</v>
      </c>
      <c r="K244" s="6">
        <v>0</v>
      </c>
      <c r="L244" s="6">
        <v>1935.373</v>
      </c>
      <c r="M244" s="6">
        <v>806.46992909999994</v>
      </c>
      <c r="N244" s="6">
        <v>0</v>
      </c>
      <c r="O244" s="6">
        <v>0</v>
      </c>
      <c r="P244" s="6">
        <v>0</v>
      </c>
      <c r="Q244" s="4" t="s">
        <v>58</v>
      </c>
      <c r="R244" s="4">
        <v>0</v>
      </c>
      <c r="S244" s="4" t="s">
        <v>161</v>
      </c>
      <c r="U244" s="4">
        <v>0</v>
      </c>
      <c r="V244" s="4">
        <v>14</v>
      </c>
      <c r="W244" s="4">
        <v>0</v>
      </c>
    </row>
    <row r="245" spans="1:23" ht="11.25" customHeight="1" x14ac:dyDescent="0.25">
      <c r="A245" s="4" t="s">
        <v>21</v>
      </c>
      <c r="B245" s="4" t="s">
        <v>38</v>
      </c>
      <c r="C245" s="4" t="s">
        <v>40</v>
      </c>
      <c r="D245" s="4" t="s">
        <v>37</v>
      </c>
      <c r="E245" s="4" t="s">
        <v>25</v>
      </c>
      <c r="F245" s="4" t="s">
        <v>57</v>
      </c>
      <c r="G245" s="4" t="s">
        <v>25</v>
      </c>
      <c r="H245" s="4" t="s">
        <v>34</v>
      </c>
      <c r="I245" s="5">
        <v>44440</v>
      </c>
      <c r="J245" s="6">
        <v>0</v>
      </c>
      <c r="K245" s="6">
        <v>0</v>
      </c>
      <c r="L245" s="6">
        <v>1840.393</v>
      </c>
      <c r="M245" s="6">
        <v>766.89176310000005</v>
      </c>
      <c r="N245" s="6">
        <v>0</v>
      </c>
      <c r="O245" s="6">
        <v>0</v>
      </c>
      <c r="P245" s="6">
        <v>0</v>
      </c>
      <c r="Q245" s="4" t="s">
        <v>58</v>
      </c>
      <c r="R245" s="4">
        <v>0</v>
      </c>
      <c r="S245" s="4" t="s">
        <v>162</v>
      </c>
      <c r="U245" s="4">
        <v>0</v>
      </c>
      <c r="V245" s="4">
        <v>14</v>
      </c>
      <c r="W245" s="4">
        <v>0</v>
      </c>
    </row>
    <row r="246" spans="1:23" ht="11.25" customHeight="1" x14ac:dyDescent="0.25">
      <c r="A246" s="4" t="s">
        <v>21</v>
      </c>
      <c r="B246" s="4" t="s">
        <v>38</v>
      </c>
      <c r="C246" s="4" t="s">
        <v>40</v>
      </c>
      <c r="D246" s="4" t="s">
        <v>37</v>
      </c>
      <c r="E246" s="4" t="s">
        <v>25</v>
      </c>
      <c r="F246" s="4" t="s">
        <v>57</v>
      </c>
      <c r="G246" s="4" t="s">
        <v>25</v>
      </c>
      <c r="H246" s="4" t="s">
        <v>34</v>
      </c>
      <c r="I246" s="5">
        <v>44470</v>
      </c>
      <c r="J246" s="6">
        <v>0</v>
      </c>
      <c r="K246" s="6">
        <v>0</v>
      </c>
      <c r="L246" s="6">
        <v>1864.7190000000001</v>
      </c>
      <c r="M246" s="6">
        <v>822.71402279999995</v>
      </c>
      <c r="N246" s="6">
        <v>0</v>
      </c>
      <c r="O246" s="6">
        <v>0</v>
      </c>
      <c r="P246" s="6">
        <v>0</v>
      </c>
      <c r="Q246" s="4" t="s">
        <v>58</v>
      </c>
      <c r="R246" s="4">
        <v>0</v>
      </c>
      <c r="S246" s="4" t="s">
        <v>163</v>
      </c>
      <c r="U246" s="4">
        <v>0</v>
      </c>
      <c r="V246" s="4">
        <v>14</v>
      </c>
      <c r="W246" s="4">
        <v>0</v>
      </c>
    </row>
    <row r="247" spans="1:23" ht="11.25" customHeight="1" x14ac:dyDescent="0.25">
      <c r="A247" s="4" t="s">
        <v>21</v>
      </c>
      <c r="B247" s="4" t="s">
        <v>38</v>
      </c>
      <c r="C247" s="4" t="s">
        <v>40</v>
      </c>
      <c r="D247" s="4" t="s">
        <v>37</v>
      </c>
      <c r="E247" s="4" t="s">
        <v>25</v>
      </c>
      <c r="F247" s="4" t="s">
        <v>57</v>
      </c>
      <c r="G247" s="4" t="s">
        <v>25</v>
      </c>
      <c r="H247" s="4" t="s">
        <v>34</v>
      </c>
      <c r="I247" s="5">
        <v>44501</v>
      </c>
      <c r="J247" s="6">
        <v>0</v>
      </c>
      <c r="K247" s="6">
        <v>0</v>
      </c>
      <c r="L247" s="6">
        <v>1907.606</v>
      </c>
      <c r="M247" s="6">
        <v>715.35225000000003</v>
      </c>
      <c r="N247" s="6">
        <v>0</v>
      </c>
      <c r="O247" s="6">
        <v>0</v>
      </c>
      <c r="P247" s="6">
        <v>0</v>
      </c>
      <c r="Q247" s="4" t="s">
        <v>58</v>
      </c>
      <c r="R247" s="4">
        <v>0</v>
      </c>
      <c r="S247" s="4" t="s">
        <v>164</v>
      </c>
      <c r="U247" s="4">
        <v>0</v>
      </c>
      <c r="V247" s="4">
        <v>14</v>
      </c>
      <c r="W247" s="4">
        <v>0</v>
      </c>
    </row>
    <row r="248" spans="1:23" ht="11.25" customHeight="1" x14ac:dyDescent="0.25">
      <c r="A248" s="4" t="s">
        <v>21</v>
      </c>
      <c r="B248" s="4" t="s">
        <v>38</v>
      </c>
      <c r="C248" s="4" t="s">
        <v>40</v>
      </c>
      <c r="D248" s="4" t="s">
        <v>37</v>
      </c>
      <c r="E248" s="4" t="s">
        <v>25</v>
      </c>
      <c r="F248" s="4" t="s">
        <v>57</v>
      </c>
      <c r="G248" s="4" t="s">
        <v>25</v>
      </c>
      <c r="H248" s="4" t="s">
        <v>34</v>
      </c>
      <c r="I248" s="5">
        <v>44531</v>
      </c>
      <c r="J248" s="6">
        <v>0</v>
      </c>
      <c r="K248" s="6">
        <v>0</v>
      </c>
      <c r="L248" s="6">
        <v>1807.9570000000001</v>
      </c>
      <c r="M248" s="6">
        <v>761.33069269999999</v>
      </c>
      <c r="N248" s="6">
        <v>0</v>
      </c>
      <c r="O248" s="6">
        <v>0</v>
      </c>
      <c r="P248" s="6">
        <v>0</v>
      </c>
      <c r="Q248" s="4" t="s">
        <v>58</v>
      </c>
      <c r="R248" s="4">
        <v>0</v>
      </c>
      <c r="S248" s="4" t="s">
        <v>165</v>
      </c>
      <c r="U248" s="4">
        <v>0</v>
      </c>
      <c r="V248" s="4">
        <v>14</v>
      </c>
      <c r="W248" s="4">
        <v>0</v>
      </c>
    </row>
    <row r="249" spans="1:23" ht="11.25" customHeight="1" x14ac:dyDescent="0.25">
      <c r="A249" s="4" t="s">
        <v>21</v>
      </c>
      <c r="B249" s="4" t="s">
        <v>38</v>
      </c>
      <c r="C249" s="4" t="s">
        <v>40</v>
      </c>
      <c r="D249" s="4" t="s">
        <v>37</v>
      </c>
      <c r="E249" s="4" t="s">
        <v>25</v>
      </c>
      <c r="F249" s="4" t="s">
        <v>57</v>
      </c>
      <c r="G249" s="4" t="s">
        <v>25</v>
      </c>
      <c r="H249" s="4" t="s">
        <v>34</v>
      </c>
      <c r="I249" s="5">
        <v>44562</v>
      </c>
      <c r="J249" s="6">
        <v>0</v>
      </c>
      <c r="K249" s="6">
        <v>0</v>
      </c>
      <c r="L249" s="6">
        <v>1675.7439999999999</v>
      </c>
      <c r="M249" s="6">
        <v>680.6872128</v>
      </c>
      <c r="N249" s="6">
        <v>0</v>
      </c>
      <c r="O249" s="6">
        <v>0</v>
      </c>
      <c r="P249" s="6">
        <v>0</v>
      </c>
      <c r="Q249" s="4" t="s">
        <v>58</v>
      </c>
      <c r="R249" s="4">
        <v>0</v>
      </c>
      <c r="S249" s="4" t="s">
        <v>166</v>
      </c>
      <c r="U249" s="4">
        <v>0</v>
      </c>
      <c r="V249" s="4">
        <v>14</v>
      </c>
      <c r="W249" s="4">
        <v>0</v>
      </c>
    </row>
    <row r="250" spans="1:23" ht="11.25" customHeight="1" x14ac:dyDescent="0.25">
      <c r="A250" s="4" t="s">
        <v>21</v>
      </c>
      <c r="B250" s="4" t="s">
        <v>38</v>
      </c>
      <c r="C250" s="4" t="s">
        <v>40</v>
      </c>
      <c r="D250" s="4" t="s">
        <v>37</v>
      </c>
      <c r="E250" s="4" t="s">
        <v>25</v>
      </c>
      <c r="F250" s="4" t="s">
        <v>57</v>
      </c>
      <c r="G250" s="4" t="s">
        <v>25</v>
      </c>
      <c r="H250" s="4" t="s">
        <v>34</v>
      </c>
      <c r="I250" s="5">
        <v>44593</v>
      </c>
      <c r="J250" s="6">
        <v>0</v>
      </c>
      <c r="K250" s="6">
        <v>0</v>
      </c>
      <c r="L250" s="6">
        <v>1959.9670000000001</v>
      </c>
      <c r="M250" s="6">
        <v>825.34210370000005</v>
      </c>
      <c r="N250" s="6">
        <v>0</v>
      </c>
      <c r="O250" s="6">
        <v>0</v>
      </c>
      <c r="P250" s="6">
        <v>0</v>
      </c>
      <c r="Q250" s="4" t="s">
        <v>58</v>
      </c>
      <c r="R250" s="4">
        <v>0</v>
      </c>
      <c r="S250" s="4" t="s">
        <v>167</v>
      </c>
      <c r="U250" s="4">
        <v>0</v>
      </c>
      <c r="V250" s="4">
        <v>14</v>
      </c>
      <c r="W250" s="4">
        <v>0</v>
      </c>
    </row>
    <row r="251" spans="1:23" ht="11.25" customHeight="1" x14ac:dyDescent="0.25">
      <c r="A251" s="4" t="s">
        <v>21</v>
      </c>
      <c r="B251" s="4" t="s">
        <v>38</v>
      </c>
      <c r="C251" s="4" t="s">
        <v>40</v>
      </c>
      <c r="D251" s="4" t="s">
        <v>37</v>
      </c>
      <c r="E251" s="4" t="s">
        <v>25</v>
      </c>
      <c r="F251" s="4" t="s">
        <v>57</v>
      </c>
      <c r="G251" s="4" t="s">
        <v>25</v>
      </c>
      <c r="H251" s="4" t="s">
        <v>34</v>
      </c>
      <c r="I251" s="5">
        <v>44621</v>
      </c>
      <c r="J251" s="6">
        <v>0</v>
      </c>
      <c r="K251" s="6">
        <v>0</v>
      </c>
      <c r="L251" s="6">
        <v>2313.5279999999998</v>
      </c>
      <c r="M251" s="6">
        <v>964.04711759999998</v>
      </c>
      <c r="N251" s="6">
        <v>0</v>
      </c>
      <c r="O251" s="6">
        <v>0</v>
      </c>
      <c r="P251" s="6">
        <v>0</v>
      </c>
      <c r="Q251" s="4" t="s">
        <v>58</v>
      </c>
      <c r="R251" s="4">
        <v>0</v>
      </c>
      <c r="S251" s="4" t="s">
        <v>168</v>
      </c>
      <c r="U251" s="4">
        <v>0</v>
      </c>
      <c r="V251" s="4">
        <v>14</v>
      </c>
      <c r="W251" s="4">
        <v>0</v>
      </c>
    </row>
    <row r="252" spans="1:23" ht="11.25" customHeight="1" x14ac:dyDescent="0.25">
      <c r="A252" s="4" t="s">
        <v>21</v>
      </c>
      <c r="B252" s="4" t="s">
        <v>38</v>
      </c>
      <c r="C252" s="4" t="s">
        <v>40</v>
      </c>
      <c r="D252" s="4" t="s">
        <v>37</v>
      </c>
      <c r="E252" s="4" t="s">
        <v>25</v>
      </c>
      <c r="F252" s="4" t="s">
        <v>57</v>
      </c>
      <c r="G252" s="4" t="s">
        <v>25</v>
      </c>
      <c r="H252" s="4" t="s">
        <v>34</v>
      </c>
      <c r="I252" s="5">
        <v>44652</v>
      </c>
      <c r="J252" s="6">
        <v>0</v>
      </c>
      <c r="K252" s="6">
        <v>0</v>
      </c>
      <c r="L252" s="6">
        <v>1907.172</v>
      </c>
      <c r="M252" s="6">
        <v>794.71857239999997</v>
      </c>
      <c r="N252" s="6">
        <v>0</v>
      </c>
      <c r="O252" s="6">
        <v>0</v>
      </c>
      <c r="P252" s="6">
        <v>0</v>
      </c>
      <c r="Q252" s="4" t="s">
        <v>58</v>
      </c>
      <c r="R252" s="4">
        <v>0</v>
      </c>
      <c r="S252" s="4" t="s">
        <v>169</v>
      </c>
      <c r="U252" s="4">
        <v>0</v>
      </c>
      <c r="V252" s="4">
        <v>14</v>
      </c>
      <c r="W252" s="4">
        <v>0</v>
      </c>
    </row>
    <row r="253" spans="1:23" ht="11.25" customHeight="1" x14ac:dyDescent="0.25">
      <c r="A253" s="4" t="s">
        <v>21</v>
      </c>
      <c r="B253" s="4" t="s">
        <v>38</v>
      </c>
      <c r="C253" s="4" t="s">
        <v>40</v>
      </c>
      <c r="D253" s="4" t="s">
        <v>37</v>
      </c>
      <c r="E253" s="4" t="s">
        <v>25</v>
      </c>
      <c r="F253" s="4" t="s">
        <v>57</v>
      </c>
      <c r="G253" s="4" t="s">
        <v>25</v>
      </c>
      <c r="H253" s="4" t="s">
        <v>34</v>
      </c>
      <c r="I253" s="5">
        <v>44682</v>
      </c>
      <c r="J253" s="6">
        <v>0</v>
      </c>
      <c r="K253" s="6">
        <v>0</v>
      </c>
      <c r="L253" s="6">
        <v>2127.2240000000002</v>
      </c>
      <c r="M253" s="6">
        <v>886.41424080000002</v>
      </c>
      <c r="N253" s="6">
        <v>0</v>
      </c>
      <c r="O253" s="6">
        <v>0</v>
      </c>
      <c r="P253" s="6">
        <v>0</v>
      </c>
      <c r="Q253" s="4" t="s">
        <v>58</v>
      </c>
      <c r="R253" s="4">
        <v>0</v>
      </c>
      <c r="S253" s="4" t="s">
        <v>170</v>
      </c>
      <c r="U253" s="4">
        <v>0</v>
      </c>
      <c r="V253" s="4">
        <v>14</v>
      </c>
      <c r="W253" s="4">
        <v>0</v>
      </c>
    </row>
    <row r="254" spans="1:23" ht="11.25" customHeight="1" x14ac:dyDescent="0.25">
      <c r="A254" s="4" t="s">
        <v>56</v>
      </c>
      <c r="B254" s="4" t="s">
        <v>38</v>
      </c>
      <c r="C254" s="4" t="s">
        <v>40</v>
      </c>
      <c r="D254" s="4" t="s">
        <v>37</v>
      </c>
      <c r="E254" s="4" t="s">
        <v>25</v>
      </c>
      <c r="F254" s="4" t="s">
        <v>57</v>
      </c>
      <c r="G254" s="4" t="s">
        <v>25</v>
      </c>
      <c r="H254" s="4" t="s">
        <v>34</v>
      </c>
      <c r="I254" s="5">
        <v>44713</v>
      </c>
      <c r="J254" s="6">
        <v>0</v>
      </c>
      <c r="K254" s="6">
        <v>0</v>
      </c>
      <c r="L254" s="6">
        <v>2127.2240000000002</v>
      </c>
      <c r="M254" s="6">
        <v>886.41424080000002</v>
      </c>
      <c r="N254" s="6">
        <v>0</v>
      </c>
      <c r="O254" s="6">
        <v>0</v>
      </c>
      <c r="P254" s="6">
        <v>0</v>
      </c>
      <c r="Q254" s="4" t="s">
        <v>58</v>
      </c>
      <c r="R254" s="4">
        <v>0</v>
      </c>
      <c r="S254" s="4" t="s">
        <v>171</v>
      </c>
      <c r="U254" s="4">
        <v>0</v>
      </c>
      <c r="V254" s="4">
        <v>14</v>
      </c>
      <c r="W254" s="4">
        <v>0</v>
      </c>
    </row>
    <row r="255" spans="1:23" ht="11.25" customHeight="1" x14ac:dyDescent="0.25">
      <c r="A255" s="4" t="s">
        <v>21</v>
      </c>
      <c r="B255" s="4" t="s">
        <v>38</v>
      </c>
      <c r="C255" s="4" t="s">
        <v>40</v>
      </c>
      <c r="D255" s="4" t="s">
        <v>37</v>
      </c>
      <c r="E255" s="4" t="s">
        <v>25</v>
      </c>
      <c r="F255" s="4" t="s">
        <v>57</v>
      </c>
      <c r="G255" s="4" t="s">
        <v>25</v>
      </c>
      <c r="H255" s="4" t="s">
        <v>25</v>
      </c>
      <c r="I255" s="5">
        <v>44378</v>
      </c>
      <c r="J255" s="6">
        <v>7485</v>
      </c>
      <c r="K255" s="6">
        <v>3118.9994999999999</v>
      </c>
      <c r="L255" s="6">
        <v>0</v>
      </c>
      <c r="M255" s="6">
        <v>0</v>
      </c>
      <c r="N255" s="6">
        <v>0</v>
      </c>
      <c r="O255" s="6">
        <v>0</v>
      </c>
      <c r="P255" s="6">
        <v>18</v>
      </c>
      <c r="Q255" s="4" t="s">
        <v>58</v>
      </c>
      <c r="R255" s="4">
        <v>0</v>
      </c>
      <c r="S255" s="4" t="s">
        <v>172</v>
      </c>
      <c r="U255" s="4">
        <v>18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38</v>
      </c>
      <c r="C256" s="4" t="s">
        <v>40</v>
      </c>
      <c r="D256" s="4" t="s">
        <v>37</v>
      </c>
      <c r="E256" s="4" t="s">
        <v>25</v>
      </c>
      <c r="F256" s="4" t="s">
        <v>57</v>
      </c>
      <c r="G256" s="4" t="s">
        <v>25</v>
      </c>
      <c r="H256" s="4" t="s">
        <v>25</v>
      </c>
      <c r="I256" s="5">
        <v>44409</v>
      </c>
      <c r="J256" s="6">
        <v>7309</v>
      </c>
      <c r="K256" s="6">
        <v>3045.6603</v>
      </c>
      <c r="L256" s="6">
        <v>0</v>
      </c>
      <c r="M256" s="6">
        <v>0</v>
      </c>
      <c r="N256" s="6">
        <v>0</v>
      </c>
      <c r="O256" s="6">
        <v>0</v>
      </c>
      <c r="P256" s="6">
        <v>18</v>
      </c>
      <c r="Q256" s="4" t="s">
        <v>58</v>
      </c>
      <c r="R256" s="4">
        <v>0</v>
      </c>
      <c r="S256" s="4" t="s">
        <v>173</v>
      </c>
      <c r="U256" s="4">
        <v>18</v>
      </c>
      <c r="V256" s="4">
        <v>0</v>
      </c>
      <c r="W256" s="4">
        <v>0</v>
      </c>
    </row>
    <row r="257" spans="1:23" ht="11.25" customHeight="1" x14ac:dyDescent="0.25">
      <c r="A257" s="4" t="s">
        <v>21</v>
      </c>
      <c r="B257" s="4" t="s">
        <v>38</v>
      </c>
      <c r="C257" s="4" t="s">
        <v>40</v>
      </c>
      <c r="D257" s="4" t="s">
        <v>37</v>
      </c>
      <c r="E257" s="4" t="s">
        <v>25</v>
      </c>
      <c r="F257" s="4" t="s">
        <v>57</v>
      </c>
      <c r="G257" s="4" t="s">
        <v>25</v>
      </c>
      <c r="H257" s="4" t="s">
        <v>25</v>
      </c>
      <c r="I257" s="5">
        <v>44440</v>
      </c>
      <c r="J257" s="6">
        <v>7360</v>
      </c>
      <c r="K257" s="6">
        <v>3066.9119999999998</v>
      </c>
      <c r="L257" s="6">
        <v>0</v>
      </c>
      <c r="M257" s="6">
        <v>0</v>
      </c>
      <c r="N257" s="6">
        <v>0</v>
      </c>
      <c r="O257" s="6">
        <v>0</v>
      </c>
      <c r="P257" s="6">
        <v>18</v>
      </c>
      <c r="Q257" s="4" t="s">
        <v>58</v>
      </c>
      <c r="R257" s="4">
        <v>0</v>
      </c>
      <c r="S257" s="4" t="s">
        <v>174</v>
      </c>
      <c r="U257" s="4">
        <v>18</v>
      </c>
      <c r="V257" s="4">
        <v>0</v>
      </c>
      <c r="W257" s="4">
        <v>0</v>
      </c>
    </row>
    <row r="258" spans="1:23" ht="11.25" customHeight="1" x14ac:dyDescent="0.25">
      <c r="A258" s="4" t="s">
        <v>21</v>
      </c>
      <c r="B258" s="4" t="s">
        <v>38</v>
      </c>
      <c r="C258" s="4" t="s">
        <v>40</v>
      </c>
      <c r="D258" s="4" t="s">
        <v>37</v>
      </c>
      <c r="E258" s="4" t="s">
        <v>25</v>
      </c>
      <c r="F258" s="4" t="s">
        <v>57</v>
      </c>
      <c r="G258" s="4" t="s">
        <v>25</v>
      </c>
      <c r="H258" s="4" t="s">
        <v>25</v>
      </c>
      <c r="I258" s="5">
        <v>44470</v>
      </c>
      <c r="J258" s="6">
        <v>7363</v>
      </c>
      <c r="K258" s="6">
        <v>3068.1621</v>
      </c>
      <c r="L258" s="6">
        <v>0</v>
      </c>
      <c r="M258" s="6">
        <v>0</v>
      </c>
      <c r="N258" s="6">
        <v>0</v>
      </c>
      <c r="O258" s="6">
        <v>0</v>
      </c>
      <c r="P258" s="6">
        <v>18</v>
      </c>
      <c r="Q258" s="4" t="s">
        <v>58</v>
      </c>
      <c r="R258" s="4">
        <v>0</v>
      </c>
      <c r="S258" s="4" t="s">
        <v>175</v>
      </c>
      <c r="U258" s="4">
        <v>18</v>
      </c>
      <c r="V258" s="4">
        <v>0</v>
      </c>
      <c r="W258" s="4">
        <v>0</v>
      </c>
    </row>
    <row r="259" spans="1:23" ht="11.25" customHeight="1" x14ac:dyDescent="0.25">
      <c r="A259" s="4" t="s">
        <v>21</v>
      </c>
      <c r="B259" s="4" t="s">
        <v>38</v>
      </c>
      <c r="C259" s="4" t="s">
        <v>40</v>
      </c>
      <c r="D259" s="4" t="s">
        <v>37</v>
      </c>
      <c r="E259" s="4" t="s">
        <v>25</v>
      </c>
      <c r="F259" s="4" t="s">
        <v>57</v>
      </c>
      <c r="G259" s="4" t="s">
        <v>25</v>
      </c>
      <c r="H259" s="4" t="s">
        <v>25</v>
      </c>
      <c r="I259" s="5">
        <v>44501</v>
      </c>
      <c r="J259" s="6">
        <v>7578</v>
      </c>
      <c r="K259" s="6">
        <v>2841.75</v>
      </c>
      <c r="L259" s="6">
        <v>0</v>
      </c>
      <c r="M259" s="6">
        <v>0</v>
      </c>
      <c r="N259" s="6">
        <v>0</v>
      </c>
      <c r="O259" s="6">
        <v>0</v>
      </c>
      <c r="P259" s="6">
        <v>18</v>
      </c>
      <c r="Q259" s="4" t="s">
        <v>58</v>
      </c>
      <c r="R259" s="4">
        <v>0</v>
      </c>
      <c r="S259" s="4" t="s">
        <v>176</v>
      </c>
      <c r="U259" s="4">
        <v>18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38</v>
      </c>
      <c r="C260" s="4" t="s">
        <v>40</v>
      </c>
      <c r="D260" s="4" t="s">
        <v>37</v>
      </c>
      <c r="E260" s="4" t="s">
        <v>25</v>
      </c>
      <c r="F260" s="4" t="s">
        <v>57</v>
      </c>
      <c r="G260" s="4" t="s">
        <v>25</v>
      </c>
      <c r="H260" s="4" t="s">
        <v>25</v>
      </c>
      <c r="I260" s="5">
        <v>44531</v>
      </c>
      <c r="J260" s="6">
        <v>7655</v>
      </c>
      <c r="K260" s="6">
        <v>3223.5205000000001</v>
      </c>
      <c r="L260" s="6">
        <v>0</v>
      </c>
      <c r="M260" s="6">
        <v>0</v>
      </c>
      <c r="N260" s="6">
        <v>0</v>
      </c>
      <c r="O260" s="6">
        <v>0</v>
      </c>
      <c r="P260" s="6">
        <v>19</v>
      </c>
      <c r="Q260" s="4" t="s">
        <v>58</v>
      </c>
      <c r="R260" s="4">
        <v>0</v>
      </c>
      <c r="S260" s="4" t="s">
        <v>177</v>
      </c>
      <c r="U260" s="4">
        <v>18</v>
      </c>
      <c r="V260" s="4">
        <v>0</v>
      </c>
      <c r="W260" s="4">
        <v>0</v>
      </c>
    </row>
    <row r="261" spans="1:23" ht="11.25" customHeight="1" x14ac:dyDescent="0.25">
      <c r="A261" s="4" t="s">
        <v>21</v>
      </c>
      <c r="B261" s="4" t="s">
        <v>38</v>
      </c>
      <c r="C261" s="4" t="s">
        <v>40</v>
      </c>
      <c r="D261" s="4" t="s">
        <v>37</v>
      </c>
      <c r="E261" s="4" t="s">
        <v>25</v>
      </c>
      <c r="F261" s="4" t="s">
        <v>57</v>
      </c>
      <c r="G261" s="4" t="s">
        <v>25</v>
      </c>
      <c r="H261" s="4" t="s">
        <v>25</v>
      </c>
      <c r="I261" s="5">
        <v>44562</v>
      </c>
      <c r="J261" s="6">
        <v>7910</v>
      </c>
      <c r="K261" s="6">
        <v>3213.0419999999999</v>
      </c>
      <c r="L261" s="6">
        <v>0</v>
      </c>
      <c r="M261" s="6">
        <v>0</v>
      </c>
      <c r="N261" s="6">
        <v>0</v>
      </c>
      <c r="O261" s="6">
        <v>0</v>
      </c>
      <c r="P261" s="6">
        <v>19</v>
      </c>
      <c r="Q261" s="4" t="s">
        <v>58</v>
      </c>
      <c r="R261" s="4">
        <v>0</v>
      </c>
      <c r="S261" s="4" t="s">
        <v>178</v>
      </c>
      <c r="U261" s="4">
        <v>18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38</v>
      </c>
      <c r="C262" s="4" t="s">
        <v>40</v>
      </c>
      <c r="D262" s="4" t="s">
        <v>37</v>
      </c>
      <c r="E262" s="4" t="s">
        <v>25</v>
      </c>
      <c r="F262" s="4" t="s">
        <v>57</v>
      </c>
      <c r="G262" s="4" t="s">
        <v>25</v>
      </c>
      <c r="H262" s="4" t="s">
        <v>25</v>
      </c>
      <c r="I262" s="5">
        <v>44593</v>
      </c>
      <c r="J262" s="6">
        <v>7814</v>
      </c>
      <c r="K262" s="6">
        <v>3290.4753999999998</v>
      </c>
      <c r="L262" s="6">
        <v>0</v>
      </c>
      <c r="M262" s="6">
        <v>0</v>
      </c>
      <c r="N262" s="6">
        <v>0</v>
      </c>
      <c r="O262" s="6">
        <v>0</v>
      </c>
      <c r="P262" s="6">
        <v>19</v>
      </c>
      <c r="Q262" s="4" t="s">
        <v>58</v>
      </c>
      <c r="R262" s="4">
        <v>0</v>
      </c>
      <c r="S262" s="4" t="s">
        <v>179</v>
      </c>
      <c r="U262" s="4">
        <v>18</v>
      </c>
      <c r="V262" s="4">
        <v>0</v>
      </c>
      <c r="W262" s="4">
        <v>0</v>
      </c>
    </row>
    <row r="263" spans="1:23" ht="11.25" customHeight="1" x14ac:dyDescent="0.25">
      <c r="A263" s="4" t="s">
        <v>21</v>
      </c>
      <c r="B263" s="4" t="s">
        <v>38</v>
      </c>
      <c r="C263" s="4" t="s">
        <v>40</v>
      </c>
      <c r="D263" s="4" t="s">
        <v>37</v>
      </c>
      <c r="E263" s="4" t="s">
        <v>25</v>
      </c>
      <c r="F263" s="4" t="s">
        <v>57</v>
      </c>
      <c r="G263" s="4" t="s">
        <v>25</v>
      </c>
      <c r="H263" s="4" t="s">
        <v>25</v>
      </c>
      <c r="I263" s="5">
        <v>44621</v>
      </c>
      <c r="J263" s="6">
        <v>7899</v>
      </c>
      <c r="K263" s="6">
        <v>3291.5133000000001</v>
      </c>
      <c r="L263" s="6">
        <v>0</v>
      </c>
      <c r="M263" s="6">
        <v>0</v>
      </c>
      <c r="N263" s="6">
        <v>0</v>
      </c>
      <c r="O263" s="6">
        <v>0</v>
      </c>
      <c r="P263" s="6">
        <v>18</v>
      </c>
      <c r="Q263" s="4" t="s">
        <v>58</v>
      </c>
      <c r="R263" s="4">
        <v>0</v>
      </c>
      <c r="S263" s="4" t="s">
        <v>180</v>
      </c>
      <c r="U263" s="4">
        <v>18</v>
      </c>
      <c r="V263" s="4">
        <v>0</v>
      </c>
      <c r="W263" s="4">
        <v>0</v>
      </c>
    </row>
    <row r="264" spans="1:23" ht="11.25" customHeight="1" x14ac:dyDescent="0.25">
      <c r="A264" s="4" t="s">
        <v>21</v>
      </c>
      <c r="B264" s="4" t="s">
        <v>38</v>
      </c>
      <c r="C264" s="4" t="s">
        <v>40</v>
      </c>
      <c r="D264" s="4" t="s">
        <v>37</v>
      </c>
      <c r="E264" s="4" t="s">
        <v>25</v>
      </c>
      <c r="F264" s="4" t="s">
        <v>57</v>
      </c>
      <c r="G264" s="4" t="s">
        <v>25</v>
      </c>
      <c r="H264" s="4" t="s">
        <v>25</v>
      </c>
      <c r="I264" s="5">
        <v>44652</v>
      </c>
      <c r="J264" s="6">
        <v>7918</v>
      </c>
      <c r="K264" s="6">
        <v>3299.4306000000001</v>
      </c>
      <c r="L264" s="6">
        <v>0</v>
      </c>
      <c r="M264" s="6">
        <v>0</v>
      </c>
      <c r="N264" s="6">
        <v>0</v>
      </c>
      <c r="O264" s="6">
        <v>0</v>
      </c>
      <c r="P264" s="6">
        <v>18</v>
      </c>
      <c r="Q264" s="4" t="s">
        <v>58</v>
      </c>
      <c r="R264" s="4">
        <v>0</v>
      </c>
      <c r="S264" s="4" t="s">
        <v>181</v>
      </c>
      <c r="U264" s="4">
        <v>18</v>
      </c>
      <c r="V264" s="4">
        <v>0</v>
      </c>
      <c r="W264" s="4">
        <v>0</v>
      </c>
    </row>
    <row r="265" spans="1:23" ht="11.25" customHeight="1" x14ac:dyDescent="0.25">
      <c r="A265" s="4" t="s">
        <v>21</v>
      </c>
      <c r="B265" s="4" t="s">
        <v>38</v>
      </c>
      <c r="C265" s="4" t="s">
        <v>40</v>
      </c>
      <c r="D265" s="4" t="s">
        <v>37</v>
      </c>
      <c r="E265" s="4" t="s">
        <v>25</v>
      </c>
      <c r="F265" s="4" t="s">
        <v>57</v>
      </c>
      <c r="G265" s="4" t="s">
        <v>25</v>
      </c>
      <c r="H265" s="4" t="s">
        <v>25</v>
      </c>
      <c r="I265" s="5">
        <v>44682</v>
      </c>
      <c r="J265" s="6">
        <v>7718</v>
      </c>
      <c r="K265" s="6">
        <v>3216.0906</v>
      </c>
      <c r="L265" s="6">
        <v>0</v>
      </c>
      <c r="M265" s="6">
        <v>0</v>
      </c>
      <c r="N265" s="6">
        <v>0</v>
      </c>
      <c r="O265" s="6">
        <v>0</v>
      </c>
      <c r="P265" s="6">
        <v>18</v>
      </c>
      <c r="Q265" s="4" t="s">
        <v>58</v>
      </c>
      <c r="R265" s="4">
        <v>0</v>
      </c>
      <c r="S265" s="4" t="s">
        <v>182</v>
      </c>
      <c r="U265" s="4">
        <v>18</v>
      </c>
      <c r="V265" s="4">
        <v>0</v>
      </c>
      <c r="W265" s="4">
        <v>0</v>
      </c>
    </row>
    <row r="266" spans="1:23" ht="11.25" customHeight="1" x14ac:dyDescent="0.25">
      <c r="A266" s="4" t="s">
        <v>56</v>
      </c>
      <c r="B266" s="4" t="s">
        <v>38</v>
      </c>
      <c r="C266" s="4" t="s">
        <v>40</v>
      </c>
      <c r="D266" s="4" t="s">
        <v>37</v>
      </c>
      <c r="E266" s="4" t="s">
        <v>25</v>
      </c>
      <c r="F266" s="4" t="s">
        <v>57</v>
      </c>
      <c r="G266" s="4" t="s">
        <v>25</v>
      </c>
      <c r="H266" s="4" t="s">
        <v>25</v>
      </c>
      <c r="I266" s="5">
        <v>44713</v>
      </c>
      <c r="J266" s="6">
        <v>7718</v>
      </c>
      <c r="K266" s="6">
        <v>3216.0906</v>
      </c>
      <c r="L266" s="6">
        <v>0</v>
      </c>
      <c r="M266" s="6">
        <v>0</v>
      </c>
      <c r="N266" s="6">
        <v>0</v>
      </c>
      <c r="O266" s="6">
        <v>0</v>
      </c>
      <c r="P266" s="6">
        <v>18</v>
      </c>
      <c r="Q266" s="4" t="s">
        <v>58</v>
      </c>
      <c r="R266" s="4">
        <v>0</v>
      </c>
      <c r="S266" s="4" t="s">
        <v>183</v>
      </c>
      <c r="U266" s="4">
        <v>18</v>
      </c>
      <c r="V266" s="4">
        <v>0</v>
      </c>
      <c r="W266" s="4">
        <v>0</v>
      </c>
    </row>
    <row r="267" spans="1:23" ht="11.25" customHeight="1" x14ac:dyDescent="0.25">
      <c r="A267" s="4" t="s">
        <v>21</v>
      </c>
      <c r="B267" s="4" t="s">
        <v>38</v>
      </c>
      <c r="C267" s="4" t="s">
        <v>40</v>
      </c>
      <c r="D267" s="4" t="s">
        <v>37</v>
      </c>
      <c r="E267" s="4" t="s">
        <v>25</v>
      </c>
      <c r="F267" s="4" t="s">
        <v>57</v>
      </c>
      <c r="G267" s="4" t="s">
        <v>25</v>
      </c>
      <c r="H267" s="4" t="s">
        <v>33</v>
      </c>
      <c r="I267" s="5">
        <v>44378</v>
      </c>
      <c r="J267" s="6">
        <v>0</v>
      </c>
      <c r="K267" s="6">
        <v>0</v>
      </c>
      <c r="L267" s="6">
        <v>219.119</v>
      </c>
      <c r="M267" s="6">
        <v>91.3068873</v>
      </c>
      <c r="N267" s="6">
        <v>0</v>
      </c>
      <c r="O267" s="6">
        <v>0</v>
      </c>
      <c r="P267" s="6">
        <v>0</v>
      </c>
      <c r="Q267" s="4" t="s">
        <v>58</v>
      </c>
      <c r="R267" s="4">
        <v>0</v>
      </c>
      <c r="S267" s="4" t="s">
        <v>184</v>
      </c>
      <c r="U267" s="4">
        <v>0</v>
      </c>
      <c r="V267" s="4">
        <v>16</v>
      </c>
      <c r="W267" s="4">
        <v>0</v>
      </c>
    </row>
    <row r="268" spans="1:23" ht="11.25" customHeight="1" x14ac:dyDescent="0.25">
      <c r="A268" s="4" t="s">
        <v>21</v>
      </c>
      <c r="B268" s="4" t="s">
        <v>38</v>
      </c>
      <c r="C268" s="4" t="s">
        <v>40</v>
      </c>
      <c r="D268" s="4" t="s">
        <v>37</v>
      </c>
      <c r="E268" s="4" t="s">
        <v>25</v>
      </c>
      <c r="F268" s="4" t="s">
        <v>57</v>
      </c>
      <c r="G268" s="4" t="s">
        <v>25</v>
      </c>
      <c r="H268" s="4" t="s">
        <v>33</v>
      </c>
      <c r="I268" s="5">
        <v>44409</v>
      </c>
      <c r="J268" s="6">
        <v>0</v>
      </c>
      <c r="K268" s="6">
        <v>0</v>
      </c>
      <c r="L268" s="6">
        <v>221.024</v>
      </c>
      <c r="M268" s="6">
        <v>92.100700799999998</v>
      </c>
      <c r="N268" s="6">
        <v>0</v>
      </c>
      <c r="O268" s="6">
        <v>0</v>
      </c>
      <c r="P268" s="6">
        <v>0</v>
      </c>
      <c r="Q268" s="4" t="s">
        <v>58</v>
      </c>
      <c r="R268" s="4">
        <v>0</v>
      </c>
      <c r="S268" s="4" t="s">
        <v>185</v>
      </c>
      <c r="U268" s="4">
        <v>0</v>
      </c>
      <c r="V268" s="4">
        <v>16</v>
      </c>
      <c r="W268" s="4">
        <v>0</v>
      </c>
    </row>
    <row r="269" spans="1:23" ht="11.25" customHeight="1" x14ac:dyDescent="0.25">
      <c r="A269" s="4" t="s">
        <v>21</v>
      </c>
      <c r="B269" s="4" t="s">
        <v>38</v>
      </c>
      <c r="C269" s="4" t="s">
        <v>40</v>
      </c>
      <c r="D269" s="4" t="s">
        <v>37</v>
      </c>
      <c r="E269" s="4" t="s">
        <v>25</v>
      </c>
      <c r="F269" s="4" t="s">
        <v>57</v>
      </c>
      <c r="G269" s="4" t="s">
        <v>25</v>
      </c>
      <c r="H269" s="4" t="s">
        <v>33</v>
      </c>
      <c r="I269" s="5">
        <v>44440</v>
      </c>
      <c r="J269" s="6">
        <v>0</v>
      </c>
      <c r="K269" s="6">
        <v>0</v>
      </c>
      <c r="L269" s="6">
        <v>206.77799999999999</v>
      </c>
      <c r="M269" s="6">
        <v>86.164392599999999</v>
      </c>
      <c r="N269" s="6">
        <v>0</v>
      </c>
      <c r="O269" s="6">
        <v>0</v>
      </c>
      <c r="P269" s="6">
        <v>0</v>
      </c>
      <c r="Q269" s="4" t="s">
        <v>58</v>
      </c>
      <c r="R269" s="4">
        <v>0</v>
      </c>
      <c r="S269" s="4" t="s">
        <v>186</v>
      </c>
      <c r="U269" s="4">
        <v>0</v>
      </c>
      <c r="V269" s="4">
        <v>16</v>
      </c>
      <c r="W269" s="4">
        <v>0</v>
      </c>
    </row>
    <row r="270" spans="1:23" ht="11.25" customHeight="1" x14ac:dyDescent="0.25">
      <c r="A270" s="4" t="s">
        <v>21</v>
      </c>
      <c r="B270" s="4" t="s">
        <v>38</v>
      </c>
      <c r="C270" s="4" t="s">
        <v>40</v>
      </c>
      <c r="D270" s="4" t="s">
        <v>37</v>
      </c>
      <c r="E270" s="4" t="s">
        <v>25</v>
      </c>
      <c r="F270" s="4" t="s">
        <v>57</v>
      </c>
      <c r="G270" s="4" t="s">
        <v>25</v>
      </c>
      <c r="H270" s="4" t="s">
        <v>33</v>
      </c>
      <c r="I270" s="5">
        <v>44470</v>
      </c>
      <c r="J270" s="6">
        <v>0</v>
      </c>
      <c r="K270" s="6">
        <v>0</v>
      </c>
      <c r="L270" s="6">
        <v>183.97499999999999</v>
      </c>
      <c r="M270" s="6">
        <v>81.16977</v>
      </c>
      <c r="N270" s="6">
        <v>0</v>
      </c>
      <c r="O270" s="6">
        <v>0</v>
      </c>
      <c r="P270" s="6">
        <v>0</v>
      </c>
      <c r="Q270" s="4" t="s">
        <v>58</v>
      </c>
      <c r="R270" s="4">
        <v>0</v>
      </c>
      <c r="S270" s="4" t="s">
        <v>187</v>
      </c>
      <c r="U270" s="4">
        <v>0</v>
      </c>
      <c r="V270" s="4">
        <v>16</v>
      </c>
      <c r="W270" s="4">
        <v>0</v>
      </c>
    </row>
    <row r="271" spans="1:23" ht="11.25" customHeight="1" x14ac:dyDescent="0.25">
      <c r="A271" s="4" t="s">
        <v>21</v>
      </c>
      <c r="B271" s="4" t="s">
        <v>38</v>
      </c>
      <c r="C271" s="4" t="s">
        <v>40</v>
      </c>
      <c r="D271" s="4" t="s">
        <v>37</v>
      </c>
      <c r="E271" s="4" t="s">
        <v>25</v>
      </c>
      <c r="F271" s="4" t="s">
        <v>57</v>
      </c>
      <c r="G271" s="4" t="s">
        <v>25</v>
      </c>
      <c r="H271" s="4" t="s">
        <v>33</v>
      </c>
      <c r="I271" s="5">
        <v>44501</v>
      </c>
      <c r="J271" s="6">
        <v>0</v>
      </c>
      <c r="K271" s="6">
        <v>0</v>
      </c>
      <c r="L271" s="6">
        <v>214.07900000000001</v>
      </c>
      <c r="M271" s="6">
        <v>80.279624999999996</v>
      </c>
      <c r="N271" s="6">
        <v>0</v>
      </c>
      <c r="O271" s="6">
        <v>0</v>
      </c>
      <c r="P271" s="6">
        <v>0</v>
      </c>
      <c r="Q271" s="4" t="s">
        <v>58</v>
      </c>
      <c r="R271" s="4">
        <v>0</v>
      </c>
      <c r="S271" s="4" t="s">
        <v>188</v>
      </c>
      <c r="U271" s="4">
        <v>0</v>
      </c>
      <c r="V271" s="4">
        <v>16</v>
      </c>
      <c r="W271" s="4">
        <v>0</v>
      </c>
    </row>
    <row r="272" spans="1:23" ht="11.25" customHeight="1" x14ac:dyDescent="0.25">
      <c r="A272" s="4" t="s">
        <v>21</v>
      </c>
      <c r="B272" s="4" t="s">
        <v>38</v>
      </c>
      <c r="C272" s="4" t="s">
        <v>40</v>
      </c>
      <c r="D272" s="4" t="s">
        <v>37</v>
      </c>
      <c r="E272" s="4" t="s">
        <v>25</v>
      </c>
      <c r="F272" s="4" t="s">
        <v>57</v>
      </c>
      <c r="G272" s="4" t="s">
        <v>25</v>
      </c>
      <c r="H272" s="4" t="s">
        <v>33</v>
      </c>
      <c r="I272" s="5">
        <v>44531</v>
      </c>
      <c r="J272" s="6">
        <v>0</v>
      </c>
      <c r="K272" s="6">
        <v>0</v>
      </c>
      <c r="L272" s="6">
        <v>213.55799999999999</v>
      </c>
      <c r="M272" s="6">
        <v>89.929273800000004</v>
      </c>
      <c r="N272" s="6">
        <v>0</v>
      </c>
      <c r="O272" s="6">
        <v>0</v>
      </c>
      <c r="P272" s="6">
        <v>0</v>
      </c>
      <c r="Q272" s="4" t="s">
        <v>58</v>
      </c>
      <c r="R272" s="4">
        <v>0</v>
      </c>
      <c r="S272" s="4" t="s">
        <v>189</v>
      </c>
      <c r="U272" s="4">
        <v>0</v>
      </c>
      <c r="V272" s="4">
        <v>16</v>
      </c>
      <c r="W272" s="4">
        <v>0</v>
      </c>
    </row>
    <row r="273" spans="1:23" ht="11.25" customHeight="1" x14ac:dyDescent="0.25">
      <c r="A273" s="4" t="s">
        <v>21</v>
      </c>
      <c r="B273" s="4" t="s">
        <v>38</v>
      </c>
      <c r="C273" s="4" t="s">
        <v>40</v>
      </c>
      <c r="D273" s="4" t="s">
        <v>37</v>
      </c>
      <c r="E273" s="4" t="s">
        <v>25</v>
      </c>
      <c r="F273" s="4" t="s">
        <v>57</v>
      </c>
      <c r="G273" s="4" t="s">
        <v>25</v>
      </c>
      <c r="H273" s="4" t="s">
        <v>33</v>
      </c>
      <c r="I273" s="5">
        <v>44562</v>
      </c>
      <c r="J273" s="6">
        <v>0</v>
      </c>
      <c r="K273" s="6">
        <v>0</v>
      </c>
      <c r="L273" s="6">
        <v>159.66800000000001</v>
      </c>
      <c r="M273" s="6">
        <v>64.857141600000006</v>
      </c>
      <c r="N273" s="6">
        <v>0</v>
      </c>
      <c r="O273" s="6">
        <v>0</v>
      </c>
      <c r="P273" s="6">
        <v>0</v>
      </c>
      <c r="Q273" s="4" t="s">
        <v>58</v>
      </c>
      <c r="R273" s="4">
        <v>0</v>
      </c>
      <c r="S273" s="4" t="s">
        <v>190</v>
      </c>
      <c r="U273" s="4">
        <v>0</v>
      </c>
      <c r="V273" s="4">
        <v>16</v>
      </c>
      <c r="W273" s="4">
        <v>0</v>
      </c>
    </row>
    <row r="274" spans="1:23" ht="11.25" customHeight="1" x14ac:dyDescent="0.25">
      <c r="A274" s="4" t="s">
        <v>21</v>
      </c>
      <c r="B274" s="4" t="s">
        <v>38</v>
      </c>
      <c r="C274" s="4" t="s">
        <v>40</v>
      </c>
      <c r="D274" s="4" t="s">
        <v>37</v>
      </c>
      <c r="E274" s="4" t="s">
        <v>25</v>
      </c>
      <c r="F274" s="4" t="s">
        <v>57</v>
      </c>
      <c r="G274" s="4" t="s">
        <v>25</v>
      </c>
      <c r="H274" s="4" t="s">
        <v>33</v>
      </c>
      <c r="I274" s="5">
        <v>44593</v>
      </c>
      <c r="J274" s="6">
        <v>0</v>
      </c>
      <c r="K274" s="6">
        <v>0</v>
      </c>
      <c r="L274" s="6">
        <v>223.99700000000001</v>
      </c>
      <c r="M274" s="6">
        <v>94.325136700000002</v>
      </c>
      <c r="N274" s="6">
        <v>0</v>
      </c>
      <c r="O274" s="6">
        <v>0</v>
      </c>
      <c r="P274" s="6">
        <v>0</v>
      </c>
      <c r="Q274" s="4" t="s">
        <v>58</v>
      </c>
      <c r="R274" s="4">
        <v>0</v>
      </c>
      <c r="S274" s="4" t="s">
        <v>191</v>
      </c>
      <c r="U274" s="4">
        <v>0</v>
      </c>
      <c r="V274" s="4">
        <v>16</v>
      </c>
      <c r="W274" s="4">
        <v>0</v>
      </c>
    </row>
    <row r="275" spans="1:23" ht="11.25" customHeight="1" x14ac:dyDescent="0.25">
      <c r="A275" s="4" t="s">
        <v>21</v>
      </c>
      <c r="B275" s="4" t="s">
        <v>38</v>
      </c>
      <c r="C275" s="4" t="s">
        <v>40</v>
      </c>
      <c r="D275" s="4" t="s">
        <v>37</v>
      </c>
      <c r="E275" s="4" t="s">
        <v>25</v>
      </c>
      <c r="F275" s="4" t="s">
        <v>57</v>
      </c>
      <c r="G275" s="4" t="s">
        <v>25</v>
      </c>
      <c r="H275" s="4" t="s">
        <v>33</v>
      </c>
      <c r="I275" s="5">
        <v>44621</v>
      </c>
      <c r="J275" s="6">
        <v>0</v>
      </c>
      <c r="K275" s="6">
        <v>0</v>
      </c>
      <c r="L275" s="6">
        <v>263.34199999999998</v>
      </c>
      <c r="M275" s="6">
        <v>109.73461140000001</v>
      </c>
      <c r="N275" s="6">
        <v>0</v>
      </c>
      <c r="O275" s="6">
        <v>0</v>
      </c>
      <c r="P275" s="6">
        <v>0</v>
      </c>
      <c r="Q275" s="4" t="s">
        <v>58</v>
      </c>
      <c r="R275" s="4">
        <v>0</v>
      </c>
      <c r="S275" s="4" t="s">
        <v>192</v>
      </c>
      <c r="U275" s="4">
        <v>0</v>
      </c>
      <c r="V275" s="4">
        <v>16</v>
      </c>
      <c r="W275" s="4">
        <v>0</v>
      </c>
    </row>
    <row r="276" spans="1:23" ht="11.25" customHeight="1" x14ac:dyDescent="0.25">
      <c r="A276" s="4" t="s">
        <v>21</v>
      </c>
      <c r="B276" s="4" t="s">
        <v>38</v>
      </c>
      <c r="C276" s="4" t="s">
        <v>40</v>
      </c>
      <c r="D276" s="4" t="s">
        <v>37</v>
      </c>
      <c r="E276" s="4" t="s">
        <v>25</v>
      </c>
      <c r="F276" s="4" t="s">
        <v>57</v>
      </c>
      <c r="G276" s="4" t="s">
        <v>25</v>
      </c>
      <c r="H276" s="4" t="s">
        <v>33</v>
      </c>
      <c r="I276" s="5">
        <v>44652</v>
      </c>
      <c r="J276" s="6">
        <v>0</v>
      </c>
      <c r="K276" s="6">
        <v>0</v>
      </c>
      <c r="L276" s="6">
        <v>174.17400000000001</v>
      </c>
      <c r="M276" s="6">
        <v>72.578305799999995</v>
      </c>
      <c r="N276" s="6">
        <v>0</v>
      </c>
      <c r="O276" s="6">
        <v>0</v>
      </c>
      <c r="P276" s="6">
        <v>0</v>
      </c>
      <c r="Q276" s="4" t="s">
        <v>58</v>
      </c>
      <c r="R276" s="4">
        <v>0</v>
      </c>
      <c r="S276" s="4" t="s">
        <v>193</v>
      </c>
      <c r="U276" s="4">
        <v>0</v>
      </c>
      <c r="V276" s="4">
        <v>16</v>
      </c>
      <c r="W276" s="4">
        <v>0</v>
      </c>
    </row>
    <row r="277" spans="1:23" ht="11.25" customHeight="1" x14ac:dyDescent="0.25">
      <c r="A277" s="4" t="s">
        <v>21</v>
      </c>
      <c r="B277" s="4" t="s">
        <v>38</v>
      </c>
      <c r="C277" s="4" t="s">
        <v>40</v>
      </c>
      <c r="D277" s="4" t="s">
        <v>37</v>
      </c>
      <c r="E277" s="4" t="s">
        <v>25</v>
      </c>
      <c r="F277" s="4" t="s">
        <v>57</v>
      </c>
      <c r="G277" s="4" t="s">
        <v>25</v>
      </c>
      <c r="H277" s="4" t="s">
        <v>33</v>
      </c>
      <c r="I277" s="5">
        <v>44682</v>
      </c>
      <c r="J277" s="6">
        <v>0</v>
      </c>
      <c r="K277" s="6">
        <v>0</v>
      </c>
      <c r="L277" s="6">
        <v>244.554</v>
      </c>
      <c r="M277" s="6">
        <v>101.9056518</v>
      </c>
      <c r="N277" s="6">
        <v>0</v>
      </c>
      <c r="O277" s="6">
        <v>0</v>
      </c>
      <c r="P277" s="6">
        <v>0</v>
      </c>
      <c r="Q277" s="4" t="s">
        <v>58</v>
      </c>
      <c r="R277" s="4">
        <v>0</v>
      </c>
      <c r="S277" s="4" t="s">
        <v>194</v>
      </c>
      <c r="U277" s="4">
        <v>0</v>
      </c>
      <c r="V277" s="4">
        <v>16</v>
      </c>
      <c r="W277" s="4">
        <v>0</v>
      </c>
    </row>
    <row r="278" spans="1:23" ht="11.25" customHeight="1" x14ac:dyDescent="0.25">
      <c r="A278" s="4" t="s">
        <v>56</v>
      </c>
      <c r="B278" s="4" t="s">
        <v>38</v>
      </c>
      <c r="C278" s="4" t="s">
        <v>40</v>
      </c>
      <c r="D278" s="4" t="s">
        <v>37</v>
      </c>
      <c r="E278" s="4" t="s">
        <v>25</v>
      </c>
      <c r="F278" s="4" t="s">
        <v>57</v>
      </c>
      <c r="G278" s="4" t="s">
        <v>25</v>
      </c>
      <c r="H278" s="4" t="s">
        <v>33</v>
      </c>
      <c r="I278" s="5">
        <v>44713</v>
      </c>
      <c r="J278" s="6">
        <v>0</v>
      </c>
      <c r="K278" s="6">
        <v>0</v>
      </c>
      <c r="L278" s="6">
        <v>244.554</v>
      </c>
      <c r="M278" s="6">
        <v>101.9056518</v>
      </c>
      <c r="N278" s="6">
        <v>0</v>
      </c>
      <c r="O278" s="6">
        <v>0</v>
      </c>
      <c r="P278" s="6">
        <v>0</v>
      </c>
      <c r="Q278" s="4" t="s">
        <v>58</v>
      </c>
      <c r="R278" s="4">
        <v>0</v>
      </c>
      <c r="S278" s="4" t="s">
        <v>195</v>
      </c>
      <c r="U278" s="4">
        <v>0</v>
      </c>
      <c r="V278" s="4">
        <v>16</v>
      </c>
      <c r="W278" s="4">
        <v>0</v>
      </c>
    </row>
    <row r="279" spans="1:23" ht="11.25" customHeight="1" x14ac:dyDescent="0.25">
      <c r="A279" s="4" t="s">
        <v>21</v>
      </c>
      <c r="B279" s="4" t="s">
        <v>38</v>
      </c>
      <c r="C279" s="4" t="s">
        <v>40</v>
      </c>
      <c r="D279" s="4" t="s">
        <v>37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44378</v>
      </c>
      <c r="J279" s="6">
        <v>0</v>
      </c>
      <c r="K279" s="6">
        <v>0</v>
      </c>
      <c r="L279" s="6">
        <v>699.19799999999998</v>
      </c>
      <c r="M279" s="6">
        <v>699.19799999999998</v>
      </c>
      <c r="N279" s="6">
        <v>699.19799999999998</v>
      </c>
      <c r="O279" s="6">
        <v>699.19799999999998</v>
      </c>
      <c r="P279" s="6">
        <v>0</v>
      </c>
      <c r="Q279" s="4" t="s">
        <v>26</v>
      </c>
      <c r="R279" s="4">
        <v>0</v>
      </c>
      <c r="S279" s="4" t="s">
        <v>160</v>
      </c>
      <c r="T279" s="4" t="s">
        <v>365</v>
      </c>
      <c r="U279" s="4">
        <v>0</v>
      </c>
      <c r="V279" s="4">
        <v>14</v>
      </c>
      <c r="W279" s="4">
        <v>42</v>
      </c>
    </row>
    <row r="280" spans="1:23" ht="11.25" customHeight="1" x14ac:dyDescent="0.25">
      <c r="A280" s="4" t="s">
        <v>21</v>
      </c>
      <c r="B280" s="4" t="s">
        <v>38</v>
      </c>
      <c r="C280" s="4" t="s">
        <v>40</v>
      </c>
      <c r="D280" s="4" t="s">
        <v>37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44409</v>
      </c>
      <c r="J280" s="6">
        <v>0</v>
      </c>
      <c r="K280" s="6">
        <v>0</v>
      </c>
      <c r="L280" s="6">
        <v>700.65599999999995</v>
      </c>
      <c r="M280" s="6">
        <v>700.65599999999995</v>
      </c>
      <c r="N280" s="6">
        <v>700.65599999999995</v>
      </c>
      <c r="O280" s="6">
        <v>700.65599999999995</v>
      </c>
      <c r="P280" s="6">
        <v>0</v>
      </c>
      <c r="Q280" s="4" t="s">
        <v>26</v>
      </c>
      <c r="R280" s="4">
        <v>0</v>
      </c>
      <c r="S280" s="4" t="s">
        <v>161</v>
      </c>
      <c r="T280" s="4" t="s">
        <v>366</v>
      </c>
      <c r="U280" s="4">
        <v>0</v>
      </c>
      <c r="V280" s="4">
        <v>14</v>
      </c>
      <c r="W280" s="4">
        <v>42</v>
      </c>
    </row>
    <row r="281" spans="1:23" ht="11.25" customHeight="1" x14ac:dyDescent="0.25">
      <c r="A281" s="4" t="s">
        <v>55</v>
      </c>
      <c r="B281" s="4" t="s">
        <v>38</v>
      </c>
      <c r="C281" s="4" t="s">
        <v>40</v>
      </c>
      <c r="D281" s="4" t="s">
        <v>37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44409</v>
      </c>
      <c r="J281" s="6">
        <v>0</v>
      </c>
      <c r="K281" s="6">
        <v>0</v>
      </c>
      <c r="L281" s="6">
        <v>200.49</v>
      </c>
      <c r="M281" s="6">
        <v>200.49</v>
      </c>
      <c r="N281" s="6">
        <v>200.49</v>
      </c>
      <c r="O281" s="6">
        <v>200.49</v>
      </c>
      <c r="P281" s="6">
        <v>0</v>
      </c>
      <c r="Q281" s="4" t="s">
        <v>26</v>
      </c>
      <c r="R281" s="4">
        <v>0</v>
      </c>
      <c r="S281" s="4" t="s">
        <v>161</v>
      </c>
      <c r="T281" s="4" t="s">
        <v>366</v>
      </c>
      <c r="U281" s="4">
        <v>0</v>
      </c>
      <c r="V281" s="4">
        <v>14</v>
      </c>
      <c r="W281" s="4">
        <v>42</v>
      </c>
    </row>
    <row r="282" spans="1:23" ht="11.25" customHeight="1" x14ac:dyDescent="0.25">
      <c r="A282" s="4" t="s">
        <v>21</v>
      </c>
      <c r="B282" s="4" t="s">
        <v>38</v>
      </c>
      <c r="C282" s="4" t="s">
        <v>40</v>
      </c>
      <c r="D282" s="4" t="s">
        <v>37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44440</v>
      </c>
      <c r="J282" s="6">
        <v>0</v>
      </c>
      <c r="K282" s="6">
        <v>0</v>
      </c>
      <c r="L282" s="6">
        <v>685.65599999999995</v>
      </c>
      <c r="M282" s="6">
        <v>685.65599999999995</v>
      </c>
      <c r="N282" s="6">
        <v>685.65599999999995</v>
      </c>
      <c r="O282" s="6">
        <v>685.65599999999995</v>
      </c>
      <c r="P282" s="6">
        <v>0</v>
      </c>
      <c r="Q282" s="4" t="s">
        <v>26</v>
      </c>
      <c r="R282" s="4">
        <v>0</v>
      </c>
      <c r="S282" s="4" t="s">
        <v>162</v>
      </c>
      <c r="T282" s="4" t="s">
        <v>367</v>
      </c>
      <c r="U282" s="4">
        <v>0</v>
      </c>
      <c r="V282" s="4">
        <v>14</v>
      </c>
      <c r="W282" s="4">
        <v>42</v>
      </c>
    </row>
    <row r="283" spans="1:23" ht="11.25" customHeight="1" x14ac:dyDescent="0.25">
      <c r="A283" s="4" t="s">
        <v>55</v>
      </c>
      <c r="B283" s="4" t="s">
        <v>38</v>
      </c>
      <c r="C283" s="4" t="s">
        <v>40</v>
      </c>
      <c r="D283" s="4" t="s">
        <v>37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44440</v>
      </c>
      <c r="J283" s="6">
        <v>0</v>
      </c>
      <c r="K283" s="6">
        <v>0</v>
      </c>
      <c r="L283" s="6">
        <v>190.34100000000001</v>
      </c>
      <c r="M283" s="6">
        <v>190.34100000000001</v>
      </c>
      <c r="N283" s="6">
        <v>190.34100000000001</v>
      </c>
      <c r="O283" s="6">
        <v>190.34100000000001</v>
      </c>
      <c r="P283" s="6">
        <v>0</v>
      </c>
      <c r="Q283" s="4" t="s">
        <v>26</v>
      </c>
      <c r="R283" s="4">
        <v>0</v>
      </c>
      <c r="S283" s="4" t="s">
        <v>162</v>
      </c>
      <c r="T283" s="4" t="s">
        <v>367</v>
      </c>
      <c r="U283" s="4">
        <v>0</v>
      </c>
      <c r="V283" s="4">
        <v>14</v>
      </c>
      <c r="W283" s="4">
        <v>42</v>
      </c>
    </row>
    <row r="284" spans="1:23" ht="11.25" customHeight="1" x14ac:dyDescent="0.25">
      <c r="A284" s="4" t="s">
        <v>21</v>
      </c>
      <c r="B284" s="4" t="s">
        <v>38</v>
      </c>
      <c r="C284" s="4" t="s">
        <v>40</v>
      </c>
      <c r="D284" s="4" t="s">
        <v>37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44470</v>
      </c>
      <c r="J284" s="6">
        <v>0</v>
      </c>
      <c r="K284" s="6">
        <v>0</v>
      </c>
      <c r="L284" s="6">
        <v>630.46100000000001</v>
      </c>
      <c r="M284" s="6">
        <v>630.46100000000001</v>
      </c>
      <c r="N284" s="6">
        <v>630.46100000000001</v>
      </c>
      <c r="O284" s="6">
        <v>630.46100000000001</v>
      </c>
      <c r="P284" s="6">
        <v>0</v>
      </c>
      <c r="Q284" s="4" t="s">
        <v>26</v>
      </c>
      <c r="R284" s="4">
        <v>0</v>
      </c>
      <c r="S284" s="4" t="s">
        <v>163</v>
      </c>
      <c r="T284" s="4" t="s">
        <v>368</v>
      </c>
      <c r="U284" s="4">
        <v>0</v>
      </c>
      <c r="V284" s="4">
        <v>14</v>
      </c>
      <c r="W284" s="4">
        <v>42</v>
      </c>
    </row>
    <row r="285" spans="1:23" ht="11.25" customHeight="1" x14ac:dyDescent="0.25">
      <c r="A285" s="4" t="s">
        <v>55</v>
      </c>
      <c r="B285" s="4" t="s">
        <v>38</v>
      </c>
      <c r="C285" s="4" t="s">
        <v>40</v>
      </c>
      <c r="D285" s="4" t="s">
        <v>37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44470</v>
      </c>
      <c r="J285" s="6">
        <v>0</v>
      </c>
      <c r="K285" s="6">
        <v>0</v>
      </c>
      <c r="L285" s="6">
        <v>195.92599999999999</v>
      </c>
      <c r="M285" s="6">
        <v>195.92599999999999</v>
      </c>
      <c r="N285" s="6">
        <v>195.92599999999999</v>
      </c>
      <c r="O285" s="6">
        <v>195.92599999999999</v>
      </c>
      <c r="P285" s="6">
        <v>0</v>
      </c>
      <c r="Q285" s="4" t="s">
        <v>26</v>
      </c>
      <c r="R285" s="4">
        <v>0</v>
      </c>
      <c r="S285" s="4" t="s">
        <v>163</v>
      </c>
      <c r="T285" s="4" t="s">
        <v>368</v>
      </c>
      <c r="U285" s="4">
        <v>0</v>
      </c>
      <c r="V285" s="4">
        <v>14</v>
      </c>
      <c r="W285" s="4">
        <v>42</v>
      </c>
    </row>
    <row r="286" spans="1:23" ht="11.25" customHeight="1" x14ac:dyDescent="0.25">
      <c r="A286" s="4" t="s">
        <v>21</v>
      </c>
      <c r="B286" s="4" t="s">
        <v>38</v>
      </c>
      <c r="C286" s="4" t="s">
        <v>40</v>
      </c>
      <c r="D286" s="4" t="s">
        <v>37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44501</v>
      </c>
      <c r="J286" s="6">
        <v>0</v>
      </c>
      <c r="K286" s="6">
        <v>0</v>
      </c>
      <c r="L286" s="6">
        <v>647.51300000000003</v>
      </c>
      <c r="M286" s="6">
        <v>647.51300000000003</v>
      </c>
      <c r="N286" s="6">
        <v>647.51300000000003</v>
      </c>
      <c r="O286" s="6">
        <v>647.51300000000003</v>
      </c>
      <c r="P286" s="6">
        <v>0</v>
      </c>
      <c r="Q286" s="4" t="s">
        <v>26</v>
      </c>
      <c r="R286" s="4">
        <v>0</v>
      </c>
      <c r="S286" s="4" t="s">
        <v>164</v>
      </c>
      <c r="T286" s="4" t="s">
        <v>369</v>
      </c>
      <c r="U286" s="4">
        <v>0</v>
      </c>
      <c r="V286" s="4">
        <v>14</v>
      </c>
      <c r="W286" s="4">
        <v>42</v>
      </c>
    </row>
    <row r="287" spans="1:23" ht="11.25" customHeight="1" x14ac:dyDescent="0.25">
      <c r="A287" s="4" t="s">
        <v>55</v>
      </c>
      <c r="B287" s="4" t="s">
        <v>38</v>
      </c>
      <c r="C287" s="4" t="s">
        <v>40</v>
      </c>
      <c r="D287" s="4" t="s">
        <v>37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44501</v>
      </c>
      <c r="J287" s="6">
        <v>0</v>
      </c>
      <c r="K287" s="6">
        <v>0</v>
      </c>
      <c r="L287" s="6">
        <v>193.21299999999999</v>
      </c>
      <c r="M287" s="6">
        <v>193.21299999999999</v>
      </c>
      <c r="N287" s="6">
        <v>193.21299999999999</v>
      </c>
      <c r="O287" s="6">
        <v>193.21299999999999</v>
      </c>
      <c r="P287" s="6">
        <v>0</v>
      </c>
      <c r="Q287" s="4" t="s">
        <v>26</v>
      </c>
      <c r="R287" s="4">
        <v>0</v>
      </c>
      <c r="S287" s="4" t="s">
        <v>164</v>
      </c>
      <c r="T287" s="4" t="s">
        <v>369</v>
      </c>
      <c r="U287" s="4">
        <v>0</v>
      </c>
      <c r="V287" s="4">
        <v>14</v>
      </c>
      <c r="W287" s="4">
        <v>42</v>
      </c>
    </row>
    <row r="288" spans="1:23" ht="11.25" customHeight="1" x14ac:dyDescent="0.25">
      <c r="A288" s="4" t="s">
        <v>21</v>
      </c>
      <c r="B288" s="4" t="s">
        <v>38</v>
      </c>
      <c r="C288" s="4" t="s">
        <v>40</v>
      </c>
      <c r="D288" s="4" t="s">
        <v>37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44531</v>
      </c>
      <c r="J288" s="6">
        <v>0</v>
      </c>
      <c r="K288" s="6">
        <v>0</v>
      </c>
      <c r="L288" s="6">
        <v>554.40800000000002</v>
      </c>
      <c r="M288" s="6">
        <v>554.40800000000002</v>
      </c>
      <c r="N288" s="6">
        <v>554.40800000000002</v>
      </c>
      <c r="O288" s="6">
        <v>554.40800000000002</v>
      </c>
      <c r="P288" s="6">
        <v>0</v>
      </c>
      <c r="Q288" s="4" t="s">
        <v>26</v>
      </c>
      <c r="R288" s="4">
        <v>0</v>
      </c>
      <c r="S288" s="4" t="s">
        <v>165</v>
      </c>
      <c r="T288" s="4" t="s">
        <v>370</v>
      </c>
      <c r="U288" s="4">
        <v>0</v>
      </c>
      <c r="V288" s="4">
        <v>14</v>
      </c>
      <c r="W288" s="4">
        <v>42</v>
      </c>
    </row>
    <row r="289" spans="1:23" ht="11.25" customHeight="1" x14ac:dyDescent="0.25">
      <c r="A289" s="4" t="s">
        <v>55</v>
      </c>
      <c r="B289" s="4" t="s">
        <v>38</v>
      </c>
      <c r="C289" s="4" t="s">
        <v>40</v>
      </c>
      <c r="D289" s="4" t="s">
        <v>37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44531</v>
      </c>
      <c r="J289" s="6">
        <v>0</v>
      </c>
      <c r="K289" s="6">
        <v>0</v>
      </c>
      <c r="L289" s="6">
        <v>188.411</v>
      </c>
      <c r="M289" s="6">
        <v>188.411</v>
      </c>
      <c r="N289" s="6">
        <v>188.411</v>
      </c>
      <c r="O289" s="6">
        <v>188.411</v>
      </c>
      <c r="P289" s="6">
        <v>0</v>
      </c>
      <c r="Q289" s="4" t="s">
        <v>26</v>
      </c>
      <c r="R289" s="4">
        <v>0</v>
      </c>
      <c r="S289" s="4" t="s">
        <v>165</v>
      </c>
      <c r="T289" s="4" t="s">
        <v>370</v>
      </c>
      <c r="U289" s="4">
        <v>0</v>
      </c>
      <c r="V289" s="4">
        <v>14</v>
      </c>
      <c r="W289" s="4">
        <v>42</v>
      </c>
    </row>
    <row r="290" spans="1:23" ht="11.25" customHeight="1" x14ac:dyDescent="0.25">
      <c r="A290" s="4" t="s">
        <v>21</v>
      </c>
      <c r="B290" s="4" t="s">
        <v>38</v>
      </c>
      <c r="C290" s="4" t="s">
        <v>40</v>
      </c>
      <c r="D290" s="4" t="s">
        <v>37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44562</v>
      </c>
      <c r="J290" s="6">
        <v>0</v>
      </c>
      <c r="K290" s="6">
        <v>0</v>
      </c>
      <c r="L290" s="6">
        <v>589.08799999999997</v>
      </c>
      <c r="M290" s="6">
        <v>589.08799999999997</v>
      </c>
      <c r="N290" s="6">
        <v>589.08799999999997</v>
      </c>
      <c r="O290" s="6">
        <v>589.08799999999997</v>
      </c>
      <c r="P290" s="6">
        <v>0</v>
      </c>
      <c r="Q290" s="4" t="s">
        <v>26</v>
      </c>
      <c r="R290" s="4">
        <v>0</v>
      </c>
      <c r="S290" s="4" t="s">
        <v>166</v>
      </c>
      <c r="T290" s="4" t="s">
        <v>371</v>
      </c>
      <c r="U290" s="4">
        <v>0</v>
      </c>
      <c r="V290" s="4">
        <v>14</v>
      </c>
      <c r="W290" s="4">
        <v>42</v>
      </c>
    </row>
    <row r="291" spans="1:23" ht="11.25" customHeight="1" x14ac:dyDescent="0.25">
      <c r="A291" s="4" t="s">
        <v>55</v>
      </c>
      <c r="B291" s="4" t="s">
        <v>38</v>
      </c>
      <c r="C291" s="4" t="s">
        <v>40</v>
      </c>
      <c r="D291" s="4" t="s">
        <v>37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44562</v>
      </c>
      <c r="J291" s="6">
        <v>0</v>
      </c>
      <c r="K291" s="6">
        <v>0</v>
      </c>
      <c r="L291" s="6">
        <v>179.262</v>
      </c>
      <c r="M291" s="6">
        <v>179.262</v>
      </c>
      <c r="N291" s="6">
        <v>179.262</v>
      </c>
      <c r="O291" s="6">
        <v>179.262</v>
      </c>
      <c r="P291" s="6">
        <v>0</v>
      </c>
      <c r="Q291" s="4" t="s">
        <v>26</v>
      </c>
      <c r="R291" s="4">
        <v>0</v>
      </c>
      <c r="S291" s="4" t="s">
        <v>166</v>
      </c>
      <c r="T291" s="4" t="s">
        <v>371</v>
      </c>
      <c r="U291" s="4">
        <v>0</v>
      </c>
      <c r="V291" s="4">
        <v>14</v>
      </c>
      <c r="W291" s="4">
        <v>42</v>
      </c>
    </row>
    <row r="292" spans="1:23" ht="11.25" customHeight="1" x14ac:dyDescent="0.25">
      <c r="A292" s="4" t="s">
        <v>21</v>
      </c>
      <c r="B292" s="4" t="s">
        <v>38</v>
      </c>
      <c r="C292" s="4" t="s">
        <v>40</v>
      </c>
      <c r="D292" s="4" t="s">
        <v>37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44593</v>
      </c>
      <c r="J292" s="6">
        <v>0</v>
      </c>
      <c r="K292" s="6">
        <v>0</v>
      </c>
      <c r="L292" s="6">
        <v>357.04599999999999</v>
      </c>
      <c r="M292" s="6">
        <v>357.04599999999999</v>
      </c>
      <c r="N292" s="6">
        <v>357.04599999999999</v>
      </c>
      <c r="O292" s="6">
        <v>357.04599999999999</v>
      </c>
      <c r="P292" s="6">
        <v>0</v>
      </c>
      <c r="Q292" s="4" t="s">
        <v>26</v>
      </c>
      <c r="R292" s="4">
        <v>0</v>
      </c>
      <c r="S292" s="4" t="s">
        <v>167</v>
      </c>
      <c r="T292" s="4" t="s">
        <v>372</v>
      </c>
      <c r="U292" s="4">
        <v>0</v>
      </c>
      <c r="V292" s="4">
        <v>14</v>
      </c>
      <c r="W292" s="4">
        <v>42</v>
      </c>
    </row>
    <row r="293" spans="1:23" ht="11.25" customHeight="1" x14ac:dyDescent="0.25">
      <c r="A293" s="4" t="s">
        <v>55</v>
      </c>
      <c r="B293" s="4" t="s">
        <v>38</v>
      </c>
      <c r="C293" s="4" t="s">
        <v>40</v>
      </c>
      <c r="D293" s="4" t="s">
        <v>37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44593</v>
      </c>
      <c r="J293" s="6">
        <v>0</v>
      </c>
      <c r="K293" s="6">
        <v>0</v>
      </c>
      <c r="L293" s="6">
        <v>404.48500000000001</v>
      </c>
      <c r="M293" s="6">
        <v>404.48500000000001</v>
      </c>
      <c r="N293" s="6">
        <v>404.48500000000001</v>
      </c>
      <c r="O293" s="6">
        <v>404.48500000000001</v>
      </c>
      <c r="P293" s="6">
        <v>0</v>
      </c>
      <c r="Q293" s="4" t="s">
        <v>26</v>
      </c>
      <c r="R293" s="4">
        <v>0</v>
      </c>
      <c r="S293" s="4" t="s">
        <v>167</v>
      </c>
      <c r="T293" s="4" t="s">
        <v>372</v>
      </c>
      <c r="U293" s="4">
        <v>0</v>
      </c>
      <c r="V293" s="4">
        <v>14</v>
      </c>
      <c r="W293" s="4">
        <v>42</v>
      </c>
    </row>
    <row r="294" spans="1:23" ht="11.25" customHeight="1" x14ac:dyDescent="0.25">
      <c r="A294" s="4" t="s">
        <v>21</v>
      </c>
      <c r="B294" s="4" t="s">
        <v>38</v>
      </c>
      <c r="C294" s="4" t="s">
        <v>40</v>
      </c>
      <c r="D294" s="4" t="s">
        <v>37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44621</v>
      </c>
      <c r="J294" s="6">
        <v>0</v>
      </c>
      <c r="K294" s="6">
        <v>0</v>
      </c>
      <c r="L294" s="6">
        <v>428.29199999999997</v>
      </c>
      <c r="M294" s="6">
        <v>428.29199999999997</v>
      </c>
      <c r="N294" s="6">
        <v>428.29199999999997</v>
      </c>
      <c r="O294" s="6">
        <v>428.29199999999997</v>
      </c>
      <c r="P294" s="6">
        <v>0</v>
      </c>
      <c r="Q294" s="4" t="s">
        <v>26</v>
      </c>
      <c r="R294" s="4">
        <v>0</v>
      </c>
      <c r="S294" s="4" t="s">
        <v>168</v>
      </c>
      <c r="T294" s="4" t="s">
        <v>373</v>
      </c>
      <c r="U294" s="4">
        <v>0</v>
      </c>
      <c r="V294" s="4">
        <v>14</v>
      </c>
      <c r="W294" s="4">
        <v>42</v>
      </c>
    </row>
    <row r="295" spans="1:23" ht="11.25" customHeight="1" x14ac:dyDescent="0.25">
      <c r="A295" s="4" t="s">
        <v>55</v>
      </c>
      <c r="B295" s="4" t="s">
        <v>38</v>
      </c>
      <c r="C295" s="4" t="s">
        <v>40</v>
      </c>
      <c r="D295" s="4" t="s">
        <v>37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44621</v>
      </c>
      <c r="J295" s="6">
        <v>0</v>
      </c>
      <c r="K295" s="6">
        <v>0</v>
      </c>
      <c r="L295" s="6">
        <v>279.54599999999999</v>
      </c>
      <c r="M295" s="6">
        <v>279.54599999999999</v>
      </c>
      <c r="N295" s="6">
        <v>279.54599999999999</v>
      </c>
      <c r="O295" s="6">
        <v>279.54599999999999</v>
      </c>
      <c r="P295" s="6">
        <v>0</v>
      </c>
      <c r="Q295" s="4" t="s">
        <v>26</v>
      </c>
      <c r="R295" s="4">
        <v>0</v>
      </c>
      <c r="S295" s="4" t="s">
        <v>168</v>
      </c>
      <c r="T295" s="4" t="s">
        <v>373</v>
      </c>
      <c r="U295" s="4">
        <v>0</v>
      </c>
      <c r="V295" s="4">
        <v>14</v>
      </c>
      <c r="W295" s="4">
        <v>42</v>
      </c>
    </row>
    <row r="296" spans="1:23" ht="11.25" customHeight="1" x14ac:dyDescent="0.25">
      <c r="A296" s="4" t="s">
        <v>21</v>
      </c>
      <c r="B296" s="4" t="s">
        <v>38</v>
      </c>
      <c r="C296" s="4" t="s">
        <v>40</v>
      </c>
      <c r="D296" s="4" t="s">
        <v>37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44652</v>
      </c>
      <c r="J296" s="6">
        <v>0</v>
      </c>
      <c r="K296" s="6">
        <v>0</v>
      </c>
      <c r="L296" s="6">
        <v>369.57600000000002</v>
      </c>
      <c r="M296" s="6">
        <v>369.57600000000002</v>
      </c>
      <c r="N296" s="6">
        <v>369.57600000000002</v>
      </c>
      <c r="O296" s="6">
        <v>369.57600000000002</v>
      </c>
      <c r="P296" s="6">
        <v>0</v>
      </c>
      <c r="Q296" s="4" t="s">
        <v>26</v>
      </c>
      <c r="R296" s="4">
        <v>0</v>
      </c>
      <c r="S296" s="4" t="s">
        <v>169</v>
      </c>
      <c r="T296" s="4" t="s">
        <v>374</v>
      </c>
      <c r="U296" s="4">
        <v>0</v>
      </c>
      <c r="V296" s="4">
        <v>14</v>
      </c>
      <c r="W296" s="4">
        <v>42</v>
      </c>
    </row>
    <row r="297" spans="1:23" ht="11.25" customHeight="1" x14ac:dyDescent="0.25">
      <c r="A297" s="4" t="s">
        <v>55</v>
      </c>
      <c r="B297" s="4" t="s">
        <v>38</v>
      </c>
      <c r="C297" s="4" t="s">
        <v>40</v>
      </c>
      <c r="D297" s="4" t="s">
        <v>37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44652</v>
      </c>
      <c r="J297" s="6">
        <v>0</v>
      </c>
      <c r="K297" s="6">
        <v>0</v>
      </c>
      <c r="L297" s="6">
        <v>184.70699999999999</v>
      </c>
      <c r="M297" s="6">
        <v>184.70699999999999</v>
      </c>
      <c r="N297" s="6">
        <v>184.70699999999999</v>
      </c>
      <c r="O297" s="6">
        <v>184.70699999999999</v>
      </c>
      <c r="P297" s="6">
        <v>0</v>
      </c>
      <c r="Q297" s="4" t="s">
        <v>26</v>
      </c>
      <c r="R297" s="4">
        <v>0</v>
      </c>
      <c r="S297" s="4" t="s">
        <v>169</v>
      </c>
      <c r="T297" s="4" t="s">
        <v>374</v>
      </c>
      <c r="U297" s="4">
        <v>0</v>
      </c>
      <c r="V297" s="4">
        <v>14</v>
      </c>
      <c r="W297" s="4">
        <v>42</v>
      </c>
    </row>
    <row r="298" spans="1:23" ht="11.25" customHeight="1" x14ac:dyDescent="0.25">
      <c r="A298" s="4" t="s">
        <v>21</v>
      </c>
      <c r="B298" s="4" t="s">
        <v>38</v>
      </c>
      <c r="C298" s="4" t="s">
        <v>40</v>
      </c>
      <c r="D298" s="4" t="s">
        <v>37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44682</v>
      </c>
      <c r="J298" s="6">
        <v>0</v>
      </c>
      <c r="K298" s="6">
        <v>0</v>
      </c>
      <c r="L298" s="6">
        <v>338.89</v>
      </c>
      <c r="M298" s="6">
        <v>338.89</v>
      </c>
      <c r="N298" s="6">
        <v>338.89</v>
      </c>
      <c r="O298" s="6">
        <v>338.89</v>
      </c>
      <c r="P298" s="6">
        <v>0</v>
      </c>
      <c r="Q298" s="4" t="s">
        <v>26</v>
      </c>
      <c r="R298" s="4">
        <v>0</v>
      </c>
      <c r="S298" s="4" t="s">
        <v>170</v>
      </c>
      <c r="T298" s="4" t="s">
        <v>375</v>
      </c>
      <c r="U298" s="4">
        <v>0</v>
      </c>
      <c r="V298" s="4">
        <v>14</v>
      </c>
      <c r="W298" s="4">
        <v>42</v>
      </c>
    </row>
    <row r="299" spans="1:23" ht="11.25" customHeight="1" x14ac:dyDescent="0.25">
      <c r="A299" s="4" t="s">
        <v>55</v>
      </c>
      <c r="B299" s="4" t="s">
        <v>38</v>
      </c>
      <c r="C299" s="4" t="s">
        <v>40</v>
      </c>
      <c r="D299" s="4" t="s">
        <v>37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44682</v>
      </c>
      <c r="J299" s="6">
        <v>0</v>
      </c>
      <c r="K299" s="6">
        <v>0</v>
      </c>
      <c r="L299" s="6">
        <v>309.73599999999999</v>
      </c>
      <c r="M299" s="6">
        <v>309.73599999999999</v>
      </c>
      <c r="N299" s="6">
        <v>309.73599999999999</v>
      </c>
      <c r="O299" s="6">
        <v>309.73599999999999</v>
      </c>
      <c r="P299" s="6">
        <v>0</v>
      </c>
      <c r="Q299" s="4" t="s">
        <v>26</v>
      </c>
      <c r="R299" s="4">
        <v>0</v>
      </c>
      <c r="S299" s="4" t="s">
        <v>170</v>
      </c>
      <c r="T299" s="4" t="s">
        <v>375</v>
      </c>
      <c r="U299" s="4">
        <v>0</v>
      </c>
      <c r="V299" s="4">
        <v>14</v>
      </c>
      <c r="W299" s="4">
        <v>42</v>
      </c>
    </row>
    <row r="300" spans="1:23" ht="11.25" customHeight="1" x14ac:dyDescent="0.25">
      <c r="A300" s="4" t="s">
        <v>56</v>
      </c>
      <c r="B300" s="4" t="s">
        <v>38</v>
      </c>
      <c r="C300" s="4" t="s">
        <v>40</v>
      </c>
      <c r="D300" s="4" t="s">
        <v>37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44713</v>
      </c>
      <c r="J300" s="6">
        <v>0</v>
      </c>
      <c r="K300" s="6">
        <v>0</v>
      </c>
      <c r="L300" s="6">
        <v>338.89</v>
      </c>
      <c r="M300" s="6">
        <v>338.89</v>
      </c>
      <c r="N300" s="6">
        <v>338.89</v>
      </c>
      <c r="O300" s="6">
        <v>338.89</v>
      </c>
      <c r="P300" s="6">
        <v>0</v>
      </c>
      <c r="Q300" s="4" t="s">
        <v>26</v>
      </c>
      <c r="R300" s="4">
        <v>0</v>
      </c>
      <c r="S300" s="4" t="s">
        <v>171</v>
      </c>
      <c r="T300" s="4" t="s">
        <v>376</v>
      </c>
      <c r="U300" s="4">
        <v>0</v>
      </c>
      <c r="V300" s="4">
        <v>14</v>
      </c>
      <c r="W300" s="4">
        <v>42</v>
      </c>
    </row>
    <row r="301" spans="1:23" ht="11.25" customHeight="1" x14ac:dyDescent="0.25">
      <c r="A301" s="4" t="s">
        <v>56</v>
      </c>
      <c r="B301" s="4" t="s">
        <v>38</v>
      </c>
      <c r="C301" s="4" t="s">
        <v>40</v>
      </c>
      <c r="D301" s="4" t="s">
        <v>37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44713</v>
      </c>
      <c r="J301" s="6">
        <v>0</v>
      </c>
      <c r="K301" s="6">
        <v>0</v>
      </c>
      <c r="L301" s="6">
        <v>309.73599999999999</v>
      </c>
      <c r="M301" s="6">
        <v>309.73599999999999</v>
      </c>
      <c r="N301" s="6">
        <v>309.73599999999999</v>
      </c>
      <c r="O301" s="6">
        <v>309.73599999999999</v>
      </c>
      <c r="P301" s="6">
        <v>0</v>
      </c>
      <c r="Q301" s="4" t="s">
        <v>26</v>
      </c>
      <c r="R301" s="4">
        <v>0</v>
      </c>
      <c r="S301" s="4" t="s">
        <v>171</v>
      </c>
      <c r="T301" s="4" t="s">
        <v>376</v>
      </c>
      <c r="U301" s="4">
        <v>0</v>
      </c>
      <c r="V301" s="4">
        <v>14</v>
      </c>
      <c r="W301" s="4">
        <v>42</v>
      </c>
    </row>
    <row r="302" spans="1:23" ht="11.25" customHeight="1" x14ac:dyDescent="0.25">
      <c r="A302" s="4" t="s">
        <v>21</v>
      </c>
      <c r="B302" s="4" t="s">
        <v>38</v>
      </c>
      <c r="C302" s="4" t="s">
        <v>40</v>
      </c>
      <c r="D302" s="4" t="s">
        <v>37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44378</v>
      </c>
      <c r="J302" s="6">
        <v>5055</v>
      </c>
      <c r="K302" s="6">
        <v>5055</v>
      </c>
      <c r="L302" s="6">
        <v>0</v>
      </c>
      <c r="M302" s="6">
        <v>0</v>
      </c>
      <c r="N302" s="6">
        <v>0</v>
      </c>
      <c r="O302" s="6">
        <v>0</v>
      </c>
      <c r="P302" s="6">
        <v>26</v>
      </c>
      <c r="Q302" s="4" t="s">
        <v>26</v>
      </c>
      <c r="R302" s="4">
        <v>0</v>
      </c>
      <c r="S302" s="4" t="s">
        <v>172</v>
      </c>
      <c r="U302" s="4">
        <v>18</v>
      </c>
      <c r="V302" s="4">
        <v>0</v>
      </c>
      <c r="W302" s="4">
        <v>0</v>
      </c>
    </row>
    <row r="303" spans="1:23" ht="11.25" customHeight="1" x14ac:dyDescent="0.25">
      <c r="A303" s="4" t="s">
        <v>21</v>
      </c>
      <c r="B303" s="4" t="s">
        <v>38</v>
      </c>
      <c r="C303" s="4" t="s">
        <v>40</v>
      </c>
      <c r="D303" s="4" t="s">
        <v>37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44409</v>
      </c>
      <c r="J303" s="6">
        <v>4712</v>
      </c>
      <c r="K303" s="6">
        <v>4712</v>
      </c>
      <c r="L303" s="6">
        <v>0</v>
      </c>
      <c r="M303" s="6">
        <v>0</v>
      </c>
      <c r="N303" s="6">
        <v>0</v>
      </c>
      <c r="O303" s="6">
        <v>0</v>
      </c>
      <c r="P303" s="6">
        <v>26</v>
      </c>
      <c r="Q303" s="4" t="s">
        <v>26</v>
      </c>
      <c r="R303" s="4">
        <v>0</v>
      </c>
      <c r="S303" s="4" t="s">
        <v>173</v>
      </c>
      <c r="U303" s="4">
        <v>18</v>
      </c>
      <c r="V303" s="4">
        <v>0</v>
      </c>
      <c r="W303" s="4">
        <v>0</v>
      </c>
    </row>
    <row r="304" spans="1:23" ht="11.25" customHeight="1" x14ac:dyDescent="0.25">
      <c r="A304" s="4" t="s">
        <v>55</v>
      </c>
      <c r="B304" s="4" t="s">
        <v>38</v>
      </c>
      <c r="C304" s="4" t="s">
        <v>40</v>
      </c>
      <c r="D304" s="4" t="s">
        <v>37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44409</v>
      </c>
      <c r="J304" s="6">
        <v>1162</v>
      </c>
      <c r="K304" s="6">
        <v>1162</v>
      </c>
      <c r="L304" s="6">
        <v>0</v>
      </c>
      <c r="M304" s="6">
        <v>0</v>
      </c>
      <c r="N304" s="6">
        <v>0</v>
      </c>
      <c r="O304" s="6">
        <v>0</v>
      </c>
      <c r="P304" s="6">
        <v>5</v>
      </c>
      <c r="Q304" s="4" t="s">
        <v>26</v>
      </c>
      <c r="R304" s="4">
        <v>0</v>
      </c>
      <c r="S304" s="4" t="s">
        <v>173</v>
      </c>
      <c r="U304" s="4">
        <v>18</v>
      </c>
      <c r="V304" s="4">
        <v>0</v>
      </c>
      <c r="W304" s="4">
        <v>0</v>
      </c>
    </row>
    <row r="305" spans="1:23" ht="11.25" customHeight="1" x14ac:dyDescent="0.25">
      <c r="A305" s="4" t="s">
        <v>21</v>
      </c>
      <c r="B305" s="4" t="s">
        <v>38</v>
      </c>
      <c r="C305" s="4" t="s">
        <v>40</v>
      </c>
      <c r="D305" s="4" t="s">
        <v>37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44440</v>
      </c>
      <c r="J305" s="6">
        <v>4690</v>
      </c>
      <c r="K305" s="6">
        <v>4690</v>
      </c>
      <c r="L305" s="6">
        <v>0</v>
      </c>
      <c r="M305" s="6">
        <v>0</v>
      </c>
      <c r="N305" s="6">
        <v>0</v>
      </c>
      <c r="O305" s="6">
        <v>0</v>
      </c>
      <c r="P305" s="6">
        <v>26</v>
      </c>
      <c r="Q305" s="4" t="s">
        <v>26</v>
      </c>
      <c r="R305" s="4">
        <v>0</v>
      </c>
      <c r="S305" s="4" t="s">
        <v>174</v>
      </c>
      <c r="U305" s="4">
        <v>18</v>
      </c>
      <c r="V305" s="4">
        <v>0</v>
      </c>
      <c r="W305" s="4">
        <v>0</v>
      </c>
    </row>
    <row r="306" spans="1:23" ht="11.25" customHeight="1" x14ac:dyDescent="0.25">
      <c r="A306" s="4" t="s">
        <v>55</v>
      </c>
      <c r="B306" s="4" t="s">
        <v>38</v>
      </c>
      <c r="C306" s="4" t="s">
        <v>40</v>
      </c>
      <c r="D306" s="4" t="s">
        <v>37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44440</v>
      </c>
      <c r="J306" s="6">
        <v>1137</v>
      </c>
      <c r="K306" s="6">
        <v>1137</v>
      </c>
      <c r="L306" s="6">
        <v>0</v>
      </c>
      <c r="M306" s="6">
        <v>0</v>
      </c>
      <c r="N306" s="6">
        <v>0</v>
      </c>
      <c r="O306" s="6">
        <v>0</v>
      </c>
      <c r="P306" s="6">
        <v>5</v>
      </c>
      <c r="Q306" s="4" t="s">
        <v>26</v>
      </c>
      <c r="R306" s="4">
        <v>0</v>
      </c>
      <c r="S306" s="4" t="s">
        <v>174</v>
      </c>
      <c r="U306" s="4">
        <v>18</v>
      </c>
      <c r="V306" s="4">
        <v>0</v>
      </c>
      <c r="W306" s="4">
        <v>0</v>
      </c>
    </row>
    <row r="307" spans="1:23" ht="11.25" customHeight="1" x14ac:dyDescent="0.25">
      <c r="A307" s="4" t="s">
        <v>21</v>
      </c>
      <c r="B307" s="4" t="s">
        <v>38</v>
      </c>
      <c r="C307" s="4" t="s">
        <v>40</v>
      </c>
      <c r="D307" s="4" t="s">
        <v>37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44470</v>
      </c>
      <c r="J307" s="6">
        <v>4760</v>
      </c>
      <c r="K307" s="6">
        <v>4760</v>
      </c>
      <c r="L307" s="6">
        <v>0</v>
      </c>
      <c r="M307" s="6">
        <v>0</v>
      </c>
      <c r="N307" s="6">
        <v>0</v>
      </c>
      <c r="O307" s="6">
        <v>0</v>
      </c>
      <c r="P307" s="6">
        <v>26</v>
      </c>
      <c r="Q307" s="4" t="s">
        <v>26</v>
      </c>
      <c r="R307" s="4">
        <v>0</v>
      </c>
      <c r="S307" s="4" t="s">
        <v>175</v>
      </c>
      <c r="U307" s="4">
        <v>18</v>
      </c>
      <c r="V307" s="4">
        <v>0</v>
      </c>
      <c r="W307" s="4">
        <v>0</v>
      </c>
    </row>
    <row r="308" spans="1:23" ht="11.25" customHeight="1" x14ac:dyDescent="0.25">
      <c r="A308" s="4" t="s">
        <v>55</v>
      </c>
      <c r="B308" s="4" t="s">
        <v>38</v>
      </c>
      <c r="C308" s="4" t="s">
        <v>40</v>
      </c>
      <c r="D308" s="4" t="s">
        <v>37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44470</v>
      </c>
      <c r="J308" s="6">
        <v>1194</v>
      </c>
      <c r="K308" s="6">
        <v>1194</v>
      </c>
      <c r="L308" s="6">
        <v>0</v>
      </c>
      <c r="M308" s="6">
        <v>0</v>
      </c>
      <c r="N308" s="6">
        <v>0</v>
      </c>
      <c r="O308" s="6">
        <v>0</v>
      </c>
      <c r="P308" s="6">
        <v>5</v>
      </c>
      <c r="Q308" s="4" t="s">
        <v>26</v>
      </c>
      <c r="R308" s="4">
        <v>0</v>
      </c>
      <c r="S308" s="4" t="s">
        <v>175</v>
      </c>
      <c r="U308" s="4">
        <v>18</v>
      </c>
      <c r="V308" s="4">
        <v>0</v>
      </c>
      <c r="W308" s="4">
        <v>0</v>
      </c>
    </row>
    <row r="309" spans="1:23" ht="11.25" customHeight="1" x14ac:dyDescent="0.25">
      <c r="A309" s="4" t="s">
        <v>21</v>
      </c>
      <c r="B309" s="4" t="s">
        <v>38</v>
      </c>
      <c r="C309" s="4" t="s">
        <v>40</v>
      </c>
      <c r="D309" s="4" t="s">
        <v>37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44501</v>
      </c>
      <c r="J309" s="6">
        <v>4769</v>
      </c>
      <c r="K309" s="6">
        <v>4769</v>
      </c>
      <c r="L309" s="6">
        <v>0</v>
      </c>
      <c r="M309" s="6">
        <v>0</v>
      </c>
      <c r="N309" s="6">
        <v>0</v>
      </c>
      <c r="O309" s="6">
        <v>0</v>
      </c>
      <c r="P309" s="6">
        <v>26</v>
      </c>
      <c r="Q309" s="4" t="s">
        <v>26</v>
      </c>
      <c r="R309" s="4">
        <v>0</v>
      </c>
      <c r="S309" s="4" t="s">
        <v>176</v>
      </c>
      <c r="U309" s="4">
        <v>18</v>
      </c>
      <c r="V309" s="4">
        <v>0</v>
      </c>
      <c r="W309" s="4">
        <v>0</v>
      </c>
    </row>
    <row r="310" spans="1:23" ht="11.25" customHeight="1" x14ac:dyDescent="0.25">
      <c r="A310" s="4" t="s">
        <v>55</v>
      </c>
      <c r="B310" s="4" t="s">
        <v>38</v>
      </c>
      <c r="C310" s="4" t="s">
        <v>40</v>
      </c>
      <c r="D310" s="4" t="s">
        <v>37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44501</v>
      </c>
      <c r="J310" s="6">
        <v>1245</v>
      </c>
      <c r="K310" s="6">
        <v>1245</v>
      </c>
      <c r="L310" s="6">
        <v>0</v>
      </c>
      <c r="M310" s="6">
        <v>0</v>
      </c>
      <c r="N310" s="6">
        <v>0</v>
      </c>
      <c r="O310" s="6">
        <v>0</v>
      </c>
      <c r="P310" s="6">
        <v>5</v>
      </c>
      <c r="Q310" s="4" t="s">
        <v>26</v>
      </c>
      <c r="R310" s="4">
        <v>0</v>
      </c>
      <c r="S310" s="4" t="s">
        <v>176</v>
      </c>
      <c r="U310" s="4">
        <v>18</v>
      </c>
      <c r="V310" s="4">
        <v>0</v>
      </c>
      <c r="W310" s="4">
        <v>0</v>
      </c>
    </row>
    <row r="311" spans="1:23" ht="11.25" customHeight="1" x14ac:dyDescent="0.25">
      <c r="A311" s="4" t="s">
        <v>21</v>
      </c>
      <c r="B311" s="4" t="s">
        <v>38</v>
      </c>
      <c r="C311" s="4" t="s">
        <v>40</v>
      </c>
      <c r="D311" s="4" t="s">
        <v>37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44531</v>
      </c>
      <c r="J311" s="6">
        <v>4786</v>
      </c>
      <c r="K311" s="6">
        <v>4786</v>
      </c>
      <c r="L311" s="6">
        <v>0</v>
      </c>
      <c r="M311" s="6">
        <v>0</v>
      </c>
      <c r="N311" s="6">
        <v>0</v>
      </c>
      <c r="O311" s="6">
        <v>0</v>
      </c>
      <c r="P311" s="6">
        <v>26</v>
      </c>
      <c r="Q311" s="4" t="s">
        <v>26</v>
      </c>
      <c r="R311" s="4">
        <v>0</v>
      </c>
      <c r="S311" s="4" t="s">
        <v>177</v>
      </c>
      <c r="U311" s="4">
        <v>18</v>
      </c>
      <c r="V311" s="4">
        <v>0</v>
      </c>
      <c r="W311" s="4">
        <v>0</v>
      </c>
    </row>
    <row r="312" spans="1:23" ht="11.25" customHeight="1" x14ac:dyDescent="0.25">
      <c r="A312" s="4" t="s">
        <v>55</v>
      </c>
      <c r="B312" s="4" t="s">
        <v>38</v>
      </c>
      <c r="C312" s="4" t="s">
        <v>40</v>
      </c>
      <c r="D312" s="4" t="s">
        <v>37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44531</v>
      </c>
      <c r="J312" s="6">
        <v>1276</v>
      </c>
      <c r="K312" s="6">
        <v>1276</v>
      </c>
      <c r="L312" s="6">
        <v>0</v>
      </c>
      <c r="M312" s="6">
        <v>0</v>
      </c>
      <c r="N312" s="6">
        <v>0</v>
      </c>
      <c r="O312" s="6">
        <v>0</v>
      </c>
      <c r="P312" s="6">
        <v>5</v>
      </c>
      <c r="Q312" s="4" t="s">
        <v>26</v>
      </c>
      <c r="R312" s="4">
        <v>0</v>
      </c>
      <c r="S312" s="4" t="s">
        <v>177</v>
      </c>
      <c r="U312" s="4">
        <v>18</v>
      </c>
      <c r="V312" s="4">
        <v>0</v>
      </c>
      <c r="W312" s="4">
        <v>0</v>
      </c>
    </row>
    <row r="313" spans="1:23" ht="11.25" customHeight="1" x14ac:dyDescent="0.25">
      <c r="A313" s="4" t="s">
        <v>21</v>
      </c>
      <c r="B313" s="4" t="s">
        <v>38</v>
      </c>
      <c r="C313" s="4" t="s">
        <v>40</v>
      </c>
      <c r="D313" s="4" t="s">
        <v>37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44562</v>
      </c>
      <c r="J313" s="6">
        <v>4559</v>
      </c>
      <c r="K313" s="6">
        <v>4559</v>
      </c>
      <c r="L313" s="6">
        <v>0</v>
      </c>
      <c r="M313" s="6">
        <v>0</v>
      </c>
      <c r="N313" s="6">
        <v>0</v>
      </c>
      <c r="O313" s="6">
        <v>0</v>
      </c>
      <c r="P313" s="6">
        <v>25</v>
      </c>
      <c r="Q313" s="4" t="s">
        <v>26</v>
      </c>
      <c r="R313" s="4">
        <v>0</v>
      </c>
      <c r="S313" s="4" t="s">
        <v>178</v>
      </c>
      <c r="U313" s="4">
        <v>18</v>
      </c>
      <c r="V313" s="4">
        <v>0</v>
      </c>
      <c r="W313" s="4">
        <v>0</v>
      </c>
    </row>
    <row r="314" spans="1:23" ht="11.25" customHeight="1" x14ac:dyDescent="0.25">
      <c r="A314" s="4" t="s">
        <v>55</v>
      </c>
      <c r="B314" s="4" t="s">
        <v>38</v>
      </c>
      <c r="C314" s="4" t="s">
        <v>40</v>
      </c>
      <c r="D314" s="4" t="s">
        <v>37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44562</v>
      </c>
      <c r="J314" s="6">
        <v>1186</v>
      </c>
      <c r="K314" s="6">
        <v>1186</v>
      </c>
      <c r="L314" s="6">
        <v>0</v>
      </c>
      <c r="M314" s="6">
        <v>0</v>
      </c>
      <c r="N314" s="6">
        <v>0</v>
      </c>
      <c r="O314" s="6">
        <v>0</v>
      </c>
      <c r="P314" s="6">
        <v>5</v>
      </c>
      <c r="Q314" s="4" t="s">
        <v>26</v>
      </c>
      <c r="R314" s="4">
        <v>0</v>
      </c>
      <c r="S314" s="4" t="s">
        <v>178</v>
      </c>
      <c r="U314" s="4">
        <v>18</v>
      </c>
      <c r="V314" s="4">
        <v>0</v>
      </c>
      <c r="W314" s="4">
        <v>0</v>
      </c>
    </row>
    <row r="315" spans="1:23" ht="11.25" customHeight="1" x14ac:dyDescent="0.25">
      <c r="A315" s="4" t="s">
        <v>55</v>
      </c>
      <c r="B315" s="4" t="s">
        <v>38</v>
      </c>
      <c r="C315" s="4" t="s">
        <v>40</v>
      </c>
      <c r="D315" s="4" t="s">
        <v>37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44562</v>
      </c>
      <c r="J315" s="6">
        <v>-58</v>
      </c>
      <c r="K315" s="6">
        <v>-58</v>
      </c>
      <c r="L315" s="6">
        <v>0</v>
      </c>
      <c r="M315" s="6">
        <v>0</v>
      </c>
      <c r="N315" s="6">
        <v>0</v>
      </c>
      <c r="O315" s="6">
        <v>0</v>
      </c>
      <c r="P315" s="6">
        <v>2</v>
      </c>
      <c r="Q315" s="4" t="s">
        <v>26</v>
      </c>
      <c r="R315" s="4">
        <v>0</v>
      </c>
      <c r="S315" s="4" t="s">
        <v>178</v>
      </c>
      <c r="U315" s="4">
        <v>18</v>
      </c>
      <c r="V315" s="4">
        <v>0</v>
      </c>
      <c r="W315" s="4">
        <v>0</v>
      </c>
    </row>
    <row r="316" spans="1:23" ht="11.25" customHeight="1" x14ac:dyDescent="0.25">
      <c r="A316" s="4" t="s">
        <v>21</v>
      </c>
      <c r="B316" s="4" t="s">
        <v>38</v>
      </c>
      <c r="C316" s="4" t="s">
        <v>40</v>
      </c>
      <c r="D316" s="4" t="s">
        <v>37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44593</v>
      </c>
      <c r="J316" s="6">
        <v>3137</v>
      </c>
      <c r="K316" s="6">
        <v>3137</v>
      </c>
      <c r="L316" s="6">
        <v>0</v>
      </c>
      <c r="M316" s="6">
        <v>0</v>
      </c>
      <c r="N316" s="6">
        <v>0</v>
      </c>
      <c r="O316" s="6">
        <v>0</v>
      </c>
      <c r="P316" s="6">
        <v>19</v>
      </c>
      <c r="Q316" s="4" t="s">
        <v>26</v>
      </c>
      <c r="R316" s="4">
        <v>0</v>
      </c>
      <c r="S316" s="4" t="s">
        <v>179</v>
      </c>
      <c r="U316" s="4">
        <v>18</v>
      </c>
      <c r="V316" s="4">
        <v>0</v>
      </c>
      <c r="W316" s="4">
        <v>0</v>
      </c>
    </row>
    <row r="317" spans="1:23" ht="11.25" customHeight="1" x14ac:dyDescent="0.25">
      <c r="A317" s="4" t="s">
        <v>55</v>
      </c>
      <c r="B317" s="4" t="s">
        <v>38</v>
      </c>
      <c r="C317" s="4" t="s">
        <v>40</v>
      </c>
      <c r="D317" s="4" t="s">
        <v>37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44593</v>
      </c>
      <c r="J317" s="6">
        <v>2576</v>
      </c>
      <c r="K317" s="6">
        <v>2576</v>
      </c>
      <c r="L317" s="6">
        <v>0</v>
      </c>
      <c r="M317" s="6">
        <v>0</v>
      </c>
      <c r="N317" s="6">
        <v>0</v>
      </c>
      <c r="O317" s="6">
        <v>0</v>
      </c>
      <c r="P317" s="6">
        <v>11</v>
      </c>
      <c r="Q317" s="4" t="s">
        <v>26</v>
      </c>
      <c r="R317" s="4">
        <v>0</v>
      </c>
      <c r="S317" s="4" t="s">
        <v>179</v>
      </c>
      <c r="U317" s="4">
        <v>18</v>
      </c>
      <c r="V317" s="4">
        <v>0</v>
      </c>
      <c r="W317" s="4">
        <v>0</v>
      </c>
    </row>
    <row r="318" spans="1:23" ht="11.25" customHeight="1" x14ac:dyDescent="0.25">
      <c r="A318" s="4" t="s">
        <v>21</v>
      </c>
      <c r="B318" s="4" t="s">
        <v>38</v>
      </c>
      <c r="C318" s="4" t="s">
        <v>40</v>
      </c>
      <c r="D318" s="4" t="s">
        <v>37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44621</v>
      </c>
      <c r="J318" s="6">
        <v>3715</v>
      </c>
      <c r="K318" s="6">
        <v>3715</v>
      </c>
      <c r="L318" s="6">
        <v>0</v>
      </c>
      <c r="M318" s="6">
        <v>0</v>
      </c>
      <c r="N318" s="6">
        <v>0</v>
      </c>
      <c r="O318" s="6">
        <v>0</v>
      </c>
      <c r="P318" s="6">
        <v>21</v>
      </c>
      <c r="Q318" s="4" t="s">
        <v>26</v>
      </c>
      <c r="R318" s="4">
        <v>0</v>
      </c>
      <c r="S318" s="4" t="s">
        <v>180</v>
      </c>
      <c r="U318" s="4">
        <v>18</v>
      </c>
      <c r="V318" s="4">
        <v>0</v>
      </c>
      <c r="W318" s="4">
        <v>0</v>
      </c>
    </row>
    <row r="319" spans="1:23" ht="11.25" customHeight="1" x14ac:dyDescent="0.25">
      <c r="A319" s="4" t="s">
        <v>55</v>
      </c>
      <c r="B319" s="4" t="s">
        <v>38</v>
      </c>
      <c r="C319" s="4" t="s">
        <v>40</v>
      </c>
      <c r="D319" s="4" t="s">
        <v>37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44621</v>
      </c>
      <c r="J319" s="6">
        <v>3980</v>
      </c>
      <c r="K319" s="6">
        <v>3980</v>
      </c>
      <c r="L319" s="6">
        <v>0</v>
      </c>
      <c r="M319" s="6">
        <v>0</v>
      </c>
      <c r="N319" s="6">
        <v>0</v>
      </c>
      <c r="O319" s="6">
        <v>0</v>
      </c>
      <c r="P319" s="6">
        <v>11</v>
      </c>
      <c r="Q319" s="4" t="s">
        <v>26</v>
      </c>
      <c r="R319" s="4">
        <v>0</v>
      </c>
      <c r="S319" s="4" t="s">
        <v>180</v>
      </c>
      <c r="U319" s="4">
        <v>18</v>
      </c>
      <c r="V319" s="4">
        <v>0</v>
      </c>
      <c r="W319" s="4">
        <v>0</v>
      </c>
    </row>
    <row r="320" spans="1:23" ht="11.25" customHeight="1" x14ac:dyDescent="0.25">
      <c r="A320" s="4" t="s">
        <v>21</v>
      </c>
      <c r="B320" s="4" t="s">
        <v>38</v>
      </c>
      <c r="C320" s="4" t="s">
        <v>40</v>
      </c>
      <c r="D320" s="4" t="s">
        <v>37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44652</v>
      </c>
      <c r="J320" s="6">
        <v>3323</v>
      </c>
      <c r="K320" s="6">
        <v>3323</v>
      </c>
      <c r="L320" s="6">
        <v>0</v>
      </c>
      <c r="M320" s="6">
        <v>0</v>
      </c>
      <c r="N320" s="6">
        <v>0</v>
      </c>
      <c r="O320" s="6">
        <v>0</v>
      </c>
      <c r="P320" s="6">
        <v>20</v>
      </c>
      <c r="Q320" s="4" t="s">
        <v>26</v>
      </c>
      <c r="R320" s="4">
        <v>0</v>
      </c>
      <c r="S320" s="4" t="s">
        <v>181</v>
      </c>
      <c r="U320" s="4">
        <v>18</v>
      </c>
      <c r="V320" s="4">
        <v>0</v>
      </c>
      <c r="W320" s="4">
        <v>0</v>
      </c>
    </row>
    <row r="321" spans="1:23" ht="11.25" customHeight="1" x14ac:dyDescent="0.25">
      <c r="A321" s="4" t="s">
        <v>55</v>
      </c>
      <c r="B321" s="4" t="s">
        <v>38</v>
      </c>
      <c r="C321" s="4" t="s">
        <v>40</v>
      </c>
      <c r="D321" s="4" t="s">
        <v>37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44652</v>
      </c>
      <c r="J321" s="6">
        <v>4419</v>
      </c>
      <c r="K321" s="6">
        <v>4419</v>
      </c>
      <c r="L321" s="6">
        <v>0</v>
      </c>
      <c r="M321" s="6">
        <v>0</v>
      </c>
      <c r="N321" s="6">
        <v>0</v>
      </c>
      <c r="O321" s="6">
        <v>0</v>
      </c>
      <c r="P321" s="6">
        <v>13</v>
      </c>
      <c r="Q321" s="4" t="s">
        <v>26</v>
      </c>
      <c r="R321" s="4">
        <v>0</v>
      </c>
      <c r="S321" s="4" t="s">
        <v>181</v>
      </c>
      <c r="U321" s="4">
        <v>18</v>
      </c>
      <c r="V321" s="4">
        <v>0</v>
      </c>
      <c r="W321" s="4">
        <v>0</v>
      </c>
    </row>
    <row r="322" spans="1:23" ht="11.25" customHeight="1" x14ac:dyDescent="0.25">
      <c r="A322" s="4" t="s">
        <v>21</v>
      </c>
      <c r="B322" s="4" t="s">
        <v>38</v>
      </c>
      <c r="C322" s="4" t="s">
        <v>40</v>
      </c>
      <c r="D322" s="4" t="s">
        <v>37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44682</v>
      </c>
      <c r="J322" s="6">
        <v>3170</v>
      </c>
      <c r="K322" s="6">
        <v>3170</v>
      </c>
      <c r="L322" s="6">
        <v>0</v>
      </c>
      <c r="M322" s="6">
        <v>0</v>
      </c>
      <c r="N322" s="6">
        <v>0</v>
      </c>
      <c r="O322" s="6">
        <v>0</v>
      </c>
      <c r="P322" s="6">
        <v>20</v>
      </c>
      <c r="Q322" s="4" t="s">
        <v>26</v>
      </c>
      <c r="R322" s="4">
        <v>0</v>
      </c>
      <c r="S322" s="4" t="s">
        <v>182</v>
      </c>
      <c r="U322" s="4">
        <v>18</v>
      </c>
      <c r="V322" s="4">
        <v>0</v>
      </c>
      <c r="W322" s="4">
        <v>0</v>
      </c>
    </row>
    <row r="323" spans="1:23" ht="11.25" customHeight="1" x14ac:dyDescent="0.25">
      <c r="A323" s="4" t="s">
        <v>55</v>
      </c>
      <c r="B323" s="4" t="s">
        <v>38</v>
      </c>
      <c r="C323" s="4" t="s">
        <v>40</v>
      </c>
      <c r="D323" s="4" t="s">
        <v>37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44682</v>
      </c>
      <c r="J323" s="6">
        <v>4129</v>
      </c>
      <c r="K323" s="6">
        <v>4129</v>
      </c>
      <c r="L323" s="6">
        <v>0</v>
      </c>
      <c r="M323" s="6">
        <v>0</v>
      </c>
      <c r="N323" s="6">
        <v>0</v>
      </c>
      <c r="O323" s="6">
        <v>0</v>
      </c>
      <c r="P323" s="6">
        <v>13</v>
      </c>
      <c r="Q323" s="4" t="s">
        <v>26</v>
      </c>
      <c r="R323" s="4">
        <v>0</v>
      </c>
      <c r="S323" s="4" t="s">
        <v>182</v>
      </c>
      <c r="U323" s="4">
        <v>18</v>
      </c>
      <c r="V323" s="4">
        <v>0</v>
      </c>
      <c r="W323" s="4">
        <v>0</v>
      </c>
    </row>
    <row r="324" spans="1:23" ht="11.25" customHeight="1" x14ac:dyDescent="0.25">
      <c r="A324" s="4" t="s">
        <v>56</v>
      </c>
      <c r="B324" s="4" t="s">
        <v>38</v>
      </c>
      <c r="C324" s="4" t="s">
        <v>40</v>
      </c>
      <c r="D324" s="4" t="s">
        <v>37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3170</v>
      </c>
      <c r="K324" s="6">
        <v>3170</v>
      </c>
      <c r="L324" s="6">
        <v>0</v>
      </c>
      <c r="M324" s="6">
        <v>0</v>
      </c>
      <c r="N324" s="6">
        <v>0</v>
      </c>
      <c r="O324" s="6">
        <v>0</v>
      </c>
      <c r="P324" s="6">
        <v>20</v>
      </c>
      <c r="Q324" s="4" t="s">
        <v>26</v>
      </c>
      <c r="R324" s="4">
        <v>0</v>
      </c>
      <c r="S324" s="4" t="s">
        <v>183</v>
      </c>
      <c r="U324" s="4">
        <v>18</v>
      </c>
      <c r="V324" s="4">
        <v>0</v>
      </c>
      <c r="W324" s="4">
        <v>0</v>
      </c>
    </row>
    <row r="325" spans="1:23" ht="11.25" customHeight="1" x14ac:dyDescent="0.25">
      <c r="A325" s="4" t="s">
        <v>56</v>
      </c>
      <c r="B325" s="4" t="s">
        <v>38</v>
      </c>
      <c r="C325" s="4" t="s">
        <v>40</v>
      </c>
      <c r="D325" s="4" t="s">
        <v>37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44713</v>
      </c>
      <c r="J325" s="6">
        <v>4129</v>
      </c>
      <c r="K325" s="6">
        <v>4129</v>
      </c>
      <c r="L325" s="6">
        <v>0</v>
      </c>
      <c r="M325" s="6">
        <v>0</v>
      </c>
      <c r="N325" s="6">
        <v>0</v>
      </c>
      <c r="O325" s="6">
        <v>0</v>
      </c>
      <c r="P325" s="6">
        <v>13</v>
      </c>
      <c r="Q325" s="4" t="s">
        <v>26</v>
      </c>
      <c r="R325" s="4">
        <v>0</v>
      </c>
      <c r="S325" s="4" t="s">
        <v>183</v>
      </c>
      <c r="U325" s="4">
        <v>18</v>
      </c>
      <c r="V325" s="4">
        <v>0</v>
      </c>
      <c r="W325" s="4">
        <v>0</v>
      </c>
    </row>
    <row r="326" spans="1:23" ht="11.25" customHeight="1" x14ac:dyDescent="0.25">
      <c r="A326" s="4" t="s">
        <v>21</v>
      </c>
      <c r="B326" s="4" t="s">
        <v>38</v>
      </c>
      <c r="C326" s="4" t="s">
        <v>40</v>
      </c>
      <c r="D326" s="4" t="s">
        <v>37</v>
      </c>
      <c r="E326" s="4" t="s">
        <v>25</v>
      </c>
      <c r="F326" s="4" t="s">
        <v>25</v>
      </c>
      <c r="G326" s="4" t="s">
        <v>25</v>
      </c>
      <c r="H326" s="4" t="s">
        <v>33</v>
      </c>
      <c r="I326" s="5">
        <v>44378</v>
      </c>
      <c r="J326" s="6">
        <v>0</v>
      </c>
      <c r="K326" s="6">
        <v>0</v>
      </c>
      <c r="L326" s="6">
        <v>34.518000000000001</v>
      </c>
      <c r="M326" s="6">
        <v>34.518000000000001</v>
      </c>
      <c r="N326" s="6">
        <v>34.518000000000001</v>
      </c>
      <c r="O326" s="6">
        <v>34.518000000000001</v>
      </c>
      <c r="P326" s="6">
        <v>0</v>
      </c>
      <c r="Q326" s="4" t="s">
        <v>26</v>
      </c>
      <c r="R326" s="4">
        <v>0</v>
      </c>
      <c r="S326" s="4" t="s">
        <v>184</v>
      </c>
      <c r="T326" s="4" t="s">
        <v>377</v>
      </c>
      <c r="U326" s="4">
        <v>0</v>
      </c>
      <c r="V326" s="4">
        <v>16</v>
      </c>
      <c r="W326" s="4">
        <v>47</v>
      </c>
    </row>
    <row r="327" spans="1:23" ht="11.25" customHeight="1" x14ac:dyDescent="0.25">
      <c r="A327" s="4" t="s">
        <v>21</v>
      </c>
      <c r="B327" s="4" t="s">
        <v>38</v>
      </c>
      <c r="C327" s="4" t="s">
        <v>40</v>
      </c>
      <c r="D327" s="4" t="s">
        <v>37</v>
      </c>
      <c r="E327" s="4" t="s">
        <v>25</v>
      </c>
      <c r="F327" s="4" t="s">
        <v>25</v>
      </c>
      <c r="G327" s="4" t="s">
        <v>25</v>
      </c>
      <c r="H327" s="4" t="s">
        <v>33</v>
      </c>
      <c r="I327" s="5">
        <v>44409</v>
      </c>
      <c r="J327" s="6">
        <v>0</v>
      </c>
      <c r="K327" s="6">
        <v>0</v>
      </c>
      <c r="L327" s="6">
        <v>35.642000000000003</v>
      </c>
      <c r="M327" s="6">
        <v>35.642000000000003</v>
      </c>
      <c r="N327" s="6">
        <v>35.642000000000003</v>
      </c>
      <c r="O327" s="6">
        <v>35.642000000000003</v>
      </c>
      <c r="P327" s="6">
        <v>0</v>
      </c>
      <c r="Q327" s="4" t="s">
        <v>26</v>
      </c>
      <c r="R327" s="4">
        <v>0</v>
      </c>
      <c r="S327" s="4" t="s">
        <v>185</v>
      </c>
      <c r="T327" s="4" t="s">
        <v>378</v>
      </c>
      <c r="U327" s="4">
        <v>0</v>
      </c>
      <c r="V327" s="4">
        <v>16</v>
      </c>
      <c r="W327" s="4">
        <v>47</v>
      </c>
    </row>
    <row r="328" spans="1:23" ht="11.25" customHeight="1" x14ac:dyDescent="0.25">
      <c r="A328" s="4" t="s">
        <v>55</v>
      </c>
      <c r="B328" s="4" t="s">
        <v>38</v>
      </c>
      <c r="C328" s="4" t="s">
        <v>40</v>
      </c>
      <c r="D328" s="4" t="s">
        <v>37</v>
      </c>
      <c r="E328" s="4" t="s">
        <v>25</v>
      </c>
      <c r="F328" s="4" t="s">
        <v>25</v>
      </c>
      <c r="G328" s="4" t="s">
        <v>25</v>
      </c>
      <c r="H328" s="4" t="s">
        <v>33</v>
      </c>
      <c r="I328" s="5">
        <v>44409</v>
      </c>
      <c r="J328" s="6">
        <v>0</v>
      </c>
      <c r="K328" s="6">
        <v>0</v>
      </c>
      <c r="L328" s="6">
        <v>20.943000000000001</v>
      </c>
      <c r="M328" s="6">
        <v>20.943000000000001</v>
      </c>
      <c r="N328" s="6">
        <v>20.943000000000001</v>
      </c>
      <c r="O328" s="6">
        <v>20.943000000000001</v>
      </c>
      <c r="P328" s="6">
        <v>0</v>
      </c>
      <c r="Q328" s="4" t="s">
        <v>26</v>
      </c>
      <c r="R328" s="4">
        <v>0</v>
      </c>
      <c r="S328" s="4" t="s">
        <v>185</v>
      </c>
      <c r="T328" s="4" t="s">
        <v>378</v>
      </c>
      <c r="U328" s="4">
        <v>0</v>
      </c>
      <c r="V328" s="4">
        <v>16</v>
      </c>
      <c r="W328" s="4">
        <v>47</v>
      </c>
    </row>
    <row r="329" spans="1:23" ht="11.25" customHeight="1" x14ac:dyDescent="0.25">
      <c r="A329" s="4" t="s">
        <v>21</v>
      </c>
      <c r="B329" s="4" t="s">
        <v>38</v>
      </c>
      <c r="C329" s="4" t="s">
        <v>40</v>
      </c>
      <c r="D329" s="4" t="s">
        <v>37</v>
      </c>
      <c r="E329" s="4" t="s">
        <v>25</v>
      </c>
      <c r="F329" s="4" t="s">
        <v>25</v>
      </c>
      <c r="G329" s="4" t="s">
        <v>25</v>
      </c>
      <c r="H329" s="4" t="s">
        <v>33</v>
      </c>
      <c r="I329" s="5">
        <v>44440</v>
      </c>
      <c r="J329" s="6">
        <v>0</v>
      </c>
      <c r="K329" s="6">
        <v>0</v>
      </c>
      <c r="L329" s="6">
        <v>34.057000000000002</v>
      </c>
      <c r="M329" s="6">
        <v>34.057000000000002</v>
      </c>
      <c r="N329" s="6">
        <v>34.057000000000002</v>
      </c>
      <c r="O329" s="6">
        <v>34.057000000000002</v>
      </c>
      <c r="P329" s="6">
        <v>0</v>
      </c>
      <c r="Q329" s="4" t="s">
        <v>26</v>
      </c>
      <c r="R329" s="4">
        <v>0</v>
      </c>
      <c r="S329" s="4" t="s">
        <v>186</v>
      </c>
      <c r="T329" s="4" t="s">
        <v>379</v>
      </c>
      <c r="U329" s="4">
        <v>0</v>
      </c>
      <c r="V329" s="4">
        <v>16</v>
      </c>
      <c r="W329" s="4">
        <v>47</v>
      </c>
    </row>
    <row r="330" spans="1:23" ht="11.25" customHeight="1" x14ac:dyDescent="0.25">
      <c r="A330" s="4" t="s">
        <v>55</v>
      </c>
      <c r="B330" s="4" t="s">
        <v>38</v>
      </c>
      <c r="C330" s="4" t="s">
        <v>40</v>
      </c>
      <c r="D330" s="4" t="s">
        <v>37</v>
      </c>
      <c r="E330" s="4" t="s">
        <v>25</v>
      </c>
      <c r="F330" s="4" t="s">
        <v>25</v>
      </c>
      <c r="G330" s="4" t="s">
        <v>25</v>
      </c>
      <c r="H330" s="4" t="s">
        <v>33</v>
      </c>
      <c r="I330" s="5">
        <v>44440</v>
      </c>
      <c r="J330" s="6">
        <v>0</v>
      </c>
      <c r="K330" s="6">
        <v>0</v>
      </c>
      <c r="L330" s="6">
        <v>16.451000000000001</v>
      </c>
      <c r="M330" s="6">
        <v>16.451000000000001</v>
      </c>
      <c r="N330" s="6">
        <v>16.451000000000001</v>
      </c>
      <c r="O330" s="6">
        <v>16.451000000000001</v>
      </c>
      <c r="P330" s="6">
        <v>0</v>
      </c>
      <c r="Q330" s="4" t="s">
        <v>26</v>
      </c>
      <c r="R330" s="4">
        <v>0</v>
      </c>
      <c r="S330" s="4" t="s">
        <v>186</v>
      </c>
      <c r="T330" s="4" t="s">
        <v>379</v>
      </c>
      <c r="U330" s="4">
        <v>0</v>
      </c>
      <c r="V330" s="4">
        <v>16</v>
      </c>
      <c r="W330" s="4">
        <v>47</v>
      </c>
    </row>
    <row r="331" spans="1:23" ht="11.25" customHeight="1" x14ac:dyDescent="0.25">
      <c r="A331" s="4" t="s">
        <v>21</v>
      </c>
      <c r="B331" s="4" t="s">
        <v>38</v>
      </c>
      <c r="C331" s="4" t="s">
        <v>40</v>
      </c>
      <c r="D331" s="4" t="s">
        <v>37</v>
      </c>
      <c r="E331" s="4" t="s">
        <v>25</v>
      </c>
      <c r="F331" s="4" t="s">
        <v>25</v>
      </c>
      <c r="G331" s="4" t="s">
        <v>25</v>
      </c>
      <c r="H331" s="4" t="s">
        <v>33</v>
      </c>
      <c r="I331" s="5">
        <v>44470</v>
      </c>
      <c r="J331" s="6">
        <v>0</v>
      </c>
      <c r="K331" s="6">
        <v>0</v>
      </c>
      <c r="L331" s="6">
        <v>25.83</v>
      </c>
      <c r="M331" s="6">
        <v>25.83</v>
      </c>
      <c r="N331" s="6">
        <v>25.83</v>
      </c>
      <c r="O331" s="6">
        <v>25.83</v>
      </c>
      <c r="P331" s="6">
        <v>0</v>
      </c>
      <c r="Q331" s="4" t="s">
        <v>26</v>
      </c>
      <c r="R331" s="4">
        <v>0</v>
      </c>
      <c r="S331" s="4" t="s">
        <v>187</v>
      </c>
      <c r="T331" s="4" t="s">
        <v>380</v>
      </c>
      <c r="U331" s="4">
        <v>0</v>
      </c>
      <c r="V331" s="4">
        <v>16</v>
      </c>
      <c r="W331" s="4">
        <v>47</v>
      </c>
    </row>
    <row r="332" spans="1:23" ht="11.25" customHeight="1" x14ac:dyDescent="0.25">
      <c r="A332" s="4" t="s">
        <v>55</v>
      </c>
      <c r="B332" s="4" t="s">
        <v>38</v>
      </c>
      <c r="C332" s="4" t="s">
        <v>40</v>
      </c>
      <c r="D332" s="4" t="s">
        <v>37</v>
      </c>
      <c r="E332" s="4" t="s">
        <v>25</v>
      </c>
      <c r="F332" s="4" t="s">
        <v>25</v>
      </c>
      <c r="G332" s="4" t="s">
        <v>25</v>
      </c>
      <c r="H332" s="4" t="s">
        <v>33</v>
      </c>
      <c r="I332" s="5">
        <v>44470</v>
      </c>
      <c r="J332" s="6">
        <v>0</v>
      </c>
      <c r="K332" s="6">
        <v>0</v>
      </c>
      <c r="L332" s="6">
        <v>18.449000000000002</v>
      </c>
      <c r="M332" s="6">
        <v>18.449000000000002</v>
      </c>
      <c r="N332" s="6">
        <v>18.449000000000002</v>
      </c>
      <c r="O332" s="6">
        <v>18.449000000000002</v>
      </c>
      <c r="P332" s="6">
        <v>0</v>
      </c>
      <c r="Q332" s="4" t="s">
        <v>26</v>
      </c>
      <c r="R332" s="4">
        <v>0</v>
      </c>
      <c r="S332" s="4" t="s">
        <v>187</v>
      </c>
      <c r="T332" s="4" t="s">
        <v>380</v>
      </c>
      <c r="U332" s="4">
        <v>0</v>
      </c>
      <c r="V332" s="4">
        <v>16</v>
      </c>
      <c r="W332" s="4">
        <v>47</v>
      </c>
    </row>
    <row r="333" spans="1:23" ht="11.25" customHeight="1" x14ac:dyDescent="0.25">
      <c r="A333" s="4" t="s">
        <v>21</v>
      </c>
      <c r="B333" s="4" t="s">
        <v>38</v>
      </c>
      <c r="C333" s="4" t="s">
        <v>40</v>
      </c>
      <c r="D333" s="4" t="s">
        <v>37</v>
      </c>
      <c r="E333" s="4" t="s">
        <v>25</v>
      </c>
      <c r="F333" s="4" t="s">
        <v>25</v>
      </c>
      <c r="G333" s="4" t="s">
        <v>25</v>
      </c>
      <c r="H333" s="4" t="s">
        <v>33</v>
      </c>
      <c r="I333" s="5">
        <v>44501</v>
      </c>
      <c r="J333" s="6">
        <v>0</v>
      </c>
      <c r="K333" s="6">
        <v>0</v>
      </c>
      <c r="L333" s="6">
        <v>30.093</v>
      </c>
      <c r="M333" s="6">
        <v>30.093</v>
      </c>
      <c r="N333" s="6">
        <v>30.093</v>
      </c>
      <c r="O333" s="6">
        <v>30.093</v>
      </c>
      <c r="P333" s="6">
        <v>0</v>
      </c>
      <c r="Q333" s="4" t="s">
        <v>26</v>
      </c>
      <c r="R333" s="4">
        <v>0</v>
      </c>
      <c r="S333" s="4" t="s">
        <v>188</v>
      </c>
      <c r="T333" s="4" t="s">
        <v>381</v>
      </c>
      <c r="U333" s="4">
        <v>0</v>
      </c>
      <c r="V333" s="4">
        <v>16</v>
      </c>
      <c r="W333" s="4">
        <v>47</v>
      </c>
    </row>
    <row r="334" spans="1:23" ht="11.25" customHeight="1" x14ac:dyDescent="0.25">
      <c r="A334" s="4" t="s">
        <v>55</v>
      </c>
      <c r="B334" s="4" t="s">
        <v>38</v>
      </c>
      <c r="C334" s="4" t="s">
        <v>40</v>
      </c>
      <c r="D334" s="4" t="s">
        <v>37</v>
      </c>
      <c r="E334" s="4" t="s">
        <v>25</v>
      </c>
      <c r="F334" s="4" t="s">
        <v>25</v>
      </c>
      <c r="G334" s="4" t="s">
        <v>25</v>
      </c>
      <c r="H334" s="4" t="s">
        <v>33</v>
      </c>
      <c r="I334" s="5">
        <v>44501</v>
      </c>
      <c r="J334" s="6">
        <v>0</v>
      </c>
      <c r="K334" s="6">
        <v>0</v>
      </c>
      <c r="L334" s="6">
        <v>17.776</v>
      </c>
      <c r="M334" s="6">
        <v>17.776</v>
      </c>
      <c r="N334" s="6">
        <v>17.776</v>
      </c>
      <c r="O334" s="6">
        <v>17.776</v>
      </c>
      <c r="P334" s="6">
        <v>0</v>
      </c>
      <c r="Q334" s="4" t="s">
        <v>26</v>
      </c>
      <c r="R334" s="4">
        <v>0</v>
      </c>
      <c r="S334" s="4" t="s">
        <v>188</v>
      </c>
      <c r="T334" s="4" t="s">
        <v>381</v>
      </c>
      <c r="U334" s="4">
        <v>0</v>
      </c>
      <c r="V334" s="4">
        <v>16</v>
      </c>
      <c r="W334" s="4">
        <v>47</v>
      </c>
    </row>
    <row r="335" spans="1:23" ht="11.25" customHeight="1" x14ac:dyDescent="0.25">
      <c r="A335" s="4" t="s">
        <v>21</v>
      </c>
      <c r="B335" s="4" t="s">
        <v>38</v>
      </c>
      <c r="C335" s="4" t="s">
        <v>40</v>
      </c>
      <c r="D335" s="4" t="s">
        <v>37</v>
      </c>
      <c r="E335" s="4" t="s">
        <v>25</v>
      </c>
      <c r="F335" s="4" t="s">
        <v>25</v>
      </c>
      <c r="G335" s="4" t="s">
        <v>25</v>
      </c>
      <c r="H335" s="4" t="s">
        <v>33</v>
      </c>
      <c r="I335" s="5">
        <v>44531</v>
      </c>
      <c r="J335" s="6">
        <v>0</v>
      </c>
      <c r="K335" s="6">
        <v>0</v>
      </c>
      <c r="L335" s="6">
        <v>25.414000000000001</v>
      </c>
      <c r="M335" s="6">
        <v>25.414000000000001</v>
      </c>
      <c r="N335" s="6">
        <v>25.414000000000001</v>
      </c>
      <c r="O335" s="6">
        <v>25.414000000000001</v>
      </c>
      <c r="P335" s="6">
        <v>0</v>
      </c>
      <c r="Q335" s="4" t="s">
        <v>26</v>
      </c>
      <c r="R335" s="4">
        <v>0</v>
      </c>
      <c r="S335" s="4" t="s">
        <v>189</v>
      </c>
      <c r="T335" s="4" t="s">
        <v>382</v>
      </c>
      <c r="U335" s="4">
        <v>0</v>
      </c>
      <c r="V335" s="4">
        <v>16</v>
      </c>
      <c r="W335" s="4">
        <v>47</v>
      </c>
    </row>
    <row r="336" spans="1:23" ht="11.25" customHeight="1" x14ac:dyDescent="0.25">
      <c r="A336" s="4" t="s">
        <v>55</v>
      </c>
      <c r="B336" s="4" t="s">
        <v>38</v>
      </c>
      <c r="C336" s="4" t="s">
        <v>40</v>
      </c>
      <c r="D336" s="4" t="s">
        <v>37</v>
      </c>
      <c r="E336" s="4" t="s">
        <v>25</v>
      </c>
      <c r="F336" s="4" t="s">
        <v>25</v>
      </c>
      <c r="G336" s="4" t="s">
        <v>25</v>
      </c>
      <c r="H336" s="4" t="s">
        <v>33</v>
      </c>
      <c r="I336" s="5">
        <v>44531</v>
      </c>
      <c r="J336" s="6">
        <v>0</v>
      </c>
      <c r="K336" s="6">
        <v>0</v>
      </c>
      <c r="L336" s="6">
        <v>21.821999999999999</v>
      </c>
      <c r="M336" s="6">
        <v>21.821999999999999</v>
      </c>
      <c r="N336" s="6">
        <v>21.821999999999999</v>
      </c>
      <c r="O336" s="6">
        <v>21.821999999999999</v>
      </c>
      <c r="P336" s="6">
        <v>0</v>
      </c>
      <c r="Q336" s="4" t="s">
        <v>26</v>
      </c>
      <c r="R336" s="4">
        <v>0</v>
      </c>
      <c r="S336" s="4" t="s">
        <v>189</v>
      </c>
      <c r="T336" s="4" t="s">
        <v>382</v>
      </c>
      <c r="U336" s="4">
        <v>0</v>
      </c>
      <c r="V336" s="4">
        <v>16</v>
      </c>
      <c r="W336" s="4">
        <v>47</v>
      </c>
    </row>
    <row r="337" spans="1:23" ht="11.25" customHeight="1" x14ac:dyDescent="0.25">
      <c r="A337" s="4" t="s">
        <v>21</v>
      </c>
      <c r="B337" s="4" t="s">
        <v>38</v>
      </c>
      <c r="C337" s="4" t="s">
        <v>40</v>
      </c>
      <c r="D337" s="4" t="s">
        <v>37</v>
      </c>
      <c r="E337" s="4" t="s">
        <v>25</v>
      </c>
      <c r="F337" s="4" t="s">
        <v>25</v>
      </c>
      <c r="G337" s="4" t="s">
        <v>25</v>
      </c>
      <c r="H337" s="4" t="s">
        <v>33</v>
      </c>
      <c r="I337" s="5">
        <v>44562</v>
      </c>
      <c r="J337" s="6">
        <v>0</v>
      </c>
      <c r="K337" s="6">
        <v>0</v>
      </c>
      <c r="L337" s="6">
        <v>23.061</v>
      </c>
      <c r="M337" s="6">
        <v>23.061</v>
      </c>
      <c r="N337" s="6">
        <v>23.061</v>
      </c>
      <c r="O337" s="6">
        <v>23.061</v>
      </c>
      <c r="P337" s="6">
        <v>0</v>
      </c>
      <c r="Q337" s="4" t="s">
        <v>26</v>
      </c>
      <c r="R337" s="4">
        <v>0</v>
      </c>
      <c r="S337" s="4" t="s">
        <v>190</v>
      </c>
      <c r="T337" s="4" t="s">
        <v>383</v>
      </c>
      <c r="U337" s="4">
        <v>0</v>
      </c>
      <c r="V337" s="4">
        <v>16</v>
      </c>
      <c r="W337" s="4">
        <v>47</v>
      </c>
    </row>
    <row r="338" spans="1:23" ht="11.25" customHeight="1" x14ac:dyDescent="0.25">
      <c r="A338" s="4" t="s">
        <v>55</v>
      </c>
      <c r="B338" s="4" t="s">
        <v>38</v>
      </c>
      <c r="C338" s="4" t="s">
        <v>40</v>
      </c>
      <c r="D338" s="4" t="s">
        <v>37</v>
      </c>
      <c r="E338" s="4" t="s">
        <v>25</v>
      </c>
      <c r="F338" s="4" t="s">
        <v>25</v>
      </c>
      <c r="G338" s="4" t="s">
        <v>25</v>
      </c>
      <c r="H338" s="4" t="s">
        <v>33</v>
      </c>
      <c r="I338" s="5">
        <v>44562</v>
      </c>
      <c r="J338" s="6">
        <v>0</v>
      </c>
      <c r="K338" s="6">
        <v>0</v>
      </c>
      <c r="L338" s="6">
        <v>17.661999999999999</v>
      </c>
      <c r="M338" s="6">
        <v>17.661999999999999</v>
      </c>
      <c r="N338" s="6">
        <v>17.661999999999999</v>
      </c>
      <c r="O338" s="6">
        <v>17.661999999999999</v>
      </c>
      <c r="P338" s="6">
        <v>0</v>
      </c>
      <c r="Q338" s="4" t="s">
        <v>26</v>
      </c>
      <c r="R338" s="4">
        <v>0</v>
      </c>
      <c r="S338" s="4" t="s">
        <v>190</v>
      </c>
      <c r="T338" s="4" t="s">
        <v>383</v>
      </c>
      <c r="U338" s="4">
        <v>0</v>
      </c>
      <c r="V338" s="4">
        <v>16</v>
      </c>
      <c r="W338" s="4">
        <v>47</v>
      </c>
    </row>
    <row r="339" spans="1:23" ht="11.25" customHeight="1" x14ac:dyDescent="0.25">
      <c r="A339" s="4" t="s">
        <v>21</v>
      </c>
      <c r="B339" s="4" t="s">
        <v>38</v>
      </c>
      <c r="C339" s="4" t="s">
        <v>40</v>
      </c>
      <c r="D339" s="4" t="s">
        <v>37</v>
      </c>
      <c r="E339" s="4" t="s">
        <v>25</v>
      </c>
      <c r="F339" s="4" t="s">
        <v>25</v>
      </c>
      <c r="G339" s="4" t="s">
        <v>25</v>
      </c>
      <c r="H339" s="4" t="s">
        <v>33</v>
      </c>
      <c r="I339" s="5">
        <v>44593</v>
      </c>
      <c r="J339" s="6">
        <v>0</v>
      </c>
      <c r="K339" s="6">
        <v>0</v>
      </c>
      <c r="L339" s="6">
        <v>24.135999999999999</v>
      </c>
      <c r="M339" s="6">
        <v>24.135999999999999</v>
      </c>
      <c r="N339" s="6">
        <v>24.135999999999999</v>
      </c>
      <c r="O339" s="6">
        <v>24.135999999999999</v>
      </c>
      <c r="P339" s="6">
        <v>0</v>
      </c>
      <c r="Q339" s="4" t="s">
        <v>26</v>
      </c>
      <c r="R339" s="4">
        <v>0</v>
      </c>
      <c r="S339" s="4" t="s">
        <v>191</v>
      </c>
      <c r="T339" s="4" t="s">
        <v>384</v>
      </c>
      <c r="U339" s="4">
        <v>0</v>
      </c>
      <c r="V339" s="4">
        <v>16</v>
      </c>
      <c r="W339" s="4">
        <v>47</v>
      </c>
    </row>
    <row r="340" spans="1:23" ht="11.25" customHeight="1" x14ac:dyDescent="0.25">
      <c r="A340" s="4" t="s">
        <v>55</v>
      </c>
      <c r="B340" s="4" t="s">
        <v>38</v>
      </c>
      <c r="C340" s="4" t="s">
        <v>40</v>
      </c>
      <c r="D340" s="4" t="s">
        <v>37</v>
      </c>
      <c r="E340" s="4" t="s">
        <v>25</v>
      </c>
      <c r="F340" s="4" t="s">
        <v>25</v>
      </c>
      <c r="G340" s="4" t="s">
        <v>25</v>
      </c>
      <c r="H340" s="4" t="s">
        <v>33</v>
      </c>
      <c r="I340" s="5">
        <v>44593</v>
      </c>
      <c r="J340" s="6">
        <v>0</v>
      </c>
      <c r="K340" s="6">
        <v>0</v>
      </c>
      <c r="L340" s="6">
        <v>25.388999999999999</v>
      </c>
      <c r="M340" s="6">
        <v>25.388999999999999</v>
      </c>
      <c r="N340" s="6">
        <v>25.388999999999999</v>
      </c>
      <c r="O340" s="6">
        <v>25.388999999999999</v>
      </c>
      <c r="P340" s="6">
        <v>0</v>
      </c>
      <c r="Q340" s="4" t="s">
        <v>26</v>
      </c>
      <c r="R340" s="4">
        <v>0</v>
      </c>
      <c r="S340" s="4" t="s">
        <v>191</v>
      </c>
      <c r="T340" s="4" t="s">
        <v>384</v>
      </c>
      <c r="U340" s="4">
        <v>0</v>
      </c>
      <c r="V340" s="4">
        <v>16</v>
      </c>
      <c r="W340" s="4">
        <v>47</v>
      </c>
    </row>
    <row r="341" spans="1:23" ht="11.25" customHeight="1" x14ac:dyDescent="0.25">
      <c r="A341" s="4" t="s">
        <v>21</v>
      </c>
      <c r="B341" s="4" t="s">
        <v>38</v>
      </c>
      <c r="C341" s="4" t="s">
        <v>40</v>
      </c>
      <c r="D341" s="4" t="s">
        <v>37</v>
      </c>
      <c r="E341" s="4" t="s">
        <v>25</v>
      </c>
      <c r="F341" s="4" t="s">
        <v>25</v>
      </c>
      <c r="G341" s="4" t="s">
        <v>25</v>
      </c>
      <c r="H341" s="4" t="s">
        <v>33</v>
      </c>
      <c r="I341" s="5">
        <v>44621</v>
      </c>
      <c r="J341" s="6">
        <v>0</v>
      </c>
      <c r="K341" s="6">
        <v>0</v>
      </c>
      <c r="L341" s="6">
        <v>20.448</v>
      </c>
      <c r="M341" s="6">
        <v>20.448</v>
      </c>
      <c r="N341" s="6">
        <v>20.448</v>
      </c>
      <c r="O341" s="6">
        <v>20.448</v>
      </c>
      <c r="P341" s="6">
        <v>0</v>
      </c>
      <c r="Q341" s="4" t="s">
        <v>26</v>
      </c>
      <c r="R341" s="4">
        <v>0</v>
      </c>
      <c r="S341" s="4" t="s">
        <v>192</v>
      </c>
      <c r="T341" s="4" t="s">
        <v>385</v>
      </c>
      <c r="U341" s="4">
        <v>0</v>
      </c>
      <c r="V341" s="4">
        <v>16</v>
      </c>
      <c r="W341" s="4">
        <v>47</v>
      </c>
    </row>
    <row r="342" spans="1:23" ht="11.25" customHeight="1" x14ac:dyDescent="0.25">
      <c r="A342" s="4" t="s">
        <v>55</v>
      </c>
      <c r="B342" s="4" t="s">
        <v>38</v>
      </c>
      <c r="C342" s="4" t="s">
        <v>40</v>
      </c>
      <c r="D342" s="4" t="s">
        <v>37</v>
      </c>
      <c r="E342" s="4" t="s">
        <v>25</v>
      </c>
      <c r="F342" s="4" t="s">
        <v>25</v>
      </c>
      <c r="G342" s="4" t="s">
        <v>25</v>
      </c>
      <c r="H342" s="4" t="s">
        <v>33</v>
      </c>
      <c r="I342" s="5">
        <v>44621</v>
      </c>
      <c r="J342" s="6">
        <v>0</v>
      </c>
      <c r="K342" s="6">
        <v>0</v>
      </c>
      <c r="L342" s="6">
        <v>25.614000000000001</v>
      </c>
      <c r="M342" s="6">
        <v>25.614000000000001</v>
      </c>
      <c r="N342" s="6">
        <v>25.614000000000001</v>
      </c>
      <c r="O342" s="6">
        <v>25.614000000000001</v>
      </c>
      <c r="P342" s="6">
        <v>0</v>
      </c>
      <c r="Q342" s="4" t="s">
        <v>26</v>
      </c>
      <c r="R342" s="4">
        <v>0</v>
      </c>
      <c r="S342" s="4" t="s">
        <v>192</v>
      </c>
      <c r="T342" s="4" t="s">
        <v>385</v>
      </c>
      <c r="U342" s="4">
        <v>0</v>
      </c>
      <c r="V342" s="4">
        <v>16</v>
      </c>
      <c r="W342" s="4">
        <v>47</v>
      </c>
    </row>
    <row r="343" spans="1:23" ht="11.25" customHeight="1" x14ac:dyDescent="0.25">
      <c r="A343" s="4" t="s">
        <v>21</v>
      </c>
      <c r="B343" s="4" t="s">
        <v>38</v>
      </c>
      <c r="C343" s="4" t="s">
        <v>40</v>
      </c>
      <c r="D343" s="4" t="s">
        <v>37</v>
      </c>
      <c r="E343" s="4" t="s">
        <v>25</v>
      </c>
      <c r="F343" s="4" t="s">
        <v>25</v>
      </c>
      <c r="G343" s="4" t="s">
        <v>25</v>
      </c>
      <c r="H343" s="4" t="s">
        <v>33</v>
      </c>
      <c r="I343" s="5">
        <v>44652</v>
      </c>
      <c r="J343" s="6">
        <v>0</v>
      </c>
      <c r="K343" s="6">
        <v>0</v>
      </c>
      <c r="L343" s="6">
        <v>23.533000000000001</v>
      </c>
      <c r="M343" s="6">
        <v>23.533000000000001</v>
      </c>
      <c r="N343" s="6">
        <v>23.533000000000001</v>
      </c>
      <c r="O343" s="6">
        <v>23.533000000000001</v>
      </c>
      <c r="P343" s="6">
        <v>0</v>
      </c>
      <c r="Q343" s="4" t="s">
        <v>26</v>
      </c>
      <c r="R343" s="4">
        <v>0</v>
      </c>
      <c r="S343" s="4" t="s">
        <v>193</v>
      </c>
      <c r="T343" s="4" t="s">
        <v>386</v>
      </c>
      <c r="U343" s="4">
        <v>0</v>
      </c>
      <c r="V343" s="4">
        <v>16</v>
      </c>
      <c r="W343" s="4">
        <v>47</v>
      </c>
    </row>
    <row r="344" spans="1:23" ht="11.25" customHeight="1" x14ac:dyDescent="0.25">
      <c r="A344" s="4" t="s">
        <v>55</v>
      </c>
      <c r="B344" s="4" t="s">
        <v>38</v>
      </c>
      <c r="C344" s="4" t="s">
        <v>40</v>
      </c>
      <c r="D344" s="4" t="s">
        <v>37</v>
      </c>
      <c r="E344" s="4" t="s">
        <v>25</v>
      </c>
      <c r="F344" s="4" t="s">
        <v>25</v>
      </c>
      <c r="G344" s="4" t="s">
        <v>25</v>
      </c>
      <c r="H344" s="4" t="s">
        <v>33</v>
      </c>
      <c r="I344" s="5">
        <v>44652</v>
      </c>
      <c r="J344" s="6">
        <v>0</v>
      </c>
      <c r="K344" s="6">
        <v>0</v>
      </c>
      <c r="L344" s="6">
        <v>11.302</v>
      </c>
      <c r="M344" s="6">
        <v>11.302</v>
      </c>
      <c r="N344" s="6">
        <v>11.302</v>
      </c>
      <c r="O344" s="6">
        <v>11.302</v>
      </c>
      <c r="P344" s="6">
        <v>0</v>
      </c>
      <c r="Q344" s="4" t="s">
        <v>26</v>
      </c>
      <c r="R344" s="4">
        <v>0</v>
      </c>
      <c r="S344" s="4" t="s">
        <v>193</v>
      </c>
      <c r="T344" s="4" t="s">
        <v>386</v>
      </c>
      <c r="U344" s="4">
        <v>0</v>
      </c>
      <c r="V344" s="4">
        <v>16</v>
      </c>
      <c r="W344" s="4">
        <v>47</v>
      </c>
    </row>
    <row r="345" spans="1:23" ht="11.25" customHeight="1" x14ac:dyDescent="0.25">
      <c r="A345" s="4" t="s">
        <v>21</v>
      </c>
      <c r="B345" s="4" t="s">
        <v>38</v>
      </c>
      <c r="C345" s="4" t="s">
        <v>40</v>
      </c>
      <c r="D345" s="4" t="s">
        <v>37</v>
      </c>
      <c r="E345" s="4" t="s">
        <v>25</v>
      </c>
      <c r="F345" s="4" t="s">
        <v>25</v>
      </c>
      <c r="G345" s="4" t="s">
        <v>25</v>
      </c>
      <c r="H345" s="4" t="s">
        <v>33</v>
      </c>
      <c r="I345" s="5">
        <v>44682</v>
      </c>
      <c r="J345" s="6">
        <v>0</v>
      </c>
      <c r="K345" s="6">
        <v>0</v>
      </c>
      <c r="L345" s="6">
        <v>20.510999999999999</v>
      </c>
      <c r="M345" s="6">
        <v>20.510999999999999</v>
      </c>
      <c r="N345" s="6">
        <v>20.510999999999999</v>
      </c>
      <c r="O345" s="6">
        <v>20.510999999999999</v>
      </c>
      <c r="P345" s="6">
        <v>0</v>
      </c>
      <c r="Q345" s="4" t="s">
        <v>26</v>
      </c>
      <c r="R345" s="4">
        <v>0</v>
      </c>
      <c r="S345" s="4" t="s">
        <v>194</v>
      </c>
      <c r="T345" s="4" t="s">
        <v>387</v>
      </c>
      <c r="U345" s="4">
        <v>0</v>
      </c>
      <c r="V345" s="4">
        <v>16</v>
      </c>
      <c r="W345" s="4">
        <v>47</v>
      </c>
    </row>
    <row r="346" spans="1:23" ht="11.25" customHeight="1" x14ac:dyDescent="0.25">
      <c r="A346" s="4" t="s">
        <v>55</v>
      </c>
      <c r="B346" s="4" t="s">
        <v>38</v>
      </c>
      <c r="C346" s="4" t="s">
        <v>40</v>
      </c>
      <c r="D346" s="4" t="s">
        <v>37</v>
      </c>
      <c r="E346" s="4" t="s">
        <v>25</v>
      </c>
      <c r="F346" s="4" t="s">
        <v>25</v>
      </c>
      <c r="G346" s="4" t="s">
        <v>25</v>
      </c>
      <c r="H346" s="4" t="s">
        <v>33</v>
      </c>
      <c r="I346" s="5">
        <v>44682</v>
      </c>
      <c r="J346" s="6">
        <v>0</v>
      </c>
      <c r="K346" s="6">
        <v>0</v>
      </c>
      <c r="L346" s="6">
        <v>11.206</v>
      </c>
      <c r="M346" s="6">
        <v>11.206</v>
      </c>
      <c r="N346" s="6">
        <v>11.206</v>
      </c>
      <c r="O346" s="6">
        <v>11.206</v>
      </c>
      <c r="P346" s="6">
        <v>0</v>
      </c>
      <c r="Q346" s="4" t="s">
        <v>26</v>
      </c>
      <c r="R346" s="4">
        <v>0</v>
      </c>
      <c r="S346" s="4" t="s">
        <v>194</v>
      </c>
      <c r="T346" s="4" t="s">
        <v>387</v>
      </c>
      <c r="U346" s="4">
        <v>0</v>
      </c>
      <c r="V346" s="4">
        <v>16</v>
      </c>
      <c r="W346" s="4">
        <v>47</v>
      </c>
    </row>
    <row r="347" spans="1:23" ht="11.25" customHeight="1" x14ac:dyDescent="0.25">
      <c r="A347" s="4" t="s">
        <v>56</v>
      </c>
      <c r="B347" s="4" t="s">
        <v>38</v>
      </c>
      <c r="C347" s="4" t="s">
        <v>40</v>
      </c>
      <c r="D347" s="4" t="s">
        <v>37</v>
      </c>
      <c r="E347" s="4" t="s">
        <v>25</v>
      </c>
      <c r="F347" s="4" t="s">
        <v>25</v>
      </c>
      <c r="G347" s="4" t="s">
        <v>25</v>
      </c>
      <c r="H347" s="4" t="s">
        <v>33</v>
      </c>
      <c r="I347" s="5">
        <v>44713</v>
      </c>
      <c r="J347" s="6">
        <v>0</v>
      </c>
      <c r="K347" s="6">
        <v>0</v>
      </c>
      <c r="L347" s="6">
        <v>20.510999999999999</v>
      </c>
      <c r="M347" s="6">
        <v>20.510999999999999</v>
      </c>
      <c r="N347" s="6">
        <v>20.510999999999999</v>
      </c>
      <c r="O347" s="6">
        <v>20.510999999999999</v>
      </c>
      <c r="P347" s="6">
        <v>0</v>
      </c>
      <c r="Q347" s="4" t="s">
        <v>26</v>
      </c>
      <c r="R347" s="4">
        <v>0</v>
      </c>
      <c r="S347" s="4" t="s">
        <v>195</v>
      </c>
      <c r="T347" s="4" t="s">
        <v>388</v>
      </c>
      <c r="U347" s="4">
        <v>0</v>
      </c>
      <c r="V347" s="4">
        <v>16</v>
      </c>
      <c r="W347" s="4">
        <v>47</v>
      </c>
    </row>
    <row r="348" spans="1:23" ht="11.25" customHeight="1" x14ac:dyDescent="0.25">
      <c r="A348" s="4" t="s">
        <v>56</v>
      </c>
      <c r="B348" s="4" t="s">
        <v>38</v>
      </c>
      <c r="C348" s="4" t="s">
        <v>40</v>
      </c>
      <c r="D348" s="4" t="s">
        <v>37</v>
      </c>
      <c r="E348" s="4" t="s">
        <v>25</v>
      </c>
      <c r="F348" s="4" t="s">
        <v>25</v>
      </c>
      <c r="G348" s="4" t="s">
        <v>25</v>
      </c>
      <c r="H348" s="4" t="s">
        <v>33</v>
      </c>
      <c r="I348" s="5">
        <v>44713</v>
      </c>
      <c r="J348" s="6">
        <v>0</v>
      </c>
      <c r="K348" s="6">
        <v>0</v>
      </c>
      <c r="L348" s="6">
        <v>11.206</v>
      </c>
      <c r="M348" s="6">
        <v>11.206</v>
      </c>
      <c r="N348" s="6">
        <v>11.206</v>
      </c>
      <c r="O348" s="6">
        <v>11.206</v>
      </c>
      <c r="P348" s="6">
        <v>0</v>
      </c>
      <c r="Q348" s="4" t="s">
        <v>26</v>
      </c>
      <c r="R348" s="4">
        <v>0</v>
      </c>
      <c r="S348" s="4" t="s">
        <v>195</v>
      </c>
      <c r="T348" s="4" t="s">
        <v>388</v>
      </c>
      <c r="U348" s="4">
        <v>0</v>
      </c>
      <c r="V348" s="4">
        <v>16</v>
      </c>
      <c r="W348" s="4">
        <v>47</v>
      </c>
    </row>
    <row r="349" spans="1:23" ht="11.25" customHeight="1" x14ac:dyDescent="0.25">
      <c r="A349" s="4" t="s">
        <v>21</v>
      </c>
      <c r="B349" s="4" t="s">
        <v>38</v>
      </c>
      <c r="C349" s="4" t="s">
        <v>40</v>
      </c>
      <c r="D349" s="4" t="s">
        <v>44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44378</v>
      </c>
      <c r="J349" s="6">
        <v>0</v>
      </c>
      <c r="K349" s="6">
        <v>0</v>
      </c>
      <c r="L349" s="6">
        <v>36.948999999999998</v>
      </c>
      <c r="M349" s="6">
        <v>36.948999999999998</v>
      </c>
      <c r="N349" s="6">
        <v>36.948999999999998</v>
      </c>
      <c r="O349" s="6">
        <v>36.948999999999998</v>
      </c>
      <c r="P349" s="6">
        <v>0</v>
      </c>
      <c r="Q349" s="4" t="s">
        <v>26</v>
      </c>
      <c r="R349" s="4">
        <v>0</v>
      </c>
      <c r="S349" s="4" t="s">
        <v>160</v>
      </c>
      <c r="T349" s="4" t="s">
        <v>365</v>
      </c>
      <c r="U349" s="4">
        <v>0</v>
      </c>
      <c r="V349" s="4">
        <v>14</v>
      </c>
      <c r="W349" s="4">
        <v>42</v>
      </c>
    </row>
    <row r="350" spans="1:23" ht="11.25" customHeight="1" x14ac:dyDescent="0.25">
      <c r="A350" s="4" t="s">
        <v>21</v>
      </c>
      <c r="B350" s="4" t="s">
        <v>38</v>
      </c>
      <c r="C350" s="4" t="s">
        <v>40</v>
      </c>
      <c r="D350" s="4" t="s">
        <v>44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44409</v>
      </c>
      <c r="J350" s="6">
        <v>0</v>
      </c>
      <c r="K350" s="6">
        <v>0</v>
      </c>
      <c r="L350" s="6">
        <v>32.012999999999998</v>
      </c>
      <c r="M350" s="6">
        <v>32.012999999999998</v>
      </c>
      <c r="N350" s="6">
        <v>32.012999999999998</v>
      </c>
      <c r="O350" s="6">
        <v>32.012999999999998</v>
      </c>
      <c r="P350" s="6">
        <v>0</v>
      </c>
      <c r="Q350" s="4" t="s">
        <v>26</v>
      </c>
      <c r="R350" s="4">
        <v>0</v>
      </c>
      <c r="S350" s="4" t="s">
        <v>161</v>
      </c>
      <c r="T350" s="4" t="s">
        <v>366</v>
      </c>
      <c r="U350" s="4">
        <v>0</v>
      </c>
      <c r="V350" s="4">
        <v>14</v>
      </c>
      <c r="W350" s="4">
        <v>42</v>
      </c>
    </row>
    <row r="351" spans="1:23" ht="11.25" customHeight="1" x14ac:dyDescent="0.25">
      <c r="A351" s="4" t="s">
        <v>21</v>
      </c>
      <c r="B351" s="4" t="s">
        <v>38</v>
      </c>
      <c r="C351" s="4" t="s">
        <v>40</v>
      </c>
      <c r="D351" s="4" t="s">
        <v>44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44440</v>
      </c>
      <c r="J351" s="6">
        <v>0</v>
      </c>
      <c r="K351" s="6">
        <v>0</v>
      </c>
      <c r="L351" s="6">
        <v>28.440999999999999</v>
      </c>
      <c r="M351" s="6">
        <v>28.440999999999999</v>
      </c>
      <c r="N351" s="6">
        <v>28.440999999999999</v>
      </c>
      <c r="O351" s="6">
        <v>28.440999999999999</v>
      </c>
      <c r="P351" s="6">
        <v>0</v>
      </c>
      <c r="Q351" s="4" t="s">
        <v>26</v>
      </c>
      <c r="R351" s="4">
        <v>0</v>
      </c>
      <c r="S351" s="4" t="s">
        <v>162</v>
      </c>
      <c r="T351" s="4" t="s">
        <v>367</v>
      </c>
      <c r="U351" s="4">
        <v>0</v>
      </c>
      <c r="V351" s="4">
        <v>14</v>
      </c>
      <c r="W351" s="4">
        <v>42</v>
      </c>
    </row>
    <row r="352" spans="1:23" ht="11.25" customHeight="1" x14ac:dyDescent="0.25">
      <c r="A352" s="4" t="s">
        <v>21</v>
      </c>
      <c r="B352" s="4" t="s">
        <v>38</v>
      </c>
      <c r="C352" s="4" t="s">
        <v>40</v>
      </c>
      <c r="D352" s="4" t="s">
        <v>44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44470</v>
      </c>
      <c r="J352" s="6">
        <v>0</v>
      </c>
      <c r="K352" s="6">
        <v>0</v>
      </c>
      <c r="L352" s="6">
        <v>28.876999999999999</v>
      </c>
      <c r="M352" s="6">
        <v>28.876999999999999</v>
      </c>
      <c r="N352" s="6">
        <v>28.876999999999999</v>
      </c>
      <c r="O352" s="6">
        <v>28.876999999999999</v>
      </c>
      <c r="P352" s="6">
        <v>0</v>
      </c>
      <c r="Q352" s="4" t="s">
        <v>26</v>
      </c>
      <c r="R352" s="4">
        <v>0</v>
      </c>
      <c r="S352" s="4" t="s">
        <v>163</v>
      </c>
      <c r="T352" s="4" t="s">
        <v>368</v>
      </c>
      <c r="U352" s="4">
        <v>0</v>
      </c>
      <c r="V352" s="4">
        <v>14</v>
      </c>
      <c r="W352" s="4">
        <v>42</v>
      </c>
    </row>
    <row r="353" spans="1:23" ht="11.25" customHeight="1" x14ac:dyDescent="0.25">
      <c r="A353" s="4" t="s">
        <v>21</v>
      </c>
      <c r="B353" s="4" t="s">
        <v>38</v>
      </c>
      <c r="C353" s="4" t="s">
        <v>40</v>
      </c>
      <c r="D353" s="4" t="s">
        <v>44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44501</v>
      </c>
      <c r="J353" s="6">
        <v>0</v>
      </c>
      <c r="K353" s="6">
        <v>0</v>
      </c>
      <c r="L353" s="6">
        <v>35.542999999999999</v>
      </c>
      <c r="M353" s="6">
        <v>35.542999999999999</v>
      </c>
      <c r="N353" s="6">
        <v>35.542999999999999</v>
      </c>
      <c r="O353" s="6">
        <v>35.542999999999999</v>
      </c>
      <c r="P353" s="6">
        <v>0</v>
      </c>
      <c r="Q353" s="4" t="s">
        <v>26</v>
      </c>
      <c r="R353" s="4">
        <v>0</v>
      </c>
      <c r="S353" s="4" t="s">
        <v>164</v>
      </c>
      <c r="T353" s="4" t="s">
        <v>369</v>
      </c>
      <c r="U353" s="4">
        <v>0</v>
      </c>
      <c r="V353" s="4">
        <v>14</v>
      </c>
      <c r="W353" s="4">
        <v>42</v>
      </c>
    </row>
    <row r="354" spans="1:23" ht="11.25" customHeight="1" x14ac:dyDescent="0.25">
      <c r="A354" s="4" t="s">
        <v>21</v>
      </c>
      <c r="B354" s="4" t="s">
        <v>38</v>
      </c>
      <c r="C354" s="4" t="s">
        <v>40</v>
      </c>
      <c r="D354" s="4" t="s">
        <v>44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44531</v>
      </c>
      <c r="J354" s="6">
        <v>0</v>
      </c>
      <c r="K354" s="6">
        <v>0</v>
      </c>
      <c r="L354" s="6">
        <v>37.052</v>
      </c>
      <c r="M354" s="6">
        <v>37.052</v>
      </c>
      <c r="N354" s="6">
        <v>37.052</v>
      </c>
      <c r="O354" s="6">
        <v>37.052</v>
      </c>
      <c r="P354" s="6">
        <v>0</v>
      </c>
      <c r="Q354" s="4" t="s">
        <v>26</v>
      </c>
      <c r="R354" s="4">
        <v>0</v>
      </c>
      <c r="S354" s="4" t="s">
        <v>165</v>
      </c>
      <c r="T354" s="4" t="s">
        <v>370</v>
      </c>
      <c r="U354" s="4">
        <v>0</v>
      </c>
      <c r="V354" s="4">
        <v>14</v>
      </c>
      <c r="W354" s="4">
        <v>42</v>
      </c>
    </row>
    <row r="355" spans="1:23" ht="11.25" customHeight="1" x14ac:dyDescent="0.25">
      <c r="A355" s="4" t="s">
        <v>21</v>
      </c>
      <c r="B355" s="4" t="s">
        <v>38</v>
      </c>
      <c r="C355" s="4" t="s">
        <v>40</v>
      </c>
      <c r="D355" s="4" t="s">
        <v>44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44562</v>
      </c>
      <c r="J355" s="6">
        <v>0</v>
      </c>
      <c r="K355" s="6">
        <v>0</v>
      </c>
      <c r="L355" s="6">
        <v>37.652999999999999</v>
      </c>
      <c r="M355" s="6">
        <v>37.652999999999999</v>
      </c>
      <c r="N355" s="6">
        <v>37.652999999999999</v>
      </c>
      <c r="O355" s="6">
        <v>37.652999999999999</v>
      </c>
      <c r="P355" s="6">
        <v>0</v>
      </c>
      <c r="Q355" s="4" t="s">
        <v>26</v>
      </c>
      <c r="R355" s="4">
        <v>0</v>
      </c>
      <c r="S355" s="4" t="s">
        <v>166</v>
      </c>
      <c r="T355" s="4" t="s">
        <v>371</v>
      </c>
      <c r="U355" s="4">
        <v>0</v>
      </c>
      <c r="V355" s="4">
        <v>14</v>
      </c>
      <c r="W355" s="4">
        <v>42</v>
      </c>
    </row>
    <row r="356" spans="1:23" ht="11.25" customHeight="1" x14ac:dyDescent="0.25">
      <c r="A356" s="4" t="s">
        <v>21</v>
      </c>
      <c r="B356" s="4" t="s">
        <v>38</v>
      </c>
      <c r="C356" s="4" t="s">
        <v>40</v>
      </c>
      <c r="D356" s="4" t="s">
        <v>44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44593</v>
      </c>
      <c r="J356" s="6">
        <v>0</v>
      </c>
      <c r="K356" s="6">
        <v>0</v>
      </c>
      <c r="L356" s="6">
        <v>48.042000000000002</v>
      </c>
      <c r="M356" s="6">
        <v>48.042000000000002</v>
      </c>
      <c r="N356" s="6">
        <v>48.042000000000002</v>
      </c>
      <c r="O356" s="6">
        <v>48.042000000000002</v>
      </c>
      <c r="P356" s="6">
        <v>0</v>
      </c>
      <c r="Q356" s="4" t="s">
        <v>26</v>
      </c>
      <c r="R356" s="4">
        <v>0</v>
      </c>
      <c r="S356" s="4" t="s">
        <v>167</v>
      </c>
      <c r="T356" s="4" t="s">
        <v>372</v>
      </c>
      <c r="U356" s="4">
        <v>0</v>
      </c>
      <c r="V356" s="4">
        <v>14</v>
      </c>
      <c r="W356" s="4">
        <v>42</v>
      </c>
    </row>
    <row r="357" spans="1:23" ht="11.25" customHeight="1" x14ac:dyDescent="0.25">
      <c r="A357" s="4" t="s">
        <v>21</v>
      </c>
      <c r="B357" s="4" t="s">
        <v>38</v>
      </c>
      <c r="C357" s="4" t="s">
        <v>40</v>
      </c>
      <c r="D357" s="4" t="s">
        <v>44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44621</v>
      </c>
      <c r="J357" s="6">
        <v>0</v>
      </c>
      <c r="K357" s="6">
        <v>0</v>
      </c>
      <c r="L357" s="6">
        <v>54.744</v>
      </c>
      <c r="M357" s="6">
        <v>54.744</v>
      </c>
      <c r="N357" s="6">
        <v>54.744</v>
      </c>
      <c r="O357" s="6">
        <v>54.744</v>
      </c>
      <c r="P357" s="6">
        <v>0</v>
      </c>
      <c r="Q357" s="4" t="s">
        <v>26</v>
      </c>
      <c r="R357" s="4">
        <v>0</v>
      </c>
      <c r="S357" s="4" t="s">
        <v>168</v>
      </c>
      <c r="T357" s="4" t="s">
        <v>373</v>
      </c>
      <c r="U357" s="4">
        <v>0</v>
      </c>
      <c r="V357" s="4">
        <v>14</v>
      </c>
      <c r="W357" s="4">
        <v>42</v>
      </c>
    </row>
    <row r="358" spans="1:23" ht="11.25" customHeight="1" x14ac:dyDescent="0.25">
      <c r="A358" s="4" t="s">
        <v>21</v>
      </c>
      <c r="B358" s="4" t="s">
        <v>38</v>
      </c>
      <c r="C358" s="4" t="s">
        <v>40</v>
      </c>
      <c r="D358" s="4" t="s">
        <v>44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44652</v>
      </c>
      <c r="J358" s="6">
        <v>0</v>
      </c>
      <c r="K358" s="6">
        <v>0</v>
      </c>
      <c r="L358" s="6">
        <v>42.78</v>
      </c>
      <c r="M358" s="6">
        <v>42.78</v>
      </c>
      <c r="N358" s="6">
        <v>42.78</v>
      </c>
      <c r="O358" s="6">
        <v>42.78</v>
      </c>
      <c r="P358" s="6">
        <v>0</v>
      </c>
      <c r="Q358" s="4" t="s">
        <v>26</v>
      </c>
      <c r="R358" s="4">
        <v>0</v>
      </c>
      <c r="S358" s="4" t="s">
        <v>169</v>
      </c>
      <c r="T358" s="4" t="s">
        <v>374</v>
      </c>
      <c r="U358" s="4">
        <v>0</v>
      </c>
      <c r="V358" s="4">
        <v>14</v>
      </c>
      <c r="W358" s="4">
        <v>42</v>
      </c>
    </row>
    <row r="359" spans="1:23" ht="11.25" customHeight="1" x14ac:dyDescent="0.25">
      <c r="A359" s="4" t="s">
        <v>21</v>
      </c>
      <c r="B359" s="4" t="s">
        <v>38</v>
      </c>
      <c r="C359" s="4" t="s">
        <v>40</v>
      </c>
      <c r="D359" s="4" t="s">
        <v>44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44682</v>
      </c>
      <c r="J359" s="6">
        <v>0</v>
      </c>
      <c r="K359" s="6">
        <v>0</v>
      </c>
      <c r="L359" s="6">
        <v>50.999000000000002</v>
      </c>
      <c r="M359" s="6">
        <v>50.999000000000002</v>
      </c>
      <c r="N359" s="6">
        <v>50.999000000000002</v>
      </c>
      <c r="O359" s="6">
        <v>50.999000000000002</v>
      </c>
      <c r="P359" s="6">
        <v>0</v>
      </c>
      <c r="Q359" s="4" t="s">
        <v>26</v>
      </c>
      <c r="R359" s="4">
        <v>0</v>
      </c>
      <c r="S359" s="4" t="s">
        <v>170</v>
      </c>
      <c r="T359" s="4" t="s">
        <v>375</v>
      </c>
      <c r="U359" s="4">
        <v>0</v>
      </c>
      <c r="V359" s="4">
        <v>14</v>
      </c>
      <c r="W359" s="4">
        <v>42</v>
      </c>
    </row>
    <row r="360" spans="1:23" ht="11.25" customHeight="1" x14ac:dyDescent="0.25">
      <c r="A360" s="4" t="s">
        <v>56</v>
      </c>
      <c r="B360" s="4" t="s">
        <v>38</v>
      </c>
      <c r="C360" s="4" t="s">
        <v>40</v>
      </c>
      <c r="D360" s="4" t="s">
        <v>44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44713</v>
      </c>
      <c r="J360" s="6">
        <v>0</v>
      </c>
      <c r="K360" s="6">
        <v>0</v>
      </c>
      <c r="L360" s="6">
        <v>50.999000000000002</v>
      </c>
      <c r="M360" s="6">
        <v>50.999000000000002</v>
      </c>
      <c r="N360" s="6">
        <v>50.999000000000002</v>
      </c>
      <c r="O360" s="6">
        <v>50.999000000000002</v>
      </c>
      <c r="P360" s="6">
        <v>0</v>
      </c>
      <c r="Q360" s="4" t="s">
        <v>26</v>
      </c>
      <c r="R360" s="4">
        <v>0</v>
      </c>
      <c r="S360" s="4" t="s">
        <v>171</v>
      </c>
      <c r="T360" s="4" t="s">
        <v>376</v>
      </c>
      <c r="U360" s="4">
        <v>0</v>
      </c>
      <c r="V360" s="4">
        <v>14</v>
      </c>
      <c r="W360" s="4">
        <v>42</v>
      </c>
    </row>
    <row r="361" spans="1:23" ht="11.25" customHeight="1" x14ac:dyDescent="0.25">
      <c r="A361" s="4" t="s">
        <v>21</v>
      </c>
      <c r="B361" s="4" t="s">
        <v>38</v>
      </c>
      <c r="C361" s="4" t="s">
        <v>40</v>
      </c>
      <c r="D361" s="4" t="s">
        <v>44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44378</v>
      </c>
      <c r="J361" s="6">
        <v>388</v>
      </c>
      <c r="K361" s="6">
        <v>388</v>
      </c>
      <c r="L361" s="6">
        <v>0</v>
      </c>
      <c r="M361" s="6">
        <v>0</v>
      </c>
      <c r="N361" s="6">
        <v>0</v>
      </c>
      <c r="O361" s="6">
        <v>0</v>
      </c>
      <c r="P361" s="6">
        <v>8</v>
      </c>
      <c r="Q361" s="4" t="s">
        <v>26</v>
      </c>
      <c r="R361" s="4">
        <v>0</v>
      </c>
      <c r="S361" s="4" t="s">
        <v>172</v>
      </c>
      <c r="U361" s="4">
        <v>18</v>
      </c>
      <c r="V361" s="4">
        <v>0</v>
      </c>
      <c r="W361" s="4">
        <v>0</v>
      </c>
    </row>
    <row r="362" spans="1:23" ht="11.25" customHeight="1" x14ac:dyDescent="0.25">
      <c r="A362" s="4" t="s">
        <v>21</v>
      </c>
      <c r="B362" s="4" t="s">
        <v>38</v>
      </c>
      <c r="C362" s="4" t="s">
        <v>40</v>
      </c>
      <c r="D362" s="4" t="s">
        <v>44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44409</v>
      </c>
      <c r="J362" s="6">
        <v>382</v>
      </c>
      <c r="K362" s="6">
        <v>382</v>
      </c>
      <c r="L362" s="6">
        <v>0</v>
      </c>
      <c r="M362" s="6">
        <v>0</v>
      </c>
      <c r="N362" s="6">
        <v>0</v>
      </c>
      <c r="O362" s="6">
        <v>0</v>
      </c>
      <c r="P362" s="6">
        <v>8</v>
      </c>
      <c r="Q362" s="4" t="s">
        <v>26</v>
      </c>
      <c r="R362" s="4">
        <v>0</v>
      </c>
      <c r="S362" s="4" t="s">
        <v>173</v>
      </c>
      <c r="U362" s="4">
        <v>18</v>
      </c>
      <c r="V362" s="4">
        <v>0</v>
      </c>
      <c r="W362" s="4">
        <v>0</v>
      </c>
    </row>
    <row r="363" spans="1:23" ht="11.25" customHeight="1" x14ac:dyDescent="0.25">
      <c r="A363" s="4" t="s">
        <v>21</v>
      </c>
      <c r="B363" s="4" t="s">
        <v>38</v>
      </c>
      <c r="C363" s="4" t="s">
        <v>40</v>
      </c>
      <c r="D363" s="4" t="s">
        <v>44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44440</v>
      </c>
      <c r="J363" s="6">
        <v>378</v>
      </c>
      <c r="K363" s="6">
        <v>378</v>
      </c>
      <c r="L363" s="6">
        <v>0</v>
      </c>
      <c r="M363" s="6">
        <v>0</v>
      </c>
      <c r="N363" s="6">
        <v>0</v>
      </c>
      <c r="O363" s="6">
        <v>0</v>
      </c>
      <c r="P363" s="6">
        <v>8</v>
      </c>
      <c r="Q363" s="4" t="s">
        <v>26</v>
      </c>
      <c r="R363" s="4">
        <v>0</v>
      </c>
      <c r="S363" s="4" t="s">
        <v>174</v>
      </c>
      <c r="U363" s="4">
        <v>18</v>
      </c>
      <c r="V363" s="4">
        <v>0</v>
      </c>
      <c r="W363" s="4">
        <v>0</v>
      </c>
    </row>
    <row r="364" spans="1:23" ht="11.25" customHeight="1" x14ac:dyDescent="0.25">
      <c r="A364" s="4" t="s">
        <v>21</v>
      </c>
      <c r="B364" s="4" t="s">
        <v>38</v>
      </c>
      <c r="C364" s="4" t="s">
        <v>40</v>
      </c>
      <c r="D364" s="4" t="s">
        <v>44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44470</v>
      </c>
      <c r="J364" s="6">
        <v>381</v>
      </c>
      <c r="K364" s="6">
        <v>381</v>
      </c>
      <c r="L364" s="6">
        <v>0</v>
      </c>
      <c r="M364" s="6">
        <v>0</v>
      </c>
      <c r="N364" s="6">
        <v>0</v>
      </c>
      <c r="O364" s="6">
        <v>0</v>
      </c>
      <c r="P364" s="6">
        <v>8</v>
      </c>
      <c r="Q364" s="4" t="s">
        <v>26</v>
      </c>
      <c r="R364" s="4">
        <v>0</v>
      </c>
      <c r="S364" s="4" t="s">
        <v>175</v>
      </c>
      <c r="U364" s="4">
        <v>18</v>
      </c>
      <c r="V364" s="4">
        <v>0</v>
      </c>
      <c r="W364" s="4">
        <v>0</v>
      </c>
    </row>
    <row r="365" spans="1:23" ht="11.25" customHeight="1" x14ac:dyDescent="0.25">
      <c r="A365" s="4" t="s">
        <v>21</v>
      </c>
      <c r="B365" s="4" t="s">
        <v>38</v>
      </c>
      <c r="C365" s="4" t="s">
        <v>40</v>
      </c>
      <c r="D365" s="4" t="s">
        <v>44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44501</v>
      </c>
      <c r="J365" s="6">
        <v>381</v>
      </c>
      <c r="K365" s="6">
        <v>381</v>
      </c>
      <c r="L365" s="6">
        <v>0</v>
      </c>
      <c r="M365" s="6">
        <v>0</v>
      </c>
      <c r="N365" s="6">
        <v>0</v>
      </c>
      <c r="O365" s="6">
        <v>0</v>
      </c>
      <c r="P365" s="6">
        <v>8</v>
      </c>
      <c r="Q365" s="4" t="s">
        <v>26</v>
      </c>
      <c r="R365" s="4">
        <v>0</v>
      </c>
      <c r="S365" s="4" t="s">
        <v>176</v>
      </c>
      <c r="U365" s="4">
        <v>18</v>
      </c>
      <c r="V365" s="4">
        <v>0</v>
      </c>
      <c r="W365" s="4">
        <v>0</v>
      </c>
    </row>
    <row r="366" spans="1:23" ht="11.25" customHeight="1" x14ac:dyDescent="0.25">
      <c r="A366" s="4" t="s">
        <v>21</v>
      </c>
      <c r="B366" s="4" t="s">
        <v>38</v>
      </c>
      <c r="C366" s="4" t="s">
        <v>40</v>
      </c>
      <c r="D366" s="4" t="s">
        <v>44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44531</v>
      </c>
      <c r="J366" s="6">
        <v>396</v>
      </c>
      <c r="K366" s="6">
        <v>396</v>
      </c>
      <c r="L366" s="6">
        <v>0</v>
      </c>
      <c r="M366" s="6">
        <v>0</v>
      </c>
      <c r="N366" s="6">
        <v>0</v>
      </c>
      <c r="O366" s="6">
        <v>0</v>
      </c>
      <c r="P366" s="6">
        <v>8</v>
      </c>
      <c r="Q366" s="4" t="s">
        <v>26</v>
      </c>
      <c r="R366" s="4">
        <v>0</v>
      </c>
      <c r="S366" s="4" t="s">
        <v>177</v>
      </c>
      <c r="U366" s="4">
        <v>18</v>
      </c>
      <c r="V366" s="4">
        <v>0</v>
      </c>
      <c r="W366" s="4">
        <v>0</v>
      </c>
    </row>
    <row r="367" spans="1:23" ht="11.25" customHeight="1" x14ac:dyDescent="0.25">
      <c r="A367" s="4" t="s">
        <v>21</v>
      </c>
      <c r="B367" s="4" t="s">
        <v>38</v>
      </c>
      <c r="C367" s="4" t="s">
        <v>40</v>
      </c>
      <c r="D367" s="4" t="s">
        <v>44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44562</v>
      </c>
      <c r="J367" s="6">
        <v>401</v>
      </c>
      <c r="K367" s="6">
        <v>401</v>
      </c>
      <c r="L367" s="6">
        <v>0</v>
      </c>
      <c r="M367" s="6">
        <v>0</v>
      </c>
      <c r="N367" s="6">
        <v>0</v>
      </c>
      <c r="O367" s="6">
        <v>0</v>
      </c>
      <c r="P367" s="6">
        <v>8</v>
      </c>
      <c r="Q367" s="4" t="s">
        <v>26</v>
      </c>
      <c r="R367" s="4">
        <v>0</v>
      </c>
      <c r="S367" s="4" t="s">
        <v>178</v>
      </c>
      <c r="U367" s="4">
        <v>18</v>
      </c>
      <c r="V367" s="4">
        <v>0</v>
      </c>
      <c r="W367" s="4">
        <v>0</v>
      </c>
    </row>
    <row r="368" spans="1:23" ht="11.25" customHeight="1" x14ac:dyDescent="0.25">
      <c r="A368" s="4" t="s">
        <v>21</v>
      </c>
      <c r="B368" s="4" t="s">
        <v>38</v>
      </c>
      <c r="C368" s="4" t="s">
        <v>40</v>
      </c>
      <c r="D368" s="4" t="s">
        <v>44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44593</v>
      </c>
      <c r="J368" s="6">
        <v>474</v>
      </c>
      <c r="K368" s="6">
        <v>474</v>
      </c>
      <c r="L368" s="6">
        <v>0</v>
      </c>
      <c r="M368" s="6">
        <v>0</v>
      </c>
      <c r="N368" s="6">
        <v>0</v>
      </c>
      <c r="O368" s="6">
        <v>0</v>
      </c>
      <c r="P368" s="6">
        <v>9</v>
      </c>
      <c r="Q368" s="4" t="s">
        <v>26</v>
      </c>
      <c r="R368" s="4">
        <v>0</v>
      </c>
      <c r="S368" s="4" t="s">
        <v>179</v>
      </c>
      <c r="U368" s="4">
        <v>18</v>
      </c>
      <c r="V368" s="4">
        <v>0</v>
      </c>
      <c r="W368" s="4">
        <v>0</v>
      </c>
    </row>
    <row r="369" spans="1:23" ht="11.25" customHeight="1" x14ac:dyDescent="0.25">
      <c r="A369" s="4" t="s">
        <v>21</v>
      </c>
      <c r="B369" s="4" t="s">
        <v>38</v>
      </c>
      <c r="C369" s="4" t="s">
        <v>40</v>
      </c>
      <c r="D369" s="4" t="s">
        <v>44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44621</v>
      </c>
      <c r="J369" s="6">
        <v>501</v>
      </c>
      <c r="K369" s="6">
        <v>501</v>
      </c>
      <c r="L369" s="6">
        <v>0</v>
      </c>
      <c r="M369" s="6">
        <v>0</v>
      </c>
      <c r="N369" s="6">
        <v>0</v>
      </c>
      <c r="O369" s="6">
        <v>0</v>
      </c>
      <c r="P369" s="6">
        <v>9</v>
      </c>
      <c r="Q369" s="4" t="s">
        <v>26</v>
      </c>
      <c r="R369" s="4">
        <v>0</v>
      </c>
      <c r="S369" s="4" t="s">
        <v>180</v>
      </c>
      <c r="U369" s="4">
        <v>18</v>
      </c>
      <c r="V369" s="4">
        <v>0</v>
      </c>
      <c r="W369" s="4">
        <v>0</v>
      </c>
    </row>
    <row r="370" spans="1:23" ht="11.25" customHeight="1" x14ac:dyDescent="0.25">
      <c r="A370" s="4" t="s">
        <v>21</v>
      </c>
      <c r="B370" s="4" t="s">
        <v>38</v>
      </c>
      <c r="C370" s="4" t="s">
        <v>40</v>
      </c>
      <c r="D370" s="4" t="s">
        <v>44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44652</v>
      </c>
      <c r="J370" s="6">
        <v>495</v>
      </c>
      <c r="K370" s="6">
        <v>495</v>
      </c>
      <c r="L370" s="6">
        <v>0</v>
      </c>
      <c r="M370" s="6">
        <v>0</v>
      </c>
      <c r="N370" s="6">
        <v>0</v>
      </c>
      <c r="O370" s="6">
        <v>0</v>
      </c>
      <c r="P370" s="6">
        <v>9</v>
      </c>
      <c r="Q370" s="4" t="s">
        <v>26</v>
      </c>
      <c r="R370" s="4">
        <v>0</v>
      </c>
      <c r="S370" s="4" t="s">
        <v>181</v>
      </c>
      <c r="U370" s="4">
        <v>18</v>
      </c>
      <c r="V370" s="4">
        <v>0</v>
      </c>
      <c r="W370" s="4">
        <v>0</v>
      </c>
    </row>
    <row r="371" spans="1:23" ht="11.25" customHeight="1" x14ac:dyDescent="0.25">
      <c r="A371" s="4" t="s">
        <v>21</v>
      </c>
      <c r="B371" s="4" t="s">
        <v>38</v>
      </c>
      <c r="C371" s="4" t="s">
        <v>40</v>
      </c>
      <c r="D371" s="4" t="s">
        <v>44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44682</v>
      </c>
      <c r="J371" s="6">
        <v>494</v>
      </c>
      <c r="K371" s="6">
        <v>494</v>
      </c>
      <c r="L371" s="6">
        <v>0</v>
      </c>
      <c r="M371" s="6">
        <v>0</v>
      </c>
      <c r="N371" s="6">
        <v>0</v>
      </c>
      <c r="O371" s="6">
        <v>0</v>
      </c>
      <c r="P371" s="6">
        <v>9</v>
      </c>
      <c r="Q371" s="4" t="s">
        <v>26</v>
      </c>
      <c r="R371" s="4">
        <v>0</v>
      </c>
      <c r="S371" s="4" t="s">
        <v>182</v>
      </c>
      <c r="U371" s="4">
        <v>18</v>
      </c>
      <c r="V371" s="4">
        <v>0</v>
      </c>
      <c r="W371" s="4">
        <v>0</v>
      </c>
    </row>
    <row r="372" spans="1:23" ht="11.25" customHeight="1" x14ac:dyDescent="0.25">
      <c r="A372" s="4" t="s">
        <v>56</v>
      </c>
      <c r="B372" s="4" t="s">
        <v>38</v>
      </c>
      <c r="C372" s="4" t="s">
        <v>40</v>
      </c>
      <c r="D372" s="4" t="s">
        <v>44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44713</v>
      </c>
      <c r="J372" s="6">
        <v>494</v>
      </c>
      <c r="K372" s="6">
        <v>494</v>
      </c>
      <c r="L372" s="6">
        <v>0</v>
      </c>
      <c r="M372" s="6">
        <v>0</v>
      </c>
      <c r="N372" s="6">
        <v>0</v>
      </c>
      <c r="O372" s="6">
        <v>0</v>
      </c>
      <c r="P372" s="6">
        <v>9</v>
      </c>
      <c r="Q372" s="4" t="s">
        <v>26</v>
      </c>
      <c r="R372" s="4">
        <v>0</v>
      </c>
      <c r="S372" s="4" t="s">
        <v>183</v>
      </c>
      <c r="U372" s="4">
        <v>18</v>
      </c>
      <c r="V372" s="4">
        <v>0</v>
      </c>
      <c r="W372" s="4">
        <v>0</v>
      </c>
    </row>
    <row r="373" spans="1:23" ht="11.25" customHeight="1" x14ac:dyDescent="0.25">
      <c r="A373" s="4" t="s">
        <v>21</v>
      </c>
      <c r="B373" s="4" t="s">
        <v>38</v>
      </c>
      <c r="C373" s="4" t="s">
        <v>40</v>
      </c>
      <c r="D373" s="4" t="s">
        <v>44</v>
      </c>
      <c r="E373" s="4" t="s">
        <v>25</v>
      </c>
      <c r="F373" s="4" t="s">
        <v>25</v>
      </c>
      <c r="G373" s="4" t="s">
        <v>25</v>
      </c>
      <c r="H373" s="4" t="s">
        <v>33</v>
      </c>
      <c r="I373" s="5">
        <v>44378</v>
      </c>
      <c r="J373" s="6">
        <v>0</v>
      </c>
      <c r="K373" s="6">
        <v>0</v>
      </c>
      <c r="L373" s="6">
        <v>3.0659999999999998</v>
      </c>
      <c r="M373" s="6">
        <v>3.0659999999999998</v>
      </c>
      <c r="N373" s="6">
        <v>3.0659999999999998</v>
      </c>
      <c r="O373" s="6">
        <v>3.0659999999999998</v>
      </c>
      <c r="P373" s="6">
        <v>0</v>
      </c>
      <c r="Q373" s="4" t="s">
        <v>26</v>
      </c>
      <c r="R373" s="4">
        <v>0</v>
      </c>
      <c r="S373" s="4" t="s">
        <v>184</v>
      </c>
      <c r="T373" s="4" t="s">
        <v>377</v>
      </c>
      <c r="U373" s="4">
        <v>0</v>
      </c>
      <c r="V373" s="4">
        <v>16</v>
      </c>
      <c r="W373" s="4">
        <v>47</v>
      </c>
    </row>
    <row r="374" spans="1:23" ht="11.25" customHeight="1" x14ac:dyDescent="0.25">
      <c r="A374" s="4" t="s">
        <v>21</v>
      </c>
      <c r="B374" s="4" t="s">
        <v>38</v>
      </c>
      <c r="C374" s="4" t="s">
        <v>40</v>
      </c>
      <c r="D374" s="4" t="s">
        <v>44</v>
      </c>
      <c r="E374" s="4" t="s">
        <v>25</v>
      </c>
      <c r="F374" s="4" t="s">
        <v>25</v>
      </c>
      <c r="G374" s="4" t="s">
        <v>25</v>
      </c>
      <c r="H374" s="4" t="s">
        <v>33</v>
      </c>
      <c r="I374" s="5">
        <v>44409</v>
      </c>
      <c r="J374" s="6">
        <v>0</v>
      </c>
      <c r="K374" s="6">
        <v>0</v>
      </c>
      <c r="L374" s="6">
        <v>2.851</v>
      </c>
      <c r="M374" s="6">
        <v>2.851</v>
      </c>
      <c r="N374" s="6">
        <v>2.851</v>
      </c>
      <c r="O374" s="6">
        <v>2.851</v>
      </c>
      <c r="P374" s="6">
        <v>0</v>
      </c>
      <c r="Q374" s="4" t="s">
        <v>26</v>
      </c>
      <c r="R374" s="4">
        <v>0</v>
      </c>
      <c r="S374" s="4" t="s">
        <v>185</v>
      </c>
      <c r="T374" s="4" t="s">
        <v>378</v>
      </c>
      <c r="U374" s="4">
        <v>0</v>
      </c>
      <c r="V374" s="4">
        <v>16</v>
      </c>
      <c r="W374" s="4">
        <v>47</v>
      </c>
    </row>
    <row r="375" spans="1:23" ht="11.25" customHeight="1" x14ac:dyDescent="0.25">
      <c r="A375" s="4" t="s">
        <v>21</v>
      </c>
      <c r="B375" s="4" t="s">
        <v>38</v>
      </c>
      <c r="C375" s="4" t="s">
        <v>40</v>
      </c>
      <c r="D375" s="4" t="s">
        <v>44</v>
      </c>
      <c r="E375" s="4" t="s">
        <v>25</v>
      </c>
      <c r="F375" s="4" t="s">
        <v>25</v>
      </c>
      <c r="G375" s="4" t="s">
        <v>25</v>
      </c>
      <c r="H375" s="4" t="s">
        <v>33</v>
      </c>
      <c r="I375" s="5">
        <v>44440</v>
      </c>
      <c r="J375" s="6">
        <v>0</v>
      </c>
      <c r="K375" s="6">
        <v>0</v>
      </c>
      <c r="L375" s="6">
        <v>2.589</v>
      </c>
      <c r="M375" s="6">
        <v>2.589</v>
      </c>
      <c r="N375" s="6">
        <v>2.589</v>
      </c>
      <c r="O375" s="6">
        <v>2.589</v>
      </c>
      <c r="P375" s="6">
        <v>0</v>
      </c>
      <c r="Q375" s="4" t="s">
        <v>26</v>
      </c>
      <c r="R375" s="4">
        <v>0</v>
      </c>
      <c r="S375" s="4" t="s">
        <v>186</v>
      </c>
      <c r="T375" s="4" t="s">
        <v>379</v>
      </c>
      <c r="U375" s="4">
        <v>0</v>
      </c>
      <c r="V375" s="4">
        <v>16</v>
      </c>
      <c r="W375" s="4">
        <v>47</v>
      </c>
    </row>
    <row r="376" spans="1:23" ht="11.25" customHeight="1" x14ac:dyDescent="0.25">
      <c r="A376" s="4" t="s">
        <v>21</v>
      </c>
      <c r="B376" s="4" t="s">
        <v>38</v>
      </c>
      <c r="C376" s="4" t="s">
        <v>40</v>
      </c>
      <c r="D376" s="4" t="s">
        <v>44</v>
      </c>
      <c r="E376" s="4" t="s">
        <v>25</v>
      </c>
      <c r="F376" s="4" t="s">
        <v>25</v>
      </c>
      <c r="G376" s="4" t="s">
        <v>25</v>
      </c>
      <c r="H376" s="4" t="s">
        <v>33</v>
      </c>
      <c r="I376" s="5">
        <v>44470</v>
      </c>
      <c r="J376" s="6">
        <v>0</v>
      </c>
      <c r="K376" s="6">
        <v>0</v>
      </c>
      <c r="L376" s="6">
        <v>2.4740000000000002</v>
      </c>
      <c r="M376" s="6">
        <v>2.4740000000000002</v>
      </c>
      <c r="N376" s="6">
        <v>2.4740000000000002</v>
      </c>
      <c r="O376" s="6">
        <v>2.4740000000000002</v>
      </c>
      <c r="P376" s="6">
        <v>0</v>
      </c>
      <c r="Q376" s="4" t="s">
        <v>26</v>
      </c>
      <c r="R376" s="4">
        <v>0</v>
      </c>
      <c r="S376" s="4" t="s">
        <v>187</v>
      </c>
      <c r="T376" s="4" t="s">
        <v>380</v>
      </c>
      <c r="U376" s="4">
        <v>0</v>
      </c>
      <c r="V376" s="4">
        <v>16</v>
      </c>
      <c r="W376" s="4">
        <v>47</v>
      </c>
    </row>
    <row r="377" spans="1:23" ht="11.25" customHeight="1" x14ac:dyDescent="0.25">
      <c r="A377" s="4" t="s">
        <v>21</v>
      </c>
      <c r="B377" s="4" t="s">
        <v>38</v>
      </c>
      <c r="C377" s="4" t="s">
        <v>40</v>
      </c>
      <c r="D377" s="4" t="s">
        <v>44</v>
      </c>
      <c r="E377" s="4" t="s">
        <v>25</v>
      </c>
      <c r="F377" s="4" t="s">
        <v>25</v>
      </c>
      <c r="G377" s="4" t="s">
        <v>25</v>
      </c>
      <c r="H377" s="4" t="s">
        <v>33</v>
      </c>
      <c r="I377" s="5">
        <v>44501</v>
      </c>
      <c r="J377" s="6">
        <v>0</v>
      </c>
      <c r="K377" s="6">
        <v>0</v>
      </c>
      <c r="L377" s="6">
        <v>2.9470000000000001</v>
      </c>
      <c r="M377" s="6">
        <v>2.9470000000000001</v>
      </c>
      <c r="N377" s="6">
        <v>2.9470000000000001</v>
      </c>
      <c r="O377" s="6">
        <v>2.9470000000000001</v>
      </c>
      <c r="P377" s="6">
        <v>0</v>
      </c>
      <c r="Q377" s="4" t="s">
        <v>26</v>
      </c>
      <c r="R377" s="4">
        <v>0</v>
      </c>
      <c r="S377" s="4" t="s">
        <v>188</v>
      </c>
      <c r="T377" s="4" t="s">
        <v>381</v>
      </c>
      <c r="U377" s="4">
        <v>0</v>
      </c>
      <c r="V377" s="4">
        <v>16</v>
      </c>
      <c r="W377" s="4">
        <v>47</v>
      </c>
    </row>
    <row r="378" spans="1:23" ht="11.25" customHeight="1" x14ac:dyDescent="0.25">
      <c r="A378" s="4" t="s">
        <v>21</v>
      </c>
      <c r="B378" s="4" t="s">
        <v>38</v>
      </c>
      <c r="C378" s="4" t="s">
        <v>40</v>
      </c>
      <c r="D378" s="4" t="s">
        <v>44</v>
      </c>
      <c r="E378" s="4" t="s">
        <v>25</v>
      </c>
      <c r="F378" s="4" t="s">
        <v>25</v>
      </c>
      <c r="G378" s="4" t="s">
        <v>25</v>
      </c>
      <c r="H378" s="4" t="s">
        <v>33</v>
      </c>
      <c r="I378" s="5">
        <v>44531</v>
      </c>
      <c r="J378" s="6">
        <v>0</v>
      </c>
      <c r="K378" s="6">
        <v>0</v>
      </c>
      <c r="L378" s="6">
        <v>3.286</v>
      </c>
      <c r="M378" s="6">
        <v>3.286</v>
      </c>
      <c r="N378" s="6">
        <v>3.286</v>
      </c>
      <c r="O378" s="6">
        <v>3.286</v>
      </c>
      <c r="P378" s="6">
        <v>0</v>
      </c>
      <c r="Q378" s="4" t="s">
        <v>26</v>
      </c>
      <c r="R378" s="4">
        <v>0</v>
      </c>
      <c r="S378" s="4" t="s">
        <v>189</v>
      </c>
      <c r="T378" s="4" t="s">
        <v>382</v>
      </c>
      <c r="U378" s="4">
        <v>0</v>
      </c>
      <c r="V378" s="4">
        <v>16</v>
      </c>
      <c r="W378" s="4">
        <v>47</v>
      </c>
    </row>
    <row r="379" spans="1:23" ht="11.25" customHeight="1" x14ac:dyDescent="0.25">
      <c r="A379" s="4" t="s">
        <v>21</v>
      </c>
      <c r="B379" s="4" t="s">
        <v>38</v>
      </c>
      <c r="C379" s="4" t="s">
        <v>40</v>
      </c>
      <c r="D379" s="4" t="s">
        <v>44</v>
      </c>
      <c r="E379" s="4" t="s">
        <v>25</v>
      </c>
      <c r="F379" s="4" t="s">
        <v>25</v>
      </c>
      <c r="G379" s="4" t="s">
        <v>25</v>
      </c>
      <c r="H379" s="4" t="s">
        <v>33</v>
      </c>
      <c r="I379" s="5">
        <v>44562</v>
      </c>
      <c r="J379" s="6">
        <v>0</v>
      </c>
      <c r="K379" s="6">
        <v>0</v>
      </c>
      <c r="L379" s="6">
        <v>3.45</v>
      </c>
      <c r="M379" s="6">
        <v>3.45</v>
      </c>
      <c r="N379" s="6">
        <v>3.45</v>
      </c>
      <c r="O379" s="6">
        <v>3.45</v>
      </c>
      <c r="P379" s="6">
        <v>0</v>
      </c>
      <c r="Q379" s="4" t="s">
        <v>26</v>
      </c>
      <c r="R379" s="4">
        <v>0</v>
      </c>
      <c r="S379" s="4" t="s">
        <v>190</v>
      </c>
      <c r="T379" s="4" t="s">
        <v>383</v>
      </c>
      <c r="U379" s="4">
        <v>0</v>
      </c>
      <c r="V379" s="4">
        <v>16</v>
      </c>
      <c r="W379" s="4">
        <v>47</v>
      </c>
    </row>
    <row r="380" spans="1:23" ht="11.25" customHeight="1" x14ac:dyDescent="0.25">
      <c r="A380" s="4" t="s">
        <v>21</v>
      </c>
      <c r="B380" s="4" t="s">
        <v>38</v>
      </c>
      <c r="C380" s="4" t="s">
        <v>40</v>
      </c>
      <c r="D380" s="4" t="s">
        <v>44</v>
      </c>
      <c r="E380" s="4" t="s">
        <v>25</v>
      </c>
      <c r="F380" s="4" t="s">
        <v>25</v>
      </c>
      <c r="G380" s="4" t="s">
        <v>25</v>
      </c>
      <c r="H380" s="4" t="s">
        <v>33</v>
      </c>
      <c r="I380" s="5">
        <v>44593</v>
      </c>
      <c r="J380" s="6">
        <v>0</v>
      </c>
      <c r="K380" s="6">
        <v>0</v>
      </c>
      <c r="L380" s="6">
        <v>4.9450000000000003</v>
      </c>
      <c r="M380" s="6">
        <v>4.9450000000000003</v>
      </c>
      <c r="N380" s="6">
        <v>4.9450000000000003</v>
      </c>
      <c r="O380" s="6">
        <v>4.9450000000000003</v>
      </c>
      <c r="P380" s="6">
        <v>0</v>
      </c>
      <c r="Q380" s="4" t="s">
        <v>26</v>
      </c>
      <c r="R380" s="4">
        <v>0</v>
      </c>
      <c r="S380" s="4" t="s">
        <v>191</v>
      </c>
      <c r="T380" s="4" t="s">
        <v>384</v>
      </c>
      <c r="U380" s="4">
        <v>0</v>
      </c>
      <c r="V380" s="4">
        <v>16</v>
      </c>
      <c r="W380" s="4">
        <v>47</v>
      </c>
    </row>
    <row r="381" spans="1:23" ht="11.25" customHeight="1" x14ac:dyDescent="0.25">
      <c r="A381" s="4" t="s">
        <v>21</v>
      </c>
      <c r="B381" s="4" t="s">
        <v>38</v>
      </c>
      <c r="C381" s="4" t="s">
        <v>40</v>
      </c>
      <c r="D381" s="4" t="s">
        <v>44</v>
      </c>
      <c r="E381" s="4" t="s">
        <v>25</v>
      </c>
      <c r="F381" s="4" t="s">
        <v>25</v>
      </c>
      <c r="G381" s="4" t="s">
        <v>25</v>
      </c>
      <c r="H381" s="4" t="s">
        <v>33</v>
      </c>
      <c r="I381" s="5">
        <v>44621</v>
      </c>
      <c r="J381" s="6">
        <v>0</v>
      </c>
      <c r="K381" s="6">
        <v>0</v>
      </c>
      <c r="L381" s="6">
        <v>6.1059999999999999</v>
      </c>
      <c r="M381" s="6">
        <v>6.1059999999999999</v>
      </c>
      <c r="N381" s="6">
        <v>6.1059999999999999</v>
      </c>
      <c r="O381" s="6">
        <v>6.1059999999999999</v>
      </c>
      <c r="P381" s="6">
        <v>0</v>
      </c>
      <c r="Q381" s="4" t="s">
        <v>26</v>
      </c>
      <c r="R381" s="4">
        <v>0</v>
      </c>
      <c r="S381" s="4" t="s">
        <v>192</v>
      </c>
      <c r="T381" s="4" t="s">
        <v>385</v>
      </c>
      <c r="U381" s="4">
        <v>0</v>
      </c>
      <c r="V381" s="4">
        <v>16</v>
      </c>
      <c r="W381" s="4">
        <v>47</v>
      </c>
    </row>
    <row r="382" spans="1:23" ht="11.25" customHeight="1" x14ac:dyDescent="0.25">
      <c r="A382" s="4" t="s">
        <v>21</v>
      </c>
      <c r="B382" s="4" t="s">
        <v>38</v>
      </c>
      <c r="C382" s="4" t="s">
        <v>40</v>
      </c>
      <c r="D382" s="4" t="s">
        <v>44</v>
      </c>
      <c r="E382" s="4" t="s">
        <v>25</v>
      </c>
      <c r="F382" s="4" t="s">
        <v>25</v>
      </c>
      <c r="G382" s="4" t="s">
        <v>25</v>
      </c>
      <c r="H382" s="4" t="s">
        <v>33</v>
      </c>
      <c r="I382" s="5">
        <v>44652</v>
      </c>
      <c r="J382" s="6">
        <v>0</v>
      </c>
      <c r="K382" s="6">
        <v>0</v>
      </c>
      <c r="L382" s="6">
        <v>4.4820000000000002</v>
      </c>
      <c r="M382" s="6">
        <v>4.4820000000000002</v>
      </c>
      <c r="N382" s="6">
        <v>4.4820000000000002</v>
      </c>
      <c r="O382" s="6">
        <v>4.4820000000000002</v>
      </c>
      <c r="P382" s="6">
        <v>0</v>
      </c>
      <c r="Q382" s="4" t="s">
        <v>26</v>
      </c>
      <c r="R382" s="4">
        <v>0</v>
      </c>
      <c r="S382" s="4" t="s">
        <v>193</v>
      </c>
      <c r="T382" s="4" t="s">
        <v>386</v>
      </c>
      <c r="U382" s="4">
        <v>0</v>
      </c>
      <c r="V382" s="4">
        <v>16</v>
      </c>
      <c r="W382" s="4">
        <v>47</v>
      </c>
    </row>
    <row r="383" spans="1:23" ht="11.25" customHeight="1" x14ac:dyDescent="0.25">
      <c r="A383" s="4" t="s">
        <v>21</v>
      </c>
      <c r="B383" s="4" t="s">
        <v>38</v>
      </c>
      <c r="C383" s="4" t="s">
        <v>40</v>
      </c>
      <c r="D383" s="4" t="s">
        <v>44</v>
      </c>
      <c r="E383" s="4" t="s">
        <v>25</v>
      </c>
      <c r="F383" s="4" t="s">
        <v>25</v>
      </c>
      <c r="G383" s="4" t="s">
        <v>25</v>
      </c>
      <c r="H383" s="4" t="s">
        <v>33</v>
      </c>
      <c r="I383" s="5">
        <v>44682</v>
      </c>
      <c r="J383" s="6">
        <v>0</v>
      </c>
      <c r="K383" s="6">
        <v>0</v>
      </c>
      <c r="L383" s="6">
        <v>5.7409999999999997</v>
      </c>
      <c r="M383" s="6">
        <v>5.7409999999999997</v>
      </c>
      <c r="N383" s="6">
        <v>5.7409999999999997</v>
      </c>
      <c r="O383" s="6">
        <v>5.7409999999999997</v>
      </c>
      <c r="P383" s="6">
        <v>0</v>
      </c>
      <c r="Q383" s="4" t="s">
        <v>26</v>
      </c>
      <c r="R383" s="4">
        <v>0</v>
      </c>
      <c r="S383" s="4" t="s">
        <v>194</v>
      </c>
      <c r="T383" s="4" t="s">
        <v>387</v>
      </c>
      <c r="U383" s="4">
        <v>0</v>
      </c>
      <c r="V383" s="4">
        <v>16</v>
      </c>
      <c r="W383" s="4">
        <v>47</v>
      </c>
    </row>
    <row r="384" spans="1:23" ht="11.25" customHeight="1" x14ac:dyDescent="0.25">
      <c r="A384" s="4" t="s">
        <v>56</v>
      </c>
      <c r="B384" s="4" t="s">
        <v>38</v>
      </c>
      <c r="C384" s="4" t="s">
        <v>40</v>
      </c>
      <c r="D384" s="4" t="s">
        <v>44</v>
      </c>
      <c r="E384" s="4" t="s">
        <v>25</v>
      </c>
      <c r="F384" s="4" t="s">
        <v>25</v>
      </c>
      <c r="G384" s="4" t="s">
        <v>25</v>
      </c>
      <c r="H384" s="4" t="s">
        <v>33</v>
      </c>
      <c r="I384" s="5">
        <v>44713</v>
      </c>
      <c r="J384" s="6">
        <v>0</v>
      </c>
      <c r="K384" s="6">
        <v>0</v>
      </c>
      <c r="L384" s="6">
        <v>5.7409999999999997</v>
      </c>
      <c r="M384" s="6">
        <v>5.7409999999999997</v>
      </c>
      <c r="N384" s="6">
        <v>5.7409999999999997</v>
      </c>
      <c r="O384" s="6">
        <v>5.7409999999999997</v>
      </c>
      <c r="P384" s="6">
        <v>0</v>
      </c>
      <c r="Q384" s="4" t="s">
        <v>26</v>
      </c>
      <c r="R384" s="4">
        <v>0</v>
      </c>
      <c r="S384" s="4" t="s">
        <v>195</v>
      </c>
      <c r="T384" s="4" t="s">
        <v>388</v>
      </c>
      <c r="U384" s="4">
        <v>0</v>
      </c>
      <c r="V384" s="4">
        <v>16</v>
      </c>
      <c r="W384" s="4">
        <v>47</v>
      </c>
    </row>
    <row r="385" spans="1:23" ht="11.25" customHeight="1" x14ac:dyDescent="0.25">
      <c r="A385" s="4" t="s">
        <v>21</v>
      </c>
      <c r="B385" s="4" t="s">
        <v>38</v>
      </c>
      <c r="C385" s="4" t="s">
        <v>40</v>
      </c>
      <c r="D385" s="4" t="s">
        <v>43</v>
      </c>
      <c r="E385" s="4" t="s">
        <v>51</v>
      </c>
      <c r="F385" s="4" t="s">
        <v>53</v>
      </c>
      <c r="G385" s="4" t="s">
        <v>25</v>
      </c>
      <c r="H385" s="4" t="s">
        <v>34</v>
      </c>
      <c r="I385" s="5">
        <v>44378</v>
      </c>
      <c r="J385" s="6">
        <v>0</v>
      </c>
      <c r="K385" s="6">
        <v>0</v>
      </c>
      <c r="L385" s="6">
        <v>9.0150000000000006</v>
      </c>
      <c r="M385" s="6">
        <v>2.7044999999999999</v>
      </c>
      <c r="N385" s="6">
        <v>9.0150000000000006</v>
      </c>
      <c r="O385" s="6">
        <v>2.7044999999999999</v>
      </c>
      <c r="P385" s="6">
        <v>0</v>
      </c>
      <c r="Q385" s="4" t="s">
        <v>26</v>
      </c>
      <c r="R385" s="4">
        <v>0</v>
      </c>
      <c r="S385" s="4" t="s">
        <v>160</v>
      </c>
      <c r="T385" s="4" t="s">
        <v>365</v>
      </c>
      <c r="U385" s="4">
        <v>0</v>
      </c>
      <c r="V385" s="4">
        <v>14</v>
      </c>
      <c r="W385" s="4">
        <v>42</v>
      </c>
    </row>
    <row r="386" spans="1:23" ht="11.25" customHeight="1" x14ac:dyDescent="0.25">
      <c r="A386" s="4" t="s">
        <v>21</v>
      </c>
      <c r="B386" s="4" t="s">
        <v>38</v>
      </c>
      <c r="C386" s="4" t="s">
        <v>40</v>
      </c>
      <c r="D386" s="4" t="s">
        <v>43</v>
      </c>
      <c r="E386" s="4" t="s">
        <v>51</v>
      </c>
      <c r="F386" s="4" t="s">
        <v>53</v>
      </c>
      <c r="G386" s="4" t="s">
        <v>25</v>
      </c>
      <c r="H386" s="4" t="s">
        <v>34</v>
      </c>
      <c r="I386" s="5">
        <v>44409</v>
      </c>
      <c r="J386" s="6">
        <v>0</v>
      </c>
      <c r="K386" s="6">
        <v>0</v>
      </c>
      <c r="L386" s="6">
        <v>9.0830000000000002</v>
      </c>
      <c r="M386" s="6">
        <v>2.7248999999999999</v>
      </c>
      <c r="N386" s="6">
        <v>9.0830000000000002</v>
      </c>
      <c r="O386" s="6">
        <v>2.7248999999999999</v>
      </c>
      <c r="P386" s="6">
        <v>0</v>
      </c>
      <c r="Q386" s="4" t="s">
        <v>26</v>
      </c>
      <c r="R386" s="4">
        <v>0</v>
      </c>
      <c r="S386" s="4" t="s">
        <v>161</v>
      </c>
      <c r="T386" s="4" t="s">
        <v>366</v>
      </c>
      <c r="U386" s="4">
        <v>0</v>
      </c>
      <c r="V386" s="4">
        <v>14</v>
      </c>
      <c r="W386" s="4">
        <v>42</v>
      </c>
    </row>
    <row r="387" spans="1:23" ht="11.25" customHeight="1" x14ac:dyDescent="0.25">
      <c r="A387" s="4" t="s">
        <v>21</v>
      </c>
      <c r="B387" s="4" t="s">
        <v>38</v>
      </c>
      <c r="C387" s="4" t="s">
        <v>40</v>
      </c>
      <c r="D387" s="4" t="s">
        <v>43</v>
      </c>
      <c r="E387" s="4" t="s">
        <v>51</v>
      </c>
      <c r="F387" s="4" t="s">
        <v>53</v>
      </c>
      <c r="G387" s="4" t="s">
        <v>25</v>
      </c>
      <c r="H387" s="4" t="s">
        <v>34</v>
      </c>
      <c r="I387" s="5">
        <v>44440</v>
      </c>
      <c r="J387" s="6">
        <v>0</v>
      </c>
      <c r="K387" s="6">
        <v>0</v>
      </c>
      <c r="L387" s="6">
        <v>8.0559999999999992</v>
      </c>
      <c r="M387" s="6">
        <v>2.4167999999999998</v>
      </c>
      <c r="N387" s="6">
        <v>8.0559999999999992</v>
      </c>
      <c r="O387" s="6">
        <v>2.4167999999999998</v>
      </c>
      <c r="P387" s="6">
        <v>0</v>
      </c>
      <c r="Q387" s="4" t="s">
        <v>26</v>
      </c>
      <c r="R387" s="4">
        <v>0</v>
      </c>
      <c r="S387" s="4" t="s">
        <v>162</v>
      </c>
      <c r="T387" s="4" t="s">
        <v>367</v>
      </c>
      <c r="U387" s="4">
        <v>0</v>
      </c>
      <c r="V387" s="4">
        <v>14</v>
      </c>
      <c r="W387" s="4">
        <v>42</v>
      </c>
    </row>
    <row r="388" spans="1:23" ht="11.25" customHeight="1" x14ac:dyDescent="0.25">
      <c r="A388" s="4" t="s">
        <v>21</v>
      </c>
      <c r="B388" s="4" t="s">
        <v>38</v>
      </c>
      <c r="C388" s="4" t="s">
        <v>40</v>
      </c>
      <c r="D388" s="4" t="s">
        <v>43</v>
      </c>
      <c r="E388" s="4" t="s">
        <v>51</v>
      </c>
      <c r="F388" s="4" t="s">
        <v>53</v>
      </c>
      <c r="G388" s="4" t="s">
        <v>25</v>
      </c>
      <c r="H388" s="4" t="s">
        <v>34</v>
      </c>
      <c r="I388" s="5">
        <v>44470</v>
      </c>
      <c r="J388" s="6">
        <v>0</v>
      </c>
      <c r="K388" s="6">
        <v>0</v>
      </c>
      <c r="L388" s="6">
        <v>18.600999999999999</v>
      </c>
      <c r="M388" s="6">
        <v>5.5803000000000003</v>
      </c>
      <c r="N388" s="6">
        <v>18.600999999999999</v>
      </c>
      <c r="O388" s="6">
        <v>5.5803000000000003</v>
      </c>
      <c r="P388" s="6">
        <v>0</v>
      </c>
      <c r="Q388" s="4" t="s">
        <v>26</v>
      </c>
      <c r="R388" s="4">
        <v>0</v>
      </c>
      <c r="S388" s="4" t="s">
        <v>163</v>
      </c>
      <c r="T388" s="4" t="s">
        <v>368</v>
      </c>
      <c r="U388" s="4">
        <v>0</v>
      </c>
      <c r="V388" s="4">
        <v>14</v>
      </c>
      <c r="W388" s="4">
        <v>42</v>
      </c>
    </row>
    <row r="389" spans="1:23" ht="11.25" customHeight="1" x14ac:dyDescent="0.25">
      <c r="A389" s="4" t="s">
        <v>21</v>
      </c>
      <c r="B389" s="4" t="s">
        <v>38</v>
      </c>
      <c r="C389" s="4" t="s">
        <v>40</v>
      </c>
      <c r="D389" s="4" t="s">
        <v>43</v>
      </c>
      <c r="E389" s="4" t="s">
        <v>51</v>
      </c>
      <c r="F389" s="4" t="s">
        <v>53</v>
      </c>
      <c r="G389" s="4" t="s">
        <v>25</v>
      </c>
      <c r="H389" s="4" t="s">
        <v>34</v>
      </c>
      <c r="I389" s="5">
        <v>44501</v>
      </c>
      <c r="J389" s="6">
        <v>0</v>
      </c>
      <c r="K389" s="6">
        <v>0</v>
      </c>
      <c r="L389" s="6">
        <v>197.976</v>
      </c>
      <c r="M389" s="6">
        <v>59.392800000000001</v>
      </c>
      <c r="N389" s="6">
        <v>197.976</v>
      </c>
      <c r="O389" s="6">
        <v>59.392800000000001</v>
      </c>
      <c r="P389" s="6">
        <v>0</v>
      </c>
      <c r="Q389" s="4" t="s">
        <v>26</v>
      </c>
      <c r="R389" s="4">
        <v>0</v>
      </c>
      <c r="S389" s="4" t="s">
        <v>164</v>
      </c>
      <c r="T389" s="4" t="s">
        <v>369</v>
      </c>
      <c r="U389" s="4">
        <v>0</v>
      </c>
      <c r="V389" s="4">
        <v>14</v>
      </c>
      <c r="W389" s="4">
        <v>42</v>
      </c>
    </row>
    <row r="390" spans="1:23" ht="11.25" customHeight="1" x14ac:dyDescent="0.25">
      <c r="A390" s="4" t="s">
        <v>21</v>
      </c>
      <c r="B390" s="4" t="s">
        <v>38</v>
      </c>
      <c r="C390" s="4" t="s">
        <v>40</v>
      </c>
      <c r="D390" s="4" t="s">
        <v>43</v>
      </c>
      <c r="E390" s="4" t="s">
        <v>51</v>
      </c>
      <c r="F390" s="4" t="s">
        <v>53</v>
      </c>
      <c r="G390" s="4" t="s">
        <v>25</v>
      </c>
      <c r="H390" s="4" t="s">
        <v>34</v>
      </c>
      <c r="I390" s="5">
        <v>44531</v>
      </c>
      <c r="J390" s="6">
        <v>0</v>
      </c>
      <c r="K390" s="6">
        <v>0</v>
      </c>
      <c r="L390" s="6">
        <v>482.69099999999997</v>
      </c>
      <c r="M390" s="6">
        <v>144.8073</v>
      </c>
      <c r="N390" s="6">
        <v>482.69099999999997</v>
      </c>
      <c r="O390" s="6">
        <v>144.8073</v>
      </c>
      <c r="P390" s="6">
        <v>0</v>
      </c>
      <c r="Q390" s="4" t="s">
        <v>26</v>
      </c>
      <c r="R390" s="4">
        <v>0</v>
      </c>
      <c r="S390" s="4" t="s">
        <v>165</v>
      </c>
      <c r="T390" s="4" t="s">
        <v>370</v>
      </c>
      <c r="U390" s="4">
        <v>0</v>
      </c>
      <c r="V390" s="4">
        <v>14</v>
      </c>
      <c r="W390" s="4">
        <v>42</v>
      </c>
    </row>
    <row r="391" spans="1:23" ht="11.25" customHeight="1" x14ac:dyDescent="0.25">
      <c r="A391" s="4" t="s">
        <v>21</v>
      </c>
      <c r="B391" s="4" t="s">
        <v>38</v>
      </c>
      <c r="C391" s="4" t="s">
        <v>40</v>
      </c>
      <c r="D391" s="4" t="s">
        <v>43</v>
      </c>
      <c r="E391" s="4" t="s">
        <v>51</v>
      </c>
      <c r="F391" s="4" t="s">
        <v>53</v>
      </c>
      <c r="G391" s="4" t="s">
        <v>25</v>
      </c>
      <c r="H391" s="4" t="s">
        <v>34</v>
      </c>
      <c r="I391" s="5">
        <v>44562</v>
      </c>
      <c r="J391" s="6">
        <v>0</v>
      </c>
      <c r="K391" s="6">
        <v>0</v>
      </c>
      <c r="L391" s="6">
        <v>304.947</v>
      </c>
      <c r="M391" s="6">
        <v>91.484099999999998</v>
      </c>
      <c r="N391" s="6">
        <v>304.947</v>
      </c>
      <c r="O391" s="6">
        <v>91.484099999999998</v>
      </c>
      <c r="P391" s="6">
        <v>0</v>
      </c>
      <c r="Q391" s="4" t="s">
        <v>26</v>
      </c>
      <c r="R391" s="4">
        <v>0</v>
      </c>
      <c r="S391" s="4" t="s">
        <v>166</v>
      </c>
      <c r="T391" s="4" t="s">
        <v>371</v>
      </c>
      <c r="U391" s="4">
        <v>0</v>
      </c>
      <c r="V391" s="4">
        <v>14</v>
      </c>
      <c r="W391" s="4">
        <v>42</v>
      </c>
    </row>
    <row r="392" spans="1:23" ht="11.25" customHeight="1" x14ac:dyDescent="0.25">
      <c r="A392" s="4" t="s">
        <v>21</v>
      </c>
      <c r="B392" s="4" t="s">
        <v>38</v>
      </c>
      <c r="C392" s="4" t="s">
        <v>40</v>
      </c>
      <c r="D392" s="4" t="s">
        <v>43</v>
      </c>
      <c r="E392" s="4" t="s">
        <v>51</v>
      </c>
      <c r="F392" s="4" t="s">
        <v>53</v>
      </c>
      <c r="G392" s="4" t="s">
        <v>25</v>
      </c>
      <c r="H392" s="4" t="s">
        <v>34</v>
      </c>
      <c r="I392" s="5">
        <v>44593</v>
      </c>
      <c r="J392" s="6">
        <v>0</v>
      </c>
      <c r="K392" s="6">
        <v>0</v>
      </c>
      <c r="L392" s="6">
        <v>176.97200000000001</v>
      </c>
      <c r="M392" s="6">
        <v>53.0916</v>
      </c>
      <c r="N392" s="6">
        <v>176.97200000000001</v>
      </c>
      <c r="O392" s="6">
        <v>53.0916</v>
      </c>
      <c r="P392" s="6">
        <v>0</v>
      </c>
      <c r="Q392" s="4" t="s">
        <v>26</v>
      </c>
      <c r="R392" s="4">
        <v>0</v>
      </c>
      <c r="S392" s="4" t="s">
        <v>167</v>
      </c>
      <c r="T392" s="4" t="s">
        <v>372</v>
      </c>
      <c r="U392" s="4">
        <v>0</v>
      </c>
      <c r="V392" s="4">
        <v>14</v>
      </c>
      <c r="W392" s="4">
        <v>42</v>
      </c>
    </row>
    <row r="393" spans="1:23" ht="11.25" customHeight="1" x14ac:dyDescent="0.25">
      <c r="A393" s="4" t="s">
        <v>21</v>
      </c>
      <c r="B393" s="4" t="s">
        <v>38</v>
      </c>
      <c r="C393" s="4" t="s">
        <v>40</v>
      </c>
      <c r="D393" s="4" t="s">
        <v>43</v>
      </c>
      <c r="E393" s="4" t="s">
        <v>51</v>
      </c>
      <c r="F393" s="4" t="s">
        <v>53</v>
      </c>
      <c r="G393" s="4" t="s">
        <v>25</v>
      </c>
      <c r="H393" s="4" t="s">
        <v>34</v>
      </c>
      <c r="I393" s="5">
        <v>44621</v>
      </c>
      <c r="J393" s="6">
        <v>0</v>
      </c>
      <c r="K393" s="6">
        <v>0</v>
      </c>
      <c r="L393" s="6">
        <v>15.061999999999999</v>
      </c>
      <c r="M393" s="6">
        <v>4.5186000000000002</v>
      </c>
      <c r="N393" s="6">
        <v>15.061999999999999</v>
      </c>
      <c r="O393" s="6">
        <v>4.5186000000000002</v>
      </c>
      <c r="P393" s="6">
        <v>0</v>
      </c>
      <c r="Q393" s="4" t="s">
        <v>26</v>
      </c>
      <c r="R393" s="4">
        <v>0</v>
      </c>
      <c r="S393" s="4" t="s">
        <v>168</v>
      </c>
      <c r="T393" s="4" t="s">
        <v>373</v>
      </c>
      <c r="U393" s="4">
        <v>0</v>
      </c>
      <c r="V393" s="4">
        <v>14</v>
      </c>
      <c r="W393" s="4">
        <v>42</v>
      </c>
    </row>
    <row r="394" spans="1:23" ht="11.25" customHeight="1" x14ac:dyDescent="0.25">
      <c r="A394" s="4" t="s">
        <v>21</v>
      </c>
      <c r="B394" s="4" t="s">
        <v>38</v>
      </c>
      <c r="C394" s="4" t="s">
        <v>40</v>
      </c>
      <c r="D394" s="4" t="s">
        <v>43</v>
      </c>
      <c r="E394" s="4" t="s">
        <v>51</v>
      </c>
      <c r="F394" s="4" t="s">
        <v>53</v>
      </c>
      <c r="G394" s="4" t="s">
        <v>25</v>
      </c>
      <c r="H394" s="4" t="s">
        <v>34</v>
      </c>
      <c r="I394" s="5">
        <v>44652</v>
      </c>
      <c r="J394" s="6">
        <v>0</v>
      </c>
      <c r="K394" s="6">
        <v>0</v>
      </c>
      <c r="L394" s="6">
        <v>6.9829999999999997</v>
      </c>
      <c r="M394" s="6">
        <v>2.0949</v>
      </c>
      <c r="N394" s="6">
        <v>6.9829999999999997</v>
      </c>
      <c r="O394" s="6">
        <v>2.0949</v>
      </c>
      <c r="P394" s="6">
        <v>0</v>
      </c>
      <c r="Q394" s="4" t="s">
        <v>26</v>
      </c>
      <c r="R394" s="4">
        <v>0</v>
      </c>
      <c r="S394" s="4" t="s">
        <v>169</v>
      </c>
      <c r="T394" s="4" t="s">
        <v>374</v>
      </c>
      <c r="U394" s="4">
        <v>0</v>
      </c>
      <c r="V394" s="4">
        <v>14</v>
      </c>
      <c r="W394" s="4">
        <v>42</v>
      </c>
    </row>
    <row r="395" spans="1:23" ht="11.25" customHeight="1" x14ac:dyDescent="0.25">
      <c r="A395" s="4" t="s">
        <v>21</v>
      </c>
      <c r="B395" s="4" t="s">
        <v>38</v>
      </c>
      <c r="C395" s="4" t="s">
        <v>40</v>
      </c>
      <c r="D395" s="4" t="s">
        <v>43</v>
      </c>
      <c r="E395" s="4" t="s">
        <v>51</v>
      </c>
      <c r="F395" s="4" t="s">
        <v>53</v>
      </c>
      <c r="G395" s="4" t="s">
        <v>25</v>
      </c>
      <c r="H395" s="4" t="s">
        <v>34</v>
      </c>
      <c r="I395" s="5">
        <v>44682</v>
      </c>
      <c r="J395" s="6">
        <v>0</v>
      </c>
      <c r="K395" s="6">
        <v>0</v>
      </c>
      <c r="L395" s="6">
        <v>12.044</v>
      </c>
      <c r="M395" s="6">
        <v>3.6132</v>
      </c>
      <c r="N395" s="6">
        <v>12.044</v>
      </c>
      <c r="O395" s="6">
        <v>3.6132</v>
      </c>
      <c r="P395" s="6">
        <v>0</v>
      </c>
      <c r="Q395" s="4" t="s">
        <v>26</v>
      </c>
      <c r="R395" s="4">
        <v>0</v>
      </c>
      <c r="S395" s="4" t="s">
        <v>170</v>
      </c>
      <c r="T395" s="4" t="s">
        <v>375</v>
      </c>
      <c r="U395" s="4">
        <v>0</v>
      </c>
      <c r="V395" s="4">
        <v>14</v>
      </c>
      <c r="W395" s="4">
        <v>42</v>
      </c>
    </row>
    <row r="396" spans="1:23" ht="11.25" customHeight="1" x14ac:dyDescent="0.25">
      <c r="A396" s="4" t="s">
        <v>56</v>
      </c>
      <c r="B396" s="4" t="s">
        <v>38</v>
      </c>
      <c r="C396" s="4" t="s">
        <v>40</v>
      </c>
      <c r="D396" s="4" t="s">
        <v>43</v>
      </c>
      <c r="E396" s="4" t="s">
        <v>51</v>
      </c>
      <c r="F396" s="4" t="s">
        <v>53</v>
      </c>
      <c r="G396" s="4" t="s">
        <v>25</v>
      </c>
      <c r="H396" s="4" t="s">
        <v>34</v>
      </c>
      <c r="I396" s="5">
        <v>44713</v>
      </c>
      <c r="J396" s="6">
        <v>0</v>
      </c>
      <c r="K396" s="6">
        <v>0</v>
      </c>
      <c r="L396" s="6">
        <v>12.044</v>
      </c>
      <c r="M396" s="6">
        <v>3.6132</v>
      </c>
      <c r="N396" s="6">
        <v>12.044</v>
      </c>
      <c r="O396" s="6">
        <v>3.6132</v>
      </c>
      <c r="P396" s="6">
        <v>0</v>
      </c>
      <c r="Q396" s="4" t="s">
        <v>26</v>
      </c>
      <c r="R396" s="4">
        <v>0</v>
      </c>
      <c r="S396" s="4" t="s">
        <v>171</v>
      </c>
      <c r="T396" s="4" t="s">
        <v>376</v>
      </c>
      <c r="U396" s="4">
        <v>0</v>
      </c>
      <c r="V396" s="4">
        <v>14</v>
      </c>
      <c r="W396" s="4">
        <v>42</v>
      </c>
    </row>
    <row r="397" spans="1:23" ht="11.25" customHeight="1" x14ac:dyDescent="0.25">
      <c r="A397" s="4" t="s">
        <v>21</v>
      </c>
      <c r="B397" s="4" t="s">
        <v>38</v>
      </c>
      <c r="C397" s="4" t="s">
        <v>40</v>
      </c>
      <c r="D397" s="4" t="s">
        <v>43</v>
      </c>
      <c r="E397" s="4" t="s">
        <v>51</v>
      </c>
      <c r="F397" s="4" t="s">
        <v>25</v>
      </c>
      <c r="G397" s="4" t="s">
        <v>25</v>
      </c>
      <c r="H397" s="4" t="s">
        <v>34</v>
      </c>
      <c r="I397" s="5">
        <v>44378</v>
      </c>
      <c r="J397" s="6">
        <v>0</v>
      </c>
      <c r="K397" s="6">
        <v>0</v>
      </c>
      <c r="L397" s="6">
        <v>12.837</v>
      </c>
      <c r="M397" s="6">
        <v>12.323519999999998</v>
      </c>
      <c r="N397" s="6">
        <v>12.837</v>
      </c>
      <c r="O397" s="6">
        <v>12.323519999999998</v>
      </c>
      <c r="P397" s="6">
        <v>0</v>
      </c>
      <c r="Q397" s="4" t="s">
        <v>26</v>
      </c>
      <c r="R397" s="4">
        <v>0</v>
      </c>
      <c r="S397" s="4" t="s">
        <v>160</v>
      </c>
      <c r="T397" s="4" t="s">
        <v>365</v>
      </c>
      <c r="U397" s="4">
        <v>0</v>
      </c>
      <c r="V397" s="4">
        <v>14</v>
      </c>
      <c r="W397" s="4">
        <v>42</v>
      </c>
    </row>
    <row r="398" spans="1:23" ht="11.25" customHeight="1" x14ac:dyDescent="0.25">
      <c r="A398" s="4" t="s">
        <v>21</v>
      </c>
      <c r="B398" s="4" t="s">
        <v>38</v>
      </c>
      <c r="C398" s="4" t="s">
        <v>40</v>
      </c>
      <c r="D398" s="4" t="s">
        <v>43</v>
      </c>
      <c r="E398" s="4" t="s">
        <v>51</v>
      </c>
      <c r="F398" s="4" t="s">
        <v>25</v>
      </c>
      <c r="G398" s="4" t="s">
        <v>25</v>
      </c>
      <c r="H398" s="4" t="s">
        <v>34</v>
      </c>
      <c r="I398" s="5">
        <v>44409</v>
      </c>
      <c r="J398" s="6">
        <v>0</v>
      </c>
      <c r="K398" s="6">
        <v>0</v>
      </c>
      <c r="L398" s="6">
        <v>16.324000000000002</v>
      </c>
      <c r="M398" s="6">
        <v>15.67104</v>
      </c>
      <c r="N398" s="6">
        <v>16.324000000000002</v>
      </c>
      <c r="O398" s="6">
        <v>15.67104</v>
      </c>
      <c r="P398" s="6">
        <v>0</v>
      </c>
      <c r="Q398" s="4" t="s">
        <v>26</v>
      </c>
      <c r="R398" s="4">
        <v>0</v>
      </c>
      <c r="S398" s="4" t="s">
        <v>161</v>
      </c>
      <c r="T398" s="4" t="s">
        <v>366</v>
      </c>
      <c r="U398" s="4">
        <v>0</v>
      </c>
      <c r="V398" s="4">
        <v>14</v>
      </c>
      <c r="W398" s="4">
        <v>42</v>
      </c>
    </row>
    <row r="399" spans="1:23" ht="11.25" customHeight="1" x14ac:dyDescent="0.25">
      <c r="A399" s="4" t="s">
        <v>55</v>
      </c>
      <c r="B399" s="4" t="s">
        <v>38</v>
      </c>
      <c r="C399" s="4" t="s">
        <v>40</v>
      </c>
      <c r="D399" s="4" t="s">
        <v>43</v>
      </c>
      <c r="E399" s="4" t="s">
        <v>51</v>
      </c>
      <c r="F399" s="4" t="s">
        <v>25</v>
      </c>
      <c r="G399" s="4" t="s">
        <v>25</v>
      </c>
      <c r="H399" s="4" t="s">
        <v>34</v>
      </c>
      <c r="I399" s="5">
        <v>44409</v>
      </c>
      <c r="J399" s="6">
        <v>0</v>
      </c>
      <c r="K399" s="6">
        <v>0</v>
      </c>
      <c r="L399" s="6">
        <v>0.70899999999999996</v>
      </c>
      <c r="M399" s="6">
        <v>0.68063999999999991</v>
      </c>
      <c r="N399" s="6">
        <v>0.70899999999999996</v>
      </c>
      <c r="O399" s="6">
        <v>0.68063999999999991</v>
      </c>
      <c r="P399" s="6">
        <v>0</v>
      </c>
      <c r="Q399" s="4" t="s">
        <v>26</v>
      </c>
      <c r="R399" s="4">
        <v>0</v>
      </c>
      <c r="S399" s="4" t="s">
        <v>161</v>
      </c>
      <c r="T399" s="4" t="s">
        <v>366</v>
      </c>
      <c r="U399" s="4">
        <v>0</v>
      </c>
      <c r="V399" s="4">
        <v>14</v>
      </c>
      <c r="W399" s="4">
        <v>42</v>
      </c>
    </row>
    <row r="400" spans="1:23" ht="11.25" customHeight="1" x14ac:dyDescent="0.25">
      <c r="A400" s="4" t="s">
        <v>21</v>
      </c>
      <c r="B400" s="4" t="s">
        <v>38</v>
      </c>
      <c r="C400" s="4" t="s">
        <v>40</v>
      </c>
      <c r="D400" s="4" t="s">
        <v>43</v>
      </c>
      <c r="E400" s="4" t="s">
        <v>51</v>
      </c>
      <c r="F400" s="4" t="s">
        <v>25</v>
      </c>
      <c r="G400" s="4" t="s">
        <v>25</v>
      </c>
      <c r="H400" s="4" t="s">
        <v>34</v>
      </c>
      <c r="I400" s="5">
        <v>44440</v>
      </c>
      <c r="J400" s="6">
        <v>0</v>
      </c>
      <c r="K400" s="6">
        <v>0</v>
      </c>
      <c r="L400" s="6">
        <v>13.708</v>
      </c>
      <c r="M400" s="6">
        <v>13.15968</v>
      </c>
      <c r="N400" s="6">
        <v>13.708</v>
      </c>
      <c r="O400" s="6">
        <v>13.15968</v>
      </c>
      <c r="P400" s="6">
        <v>0</v>
      </c>
      <c r="Q400" s="4" t="s">
        <v>26</v>
      </c>
      <c r="R400" s="4">
        <v>0</v>
      </c>
      <c r="S400" s="4" t="s">
        <v>162</v>
      </c>
      <c r="T400" s="4" t="s">
        <v>367</v>
      </c>
      <c r="U400" s="4">
        <v>0</v>
      </c>
      <c r="V400" s="4">
        <v>14</v>
      </c>
      <c r="W400" s="4">
        <v>42</v>
      </c>
    </row>
    <row r="401" spans="1:23" ht="11.25" customHeight="1" x14ac:dyDescent="0.25">
      <c r="A401" s="4" t="s">
        <v>55</v>
      </c>
      <c r="B401" s="4" t="s">
        <v>38</v>
      </c>
      <c r="C401" s="4" t="s">
        <v>40</v>
      </c>
      <c r="D401" s="4" t="s">
        <v>43</v>
      </c>
      <c r="E401" s="4" t="s">
        <v>51</v>
      </c>
      <c r="F401" s="4" t="s">
        <v>25</v>
      </c>
      <c r="G401" s="4" t="s">
        <v>25</v>
      </c>
      <c r="H401" s="4" t="s">
        <v>34</v>
      </c>
      <c r="I401" s="5">
        <v>44440</v>
      </c>
      <c r="J401" s="6">
        <v>0</v>
      </c>
      <c r="K401" s="6">
        <v>0</v>
      </c>
      <c r="L401" s="6">
        <v>2.2109999999999999</v>
      </c>
      <c r="M401" s="6">
        <v>2.12256</v>
      </c>
      <c r="N401" s="6">
        <v>2.2109999999999999</v>
      </c>
      <c r="O401" s="6">
        <v>2.12256</v>
      </c>
      <c r="P401" s="6">
        <v>0</v>
      </c>
      <c r="Q401" s="4" t="s">
        <v>26</v>
      </c>
      <c r="R401" s="4">
        <v>0</v>
      </c>
      <c r="S401" s="4" t="s">
        <v>162</v>
      </c>
      <c r="T401" s="4" t="s">
        <v>367</v>
      </c>
      <c r="U401" s="4">
        <v>0</v>
      </c>
      <c r="V401" s="4">
        <v>14</v>
      </c>
      <c r="W401" s="4">
        <v>42</v>
      </c>
    </row>
    <row r="402" spans="1:23" ht="11.25" customHeight="1" x14ac:dyDescent="0.25">
      <c r="A402" s="4" t="s">
        <v>21</v>
      </c>
      <c r="B402" s="4" t="s">
        <v>38</v>
      </c>
      <c r="C402" s="4" t="s">
        <v>40</v>
      </c>
      <c r="D402" s="4" t="s">
        <v>43</v>
      </c>
      <c r="E402" s="4" t="s">
        <v>51</v>
      </c>
      <c r="F402" s="4" t="s">
        <v>25</v>
      </c>
      <c r="G402" s="4" t="s">
        <v>25</v>
      </c>
      <c r="H402" s="4" t="s">
        <v>34</v>
      </c>
      <c r="I402" s="5">
        <v>44470</v>
      </c>
      <c r="J402" s="6">
        <v>0</v>
      </c>
      <c r="K402" s="6">
        <v>0</v>
      </c>
      <c r="L402" s="6">
        <v>23.190999999999999</v>
      </c>
      <c r="M402" s="6">
        <v>22.263359999999999</v>
      </c>
      <c r="N402" s="6">
        <v>23.190999999999999</v>
      </c>
      <c r="O402" s="6">
        <v>22.263359999999999</v>
      </c>
      <c r="P402" s="6">
        <v>0</v>
      </c>
      <c r="Q402" s="4" t="s">
        <v>26</v>
      </c>
      <c r="R402" s="4">
        <v>0</v>
      </c>
      <c r="S402" s="4" t="s">
        <v>163</v>
      </c>
      <c r="T402" s="4" t="s">
        <v>368</v>
      </c>
      <c r="U402" s="4">
        <v>0</v>
      </c>
      <c r="V402" s="4">
        <v>14</v>
      </c>
      <c r="W402" s="4">
        <v>42</v>
      </c>
    </row>
    <row r="403" spans="1:23" ht="11.25" customHeight="1" x14ac:dyDescent="0.25">
      <c r="A403" s="4" t="s">
        <v>55</v>
      </c>
      <c r="B403" s="4" t="s">
        <v>38</v>
      </c>
      <c r="C403" s="4" t="s">
        <v>40</v>
      </c>
      <c r="D403" s="4" t="s">
        <v>43</v>
      </c>
      <c r="E403" s="4" t="s">
        <v>51</v>
      </c>
      <c r="F403" s="4" t="s">
        <v>25</v>
      </c>
      <c r="G403" s="4" t="s">
        <v>25</v>
      </c>
      <c r="H403" s="4" t="s">
        <v>34</v>
      </c>
      <c r="I403" s="5">
        <v>44470</v>
      </c>
      <c r="J403" s="6">
        <v>0</v>
      </c>
      <c r="K403" s="6">
        <v>0</v>
      </c>
      <c r="L403" s="6">
        <v>3.04</v>
      </c>
      <c r="M403" s="6">
        <v>2.9184000000000001</v>
      </c>
      <c r="N403" s="6">
        <v>3.04</v>
      </c>
      <c r="O403" s="6">
        <v>2.9184000000000001</v>
      </c>
      <c r="P403" s="6">
        <v>0</v>
      </c>
      <c r="Q403" s="4" t="s">
        <v>26</v>
      </c>
      <c r="R403" s="4">
        <v>0</v>
      </c>
      <c r="S403" s="4" t="s">
        <v>163</v>
      </c>
      <c r="T403" s="4" t="s">
        <v>368</v>
      </c>
      <c r="U403" s="4">
        <v>0</v>
      </c>
      <c r="V403" s="4">
        <v>14</v>
      </c>
      <c r="W403" s="4">
        <v>42</v>
      </c>
    </row>
    <row r="404" spans="1:23" ht="11.25" customHeight="1" x14ac:dyDescent="0.25">
      <c r="A404" s="4" t="s">
        <v>21</v>
      </c>
      <c r="B404" s="4" t="s">
        <v>38</v>
      </c>
      <c r="C404" s="4" t="s">
        <v>40</v>
      </c>
      <c r="D404" s="4" t="s">
        <v>43</v>
      </c>
      <c r="E404" s="4" t="s">
        <v>51</v>
      </c>
      <c r="F404" s="4" t="s">
        <v>25</v>
      </c>
      <c r="G404" s="4" t="s">
        <v>25</v>
      </c>
      <c r="H404" s="4" t="s">
        <v>34</v>
      </c>
      <c r="I404" s="5">
        <v>44501</v>
      </c>
      <c r="J404" s="6">
        <v>0</v>
      </c>
      <c r="K404" s="6">
        <v>0</v>
      </c>
      <c r="L404" s="6">
        <v>177.87</v>
      </c>
      <c r="M404" s="6">
        <v>170.7552</v>
      </c>
      <c r="N404" s="6">
        <v>177.87</v>
      </c>
      <c r="O404" s="6">
        <v>170.7552</v>
      </c>
      <c r="P404" s="6">
        <v>0</v>
      </c>
      <c r="Q404" s="4" t="s">
        <v>26</v>
      </c>
      <c r="R404" s="4">
        <v>0</v>
      </c>
      <c r="S404" s="4" t="s">
        <v>164</v>
      </c>
      <c r="T404" s="4" t="s">
        <v>369</v>
      </c>
      <c r="U404" s="4">
        <v>0</v>
      </c>
      <c r="V404" s="4">
        <v>14</v>
      </c>
      <c r="W404" s="4">
        <v>42</v>
      </c>
    </row>
    <row r="405" spans="1:23" ht="11.25" customHeight="1" x14ac:dyDescent="0.25">
      <c r="A405" s="4" t="s">
        <v>55</v>
      </c>
      <c r="B405" s="4" t="s">
        <v>38</v>
      </c>
      <c r="C405" s="4" t="s">
        <v>40</v>
      </c>
      <c r="D405" s="4" t="s">
        <v>43</v>
      </c>
      <c r="E405" s="4" t="s">
        <v>51</v>
      </c>
      <c r="F405" s="4" t="s">
        <v>25</v>
      </c>
      <c r="G405" s="4" t="s">
        <v>25</v>
      </c>
      <c r="H405" s="4" t="s">
        <v>34</v>
      </c>
      <c r="I405" s="5">
        <v>44501</v>
      </c>
      <c r="J405" s="6">
        <v>0</v>
      </c>
      <c r="K405" s="6">
        <v>0</v>
      </c>
      <c r="L405" s="6">
        <v>55.423000000000002</v>
      </c>
      <c r="M405" s="6">
        <v>53.20608</v>
      </c>
      <c r="N405" s="6">
        <v>55.423000000000002</v>
      </c>
      <c r="O405" s="6">
        <v>53.20608</v>
      </c>
      <c r="P405" s="6">
        <v>0</v>
      </c>
      <c r="Q405" s="4" t="s">
        <v>26</v>
      </c>
      <c r="R405" s="4">
        <v>0</v>
      </c>
      <c r="S405" s="4" t="s">
        <v>164</v>
      </c>
      <c r="T405" s="4" t="s">
        <v>369</v>
      </c>
      <c r="U405" s="4">
        <v>0</v>
      </c>
      <c r="V405" s="4">
        <v>14</v>
      </c>
      <c r="W405" s="4">
        <v>42</v>
      </c>
    </row>
    <row r="406" spans="1:23" ht="11.25" customHeight="1" x14ac:dyDescent="0.25">
      <c r="A406" s="4" t="s">
        <v>21</v>
      </c>
      <c r="B406" s="4" t="s">
        <v>38</v>
      </c>
      <c r="C406" s="4" t="s">
        <v>40</v>
      </c>
      <c r="D406" s="4" t="s">
        <v>43</v>
      </c>
      <c r="E406" s="4" t="s">
        <v>51</v>
      </c>
      <c r="F406" s="4" t="s">
        <v>25</v>
      </c>
      <c r="G406" s="4" t="s">
        <v>25</v>
      </c>
      <c r="H406" s="4" t="s">
        <v>34</v>
      </c>
      <c r="I406" s="5">
        <v>44531</v>
      </c>
      <c r="J406" s="6">
        <v>0</v>
      </c>
      <c r="K406" s="6">
        <v>0</v>
      </c>
      <c r="L406" s="6">
        <v>379.16300000000001</v>
      </c>
      <c r="M406" s="6">
        <v>363.99648000000002</v>
      </c>
      <c r="N406" s="6">
        <v>379.16300000000001</v>
      </c>
      <c r="O406" s="6">
        <v>363.99648000000002</v>
      </c>
      <c r="P406" s="6">
        <v>0</v>
      </c>
      <c r="Q406" s="4" t="s">
        <v>26</v>
      </c>
      <c r="R406" s="4">
        <v>0</v>
      </c>
      <c r="S406" s="4" t="s">
        <v>165</v>
      </c>
      <c r="T406" s="4" t="s">
        <v>370</v>
      </c>
      <c r="U406" s="4">
        <v>0</v>
      </c>
      <c r="V406" s="4">
        <v>14</v>
      </c>
      <c r="W406" s="4">
        <v>42</v>
      </c>
    </row>
    <row r="407" spans="1:23" ht="11.25" customHeight="1" x14ac:dyDescent="0.25">
      <c r="A407" s="4" t="s">
        <v>55</v>
      </c>
      <c r="B407" s="4" t="s">
        <v>38</v>
      </c>
      <c r="C407" s="4" t="s">
        <v>40</v>
      </c>
      <c r="D407" s="4" t="s">
        <v>43</v>
      </c>
      <c r="E407" s="4" t="s">
        <v>51</v>
      </c>
      <c r="F407" s="4" t="s">
        <v>25</v>
      </c>
      <c r="G407" s="4" t="s">
        <v>25</v>
      </c>
      <c r="H407" s="4" t="s">
        <v>34</v>
      </c>
      <c r="I407" s="5">
        <v>44531</v>
      </c>
      <c r="J407" s="6">
        <v>0</v>
      </c>
      <c r="K407" s="6">
        <v>0</v>
      </c>
      <c r="L407" s="6">
        <v>77.055999999999997</v>
      </c>
      <c r="M407" s="6">
        <v>73.973759999999999</v>
      </c>
      <c r="N407" s="6">
        <v>77.055999999999997</v>
      </c>
      <c r="O407" s="6">
        <v>73.973759999999999</v>
      </c>
      <c r="P407" s="6">
        <v>0</v>
      </c>
      <c r="Q407" s="4" t="s">
        <v>26</v>
      </c>
      <c r="R407" s="4">
        <v>0</v>
      </c>
      <c r="S407" s="4" t="s">
        <v>165</v>
      </c>
      <c r="T407" s="4" t="s">
        <v>370</v>
      </c>
      <c r="U407" s="4">
        <v>0</v>
      </c>
      <c r="V407" s="4">
        <v>14</v>
      </c>
      <c r="W407" s="4">
        <v>42</v>
      </c>
    </row>
    <row r="408" spans="1:23" ht="11.25" customHeight="1" x14ac:dyDescent="0.25">
      <c r="A408" s="4" t="s">
        <v>21</v>
      </c>
      <c r="B408" s="4" t="s">
        <v>38</v>
      </c>
      <c r="C408" s="4" t="s">
        <v>40</v>
      </c>
      <c r="D408" s="4" t="s">
        <v>43</v>
      </c>
      <c r="E408" s="4" t="s">
        <v>51</v>
      </c>
      <c r="F408" s="4" t="s">
        <v>25</v>
      </c>
      <c r="G408" s="4" t="s">
        <v>25</v>
      </c>
      <c r="H408" s="4" t="s">
        <v>34</v>
      </c>
      <c r="I408" s="5">
        <v>44562</v>
      </c>
      <c r="J408" s="6">
        <v>0</v>
      </c>
      <c r="K408" s="6">
        <v>0</v>
      </c>
      <c r="L408" s="6">
        <v>248.77</v>
      </c>
      <c r="M408" s="6">
        <v>238.8192</v>
      </c>
      <c r="N408" s="6">
        <v>248.77</v>
      </c>
      <c r="O408" s="6">
        <v>238.8192</v>
      </c>
      <c r="P408" s="6">
        <v>0</v>
      </c>
      <c r="Q408" s="4" t="s">
        <v>26</v>
      </c>
      <c r="R408" s="4">
        <v>0</v>
      </c>
      <c r="S408" s="4" t="s">
        <v>166</v>
      </c>
      <c r="T408" s="4" t="s">
        <v>371</v>
      </c>
      <c r="U408" s="4">
        <v>0</v>
      </c>
      <c r="V408" s="4">
        <v>14</v>
      </c>
      <c r="W408" s="4">
        <v>42</v>
      </c>
    </row>
    <row r="409" spans="1:23" ht="11.25" customHeight="1" x14ac:dyDescent="0.25">
      <c r="A409" s="4" t="s">
        <v>55</v>
      </c>
      <c r="B409" s="4" t="s">
        <v>38</v>
      </c>
      <c r="C409" s="4" t="s">
        <v>40</v>
      </c>
      <c r="D409" s="4" t="s">
        <v>43</v>
      </c>
      <c r="E409" s="4" t="s">
        <v>51</v>
      </c>
      <c r="F409" s="4" t="s">
        <v>25</v>
      </c>
      <c r="G409" s="4" t="s">
        <v>25</v>
      </c>
      <c r="H409" s="4" t="s">
        <v>34</v>
      </c>
      <c r="I409" s="5">
        <v>44562</v>
      </c>
      <c r="J409" s="6">
        <v>0</v>
      </c>
      <c r="K409" s="6">
        <v>0</v>
      </c>
      <c r="L409" s="6">
        <v>9.4329999999999998</v>
      </c>
      <c r="M409" s="6">
        <v>9.0556799999999988</v>
      </c>
      <c r="N409" s="6">
        <v>9.4329999999999998</v>
      </c>
      <c r="O409" s="6">
        <v>9.0556799999999988</v>
      </c>
      <c r="P409" s="6">
        <v>0</v>
      </c>
      <c r="Q409" s="4" t="s">
        <v>26</v>
      </c>
      <c r="R409" s="4">
        <v>0</v>
      </c>
      <c r="S409" s="4" t="s">
        <v>166</v>
      </c>
      <c r="T409" s="4" t="s">
        <v>371</v>
      </c>
      <c r="U409" s="4">
        <v>0</v>
      </c>
      <c r="V409" s="4">
        <v>14</v>
      </c>
      <c r="W409" s="4">
        <v>42</v>
      </c>
    </row>
    <row r="410" spans="1:23" ht="11.25" customHeight="1" x14ac:dyDescent="0.25">
      <c r="A410" s="4" t="s">
        <v>21</v>
      </c>
      <c r="B410" s="4" t="s">
        <v>38</v>
      </c>
      <c r="C410" s="4" t="s">
        <v>40</v>
      </c>
      <c r="D410" s="4" t="s">
        <v>43</v>
      </c>
      <c r="E410" s="4" t="s">
        <v>51</v>
      </c>
      <c r="F410" s="4" t="s">
        <v>25</v>
      </c>
      <c r="G410" s="4" t="s">
        <v>25</v>
      </c>
      <c r="H410" s="4" t="s">
        <v>34</v>
      </c>
      <c r="I410" s="5">
        <v>44593</v>
      </c>
      <c r="J410" s="6">
        <v>0</v>
      </c>
      <c r="K410" s="6">
        <v>0</v>
      </c>
      <c r="L410" s="6">
        <v>125.352</v>
      </c>
      <c r="M410" s="6">
        <v>120.33792</v>
      </c>
      <c r="N410" s="6">
        <v>125.352</v>
      </c>
      <c r="O410" s="6">
        <v>120.33792</v>
      </c>
      <c r="P410" s="6">
        <v>0</v>
      </c>
      <c r="Q410" s="4" t="s">
        <v>26</v>
      </c>
      <c r="R410" s="4">
        <v>0</v>
      </c>
      <c r="S410" s="4" t="s">
        <v>167</v>
      </c>
      <c r="T410" s="4" t="s">
        <v>372</v>
      </c>
      <c r="U410" s="4">
        <v>0</v>
      </c>
      <c r="V410" s="4">
        <v>14</v>
      </c>
      <c r="W410" s="4">
        <v>42</v>
      </c>
    </row>
    <row r="411" spans="1:23" ht="11.25" customHeight="1" x14ac:dyDescent="0.25">
      <c r="A411" s="4" t="s">
        <v>55</v>
      </c>
      <c r="B411" s="4" t="s">
        <v>38</v>
      </c>
      <c r="C411" s="4" t="s">
        <v>40</v>
      </c>
      <c r="D411" s="4" t="s">
        <v>43</v>
      </c>
      <c r="E411" s="4" t="s">
        <v>51</v>
      </c>
      <c r="F411" s="4" t="s">
        <v>25</v>
      </c>
      <c r="G411" s="4" t="s">
        <v>25</v>
      </c>
      <c r="H411" s="4" t="s">
        <v>34</v>
      </c>
      <c r="I411" s="5">
        <v>44593</v>
      </c>
      <c r="J411" s="6">
        <v>0</v>
      </c>
      <c r="K411" s="6">
        <v>0</v>
      </c>
      <c r="L411" s="6">
        <v>0.67400000000000004</v>
      </c>
      <c r="M411" s="6">
        <v>0.64704000000000006</v>
      </c>
      <c r="N411" s="6">
        <v>0.67400000000000004</v>
      </c>
      <c r="O411" s="6">
        <v>0.64704000000000006</v>
      </c>
      <c r="P411" s="6">
        <v>0</v>
      </c>
      <c r="Q411" s="4" t="s">
        <v>26</v>
      </c>
      <c r="R411" s="4">
        <v>0</v>
      </c>
      <c r="S411" s="4" t="s">
        <v>167</v>
      </c>
      <c r="T411" s="4" t="s">
        <v>372</v>
      </c>
      <c r="U411" s="4">
        <v>0</v>
      </c>
      <c r="V411" s="4">
        <v>14</v>
      </c>
      <c r="W411" s="4">
        <v>42</v>
      </c>
    </row>
    <row r="412" spans="1:23" ht="11.25" customHeight="1" x14ac:dyDescent="0.25">
      <c r="A412" s="4" t="s">
        <v>21</v>
      </c>
      <c r="B412" s="4" t="s">
        <v>38</v>
      </c>
      <c r="C412" s="4" t="s">
        <v>40</v>
      </c>
      <c r="D412" s="4" t="s">
        <v>43</v>
      </c>
      <c r="E412" s="4" t="s">
        <v>51</v>
      </c>
      <c r="F412" s="4" t="s">
        <v>25</v>
      </c>
      <c r="G412" s="4" t="s">
        <v>25</v>
      </c>
      <c r="H412" s="4" t="s">
        <v>34</v>
      </c>
      <c r="I412" s="5">
        <v>44621</v>
      </c>
      <c r="J412" s="6">
        <v>0</v>
      </c>
      <c r="K412" s="6">
        <v>0</v>
      </c>
      <c r="L412" s="6">
        <v>22.298999999999999</v>
      </c>
      <c r="M412" s="6">
        <v>21.407039999999999</v>
      </c>
      <c r="N412" s="6">
        <v>22.298999999999999</v>
      </c>
      <c r="O412" s="6">
        <v>21.407039999999999</v>
      </c>
      <c r="P412" s="6">
        <v>0</v>
      </c>
      <c r="Q412" s="4" t="s">
        <v>26</v>
      </c>
      <c r="R412" s="4">
        <v>0</v>
      </c>
      <c r="S412" s="4" t="s">
        <v>168</v>
      </c>
      <c r="T412" s="4" t="s">
        <v>373</v>
      </c>
      <c r="U412" s="4">
        <v>0</v>
      </c>
      <c r="V412" s="4">
        <v>14</v>
      </c>
      <c r="W412" s="4">
        <v>42</v>
      </c>
    </row>
    <row r="413" spans="1:23" ht="11.25" customHeight="1" x14ac:dyDescent="0.25">
      <c r="A413" s="4" t="s">
        <v>55</v>
      </c>
      <c r="B413" s="4" t="s">
        <v>38</v>
      </c>
      <c r="C413" s="4" t="s">
        <v>40</v>
      </c>
      <c r="D413" s="4" t="s">
        <v>43</v>
      </c>
      <c r="E413" s="4" t="s">
        <v>51</v>
      </c>
      <c r="F413" s="4" t="s">
        <v>25</v>
      </c>
      <c r="G413" s="4" t="s">
        <v>25</v>
      </c>
      <c r="H413" s="4" t="s">
        <v>34</v>
      </c>
      <c r="I413" s="5">
        <v>44621</v>
      </c>
      <c r="J413" s="6">
        <v>0</v>
      </c>
      <c r="K413" s="6">
        <v>0</v>
      </c>
      <c r="L413" s="6">
        <v>0.441</v>
      </c>
      <c r="M413" s="6">
        <v>0.42336000000000001</v>
      </c>
      <c r="N413" s="6">
        <v>0.441</v>
      </c>
      <c r="O413" s="6">
        <v>0.42336000000000001</v>
      </c>
      <c r="P413" s="6">
        <v>0</v>
      </c>
      <c r="Q413" s="4" t="s">
        <v>26</v>
      </c>
      <c r="R413" s="4">
        <v>0</v>
      </c>
      <c r="S413" s="4" t="s">
        <v>168</v>
      </c>
      <c r="T413" s="4" t="s">
        <v>373</v>
      </c>
      <c r="U413" s="4">
        <v>0</v>
      </c>
      <c r="V413" s="4">
        <v>14</v>
      </c>
      <c r="W413" s="4">
        <v>42</v>
      </c>
    </row>
    <row r="414" spans="1:23" ht="11.25" customHeight="1" x14ac:dyDescent="0.25">
      <c r="A414" s="4" t="s">
        <v>21</v>
      </c>
      <c r="B414" s="4" t="s">
        <v>38</v>
      </c>
      <c r="C414" s="4" t="s">
        <v>40</v>
      </c>
      <c r="D414" s="4" t="s">
        <v>43</v>
      </c>
      <c r="E414" s="4" t="s">
        <v>51</v>
      </c>
      <c r="F414" s="4" t="s">
        <v>25</v>
      </c>
      <c r="G414" s="4" t="s">
        <v>25</v>
      </c>
      <c r="H414" s="4" t="s">
        <v>34</v>
      </c>
      <c r="I414" s="5">
        <v>44652</v>
      </c>
      <c r="J414" s="6">
        <v>0</v>
      </c>
      <c r="K414" s="6">
        <v>0</v>
      </c>
      <c r="L414" s="6">
        <v>9.8059999999999992</v>
      </c>
      <c r="M414" s="6">
        <v>9.4137599999999999</v>
      </c>
      <c r="N414" s="6">
        <v>9.8059999999999992</v>
      </c>
      <c r="O414" s="6">
        <v>9.4137599999999999</v>
      </c>
      <c r="P414" s="6">
        <v>0</v>
      </c>
      <c r="Q414" s="4" t="s">
        <v>26</v>
      </c>
      <c r="R414" s="4">
        <v>0</v>
      </c>
      <c r="S414" s="4" t="s">
        <v>169</v>
      </c>
      <c r="T414" s="4" t="s">
        <v>374</v>
      </c>
      <c r="U414" s="4">
        <v>0</v>
      </c>
      <c r="V414" s="4">
        <v>14</v>
      </c>
      <c r="W414" s="4">
        <v>42</v>
      </c>
    </row>
    <row r="415" spans="1:23" ht="11.25" customHeight="1" x14ac:dyDescent="0.25">
      <c r="A415" s="4" t="s">
        <v>55</v>
      </c>
      <c r="B415" s="4" t="s">
        <v>38</v>
      </c>
      <c r="C415" s="4" t="s">
        <v>40</v>
      </c>
      <c r="D415" s="4" t="s">
        <v>43</v>
      </c>
      <c r="E415" s="4" t="s">
        <v>51</v>
      </c>
      <c r="F415" s="4" t="s">
        <v>25</v>
      </c>
      <c r="G415" s="4" t="s">
        <v>25</v>
      </c>
      <c r="H415" s="4" t="s">
        <v>34</v>
      </c>
      <c r="I415" s="5">
        <v>44652</v>
      </c>
      <c r="J415" s="6">
        <v>0</v>
      </c>
      <c r="K415" s="6">
        <v>0</v>
      </c>
      <c r="L415" s="6">
        <v>0.32100000000000001</v>
      </c>
      <c r="M415" s="6">
        <v>0.30815999999999999</v>
      </c>
      <c r="N415" s="6">
        <v>0.32100000000000001</v>
      </c>
      <c r="O415" s="6">
        <v>0.30815999999999999</v>
      </c>
      <c r="P415" s="6">
        <v>0</v>
      </c>
      <c r="Q415" s="4" t="s">
        <v>26</v>
      </c>
      <c r="R415" s="4">
        <v>0</v>
      </c>
      <c r="S415" s="4" t="s">
        <v>169</v>
      </c>
      <c r="T415" s="4" t="s">
        <v>374</v>
      </c>
      <c r="U415" s="4">
        <v>0</v>
      </c>
      <c r="V415" s="4">
        <v>14</v>
      </c>
      <c r="W415" s="4">
        <v>42</v>
      </c>
    </row>
    <row r="416" spans="1:23" ht="11.25" customHeight="1" x14ac:dyDescent="0.25">
      <c r="A416" s="4" t="s">
        <v>21</v>
      </c>
      <c r="B416" s="4" t="s">
        <v>38</v>
      </c>
      <c r="C416" s="4" t="s">
        <v>40</v>
      </c>
      <c r="D416" s="4" t="s">
        <v>43</v>
      </c>
      <c r="E416" s="4" t="s">
        <v>51</v>
      </c>
      <c r="F416" s="4" t="s">
        <v>25</v>
      </c>
      <c r="G416" s="4" t="s">
        <v>25</v>
      </c>
      <c r="H416" s="4" t="s">
        <v>34</v>
      </c>
      <c r="I416" s="5">
        <v>44682</v>
      </c>
      <c r="J416" s="6">
        <v>0</v>
      </c>
      <c r="K416" s="6">
        <v>0</v>
      </c>
      <c r="L416" s="6">
        <v>15.609</v>
      </c>
      <c r="M416" s="6">
        <v>14.984640000000001</v>
      </c>
      <c r="N416" s="6">
        <v>15.609</v>
      </c>
      <c r="O416" s="6">
        <v>14.984640000000001</v>
      </c>
      <c r="P416" s="6">
        <v>0</v>
      </c>
      <c r="Q416" s="4" t="s">
        <v>26</v>
      </c>
      <c r="R416" s="4">
        <v>0</v>
      </c>
      <c r="S416" s="4" t="s">
        <v>170</v>
      </c>
      <c r="T416" s="4" t="s">
        <v>375</v>
      </c>
      <c r="U416" s="4">
        <v>0</v>
      </c>
      <c r="V416" s="4">
        <v>14</v>
      </c>
      <c r="W416" s="4">
        <v>42</v>
      </c>
    </row>
    <row r="417" spans="1:23" ht="11.25" customHeight="1" x14ac:dyDescent="0.25">
      <c r="A417" s="4" t="s">
        <v>55</v>
      </c>
      <c r="B417" s="4" t="s">
        <v>38</v>
      </c>
      <c r="C417" s="4" t="s">
        <v>40</v>
      </c>
      <c r="D417" s="4" t="s">
        <v>43</v>
      </c>
      <c r="E417" s="4" t="s">
        <v>51</v>
      </c>
      <c r="F417" s="4" t="s">
        <v>25</v>
      </c>
      <c r="G417" s="4" t="s">
        <v>25</v>
      </c>
      <c r="H417" s="4" t="s">
        <v>34</v>
      </c>
      <c r="I417" s="5">
        <v>44682</v>
      </c>
      <c r="J417" s="6">
        <v>0</v>
      </c>
      <c r="K417" s="6">
        <v>0</v>
      </c>
      <c r="L417" s="6">
        <v>0.33300000000000002</v>
      </c>
      <c r="M417" s="6">
        <v>0.31968000000000002</v>
      </c>
      <c r="N417" s="6">
        <v>0.33300000000000002</v>
      </c>
      <c r="O417" s="6">
        <v>0.31968000000000002</v>
      </c>
      <c r="P417" s="6">
        <v>0</v>
      </c>
      <c r="Q417" s="4" t="s">
        <v>26</v>
      </c>
      <c r="R417" s="4">
        <v>0</v>
      </c>
      <c r="S417" s="4" t="s">
        <v>170</v>
      </c>
      <c r="T417" s="4" t="s">
        <v>375</v>
      </c>
      <c r="U417" s="4">
        <v>0</v>
      </c>
      <c r="V417" s="4">
        <v>14</v>
      </c>
      <c r="W417" s="4">
        <v>42</v>
      </c>
    </row>
    <row r="418" spans="1:23" ht="11.25" customHeight="1" x14ac:dyDescent="0.25">
      <c r="A418" s="4" t="s">
        <v>56</v>
      </c>
      <c r="B418" s="4" t="s">
        <v>38</v>
      </c>
      <c r="C418" s="4" t="s">
        <v>40</v>
      </c>
      <c r="D418" s="4" t="s">
        <v>43</v>
      </c>
      <c r="E418" s="4" t="s">
        <v>51</v>
      </c>
      <c r="F418" s="4" t="s">
        <v>25</v>
      </c>
      <c r="G418" s="4" t="s">
        <v>25</v>
      </c>
      <c r="H418" s="4" t="s">
        <v>34</v>
      </c>
      <c r="I418" s="5">
        <v>44713</v>
      </c>
      <c r="J418" s="6">
        <v>0</v>
      </c>
      <c r="K418" s="6">
        <v>0</v>
      </c>
      <c r="L418" s="6">
        <v>15.609</v>
      </c>
      <c r="M418" s="6">
        <v>14.984640000000001</v>
      </c>
      <c r="N418" s="6">
        <v>15.609</v>
      </c>
      <c r="O418" s="6">
        <v>14.984640000000001</v>
      </c>
      <c r="P418" s="6">
        <v>0</v>
      </c>
      <c r="Q418" s="4" t="s">
        <v>26</v>
      </c>
      <c r="R418" s="4">
        <v>0</v>
      </c>
      <c r="S418" s="4" t="s">
        <v>171</v>
      </c>
      <c r="T418" s="4" t="s">
        <v>376</v>
      </c>
      <c r="U418" s="4">
        <v>0</v>
      </c>
      <c r="V418" s="4">
        <v>14</v>
      </c>
      <c r="W418" s="4">
        <v>42</v>
      </c>
    </row>
    <row r="419" spans="1:23" ht="11.25" customHeight="1" x14ac:dyDescent="0.25">
      <c r="A419" s="4" t="s">
        <v>56</v>
      </c>
      <c r="B419" s="4" t="s">
        <v>38</v>
      </c>
      <c r="C419" s="4" t="s">
        <v>40</v>
      </c>
      <c r="D419" s="4" t="s">
        <v>43</v>
      </c>
      <c r="E419" s="4" t="s">
        <v>51</v>
      </c>
      <c r="F419" s="4" t="s">
        <v>25</v>
      </c>
      <c r="G419" s="4" t="s">
        <v>25</v>
      </c>
      <c r="H419" s="4" t="s">
        <v>34</v>
      </c>
      <c r="I419" s="5">
        <v>44713</v>
      </c>
      <c r="J419" s="6">
        <v>0</v>
      </c>
      <c r="K419" s="6">
        <v>0</v>
      </c>
      <c r="L419" s="6">
        <v>0.33300000000000002</v>
      </c>
      <c r="M419" s="6">
        <v>0.31968000000000002</v>
      </c>
      <c r="N419" s="6">
        <v>0.33300000000000002</v>
      </c>
      <c r="O419" s="6">
        <v>0.31968000000000002</v>
      </c>
      <c r="P419" s="6">
        <v>0</v>
      </c>
      <c r="Q419" s="4" t="s">
        <v>26</v>
      </c>
      <c r="R419" s="4">
        <v>0</v>
      </c>
      <c r="S419" s="4" t="s">
        <v>171</v>
      </c>
      <c r="T419" s="4" t="s">
        <v>376</v>
      </c>
      <c r="U419" s="4">
        <v>0</v>
      </c>
      <c r="V419" s="4">
        <v>14</v>
      </c>
      <c r="W419" s="4">
        <v>42</v>
      </c>
    </row>
    <row r="420" spans="1:23" ht="11.25" customHeight="1" x14ac:dyDescent="0.25">
      <c r="A420" s="4" t="s">
        <v>21</v>
      </c>
      <c r="B420" s="4" t="s">
        <v>38</v>
      </c>
      <c r="C420" s="4" t="s">
        <v>40</v>
      </c>
      <c r="D420" s="4" t="s">
        <v>43</v>
      </c>
      <c r="E420" s="4" t="s">
        <v>51</v>
      </c>
      <c r="F420" s="4" t="s">
        <v>25</v>
      </c>
      <c r="G420" s="4" t="s">
        <v>25</v>
      </c>
      <c r="H420" s="4" t="s">
        <v>25</v>
      </c>
      <c r="I420" s="5">
        <v>44378</v>
      </c>
      <c r="J420" s="6">
        <v>450</v>
      </c>
      <c r="K420" s="6">
        <v>432</v>
      </c>
      <c r="L420" s="6">
        <v>0</v>
      </c>
      <c r="M420" s="6">
        <v>0</v>
      </c>
      <c r="N420" s="6">
        <v>0</v>
      </c>
      <c r="O420" s="6">
        <v>0</v>
      </c>
      <c r="P420" s="6">
        <v>8</v>
      </c>
      <c r="Q420" s="4" t="s">
        <v>26</v>
      </c>
      <c r="R420" s="4">
        <v>0</v>
      </c>
      <c r="S420" s="4" t="s">
        <v>172</v>
      </c>
      <c r="U420" s="4">
        <v>18</v>
      </c>
      <c r="V420" s="4">
        <v>0</v>
      </c>
      <c r="W420" s="4">
        <v>0</v>
      </c>
    </row>
    <row r="421" spans="1:23" ht="11.25" customHeight="1" x14ac:dyDescent="0.25">
      <c r="A421" s="4" t="s">
        <v>21</v>
      </c>
      <c r="B421" s="4" t="s">
        <v>38</v>
      </c>
      <c r="C421" s="4" t="s">
        <v>40</v>
      </c>
      <c r="D421" s="4" t="s">
        <v>43</v>
      </c>
      <c r="E421" s="4" t="s">
        <v>51</v>
      </c>
      <c r="F421" s="4" t="s">
        <v>25</v>
      </c>
      <c r="G421" s="4" t="s">
        <v>25</v>
      </c>
      <c r="H421" s="4" t="s">
        <v>25</v>
      </c>
      <c r="I421" s="5">
        <v>44409</v>
      </c>
      <c r="J421" s="6">
        <v>628</v>
      </c>
      <c r="K421" s="6">
        <v>602.88</v>
      </c>
      <c r="L421" s="6">
        <v>0</v>
      </c>
      <c r="M421" s="6">
        <v>0</v>
      </c>
      <c r="N421" s="6">
        <v>0</v>
      </c>
      <c r="O421" s="6">
        <v>0</v>
      </c>
      <c r="P421" s="6">
        <v>8</v>
      </c>
      <c r="Q421" s="4" t="s">
        <v>26</v>
      </c>
      <c r="R421" s="4">
        <v>0</v>
      </c>
      <c r="S421" s="4" t="s">
        <v>173</v>
      </c>
      <c r="U421" s="4">
        <v>18</v>
      </c>
      <c r="V421" s="4">
        <v>0</v>
      </c>
      <c r="W421" s="4">
        <v>0</v>
      </c>
    </row>
    <row r="422" spans="1:23" ht="11.25" customHeight="1" x14ac:dyDescent="0.25">
      <c r="A422" s="4" t="s">
        <v>55</v>
      </c>
      <c r="B422" s="4" t="s">
        <v>38</v>
      </c>
      <c r="C422" s="4" t="s">
        <v>40</v>
      </c>
      <c r="D422" s="4" t="s">
        <v>43</v>
      </c>
      <c r="E422" s="4" t="s">
        <v>51</v>
      </c>
      <c r="F422" s="4" t="s">
        <v>25</v>
      </c>
      <c r="G422" s="4" t="s">
        <v>25</v>
      </c>
      <c r="H422" s="4" t="s">
        <v>25</v>
      </c>
      <c r="I422" s="5">
        <v>44409</v>
      </c>
      <c r="J422" s="6">
        <v>31</v>
      </c>
      <c r="K422" s="6">
        <v>29.759999999999998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4" t="s">
        <v>26</v>
      </c>
      <c r="R422" s="4">
        <v>0</v>
      </c>
      <c r="S422" s="4" t="s">
        <v>173</v>
      </c>
      <c r="U422" s="4">
        <v>18</v>
      </c>
      <c r="V422" s="4">
        <v>0</v>
      </c>
      <c r="W422" s="4">
        <v>0</v>
      </c>
    </row>
    <row r="423" spans="1:23" ht="11.25" customHeight="1" x14ac:dyDescent="0.25">
      <c r="A423" s="4" t="s">
        <v>21</v>
      </c>
      <c r="B423" s="4" t="s">
        <v>38</v>
      </c>
      <c r="C423" s="4" t="s">
        <v>40</v>
      </c>
      <c r="D423" s="4" t="s">
        <v>43</v>
      </c>
      <c r="E423" s="4" t="s">
        <v>51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759</v>
      </c>
      <c r="K423" s="6">
        <v>728.64</v>
      </c>
      <c r="L423" s="6">
        <v>0</v>
      </c>
      <c r="M423" s="6">
        <v>0</v>
      </c>
      <c r="N423" s="6">
        <v>0</v>
      </c>
      <c r="O423" s="6">
        <v>0</v>
      </c>
      <c r="P423" s="6">
        <v>8</v>
      </c>
      <c r="Q423" s="4" t="s">
        <v>26</v>
      </c>
      <c r="R423" s="4">
        <v>0</v>
      </c>
      <c r="S423" s="4" t="s">
        <v>174</v>
      </c>
      <c r="U423" s="4">
        <v>18</v>
      </c>
      <c r="V423" s="4">
        <v>0</v>
      </c>
      <c r="W423" s="4">
        <v>0</v>
      </c>
    </row>
    <row r="424" spans="1:23" ht="11.25" customHeight="1" x14ac:dyDescent="0.25">
      <c r="A424" s="4" t="s">
        <v>55</v>
      </c>
      <c r="B424" s="4" t="s">
        <v>38</v>
      </c>
      <c r="C424" s="4" t="s">
        <v>40</v>
      </c>
      <c r="D424" s="4" t="s">
        <v>43</v>
      </c>
      <c r="E424" s="4" t="s">
        <v>51</v>
      </c>
      <c r="F424" s="4" t="s">
        <v>25</v>
      </c>
      <c r="G424" s="4" t="s">
        <v>25</v>
      </c>
      <c r="H424" s="4" t="s">
        <v>25</v>
      </c>
      <c r="I424" s="5">
        <v>44440</v>
      </c>
      <c r="J424" s="6">
        <v>131</v>
      </c>
      <c r="K424" s="6">
        <v>125.75999999999999</v>
      </c>
      <c r="L424" s="6">
        <v>0</v>
      </c>
      <c r="M424" s="6">
        <v>0</v>
      </c>
      <c r="N424" s="6">
        <v>0</v>
      </c>
      <c r="O424" s="6">
        <v>0</v>
      </c>
      <c r="P424" s="6">
        <v>1</v>
      </c>
      <c r="Q424" s="4" t="s">
        <v>26</v>
      </c>
      <c r="R424" s="4">
        <v>0</v>
      </c>
      <c r="S424" s="4" t="s">
        <v>174</v>
      </c>
      <c r="U424" s="4">
        <v>18</v>
      </c>
      <c r="V424" s="4">
        <v>0</v>
      </c>
      <c r="W424" s="4">
        <v>0</v>
      </c>
    </row>
    <row r="425" spans="1:23" ht="11.25" customHeight="1" x14ac:dyDescent="0.25">
      <c r="A425" s="4" t="s">
        <v>21</v>
      </c>
      <c r="B425" s="4" t="s">
        <v>38</v>
      </c>
      <c r="C425" s="4" t="s">
        <v>40</v>
      </c>
      <c r="D425" s="4" t="s">
        <v>43</v>
      </c>
      <c r="E425" s="4" t="s">
        <v>51</v>
      </c>
      <c r="F425" s="4" t="s">
        <v>25</v>
      </c>
      <c r="G425" s="4" t="s">
        <v>25</v>
      </c>
      <c r="H425" s="4" t="s">
        <v>25</v>
      </c>
      <c r="I425" s="5">
        <v>44470</v>
      </c>
      <c r="J425" s="6">
        <v>1132</v>
      </c>
      <c r="K425" s="6">
        <v>1086.72</v>
      </c>
      <c r="L425" s="6">
        <v>0</v>
      </c>
      <c r="M425" s="6">
        <v>0</v>
      </c>
      <c r="N425" s="6">
        <v>0</v>
      </c>
      <c r="O425" s="6">
        <v>0</v>
      </c>
      <c r="P425" s="6">
        <v>8</v>
      </c>
      <c r="Q425" s="4" t="s">
        <v>26</v>
      </c>
      <c r="R425" s="4">
        <v>0</v>
      </c>
      <c r="S425" s="4" t="s">
        <v>175</v>
      </c>
      <c r="U425" s="4">
        <v>18</v>
      </c>
      <c r="V425" s="4">
        <v>0</v>
      </c>
      <c r="W425" s="4">
        <v>0</v>
      </c>
    </row>
    <row r="426" spans="1:23" ht="11.25" customHeight="1" x14ac:dyDescent="0.25">
      <c r="A426" s="4" t="s">
        <v>55</v>
      </c>
      <c r="B426" s="4" t="s">
        <v>38</v>
      </c>
      <c r="C426" s="4" t="s">
        <v>40</v>
      </c>
      <c r="D426" s="4" t="s">
        <v>43</v>
      </c>
      <c r="E426" s="4" t="s">
        <v>51</v>
      </c>
      <c r="F426" s="4" t="s">
        <v>25</v>
      </c>
      <c r="G426" s="4" t="s">
        <v>25</v>
      </c>
      <c r="H426" s="4" t="s">
        <v>25</v>
      </c>
      <c r="I426" s="5">
        <v>44470</v>
      </c>
      <c r="J426" s="6">
        <v>251</v>
      </c>
      <c r="K426" s="6">
        <v>240.95999999999998</v>
      </c>
      <c r="L426" s="6">
        <v>0</v>
      </c>
      <c r="M426" s="6">
        <v>0</v>
      </c>
      <c r="N426" s="6">
        <v>0</v>
      </c>
      <c r="O426" s="6">
        <v>0</v>
      </c>
      <c r="P426" s="6">
        <v>1</v>
      </c>
      <c r="Q426" s="4" t="s">
        <v>26</v>
      </c>
      <c r="R426" s="4">
        <v>0</v>
      </c>
      <c r="S426" s="4" t="s">
        <v>175</v>
      </c>
      <c r="U426" s="4">
        <v>18</v>
      </c>
      <c r="V426" s="4">
        <v>0</v>
      </c>
      <c r="W426" s="4">
        <v>0</v>
      </c>
    </row>
    <row r="427" spans="1:23" ht="11.25" customHeight="1" x14ac:dyDescent="0.25">
      <c r="A427" s="4" t="s">
        <v>21</v>
      </c>
      <c r="B427" s="4" t="s">
        <v>38</v>
      </c>
      <c r="C427" s="4" t="s">
        <v>40</v>
      </c>
      <c r="D427" s="4" t="s">
        <v>43</v>
      </c>
      <c r="E427" s="4" t="s">
        <v>51</v>
      </c>
      <c r="F427" s="4" t="s">
        <v>25</v>
      </c>
      <c r="G427" s="4" t="s">
        <v>25</v>
      </c>
      <c r="H427" s="4" t="s">
        <v>25</v>
      </c>
      <c r="I427" s="5">
        <v>44501</v>
      </c>
      <c r="J427" s="6">
        <v>2857</v>
      </c>
      <c r="K427" s="6">
        <v>2742.72</v>
      </c>
      <c r="L427" s="6">
        <v>0</v>
      </c>
      <c r="M427" s="6">
        <v>0</v>
      </c>
      <c r="N427" s="6">
        <v>0</v>
      </c>
      <c r="O427" s="6">
        <v>0</v>
      </c>
      <c r="P427" s="6">
        <v>8</v>
      </c>
      <c r="Q427" s="4" t="s">
        <v>26</v>
      </c>
      <c r="R427" s="4">
        <v>0</v>
      </c>
      <c r="S427" s="4" t="s">
        <v>176</v>
      </c>
      <c r="U427" s="4">
        <v>18</v>
      </c>
      <c r="V427" s="4">
        <v>0</v>
      </c>
      <c r="W427" s="4">
        <v>0</v>
      </c>
    </row>
    <row r="428" spans="1:23" ht="11.25" customHeight="1" x14ac:dyDescent="0.25">
      <c r="A428" s="4" t="s">
        <v>55</v>
      </c>
      <c r="B428" s="4" t="s">
        <v>38</v>
      </c>
      <c r="C428" s="4" t="s">
        <v>40</v>
      </c>
      <c r="D428" s="4" t="s">
        <v>43</v>
      </c>
      <c r="E428" s="4" t="s">
        <v>51</v>
      </c>
      <c r="F428" s="4" t="s">
        <v>25</v>
      </c>
      <c r="G428" s="4" t="s">
        <v>25</v>
      </c>
      <c r="H428" s="4" t="s">
        <v>25</v>
      </c>
      <c r="I428" s="5">
        <v>44501</v>
      </c>
      <c r="J428" s="6">
        <v>259</v>
      </c>
      <c r="K428" s="6">
        <v>248.64</v>
      </c>
      <c r="L428" s="6">
        <v>0</v>
      </c>
      <c r="M428" s="6">
        <v>0</v>
      </c>
      <c r="N428" s="6">
        <v>0</v>
      </c>
      <c r="O428" s="6">
        <v>0</v>
      </c>
      <c r="P428" s="6">
        <v>1</v>
      </c>
      <c r="Q428" s="4" t="s">
        <v>26</v>
      </c>
      <c r="R428" s="4">
        <v>0</v>
      </c>
      <c r="S428" s="4" t="s">
        <v>176</v>
      </c>
      <c r="U428" s="4">
        <v>18</v>
      </c>
      <c r="V428" s="4">
        <v>0</v>
      </c>
      <c r="W428" s="4">
        <v>0</v>
      </c>
    </row>
    <row r="429" spans="1:23" ht="11.25" customHeight="1" x14ac:dyDescent="0.25">
      <c r="A429" s="4" t="s">
        <v>21</v>
      </c>
      <c r="B429" s="4" t="s">
        <v>38</v>
      </c>
      <c r="C429" s="4" t="s">
        <v>40</v>
      </c>
      <c r="D429" s="4" t="s">
        <v>43</v>
      </c>
      <c r="E429" s="4" t="s">
        <v>51</v>
      </c>
      <c r="F429" s="4" t="s">
        <v>25</v>
      </c>
      <c r="G429" s="4" t="s">
        <v>25</v>
      </c>
      <c r="H429" s="4" t="s">
        <v>25</v>
      </c>
      <c r="I429" s="5">
        <v>44531</v>
      </c>
      <c r="J429" s="6">
        <v>3618</v>
      </c>
      <c r="K429" s="6">
        <v>3473.28</v>
      </c>
      <c r="L429" s="6">
        <v>0</v>
      </c>
      <c r="M429" s="6">
        <v>0</v>
      </c>
      <c r="N429" s="6">
        <v>0</v>
      </c>
      <c r="O429" s="6">
        <v>0</v>
      </c>
      <c r="P429" s="6">
        <v>8</v>
      </c>
      <c r="Q429" s="4" t="s">
        <v>26</v>
      </c>
      <c r="R429" s="4">
        <v>0</v>
      </c>
      <c r="S429" s="4" t="s">
        <v>177</v>
      </c>
      <c r="U429" s="4">
        <v>18</v>
      </c>
      <c r="V429" s="4">
        <v>0</v>
      </c>
      <c r="W429" s="4">
        <v>0</v>
      </c>
    </row>
    <row r="430" spans="1:23" ht="11.25" customHeight="1" x14ac:dyDescent="0.25">
      <c r="A430" s="4" t="s">
        <v>55</v>
      </c>
      <c r="B430" s="4" t="s">
        <v>38</v>
      </c>
      <c r="C430" s="4" t="s">
        <v>40</v>
      </c>
      <c r="D430" s="4" t="s">
        <v>43</v>
      </c>
      <c r="E430" s="4" t="s">
        <v>51</v>
      </c>
      <c r="F430" s="4" t="s">
        <v>25</v>
      </c>
      <c r="G430" s="4" t="s">
        <v>25</v>
      </c>
      <c r="H430" s="4" t="s">
        <v>25</v>
      </c>
      <c r="I430" s="5">
        <v>44531</v>
      </c>
      <c r="J430" s="6">
        <v>254</v>
      </c>
      <c r="K430" s="6">
        <v>243.84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4" t="s">
        <v>26</v>
      </c>
      <c r="R430" s="4">
        <v>0</v>
      </c>
      <c r="S430" s="4" t="s">
        <v>177</v>
      </c>
      <c r="U430" s="4">
        <v>18</v>
      </c>
      <c r="V430" s="4">
        <v>0</v>
      </c>
      <c r="W430" s="4">
        <v>0</v>
      </c>
    </row>
    <row r="431" spans="1:23" ht="11.25" customHeight="1" x14ac:dyDescent="0.25">
      <c r="A431" s="4" t="s">
        <v>21</v>
      </c>
      <c r="B431" s="4" t="s">
        <v>38</v>
      </c>
      <c r="C431" s="4" t="s">
        <v>40</v>
      </c>
      <c r="D431" s="4" t="s">
        <v>43</v>
      </c>
      <c r="E431" s="4" t="s">
        <v>51</v>
      </c>
      <c r="F431" s="4" t="s">
        <v>25</v>
      </c>
      <c r="G431" s="4" t="s">
        <v>25</v>
      </c>
      <c r="H431" s="4" t="s">
        <v>25</v>
      </c>
      <c r="I431" s="5">
        <v>44562</v>
      </c>
      <c r="J431" s="6">
        <v>3650</v>
      </c>
      <c r="K431" s="6">
        <v>3504</v>
      </c>
      <c r="L431" s="6">
        <v>0</v>
      </c>
      <c r="M431" s="6">
        <v>0</v>
      </c>
      <c r="N431" s="6">
        <v>0</v>
      </c>
      <c r="O431" s="6">
        <v>0</v>
      </c>
      <c r="P431" s="6">
        <v>8</v>
      </c>
      <c r="Q431" s="4" t="s">
        <v>26</v>
      </c>
      <c r="R431" s="4">
        <v>0</v>
      </c>
      <c r="S431" s="4" t="s">
        <v>178</v>
      </c>
      <c r="U431" s="4">
        <v>18</v>
      </c>
      <c r="V431" s="4">
        <v>0</v>
      </c>
      <c r="W431" s="4">
        <v>0</v>
      </c>
    </row>
    <row r="432" spans="1:23" ht="11.25" customHeight="1" x14ac:dyDescent="0.25">
      <c r="A432" s="4" t="s">
        <v>55</v>
      </c>
      <c r="B432" s="4" t="s">
        <v>38</v>
      </c>
      <c r="C432" s="4" t="s">
        <v>40</v>
      </c>
      <c r="D432" s="4" t="s">
        <v>43</v>
      </c>
      <c r="E432" s="4" t="s">
        <v>51</v>
      </c>
      <c r="F432" s="4" t="s">
        <v>25</v>
      </c>
      <c r="G432" s="4" t="s">
        <v>25</v>
      </c>
      <c r="H432" s="4" t="s">
        <v>25</v>
      </c>
      <c r="I432" s="5">
        <v>44562</v>
      </c>
      <c r="J432" s="6">
        <v>154</v>
      </c>
      <c r="K432" s="6">
        <v>147.84</v>
      </c>
      <c r="L432" s="6">
        <v>0</v>
      </c>
      <c r="M432" s="6">
        <v>0</v>
      </c>
      <c r="N432" s="6">
        <v>0</v>
      </c>
      <c r="O432" s="6">
        <v>0</v>
      </c>
      <c r="P432" s="6">
        <v>1</v>
      </c>
      <c r="Q432" s="4" t="s">
        <v>26</v>
      </c>
      <c r="R432" s="4">
        <v>0</v>
      </c>
      <c r="S432" s="4" t="s">
        <v>178</v>
      </c>
      <c r="U432" s="4">
        <v>18</v>
      </c>
      <c r="V432" s="4">
        <v>0</v>
      </c>
      <c r="W432" s="4">
        <v>0</v>
      </c>
    </row>
    <row r="433" spans="1:23" ht="11.25" customHeight="1" x14ac:dyDescent="0.25">
      <c r="A433" s="4" t="s">
        <v>21</v>
      </c>
      <c r="B433" s="4" t="s">
        <v>38</v>
      </c>
      <c r="C433" s="4" t="s">
        <v>40</v>
      </c>
      <c r="D433" s="4" t="s">
        <v>43</v>
      </c>
      <c r="E433" s="4" t="s">
        <v>51</v>
      </c>
      <c r="F433" s="4" t="s">
        <v>25</v>
      </c>
      <c r="G433" s="4" t="s">
        <v>25</v>
      </c>
      <c r="H433" s="4" t="s">
        <v>25</v>
      </c>
      <c r="I433" s="5">
        <v>44593</v>
      </c>
      <c r="J433" s="6">
        <v>3033</v>
      </c>
      <c r="K433" s="6">
        <v>2911.68</v>
      </c>
      <c r="L433" s="6">
        <v>0</v>
      </c>
      <c r="M433" s="6">
        <v>0</v>
      </c>
      <c r="N433" s="6">
        <v>0</v>
      </c>
      <c r="O433" s="6">
        <v>0</v>
      </c>
      <c r="P433" s="6">
        <v>8</v>
      </c>
      <c r="Q433" s="4" t="s">
        <v>26</v>
      </c>
      <c r="R433" s="4">
        <v>0</v>
      </c>
      <c r="S433" s="4" t="s">
        <v>179</v>
      </c>
      <c r="U433" s="4">
        <v>18</v>
      </c>
      <c r="V433" s="4">
        <v>0</v>
      </c>
      <c r="W433" s="4">
        <v>0</v>
      </c>
    </row>
    <row r="434" spans="1:23" ht="11.25" customHeight="1" x14ac:dyDescent="0.25">
      <c r="A434" s="4" t="s">
        <v>55</v>
      </c>
      <c r="B434" s="4" t="s">
        <v>38</v>
      </c>
      <c r="C434" s="4" t="s">
        <v>40</v>
      </c>
      <c r="D434" s="4" t="s">
        <v>43</v>
      </c>
      <c r="E434" s="4" t="s">
        <v>51</v>
      </c>
      <c r="F434" s="4" t="s">
        <v>25</v>
      </c>
      <c r="G434" s="4" t="s">
        <v>25</v>
      </c>
      <c r="H434" s="4" t="s">
        <v>25</v>
      </c>
      <c r="I434" s="5">
        <v>44593</v>
      </c>
      <c r="J434" s="6">
        <v>149</v>
      </c>
      <c r="K434" s="6">
        <v>143.04</v>
      </c>
      <c r="L434" s="6">
        <v>0</v>
      </c>
      <c r="M434" s="6">
        <v>0</v>
      </c>
      <c r="N434" s="6">
        <v>0</v>
      </c>
      <c r="O434" s="6">
        <v>0</v>
      </c>
      <c r="P434" s="6">
        <v>1</v>
      </c>
      <c r="Q434" s="4" t="s">
        <v>26</v>
      </c>
      <c r="R434" s="4">
        <v>0</v>
      </c>
      <c r="S434" s="4" t="s">
        <v>179</v>
      </c>
      <c r="U434" s="4">
        <v>18</v>
      </c>
      <c r="V434" s="4">
        <v>0</v>
      </c>
      <c r="W434" s="4">
        <v>0</v>
      </c>
    </row>
    <row r="435" spans="1:23" ht="11.25" customHeight="1" x14ac:dyDescent="0.25">
      <c r="A435" s="4" t="s">
        <v>21</v>
      </c>
      <c r="B435" s="4" t="s">
        <v>38</v>
      </c>
      <c r="C435" s="4" t="s">
        <v>40</v>
      </c>
      <c r="D435" s="4" t="s">
        <v>43</v>
      </c>
      <c r="E435" s="4" t="s">
        <v>51</v>
      </c>
      <c r="F435" s="4" t="s">
        <v>25</v>
      </c>
      <c r="G435" s="4" t="s">
        <v>25</v>
      </c>
      <c r="H435" s="4" t="s">
        <v>25</v>
      </c>
      <c r="I435" s="5">
        <v>44621</v>
      </c>
      <c r="J435" s="6">
        <v>1042</v>
      </c>
      <c r="K435" s="6">
        <v>1000.32</v>
      </c>
      <c r="L435" s="6">
        <v>0</v>
      </c>
      <c r="M435" s="6">
        <v>0</v>
      </c>
      <c r="N435" s="6">
        <v>0</v>
      </c>
      <c r="O435" s="6">
        <v>0</v>
      </c>
      <c r="P435" s="6">
        <v>8</v>
      </c>
      <c r="Q435" s="4" t="s">
        <v>26</v>
      </c>
      <c r="R435" s="4">
        <v>0</v>
      </c>
      <c r="S435" s="4" t="s">
        <v>180</v>
      </c>
      <c r="U435" s="4">
        <v>18</v>
      </c>
      <c r="V435" s="4">
        <v>0</v>
      </c>
      <c r="W435" s="4">
        <v>0</v>
      </c>
    </row>
    <row r="436" spans="1:23" ht="11.25" customHeight="1" x14ac:dyDescent="0.25">
      <c r="A436" s="4" t="s">
        <v>55</v>
      </c>
      <c r="B436" s="4" t="s">
        <v>38</v>
      </c>
      <c r="C436" s="4" t="s">
        <v>40</v>
      </c>
      <c r="D436" s="4" t="s">
        <v>43</v>
      </c>
      <c r="E436" s="4" t="s">
        <v>51</v>
      </c>
      <c r="F436" s="4" t="s">
        <v>25</v>
      </c>
      <c r="G436" s="4" t="s">
        <v>25</v>
      </c>
      <c r="H436" s="4" t="s">
        <v>25</v>
      </c>
      <c r="I436" s="5">
        <v>44621</v>
      </c>
      <c r="J436" s="6">
        <v>31</v>
      </c>
      <c r="K436" s="6">
        <v>29.759999999999998</v>
      </c>
      <c r="L436" s="6">
        <v>0</v>
      </c>
      <c r="M436" s="6">
        <v>0</v>
      </c>
      <c r="N436" s="6">
        <v>0</v>
      </c>
      <c r="O436" s="6">
        <v>0</v>
      </c>
      <c r="P436" s="6">
        <v>1</v>
      </c>
      <c r="Q436" s="4" t="s">
        <v>26</v>
      </c>
      <c r="R436" s="4">
        <v>0</v>
      </c>
      <c r="S436" s="4" t="s">
        <v>180</v>
      </c>
      <c r="U436" s="4">
        <v>18</v>
      </c>
      <c r="V436" s="4">
        <v>0</v>
      </c>
      <c r="W436" s="4">
        <v>0</v>
      </c>
    </row>
    <row r="437" spans="1:23" ht="11.25" customHeight="1" x14ac:dyDescent="0.25">
      <c r="A437" s="4" t="s">
        <v>21</v>
      </c>
      <c r="B437" s="4" t="s">
        <v>38</v>
      </c>
      <c r="C437" s="4" t="s">
        <v>40</v>
      </c>
      <c r="D437" s="4" t="s">
        <v>43</v>
      </c>
      <c r="E437" s="4" t="s">
        <v>51</v>
      </c>
      <c r="F437" s="4" t="s">
        <v>25</v>
      </c>
      <c r="G437" s="4" t="s">
        <v>25</v>
      </c>
      <c r="H437" s="4" t="s">
        <v>25</v>
      </c>
      <c r="I437" s="5">
        <v>44652</v>
      </c>
      <c r="J437" s="6">
        <v>443</v>
      </c>
      <c r="K437" s="6">
        <v>425.28</v>
      </c>
      <c r="L437" s="6">
        <v>0</v>
      </c>
      <c r="M437" s="6">
        <v>0</v>
      </c>
      <c r="N437" s="6">
        <v>0</v>
      </c>
      <c r="O437" s="6">
        <v>0</v>
      </c>
      <c r="P437" s="6">
        <v>8</v>
      </c>
      <c r="Q437" s="4" t="s">
        <v>26</v>
      </c>
      <c r="R437" s="4">
        <v>0</v>
      </c>
      <c r="S437" s="4" t="s">
        <v>181</v>
      </c>
      <c r="U437" s="4">
        <v>18</v>
      </c>
      <c r="V437" s="4">
        <v>0</v>
      </c>
      <c r="W437" s="4">
        <v>0</v>
      </c>
    </row>
    <row r="438" spans="1:23" ht="11.25" customHeight="1" x14ac:dyDescent="0.25">
      <c r="A438" s="4" t="s">
        <v>55</v>
      </c>
      <c r="B438" s="4" t="s">
        <v>38</v>
      </c>
      <c r="C438" s="4" t="s">
        <v>40</v>
      </c>
      <c r="D438" s="4" t="s">
        <v>43</v>
      </c>
      <c r="E438" s="4" t="s">
        <v>51</v>
      </c>
      <c r="F438" s="4" t="s">
        <v>25</v>
      </c>
      <c r="G438" s="4" t="s">
        <v>25</v>
      </c>
      <c r="H438" s="4" t="s">
        <v>25</v>
      </c>
      <c r="I438" s="5">
        <v>44652</v>
      </c>
      <c r="J438" s="6">
        <v>30</v>
      </c>
      <c r="K438" s="6">
        <v>28.799999999999997</v>
      </c>
      <c r="L438" s="6">
        <v>0</v>
      </c>
      <c r="M438" s="6">
        <v>0</v>
      </c>
      <c r="N438" s="6">
        <v>0</v>
      </c>
      <c r="O438" s="6">
        <v>0</v>
      </c>
      <c r="P438" s="6">
        <v>1</v>
      </c>
      <c r="Q438" s="4" t="s">
        <v>26</v>
      </c>
      <c r="R438" s="4">
        <v>0</v>
      </c>
      <c r="S438" s="4" t="s">
        <v>181</v>
      </c>
      <c r="U438" s="4">
        <v>18</v>
      </c>
      <c r="V438" s="4">
        <v>0</v>
      </c>
      <c r="W438" s="4">
        <v>0</v>
      </c>
    </row>
    <row r="439" spans="1:23" ht="11.25" customHeight="1" x14ac:dyDescent="0.25">
      <c r="A439" s="4" t="s">
        <v>21</v>
      </c>
      <c r="B439" s="4" t="s">
        <v>38</v>
      </c>
      <c r="C439" s="4" t="s">
        <v>40</v>
      </c>
      <c r="D439" s="4" t="s">
        <v>43</v>
      </c>
      <c r="E439" s="4" t="s">
        <v>51</v>
      </c>
      <c r="F439" s="4" t="s">
        <v>25</v>
      </c>
      <c r="G439" s="4" t="s">
        <v>25</v>
      </c>
      <c r="H439" s="4" t="s">
        <v>25</v>
      </c>
      <c r="I439" s="5">
        <v>44682</v>
      </c>
      <c r="J439" s="6">
        <v>642</v>
      </c>
      <c r="K439" s="6">
        <v>616.32000000000005</v>
      </c>
      <c r="L439" s="6">
        <v>0</v>
      </c>
      <c r="M439" s="6">
        <v>0</v>
      </c>
      <c r="N439" s="6">
        <v>0</v>
      </c>
      <c r="O439" s="6">
        <v>0</v>
      </c>
      <c r="P439" s="6">
        <v>8</v>
      </c>
      <c r="Q439" s="4" t="s">
        <v>26</v>
      </c>
      <c r="R439" s="4">
        <v>0</v>
      </c>
      <c r="S439" s="4" t="s">
        <v>182</v>
      </c>
      <c r="U439" s="4">
        <v>18</v>
      </c>
      <c r="V439" s="4">
        <v>0</v>
      </c>
      <c r="W439" s="4">
        <v>0</v>
      </c>
    </row>
    <row r="440" spans="1:23" ht="11.25" customHeight="1" x14ac:dyDescent="0.25">
      <c r="A440" s="4" t="s">
        <v>55</v>
      </c>
      <c r="B440" s="4" t="s">
        <v>38</v>
      </c>
      <c r="C440" s="4" t="s">
        <v>40</v>
      </c>
      <c r="D440" s="4" t="s">
        <v>43</v>
      </c>
      <c r="E440" s="4" t="s">
        <v>51</v>
      </c>
      <c r="F440" s="4" t="s">
        <v>25</v>
      </c>
      <c r="G440" s="4" t="s">
        <v>25</v>
      </c>
      <c r="H440" s="4" t="s">
        <v>25</v>
      </c>
      <c r="I440" s="5">
        <v>44682</v>
      </c>
      <c r="J440" s="6">
        <v>26</v>
      </c>
      <c r="K440" s="6">
        <v>24.96</v>
      </c>
      <c r="L440" s="6">
        <v>0</v>
      </c>
      <c r="M440" s="6">
        <v>0</v>
      </c>
      <c r="N440" s="6">
        <v>0</v>
      </c>
      <c r="O440" s="6">
        <v>0</v>
      </c>
      <c r="P440" s="6">
        <v>1</v>
      </c>
      <c r="Q440" s="4" t="s">
        <v>26</v>
      </c>
      <c r="R440" s="4">
        <v>0</v>
      </c>
      <c r="S440" s="4" t="s">
        <v>182</v>
      </c>
      <c r="U440" s="4">
        <v>18</v>
      </c>
      <c r="V440" s="4">
        <v>0</v>
      </c>
      <c r="W440" s="4">
        <v>0</v>
      </c>
    </row>
    <row r="441" spans="1:23" ht="11.25" customHeight="1" x14ac:dyDescent="0.25">
      <c r="A441" s="4" t="s">
        <v>56</v>
      </c>
      <c r="B441" s="4" t="s">
        <v>38</v>
      </c>
      <c r="C441" s="4" t="s">
        <v>40</v>
      </c>
      <c r="D441" s="4" t="s">
        <v>43</v>
      </c>
      <c r="E441" s="4" t="s">
        <v>51</v>
      </c>
      <c r="F441" s="4" t="s">
        <v>25</v>
      </c>
      <c r="G441" s="4" t="s">
        <v>25</v>
      </c>
      <c r="H441" s="4" t="s">
        <v>25</v>
      </c>
      <c r="I441" s="5">
        <v>44713</v>
      </c>
      <c r="J441" s="6">
        <v>642</v>
      </c>
      <c r="K441" s="6">
        <v>616.32000000000005</v>
      </c>
      <c r="L441" s="6">
        <v>0</v>
      </c>
      <c r="M441" s="6">
        <v>0</v>
      </c>
      <c r="N441" s="6">
        <v>0</v>
      </c>
      <c r="O441" s="6">
        <v>0</v>
      </c>
      <c r="P441" s="6">
        <v>8</v>
      </c>
      <c r="Q441" s="4" t="s">
        <v>26</v>
      </c>
      <c r="R441" s="4">
        <v>0</v>
      </c>
      <c r="S441" s="4" t="s">
        <v>183</v>
      </c>
      <c r="U441" s="4">
        <v>18</v>
      </c>
      <c r="V441" s="4">
        <v>0</v>
      </c>
      <c r="W441" s="4">
        <v>0</v>
      </c>
    </row>
    <row r="442" spans="1:23" ht="11.25" customHeight="1" x14ac:dyDescent="0.25">
      <c r="A442" s="4" t="s">
        <v>56</v>
      </c>
      <c r="B442" s="4" t="s">
        <v>38</v>
      </c>
      <c r="C442" s="4" t="s">
        <v>40</v>
      </c>
      <c r="D442" s="4" t="s">
        <v>43</v>
      </c>
      <c r="E442" s="4" t="s">
        <v>51</v>
      </c>
      <c r="F442" s="4" t="s">
        <v>25</v>
      </c>
      <c r="G442" s="4" t="s">
        <v>25</v>
      </c>
      <c r="H442" s="4" t="s">
        <v>25</v>
      </c>
      <c r="I442" s="5">
        <v>44713</v>
      </c>
      <c r="J442" s="6">
        <v>26</v>
      </c>
      <c r="K442" s="6">
        <v>24.96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4" t="s">
        <v>26</v>
      </c>
      <c r="R442" s="4">
        <v>0</v>
      </c>
      <c r="S442" s="4" t="s">
        <v>183</v>
      </c>
      <c r="U442" s="4">
        <v>18</v>
      </c>
      <c r="V442" s="4">
        <v>0</v>
      </c>
      <c r="W442" s="4">
        <v>0</v>
      </c>
    </row>
    <row r="443" spans="1:23" ht="11.25" customHeight="1" x14ac:dyDescent="0.25">
      <c r="A443" s="4" t="s">
        <v>21</v>
      </c>
      <c r="B443" s="4" t="s">
        <v>38</v>
      </c>
      <c r="C443" s="4" t="s">
        <v>40</v>
      </c>
      <c r="D443" s="4" t="s">
        <v>43</v>
      </c>
      <c r="E443" s="4" t="s">
        <v>51</v>
      </c>
      <c r="F443" s="4" t="s">
        <v>25</v>
      </c>
      <c r="G443" s="4" t="s">
        <v>25</v>
      </c>
      <c r="H443" s="4" t="s">
        <v>33</v>
      </c>
      <c r="I443" s="5">
        <v>44378</v>
      </c>
      <c r="J443" s="6">
        <v>0</v>
      </c>
      <c r="K443" s="6">
        <v>0</v>
      </c>
      <c r="L443" s="6">
        <v>1.4430000000000001</v>
      </c>
      <c r="M443" s="6">
        <v>1.3852800000000001</v>
      </c>
      <c r="N443" s="6">
        <v>1.4430000000000001</v>
      </c>
      <c r="O443" s="6">
        <v>1.3852800000000001</v>
      </c>
      <c r="P443" s="6">
        <v>0</v>
      </c>
      <c r="Q443" s="4" t="s">
        <v>26</v>
      </c>
      <c r="R443" s="4">
        <v>0</v>
      </c>
      <c r="S443" s="4" t="s">
        <v>184</v>
      </c>
      <c r="T443" s="4" t="s">
        <v>377</v>
      </c>
      <c r="U443" s="4">
        <v>0</v>
      </c>
      <c r="V443" s="4">
        <v>16</v>
      </c>
      <c r="W443" s="4">
        <v>47</v>
      </c>
    </row>
    <row r="444" spans="1:23" ht="11.25" customHeight="1" x14ac:dyDescent="0.25">
      <c r="A444" s="4" t="s">
        <v>21</v>
      </c>
      <c r="B444" s="4" t="s">
        <v>38</v>
      </c>
      <c r="C444" s="4" t="s">
        <v>40</v>
      </c>
      <c r="D444" s="4" t="s">
        <v>43</v>
      </c>
      <c r="E444" s="4" t="s">
        <v>51</v>
      </c>
      <c r="F444" s="4" t="s">
        <v>25</v>
      </c>
      <c r="G444" s="4" t="s">
        <v>25</v>
      </c>
      <c r="H444" s="4" t="s">
        <v>33</v>
      </c>
      <c r="I444" s="5">
        <v>44409</v>
      </c>
      <c r="J444" s="6">
        <v>0</v>
      </c>
      <c r="K444" s="6">
        <v>0</v>
      </c>
      <c r="L444" s="6">
        <v>1.7410000000000001</v>
      </c>
      <c r="M444" s="6">
        <v>1.67136</v>
      </c>
      <c r="N444" s="6">
        <v>1.7410000000000001</v>
      </c>
      <c r="O444" s="6">
        <v>1.67136</v>
      </c>
      <c r="P444" s="6">
        <v>0</v>
      </c>
      <c r="Q444" s="4" t="s">
        <v>26</v>
      </c>
      <c r="R444" s="4">
        <v>0</v>
      </c>
      <c r="S444" s="4" t="s">
        <v>185</v>
      </c>
      <c r="T444" s="4" t="s">
        <v>378</v>
      </c>
      <c r="U444" s="4">
        <v>0</v>
      </c>
      <c r="V444" s="4">
        <v>16</v>
      </c>
      <c r="W444" s="4">
        <v>47</v>
      </c>
    </row>
    <row r="445" spans="1:23" ht="11.25" customHeight="1" x14ac:dyDescent="0.25">
      <c r="A445" s="4" t="s">
        <v>55</v>
      </c>
      <c r="B445" s="4" t="s">
        <v>38</v>
      </c>
      <c r="C445" s="4" t="s">
        <v>40</v>
      </c>
      <c r="D445" s="4" t="s">
        <v>43</v>
      </c>
      <c r="E445" s="4" t="s">
        <v>51</v>
      </c>
      <c r="F445" s="4" t="s">
        <v>25</v>
      </c>
      <c r="G445" s="4" t="s">
        <v>25</v>
      </c>
      <c r="H445" s="4" t="s">
        <v>33</v>
      </c>
      <c r="I445" s="5">
        <v>44409</v>
      </c>
      <c r="J445" s="6">
        <v>0</v>
      </c>
      <c r="K445" s="6">
        <v>0</v>
      </c>
      <c r="L445" s="6">
        <v>7.6999999999999999E-2</v>
      </c>
      <c r="M445" s="6">
        <v>7.392E-2</v>
      </c>
      <c r="N445" s="6">
        <v>7.6999999999999999E-2</v>
      </c>
      <c r="O445" s="6">
        <v>7.392E-2</v>
      </c>
      <c r="P445" s="6">
        <v>0</v>
      </c>
      <c r="Q445" s="4" t="s">
        <v>26</v>
      </c>
      <c r="R445" s="4">
        <v>0</v>
      </c>
      <c r="S445" s="4" t="s">
        <v>185</v>
      </c>
      <c r="T445" s="4" t="s">
        <v>378</v>
      </c>
      <c r="U445" s="4">
        <v>0</v>
      </c>
      <c r="V445" s="4">
        <v>16</v>
      </c>
      <c r="W445" s="4">
        <v>47</v>
      </c>
    </row>
    <row r="446" spans="1:23" ht="11.25" customHeight="1" x14ac:dyDescent="0.25">
      <c r="A446" s="4" t="s">
        <v>21</v>
      </c>
      <c r="B446" s="4" t="s">
        <v>38</v>
      </c>
      <c r="C446" s="4" t="s">
        <v>40</v>
      </c>
      <c r="D446" s="4" t="s">
        <v>43</v>
      </c>
      <c r="E446" s="4" t="s">
        <v>51</v>
      </c>
      <c r="F446" s="4" t="s">
        <v>25</v>
      </c>
      <c r="G446" s="4" t="s">
        <v>25</v>
      </c>
      <c r="H446" s="4" t="s">
        <v>33</v>
      </c>
      <c r="I446" s="5">
        <v>44440</v>
      </c>
      <c r="J446" s="6">
        <v>0</v>
      </c>
      <c r="K446" s="6">
        <v>0</v>
      </c>
      <c r="L446" s="6">
        <v>1.625</v>
      </c>
      <c r="M446" s="6">
        <v>1.56</v>
      </c>
      <c r="N446" s="6">
        <v>1.625</v>
      </c>
      <c r="O446" s="6">
        <v>1.56</v>
      </c>
      <c r="P446" s="6">
        <v>0</v>
      </c>
      <c r="Q446" s="4" t="s">
        <v>26</v>
      </c>
      <c r="R446" s="4">
        <v>0</v>
      </c>
      <c r="S446" s="4" t="s">
        <v>186</v>
      </c>
      <c r="T446" s="4" t="s">
        <v>379</v>
      </c>
      <c r="U446" s="4">
        <v>0</v>
      </c>
      <c r="V446" s="4">
        <v>16</v>
      </c>
      <c r="W446" s="4">
        <v>47</v>
      </c>
    </row>
    <row r="447" spans="1:23" ht="11.25" customHeight="1" x14ac:dyDescent="0.25">
      <c r="A447" s="4" t="s">
        <v>55</v>
      </c>
      <c r="B447" s="4" t="s">
        <v>38</v>
      </c>
      <c r="C447" s="4" t="s">
        <v>40</v>
      </c>
      <c r="D447" s="4" t="s">
        <v>43</v>
      </c>
      <c r="E447" s="4" t="s">
        <v>51</v>
      </c>
      <c r="F447" s="4" t="s">
        <v>25</v>
      </c>
      <c r="G447" s="4" t="s">
        <v>25</v>
      </c>
      <c r="H447" s="4" t="s">
        <v>33</v>
      </c>
      <c r="I447" s="5">
        <v>44440</v>
      </c>
      <c r="J447" s="6">
        <v>0</v>
      </c>
      <c r="K447" s="6">
        <v>0</v>
      </c>
      <c r="L447" s="6">
        <v>0.16700000000000001</v>
      </c>
      <c r="M447" s="6">
        <v>0.16031999999999999</v>
      </c>
      <c r="N447" s="6">
        <v>0.16700000000000001</v>
      </c>
      <c r="O447" s="6">
        <v>0.16031999999999999</v>
      </c>
      <c r="P447" s="6">
        <v>0</v>
      </c>
      <c r="Q447" s="4" t="s">
        <v>26</v>
      </c>
      <c r="R447" s="4">
        <v>0</v>
      </c>
      <c r="S447" s="4" t="s">
        <v>186</v>
      </c>
      <c r="T447" s="4" t="s">
        <v>379</v>
      </c>
      <c r="U447" s="4">
        <v>0</v>
      </c>
      <c r="V447" s="4">
        <v>16</v>
      </c>
      <c r="W447" s="4">
        <v>47</v>
      </c>
    </row>
    <row r="448" spans="1:23" ht="11.25" customHeight="1" x14ac:dyDescent="0.25">
      <c r="A448" s="4" t="s">
        <v>21</v>
      </c>
      <c r="B448" s="4" t="s">
        <v>38</v>
      </c>
      <c r="C448" s="4" t="s">
        <v>40</v>
      </c>
      <c r="D448" s="4" t="s">
        <v>43</v>
      </c>
      <c r="E448" s="4" t="s">
        <v>51</v>
      </c>
      <c r="F448" s="4" t="s">
        <v>25</v>
      </c>
      <c r="G448" s="4" t="s">
        <v>25</v>
      </c>
      <c r="H448" s="4" t="s">
        <v>33</v>
      </c>
      <c r="I448" s="5">
        <v>44470</v>
      </c>
      <c r="J448" s="6">
        <v>0</v>
      </c>
      <c r="K448" s="6">
        <v>0</v>
      </c>
      <c r="L448" s="6">
        <v>1.6020000000000001</v>
      </c>
      <c r="M448" s="6">
        <v>1.53792</v>
      </c>
      <c r="N448" s="6">
        <v>1.6020000000000001</v>
      </c>
      <c r="O448" s="6">
        <v>1.53792</v>
      </c>
      <c r="P448" s="6">
        <v>0</v>
      </c>
      <c r="Q448" s="4" t="s">
        <v>26</v>
      </c>
      <c r="R448" s="4">
        <v>0</v>
      </c>
      <c r="S448" s="4" t="s">
        <v>187</v>
      </c>
      <c r="T448" s="4" t="s">
        <v>380</v>
      </c>
      <c r="U448" s="4">
        <v>0</v>
      </c>
      <c r="V448" s="4">
        <v>16</v>
      </c>
      <c r="W448" s="4">
        <v>47</v>
      </c>
    </row>
    <row r="449" spans="1:23" ht="11.25" customHeight="1" x14ac:dyDescent="0.25">
      <c r="A449" s="4" t="s">
        <v>55</v>
      </c>
      <c r="B449" s="4" t="s">
        <v>38</v>
      </c>
      <c r="C449" s="4" t="s">
        <v>40</v>
      </c>
      <c r="D449" s="4" t="s">
        <v>43</v>
      </c>
      <c r="E449" s="4" t="s">
        <v>51</v>
      </c>
      <c r="F449" s="4" t="s">
        <v>25</v>
      </c>
      <c r="G449" s="4" t="s">
        <v>25</v>
      </c>
      <c r="H449" s="4" t="s">
        <v>33</v>
      </c>
      <c r="I449" s="5">
        <v>44470</v>
      </c>
      <c r="J449" s="6">
        <v>0</v>
      </c>
      <c r="K449" s="6">
        <v>0</v>
      </c>
      <c r="L449" s="6">
        <v>0.17499999999999999</v>
      </c>
      <c r="M449" s="6">
        <v>0.16799999999999998</v>
      </c>
      <c r="N449" s="6">
        <v>0.17499999999999999</v>
      </c>
      <c r="O449" s="6">
        <v>0.16799999999999998</v>
      </c>
      <c r="P449" s="6">
        <v>0</v>
      </c>
      <c r="Q449" s="4" t="s">
        <v>26</v>
      </c>
      <c r="R449" s="4">
        <v>0</v>
      </c>
      <c r="S449" s="4" t="s">
        <v>187</v>
      </c>
      <c r="T449" s="4" t="s">
        <v>380</v>
      </c>
      <c r="U449" s="4">
        <v>0</v>
      </c>
      <c r="V449" s="4">
        <v>16</v>
      </c>
      <c r="W449" s="4">
        <v>47</v>
      </c>
    </row>
    <row r="450" spans="1:23" ht="11.25" customHeight="1" x14ac:dyDescent="0.25">
      <c r="A450" s="4" t="s">
        <v>21</v>
      </c>
      <c r="B450" s="4" t="s">
        <v>38</v>
      </c>
      <c r="C450" s="4" t="s">
        <v>40</v>
      </c>
      <c r="D450" s="4" t="s">
        <v>43</v>
      </c>
      <c r="E450" s="4" t="s">
        <v>51</v>
      </c>
      <c r="F450" s="4" t="s">
        <v>25</v>
      </c>
      <c r="G450" s="4" t="s">
        <v>25</v>
      </c>
      <c r="H450" s="4" t="s">
        <v>33</v>
      </c>
      <c r="I450" s="5">
        <v>44501</v>
      </c>
      <c r="J450" s="6">
        <v>0</v>
      </c>
      <c r="K450" s="6">
        <v>0</v>
      </c>
      <c r="L450" s="6">
        <v>3.5369999999999999</v>
      </c>
      <c r="M450" s="6">
        <v>3.3955199999999999</v>
      </c>
      <c r="N450" s="6">
        <v>3.5369999999999999</v>
      </c>
      <c r="O450" s="6">
        <v>3.3955199999999999</v>
      </c>
      <c r="P450" s="6">
        <v>0</v>
      </c>
      <c r="Q450" s="4" t="s">
        <v>26</v>
      </c>
      <c r="R450" s="4">
        <v>0</v>
      </c>
      <c r="S450" s="4" t="s">
        <v>188</v>
      </c>
      <c r="T450" s="4" t="s">
        <v>381</v>
      </c>
      <c r="U450" s="4">
        <v>0</v>
      </c>
      <c r="V450" s="4">
        <v>16</v>
      </c>
      <c r="W450" s="4">
        <v>47</v>
      </c>
    </row>
    <row r="451" spans="1:23" ht="11.25" customHeight="1" x14ac:dyDescent="0.25">
      <c r="A451" s="4" t="s">
        <v>55</v>
      </c>
      <c r="B451" s="4" t="s">
        <v>38</v>
      </c>
      <c r="C451" s="4" t="s">
        <v>40</v>
      </c>
      <c r="D451" s="4" t="s">
        <v>43</v>
      </c>
      <c r="E451" s="4" t="s">
        <v>51</v>
      </c>
      <c r="F451" s="4" t="s">
        <v>25</v>
      </c>
      <c r="G451" s="4" t="s">
        <v>25</v>
      </c>
      <c r="H451" s="4" t="s">
        <v>33</v>
      </c>
      <c r="I451" s="5">
        <v>44501</v>
      </c>
      <c r="J451" s="6">
        <v>0</v>
      </c>
      <c r="K451" s="6">
        <v>0</v>
      </c>
      <c r="L451" s="6">
        <v>1.5620000000000001</v>
      </c>
      <c r="M451" s="6">
        <v>1.49952</v>
      </c>
      <c r="N451" s="6">
        <v>1.5620000000000001</v>
      </c>
      <c r="O451" s="6">
        <v>1.49952</v>
      </c>
      <c r="P451" s="6">
        <v>0</v>
      </c>
      <c r="Q451" s="4" t="s">
        <v>26</v>
      </c>
      <c r="R451" s="4">
        <v>0</v>
      </c>
      <c r="S451" s="4" t="s">
        <v>188</v>
      </c>
      <c r="T451" s="4" t="s">
        <v>381</v>
      </c>
      <c r="U451" s="4">
        <v>0</v>
      </c>
      <c r="V451" s="4">
        <v>16</v>
      </c>
      <c r="W451" s="4">
        <v>47</v>
      </c>
    </row>
    <row r="452" spans="1:23" ht="11.25" customHeight="1" x14ac:dyDescent="0.25">
      <c r="A452" s="4" t="s">
        <v>21</v>
      </c>
      <c r="B452" s="4" t="s">
        <v>38</v>
      </c>
      <c r="C452" s="4" t="s">
        <v>40</v>
      </c>
      <c r="D452" s="4" t="s">
        <v>43</v>
      </c>
      <c r="E452" s="4" t="s">
        <v>51</v>
      </c>
      <c r="F452" s="4" t="s">
        <v>25</v>
      </c>
      <c r="G452" s="4" t="s">
        <v>25</v>
      </c>
      <c r="H452" s="4" t="s">
        <v>33</v>
      </c>
      <c r="I452" s="5">
        <v>44531</v>
      </c>
      <c r="J452" s="6">
        <v>0</v>
      </c>
      <c r="K452" s="6">
        <v>0</v>
      </c>
      <c r="L452" s="6">
        <v>17.158000000000001</v>
      </c>
      <c r="M452" s="6">
        <v>16.471679999999999</v>
      </c>
      <c r="N452" s="6">
        <v>17.158000000000001</v>
      </c>
      <c r="O452" s="6">
        <v>16.471679999999999</v>
      </c>
      <c r="P452" s="6">
        <v>0</v>
      </c>
      <c r="Q452" s="4" t="s">
        <v>26</v>
      </c>
      <c r="R452" s="4">
        <v>0</v>
      </c>
      <c r="S452" s="4" t="s">
        <v>189</v>
      </c>
      <c r="T452" s="4" t="s">
        <v>382</v>
      </c>
      <c r="U452" s="4">
        <v>0</v>
      </c>
      <c r="V452" s="4">
        <v>16</v>
      </c>
      <c r="W452" s="4">
        <v>47</v>
      </c>
    </row>
    <row r="453" spans="1:23" ht="11.25" customHeight="1" x14ac:dyDescent="0.25">
      <c r="A453" s="4" t="s">
        <v>55</v>
      </c>
      <c r="B453" s="4" t="s">
        <v>38</v>
      </c>
      <c r="C453" s="4" t="s">
        <v>40</v>
      </c>
      <c r="D453" s="4" t="s">
        <v>43</v>
      </c>
      <c r="E453" s="4" t="s">
        <v>51</v>
      </c>
      <c r="F453" s="4" t="s">
        <v>25</v>
      </c>
      <c r="G453" s="4" t="s">
        <v>25</v>
      </c>
      <c r="H453" s="4" t="s">
        <v>33</v>
      </c>
      <c r="I453" s="5">
        <v>44531</v>
      </c>
      <c r="J453" s="6">
        <v>0</v>
      </c>
      <c r="K453" s="6">
        <v>0</v>
      </c>
      <c r="L453" s="6">
        <v>1.4259999999999999</v>
      </c>
      <c r="M453" s="6">
        <v>1.36896</v>
      </c>
      <c r="N453" s="6">
        <v>1.4259999999999999</v>
      </c>
      <c r="O453" s="6">
        <v>1.36896</v>
      </c>
      <c r="P453" s="6">
        <v>0</v>
      </c>
      <c r="Q453" s="4" t="s">
        <v>26</v>
      </c>
      <c r="R453" s="4">
        <v>0</v>
      </c>
      <c r="S453" s="4" t="s">
        <v>189</v>
      </c>
      <c r="T453" s="4" t="s">
        <v>382</v>
      </c>
      <c r="U453" s="4">
        <v>0</v>
      </c>
      <c r="V453" s="4">
        <v>16</v>
      </c>
      <c r="W453" s="4">
        <v>47</v>
      </c>
    </row>
    <row r="454" spans="1:23" ht="11.25" customHeight="1" x14ac:dyDescent="0.25">
      <c r="A454" s="4" t="s">
        <v>21</v>
      </c>
      <c r="B454" s="4" t="s">
        <v>38</v>
      </c>
      <c r="C454" s="4" t="s">
        <v>40</v>
      </c>
      <c r="D454" s="4" t="s">
        <v>43</v>
      </c>
      <c r="E454" s="4" t="s">
        <v>51</v>
      </c>
      <c r="F454" s="4" t="s">
        <v>25</v>
      </c>
      <c r="G454" s="4" t="s">
        <v>25</v>
      </c>
      <c r="H454" s="4" t="s">
        <v>33</v>
      </c>
      <c r="I454" s="5">
        <v>44562</v>
      </c>
      <c r="J454" s="6">
        <v>0</v>
      </c>
      <c r="K454" s="6">
        <v>0</v>
      </c>
      <c r="L454" s="6">
        <v>10.287000000000001</v>
      </c>
      <c r="M454" s="6">
        <v>9.8755199999999999</v>
      </c>
      <c r="N454" s="6">
        <v>10.287000000000001</v>
      </c>
      <c r="O454" s="6">
        <v>9.8755199999999999</v>
      </c>
      <c r="P454" s="6">
        <v>0</v>
      </c>
      <c r="Q454" s="4" t="s">
        <v>26</v>
      </c>
      <c r="R454" s="4">
        <v>0</v>
      </c>
      <c r="S454" s="4" t="s">
        <v>190</v>
      </c>
      <c r="T454" s="4" t="s">
        <v>383</v>
      </c>
      <c r="U454" s="4">
        <v>0</v>
      </c>
      <c r="V454" s="4">
        <v>16</v>
      </c>
      <c r="W454" s="4">
        <v>47</v>
      </c>
    </row>
    <row r="455" spans="1:23" ht="11.25" customHeight="1" x14ac:dyDescent="0.25">
      <c r="A455" s="4" t="s">
        <v>55</v>
      </c>
      <c r="B455" s="4" t="s">
        <v>38</v>
      </c>
      <c r="C455" s="4" t="s">
        <v>40</v>
      </c>
      <c r="D455" s="4" t="s">
        <v>43</v>
      </c>
      <c r="E455" s="4" t="s">
        <v>51</v>
      </c>
      <c r="F455" s="4" t="s">
        <v>25</v>
      </c>
      <c r="G455" s="4" t="s">
        <v>25</v>
      </c>
      <c r="H455" s="4" t="s">
        <v>33</v>
      </c>
      <c r="I455" s="5">
        <v>44562</v>
      </c>
      <c r="J455" s="6">
        <v>0</v>
      </c>
      <c r="K455" s="6">
        <v>0</v>
      </c>
      <c r="L455" s="6">
        <v>0.22500000000000001</v>
      </c>
      <c r="M455" s="6">
        <v>0.216</v>
      </c>
      <c r="N455" s="6">
        <v>0.22500000000000001</v>
      </c>
      <c r="O455" s="6">
        <v>0.216</v>
      </c>
      <c r="P455" s="6">
        <v>0</v>
      </c>
      <c r="Q455" s="4" t="s">
        <v>26</v>
      </c>
      <c r="R455" s="4">
        <v>0</v>
      </c>
      <c r="S455" s="4" t="s">
        <v>190</v>
      </c>
      <c r="T455" s="4" t="s">
        <v>383</v>
      </c>
      <c r="U455" s="4">
        <v>0</v>
      </c>
      <c r="V455" s="4">
        <v>16</v>
      </c>
      <c r="W455" s="4">
        <v>47</v>
      </c>
    </row>
    <row r="456" spans="1:23" ht="11.25" customHeight="1" x14ac:dyDescent="0.25">
      <c r="A456" s="4" t="s">
        <v>21</v>
      </c>
      <c r="B456" s="4" t="s">
        <v>38</v>
      </c>
      <c r="C456" s="4" t="s">
        <v>40</v>
      </c>
      <c r="D456" s="4" t="s">
        <v>43</v>
      </c>
      <c r="E456" s="4" t="s">
        <v>51</v>
      </c>
      <c r="F456" s="4" t="s">
        <v>25</v>
      </c>
      <c r="G456" s="4" t="s">
        <v>25</v>
      </c>
      <c r="H456" s="4" t="s">
        <v>33</v>
      </c>
      <c r="I456" s="5">
        <v>44593</v>
      </c>
      <c r="J456" s="6">
        <v>0</v>
      </c>
      <c r="K456" s="6">
        <v>0</v>
      </c>
      <c r="L456" s="6">
        <v>7.0919999999999996</v>
      </c>
      <c r="M456" s="6">
        <v>6.8083200000000001</v>
      </c>
      <c r="N456" s="6">
        <v>7.0919999999999996</v>
      </c>
      <c r="O456" s="6">
        <v>6.8083200000000001</v>
      </c>
      <c r="P456" s="6">
        <v>0</v>
      </c>
      <c r="Q456" s="4" t="s">
        <v>26</v>
      </c>
      <c r="R456" s="4">
        <v>0</v>
      </c>
      <c r="S456" s="4" t="s">
        <v>191</v>
      </c>
      <c r="T456" s="4" t="s">
        <v>384</v>
      </c>
      <c r="U456" s="4">
        <v>0</v>
      </c>
      <c r="V456" s="4">
        <v>16</v>
      </c>
      <c r="W456" s="4">
        <v>47</v>
      </c>
    </row>
    <row r="457" spans="1:23" ht="11.25" customHeight="1" x14ac:dyDescent="0.25">
      <c r="A457" s="4" t="s">
        <v>55</v>
      </c>
      <c r="B457" s="4" t="s">
        <v>38</v>
      </c>
      <c r="C457" s="4" t="s">
        <v>40</v>
      </c>
      <c r="D457" s="4" t="s">
        <v>43</v>
      </c>
      <c r="E457" s="4" t="s">
        <v>51</v>
      </c>
      <c r="F457" s="4" t="s">
        <v>25</v>
      </c>
      <c r="G457" s="4" t="s">
        <v>25</v>
      </c>
      <c r="H457" s="4" t="s">
        <v>33</v>
      </c>
      <c r="I457" s="5">
        <v>44593</v>
      </c>
      <c r="J457" s="6">
        <v>0</v>
      </c>
      <c r="K457" s="6">
        <v>0</v>
      </c>
      <c r="L457" s="6">
        <v>0.104</v>
      </c>
      <c r="M457" s="6">
        <v>9.9839999999999998E-2</v>
      </c>
      <c r="N457" s="6">
        <v>0.104</v>
      </c>
      <c r="O457" s="6">
        <v>9.9839999999999998E-2</v>
      </c>
      <c r="P457" s="6">
        <v>0</v>
      </c>
      <c r="Q457" s="4" t="s">
        <v>26</v>
      </c>
      <c r="R457" s="4">
        <v>0</v>
      </c>
      <c r="S457" s="4" t="s">
        <v>191</v>
      </c>
      <c r="T457" s="4" t="s">
        <v>384</v>
      </c>
      <c r="U457" s="4">
        <v>0</v>
      </c>
      <c r="V457" s="4">
        <v>16</v>
      </c>
      <c r="W457" s="4">
        <v>47</v>
      </c>
    </row>
    <row r="458" spans="1:23" ht="11.25" customHeight="1" x14ac:dyDescent="0.25">
      <c r="A458" s="4" t="s">
        <v>21</v>
      </c>
      <c r="B458" s="4" t="s">
        <v>38</v>
      </c>
      <c r="C458" s="4" t="s">
        <v>40</v>
      </c>
      <c r="D458" s="4" t="s">
        <v>43</v>
      </c>
      <c r="E458" s="4" t="s">
        <v>51</v>
      </c>
      <c r="F458" s="4" t="s">
        <v>25</v>
      </c>
      <c r="G458" s="4" t="s">
        <v>25</v>
      </c>
      <c r="H458" s="4" t="s">
        <v>33</v>
      </c>
      <c r="I458" s="5">
        <v>44621</v>
      </c>
      <c r="J458" s="6">
        <v>0</v>
      </c>
      <c r="K458" s="6">
        <v>0</v>
      </c>
      <c r="L458" s="6">
        <v>1.716</v>
      </c>
      <c r="M458" s="6">
        <v>1.6473599999999999</v>
      </c>
      <c r="N458" s="6">
        <v>1.716</v>
      </c>
      <c r="O458" s="6">
        <v>1.6473599999999999</v>
      </c>
      <c r="P458" s="6">
        <v>0</v>
      </c>
      <c r="Q458" s="4" t="s">
        <v>26</v>
      </c>
      <c r="R458" s="4">
        <v>0</v>
      </c>
      <c r="S458" s="4" t="s">
        <v>192</v>
      </c>
      <c r="T458" s="4" t="s">
        <v>385</v>
      </c>
      <c r="U458" s="4">
        <v>0</v>
      </c>
      <c r="V458" s="4">
        <v>16</v>
      </c>
      <c r="W458" s="4">
        <v>47</v>
      </c>
    </row>
    <row r="459" spans="1:23" ht="11.25" customHeight="1" x14ac:dyDescent="0.25">
      <c r="A459" s="4" t="s">
        <v>55</v>
      </c>
      <c r="B459" s="4" t="s">
        <v>38</v>
      </c>
      <c r="C459" s="4" t="s">
        <v>40</v>
      </c>
      <c r="D459" s="4" t="s">
        <v>43</v>
      </c>
      <c r="E459" s="4" t="s">
        <v>51</v>
      </c>
      <c r="F459" s="4" t="s">
        <v>25</v>
      </c>
      <c r="G459" s="4" t="s">
        <v>25</v>
      </c>
      <c r="H459" s="4" t="s">
        <v>33</v>
      </c>
      <c r="I459" s="5">
        <v>44621</v>
      </c>
      <c r="J459" s="6">
        <v>0</v>
      </c>
      <c r="K459" s="6">
        <v>0</v>
      </c>
      <c r="L459" s="6">
        <v>0.10199999999999999</v>
      </c>
      <c r="M459" s="6">
        <v>9.7919999999999993E-2</v>
      </c>
      <c r="N459" s="6">
        <v>0.10199999999999999</v>
      </c>
      <c r="O459" s="6">
        <v>9.7919999999999993E-2</v>
      </c>
      <c r="P459" s="6">
        <v>0</v>
      </c>
      <c r="Q459" s="4" t="s">
        <v>26</v>
      </c>
      <c r="R459" s="4">
        <v>0</v>
      </c>
      <c r="S459" s="4" t="s">
        <v>192</v>
      </c>
      <c r="T459" s="4" t="s">
        <v>385</v>
      </c>
      <c r="U459" s="4">
        <v>0</v>
      </c>
      <c r="V459" s="4">
        <v>16</v>
      </c>
      <c r="W459" s="4">
        <v>47</v>
      </c>
    </row>
    <row r="460" spans="1:23" ht="11.25" customHeight="1" x14ac:dyDescent="0.25">
      <c r="A460" s="4" t="s">
        <v>21</v>
      </c>
      <c r="B460" s="4" t="s">
        <v>38</v>
      </c>
      <c r="C460" s="4" t="s">
        <v>40</v>
      </c>
      <c r="D460" s="4" t="s">
        <v>43</v>
      </c>
      <c r="E460" s="4" t="s">
        <v>51</v>
      </c>
      <c r="F460" s="4" t="s">
        <v>25</v>
      </c>
      <c r="G460" s="4" t="s">
        <v>25</v>
      </c>
      <c r="H460" s="4" t="s">
        <v>33</v>
      </c>
      <c r="I460" s="5">
        <v>44652</v>
      </c>
      <c r="J460" s="6">
        <v>0</v>
      </c>
      <c r="K460" s="6">
        <v>0</v>
      </c>
      <c r="L460" s="6">
        <v>1.379</v>
      </c>
      <c r="M460" s="6">
        <v>1.3238399999999999</v>
      </c>
      <c r="N460" s="6">
        <v>1.379</v>
      </c>
      <c r="O460" s="6">
        <v>1.3238399999999999</v>
      </c>
      <c r="P460" s="6">
        <v>0</v>
      </c>
      <c r="Q460" s="4" t="s">
        <v>26</v>
      </c>
      <c r="R460" s="4">
        <v>0</v>
      </c>
      <c r="S460" s="4" t="s">
        <v>193</v>
      </c>
      <c r="T460" s="4" t="s">
        <v>386</v>
      </c>
      <c r="U460" s="4">
        <v>0</v>
      </c>
      <c r="V460" s="4">
        <v>16</v>
      </c>
      <c r="W460" s="4">
        <v>47</v>
      </c>
    </row>
    <row r="461" spans="1:23" ht="11.25" customHeight="1" x14ac:dyDescent="0.25">
      <c r="A461" s="4" t="s">
        <v>55</v>
      </c>
      <c r="B461" s="4" t="s">
        <v>38</v>
      </c>
      <c r="C461" s="4" t="s">
        <v>40</v>
      </c>
      <c r="D461" s="4" t="s">
        <v>43</v>
      </c>
      <c r="E461" s="4" t="s">
        <v>51</v>
      </c>
      <c r="F461" s="4" t="s">
        <v>25</v>
      </c>
      <c r="G461" s="4" t="s">
        <v>25</v>
      </c>
      <c r="H461" s="4" t="s">
        <v>33</v>
      </c>
      <c r="I461" s="5">
        <v>44652</v>
      </c>
      <c r="J461" s="6">
        <v>0</v>
      </c>
      <c r="K461" s="6">
        <v>0</v>
      </c>
      <c r="L461" s="6">
        <v>6.9000000000000006E-2</v>
      </c>
      <c r="M461" s="6">
        <v>6.6240000000000007E-2</v>
      </c>
      <c r="N461" s="6">
        <v>6.9000000000000006E-2</v>
      </c>
      <c r="O461" s="6">
        <v>6.6240000000000007E-2</v>
      </c>
      <c r="P461" s="6">
        <v>0</v>
      </c>
      <c r="Q461" s="4" t="s">
        <v>26</v>
      </c>
      <c r="R461" s="4">
        <v>0</v>
      </c>
      <c r="S461" s="4" t="s">
        <v>193</v>
      </c>
      <c r="T461" s="4" t="s">
        <v>386</v>
      </c>
      <c r="U461" s="4">
        <v>0</v>
      </c>
      <c r="V461" s="4">
        <v>16</v>
      </c>
      <c r="W461" s="4">
        <v>47</v>
      </c>
    </row>
    <row r="462" spans="1:23" ht="11.25" customHeight="1" x14ac:dyDescent="0.25">
      <c r="A462" s="4" t="s">
        <v>21</v>
      </c>
      <c r="B462" s="4" t="s">
        <v>38</v>
      </c>
      <c r="C462" s="4" t="s">
        <v>40</v>
      </c>
      <c r="D462" s="4" t="s">
        <v>43</v>
      </c>
      <c r="E462" s="4" t="s">
        <v>51</v>
      </c>
      <c r="F462" s="4" t="s">
        <v>25</v>
      </c>
      <c r="G462" s="4" t="s">
        <v>25</v>
      </c>
      <c r="H462" s="4" t="s">
        <v>33</v>
      </c>
      <c r="I462" s="5">
        <v>44682</v>
      </c>
      <c r="J462" s="6">
        <v>0</v>
      </c>
      <c r="K462" s="6">
        <v>0</v>
      </c>
      <c r="L462" s="6">
        <v>2.895</v>
      </c>
      <c r="M462" s="6">
        <v>2.7791999999999999</v>
      </c>
      <c r="N462" s="6">
        <v>2.895</v>
      </c>
      <c r="O462" s="6">
        <v>2.7791999999999999</v>
      </c>
      <c r="P462" s="6">
        <v>0</v>
      </c>
      <c r="Q462" s="4" t="s">
        <v>26</v>
      </c>
      <c r="R462" s="4">
        <v>0</v>
      </c>
      <c r="S462" s="4" t="s">
        <v>194</v>
      </c>
      <c r="T462" s="4" t="s">
        <v>387</v>
      </c>
      <c r="U462" s="4">
        <v>0</v>
      </c>
      <c r="V462" s="4">
        <v>16</v>
      </c>
      <c r="W462" s="4">
        <v>47</v>
      </c>
    </row>
    <row r="463" spans="1:23" ht="11.25" customHeight="1" x14ac:dyDescent="0.25">
      <c r="A463" s="4" t="s">
        <v>55</v>
      </c>
      <c r="B463" s="4" t="s">
        <v>38</v>
      </c>
      <c r="C463" s="4" t="s">
        <v>40</v>
      </c>
      <c r="D463" s="4" t="s">
        <v>43</v>
      </c>
      <c r="E463" s="4" t="s">
        <v>51</v>
      </c>
      <c r="F463" s="4" t="s">
        <v>25</v>
      </c>
      <c r="G463" s="4" t="s">
        <v>25</v>
      </c>
      <c r="H463" s="4" t="s">
        <v>33</v>
      </c>
      <c r="I463" s="5">
        <v>44682</v>
      </c>
      <c r="J463" s="6">
        <v>0</v>
      </c>
      <c r="K463" s="6">
        <v>0</v>
      </c>
      <c r="L463" s="6">
        <v>0.08</v>
      </c>
      <c r="M463" s="6">
        <v>7.6799999999999993E-2</v>
      </c>
      <c r="N463" s="6">
        <v>0.08</v>
      </c>
      <c r="O463" s="6">
        <v>7.6799999999999993E-2</v>
      </c>
      <c r="P463" s="6">
        <v>0</v>
      </c>
      <c r="Q463" s="4" t="s">
        <v>26</v>
      </c>
      <c r="R463" s="4">
        <v>0</v>
      </c>
      <c r="S463" s="4" t="s">
        <v>194</v>
      </c>
      <c r="T463" s="4" t="s">
        <v>387</v>
      </c>
      <c r="U463" s="4">
        <v>0</v>
      </c>
      <c r="V463" s="4">
        <v>16</v>
      </c>
      <c r="W463" s="4">
        <v>47</v>
      </c>
    </row>
    <row r="464" spans="1:23" ht="11.25" customHeight="1" x14ac:dyDescent="0.25">
      <c r="A464" s="4" t="s">
        <v>56</v>
      </c>
      <c r="B464" s="4" t="s">
        <v>38</v>
      </c>
      <c r="C464" s="4" t="s">
        <v>40</v>
      </c>
      <c r="D464" s="4" t="s">
        <v>43</v>
      </c>
      <c r="E464" s="4" t="s">
        <v>51</v>
      </c>
      <c r="F464" s="4" t="s">
        <v>25</v>
      </c>
      <c r="G464" s="4" t="s">
        <v>25</v>
      </c>
      <c r="H464" s="4" t="s">
        <v>33</v>
      </c>
      <c r="I464" s="5">
        <v>44713</v>
      </c>
      <c r="J464" s="6">
        <v>0</v>
      </c>
      <c r="K464" s="6">
        <v>0</v>
      </c>
      <c r="L464" s="6">
        <v>2.895</v>
      </c>
      <c r="M464" s="6">
        <v>2.7791999999999999</v>
      </c>
      <c r="N464" s="6">
        <v>2.895</v>
      </c>
      <c r="O464" s="6">
        <v>2.7791999999999999</v>
      </c>
      <c r="P464" s="6">
        <v>0</v>
      </c>
      <c r="Q464" s="4" t="s">
        <v>26</v>
      </c>
      <c r="R464" s="4">
        <v>0</v>
      </c>
      <c r="S464" s="4" t="s">
        <v>195</v>
      </c>
      <c r="T464" s="4" t="s">
        <v>388</v>
      </c>
      <c r="U464" s="4">
        <v>0</v>
      </c>
      <c r="V464" s="4">
        <v>16</v>
      </c>
      <c r="W464" s="4">
        <v>47</v>
      </c>
    </row>
    <row r="465" spans="1:23" ht="11.25" customHeight="1" x14ac:dyDescent="0.25">
      <c r="A465" s="4" t="s">
        <v>56</v>
      </c>
      <c r="B465" s="4" t="s">
        <v>38</v>
      </c>
      <c r="C465" s="4" t="s">
        <v>40</v>
      </c>
      <c r="D465" s="4" t="s">
        <v>43</v>
      </c>
      <c r="E465" s="4" t="s">
        <v>51</v>
      </c>
      <c r="F465" s="4" t="s">
        <v>25</v>
      </c>
      <c r="G465" s="4" t="s">
        <v>25</v>
      </c>
      <c r="H465" s="4" t="s">
        <v>33</v>
      </c>
      <c r="I465" s="5">
        <v>44713</v>
      </c>
      <c r="J465" s="6">
        <v>0</v>
      </c>
      <c r="K465" s="6">
        <v>0</v>
      </c>
      <c r="L465" s="6">
        <v>0.08</v>
      </c>
      <c r="M465" s="6">
        <v>7.6799999999999993E-2</v>
      </c>
      <c r="N465" s="6">
        <v>0.08</v>
      </c>
      <c r="O465" s="6">
        <v>7.6799999999999993E-2</v>
      </c>
      <c r="P465" s="6">
        <v>0</v>
      </c>
      <c r="Q465" s="4" t="s">
        <v>26</v>
      </c>
      <c r="R465" s="4">
        <v>0</v>
      </c>
      <c r="S465" s="4" t="s">
        <v>195</v>
      </c>
      <c r="T465" s="4" t="s">
        <v>388</v>
      </c>
      <c r="U465" s="4">
        <v>0</v>
      </c>
      <c r="V465" s="4">
        <v>16</v>
      </c>
      <c r="W465" s="4">
        <v>47</v>
      </c>
    </row>
    <row r="466" spans="1:23" ht="11.25" customHeight="1" x14ac:dyDescent="0.25">
      <c r="A466" s="4" t="s">
        <v>21</v>
      </c>
      <c r="B466" s="4" t="s">
        <v>38</v>
      </c>
      <c r="C466" s="4" t="s">
        <v>40</v>
      </c>
      <c r="D466" s="4" t="s">
        <v>43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44378</v>
      </c>
      <c r="J466" s="6">
        <v>0</v>
      </c>
      <c r="K466" s="6">
        <v>0</v>
      </c>
      <c r="L466" s="6">
        <v>60.76</v>
      </c>
      <c r="M466" s="6">
        <v>58.329599999999999</v>
      </c>
      <c r="N466" s="6">
        <v>60.76</v>
      </c>
      <c r="O466" s="6">
        <v>58.329599999999999</v>
      </c>
      <c r="P466" s="6">
        <v>0</v>
      </c>
      <c r="Q466" s="4" t="s">
        <v>26</v>
      </c>
      <c r="R466" s="4">
        <v>0</v>
      </c>
      <c r="S466" s="4" t="s">
        <v>160</v>
      </c>
      <c r="T466" s="4" t="s">
        <v>365</v>
      </c>
      <c r="U466" s="4">
        <v>0</v>
      </c>
      <c r="V466" s="4">
        <v>14</v>
      </c>
      <c r="W466" s="4">
        <v>42</v>
      </c>
    </row>
    <row r="467" spans="1:23" ht="11.25" customHeight="1" x14ac:dyDescent="0.25">
      <c r="A467" s="4" t="s">
        <v>21</v>
      </c>
      <c r="B467" s="4" t="s">
        <v>38</v>
      </c>
      <c r="C467" s="4" t="s">
        <v>40</v>
      </c>
      <c r="D467" s="4" t="s">
        <v>43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44409</v>
      </c>
      <c r="J467" s="6">
        <v>0</v>
      </c>
      <c r="K467" s="6">
        <v>0</v>
      </c>
      <c r="L467" s="6">
        <v>38.04</v>
      </c>
      <c r="M467" s="6">
        <v>36.5184</v>
      </c>
      <c r="N467" s="6">
        <v>38.04</v>
      </c>
      <c r="O467" s="6">
        <v>36.5184</v>
      </c>
      <c r="P467" s="6">
        <v>0</v>
      </c>
      <c r="Q467" s="4" t="s">
        <v>26</v>
      </c>
      <c r="R467" s="4">
        <v>0</v>
      </c>
      <c r="S467" s="4" t="s">
        <v>161</v>
      </c>
      <c r="T467" s="4" t="s">
        <v>366</v>
      </c>
      <c r="U467" s="4">
        <v>0</v>
      </c>
      <c r="V467" s="4">
        <v>14</v>
      </c>
      <c r="W467" s="4">
        <v>42</v>
      </c>
    </row>
    <row r="468" spans="1:23" ht="11.25" customHeight="1" x14ac:dyDescent="0.25">
      <c r="A468" s="4" t="s">
        <v>21</v>
      </c>
      <c r="B468" s="4" t="s">
        <v>38</v>
      </c>
      <c r="C468" s="4" t="s">
        <v>40</v>
      </c>
      <c r="D468" s="4" t="s">
        <v>43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44440</v>
      </c>
      <c r="J468" s="6">
        <v>0</v>
      </c>
      <c r="K468" s="6">
        <v>0</v>
      </c>
      <c r="L468" s="6">
        <v>37.301000000000002</v>
      </c>
      <c r="M468" s="6">
        <v>35.808959999999999</v>
      </c>
      <c r="N468" s="6">
        <v>37.301000000000002</v>
      </c>
      <c r="O468" s="6">
        <v>35.808959999999999</v>
      </c>
      <c r="P468" s="6">
        <v>0</v>
      </c>
      <c r="Q468" s="4" t="s">
        <v>26</v>
      </c>
      <c r="R468" s="4">
        <v>0</v>
      </c>
      <c r="S468" s="4" t="s">
        <v>162</v>
      </c>
      <c r="T468" s="4" t="s">
        <v>367</v>
      </c>
      <c r="U468" s="4">
        <v>0</v>
      </c>
      <c r="V468" s="4">
        <v>14</v>
      </c>
      <c r="W468" s="4">
        <v>42</v>
      </c>
    </row>
    <row r="469" spans="1:23" ht="11.25" customHeight="1" x14ac:dyDescent="0.25">
      <c r="A469" s="4" t="s">
        <v>21</v>
      </c>
      <c r="B469" s="4" t="s">
        <v>38</v>
      </c>
      <c r="C469" s="4" t="s">
        <v>40</v>
      </c>
      <c r="D469" s="4" t="s">
        <v>43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44470</v>
      </c>
      <c r="J469" s="6">
        <v>0</v>
      </c>
      <c r="K469" s="6">
        <v>0</v>
      </c>
      <c r="L469" s="6">
        <v>60.843000000000004</v>
      </c>
      <c r="M469" s="6">
        <v>58.409280000000003</v>
      </c>
      <c r="N469" s="6">
        <v>60.843000000000004</v>
      </c>
      <c r="O469" s="6">
        <v>58.409280000000003</v>
      </c>
      <c r="P469" s="6">
        <v>0</v>
      </c>
      <c r="Q469" s="4" t="s">
        <v>26</v>
      </c>
      <c r="R469" s="4">
        <v>0</v>
      </c>
      <c r="S469" s="4" t="s">
        <v>163</v>
      </c>
      <c r="T469" s="4" t="s">
        <v>368</v>
      </c>
      <c r="U469" s="4">
        <v>0</v>
      </c>
      <c r="V469" s="4">
        <v>14</v>
      </c>
      <c r="W469" s="4">
        <v>42</v>
      </c>
    </row>
    <row r="470" spans="1:23" ht="11.25" customHeight="1" x14ac:dyDescent="0.25">
      <c r="A470" s="4" t="s">
        <v>21</v>
      </c>
      <c r="B470" s="4" t="s">
        <v>38</v>
      </c>
      <c r="C470" s="4" t="s">
        <v>40</v>
      </c>
      <c r="D470" s="4" t="s">
        <v>43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44501</v>
      </c>
      <c r="J470" s="6">
        <v>0</v>
      </c>
      <c r="K470" s="6">
        <v>0</v>
      </c>
      <c r="L470" s="6">
        <v>113.77</v>
      </c>
      <c r="M470" s="6">
        <v>109.2192</v>
      </c>
      <c r="N470" s="6">
        <v>113.77</v>
      </c>
      <c r="O470" s="6">
        <v>109.2192</v>
      </c>
      <c r="P470" s="6">
        <v>0</v>
      </c>
      <c r="Q470" s="4" t="s">
        <v>26</v>
      </c>
      <c r="R470" s="4">
        <v>0</v>
      </c>
      <c r="S470" s="4" t="s">
        <v>164</v>
      </c>
      <c r="T470" s="4" t="s">
        <v>369</v>
      </c>
      <c r="U470" s="4">
        <v>0</v>
      </c>
      <c r="V470" s="4">
        <v>14</v>
      </c>
      <c r="W470" s="4">
        <v>42</v>
      </c>
    </row>
    <row r="471" spans="1:23" ht="11.25" customHeight="1" x14ac:dyDescent="0.25">
      <c r="A471" s="4" t="s">
        <v>21</v>
      </c>
      <c r="B471" s="4" t="s">
        <v>38</v>
      </c>
      <c r="C471" s="4" t="s">
        <v>40</v>
      </c>
      <c r="D471" s="4" t="s">
        <v>43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44531</v>
      </c>
      <c r="J471" s="6">
        <v>0</v>
      </c>
      <c r="K471" s="6">
        <v>0</v>
      </c>
      <c r="L471" s="6">
        <v>60.024999999999999</v>
      </c>
      <c r="M471" s="6">
        <v>57.624000000000002</v>
      </c>
      <c r="N471" s="6">
        <v>60.024999999999999</v>
      </c>
      <c r="O471" s="6">
        <v>57.624000000000002</v>
      </c>
      <c r="P471" s="6">
        <v>0</v>
      </c>
      <c r="Q471" s="4" t="s">
        <v>26</v>
      </c>
      <c r="R471" s="4">
        <v>0</v>
      </c>
      <c r="S471" s="4" t="s">
        <v>165</v>
      </c>
      <c r="T471" s="4" t="s">
        <v>370</v>
      </c>
      <c r="U471" s="4">
        <v>0</v>
      </c>
      <c r="V471" s="4">
        <v>14</v>
      </c>
      <c r="W471" s="4">
        <v>42</v>
      </c>
    </row>
    <row r="472" spans="1:23" ht="11.25" customHeight="1" x14ac:dyDescent="0.25">
      <c r="A472" s="4" t="s">
        <v>21</v>
      </c>
      <c r="B472" s="4" t="s">
        <v>38</v>
      </c>
      <c r="C472" s="4" t="s">
        <v>40</v>
      </c>
      <c r="D472" s="4" t="s">
        <v>43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44562</v>
      </c>
      <c r="J472" s="6">
        <v>0</v>
      </c>
      <c r="K472" s="6">
        <v>0</v>
      </c>
      <c r="L472" s="6">
        <v>72.953999999999994</v>
      </c>
      <c r="M472" s="6">
        <v>70.035839999999993</v>
      </c>
      <c r="N472" s="6">
        <v>72.953999999999994</v>
      </c>
      <c r="O472" s="6">
        <v>70.035839999999993</v>
      </c>
      <c r="P472" s="6">
        <v>0</v>
      </c>
      <c r="Q472" s="4" t="s">
        <v>26</v>
      </c>
      <c r="R472" s="4">
        <v>0</v>
      </c>
      <c r="S472" s="4" t="s">
        <v>166</v>
      </c>
      <c r="T472" s="4" t="s">
        <v>371</v>
      </c>
      <c r="U472" s="4">
        <v>0</v>
      </c>
      <c r="V472" s="4">
        <v>14</v>
      </c>
      <c r="W472" s="4">
        <v>42</v>
      </c>
    </row>
    <row r="473" spans="1:23" ht="11.25" customHeight="1" x14ac:dyDescent="0.25">
      <c r="A473" s="4" t="s">
        <v>27</v>
      </c>
      <c r="B473" s="4" t="s">
        <v>38</v>
      </c>
      <c r="C473" s="4" t="s">
        <v>40</v>
      </c>
      <c r="D473" s="4" t="s">
        <v>43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44562</v>
      </c>
      <c r="J473" s="6">
        <v>0</v>
      </c>
      <c r="K473" s="6">
        <v>0</v>
      </c>
      <c r="L473" s="6">
        <v>91.900999999999996</v>
      </c>
      <c r="M473" s="6">
        <v>88.224959999999996</v>
      </c>
      <c r="N473" s="6">
        <v>91.900999999999996</v>
      </c>
      <c r="O473" s="6">
        <v>88.224959999999996</v>
      </c>
      <c r="P473" s="6">
        <v>0</v>
      </c>
      <c r="Q473" s="4" t="s">
        <v>26</v>
      </c>
      <c r="R473" s="4">
        <v>0</v>
      </c>
      <c r="S473" s="4" t="s">
        <v>166</v>
      </c>
      <c r="T473" s="4" t="s">
        <v>371</v>
      </c>
      <c r="U473" s="4">
        <v>0</v>
      </c>
      <c r="V473" s="4">
        <v>14</v>
      </c>
      <c r="W473" s="4">
        <v>42</v>
      </c>
    </row>
    <row r="474" spans="1:23" ht="11.25" customHeight="1" x14ac:dyDescent="0.25">
      <c r="A474" s="4" t="s">
        <v>21</v>
      </c>
      <c r="B474" s="4" t="s">
        <v>38</v>
      </c>
      <c r="C474" s="4" t="s">
        <v>40</v>
      </c>
      <c r="D474" s="4" t="s">
        <v>43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44593</v>
      </c>
      <c r="J474" s="6">
        <v>0</v>
      </c>
      <c r="K474" s="6">
        <v>0</v>
      </c>
      <c r="L474" s="6">
        <v>44.546999999999997</v>
      </c>
      <c r="M474" s="6">
        <v>42.765120000000003</v>
      </c>
      <c r="N474" s="6">
        <v>44.546999999999997</v>
      </c>
      <c r="O474" s="6">
        <v>42.765120000000003</v>
      </c>
      <c r="P474" s="6">
        <v>0</v>
      </c>
      <c r="Q474" s="4" t="s">
        <v>26</v>
      </c>
      <c r="R474" s="4">
        <v>0</v>
      </c>
      <c r="S474" s="4" t="s">
        <v>167</v>
      </c>
      <c r="T474" s="4" t="s">
        <v>372</v>
      </c>
      <c r="U474" s="4">
        <v>0</v>
      </c>
      <c r="V474" s="4">
        <v>14</v>
      </c>
      <c r="W474" s="4">
        <v>42</v>
      </c>
    </row>
    <row r="475" spans="1:23" ht="11.25" customHeight="1" x14ac:dyDescent="0.25">
      <c r="A475" s="4" t="s">
        <v>21</v>
      </c>
      <c r="B475" s="4" t="s">
        <v>38</v>
      </c>
      <c r="C475" s="4" t="s">
        <v>40</v>
      </c>
      <c r="D475" s="4" t="s">
        <v>43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44621</v>
      </c>
      <c r="J475" s="6">
        <v>0</v>
      </c>
      <c r="K475" s="6">
        <v>0</v>
      </c>
      <c r="L475" s="6">
        <v>70.852999999999994</v>
      </c>
      <c r="M475" s="6">
        <v>68.018879999999996</v>
      </c>
      <c r="N475" s="6">
        <v>70.852999999999994</v>
      </c>
      <c r="O475" s="6">
        <v>68.018879999999996</v>
      </c>
      <c r="P475" s="6">
        <v>0</v>
      </c>
      <c r="Q475" s="4" t="s">
        <v>26</v>
      </c>
      <c r="R475" s="4">
        <v>0</v>
      </c>
      <c r="S475" s="4" t="s">
        <v>168</v>
      </c>
      <c r="T475" s="4" t="s">
        <v>373</v>
      </c>
      <c r="U475" s="4">
        <v>0</v>
      </c>
      <c r="V475" s="4">
        <v>14</v>
      </c>
      <c r="W475" s="4">
        <v>42</v>
      </c>
    </row>
    <row r="476" spans="1:23" ht="11.25" customHeight="1" x14ac:dyDescent="0.25">
      <c r="A476" s="4" t="s">
        <v>21</v>
      </c>
      <c r="B476" s="4" t="s">
        <v>38</v>
      </c>
      <c r="C476" s="4" t="s">
        <v>40</v>
      </c>
      <c r="D476" s="4" t="s">
        <v>43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44652</v>
      </c>
      <c r="J476" s="6">
        <v>0</v>
      </c>
      <c r="K476" s="6">
        <v>0</v>
      </c>
      <c r="L476" s="6">
        <v>154.92699999999999</v>
      </c>
      <c r="M476" s="6">
        <v>148.72991999999999</v>
      </c>
      <c r="N476" s="6">
        <v>154.92699999999999</v>
      </c>
      <c r="O476" s="6">
        <v>148.72991999999999</v>
      </c>
      <c r="P476" s="6">
        <v>0</v>
      </c>
      <c r="Q476" s="4" t="s">
        <v>26</v>
      </c>
      <c r="R476" s="4">
        <v>0</v>
      </c>
      <c r="S476" s="4" t="s">
        <v>169</v>
      </c>
      <c r="T476" s="4" t="s">
        <v>374</v>
      </c>
      <c r="U476" s="4">
        <v>0</v>
      </c>
      <c r="V476" s="4">
        <v>14</v>
      </c>
      <c r="W476" s="4">
        <v>42</v>
      </c>
    </row>
    <row r="477" spans="1:23" ht="11.25" customHeight="1" x14ac:dyDescent="0.25">
      <c r="A477" s="4" t="s">
        <v>21</v>
      </c>
      <c r="B477" s="4" t="s">
        <v>38</v>
      </c>
      <c r="C477" s="4" t="s">
        <v>40</v>
      </c>
      <c r="D477" s="4" t="s">
        <v>43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6">
        <v>0</v>
      </c>
      <c r="L477" s="6">
        <v>77.64</v>
      </c>
      <c r="M477" s="6">
        <v>74.534400000000005</v>
      </c>
      <c r="N477" s="6">
        <v>77.64</v>
      </c>
      <c r="O477" s="6">
        <v>74.534400000000005</v>
      </c>
      <c r="P477" s="6">
        <v>0</v>
      </c>
      <c r="Q477" s="4" t="s">
        <v>26</v>
      </c>
      <c r="R477" s="4">
        <v>0</v>
      </c>
      <c r="S477" s="4" t="s">
        <v>170</v>
      </c>
      <c r="T477" s="4" t="s">
        <v>375</v>
      </c>
      <c r="U477" s="4">
        <v>0</v>
      </c>
      <c r="V477" s="4">
        <v>14</v>
      </c>
      <c r="W477" s="4">
        <v>42</v>
      </c>
    </row>
    <row r="478" spans="1:23" ht="11.25" customHeight="1" x14ac:dyDescent="0.25">
      <c r="A478" s="4" t="s">
        <v>56</v>
      </c>
      <c r="B478" s="4" t="s">
        <v>38</v>
      </c>
      <c r="C478" s="4" t="s">
        <v>40</v>
      </c>
      <c r="D478" s="4" t="s">
        <v>43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44713</v>
      </c>
      <c r="J478" s="6">
        <v>0</v>
      </c>
      <c r="K478" s="6">
        <v>0</v>
      </c>
      <c r="L478" s="6">
        <v>77.64</v>
      </c>
      <c r="M478" s="6">
        <v>74.534400000000005</v>
      </c>
      <c r="N478" s="6">
        <v>77.64</v>
      </c>
      <c r="O478" s="6">
        <v>74.534400000000005</v>
      </c>
      <c r="P478" s="6">
        <v>0</v>
      </c>
      <c r="Q478" s="4" t="s">
        <v>26</v>
      </c>
      <c r="R478" s="4">
        <v>0</v>
      </c>
      <c r="S478" s="4" t="s">
        <v>171</v>
      </c>
      <c r="T478" s="4" t="s">
        <v>376</v>
      </c>
      <c r="U478" s="4">
        <v>0</v>
      </c>
      <c r="V478" s="4">
        <v>14</v>
      </c>
      <c r="W478" s="4">
        <v>42</v>
      </c>
    </row>
    <row r="479" spans="1:23" ht="11.25" customHeight="1" x14ac:dyDescent="0.25">
      <c r="A479" s="4" t="s">
        <v>21</v>
      </c>
      <c r="B479" s="4" t="s">
        <v>38</v>
      </c>
      <c r="C479" s="4" t="s">
        <v>40</v>
      </c>
      <c r="D479" s="4" t="s">
        <v>43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44378</v>
      </c>
      <c r="J479" s="6">
        <v>553</v>
      </c>
      <c r="K479" s="6">
        <v>530.88</v>
      </c>
      <c r="L479" s="6">
        <v>0</v>
      </c>
      <c r="M479" s="6">
        <v>0</v>
      </c>
      <c r="N479" s="6">
        <v>0</v>
      </c>
      <c r="O479" s="6">
        <v>0</v>
      </c>
      <c r="P479" s="6">
        <v>5</v>
      </c>
      <c r="Q479" s="4" t="s">
        <v>26</v>
      </c>
      <c r="R479" s="4">
        <v>0</v>
      </c>
      <c r="S479" s="4" t="s">
        <v>172</v>
      </c>
      <c r="U479" s="4">
        <v>18</v>
      </c>
      <c r="V479" s="4">
        <v>0</v>
      </c>
      <c r="W479" s="4">
        <v>0</v>
      </c>
    </row>
    <row r="480" spans="1:23" ht="11.25" customHeight="1" x14ac:dyDescent="0.25">
      <c r="A480" s="4" t="s">
        <v>21</v>
      </c>
      <c r="B480" s="4" t="s">
        <v>38</v>
      </c>
      <c r="C480" s="4" t="s">
        <v>40</v>
      </c>
      <c r="D480" s="4" t="s">
        <v>43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44409</v>
      </c>
      <c r="J480" s="6">
        <v>564</v>
      </c>
      <c r="K480" s="6">
        <v>541.44000000000005</v>
      </c>
      <c r="L480" s="6">
        <v>0</v>
      </c>
      <c r="M480" s="6">
        <v>0</v>
      </c>
      <c r="N480" s="6">
        <v>0</v>
      </c>
      <c r="O480" s="6">
        <v>0</v>
      </c>
      <c r="P480" s="6">
        <v>5</v>
      </c>
      <c r="Q480" s="4" t="s">
        <v>26</v>
      </c>
      <c r="R480" s="4">
        <v>0</v>
      </c>
      <c r="S480" s="4" t="s">
        <v>173</v>
      </c>
      <c r="U480" s="4">
        <v>18</v>
      </c>
      <c r="V480" s="4">
        <v>0</v>
      </c>
      <c r="W480" s="4">
        <v>0</v>
      </c>
    </row>
    <row r="481" spans="1:23" ht="11.25" customHeight="1" x14ac:dyDescent="0.25">
      <c r="A481" s="4" t="s">
        <v>21</v>
      </c>
      <c r="B481" s="4" t="s">
        <v>38</v>
      </c>
      <c r="C481" s="4" t="s">
        <v>40</v>
      </c>
      <c r="D481" s="4" t="s">
        <v>43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44440</v>
      </c>
      <c r="J481" s="6">
        <v>549</v>
      </c>
      <c r="K481" s="6">
        <v>527.04</v>
      </c>
      <c r="L481" s="6">
        <v>0</v>
      </c>
      <c r="M481" s="6">
        <v>0</v>
      </c>
      <c r="N481" s="6">
        <v>0</v>
      </c>
      <c r="O481" s="6">
        <v>0</v>
      </c>
      <c r="P481" s="6">
        <v>5</v>
      </c>
      <c r="Q481" s="4" t="s">
        <v>26</v>
      </c>
      <c r="R481" s="4">
        <v>0</v>
      </c>
      <c r="S481" s="4" t="s">
        <v>174</v>
      </c>
      <c r="U481" s="4">
        <v>18</v>
      </c>
      <c r="V481" s="4">
        <v>0</v>
      </c>
      <c r="W481" s="4">
        <v>0</v>
      </c>
    </row>
    <row r="482" spans="1:23" ht="11.25" customHeight="1" x14ac:dyDescent="0.25">
      <c r="A482" s="4" t="s">
        <v>21</v>
      </c>
      <c r="B482" s="4" t="s">
        <v>38</v>
      </c>
      <c r="C482" s="4" t="s">
        <v>40</v>
      </c>
      <c r="D482" s="4" t="s">
        <v>43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44470</v>
      </c>
      <c r="J482" s="6">
        <v>561</v>
      </c>
      <c r="K482" s="6">
        <v>538.55999999999995</v>
      </c>
      <c r="L482" s="6">
        <v>0</v>
      </c>
      <c r="M482" s="6">
        <v>0</v>
      </c>
      <c r="N482" s="6">
        <v>0</v>
      </c>
      <c r="O482" s="6">
        <v>0</v>
      </c>
      <c r="P482" s="6">
        <v>5</v>
      </c>
      <c r="Q482" s="4" t="s">
        <v>26</v>
      </c>
      <c r="R482" s="4">
        <v>0</v>
      </c>
      <c r="S482" s="4" t="s">
        <v>175</v>
      </c>
      <c r="U482" s="4">
        <v>18</v>
      </c>
      <c r="V482" s="4">
        <v>0</v>
      </c>
      <c r="W482" s="4">
        <v>0</v>
      </c>
    </row>
    <row r="483" spans="1:23" ht="11.25" customHeight="1" x14ac:dyDescent="0.25">
      <c r="A483" s="4" t="s">
        <v>21</v>
      </c>
      <c r="B483" s="4" t="s">
        <v>38</v>
      </c>
      <c r="C483" s="4" t="s">
        <v>40</v>
      </c>
      <c r="D483" s="4" t="s">
        <v>43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44501</v>
      </c>
      <c r="J483" s="6">
        <v>658</v>
      </c>
      <c r="K483" s="6">
        <v>631.67999999999995</v>
      </c>
      <c r="L483" s="6">
        <v>0</v>
      </c>
      <c r="M483" s="6">
        <v>0</v>
      </c>
      <c r="N483" s="6">
        <v>0</v>
      </c>
      <c r="O483" s="6">
        <v>0</v>
      </c>
      <c r="P483" s="6">
        <v>5</v>
      </c>
      <c r="Q483" s="4" t="s">
        <v>26</v>
      </c>
      <c r="R483" s="4">
        <v>0</v>
      </c>
      <c r="S483" s="4" t="s">
        <v>176</v>
      </c>
      <c r="U483" s="4">
        <v>18</v>
      </c>
      <c r="V483" s="4">
        <v>0</v>
      </c>
      <c r="W483" s="4">
        <v>0</v>
      </c>
    </row>
    <row r="484" spans="1:23" ht="11.25" customHeight="1" x14ac:dyDescent="0.25">
      <c r="A484" s="4" t="s">
        <v>21</v>
      </c>
      <c r="B484" s="4" t="s">
        <v>38</v>
      </c>
      <c r="C484" s="4" t="s">
        <v>40</v>
      </c>
      <c r="D484" s="4" t="s">
        <v>43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44531</v>
      </c>
      <c r="J484" s="6">
        <v>584</v>
      </c>
      <c r="K484" s="6">
        <v>560.64</v>
      </c>
      <c r="L484" s="6">
        <v>0</v>
      </c>
      <c r="M484" s="6">
        <v>0</v>
      </c>
      <c r="N484" s="6">
        <v>0</v>
      </c>
      <c r="O484" s="6">
        <v>0</v>
      </c>
      <c r="P484" s="6">
        <v>5</v>
      </c>
      <c r="Q484" s="4" t="s">
        <v>26</v>
      </c>
      <c r="R484" s="4">
        <v>0</v>
      </c>
      <c r="S484" s="4" t="s">
        <v>177</v>
      </c>
      <c r="U484" s="4">
        <v>18</v>
      </c>
      <c r="V484" s="4">
        <v>0</v>
      </c>
      <c r="W484" s="4">
        <v>0</v>
      </c>
    </row>
    <row r="485" spans="1:23" ht="11.25" customHeight="1" x14ac:dyDescent="0.25">
      <c r="A485" s="4" t="s">
        <v>21</v>
      </c>
      <c r="B485" s="4" t="s">
        <v>38</v>
      </c>
      <c r="C485" s="4" t="s">
        <v>40</v>
      </c>
      <c r="D485" s="4" t="s">
        <v>43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44562</v>
      </c>
      <c r="J485" s="6">
        <v>564</v>
      </c>
      <c r="K485" s="6">
        <v>541.44000000000005</v>
      </c>
      <c r="L485" s="6">
        <v>0</v>
      </c>
      <c r="M485" s="6">
        <v>0</v>
      </c>
      <c r="N485" s="6">
        <v>0</v>
      </c>
      <c r="O485" s="6">
        <v>0</v>
      </c>
      <c r="P485" s="6">
        <v>5</v>
      </c>
      <c r="Q485" s="4" t="s">
        <v>26</v>
      </c>
      <c r="R485" s="4">
        <v>0</v>
      </c>
      <c r="S485" s="4" t="s">
        <v>178</v>
      </c>
      <c r="U485" s="4">
        <v>18</v>
      </c>
      <c r="V485" s="4">
        <v>0</v>
      </c>
      <c r="W485" s="4">
        <v>0</v>
      </c>
    </row>
    <row r="486" spans="1:23" ht="11.25" customHeight="1" x14ac:dyDescent="0.25">
      <c r="A486" s="4" t="s">
        <v>27</v>
      </c>
      <c r="B486" s="4" t="s">
        <v>38</v>
      </c>
      <c r="C486" s="4" t="s">
        <v>40</v>
      </c>
      <c r="D486" s="4" t="s">
        <v>43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44562</v>
      </c>
      <c r="J486" s="6">
        <v>1053</v>
      </c>
      <c r="K486" s="6">
        <v>1010.88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4" t="s">
        <v>26</v>
      </c>
      <c r="R486" s="4">
        <v>0</v>
      </c>
      <c r="S486" s="4" t="s">
        <v>178</v>
      </c>
      <c r="U486" s="4">
        <v>18</v>
      </c>
      <c r="V486" s="4">
        <v>0</v>
      </c>
      <c r="W486" s="4">
        <v>0</v>
      </c>
    </row>
    <row r="487" spans="1:23" ht="11.25" customHeight="1" x14ac:dyDescent="0.25">
      <c r="A487" s="4" t="s">
        <v>21</v>
      </c>
      <c r="B487" s="4" t="s">
        <v>38</v>
      </c>
      <c r="C487" s="4" t="s">
        <v>40</v>
      </c>
      <c r="D487" s="4" t="s">
        <v>43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44593</v>
      </c>
      <c r="J487" s="6">
        <v>461</v>
      </c>
      <c r="K487" s="6">
        <v>442.56</v>
      </c>
      <c r="L487" s="6">
        <v>0</v>
      </c>
      <c r="M487" s="6">
        <v>0</v>
      </c>
      <c r="N487" s="6">
        <v>0</v>
      </c>
      <c r="O487" s="6">
        <v>0</v>
      </c>
      <c r="P487" s="6">
        <v>4</v>
      </c>
      <c r="Q487" s="4" t="s">
        <v>26</v>
      </c>
      <c r="R487" s="4">
        <v>0</v>
      </c>
      <c r="S487" s="4" t="s">
        <v>179</v>
      </c>
      <c r="U487" s="4">
        <v>18</v>
      </c>
      <c r="V487" s="4">
        <v>0</v>
      </c>
      <c r="W487" s="4">
        <v>0</v>
      </c>
    </row>
    <row r="488" spans="1:23" ht="11.25" customHeight="1" x14ac:dyDescent="0.25">
      <c r="A488" s="4" t="s">
        <v>21</v>
      </c>
      <c r="B488" s="4" t="s">
        <v>38</v>
      </c>
      <c r="C488" s="4" t="s">
        <v>40</v>
      </c>
      <c r="D488" s="4" t="s">
        <v>43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44621</v>
      </c>
      <c r="J488" s="6">
        <v>526</v>
      </c>
      <c r="K488" s="6">
        <v>504.96</v>
      </c>
      <c r="L488" s="6">
        <v>0</v>
      </c>
      <c r="M488" s="6">
        <v>0</v>
      </c>
      <c r="N488" s="6">
        <v>0</v>
      </c>
      <c r="O488" s="6">
        <v>0</v>
      </c>
      <c r="P488" s="6">
        <v>4</v>
      </c>
      <c r="Q488" s="4" t="s">
        <v>26</v>
      </c>
      <c r="R488" s="4">
        <v>0</v>
      </c>
      <c r="S488" s="4" t="s">
        <v>180</v>
      </c>
      <c r="U488" s="4">
        <v>18</v>
      </c>
      <c r="V488" s="4">
        <v>0</v>
      </c>
      <c r="W488" s="4">
        <v>0</v>
      </c>
    </row>
    <row r="489" spans="1:23" ht="11.25" customHeight="1" x14ac:dyDescent="0.25">
      <c r="A489" s="4" t="s">
        <v>21</v>
      </c>
      <c r="B489" s="4" t="s">
        <v>38</v>
      </c>
      <c r="C489" s="4" t="s">
        <v>40</v>
      </c>
      <c r="D489" s="4" t="s">
        <v>43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44652</v>
      </c>
      <c r="J489" s="6">
        <v>554</v>
      </c>
      <c r="K489" s="6">
        <v>531.84</v>
      </c>
      <c r="L489" s="6">
        <v>0</v>
      </c>
      <c r="M489" s="6">
        <v>0</v>
      </c>
      <c r="N489" s="6">
        <v>0</v>
      </c>
      <c r="O489" s="6">
        <v>0</v>
      </c>
      <c r="P489" s="6">
        <v>4</v>
      </c>
      <c r="Q489" s="4" t="s">
        <v>26</v>
      </c>
      <c r="R489" s="4">
        <v>0</v>
      </c>
      <c r="S489" s="4" t="s">
        <v>181</v>
      </c>
      <c r="U489" s="4">
        <v>18</v>
      </c>
      <c r="V489" s="4">
        <v>0</v>
      </c>
      <c r="W489" s="4">
        <v>0</v>
      </c>
    </row>
    <row r="490" spans="1:23" ht="11.25" customHeight="1" x14ac:dyDescent="0.25">
      <c r="A490" s="4" t="s">
        <v>21</v>
      </c>
      <c r="B490" s="4" t="s">
        <v>38</v>
      </c>
      <c r="C490" s="4" t="s">
        <v>40</v>
      </c>
      <c r="D490" s="4" t="s">
        <v>43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44682</v>
      </c>
      <c r="J490" s="6">
        <v>599</v>
      </c>
      <c r="K490" s="6">
        <v>575.04</v>
      </c>
      <c r="L490" s="6">
        <v>0</v>
      </c>
      <c r="M490" s="6">
        <v>0</v>
      </c>
      <c r="N490" s="6">
        <v>0</v>
      </c>
      <c r="O490" s="6">
        <v>0</v>
      </c>
      <c r="P490" s="6">
        <v>5</v>
      </c>
      <c r="Q490" s="4" t="s">
        <v>26</v>
      </c>
      <c r="R490" s="4">
        <v>0</v>
      </c>
      <c r="S490" s="4" t="s">
        <v>182</v>
      </c>
      <c r="U490" s="4">
        <v>18</v>
      </c>
      <c r="V490" s="4">
        <v>0</v>
      </c>
      <c r="W490" s="4">
        <v>0</v>
      </c>
    </row>
    <row r="491" spans="1:23" ht="11.25" customHeight="1" x14ac:dyDescent="0.25">
      <c r="A491" s="4" t="s">
        <v>56</v>
      </c>
      <c r="B491" s="4" t="s">
        <v>38</v>
      </c>
      <c r="C491" s="4" t="s">
        <v>40</v>
      </c>
      <c r="D491" s="4" t="s">
        <v>43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44713</v>
      </c>
      <c r="J491" s="6">
        <v>599</v>
      </c>
      <c r="K491" s="6">
        <v>575.04</v>
      </c>
      <c r="L491" s="6">
        <v>0</v>
      </c>
      <c r="M491" s="6">
        <v>0</v>
      </c>
      <c r="N491" s="6">
        <v>0</v>
      </c>
      <c r="O491" s="6">
        <v>0</v>
      </c>
      <c r="P491" s="6">
        <v>5</v>
      </c>
      <c r="Q491" s="4" t="s">
        <v>26</v>
      </c>
      <c r="R491" s="4">
        <v>0</v>
      </c>
      <c r="S491" s="4" t="s">
        <v>183</v>
      </c>
      <c r="U491" s="4">
        <v>18</v>
      </c>
      <c r="V491" s="4">
        <v>0</v>
      </c>
      <c r="W491" s="4">
        <v>0</v>
      </c>
    </row>
    <row r="492" spans="1:23" ht="11.25" customHeight="1" x14ac:dyDescent="0.25">
      <c r="A492" s="4" t="s">
        <v>21</v>
      </c>
      <c r="B492" s="4" t="s">
        <v>38</v>
      </c>
      <c r="C492" s="4" t="s">
        <v>40</v>
      </c>
      <c r="D492" s="4" t="s">
        <v>43</v>
      </c>
      <c r="E492" s="4" t="s">
        <v>25</v>
      </c>
      <c r="F492" s="4" t="s">
        <v>25</v>
      </c>
      <c r="G492" s="4" t="s">
        <v>25</v>
      </c>
      <c r="H492" s="4" t="s">
        <v>33</v>
      </c>
      <c r="I492" s="5">
        <v>44378</v>
      </c>
      <c r="J492" s="6">
        <v>0</v>
      </c>
      <c r="K492" s="6">
        <v>0</v>
      </c>
      <c r="L492" s="6">
        <v>5.2389999999999999</v>
      </c>
      <c r="M492" s="6">
        <v>5.0294400000000001</v>
      </c>
      <c r="N492" s="6">
        <v>5.2389999999999999</v>
      </c>
      <c r="O492" s="6">
        <v>5.0294400000000001</v>
      </c>
      <c r="P492" s="6">
        <v>0</v>
      </c>
      <c r="Q492" s="4" t="s">
        <v>26</v>
      </c>
      <c r="R492" s="4">
        <v>0</v>
      </c>
      <c r="S492" s="4" t="s">
        <v>184</v>
      </c>
      <c r="T492" s="4" t="s">
        <v>377</v>
      </c>
      <c r="U492" s="4">
        <v>0</v>
      </c>
      <c r="V492" s="4">
        <v>16</v>
      </c>
      <c r="W492" s="4">
        <v>47</v>
      </c>
    </row>
    <row r="493" spans="1:23" ht="11.25" customHeight="1" x14ac:dyDescent="0.25">
      <c r="A493" s="4" t="s">
        <v>21</v>
      </c>
      <c r="B493" s="4" t="s">
        <v>38</v>
      </c>
      <c r="C493" s="4" t="s">
        <v>40</v>
      </c>
      <c r="D493" s="4" t="s">
        <v>43</v>
      </c>
      <c r="E493" s="4" t="s">
        <v>25</v>
      </c>
      <c r="F493" s="4" t="s">
        <v>25</v>
      </c>
      <c r="G493" s="4" t="s">
        <v>25</v>
      </c>
      <c r="H493" s="4" t="s">
        <v>33</v>
      </c>
      <c r="I493" s="5">
        <v>44409</v>
      </c>
      <c r="J493" s="6">
        <v>0</v>
      </c>
      <c r="K493" s="6">
        <v>0</v>
      </c>
      <c r="L493" s="6">
        <v>4.5449999999999999</v>
      </c>
      <c r="M493" s="6">
        <v>4.3632</v>
      </c>
      <c r="N493" s="6">
        <v>4.5449999999999999</v>
      </c>
      <c r="O493" s="6">
        <v>4.3632</v>
      </c>
      <c r="P493" s="6">
        <v>0</v>
      </c>
      <c r="Q493" s="4" t="s">
        <v>26</v>
      </c>
      <c r="R493" s="4">
        <v>0</v>
      </c>
      <c r="S493" s="4" t="s">
        <v>185</v>
      </c>
      <c r="T493" s="4" t="s">
        <v>378</v>
      </c>
      <c r="U493" s="4">
        <v>0</v>
      </c>
      <c r="V493" s="4">
        <v>16</v>
      </c>
      <c r="W493" s="4">
        <v>47</v>
      </c>
    </row>
    <row r="494" spans="1:23" ht="11.25" customHeight="1" x14ac:dyDescent="0.25">
      <c r="A494" s="4" t="s">
        <v>21</v>
      </c>
      <c r="B494" s="4" t="s">
        <v>38</v>
      </c>
      <c r="C494" s="4" t="s">
        <v>40</v>
      </c>
      <c r="D494" s="4" t="s">
        <v>43</v>
      </c>
      <c r="E494" s="4" t="s">
        <v>25</v>
      </c>
      <c r="F494" s="4" t="s">
        <v>25</v>
      </c>
      <c r="G494" s="4" t="s">
        <v>25</v>
      </c>
      <c r="H494" s="4" t="s">
        <v>33</v>
      </c>
      <c r="I494" s="5">
        <v>44440</v>
      </c>
      <c r="J494" s="6">
        <v>0</v>
      </c>
      <c r="K494" s="6">
        <v>0</v>
      </c>
      <c r="L494" s="6">
        <v>4.774</v>
      </c>
      <c r="M494" s="6">
        <v>4.5830399999999996</v>
      </c>
      <c r="N494" s="6">
        <v>4.774</v>
      </c>
      <c r="O494" s="6">
        <v>4.5830399999999996</v>
      </c>
      <c r="P494" s="6">
        <v>0</v>
      </c>
      <c r="Q494" s="4" t="s">
        <v>26</v>
      </c>
      <c r="R494" s="4">
        <v>0</v>
      </c>
      <c r="S494" s="4" t="s">
        <v>186</v>
      </c>
      <c r="T494" s="4" t="s">
        <v>379</v>
      </c>
      <c r="U494" s="4">
        <v>0</v>
      </c>
      <c r="V494" s="4">
        <v>16</v>
      </c>
      <c r="W494" s="4">
        <v>47</v>
      </c>
    </row>
    <row r="495" spans="1:23" ht="11.25" customHeight="1" x14ac:dyDescent="0.25">
      <c r="A495" s="4" t="s">
        <v>21</v>
      </c>
      <c r="B495" s="4" t="s">
        <v>38</v>
      </c>
      <c r="C495" s="4" t="s">
        <v>40</v>
      </c>
      <c r="D495" s="4" t="s">
        <v>43</v>
      </c>
      <c r="E495" s="4" t="s">
        <v>25</v>
      </c>
      <c r="F495" s="4" t="s">
        <v>25</v>
      </c>
      <c r="G495" s="4" t="s">
        <v>25</v>
      </c>
      <c r="H495" s="4" t="s">
        <v>33</v>
      </c>
      <c r="I495" s="5">
        <v>44470</v>
      </c>
      <c r="J495" s="6">
        <v>0</v>
      </c>
      <c r="K495" s="6">
        <v>0</v>
      </c>
      <c r="L495" s="6">
        <v>8.2390000000000008</v>
      </c>
      <c r="M495" s="6">
        <v>7.90944</v>
      </c>
      <c r="N495" s="6">
        <v>8.2390000000000008</v>
      </c>
      <c r="O495" s="6">
        <v>7.90944</v>
      </c>
      <c r="P495" s="6">
        <v>0</v>
      </c>
      <c r="Q495" s="4" t="s">
        <v>26</v>
      </c>
      <c r="R495" s="4">
        <v>0</v>
      </c>
      <c r="S495" s="4" t="s">
        <v>187</v>
      </c>
      <c r="T495" s="4" t="s">
        <v>380</v>
      </c>
      <c r="U495" s="4">
        <v>0</v>
      </c>
      <c r="V495" s="4">
        <v>16</v>
      </c>
      <c r="W495" s="4">
        <v>47</v>
      </c>
    </row>
    <row r="496" spans="1:23" ht="11.25" customHeight="1" x14ac:dyDescent="0.25">
      <c r="A496" s="4" t="s">
        <v>21</v>
      </c>
      <c r="B496" s="4" t="s">
        <v>38</v>
      </c>
      <c r="C496" s="4" t="s">
        <v>40</v>
      </c>
      <c r="D496" s="4" t="s">
        <v>43</v>
      </c>
      <c r="E496" s="4" t="s">
        <v>25</v>
      </c>
      <c r="F496" s="4" t="s">
        <v>25</v>
      </c>
      <c r="G496" s="4" t="s">
        <v>25</v>
      </c>
      <c r="H496" s="4" t="s">
        <v>33</v>
      </c>
      <c r="I496" s="5">
        <v>44501</v>
      </c>
      <c r="J496" s="6">
        <v>0</v>
      </c>
      <c r="K496" s="6">
        <v>0</v>
      </c>
      <c r="L496" s="6">
        <v>11.343999999999999</v>
      </c>
      <c r="M496" s="6">
        <v>10.89024</v>
      </c>
      <c r="N496" s="6">
        <v>11.343999999999999</v>
      </c>
      <c r="O496" s="6">
        <v>10.89024</v>
      </c>
      <c r="P496" s="6">
        <v>0</v>
      </c>
      <c r="Q496" s="4" t="s">
        <v>26</v>
      </c>
      <c r="R496" s="4">
        <v>0</v>
      </c>
      <c r="S496" s="4" t="s">
        <v>188</v>
      </c>
      <c r="T496" s="4" t="s">
        <v>381</v>
      </c>
      <c r="U496" s="4">
        <v>0</v>
      </c>
      <c r="V496" s="4">
        <v>16</v>
      </c>
      <c r="W496" s="4">
        <v>47</v>
      </c>
    </row>
    <row r="497" spans="1:23" ht="11.25" customHeight="1" x14ac:dyDescent="0.25">
      <c r="A497" s="4" t="s">
        <v>21</v>
      </c>
      <c r="B497" s="4" t="s">
        <v>38</v>
      </c>
      <c r="C497" s="4" t="s">
        <v>40</v>
      </c>
      <c r="D497" s="4" t="s">
        <v>43</v>
      </c>
      <c r="E497" s="4" t="s">
        <v>25</v>
      </c>
      <c r="F497" s="4" t="s">
        <v>25</v>
      </c>
      <c r="G497" s="4" t="s">
        <v>25</v>
      </c>
      <c r="H497" s="4" t="s">
        <v>33</v>
      </c>
      <c r="I497" s="5">
        <v>44531</v>
      </c>
      <c r="J497" s="6">
        <v>0</v>
      </c>
      <c r="K497" s="6">
        <v>0</v>
      </c>
      <c r="L497" s="6">
        <v>7.3520000000000003</v>
      </c>
      <c r="M497" s="6">
        <v>7.0579200000000002</v>
      </c>
      <c r="N497" s="6">
        <v>7.3520000000000003</v>
      </c>
      <c r="O497" s="6">
        <v>7.0579200000000002</v>
      </c>
      <c r="P497" s="6">
        <v>0</v>
      </c>
      <c r="Q497" s="4" t="s">
        <v>26</v>
      </c>
      <c r="R497" s="4">
        <v>0</v>
      </c>
      <c r="S497" s="4" t="s">
        <v>189</v>
      </c>
      <c r="T497" s="4" t="s">
        <v>382</v>
      </c>
      <c r="U497" s="4">
        <v>0</v>
      </c>
      <c r="V497" s="4">
        <v>16</v>
      </c>
      <c r="W497" s="4">
        <v>47</v>
      </c>
    </row>
    <row r="498" spans="1:23" ht="11.25" customHeight="1" x14ac:dyDescent="0.25">
      <c r="A498" s="4" t="s">
        <v>21</v>
      </c>
      <c r="B498" s="4" t="s">
        <v>38</v>
      </c>
      <c r="C498" s="4" t="s">
        <v>40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33</v>
      </c>
      <c r="I498" s="5">
        <v>44562</v>
      </c>
      <c r="J498" s="6">
        <v>0</v>
      </c>
      <c r="K498" s="6">
        <v>0</v>
      </c>
      <c r="L498" s="6">
        <v>9.4760000000000009</v>
      </c>
      <c r="M498" s="6">
        <v>9.0969599999999993</v>
      </c>
      <c r="N498" s="6">
        <v>9.4760000000000009</v>
      </c>
      <c r="O498" s="6">
        <v>9.0969599999999993</v>
      </c>
      <c r="P498" s="6">
        <v>0</v>
      </c>
      <c r="Q498" s="4" t="s">
        <v>26</v>
      </c>
      <c r="R498" s="4">
        <v>0</v>
      </c>
      <c r="S498" s="4" t="s">
        <v>190</v>
      </c>
      <c r="T498" s="4" t="s">
        <v>383</v>
      </c>
      <c r="U498" s="4">
        <v>0</v>
      </c>
      <c r="V498" s="4">
        <v>16</v>
      </c>
      <c r="W498" s="4">
        <v>47</v>
      </c>
    </row>
    <row r="499" spans="1:23" ht="11.25" customHeight="1" x14ac:dyDescent="0.25">
      <c r="A499" s="4" t="s">
        <v>27</v>
      </c>
      <c r="B499" s="4" t="s">
        <v>38</v>
      </c>
      <c r="C499" s="4" t="s">
        <v>40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33</v>
      </c>
      <c r="I499" s="5">
        <v>44562</v>
      </c>
      <c r="J499" s="6">
        <v>0</v>
      </c>
      <c r="K499" s="6">
        <v>0</v>
      </c>
      <c r="L499" s="6">
        <v>8.0869999999999997</v>
      </c>
      <c r="M499" s="6">
        <v>7.7635199999999998</v>
      </c>
      <c r="N499" s="6">
        <v>8.0869999999999997</v>
      </c>
      <c r="O499" s="6">
        <v>7.7635199999999998</v>
      </c>
      <c r="P499" s="6">
        <v>0</v>
      </c>
      <c r="Q499" s="4" t="s">
        <v>26</v>
      </c>
      <c r="R499" s="4">
        <v>0</v>
      </c>
      <c r="S499" s="4" t="s">
        <v>190</v>
      </c>
      <c r="T499" s="4" t="s">
        <v>383</v>
      </c>
      <c r="U499" s="4">
        <v>0</v>
      </c>
      <c r="V499" s="4">
        <v>16</v>
      </c>
      <c r="W499" s="4">
        <v>47</v>
      </c>
    </row>
    <row r="500" spans="1:23" ht="11.25" customHeight="1" x14ac:dyDescent="0.25">
      <c r="A500" s="4" t="s">
        <v>21</v>
      </c>
      <c r="B500" s="4" t="s">
        <v>38</v>
      </c>
      <c r="C500" s="4" t="s">
        <v>40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33</v>
      </c>
      <c r="I500" s="5">
        <v>44593</v>
      </c>
      <c r="J500" s="6">
        <v>0</v>
      </c>
      <c r="K500" s="6">
        <v>0</v>
      </c>
      <c r="L500" s="6">
        <v>5.8570000000000002</v>
      </c>
      <c r="M500" s="6">
        <v>5.6227200000000002</v>
      </c>
      <c r="N500" s="6">
        <v>5.8570000000000002</v>
      </c>
      <c r="O500" s="6">
        <v>5.6227200000000002</v>
      </c>
      <c r="P500" s="6">
        <v>0</v>
      </c>
      <c r="Q500" s="4" t="s">
        <v>26</v>
      </c>
      <c r="R500" s="4">
        <v>0</v>
      </c>
      <c r="S500" s="4" t="s">
        <v>191</v>
      </c>
      <c r="T500" s="4" t="s">
        <v>384</v>
      </c>
      <c r="U500" s="4">
        <v>0</v>
      </c>
      <c r="V500" s="4">
        <v>16</v>
      </c>
      <c r="W500" s="4">
        <v>47</v>
      </c>
    </row>
    <row r="501" spans="1:23" ht="11.25" customHeight="1" x14ac:dyDescent="0.25">
      <c r="A501" s="4" t="s">
        <v>21</v>
      </c>
      <c r="B501" s="4" t="s">
        <v>38</v>
      </c>
      <c r="C501" s="4" t="s">
        <v>40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33</v>
      </c>
      <c r="I501" s="5">
        <v>44621</v>
      </c>
      <c r="J501" s="6">
        <v>0</v>
      </c>
      <c r="K501" s="6">
        <v>0</v>
      </c>
      <c r="L501" s="6">
        <v>9.6010000000000009</v>
      </c>
      <c r="M501" s="6">
        <v>9.2169600000000003</v>
      </c>
      <c r="N501" s="6">
        <v>9.6010000000000009</v>
      </c>
      <c r="O501" s="6">
        <v>9.2169600000000003</v>
      </c>
      <c r="P501" s="6">
        <v>0</v>
      </c>
      <c r="Q501" s="4" t="s">
        <v>26</v>
      </c>
      <c r="R501" s="4">
        <v>0</v>
      </c>
      <c r="S501" s="4" t="s">
        <v>192</v>
      </c>
      <c r="T501" s="4" t="s">
        <v>385</v>
      </c>
      <c r="U501" s="4">
        <v>0</v>
      </c>
      <c r="V501" s="4">
        <v>16</v>
      </c>
      <c r="W501" s="4">
        <v>47</v>
      </c>
    </row>
    <row r="502" spans="1:23" ht="11.25" customHeight="1" x14ac:dyDescent="0.25">
      <c r="A502" s="4" t="s">
        <v>21</v>
      </c>
      <c r="B502" s="4" t="s">
        <v>38</v>
      </c>
      <c r="C502" s="4" t="s">
        <v>40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33</v>
      </c>
      <c r="I502" s="5">
        <v>44652</v>
      </c>
      <c r="J502" s="6">
        <v>0</v>
      </c>
      <c r="K502" s="6">
        <v>0</v>
      </c>
      <c r="L502" s="6">
        <v>14.144</v>
      </c>
      <c r="M502" s="6">
        <v>13.578239999999999</v>
      </c>
      <c r="N502" s="6">
        <v>14.144</v>
      </c>
      <c r="O502" s="6">
        <v>13.578239999999999</v>
      </c>
      <c r="P502" s="6">
        <v>0</v>
      </c>
      <c r="Q502" s="4" t="s">
        <v>26</v>
      </c>
      <c r="R502" s="4">
        <v>0</v>
      </c>
      <c r="S502" s="4" t="s">
        <v>193</v>
      </c>
      <c r="T502" s="4" t="s">
        <v>386</v>
      </c>
      <c r="U502" s="4">
        <v>0</v>
      </c>
      <c r="V502" s="4">
        <v>16</v>
      </c>
      <c r="W502" s="4">
        <v>47</v>
      </c>
    </row>
    <row r="503" spans="1:23" ht="11.25" customHeight="1" x14ac:dyDescent="0.25">
      <c r="A503" s="4" t="s">
        <v>21</v>
      </c>
      <c r="B503" s="4" t="s">
        <v>38</v>
      </c>
      <c r="C503" s="4" t="s">
        <v>40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33</v>
      </c>
      <c r="I503" s="5">
        <v>44682</v>
      </c>
      <c r="J503" s="6">
        <v>0</v>
      </c>
      <c r="K503" s="6">
        <v>0</v>
      </c>
      <c r="L503" s="6">
        <v>10.738</v>
      </c>
      <c r="M503" s="6">
        <v>10.308479999999999</v>
      </c>
      <c r="N503" s="6">
        <v>10.738</v>
      </c>
      <c r="O503" s="6">
        <v>10.308479999999999</v>
      </c>
      <c r="P503" s="6">
        <v>0</v>
      </c>
      <c r="Q503" s="4" t="s">
        <v>26</v>
      </c>
      <c r="R503" s="4">
        <v>0</v>
      </c>
      <c r="S503" s="4" t="s">
        <v>194</v>
      </c>
      <c r="T503" s="4" t="s">
        <v>387</v>
      </c>
      <c r="U503" s="4">
        <v>0</v>
      </c>
      <c r="V503" s="4">
        <v>16</v>
      </c>
      <c r="W503" s="4">
        <v>47</v>
      </c>
    </row>
    <row r="504" spans="1:23" ht="11.25" customHeight="1" x14ac:dyDescent="0.25">
      <c r="A504" s="4" t="s">
        <v>56</v>
      </c>
      <c r="B504" s="4" t="s">
        <v>38</v>
      </c>
      <c r="C504" s="4" t="s">
        <v>40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33</v>
      </c>
      <c r="I504" s="5">
        <v>44713</v>
      </c>
      <c r="J504" s="6">
        <v>0</v>
      </c>
      <c r="K504" s="6">
        <v>0</v>
      </c>
      <c r="L504" s="6">
        <v>10.738</v>
      </c>
      <c r="M504" s="6">
        <v>10.308479999999999</v>
      </c>
      <c r="N504" s="6">
        <v>10.738</v>
      </c>
      <c r="O504" s="6">
        <v>10.308479999999999</v>
      </c>
      <c r="P504" s="6">
        <v>0</v>
      </c>
      <c r="Q504" s="4" t="s">
        <v>26</v>
      </c>
      <c r="R504" s="4">
        <v>0</v>
      </c>
      <c r="S504" s="4" t="s">
        <v>195</v>
      </c>
      <c r="T504" s="4" t="s">
        <v>388</v>
      </c>
      <c r="U504" s="4">
        <v>0</v>
      </c>
      <c r="V504" s="4">
        <v>16</v>
      </c>
      <c r="W504" s="4">
        <v>47</v>
      </c>
    </row>
    <row r="505" spans="1:23" ht="11.25" customHeight="1" x14ac:dyDescent="0.25">
      <c r="A505" s="4" t="s">
        <v>21</v>
      </c>
      <c r="B505" s="4" t="s">
        <v>22</v>
      </c>
      <c r="C505" s="4" t="s">
        <v>32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34</v>
      </c>
      <c r="I505" s="5">
        <v>44378</v>
      </c>
      <c r="J505" s="6">
        <v>0</v>
      </c>
      <c r="K505" s="6">
        <v>0</v>
      </c>
      <c r="L505" s="6">
        <v>1.181</v>
      </c>
      <c r="M505" s="6">
        <v>1.181</v>
      </c>
      <c r="N505" s="6">
        <v>1.181</v>
      </c>
      <c r="O505" s="6">
        <v>1.181</v>
      </c>
      <c r="P505" s="6">
        <v>0</v>
      </c>
      <c r="Q505" s="4" t="s">
        <v>26</v>
      </c>
      <c r="R505" s="4">
        <v>0</v>
      </c>
      <c r="S505" s="4" t="s">
        <v>196</v>
      </c>
      <c r="T505" s="4" t="s">
        <v>393</v>
      </c>
      <c r="U505" s="4">
        <v>0</v>
      </c>
      <c r="V505" s="4">
        <v>23</v>
      </c>
      <c r="W505" s="4">
        <v>56</v>
      </c>
    </row>
    <row r="506" spans="1:23" ht="11.25" customHeight="1" x14ac:dyDescent="0.25">
      <c r="A506" s="4" t="s">
        <v>21</v>
      </c>
      <c r="B506" s="4" t="s">
        <v>22</v>
      </c>
      <c r="C506" s="4" t="s">
        <v>32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34</v>
      </c>
      <c r="I506" s="5">
        <v>44409</v>
      </c>
      <c r="J506" s="6">
        <v>0</v>
      </c>
      <c r="K506" s="6">
        <v>0</v>
      </c>
      <c r="L506" s="6">
        <v>2.4350000000000001</v>
      </c>
      <c r="M506" s="6">
        <v>2.4350000000000001</v>
      </c>
      <c r="N506" s="6">
        <v>2.4350000000000001</v>
      </c>
      <c r="O506" s="6">
        <v>2.4350000000000001</v>
      </c>
      <c r="P506" s="6">
        <v>0</v>
      </c>
      <c r="Q506" s="4" t="s">
        <v>26</v>
      </c>
      <c r="R506" s="4">
        <v>0</v>
      </c>
      <c r="S506" s="4" t="s">
        <v>197</v>
      </c>
      <c r="T506" s="4" t="s">
        <v>394</v>
      </c>
      <c r="U506" s="4">
        <v>0</v>
      </c>
      <c r="V506" s="4">
        <v>23</v>
      </c>
      <c r="W506" s="4">
        <v>56</v>
      </c>
    </row>
    <row r="507" spans="1:23" ht="11.25" customHeight="1" x14ac:dyDescent="0.25">
      <c r="A507" s="4" t="s">
        <v>21</v>
      </c>
      <c r="B507" s="4" t="s">
        <v>22</v>
      </c>
      <c r="C507" s="4" t="s">
        <v>32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34</v>
      </c>
      <c r="I507" s="5">
        <v>44440</v>
      </c>
      <c r="J507" s="6">
        <v>0</v>
      </c>
      <c r="K507" s="6">
        <v>0</v>
      </c>
      <c r="L507" s="6">
        <v>0.71899999999999997</v>
      </c>
      <c r="M507" s="6">
        <v>0.71899999999999997</v>
      </c>
      <c r="N507" s="6">
        <v>0.71899999999999997</v>
      </c>
      <c r="O507" s="6">
        <v>0.71899999999999997</v>
      </c>
      <c r="P507" s="6">
        <v>0</v>
      </c>
      <c r="Q507" s="4" t="s">
        <v>26</v>
      </c>
      <c r="R507" s="4">
        <v>0</v>
      </c>
      <c r="S507" s="4" t="s">
        <v>198</v>
      </c>
      <c r="T507" s="4" t="s">
        <v>395</v>
      </c>
      <c r="U507" s="4">
        <v>0</v>
      </c>
      <c r="V507" s="4">
        <v>23</v>
      </c>
      <c r="W507" s="4">
        <v>56</v>
      </c>
    </row>
    <row r="508" spans="1:23" ht="11.25" customHeight="1" x14ac:dyDescent="0.25">
      <c r="A508" s="4" t="s">
        <v>21</v>
      </c>
      <c r="B508" s="4" t="s">
        <v>22</v>
      </c>
      <c r="C508" s="4" t="s">
        <v>32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34</v>
      </c>
      <c r="I508" s="5">
        <v>44470</v>
      </c>
      <c r="J508" s="6">
        <v>0</v>
      </c>
      <c r="K508" s="6">
        <v>0</v>
      </c>
      <c r="L508" s="6">
        <v>0.75900000000000001</v>
      </c>
      <c r="M508" s="6">
        <v>0.75900000000000001</v>
      </c>
      <c r="N508" s="6">
        <v>0.75900000000000001</v>
      </c>
      <c r="O508" s="6">
        <v>0.75900000000000001</v>
      </c>
      <c r="P508" s="6">
        <v>0</v>
      </c>
      <c r="Q508" s="4" t="s">
        <v>26</v>
      </c>
      <c r="R508" s="4">
        <v>0</v>
      </c>
      <c r="S508" s="4" t="s">
        <v>199</v>
      </c>
      <c r="T508" s="4" t="s">
        <v>396</v>
      </c>
      <c r="U508" s="4">
        <v>0</v>
      </c>
      <c r="V508" s="4">
        <v>23</v>
      </c>
      <c r="W508" s="4">
        <v>56</v>
      </c>
    </row>
    <row r="509" spans="1:23" ht="11.25" customHeight="1" x14ac:dyDescent="0.25">
      <c r="A509" s="4" t="s">
        <v>21</v>
      </c>
      <c r="B509" s="4" t="s">
        <v>22</v>
      </c>
      <c r="C509" s="4" t="s">
        <v>32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34</v>
      </c>
      <c r="I509" s="5">
        <v>44501</v>
      </c>
      <c r="J509" s="6">
        <v>0</v>
      </c>
      <c r="K509" s="6">
        <v>0</v>
      </c>
      <c r="L509" s="6">
        <v>0.91500000000000004</v>
      </c>
      <c r="M509" s="6">
        <v>0.91500000000000004</v>
      </c>
      <c r="N509" s="6">
        <v>0.91500000000000004</v>
      </c>
      <c r="O509" s="6">
        <v>0.91500000000000004</v>
      </c>
      <c r="P509" s="6">
        <v>0</v>
      </c>
      <c r="Q509" s="4" t="s">
        <v>26</v>
      </c>
      <c r="R509" s="4">
        <v>0</v>
      </c>
      <c r="S509" s="4" t="s">
        <v>200</v>
      </c>
      <c r="T509" s="4" t="s">
        <v>397</v>
      </c>
      <c r="U509" s="4">
        <v>0</v>
      </c>
      <c r="V509" s="4">
        <v>23</v>
      </c>
      <c r="W509" s="4">
        <v>56</v>
      </c>
    </row>
    <row r="510" spans="1:23" ht="11.25" customHeight="1" x14ac:dyDescent="0.25">
      <c r="A510" s="4" t="s">
        <v>21</v>
      </c>
      <c r="B510" s="4" t="s">
        <v>22</v>
      </c>
      <c r="C510" s="4" t="s">
        <v>32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34</v>
      </c>
      <c r="I510" s="5">
        <v>44531</v>
      </c>
      <c r="J510" s="6">
        <v>0</v>
      </c>
      <c r="K510" s="6">
        <v>0</v>
      </c>
      <c r="L510" s="6">
        <v>1.01</v>
      </c>
      <c r="M510" s="6">
        <v>1.01</v>
      </c>
      <c r="N510" s="6">
        <v>1.01</v>
      </c>
      <c r="O510" s="6">
        <v>1.01</v>
      </c>
      <c r="P510" s="6">
        <v>0</v>
      </c>
      <c r="Q510" s="4" t="s">
        <v>26</v>
      </c>
      <c r="R510" s="4">
        <v>0</v>
      </c>
      <c r="S510" s="4" t="s">
        <v>201</v>
      </c>
      <c r="T510" s="4" t="s">
        <v>398</v>
      </c>
      <c r="U510" s="4">
        <v>0</v>
      </c>
      <c r="V510" s="4">
        <v>23</v>
      </c>
      <c r="W510" s="4">
        <v>56</v>
      </c>
    </row>
    <row r="511" spans="1:23" ht="11.25" customHeight="1" x14ac:dyDescent="0.25">
      <c r="A511" s="4" t="s">
        <v>21</v>
      </c>
      <c r="B511" s="4" t="s">
        <v>22</v>
      </c>
      <c r="C511" s="4" t="s">
        <v>32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34</v>
      </c>
      <c r="I511" s="5">
        <v>44562</v>
      </c>
      <c r="J511" s="6">
        <v>0</v>
      </c>
      <c r="K511" s="6">
        <v>0</v>
      </c>
      <c r="L511" s="6">
        <v>1.4059999999999999</v>
      </c>
      <c r="M511" s="6">
        <v>1.4059999999999999</v>
      </c>
      <c r="N511" s="6">
        <v>1.4059999999999999</v>
      </c>
      <c r="O511" s="6">
        <v>1.4059999999999999</v>
      </c>
      <c r="P511" s="6">
        <v>0</v>
      </c>
      <c r="Q511" s="4" t="s">
        <v>26</v>
      </c>
      <c r="R511" s="4">
        <v>0</v>
      </c>
      <c r="S511" s="4" t="s">
        <v>202</v>
      </c>
      <c r="T511" s="4" t="s">
        <v>399</v>
      </c>
      <c r="U511" s="4">
        <v>0</v>
      </c>
      <c r="V511" s="4">
        <v>23</v>
      </c>
      <c r="W511" s="4">
        <v>56</v>
      </c>
    </row>
    <row r="512" spans="1:23" ht="11.25" customHeight="1" x14ac:dyDescent="0.25">
      <c r="A512" s="4" t="s">
        <v>21</v>
      </c>
      <c r="B512" s="4" t="s">
        <v>22</v>
      </c>
      <c r="C512" s="4" t="s">
        <v>32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34</v>
      </c>
      <c r="I512" s="5">
        <v>44593</v>
      </c>
      <c r="J512" s="6">
        <v>0</v>
      </c>
      <c r="K512" s="6">
        <v>0</v>
      </c>
      <c r="L512" s="6">
        <v>0.307</v>
      </c>
      <c r="M512" s="6">
        <v>0.307</v>
      </c>
      <c r="N512" s="6">
        <v>0.307</v>
      </c>
      <c r="O512" s="6">
        <v>0.307</v>
      </c>
      <c r="P512" s="6">
        <v>0</v>
      </c>
      <c r="Q512" s="4" t="s">
        <v>26</v>
      </c>
      <c r="R512" s="4">
        <v>0</v>
      </c>
      <c r="S512" s="4" t="s">
        <v>203</v>
      </c>
      <c r="T512" s="4" t="s">
        <v>400</v>
      </c>
      <c r="U512" s="4">
        <v>0</v>
      </c>
      <c r="V512" s="4">
        <v>23</v>
      </c>
      <c r="W512" s="4">
        <v>56</v>
      </c>
    </row>
    <row r="513" spans="1:23" ht="11.25" customHeight="1" x14ac:dyDescent="0.25">
      <c r="A513" s="4" t="s">
        <v>21</v>
      </c>
      <c r="B513" s="4" t="s">
        <v>22</v>
      </c>
      <c r="C513" s="4" t="s">
        <v>32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34</v>
      </c>
      <c r="I513" s="5">
        <v>44621</v>
      </c>
      <c r="J513" s="6">
        <v>0</v>
      </c>
      <c r="K513" s="6">
        <v>0</v>
      </c>
      <c r="L513" s="6">
        <v>0.92500000000000004</v>
      </c>
      <c r="M513" s="6">
        <v>0.92500000000000004</v>
      </c>
      <c r="N513" s="6">
        <v>0.92500000000000004</v>
      </c>
      <c r="O513" s="6">
        <v>0.92500000000000004</v>
      </c>
      <c r="P513" s="6">
        <v>0</v>
      </c>
      <c r="Q513" s="4" t="s">
        <v>26</v>
      </c>
      <c r="R513" s="4">
        <v>0</v>
      </c>
      <c r="S513" s="4" t="s">
        <v>204</v>
      </c>
      <c r="T513" s="4" t="s">
        <v>401</v>
      </c>
      <c r="U513" s="4">
        <v>0</v>
      </c>
      <c r="V513" s="4">
        <v>23</v>
      </c>
      <c r="W513" s="4">
        <v>56</v>
      </c>
    </row>
    <row r="514" spans="1:23" ht="11.25" customHeight="1" x14ac:dyDescent="0.25">
      <c r="A514" s="4" t="s">
        <v>21</v>
      </c>
      <c r="B514" s="4" t="s">
        <v>22</v>
      </c>
      <c r="C514" s="4" t="s">
        <v>32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34</v>
      </c>
      <c r="I514" s="5">
        <v>44652</v>
      </c>
      <c r="J514" s="6">
        <v>0</v>
      </c>
      <c r="K514" s="6">
        <v>0</v>
      </c>
      <c r="L514" s="6">
        <v>0.69899999999999995</v>
      </c>
      <c r="M514" s="6">
        <v>0.69899999999999995</v>
      </c>
      <c r="N514" s="6">
        <v>0.69899999999999995</v>
      </c>
      <c r="O514" s="6">
        <v>0.69899999999999995</v>
      </c>
      <c r="P514" s="6">
        <v>0</v>
      </c>
      <c r="Q514" s="4" t="s">
        <v>26</v>
      </c>
      <c r="R514" s="4">
        <v>0</v>
      </c>
      <c r="S514" s="4" t="s">
        <v>205</v>
      </c>
      <c r="T514" s="4" t="s">
        <v>402</v>
      </c>
      <c r="U514" s="4">
        <v>0</v>
      </c>
      <c r="V514" s="4">
        <v>23</v>
      </c>
      <c r="W514" s="4">
        <v>56</v>
      </c>
    </row>
    <row r="515" spans="1:23" ht="11.25" customHeight="1" x14ac:dyDescent="0.25">
      <c r="A515" s="4" t="s">
        <v>21</v>
      </c>
      <c r="B515" s="4" t="s">
        <v>22</v>
      </c>
      <c r="C515" s="4" t="s">
        <v>32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44682</v>
      </c>
      <c r="J515" s="6">
        <v>0</v>
      </c>
      <c r="K515" s="6">
        <v>0</v>
      </c>
      <c r="L515" s="6">
        <v>0.75600000000000001</v>
      </c>
      <c r="M515" s="6">
        <v>0.75600000000000001</v>
      </c>
      <c r="N515" s="6">
        <v>0.75600000000000001</v>
      </c>
      <c r="O515" s="6">
        <v>0.75600000000000001</v>
      </c>
      <c r="P515" s="6">
        <v>0</v>
      </c>
      <c r="Q515" s="4" t="s">
        <v>26</v>
      </c>
      <c r="R515" s="4">
        <v>0</v>
      </c>
      <c r="S515" s="4" t="s">
        <v>206</v>
      </c>
      <c r="T515" s="4" t="s">
        <v>403</v>
      </c>
      <c r="U515" s="4">
        <v>0</v>
      </c>
      <c r="V515" s="4">
        <v>23</v>
      </c>
      <c r="W515" s="4">
        <v>56</v>
      </c>
    </row>
    <row r="516" spans="1:23" ht="11.25" customHeight="1" x14ac:dyDescent="0.25">
      <c r="A516" s="4" t="s">
        <v>56</v>
      </c>
      <c r="B516" s="4" t="s">
        <v>22</v>
      </c>
      <c r="C516" s="4" t="s">
        <v>32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44713</v>
      </c>
      <c r="J516" s="6">
        <v>0</v>
      </c>
      <c r="K516" s="6">
        <v>0</v>
      </c>
      <c r="L516" s="6">
        <v>0.75600000000000001</v>
      </c>
      <c r="M516" s="6">
        <v>0.75600000000000001</v>
      </c>
      <c r="N516" s="6">
        <v>0.75600000000000001</v>
      </c>
      <c r="O516" s="6">
        <v>0.75600000000000001</v>
      </c>
      <c r="P516" s="6">
        <v>0</v>
      </c>
      <c r="Q516" s="4" t="s">
        <v>26</v>
      </c>
      <c r="R516" s="4">
        <v>0</v>
      </c>
      <c r="S516" s="4" t="s">
        <v>207</v>
      </c>
      <c r="T516" s="4" t="s">
        <v>404</v>
      </c>
      <c r="U516" s="4">
        <v>0</v>
      </c>
      <c r="V516" s="4">
        <v>23</v>
      </c>
      <c r="W516" s="4">
        <v>56</v>
      </c>
    </row>
    <row r="517" spans="1:23" ht="11.25" customHeight="1" x14ac:dyDescent="0.25">
      <c r="A517" s="4" t="s">
        <v>21</v>
      </c>
      <c r="B517" s="4" t="s">
        <v>22</v>
      </c>
      <c r="C517" s="4" t="s">
        <v>32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35</v>
      </c>
      <c r="I517" s="5">
        <v>44378</v>
      </c>
      <c r="J517" s="6">
        <v>0</v>
      </c>
      <c r="K517" s="6">
        <v>0</v>
      </c>
      <c r="L517" s="6">
        <v>3.2000000000000001E-2</v>
      </c>
      <c r="M517" s="6">
        <v>3.2000000000000001E-2</v>
      </c>
      <c r="N517" s="6">
        <v>3.2000000000000001E-2</v>
      </c>
      <c r="O517" s="6">
        <v>3.2000000000000001E-2</v>
      </c>
      <c r="P517" s="6">
        <v>0</v>
      </c>
      <c r="Q517" s="4" t="s">
        <v>26</v>
      </c>
      <c r="R517" s="4">
        <v>0</v>
      </c>
      <c r="S517" s="4" t="s">
        <v>208</v>
      </c>
      <c r="T517" s="4" t="s">
        <v>405</v>
      </c>
      <c r="U517" s="4">
        <v>0</v>
      </c>
      <c r="V517" s="4">
        <v>4</v>
      </c>
      <c r="W517" s="4">
        <v>40</v>
      </c>
    </row>
    <row r="518" spans="1:23" ht="11.25" customHeight="1" x14ac:dyDescent="0.25">
      <c r="A518" s="4" t="s">
        <v>21</v>
      </c>
      <c r="B518" s="4" t="s">
        <v>22</v>
      </c>
      <c r="C518" s="4" t="s">
        <v>32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35</v>
      </c>
      <c r="I518" s="5">
        <v>44409</v>
      </c>
      <c r="J518" s="6">
        <v>0</v>
      </c>
      <c r="K518" s="6">
        <v>0</v>
      </c>
      <c r="L518" s="6">
        <v>3.3000000000000002E-2</v>
      </c>
      <c r="M518" s="6">
        <v>3.3000000000000002E-2</v>
      </c>
      <c r="N518" s="6">
        <v>3.3000000000000002E-2</v>
      </c>
      <c r="O518" s="6">
        <v>3.3000000000000002E-2</v>
      </c>
      <c r="P518" s="6">
        <v>0</v>
      </c>
      <c r="Q518" s="4" t="s">
        <v>26</v>
      </c>
      <c r="R518" s="4">
        <v>0</v>
      </c>
      <c r="S518" s="4" t="s">
        <v>209</v>
      </c>
      <c r="T518" s="4" t="s">
        <v>406</v>
      </c>
      <c r="U518" s="4">
        <v>0</v>
      </c>
      <c r="V518" s="4">
        <v>4</v>
      </c>
      <c r="W518" s="4">
        <v>40</v>
      </c>
    </row>
    <row r="519" spans="1:23" ht="11.25" customHeight="1" x14ac:dyDescent="0.25">
      <c r="A519" s="4" t="s">
        <v>21</v>
      </c>
      <c r="B519" s="4" t="s">
        <v>22</v>
      </c>
      <c r="C519" s="4" t="s">
        <v>32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35</v>
      </c>
      <c r="I519" s="5">
        <v>44440</v>
      </c>
      <c r="J519" s="6">
        <v>0</v>
      </c>
      <c r="K519" s="6">
        <v>0</v>
      </c>
      <c r="L519" s="6">
        <v>3.9E-2</v>
      </c>
      <c r="M519" s="6">
        <v>3.9E-2</v>
      </c>
      <c r="N519" s="6">
        <v>3.9E-2</v>
      </c>
      <c r="O519" s="6">
        <v>3.9E-2</v>
      </c>
      <c r="P519" s="6">
        <v>0</v>
      </c>
      <c r="Q519" s="4" t="s">
        <v>26</v>
      </c>
      <c r="R519" s="4">
        <v>0</v>
      </c>
      <c r="S519" s="4" t="s">
        <v>210</v>
      </c>
      <c r="T519" s="4" t="s">
        <v>407</v>
      </c>
      <c r="U519" s="4">
        <v>0</v>
      </c>
      <c r="V519" s="4">
        <v>4</v>
      </c>
      <c r="W519" s="4">
        <v>40</v>
      </c>
    </row>
    <row r="520" spans="1:23" ht="11.25" customHeight="1" x14ac:dyDescent="0.25">
      <c r="A520" s="4" t="s">
        <v>21</v>
      </c>
      <c r="B520" s="4" t="s">
        <v>22</v>
      </c>
      <c r="C520" s="4" t="s">
        <v>32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35</v>
      </c>
      <c r="I520" s="5">
        <v>44470</v>
      </c>
      <c r="J520" s="6">
        <v>0</v>
      </c>
      <c r="K520" s="6">
        <v>0</v>
      </c>
      <c r="L520" s="6">
        <v>3.5999999999999997E-2</v>
      </c>
      <c r="M520" s="6">
        <v>3.5999999999999997E-2</v>
      </c>
      <c r="N520" s="6">
        <v>3.5999999999999997E-2</v>
      </c>
      <c r="O520" s="6">
        <v>3.5999999999999997E-2</v>
      </c>
      <c r="P520" s="6">
        <v>0</v>
      </c>
      <c r="Q520" s="4" t="s">
        <v>26</v>
      </c>
      <c r="R520" s="4">
        <v>0</v>
      </c>
      <c r="S520" s="4" t="s">
        <v>211</v>
      </c>
      <c r="T520" s="4" t="s">
        <v>408</v>
      </c>
      <c r="U520" s="4">
        <v>0</v>
      </c>
      <c r="V520" s="4">
        <v>4</v>
      </c>
      <c r="W520" s="4">
        <v>40</v>
      </c>
    </row>
    <row r="521" spans="1:23" ht="11.25" customHeight="1" x14ac:dyDescent="0.25">
      <c r="A521" s="4" t="s">
        <v>21</v>
      </c>
      <c r="B521" s="4" t="s">
        <v>22</v>
      </c>
      <c r="C521" s="4" t="s">
        <v>32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35</v>
      </c>
      <c r="I521" s="5">
        <v>44501</v>
      </c>
      <c r="J521" s="6">
        <v>0</v>
      </c>
      <c r="K521" s="6">
        <v>0</v>
      </c>
      <c r="L521" s="6">
        <v>5.3999999999999999E-2</v>
      </c>
      <c r="M521" s="6">
        <v>5.3999999999999999E-2</v>
      </c>
      <c r="N521" s="6">
        <v>5.3999999999999999E-2</v>
      </c>
      <c r="O521" s="6">
        <v>5.3999999999999999E-2</v>
      </c>
      <c r="P521" s="6">
        <v>0</v>
      </c>
      <c r="Q521" s="4" t="s">
        <v>26</v>
      </c>
      <c r="R521" s="4">
        <v>0</v>
      </c>
      <c r="S521" s="4" t="s">
        <v>212</v>
      </c>
      <c r="T521" s="4" t="s">
        <v>409</v>
      </c>
      <c r="U521" s="4">
        <v>0</v>
      </c>
      <c r="V521" s="4">
        <v>4</v>
      </c>
      <c r="W521" s="4">
        <v>40</v>
      </c>
    </row>
    <row r="522" spans="1:23" ht="11.25" customHeight="1" x14ac:dyDescent="0.25">
      <c r="A522" s="4" t="s">
        <v>21</v>
      </c>
      <c r="B522" s="4" t="s">
        <v>22</v>
      </c>
      <c r="C522" s="4" t="s">
        <v>32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35</v>
      </c>
      <c r="I522" s="5">
        <v>44531</v>
      </c>
      <c r="J522" s="6">
        <v>0</v>
      </c>
      <c r="K522" s="6">
        <v>0</v>
      </c>
      <c r="L522" s="6">
        <v>0.08</v>
      </c>
      <c r="M522" s="6">
        <v>0.08</v>
      </c>
      <c r="N522" s="6">
        <v>0.08</v>
      </c>
      <c r="O522" s="6">
        <v>0.08</v>
      </c>
      <c r="P522" s="6">
        <v>0</v>
      </c>
      <c r="Q522" s="4" t="s">
        <v>26</v>
      </c>
      <c r="R522" s="4">
        <v>0</v>
      </c>
      <c r="S522" s="4" t="s">
        <v>213</v>
      </c>
      <c r="T522" s="4" t="s">
        <v>410</v>
      </c>
      <c r="U522" s="4">
        <v>0</v>
      </c>
      <c r="V522" s="4">
        <v>4</v>
      </c>
      <c r="W522" s="4">
        <v>40</v>
      </c>
    </row>
    <row r="523" spans="1:23" ht="11.25" customHeight="1" x14ac:dyDescent="0.25">
      <c r="A523" s="4" t="s">
        <v>21</v>
      </c>
      <c r="B523" s="4" t="s">
        <v>22</v>
      </c>
      <c r="C523" s="4" t="s">
        <v>32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35</v>
      </c>
      <c r="I523" s="5">
        <v>44562</v>
      </c>
      <c r="J523" s="6">
        <v>0</v>
      </c>
      <c r="K523" s="6">
        <v>0</v>
      </c>
      <c r="L523" s="6">
        <v>0.1</v>
      </c>
      <c r="M523" s="6">
        <v>0.1</v>
      </c>
      <c r="N523" s="6">
        <v>0.1</v>
      </c>
      <c r="O523" s="6">
        <v>0.1</v>
      </c>
      <c r="P523" s="6">
        <v>0</v>
      </c>
      <c r="Q523" s="4" t="s">
        <v>26</v>
      </c>
      <c r="R523" s="4">
        <v>0</v>
      </c>
      <c r="S523" s="4" t="s">
        <v>214</v>
      </c>
      <c r="T523" s="4" t="s">
        <v>411</v>
      </c>
      <c r="U523" s="4">
        <v>0</v>
      </c>
      <c r="V523" s="4">
        <v>4</v>
      </c>
      <c r="W523" s="4">
        <v>40</v>
      </c>
    </row>
    <row r="524" spans="1:23" ht="11.25" customHeight="1" x14ac:dyDescent="0.25">
      <c r="A524" s="4" t="s">
        <v>21</v>
      </c>
      <c r="B524" s="4" t="s">
        <v>22</v>
      </c>
      <c r="C524" s="4" t="s">
        <v>32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35</v>
      </c>
      <c r="I524" s="5">
        <v>44593</v>
      </c>
      <c r="J524" s="6">
        <v>0</v>
      </c>
      <c r="K524" s="6">
        <v>0</v>
      </c>
      <c r="L524" s="6">
        <v>3.5000000000000003E-2</v>
      </c>
      <c r="M524" s="6">
        <v>3.5000000000000003E-2</v>
      </c>
      <c r="N524" s="6">
        <v>3.5000000000000003E-2</v>
      </c>
      <c r="O524" s="6">
        <v>3.5000000000000003E-2</v>
      </c>
      <c r="P524" s="6">
        <v>0</v>
      </c>
      <c r="Q524" s="4" t="s">
        <v>26</v>
      </c>
      <c r="R524" s="4">
        <v>0</v>
      </c>
      <c r="S524" s="4" t="s">
        <v>215</v>
      </c>
      <c r="T524" s="4" t="s">
        <v>412</v>
      </c>
      <c r="U524" s="4">
        <v>0</v>
      </c>
      <c r="V524" s="4">
        <v>4</v>
      </c>
      <c r="W524" s="4">
        <v>40</v>
      </c>
    </row>
    <row r="525" spans="1:23" ht="11.25" customHeight="1" x14ac:dyDescent="0.25">
      <c r="A525" s="4" t="s">
        <v>21</v>
      </c>
      <c r="B525" s="4" t="s">
        <v>22</v>
      </c>
      <c r="C525" s="4" t="s">
        <v>32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35</v>
      </c>
      <c r="I525" s="5">
        <v>44621</v>
      </c>
      <c r="J525" s="6">
        <v>0</v>
      </c>
      <c r="K525" s="6">
        <v>0</v>
      </c>
      <c r="L525" s="6">
        <v>0.129</v>
      </c>
      <c r="M525" s="6">
        <v>0.129</v>
      </c>
      <c r="N525" s="6">
        <v>0.129</v>
      </c>
      <c r="O525" s="6">
        <v>0.129</v>
      </c>
      <c r="P525" s="6">
        <v>0</v>
      </c>
      <c r="Q525" s="4" t="s">
        <v>26</v>
      </c>
      <c r="R525" s="4">
        <v>0</v>
      </c>
      <c r="S525" s="4" t="s">
        <v>216</v>
      </c>
      <c r="T525" s="4" t="s">
        <v>413</v>
      </c>
      <c r="U525" s="4">
        <v>0</v>
      </c>
      <c r="V525" s="4">
        <v>4</v>
      </c>
      <c r="W525" s="4">
        <v>40</v>
      </c>
    </row>
    <row r="526" spans="1:23" ht="11.25" customHeight="1" x14ac:dyDescent="0.25">
      <c r="A526" s="4" t="s">
        <v>21</v>
      </c>
      <c r="B526" s="4" t="s">
        <v>22</v>
      </c>
      <c r="C526" s="4" t="s">
        <v>32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35</v>
      </c>
      <c r="I526" s="5">
        <v>44652</v>
      </c>
      <c r="J526" s="6">
        <v>0</v>
      </c>
      <c r="K526" s="6">
        <v>0</v>
      </c>
      <c r="L526" s="6">
        <v>3.4000000000000002E-2</v>
      </c>
      <c r="M526" s="6">
        <v>3.4000000000000002E-2</v>
      </c>
      <c r="N526" s="6">
        <v>3.4000000000000002E-2</v>
      </c>
      <c r="O526" s="6">
        <v>3.4000000000000002E-2</v>
      </c>
      <c r="P526" s="6">
        <v>0</v>
      </c>
      <c r="Q526" s="4" t="s">
        <v>26</v>
      </c>
      <c r="R526" s="4">
        <v>0</v>
      </c>
      <c r="S526" s="4" t="s">
        <v>217</v>
      </c>
      <c r="T526" s="4" t="s">
        <v>414</v>
      </c>
      <c r="U526" s="4">
        <v>0</v>
      </c>
      <c r="V526" s="4">
        <v>4</v>
      </c>
      <c r="W526" s="4">
        <v>40</v>
      </c>
    </row>
    <row r="527" spans="1:23" ht="11.25" customHeight="1" x14ac:dyDescent="0.25">
      <c r="A527" s="4" t="s">
        <v>21</v>
      </c>
      <c r="B527" s="4" t="s">
        <v>22</v>
      </c>
      <c r="C527" s="4" t="s">
        <v>32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35</v>
      </c>
      <c r="I527" s="5">
        <v>44682</v>
      </c>
      <c r="J527" s="6">
        <v>0</v>
      </c>
      <c r="K527" s="6">
        <v>0</v>
      </c>
      <c r="L527" s="6">
        <v>3.7999999999999999E-2</v>
      </c>
      <c r="M527" s="6">
        <v>3.7999999999999999E-2</v>
      </c>
      <c r="N527" s="6">
        <v>3.7999999999999999E-2</v>
      </c>
      <c r="O527" s="6">
        <v>3.7999999999999999E-2</v>
      </c>
      <c r="P527" s="6">
        <v>0</v>
      </c>
      <c r="Q527" s="4" t="s">
        <v>26</v>
      </c>
      <c r="R527" s="4">
        <v>0</v>
      </c>
      <c r="S527" s="4" t="s">
        <v>218</v>
      </c>
      <c r="T527" s="4" t="s">
        <v>415</v>
      </c>
      <c r="U527" s="4">
        <v>0</v>
      </c>
      <c r="V527" s="4">
        <v>4</v>
      </c>
      <c r="W527" s="4">
        <v>40</v>
      </c>
    </row>
    <row r="528" spans="1:23" ht="11.25" customHeight="1" x14ac:dyDescent="0.25">
      <c r="A528" s="4" t="s">
        <v>56</v>
      </c>
      <c r="B528" s="4" t="s">
        <v>22</v>
      </c>
      <c r="C528" s="4" t="s">
        <v>32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35</v>
      </c>
      <c r="I528" s="5">
        <v>44713</v>
      </c>
      <c r="J528" s="6">
        <v>0</v>
      </c>
      <c r="K528" s="6">
        <v>0</v>
      </c>
      <c r="L528" s="6">
        <v>3.7999999999999999E-2</v>
      </c>
      <c r="M528" s="6">
        <v>3.7999999999999999E-2</v>
      </c>
      <c r="N528" s="6">
        <v>3.7999999999999999E-2</v>
      </c>
      <c r="O528" s="6">
        <v>3.7999999999999999E-2</v>
      </c>
      <c r="P528" s="6">
        <v>0</v>
      </c>
      <c r="Q528" s="4" t="s">
        <v>26</v>
      </c>
      <c r="R528" s="4">
        <v>0</v>
      </c>
      <c r="S528" s="4" t="s">
        <v>219</v>
      </c>
      <c r="T528" s="4" t="s">
        <v>416</v>
      </c>
      <c r="U528" s="4">
        <v>0</v>
      </c>
      <c r="V528" s="4">
        <v>4</v>
      </c>
      <c r="W528" s="4">
        <v>40</v>
      </c>
    </row>
    <row r="529" spans="1:23" ht="11.25" customHeight="1" x14ac:dyDescent="0.25">
      <c r="A529" s="4" t="s">
        <v>21</v>
      </c>
      <c r="B529" s="4" t="s">
        <v>22</v>
      </c>
      <c r="C529" s="4" t="s">
        <v>32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33</v>
      </c>
      <c r="I529" s="5">
        <v>44378</v>
      </c>
      <c r="J529" s="6">
        <v>0</v>
      </c>
      <c r="K529" s="6">
        <v>0</v>
      </c>
      <c r="L529" s="6">
        <v>8.3000000000000004E-2</v>
      </c>
      <c r="M529" s="6">
        <v>8.3000000000000004E-2</v>
      </c>
      <c r="N529" s="6">
        <v>8.3000000000000004E-2</v>
      </c>
      <c r="O529" s="6">
        <v>8.3000000000000004E-2</v>
      </c>
      <c r="P529" s="6">
        <v>0</v>
      </c>
      <c r="Q529" s="4" t="s">
        <v>26</v>
      </c>
      <c r="R529" s="4">
        <v>0</v>
      </c>
      <c r="S529" s="4" t="s">
        <v>220</v>
      </c>
      <c r="T529" s="4" t="s">
        <v>417</v>
      </c>
      <c r="U529" s="4">
        <v>0</v>
      </c>
      <c r="V529" s="4">
        <v>1</v>
      </c>
      <c r="W529" s="4">
        <v>48</v>
      </c>
    </row>
    <row r="530" spans="1:23" ht="11.25" customHeight="1" x14ac:dyDescent="0.25">
      <c r="A530" s="4" t="s">
        <v>21</v>
      </c>
      <c r="B530" s="4" t="s">
        <v>22</v>
      </c>
      <c r="C530" s="4" t="s">
        <v>32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33</v>
      </c>
      <c r="I530" s="5">
        <v>44409</v>
      </c>
      <c r="J530" s="6">
        <v>0</v>
      </c>
      <c r="K530" s="6">
        <v>0</v>
      </c>
      <c r="L530" s="6">
        <v>6.2E-2</v>
      </c>
      <c r="M530" s="6">
        <v>6.2E-2</v>
      </c>
      <c r="N530" s="6">
        <v>6.2E-2</v>
      </c>
      <c r="O530" s="6">
        <v>6.2E-2</v>
      </c>
      <c r="P530" s="6">
        <v>0</v>
      </c>
      <c r="Q530" s="4" t="s">
        <v>26</v>
      </c>
      <c r="R530" s="4">
        <v>0</v>
      </c>
      <c r="S530" s="4" t="s">
        <v>221</v>
      </c>
      <c r="T530" s="4" t="s">
        <v>418</v>
      </c>
      <c r="U530" s="4">
        <v>0</v>
      </c>
      <c r="V530" s="4">
        <v>1</v>
      </c>
      <c r="W530" s="4">
        <v>48</v>
      </c>
    </row>
    <row r="531" spans="1:23" ht="11.25" customHeight="1" x14ac:dyDescent="0.25">
      <c r="A531" s="4" t="s">
        <v>21</v>
      </c>
      <c r="B531" s="4" t="s">
        <v>22</v>
      </c>
      <c r="C531" s="4" t="s">
        <v>32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33</v>
      </c>
      <c r="I531" s="5">
        <v>44440</v>
      </c>
      <c r="J531" s="6">
        <v>0</v>
      </c>
      <c r="K531" s="6">
        <v>0</v>
      </c>
      <c r="L531" s="6">
        <v>7.3999999999999996E-2</v>
      </c>
      <c r="M531" s="6">
        <v>7.3999999999999996E-2</v>
      </c>
      <c r="N531" s="6">
        <v>7.3999999999999996E-2</v>
      </c>
      <c r="O531" s="6">
        <v>7.3999999999999996E-2</v>
      </c>
      <c r="P531" s="6">
        <v>0</v>
      </c>
      <c r="Q531" s="4" t="s">
        <v>26</v>
      </c>
      <c r="R531" s="4">
        <v>0</v>
      </c>
      <c r="S531" s="4" t="s">
        <v>222</v>
      </c>
      <c r="T531" s="4" t="s">
        <v>419</v>
      </c>
      <c r="U531" s="4">
        <v>0</v>
      </c>
      <c r="V531" s="4">
        <v>1</v>
      </c>
      <c r="W531" s="4">
        <v>48</v>
      </c>
    </row>
    <row r="532" spans="1:23" ht="11.25" customHeight="1" x14ac:dyDescent="0.25">
      <c r="A532" s="4" t="s">
        <v>21</v>
      </c>
      <c r="B532" s="4" t="s">
        <v>22</v>
      </c>
      <c r="C532" s="4" t="s">
        <v>32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33</v>
      </c>
      <c r="I532" s="5">
        <v>44470</v>
      </c>
      <c r="J532" s="6">
        <v>0</v>
      </c>
      <c r="K532" s="6">
        <v>0</v>
      </c>
      <c r="L532" s="6">
        <v>8.1000000000000003E-2</v>
      </c>
      <c r="M532" s="6">
        <v>8.1000000000000003E-2</v>
      </c>
      <c r="N532" s="6">
        <v>8.1000000000000003E-2</v>
      </c>
      <c r="O532" s="6">
        <v>8.1000000000000003E-2</v>
      </c>
      <c r="P532" s="6">
        <v>0</v>
      </c>
      <c r="Q532" s="4" t="s">
        <v>26</v>
      </c>
      <c r="R532" s="4">
        <v>0</v>
      </c>
      <c r="S532" s="4" t="s">
        <v>223</v>
      </c>
      <c r="T532" s="4" t="s">
        <v>420</v>
      </c>
      <c r="U532" s="4">
        <v>0</v>
      </c>
      <c r="V532" s="4">
        <v>1</v>
      </c>
      <c r="W532" s="4">
        <v>48</v>
      </c>
    </row>
    <row r="533" spans="1:23" ht="11.25" customHeight="1" x14ac:dyDescent="0.25">
      <c r="A533" s="4" t="s">
        <v>21</v>
      </c>
      <c r="B533" s="4" t="s">
        <v>22</v>
      </c>
      <c r="C533" s="4" t="s">
        <v>32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33</v>
      </c>
      <c r="I533" s="5">
        <v>44501</v>
      </c>
      <c r="J533" s="6">
        <v>0</v>
      </c>
      <c r="K533" s="6">
        <v>0</v>
      </c>
      <c r="L533" s="6">
        <v>9.5000000000000001E-2</v>
      </c>
      <c r="M533" s="6">
        <v>9.5000000000000001E-2</v>
      </c>
      <c r="N533" s="6">
        <v>9.5000000000000001E-2</v>
      </c>
      <c r="O533" s="6">
        <v>9.5000000000000001E-2</v>
      </c>
      <c r="P533" s="6">
        <v>0</v>
      </c>
      <c r="Q533" s="4" t="s">
        <v>26</v>
      </c>
      <c r="R533" s="4">
        <v>0</v>
      </c>
      <c r="S533" s="4" t="s">
        <v>224</v>
      </c>
      <c r="T533" s="4" t="s">
        <v>421</v>
      </c>
      <c r="U533" s="4">
        <v>0</v>
      </c>
      <c r="V533" s="4">
        <v>1</v>
      </c>
      <c r="W533" s="4">
        <v>48</v>
      </c>
    </row>
    <row r="534" spans="1:23" ht="11.25" customHeight="1" x14ac:dyDescent="0.25">
      <c r="A534" s="4" t="s">
        <v>21</v>
      </c>
      <c r="B534" s="4" t="s">
        <v>22</v>
      </c>
      <c r="C534" s="4" t="s">
        <v>32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33</v>
      </c>
      <c r="I534" s="5">
        <v>44531</v>
      </c>
      <c r="J534" s="6">
        <v>0</v>
      </c>
      <c r="K534" s="6">
        <v>0</v>
      </c>
      <c r="L534" s="6">
        <v>0.10299999999999999</v>
      </c>
      <c r="M534" s="6">
        <v>0.10299999999999999</v>
      </c>
      <c r="N534" s="6">
        <v>0.10299999999999999</v>
      </c>
      <c r="O534" s="6">
        <v>0.10299999999999999</v>
      </c>
      <c r="P534" s="6">
        <v>0</v>
      </c>
      <c r="Q534" s="4" t="s">
        <v>26</v>
      </c>
      <c r="R534" s="4">
        <v>0</v>
      </c>
      <c r="S534" s="4" t="s">
        <v>225</v>
      </c>
      <c r="T534" s="4" t="s">
        <v>422</v>
      </c>
      <c r="U534" s="4">
        <v>0</v>
      </c>
      <c r="V534" s="4">
        <v>1</v>
      </c>
      <c r="W534" s="4">
        <v>48</v>
      </c>
    </row>
    <row r="535" spans="1:23" ht="11.25" customHeight="1" x14ac:dyDescent="0.25">
      <c r="A535" s="4" t="s">
        <v>21</v>
      </c>
      <c r="B535" s="4" t="s">
        <v>22</v>
      </c>
      <c r="C535" s="4" t="s">
        <v>32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33</v>
      </c>
      <c r="I535" s="5">
        <v>44562</v>
      </c>
      <c r="J535" s="6">
        <v>0</v>
      </c>
      <c r="K535" s="6">
        <v>0</v>
      </c>
      <c r="L535" s="6">
        <v>0.124</v>
      </c>
      <c r="M535" s="6">
        <v>0.124</v>
      </c>
      <c r="N535" s="6">
        <v>0.124</v>
      </c>
      <c r="O535" s="6">
        <v>0.124</v>
      </c>
      <c r="P535" s="6">
        <v>0</v>
      </c>
      <c r="Q535" s="4" t="s">
        <v>26</v>
      </c>
      <c r="R535" s="4">
        <v>0</v>
      </c>
      <c r="S535" s="4" t="s">
        <v>226</v>
      </c>
      <c r="T535" s="4" t="s">
        <v>423</v>
      </c>
      <c r="U535" s="4">
        <v>0</v>
      </c>
      <c r="V535" s="4">
        <v>1</v>
      </c>
      <c r="W535" s="4">
        <v>48</v>
      </c>
    </row>
    <row r="536" spans="1:23" ht="11.25" customHeight="1" x14ac:dyDescent="0.25">
      <c r="A536" s="4" t="s">
        <v>21</v>
      </c>
      <c r="B536" s="4" t="s">
        <v>22</v>
      </c>
      <c r="C536" s="4" t="s">
        <v>32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33</v>
      </c>
      <c r="I536" s="5">
        <v>44593</v>
      </c>
      <c r="J536" s="6">
        <v>0</v>
      </c>
      <c r="K536" s="6">
        <v>0</v>
      </c>
      <c r="L536" s="6">
        <v>5.8000000000000003E-2</v>
      </c>
      <c r="M536" s="6">
        <v>5.8000000000000003E-2</v>
      </c>
      <c r="N536" s="6">
        <v>5.8000000000000003E-2</v>
      </c>
      <c r="O536" s="6">
        <v>5.8000000000000003E-2</v>
      </c>
      <c r="P536" s="6">
        <v>0</v>
      </c>
      <c r="Q536" s="4" t="s">
        <v>26</v>
      </c>
      <c r="R536" s="4">
        <v>0</v>
      </c>
      <c r="S536" s="4" t="s">
        <v>227</v>
      </c>
      <c r="T536" s="4" t="s">
        <v>424</v>
      </c>
      <c r="U536" s="4">
        <v>0</v>
      </c>
      <c r="V536" s="4">
        <v>1</v>
      </c>
      <c r="W536" s="4">
        <v>48</v>
      </c>
    </row>
    <row r="537" spans="1:23" ht="11.25" customHeight="1" x14ac:dyDescent="0.25">
      <c r="A537" s="4" t="s">
        <v>21</v>
      </c>
      <c r="B537" s="4" t="s">
        <v>22</v>
      </c>
      <c r="C537" s="4" t="s">
        <v>32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33</v>
      </c>
      <c r="I537" s="5">
        <v>44621</v>
      </c>
      <c r="J537" s="6">
        <v>0</v>
      </c>
      <c r="K537" s="6">
        <v>0</v>
      </c>
      <c r="L537" s="6">
        <v>0.20499999999999999</v>
      </c>
      <c r="M537" s="6">
        <v>0.20499999999999999</v>
      </c>
      <c r="N537" s="6">
        <v>0.20499999999999999</v>
      </c>
      <c r="O537" s="6">
        <v>0.20499999999999999</v>
      </c>
      <c r="P537" s="6">
        <v>0</v>
      </c>
      <c r="Q537" s="4" t="s">
        <v>26</v>
      </c>
      <c r="R537" s="4">
        <v>0</v>
      </c>
      <c r="S537" s="4" t="s">
        <v>228</v>
      </c>
      <c r="T537" s="4" t="s">
        <v>425</v>
      </c>
      <c r="U537" s="4">
        <v>0</v>
      </c>
      <c r="V537" s="4">
        <v>1</v>
      </c>
      <c r="W537" s="4">
        <v>48</v>
      </c>
    </row>
    <row r="538" spans="1:23" ht="11.25" customHeight="1" x14ac:dyDescent="0.25">
      <c r="A538" s="4" t="s">
        <v>21</v>
      </c>
      <c r="B538" s="4" t="s">
        <v>22</v>
      </c>
      <c r="C538" s="4" t="s">
        <v>32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33</v>
      </c>
      <c r="I538" s="5">
        <v>44652</v>
      </c>
      <c r="J538" s="6">
        <v>0</v>
      </c>
      <c r="K538" s="6">
        <v>0</v>
      </c>
      <c r="L538" s="6">
        <v>7.1999999999999995E-2</v>
      </c>
      <c r="M538" s="6">
        <v>7.1999999999999995E-2</v>
      </c>
      <c r="N538" s="6">
        <v>7.1999999999999995E-2</v>
      </c>
      <c r="O538" s="6">
        <v>7.1999999999999995E-2</v>
      </c>
      <c r="P538" s="6">
        <v>0</v>
      </c>
      <c r="Q538" s="4" t="s">
        <v>26</v>
      </c>
      <c r="R538" s="4">
        <v>0</v>
      </c>
      <c r="S538" s="4" t="s">
        <v>229</v>
      </c>
      <c r="T538" s="4" t="s">
        <v>426</v>
      </c>
      <c r="U538" s="4">
        <v>0</v>
      </c>
      <c r="V538" s="4">
        <v>1</v>
      </c>
      <c r="W538" s="4">
        <v>48</v>
      </c>
    </row>
    <row r="539" spans="1:23" ht="11.25" customHeight="1" x14ac:dyDescent="0.25">
      <c r="A539" s="4" t="s">
        <v>21</v>
      </c>
      <c r="B539" s="4" t="s">
        <v>22</v>
      </c>
      <c r="C539" s="4" t="s">
        <v>32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33</v>
      </c>
      <c r="I539" s="5">
        <v>44682</v>
      </c>
      <c r="J539" s="6">
        <v>0</v>
      </c>
      <c r="K539" s="6">
        <v>0</v>
      </c>
      <c r="L539" s="6">
        <v>7.2999999999999995E-2</v>
      </c>
      <c r="M539" s="6">
        <v>7.2999999999999995E-2</v>
      </c>
      <c r="N539" s="6">
        <v>7.2999999999999995E-2</v>
      </c>
      <c r="O539" s="6">
        <v>7.2999999999999995E-2</v>
      </c>
      <c r="P539" s="6">
        <v>0</v>
      </c>
      <c r="Q539" s="4" t="s">
        <v>26</v>
      </c>
      <c r="R539" s="4">
        <v>0</v>
      </c>
      <c r="S539" s="4" t="s">
        <v>230</v>
      </c>
      <c r="T539" s="4" t="s">
        <v>427</v>
      </c>
      <c r="U539" s="4">
        <v>0</v>
      </c>
      <c r="V539" s="4">
        <v>1</v>
      </c>
      <c r="W539" s="4">
        <v>48</v>
      </c>
    </row>
    <row r="540" spans="1:23" ht="11.25" customHeight="1" x14ac:dyDescent="0.25">
      <c r="A540" s="4" t="s">
        <v>56</v>
      </c>
      <c r="B540" s="4" t="s">
        <v>22</v>
      </c>
      <c r="C540" s="4" t="s">
        <v>32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33</v>
      </c>
      <c r="I540" s="5">
        <v>44713</v>
      </c>
      <c r="J540" s="6">
        <v>0</v>
      </c>
      <c r="K540" s="6">
        <v>0</v>
      </c>
      <c r="L540" s="6">
        <v>7.2999999999999995E-2</v>
      </c>
      <c r="M540" s="6">
        <v>7.2999999999999995E-2</v>
      </c>
      <c r="N540" s="6">
        <v>7.2999999999999995E-2</v>
      </c>
      <c r="O540" s="6">
        <v>7.2999999999999995E-2</v>
      </c>
      <c r="P540" s="6">
        <v>0</v>
      </c>
      <c r="Q540" s="4" t="s">
        <v>26</v>
      </c>
      <c r="R540" s="4">
        <v>0</v>
      </c>
      <c r="S540" s="4" t="s">
        <v>231</v>
      </c>
      <c r="T540" s="4" t="s">
        <v>428</v>
      </c>
      <c r="U540" s="4">
        <v>0</v>
      </c>
      <c r="V540" s="4">
        <v>1</v>
      </c>
      <c r="W540" s="4">
        <v>48</v>
      </c>
    </row>
    <row r="541" spans="1:23" ht="11.25" customHeight="1" x14ac:dyDescent="0.25">
      <c r="A541" s="4" t="s">
        <v>21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44378</v>
      </c>
      <c r="J541" s="6">
        <v>0</v>
      </c>
      <c r="K541" s="6">
        <v>0</v>
      </c>
      <c r="L541" s="6">
        <v>5560.54</v>
      </c>
      <c r="M541" s="6">
        <v>5560.54</v>
      </c>
      <c r="N541" s="6">
        <v>5560.54</v>
      </c>
      <c r="O541" s="6">
        <v>5560.54</v>
      </c>
      <c r="P541" s="6">
        <v>28902</v>
      </c>
      <c r="Q541" s="4" t="s">
        <v>26</v>
      </c>
      <c r="R541" s="4">
        <v>0</v>
      </c>
      <c r="S541" s="4" t="s">
        <v>232</v>
      </c>
      <c r="T541" s="4" t="s">
        <v>429</v>
      </c>
      <c r="U541" s="4">
        <v>0</v>
      </c>
      <c r="V541" s="4">
        <v>27</v>
      </c>
      <c r="W541" s="4">
        <v>52</v>
      </c>
    </row>
    <row r="542" spans="1:23" ht="11.25" customHeight="1" x14ac:dyDescent="0.25">
      <c r="A542" s="4" t="s">
        <v>27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44378</v>
      </c>
      <c r="J542" s="6">
        <v>0</v>
      </c>
      <c r="K542" s="6">
        <v>0</v>
      </c>
      <c r="L542" s="6">
        <v>-4.4160000000000004</v>
      </c>
      <c r="M542" s="6">
        <v>-4.4160000000000004</v>
      </c>
      <c r="N542" s="6">
        <v>-4.4160000000000004</v>
      </c>
      <c r="O542" s="6">
        <v>-4.4160000000000004</v>
      </c>
      <c r="P542" s="6">
        <v>0</v>
      </c>
      <c r="Q542" s="4" t="s">
        <v>26</v>
      </c>
      <c r="R542" s="4">
        <v>0</v>
      </c>
      <c r="S542" s="4" t="s">
        <v>232</v>
      </c>
      <c r="T542" s="4" t="s">
        <v>429</v>
      </c>
      <c r="U542" s="4">
        <v>0</v>
      </c>
      <c r="V542" s="4">
        <v>27</v>
      </c>
      <c r="W542" s="4">
        <v>52</v>
      </c>
    </row>
    <row r="543" spans="1:23" ht="11.25" customHeight="1" x14ac:dyDescent="0.25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44409</v>
      </c>
      <c r="J543" s="6">
        <v>0</v>
      </c>
      <c r="K543" s="6">
        <v>0</v>
      </c>
      <c r="L543" s="6">
        <v>5280.817</v>
      </c>
      <c r="M543" s="6">
        <v>5280.817</v>
      </c>
      <c r="N543" s="6">
        <v>5280.817</v>
      </c>
      <c r="O543" s="6">
        <v>5280.817</v>
      </c>
      <c r="P543" s="6">
        <v>28896</v>
      </c>
      <c r="Q543" s="4" t="s">
        <v>26</v>
      </c>
      <c r="R543" s="4">
        <v>0</v>
      </c>
      <c r="S543" s="4" t="s">
        <v>233</v>
      </c>
      <c r="T543" s="4" t="s">
        <v>430</v>
      </c>
      <c r="U543" s="4">
        <v>0</v>
      </c>
      <c r="V543" s="4">
        <v>27</v>
      </c>
      <c r="W543" s="4">
        <v>52</v>
      </c>
    </row>
    <row r="544" spans="1:23" ht="11.25" customHeight="1" x14ac:dyDescent="0.25">
      <c r="A544" s="4" t="s">
        <v>27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44409</v>
      </c>
      <c r="J544" s="6">
        <v>0</v>
      </c>
      <c r="K544" s="6">
        <v>0</v>
      </c>
      <c r="L544" s="6">
        <v>-12.452</v>
      </c>
      <c r="M544" s="6">
        <v>-12.452</v>
      </c>
      <c r="N544" s="6">
        <v>-12.452</v>
      </c>
      <c r="O544" s="6">
        <v>-12.452</v>
      </c>
      <c r="P544" s="6">
        <v>0</v>
      </c>
      <c r="Q544" s="4" t="s">
        <v>26</v>
      </c>
      <c r="R544" s="4">
        <v>0</v>
      </c>
      <c r="S544" s="4" t="s">
        <v>233</v>
      </c>
      <c r="T544" s="4" t="s">
        <v>430</v>
      </c>
      <c r="U544" s="4">
        <v>0</v>
      </c>
      <c r="V544" s="4">
        <v>27</v>
      </c>
      <c r="W544" s="4">
        <v>52</v>
      </c>
    </row>
    <row r="545" spans="1:23" ht="11.25" customHeight="1" x14ac:dyDescent="0.25">
      <c r="A545" s="4" t="s">
        <v>55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44409</v>
      </c>
      <c r="J545" s="6">
        <v>0</v>
      </c>
      <c r="K545" s="6">
        <v>0</v>
      </c>
      <c r="L545" s="6">
        <v>115.262</v>
      </c>
      <c r="M545" s="6">
        <v>115.262</v>
      </c>
      <c r="N545" s="6">
        <v>115.262</v>
      </c>
      <c r="O545" s="6">
        <v>115.262</v>
      </c>
      <c r="P545" s="6">
        <v>918</v>
      </c>
      <c r="Q545" s="4" t="s">
        <v>26</v>
      </c>
      <c r="R545" s="4">
        <v>0</v>
      </c>
      <c r="S545" s="4" t="s">
        <v>233</v>
      </c>
      <c r="T545" s="4" t="s">
        <v>430</v>
      </c>
      <c r="U545" s="4">
        <v>0</v>
      </c>
      <c r="V545" s="4">
        <v>27</v>
      </c>
      <c r="W545" s="4">
        <v>52</v>
      </c>
    </row>
    <row r="546" spans="1:23" ht="11.25" customHeight="1" x14ac:dyDescent="0.25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44440</v>
      </c>
      <c r="J546" s="6">
        <v>0</v>
      </c>
      <c r="K546" s="6">
        <v>0</v>
      </c>
      <c r="L546" s="6">
        <v>4919.5429999999997</v>
      </c>
      <c r="M546" s="6">
        <v>4919.5429999999997</v>
      </c>
      <c r="N546" s="6">
        <v>4919.5429999999997</v>
      </c>
      <c r="O546" s="6">
        <v>4919.5429999999997</v>
      </c>
      <c r="P546" s="6">
        <v>28940</v>
      </c>
      <c r="Q546" s="4" t="s">
        <v>26</v>
      </c>
      <c r="R546" s="4">
        <v>0</v>
      </c>
      <c r="S546" s="4" t="s">
        <v>234</v>
      </c>
      <c r="T546" s="4" t="s">
        <v>431</v>
      </c>
      <c r="U546" s="4">
        <v>0</v>
      </c>
      <c r="V546" s="4">
        <v>27</v>
      </c>
      <c r="W546" s="4">
        <v>52</v>
      </c>
    </row>
    <row r="547" spans="1:23" ht="11.25" customHeight="1" x14ac:dyDescent="0.25">
      <c r="A547" s="4" t="s">
        <v>27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44440</v>
      </c>
      <c r="J547" s="6">
        <v>0</v>
      </c>
      <c r="K547" s="6">
        <v>0</v>
      </c>
      <c r="L547" s="6">
        <v>-10.339</v>
      </c>
      <c r="M547" s="6">
        <v>-10.339</v>
      </c>
      <c r="N547" s="6">
        <v>-10.339</v>
      </c>
      <c r="O547" s="6">
        <v>-10.339</v>
      </c>
      <c r="P547" s="6">
        <v>0</v>
      </c>
      <c r="Q547" s="4" t="s">
        <v>26</v>
      </c>
      <c r="R547" s="4">
        <v>0</v>
      </c>
      <c r="S547" s="4" t="s">
        <v>234</v>
      </c>
      <c r="T547" s="4" t="s">
        <v>431</v>
      </c>
      <c r="U547" s="4">
        <v>0</v>
      </c>
      <c r="V547" s="4">
        <v>27</v>
      </c>
      <c r="W547" s="4">
        <v>52</v>
      </c>
    </row>
    <row r="548" spans="1:23" ht="11.25" customHeight="1" x14ac:dyDescent="0.25">
      <c r="A548" s="4" t="s">
        <v>55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44440</v>
      </c>
      <c r="J548" s="6">
        <v>0</v>
      </c>
      <c r="K548" s="6">
        <v>0</v>
      </c>
      <c r="L548" s="6">
        <v>87.186999999999998</v>
      </c>
      <c r="M548" s="6">
        <v>87.186999999999998</v>
      </c>
      <c r="N548" s="6">
        <v>87.186999999999998</v>
      </c>
      <c r="O548" s="6">
        <v>87.186999999999998</v>
      </c>
      <c r="P548" s="6">
        <v>950</v>
      </c>
      <c r="Q548" s="4" t="s">
        <v>26</v>
      </c>
      <c r="R548" s="4">
        <v>0</v>
      </c>
      <c r="S548" s="4" t="s">
        <v>234</v>
      </c>
      <c r="T548" s="4" t="s">
        <v>431</v>
      </c>
      <c r="U548" s="4">
        <v>0</v>
      </c>
      <c r="V548" s="4">
        <v>27</v>
      </c>
      <c r="W548" s="4">
        <v>52</v>
      </c>
    </row>
    <row r="549" spans="1:23" ht="11.25" customHeight="1" x14ac:dyDescent="0.25">
      <c r="A549" s="4" t="s">
        <v>21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44470</v>
      </c>
      <c r="J549" s="6">
        <v>0</v>
      </c>
      <c r="K549" s="6">
        <v>0</v>
      </c>
      <c r="L549" s="6">
        <v>4834.3940000000002</v>
      </c>
      <c r="M549" s="6">
        <v>4834.3940000000002</v>
      </c>
      <c r="N549" s="6">
        <v>4834.3940000000002</v>
      </c>
      <c r="O549" s="6">
        <v>4834.3940000000002</v>
      </c>
      <c r="P549" s="6">
        <v>28924</v>
      </c>
      <c r="Q549" s="4" t="s">
        <v>26</v>
      </c>
      <c r="R549" s="4">
        <v>0</v>
      </c>
      <c r="S549" s="4" t="s">
        <v>235</v>
      </c>
      <c r="T549" s="4" t="s">
        <v>432</v>
      </c>
      <c r="U549" s="4">
        <v>0</v>
      </c>
      <c r="V549" s="4">
        <v>27</v>
      </c>
      <c r="W549" s="4">
        <v>52</v>
      </c>
    </row>
    <row r="550" spans="1:23" ht="11.25" customHeight="1" x14ac:dyDescent="0.25">
      <c r="A550" s="4" t="s">
        <v>27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44470</v>
      </c>
      <c r="J550" s="6">
        <v>0</v>
      </c>
      <c r="K550" s="6">
        <v>0</v>
      </c>
      <c r="L550" s="6">
        <v>-7.2140000000000004</v>
      </c>
      <c r="M550" s="6">
        <v>-7.2140000000000004</v>
      </c>
      <c r="N550" s="6">
        <v>-7.2140000000000004</v>
      </c>
      <c r="O550" s="6">
        <v>-7.2140000000000004</v>
      </c>
      <c r="P550" s="6">
        <v>0</v>
      </c>
      <c r="Q550" s="4" t="s">
        <v>26</v>
      </c>
      <c r="R550" s="4">
        <v>0</v>
      </c>
      <c r="S550" s="4" t="s">
        <v>235</v>
      </c>
      <c r="T550" s="4" t="s">
        <v>432</v>
      </c>
      <c r="U550" s="4">
        <v>0</v>
      </c>
      <c r="V550" s="4">
        <v>27</v>
      </c>
      <c r="W550" s="4">
        <v>52</v>
      </c>
    </row>
    <row r="551" spans="1:23" ht="11.25" customHeight="1" x14ac:dyDescent="0.25">
      <c r="A551" s="4" t="s">
        <v>55</v>
      </c>
      <c r="B551" s="4" t="s">
        <v>22</v>
      </c>
      <c r="C551" s="4" t="s">
        <v>23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25</v>
      </c>
      <c r="I551" s="5">
        <v>44470</v>
      </c>
      <c r="J551" s="6">
        <v>0</v>
      </c>
      <c r="K551" s="6">
        <v>0</v>
      </c>
      <c r="L551" s="6">
        <v>88.784000000000006</v>
      </c>
      <c r="M551" s="6">
        <v>88.784000000000006</v>
      </c>
      <c r="N551" s="6">
        <v>88.784000000000006</v>
      </c>
      <c r="O551" s="6">
        <v>88.784000000000006</v>
      </c>
      <c r="P551" s="6">
        <v>1011</v>
      </c>
      <c r="Q551" s="4" t="s">
        <v>26</v>
      </c>
      <c r="R551" s="4">
        <v>0</v>
      </c>
      <c r="S551" s="4" t="s">
        <v>235</v>
      </c>
      <c r="T551" s="4" t="s">
        <v>432</v>
      </c>
      <c r="U551" s="4">
        <v>0</v>
      </c>
      <c r="V551" s="4">
        <v>27</v>
      </c>
      <c r="W551" s="4">
        <v>52</v>
      </c>
    </row>
    <row r="552" spans="1:23" ht="11.25" customHeight="1" x14ac:dyDescent="0.25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25</v>
      </c>
      <c r="I552" s="5">
        <v>44501</v>
      </c>
      <c r="J552" s="6">
        <v>0</v>
      </c>
      <c r="K552" s="6">
        <v>0</v>
      </c>
      <c r="L552" s="6">
        <v>5093.0770000000002</v>
      </c>
      <c r="M552" s="6">
        <v>5093.0770000000002</v>
      </c>
      <c r="N552" s="6">
        <v>5093.0770000000002</v>
      </c>
      <c r="O552" s="6">
        <v>5093.0770000000002</v>
      </c>
      <c r="P552" s="6">
        <v>28948</v>
      </c>
      <c r="Q552" s="4" t="s">
        <v>26</v>
      </c>
      <c r="R552" s="4">
        <v>0</v>
      </c>
      <c r="S552" s="4" t="s">
        <v>236</v>
      </c>
      <c r="T552" s="4" t="s">
        <v>433</v>
      </c>
      <c r="U552" s="4">
        <v>0</v>
      </c>
      <c r="V552" s="4">
        <v>27</v>
      </c>
      <c r="W552" s="4">
        <v>52</v>
      </c>
    </row>
    <row r="553" spans="1:23" ht="11.25" customHeight="1" x14ac:dyDescent="0.25">
      <c r="A553" s="4" t="s">
        <v>27</v>
      </c>
      <c r="B553" s="4" t="s">
        <v>22</v>
      </c>
      <c r="C553" s="4" t="s">
        <v>23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25</v>
      </c>
      <c r="I553" s="5">
        <v>44501</v>
      </c>
      <c r="J553" s="6">
        <v>0</v>
      </c>
      <c r="K553" s="6">
        <v>0</v>
      </c>
      <c r="L553" s="6">
        <v>-2.4289999999999998</v>
      </c>
      <c r="M553" s="6">
        <v>-2.4289999999999998</v>
      </c>
      <c r="N553" s="6">
        <v>-2.4289999999999998</v>
      </c>
      <c r="O553" s="6">
        <v>-2.4289999999999998</v>
      </c>
      <c r="P553" s="6">
        <v>0</v>
      </c>
      <c r="Q553" s="4" t="s">
        <v>26</v>
      </c>
      <c r="R553" s="4">
        <v>0</v>
      </c>
      <c r="S553" s="4" t="s">
        <v>236</v>
      </c>
      <c r="T553" s="4" t="s">
        <v>433</v>
      </c>
      <c r="U553" s="4">
        <v>0</v>
      </c>
      <c r="V553" s="4">
        <v>27</v>
      </c>
      <c r="W553" s="4">
        <v>52</v>
      </c>
    </row>
    <row r="554" spans="1:23" ht="11.25" customHeight="1" x14ac:dyDescent="0.25">
      <c r="A554" s="4" t="s">
        <v>55</v>
      </c>
      <c r="B554" s="4" t="s">
        <v>22</v>
      </c>
      <c r="C554" s="4" t="s">
        <v>23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25</v>
      </c>
      <c r="I554" s="5">
        <v>44501</v>
      </c>
      <c r="J554" s="6">
        <v>0</v>
      </c>
      <c r="K554" s="6">
        <v>0</v>
      </c>
      <c r="L554" s="6">
        <v>159.61099999999999</v>
      </c>
      <c r="M554" s="6">
        <v>159.61099999999999</v>
      </c>
      <c r="N554" s="6">
        <v>159.61099999999999</v>
      </c>
      <c r="O554" s="6">
        <v>159.61099999999999</v>
      </c>
      <c r="P554" s="6">
        <v>1089</v>
      </c>
      <c r="Q554" s="4" t="s">
        <v>26</v>
      </c>
      <c r="R554" s="4">
        <v>0</v>
      </c>
      <c r="S554" s="4" t="s">
        <v>236</v>
      </c>
      <c r="T554" s="4" t="s">
        <v>433</v>
      </c>
      <c r="U554" s="4">
        <v>0</v>
      </c>
      <c r="V554" s="4">
        <v>27</v>
      </c>
      <c r="W554" s="4">
        <v>52</v>
      </c>
    </row>
    <row r="555" spans="1:23" ht="11.25" customHeight="1" x14ac:dyDescent="0.25">
      <c r="A555" s="4" t="s">
        <v>55</v>
      </c>
      <c r="B555" s="4" t="s">
        <v>22</v>
      </c>
      <c r="C555" s="4" t="s">
        <v>23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25</v>
      </c>
      <c r="I555" s="5">
        <v>44501</v>
      </c>
      <c r="J555" s="6">
        <v>0</v>
      </c>
      <c r="K555" s="6">
        <v>0</v>
      </c>
      <c r="L555" s="6">
        <v>-76.093000000000004</v>
      </c>
      <c r="M555" s="6">
        <v>-76.093000000000004</v>
      </c>
      <c r="N555" s="6">
        <v>-76.093000000000004</v>
      </c>
      <c r="O555" s="6">
        <v>-76.093000000000004</v>
      </c>
      <c r="P555" s="6">
        <v>5</v>
      </c>
      <c r="Q555" s="4" t="s">
        <v>26</v>
      </c>
      <c r="R555" s="4">
        <v>0</v>
      </c>
      <c r="S555" s="4" t="s">
        <v>236</v>
      </c>
      <c r="T555" s="4" t="s">
        <v>433</v>
      </c>
      <c r="U555" s="4">
        <v>0</v>
      </c>
      <c r="V555" s="4">
        <v>27</v>
      </c>
      <c r="W555" s="4">
        <v>52</v>
      </c>
    </row>
    <row r="556" spans="1:23" ht="11.25" customHeight="1" x14ac:dyDescent="0.25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25</v>
      </c>
      <c r="I556" s="5">
        <v>44531</v>
      </c>
      <c r="J556" s="6">
        <v>0</v>
      </c>
      <c r="K556" s="6">
        <v>0</v>
      </c>
      <c r="L556" s="6">
        <v>5215.2510000000002</v>
      </c>
      <c r="M556" s="6">
        <v>5215.2510000000002</v>
      </c>
      <c r="N556" s="6">
        <v>5215.2510000000002</v>
      </c>
      <c r="O556" s="6">
        <v>5215.2510000000002</v>
      </c>
      <c r="P556" s="6">
        <v>28905</v>
      </c>
      <c r="Q556" s="4" t="s">
        <v>26</v>
      </c>
      <c r="R556" s="4">
        <v>0</v>
      </c>
      <c r="S556" s="4" t="s">
        <v>237</v>
      </c>
      <c r="T556" s="4" t="s">
        <v>434</v>
      </c>
      <c r="U556" s="4">
        <v>0</v>
      </c>
      <c r="V556" s="4">
        <v>27</v>
      </c>
      <c r="W556" s="4">
        <v>52</v>
      </c>
    </row>
    <row r="557" spans="1:23" ht="11.25" customHeight="1" x14ac:dyDescent="0.25">
      <c r="A557" s="4" t="s">
        <v>27</v>
      </c>
      <c r="B557" s="4" t="s">
        <v>22</v>
      </c>
      <c r="C557" s="4" t="s">
        <v>23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25</v>
      </c>
      <c r="I557" s="5">
        <v>44531</v>
      </c>
      <c r="J557" s="6">
        <v>0</v>
      </c>
      <c r="K557" s="6">
        <v>0</v>
      </c>
      <c r="L557" s="6">
        <v>-100.86799999999999</v>
      </c>
      <c r="M557" s="6">
        <v>-100.86799999999999</v>
      </c>
      <c r="N557" s="6">
        <v>-100.86799999999999</v>
      </c>
      <c r="O557" s="6">
        <v>-100.86799999999999</v>
      </c>
      <c r="P557" s="6">
        <v>0</v>
      </c>
      <c r="Q557" s="4" t="s">
        <v>26</v>
      </c>
      <c r="R557" s="4">
        <v>0</v>
      </c>
      <c r="S557" s="4" t="s">
        <v>237</v>
      </c>
      <c r="T557" s="4" t="s">
        <v>434</v>
      </c>
      <c r="U557" s="4">
        <v>0</v>
      </c>
      <c r="V557" s="4">
        <v>27</v>
      </c>
      <c r="W557" s="4">
        <v>52</v>
      </c>
    </row>
    <row r="558" spans="1:23" ht="11.25" customHeight="1" x14ac:dyDescent="0.25">
      <c r="A558" s="4" t="s">
        <v>55</v>
      </c>
      <c r="B558" s="4" t="s">
        <v>22</v>
      </c>
      <c r="C558" s="4" t="s">
        <v>23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25</v>
      </c>
      <c r="I558" s="5">
        <v>44531</v>
      </c>
      <c r="J558" s="6">
        <v>0</v>
      </c>
      <c r="K558" s="6">
        <v>0</v>
      </c>
      <c r="L558" s="6">
        <v>92.31</v>
      </c>
      <c r="M558" s="6">
        <v>92.31</v>
      </c>
      <c r="N558" s="6">
        <v>92.31</v>
      </c>
      <c r="O558" s="6">
        <v>92.31</v>
      </c>
      <c r="P558" s="6">
        <v>1198</v>
      </c>
      <c r="Q558" s="4" t="s">
        <v>26</v>
      </c>
      <c r="R558" s="4">
        <v>0</v>
      </c>
      <c r="S558" s="4" t="s">
        <v>237</v>
      </c>
      <c r="T558" s="4" t="s">
        <v>434</v>
      </c>
      <c r="U558" s="4">
        <v>0</v>
      </c>
      <c r="V558" s="4">
        <v>27</v>
      </c>
      <c r="W558" s="4">
        <v>52</v>
      </c>
    </row>
    <row r="559" spans="1:23" ht="11.25" customHeight="1" x14ac:dyDescent="0.25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25</v>
      </c>
      <c r="I559" s="5">
        <v>44562</v>
      </c>
      <c r="J559" s="6">
        <v>0</v>
      </c>
      <c r="K559" s="6">
        <v>0</v>
      </c>
      <c r="L559" s="6">
        <v>5967.1880000000001</v>
      </c>
      <c r="M559" s="6">
        <v>5967.1880000000001</v>
      </c>
      <c r="N559" s="6">
        <v>5967.1880000000001</v>
      </c>
      <c r="O559" s="6">
        <v>5967.1880000000001</v>
      </c>
      <c r="P559" s="6">
        <v>28831</v>
      </c>
      <c r="Q559" s="4" t="s">
        <v>26</v>
      </c>
      <c r="R559" s="4">
        <v>0</v>
      </c>
      <c r="S559" s="4" t="s">
        <v>238</v>
      </c>
      <c r="T559" s="4" t="s">
        <v>435</v>
      </c>
      <c r="U559" s="4">
        <v>0</v>
      </c>
      <c r="V559" s="4">
        <v>27</v>
      </c>
      <c r="W559" s="4">
        <v>52</v>
      </c>
    </row>
    <row r="560" spans="1:23" ht="11.25" customHeight="1" x14ac:dyDescent="0.25">
      <c r="A560" s="4" t="s">
        <v>27</v>
      </c>
      <c r="B560" s="4" t="s">
        <v>22</v>
      </c>
      <c r="C560" s="4" t="s">
        <v>23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25</v>
      </c>
      <c r="I560" s="5">
        <v>44562</v>
      </c>
      <c r="J560" s="6">
        <v>0</v>
      </c>
      <c r="K560" s="6">
        <v>0</v>
      </c>
      <c r="L560" s="6">
        <v>-12.202999999999999</v>
      </c>
      <c r="M560" s="6">
        <v>-12.202999999999999</v>
      </c>
      <c r="N560" s="6">
        <v>-12.202999999999999</v>
      </c>
      <c r="O560" s="6">
        <v>-12.202999999999999</v>
      </c>
      <c r="P560" s="6">
        <v>0</v>
      </c>
      <c r="Q560" s="4" t="s">
        <v>26</v>
      </c>
      <c r="R560" s="4">
        <v>0</v>
      </c>
      <c r="S560" s="4" t="s">
        <v>238</v>
      </c>
      <c r="T560" s="4" t="s">
        <v>435</v>
      </c>
      <c r="U560" s="4">
        <v>0</v>
      </c>
      <c r="V560" s="4">
        <v>27</v>
      </c>
      <c r="W560" s="4">
        <v>52</v>
      </c>
    </row>
    <row r="561" spans="1:23" ht="11.25" customHeight="1" x14ac:dyDescent="0.25">
      <c r="A561" s="4" t="s">
        <v>55</v>
      </c>
      <c r="B561" s="4" t="s">
        <v>22</v>
      </c>
      <c r="C561" s="4" t="s">
        <v>23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25</v>
      </c>
      <c r="I561" s="5">
        <v>44562</v>
      </c>
      <c r="J561" s="6">
        <v>0</v>
      </c>
      <c r="K561" s="6">
        <v>0</v>
      </c>
      <c r="L561" s="6">
        <v>109.601</v>
      </c>
      <c r="M561" s="6">
        <v>109.601</v>
      </c>
      <c r="N561" s="6">
        <v>109.601</v>
      </c>
      <c r="O561" s="6">
        <v>109.601</v>
      </c>
      <c r="P561" s="6">
        <v>1274</v>
      </c>
      <c r="Q561" s="4" t="s">
        <v>26</v>
      </c>
      <c r="R561" s="4">
        <v>0</v>
      </c>
      <c r="S561" s="4" t="s">
        <v>238</v>
      </c>
      <c r="T561" s="4" t="s">
        <v>435</v>
      </c>
      <c r="U561" s="4">
        <v>0</v>
      </c>
      <c r="V561" s="4">
        <v>27</v>
      </c>
      <c r="W561" s="4">
        <v>52</v>
      </c>
    </row>
    <row r="562" spans="1:23" ht="11.25" customHeight="1" x14ac:dyDescent="0.25">
      <c r="A562" s="4" t="s">
        <v>55</v>
      </c>
      <c r="B562" s="4" t="s">
        <v>22</v>
      </c>
      <c r="C562" s="4" t="s">
        <v>23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25</v>
      </c>
      <c r="I562" s="5">
        <v>44562</v>
      </c>
      <c r="J562" s="6">
        <v>0</v>
      </c>
      <c r="K562" s="6">
        <v>0</v>
      </c>
      <c r="L562" s="6">
        <v>-1.0089999999999999</v>
      </c>
      <c r="M562" s="6">
        <v>-1.0089999999999999</v>
      </c>
      <c r="N562" s="6">
        <v>-1.0089999999999999</v>
      </c>
      <c r="O562" s="6">
        <v>-1.0089999999999999</v>
      </c>
      <c r="P562" s="6">
        <v>4</v>
      </c>
      <c r="Q562" s="4" t="s">
        <v>26</v>
      </c>
      <c r="R562" s="4">
        <v>0</v>
      </c>
      <c r="S562" s="4" t="s">
        <v>238</v>
      </c>
      <c r="T562" s="4" t="s">
        <v>435</v>
      </c>
      <c r="U562" s="4">
        <v>0</v>
      </c>
      <c r="V562" s="4">
        <v>27</v>
      </c>
      <c r="W562" s="4">
        <v>52</v>
      </c>
    </row>
    <row r="563" spans="1:23" ht="11.25" customHeight="1" x14ac:dyDescent="0.25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25</v>
      </c>
      <c r="I563" s="5">
        <v>44593</v>
      </c>
      <c r="J563" s="6">
        <v>0</v>
      </c>
      <c r="K563" s="6">
        <v>0</v>
      </c>
      <c r="L563" s="6">
        <v>5847.8370000000004</v>
      </c>
      <c r="M563" s="6">
        <v>5847.8370000000004</v>
      </c>
      <c r="N563" s="6">
        <v>5847.8370000000004</v>
      </c>
      <c r="O563" s="6">
        <v>5847.8370000000004</v>
      </c>
      <c r="P563" s="6">
        <v>28801</v>
      </c>
      <c r="Q563" s="4" t="s">
        <v>26</v>
      </c>
      <c r="R563" s="4">
        <v>0</v>
      </c>
      <c r="S563" s="4" t="s">
        <v>239</v>
      </c>
      <c r="T563" s="4" t="s">
        <v>436</v>
      </c>
      <c r="U563" s="4">
        <v>0</v>
      </c>
      <c r="V563" s="4">
        <v>27</v>
      </c>
      <c r="W563" s="4">
        <v>52</v>
      </c>
    </row>
    <row r="564" spans="1:23" ht="11.25" customHeight="1" x14ac:dyDescent="0.25">
      <c r="A564" s="4" t="s">
        <v>27</v>
      </c>
      <c r="B564" s="4" t="s">
        <v>22</v>
      </c>
      <c r="C564" s="4" t="s">
        <v>23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25</v>
      </c>
      <c r="I564" s="5">
        <v>44593</v>
      </c>
      <c r="J564" s="6">
        <v>0</v>
      </c>
      <c r="K564" s="6">
        <v>0</v>
      </c>
      <c r="L564" s="6">
        <v>-9.6020000000000003</v>
      </c>
      <c r="M564" s="6">
        <v>-9.6020000000000003</v>
      </c>
      <c r="N564" s="6">
        <v>-9.6020000000000003</v>
      </c>
      <c r="O564" s="6">
        <v>-9.6020000000000003</v>
      </c>
      <c r="P564" s="6">
        <v>0</v>
      </c>
      <c r="Q564" s="4" t="s">
        <v>26</v>
      </c>
      <c r="R564" s="4">
        <v>0</v>
      </c>
      <c r="S564" s="4" t="s">
        <v>239</v>
      </c>
      <c r="T564" s="4" t="s">
        <v>436</v>
      </c>
      <c r="U564" s="4">
        <v>0</v>
      </c>
      <c r="V564" s="4">
        <v>27</v>
      </c>
      <c r="W564" s="4">
        <v>52</v>
      </c>
    </row>
    <row r="565" spans="1:23" ht="11.25" customHeight="1" x14ac:dyDescent="0.25">
      <c r="A565" s="4" t="s">
        <v>55</v>
      </c>
      <c r="B565" s="4" t="s">
        <v>22</v>
      </c>
      <c r="C565" s="4" t="s">
        <v>23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25</v>
      </c>
      <c r="I565" s="5">
        <v>44593</v>
      </c>
      <c r="J565" s="6">
        <v>0</v>
      </c>
      <c r="K565" s="6">
        <v>0</v>
      </c>
      <c r="L565" s="6">
        <v>125.297</v>
      </c>
      <c r="M565" s="6">
        <v>125.297</v>
      </c>
      <c r="N565" s="6">
        <v>125.297</v>
      </c>
      <c r="O565" s="6">
        <v>125.297</v>
      </c>
      <c r="P565" s="6">
        <v>1341</v>
      </c>
      <c r="Q565" s="4" t="s">
        <v>26</v>
      </c>
      <c r="R565" s="4">
        <v>0</v>
      </c>
      <c r="S565" s="4" t="s">
        <v>239</v>
      </c>
      <c r="T565" s="4" t="s">
        <v>436</v>
      </c>
      <c r="U565" s="4">
        <v>0</v>
      </c>
      <c r="V565" s="4">
        <v>27</v>
      </c>
      <c r="W565" s="4">
        <v>52</v>
      </c>
    </row>
    <row r="566" spans="1:23" ht="11.25" customHeight="1" x14ac:dyDescent="0.25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25</v>
      </c>
      <c r="I566" s="5">
        <v>44621</v>
      </c>
      <c r="J566" s="6">
        <v>0</v>
      </c>
      <c r="K566" s="6">
        <v>0</v>
      </c>
      <c r="L566" s="6">
        <v>5757.4809999999998</v>
      </c>
      <c r="M566" s="6">
        <v>5757.4809999999998</v>
      </c>
      <c r="N566" s="6">
        <v>5757.4809999999998</v>
      </c>
      <c r="O566" s="6">
        <v>5757.4809999999998</v>
      </c>
      <c r="P566" s="6">
        <v>28768</v>
      </c>
      <c r="Q566" s="4" t="s">
        <v>26</v>
      </c>
      <c r="R566" s="4">
        <v>0</v>
      </c>
      <c r="S566" s="4" t="s">
        <v>240</v>
      </c>
      <c r="T566" s="4" t="s">
        <v>437</v>
      </c>
      <c r="U566" s="4">
        <v>0</v>
      </c>
      <c r="V566" s="4">
        <v>27</v>
      </c>
      <c r="W566" s="4">
        <v>52</v>
      </c>
    </row>
    <row r="567" spans="1:23" ht="11.25" customHeight="1" x14ac:dyDescent="0.25">
      <c r="A567" s="4" t="s">
        <v>27</v>
      </c>
      <c r="B567" s="4" t="s">
        <v>22</v>
      </c>
      <c r="C567" s="4" t="s">
        <v>23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25</v>
      </c>
      <c r="I567" s="5">
        <v>44621</v>
      </c>
      <c r="J567" s="6">
        <v>0</v>
      </c>
      <c r="K567" s="6">
        <v>0</v>
      </c>
      <c r="L567" s="6">
        <v>-28.117000000000001</v>
      </c>
      <c r="M567" s="6">
        <v>-28.117000000000001</v>
      </c>
      <c r="N567" s="6">
        <v>-28.117000000000001</v>
      </c>
      <c r="O567" s="6">
        <v>-28.117000000000001</v>
      </c>
      <c r="P567" s="6">
        <v>0</v>
      </c>
      <c r="Q567" s="4" t="s">
        <v>26</v>
      </c>
      <c r="R567" s="4">
        <v>0</v>
      </c>
      <c r="S567" s="4" t="s">
        <v>240</v>
      </c>
      <c r="T567" s="4" t="s">
        <v>437</v>
      </c>
      <c r="U567" s="4">
        <v>0</v>
      </c>
      <c r="V567" s="4">
        <v>27</v>
      </c>
      <c r="W567" s="4">
        <v>52</v>
      </c>
    </row>
    <row r="568" spans="1:23" ht="11.25" customHeight="1" x14ac:dyDescent="0.25">
      <c r="A568" s="4" t="s">
        <v>55</v>
      </c>
      <c r="B568" s="4" t="s">
        <v>22</v>
      </c>
      <c r="C568" s="4" t="s">
        <v>23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25</v>
      </c>
      <c r="I568" s="5">
        <v>44621</v>
      </c>
      <c r="J568" s="6">
        <v>0</v>
      </c>
      <c r="K568" s="6">
        <v>0</v>
      </c>
      <c r="L568" s="6">
        <v>135.03</v>
      </c>
      <c r="M568" s="6">
        <v>135.03</v>
      </c>
      <c r="N568" s="6">
        <v>135.03</v>
      </c>
      <c r="O568" s="6">
        <v>135.03</v>
      </c>
      <c r="P568" s="6">
        <v>1436</v>
      </c>
      <c r="Q568" s="4" t="s">
        <v>26</v>
      </c>
      <c r="R568" s="4">
        <v>0</v>
      </c>
      <c r="S568" s="4" t="s">
        <v>240</v>
      </c>
      <c r="T568" s="4" t="s">
        <v>437</v>
      </c>
      <c r="U568" s="4">
        <v>0</v>
      </c>
      <c r="V568" s="4">
        <v>27</v>
      </c>
      <c r="W568" s="4">
        <v>52</v>
      </c>
    </row>
    <row r="569" spans="1:23" ht="11.25" customHeight="1" x14ac:dyDescent="0.25">
      <c r="A569" s="4" t="s">
        <v>55</v>
      </c>
      <c r="B569" s="4" t="s">
        <v>22</v>
      </c>
      <c r="C569" s="4" t="s">
        <v>23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25</v>
      </c>
      <c r="I569" s="5">
        <v>44621</v>
      </c>
      <c r="J569" s="6">
        <v>0</v>
      </c>
      <c r="K569" s="6">
        <v>0</v>
      </c>
      <c r="L569" s="6">
        <v>3.4580000000000002</v>
      </c>
      <c r="M569" s="6">
        <v>3.4580000000000002</v>
      </c>
      <c r="N569" s="6">
        <v>3.4580000000000002</v>
      </c>
      <c r="O569" s="6">
        <v>3.4580000000000002</v>
      </c>
      <c r="P569" s="6">
        <v>7</v>
      </c>
      <c r="Q569" s="4" t="s">
        <v>26</v>
      </c>
      <c r="R569" s="4">
        <v>0</v>
      </c>
      <c r="S569" s="4" t="s">
        <v>240</v>
      </c>
      <c r="T569" s="4" t="s">
        <v>437</v>
      </c>
      <c r="U569" s="4">
        <v>0</v>
      </c>
      <c r="V569" s="4">
        <v>27</v>
      </c>
      <c r="W569" s="4">
        <v>52</v>
      </c>
    </row>
    <row r="570" spans="1:23" ht="11.25" customHeight="1" x14ac:dyDescent="0.25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44652</v>
      </c>
      <c r="J570" s="6">
        <v>0</v>
      </c>
      <c r="K570" s="6">
        <v>0</v>
      </c>
      <c r="L570" s="6">
        <v>4511.9480000000003</v>
      </c>
      <c r="M570" s="6">
        <v>4511.9480000000003</v>
      </c>
      <c r="N570" s="6">
        <v>4511.9480000000003</v>
      </c>
      <c r="O570" s="6">
        <v>4511.9480000000003</v>
      </c>
      <c r="P570" s="6">
        <v>28669</v>
      </c>
      <c r="Q570" s="4" t="s">
        <v>26</v>
      </c>
      <c r="R570" s="4">
        <v>0</v>
      </c>
      <c r="S570" s="4" t="s">
        <v>241</v>
      </c>
      <c r="T570" s="4" t="s">
        <v>438</v>
      </c>
      <c r="U570" s="4">
        <v>0</v>
      </c>
      <c r="V570" s="4">
        <v>27</v>
      </c>
      <c r="W570" s="4">
        <v>52</v>
      </c>
    </row>
    <row r="571" spans="1:23" ht="11.25" customHeight="1" x14ac:dyDescent="0.25">
      <c r="A571" s="4" t="s">
        <v>27</v>
      </c>
      <c r="B571" s="4" t="s">
        <v>22</v>
      </c>
      <c r="C571" s="4" t="s">
        <v>23</v>
      </c>
      <c r="D571" s="4" t="s">
        <v>24</v>
      </c>
      <c r="E571" s="4" t="s">
        <v>24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0</v>
      </c>
      <c r="K571" s="6">
        <v>0</v>
      </c>
      <c r="L571" s="6">
        <v>-8.7910000000000004</v>
      </c>
      <c r="M571" s="6">
        <v>-8.7910000000000004</v>
      </c>
      <c r="N571" s="6">
        <v>-8.7910000000000004</v>
      </c>
      <c r="O571" s="6">
        <v>-8.7910000000000004</v>
      </c>
      <c r="P571" s="6">
        <v>0</v>
      </c>
      <c r="Q571" s="4" t="s">
        <v>26</v>
      </c>
      <c r="R571" s="4">
        <v>0</v>
      </c>
      <c r="S571" s="4" t="s">
        <v>241</v>
      </c>
      <c r="T571" s="4" t="s">
        <v>438</v>
      </c>
      <c r="U571" s="4">
        <v>0</v>
      </c>
      <c r="V571" s="4">
        <v>27</v>
      </c>
      <c r="W571" s="4">
        <v>52</v>
      </c>
    </row>
    <row r="572" spans="1:23" ht="11.25" customHeight="1" x14ac:dyDescent="0.25">
      <c r="A572" s="4" t="s">
        <v>55</v>
      </c>
      <c r="B572" s="4" t="s">
        <v>22</v>
      </c>
      <c r="C572" s="4" t="s">
        <v>23</v>
      </c>
      <c r="D572" s="4" t="s">
        <v>24</v>
      </c>
      <c r="E572" s="4" t="s">
        <v>24</v>
      </c>
      <c r="F572" s="4" t="s">
        <v>25</v>
      </c>
      <c r="G572" s="4" t="s">
        <v>25</v>
      </c>
      <c r="H572" s="4" t="s">
        <v>25</v>
      </c>
      <c r="I572" s="5">
        <v>44652</v>
      </c>
      <c r="J572" s="6">
        <v>0</v>
      </c>
      <c r="K572" s="6">
        <v>0</v>
      </c>
      <c r="L572" s="6">
        <v>116.264</v>
      </c>
      <c r="M572" s="6">
        <v>116.264</v>
      </c>
      <c r="N572" s="6">
        <v>116.264</v>
      </c>
      <c r="O572" s="6">
        <v>116.264</v>
      </c>
      <c r="P572" s="6">
        <v>1519</v>
      </c>
      <c r="Q572" s="4" t="s">
        <v>26</v>
      </c>
      <c r="R572" s="4">
        <v>0</v>
      </c>
      <c r="S572" s="4" t="s">
        <v>241</v>
      </c>
      <c r="T572" s="4" t="s">
        <v>438</v>
      </c>
      <c r="U572" s="4">
        <v>0</v>
      </c>
      <c r="V572" s="4">
        <v>27</v>
      </c>
      <c r="W572" s="4">
        <v>52</v>
      </c>
    </row>
    <row r="573" spans="1:23" ht="11.25" customHeight="1" x14ac:dyDescent="0.25">
      <c r="A573" s="4" t="s">
        <v>55</v>
      </c>
      <c r="B573" s="4" t="s">
        <v>22</v>
      </c>
      <c r="C573" s="4" t="s">
        <v>23</v>
      </c>
      <c r="D573" s="4" t="s">
        <v>24</v>
      </c>
      <c r="E573" s="4" t="s">
        <v>24</v>
      </c>
      <c r="F573" s="4" t="s">
        <v>25</v>
      </c>
      <c r="G573" s="4" t="s">
        <v>25</v>
      </c>
      <c r="H573" s="4" t="s">
        <v>25</v>
      </c>
      <c r="I573" s="5">
        <v>44652</v>
      </c>
      <c r="J573" s="6">
        <v>0</v>
      </c>
      <c r="K573" s="6">
        <v>0</v>
      </c>
      <c r="L573" s="6">
        <v>-0.32400000000000001</v>
      </c>
      <c r="M573" s="6">
        <v>-0.32400000000000001</v>
      </c>
      <c r="N573" s="6">
        <v>-0.32400000000000001</v>
      </c>
      <c r="O573" s="6">
        <v>-0.32400000000000001</v>
      </c>
      <c r="P573" s="6">
        <v>8</v>
      </c>
      <c r="Q573" s="4" t="s">
        <v>26</v>
      </c>
      <c r="R573" s="4">
        <v>0</v>
      </c>
      <c r="S573" s="4" t="s">
        <v>241</v>
      </c>
      <c r="T573" s="4" t="s">
        <v>438</v>
      </c>
      <c r="U573" s="4">
        <v>0</v>
      </c>
      <c r="V573" s="4">
        <v>27</v>
      </c>
      <c r="W573" s="4">
        <v>52</v>
      </c>
    </row>
    <row r="574" spans="1:23" ht="11.25" customHeight="1" x14ac:dyDescent="0.25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24</v>
      </c>
      <c r="F574" s="4" t="s">
        <v>25</v>
      </c>
      <c r="G574" s="4" t="s">
        <v>25</v>
      </c>
      <c r="H574" s="4" t="s">
        <v>25</v>
      </c>
      <c r="I574" s="5">
        <v>44682</v>
      </c>
      <c r="J574" s="6">
        <v>0</v>
      </c>
      <c r="K574" s="6">
        <v>0</v>
      </c>
      <c r="L574" s="6">
        <v>4597.58</v>
      </c>
      <c r="M574" s="6">
        <v>4597.58</v>
      </c>
      <c r="N574" s="6">
        <v>4597.58</v>
      </c>
      <c r="O574" s="6">
        <v>4597.58</v>
      </c>
      <c r="P574" s="6">
        <v>28650</v>
      </c>
      <c r="Q574" s="4" t="s">
        <v>26</v>
      </c>
      <c r="R574" s="4">
        <v>0</v>
      </c>
      <c r="S574" s="4" t="s">
        <v>242</v>
      </c>
      <c r="T574" s="4" t="s">
        <v>439</v>
      </c>
      <c r="U574" s="4">
        <v>0</v>
      </c>
      <c r="V574" s="4">
        <v>27</v>
      </c>
      <c r="W574" s="4">
        <v>52</v>
      </c>
    </row>
    <row r="575" spans="1:23" ht="11.25" customHeight="1" x14ac:dyDescent="0.25">
      <c r="A575" s="4" t="s">
        <v>27</v>
      </c>
      <c r="B575" s="4" t="s">
        <v>22</v>
      </c>
      <c r="C575" s="4" t="s">
        <v>23</v>
      </c>
      <c r="D575" s="4" t="s">
        <v>24</v>
      </c>
      <c r="E575" s="4" t="s">
        <v>24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0</v>
      </c>
      <c r="K575" s="6">
        <v>0</v>
      </c>
      <c r="L575" s="6">
        <v>-5.3929999999999998</v>
      </c>
      <c r="M575" s="6">
        <v>-5.3929999999999998</v>
      </c>
      <c r="N575" s="6">
        <v>-5.3929999999999998</v>
      </c>
      <c r="O575" s="6">
        <v>-5.3929999999999998</v>
      </c>
      <c r="P575" s="6">
        <v>0</v>
      </c>
      <c r="Q575" s="4" t="s">
        <v>26</v>
      </c>
      <c r="R575" s="4">
        <v>0</v>
      </c>
      <c r="S575" s="4" t="s">
        <v>242</v>
      </c>
      <c r="T575" s="4" t="s">
        <v>439</v>
      </c>
      <c r="U575" s="4">
        <v>0</v>
      </c>
      <c r="V575" s="4">
        <v>27</v>
      </c>
      <c r="W575" s="4">
        <v>52</v>
      </c>
    </row>
    <row r="576" spans="1:23" ht="11.25" customHeight="1" x14ac:dyDescent="0.25">
      <c r="A576" s="4" t="s">
        <v>55</v>
      </c>
      <c r="B576" s="4" t="s">
        <v>22</v>
      </c>
      <c r="C576" s="4" t="s">
        <v>23</v>
      </c>
      <c r="D576" s="4" t="s">
        <v>24</v>
      </c>
      <c r="E576" s="4" t="s">
        <v>24</v>
      </c>
      <c r="F576" s="4" t="s">
        <v>25</v>
      </c>
      <c r="G576" s="4" t="s">
        <v>25</v>
      </c>
      <c r="H576" s="4" t="s">
        <v>25</v>
      </c>
      <c r="I576" s="5">
        <v>44682</v>
      </c>
      <c r="J576" s="6">
        <v>0</v>
      </c>
      <c r="K576" s="6">
        <v>0</v>
      </c>
      <c r="L576" s="6">
        <v>140.49600000000001</v>
      </c>
      <c r="M576" s="6">
        <v>140.49600000000001</v>
      </c>
      <c r="N576" s="6">
        <v>140.49600000000001</v>
      </c>
      <c r="O576" s="6">
        <v>140.49600000000001</v>
      </c>
      <c r="P576" s="6">
        <v>1608</v>
      </c>
      <c r="Q576" s="4" t="s">
        <v>26</v>
      </c>
      <c r="R576" s="4">
        <v>0</v>
      </c>
      <c r="S576" s="4" t="s">
        <v>242</v>
      </c>
      <c r="T576" s="4" t="s">
        <v>439</v>
      </c>
      <c r="U576" s="4">
        <v>0</v>
      </c>
      <c r="V576" s="4">
        <v>27</v>
      </c>
      <c r="W576" s="4">
        <v>52</v>
      </c>
    </row>
    <row r="577" spans="1:23" ht="11.25" customHeight="1" x14ac:dyDescent="0.25">
      <c r="A577" s="4" t="s">
        <v>56</v>
      </c>
      <c r="B577" s="4" t="s">
        <v>22</v>
      </c>
      <c r="C577" s="4" t="s">
        <v>23</v>
      </c>
      <c r="D577" s="4" t="s">
        <v>24</v>
      </c>
      <c r="E577" s="4" t="s">
        <v>24</v>
      </c>
      <c r="F577" s="4" t="s">
        <v>25</v>
      </c>
      <c r="G577" s="4" t="s">
        <v>25</v>
      </c>
      <c r="H577" s="4" t="s">
        <v>25</v>
      </c>
      <c r="I577" s="5">
        <v>44713</v>
      </c>
      <c r="J577" s="6">
        <v>0</v>
      </c>
      <c r="K577" s="6">
        <v>0</v>
      </c>
      <c r="L577" s="6">
        <v>4597.58</v>
      </c>
      <c r="M577" s="6">
        <v>4597.58</v>
      </c>
      <c r="N577" s="6">
        <v>4597.58</v>
      </c>
      <c r="O577" s="6">
        <v>4597.58</v>
      </c>
      <c r="P577" s="6">
        <v>28650</v>
      </c>
      <c r="Q577" s="4" t="s">
        <v>26</v>
      </c>
      <c r="R577" s="4">
        <v>0</v>
      </c>
      <c r="S577" s="4" t="s">
        <v>243</v>
      </c>
      <c r="T577" s="4" t="s">
        <v>440</v>
      </c>
      <c r="U577" s="4">
        <v>0</v>
      </c>
      <c r="V577" s="4">
        <v>27</v>
      </c>
      <c r="W577" s="4">
        <v>52</v>
      </c>
    </row>
    <row r="578" spans="1:23" ht="11.25" customHeight="1" x14ac:dyDescent="0.25">
      <c r="A578" s="4" t="s">
        <v>56</v>
      </c>
      <c r="B578" s="4" t="s">
        <v>22</v>
      </c>
      <c r="C578" s="4" t="s">
        <v>23</v>
      </c>
      <c r="D578" s="4" t="s">
        <v>24</v>
      </c>
      <c r="E578" s="4" t="s">
        <v>24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-5.3929999999999998</v>
      </c>
      <c r="M578" s="6">
        <v>-5.3929999999999998</v>
      </c>
      <c r="N578" s="6">
        <v>-5.3929999999999998</v>
      </c>
      <c r="O578" s="6">
        <v>-5.3929999999999998</v>
      </c>
      <c r="P578" s="6">
        <v>0</v>
      </c>
      <c r="Q578" s="4" t="s">
        <v>26</v>
      </c>
      <c r="R578" s="4">
        <v>0</v>
      </c>
      <c r="S578" s="4" t="s">
        <v>243</v>
      </c>
      <c r="T578" s="4" t="s">
        <v>440</v>
      </c>
      <c r="U578" s="4">
        <v>0</v>
      </c>
      <c r="V578" s="4">
        <v>27</v>
      </c>
      <c r="W578" s="4">
        <v>52</v>
      </c>
    </row>
    <row r="579" spans="1:23" ht="11.25" customHeight="1" x14ac:dyDescent="0.25">
      <c r="A579" s="4" t="s">
        <v>56</v>
      </c>
      <c r="B579" s="4" t="s">
        <v>22</v>
      </c>
      <c r="C579" s="4" t="s">
        <v>23</v>
      </c>
      <c r="D579" s="4" t="s">
        <v>24</v>
      </c>
      <c r="E579" s="4" t="s">
        <v>24</v>
      </c>
      <c r="F579" s="4" t="s">
        <v>25</v>
      </c>
      <c r="G579" s="4" t="s">
        <v>25</v>
      </c>
      <c r="H579" s="4" t="s">
        <v>25</v>
      </c>
      <c r="I579" s="5">
        <v>44713</v>
      </c>
      <c r="J579" s="6">
        <v>0</v>
      </c>
      <c r="K579" s="6">
        <v>0</v>
      </c>
      <c r="L579" s="6">
        <v>140.49600000000001</v>
      </c>
      <c r="M579" s="6">
        <v>140.49600000000001</v>
      </c>
      <c r="N579" s="6">
        <v>140.49600000000001</v>
      </c>
      <c r="O579" s="6">
        <v>140.49600000000001</v>
      </c>
      <c r="P579" s="6">
        <v>1608</v>
      </c>
      <c r="Q579" s="4" t="s">
        <v>26</v>
      </c>
      <c r="R579" s="4">
        <v>0</v>
      </c>
      <c r="S579" s="4" t="s">
        <v>243</v>
      </c>
      <c r="T579" s="4" t="s">
        <v>440</v>
      </c>
      <c r="U579" s="4">
        <v>0</v>
      </c>
      <c r="V579" s="4">
        <v>27</v>
      </c>
      <c r="W579" s="4">
        <v>52</v>
      </c>
    </row>
    <row r="580" spans="1:23" ht="11.25" customHeight="1" x14ac:dyDescent="0.25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28</v>
      </c>
      <c r="F580" s="4" t="s">
        <v>25</v>
      </c>
      <c r="G580" s="4" t="s">
        <v>25</v>
      </c>
      <c r="H580" s="4" t="s">
        <v>25</v>
      </c>
      <c r="I580" s="5">
        <v>44378</v>
      </c>
      <c r="J580" s="6">
        <v>0</v>
      </c>
      <c r="K580" s="6">
        <v>0</v>
      </c>
      <c r="L580" s="6">
        <v>20.823</v>
      </c>
      <c r="M580" s="6">
        <v>20.823</v>
      </c>
      <c r="N580" s="6">
        <v>20.823</v>
      </c>
      <c r="O580" s="6">
        <v>20.823</v>
      </c>
      <c r="P580" s="6">
        <v>22</v>
      </c>
      <c r="Q580" s="4" t="s">
        <v>26</v>
      </c>
      <c r="R580" s="4">
        <v>0</v>
      </c>
      <c r="S580" s="4" t="s">
        <v>244</v>
      </c>
      <c r="T580" s="4" t="s">
        <v>441</v>
      </c>
      <c r="U580" s="4">
        <v>0</v>
      </c>
      <c r="V580" s="4">
        <v>8</v>
      </c>
      <c r="W580" s="4">
        <v>50</v>
      </c>
    </row>
    <row r="581" spans="1:23" ht="11.25" customHeight="1" x14ac:dyDescent="0.25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28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6">
        <v>0</v>
      </c>
      <c r="L581" s="6">
        <v>20.88</v>
      </c>
      <c r="M581" s="6">
        <v>20.88</v>
      </c>
      <c r="N581" s="6">
        <v>20.88</v>
      </c>
      <c r="O581" s="6">
        <v>20.88</v>
      </c>
      <c r="P581" s="6">
        <v>19</v>
      </c>
      <c r="Q581" s="4" t="s">
        <v>26</v>
      </c>
      <c r="R581" s="4">
        <v>0</v>
      </c>
      <c r="S581" s="4" t="s">
        <v>245</v>
      </c>
      <c r="T581" s="4" t="s">
        <v>442</v>
      </c>
      <c r="U581" s="4">
        <v>0</v>
      </c>
      <c r="V581" s="4">
        <v>8</v>
      </c>
      <c r="W581" s="4">
        <v>50</v>
      </c>
    </row>
    <row r="582" spans="1:23" ht="11.25" customHeight="1" x14ac:dyDescent="0.25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28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6">
        <v>0</v>
      </c>
      <c r="L582" s="6">
        <v>20.85</v>
      </c>
      <c r="M582" s="6">
        <v>20.85</v>
      </c>
      <c r="N582" s="6">
        <v>20.85</v>
      </c>
      <c r="O582" s="6">
        <v>20.85</v>
      </c>
      <c r="P582" s="6">
        <v>22</v>
      </c>
      <c r="Q582" s="4" t="s">
        <v>26</v>
      </c>
      <c r="R582" s="4">
        <v>0</v>
      </c>
      <c r="S582" s="4" t="s">
        <v>246</v>
      </c>
      <c r="T582" s="4" t="s">
        <v>443</v>
      </c>
      <c r="U582" s="4">
        <v>0</v>
      </c>
      <c r="V582" s="4">
        <v>8</v>
      </c>
      <c r="W582" s="4">
        <v>50</v>
      </c>
    </row>
    <row r="583" spans="1:23" ht="11.25" customHeight="1" x14ac:dyDescent="0.25">
      <c r="A583" s="4" t="s">
        <v>55</v>
      </c>
      <c r="B583" s="4" t="s">
        <v>22</v>
      </c>
      <c r="C583" s="4" t="s">
        <v>23</v>
      </c>
      <c r="D583" s="4" t="s">
        <v>24</v>
      </c>
      <c r="E583" s="4" t="s">
        <v>28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0</v>
      </c>
      <c r="K583" s="6">
        <v>0</v>
      </c>
      <c r="L583" s="6">
        <v>2.3E-2</v>
      </c>
      <c r="M583" s="6">
        <v>8.0499999999999999E-3</v>
      </c>
      <c r="N583" s="6">
        <v>2.3E-2</v>
      </c>
      <c r="O583" s="6">
        <v>8.0499999999999999E-3</v>
      </c>
      <c r="P583" s="6">
        <v>0</v>
      </c>
      <c r="Q583" s="4" t="s">
        <v>26</v>
      </c>
      <c r="R583" s="4">
        <v>0</v>
      </c>
      <c r="S583" s="4" t="s">
        <v>246</v>
      </c>
      <c r="T583" s="4" t="s">
        <v>443</v>
      </c>
      <c r="U583" s="4">
        <v>0</v>
      </c>
      <c r="V583" s="4">
        <v>8</v>
      </c>
      <c r="W583" s="4">
        <v>50</v>
      </c>
    </row>
    <row r="584" spans="1:23" ht="11.25" customHeight="1" x14ac:dyDescent="0.25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28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21.12</v>
      </c>
      <c r="M584" s="6">
        <v>21.12</v>
      </c>
      <c r="N584" s="6">
        <v>21.12</v>
      </c>
      <c r="O584" s="6">
        <v>21.12</v>
      </c>
      <c r="P584" s="6">
        <v>18</v>
      </c>
      <c r="Q584" s="4" t="s">
        <v>26</v>
      </c>
      <c r="R584" s="4">
        <v>0</v>
      </c>
      <c r="S584" s="4" t="s">
        <v>247</v>
      </c>
      <c r="T584" s="4" t="s">
        <v>444</v>
      </c>
      <c r="U584" s="4">
        <v>0</v>
      </c>
      <c r="V584" s="4">
        <v>8</v>
      </c>
      <c r="W584" s="4">
        <v>50</v>
      </c>
    </row>
    <row r="585" spans="1:23" ht="11.25" customHeight="1" x14ac:dyDescent="0.25">
      <c r="A585" s="4" t="s">
        <v>21</v>
      </c>
      <c r="B585" s="4" t="s">
        <v>22</v>
      </c>
      <c r="C585" s="4" t="s">
        <v>23</v>
      </c>
      <c r="D585" s="4" t="s">
        <v>24</v>
      </c>
      <c r="E585" s="4" t="s">
        <v>28</v>
      </c>
      <c r="F585" s="4" t="s">
        <v>25</v>
      </c>
      <c r="G585" s="4" t="s">
        <v>25</v>
      </c>
      <c r="H585" s="4" t="s">
        <v>25</v>
      </c>
      <c r="I585" s="5">
        <v>44501</v>
      </c>
      <c r="J585" s="6">
        <v>0</v>
      </c>
      <c r="K585" s="6">
        <v>0</v>
      </c>
      <c r="L585" s="6">
        <v>21.367000000000001</v>
      </c>
      <c r="M585" s="6">
        <v>21.367000000000001</v>
      </c>
      <c r="N585" s="6">
        <v>21.367000000000001</v>
      </c>
      <c r="O585" s="6">
        <v>21.367000000000001</v>
      </c>
      <c r="P585" s="6">
        <v>21</v>
      </c>
      <c r="Q585" s="4" t="s">
        <v>26</v>
      </c>
      <c r="R585" s="4">
        <v>0</v>
      </c>
      <c r="S585" s="4" t="s">
        <v>248</v>
      </c>
      <c r="T585" s="4" t="s">
        <v>445</v>
      </c>
      <c r="U585" s="4">
        <v>0</v>
      </c>
      <c r="V585" s="4">
        <v>8</v>
      </c>
      <c r="W585" s="4">
        <v>50</v>
      </c>
    </row>
    <row r="586" spans="1:23" ht="11.25" customHeight="1" x14ac:dyDescent="0.25">
      <c r="A586" s="4" t="s">
        <v>55</v>
      </c>
      <c r="B586" s="4" t="s">
        <v>22</v>
      </c>
      <c r="C586" s="4" t="s">
        <v>23</v>
      </c>
      <c r="D586" s="4" t="s">
        <v>24</v>
      </c>
      <c r="E586" s="4" t="s">
        <v>28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0.03</v>
      </c>
      <c r="M586" s="6">
        <v>1.0500000000000001E-2</v>
      </c>
      <c r="N586" s="6">
        <v>0.03</v>
      </c>
      <c r="O586" s="6">
        <v>1.0500000000000001E-2</v>
      </c>
      <c r="P586" s="6">
        <v>0</v>
      </c>
      <c r="Q586" s="4" t="s">
        <v>26</v>
      </c>
      <c r="R586" s="4">
        <v>0</v>
      </c>
      <c r="S586" s="4" t="s">
        <v>248</v>
      </c>
      <c r="T586" s="4" t="s">
        <v>445</v>
      </c>
      <c r="U586" s="4">
        <v>0</v>
      </c>
      <c r="V586" s="4">
        <v>8</v>
      </c>
      <c r="W586" s="4">
        <v>50</v>
      </c>
    </row>
    <row r="587" spans="1:23" ht="11.25" customHeight="1" x14ac:dyDescent="0.25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28</v>
      </c>
      <c r="F587" s="4" t="s">
        <v>25</v>
      </c>
      <c r="G587" s="4" t="s">
        <v>25</v>
      </c>
      <c r="H587" s="4" t="s">
        <v>25</v>
      </c>
      <c r="I587" s="5">
        <v>44531</v>
      </c>
      <c r="J587" s="6">
        <v>0</v>
      </c>
      <c r="K587" s="6">
        <v>0</v>
      </c>
      <c r="L587" s="6">
        <v>21.33</v>
      </c>
      <c r="M587" s="6">
        <v>21.33</v>
      </c>
      <c r="N587" s="6">
        <v>21.33</v>
      </c>
      <c r="O587" s="6">
        <v>21.33</v>
      </c>
      <c r="P587" s="6">
        <v>15</v>
      </c>
      <c r="Q587" s="4" t="s">
        <v>26</v>
      </c>
      <c r="R587" s="4">
        <v>0</v>
      </c>
      <c r="S587" s="4" t="s">
        <v>249</v>
      </c>
      <c r="T587" s="4" t="s">
        <v>446</v>
      </c>
      <c r="U587" s="4">
        <v>0</v>
      </c>
      <c r="V587" s="4">
        <v>8</v>
      </c>
      <c r="W587" s="4">
        <v>50</v>
      </c>
    </row>
    <row r="588" spans="1:23" ht="11.25" customHeight="1" x14ac:dyDescent="0.25">
      <c r="A588" s="4" t="s">
        <v>55</v>
      </c>
      <c r="B588" s="4" t="s">
        <v>22</v>
      </c>
      <c r="C588" s="4" t="s">
        <v>23</v>
      </c>
      <c r="D588" s="4" t="s">
        <v>24</v>
      </c>
      <c r="E588" s="4" t="s">
        <v>28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1.7000000000000001E-2</v>
      </c>
      <c r="M588" s="6">
        <v>5.9500000000000004E-3</v>
      </c>
      <c r="N588" s="6">
        <v>1.7000000000000001E-2</v>
      </c>
      <c r="O588" s="6">
        <v>5.9500000000000004E-3</v>
      </c>
      <c r="P588" s="6">
        <v>0</v>
      </c>
      <c r="Q588" s="4" t="s">
        <v>26</v>
      </c>
      <c r="R588" s="4">
        <v>0</v>
      </c>
      <c r="S588" s="4" t="s">
        <v>249</v>
      </c>
      <c r="T588" s="4" t="s">
        <v>446</v>
      </c>
      <c r="U588" s="4">
        <v>0</v>
      </c>
      <c r="V588" s="4">
        <v>8</v>
      </c>
      <c r="W588" s="4">
        <v>50</v>
      </c>
    </row>
    <row r="589" spans="1:23" ht="11.25" customHeight="1" x14ac:dyDescent="0.25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28</v>
      </c>
      <c r="F589" s="4" t="s">
        <v>25</v>
      </c>
      <c r="G589" s="4" t="s">
        <v>25</v>
      </c>
      <c r="H589" s="4" t="s">
        <v>25</v>
      </c>
      <c r="I589" s="5">
        <v>44562</v>
      </c>
      <c r="J589" s="6">
        <v>0</v>
      </c>
      <c r="K589" s="6">
        <v>0</v>
      </c>
      <c r="L589" s="6">
        <v>21.36</v>
      </c>
      <c r="M589" s="6">
        <v>21.36</v>
      </c>
      <c r="N589" s="6">
        <v>21.36</v>
      </c>
      <c r="O589" s="6">
        <v>21.36</v>
      </c>
      <c r="P589" s="6">
        <v>15</v>
      </c>
      <c r="Q589" s="4" t="s">
        <v>26</v>
      </c>
      <c r="R589" s="4">
        <v>0</v>
      </c>
      <c r="S589" s="4" t="s">
        <v>250</v>
      </c>
      <c r="T589" s="4" t="s">
        <v>447</v>
      </c>
      <c r="U589" s="4">
        <v>0</v>
      </c>
      <c r="V589" s="4">
        <v>8</v>
      </c>
      <c r="W589" s="4">
        <v>50</v>
      </c>
    </row>
    <row r="590" spans="1:23" ht="11.25" customHeight="1" x14ac:dyDescent="0.25">
      <c r="A590" s="4" t="s">
        <v>55</v>
      </c>
      <c r="B590" s="4" t="s">
        <v>22</v>
      </c>
      <c r="C590" s="4" t="s">
        <v>23</v>
      </c>
      <c r="D590" s="4" t="s">
        <v>24</v>
      </c>
      <c r="E590" s="4" t="s">
        <v>28</v>
      </c>
      <c r="F590" s="4" t="s">
        <v>25</v>
      </c>
      <c r="G590" s="4" t="s">
        <v>25</v>
      </c>
      <c r="H590" s="4" t="s">
        <v>25</v>
      </c>
      <c r="I590" s="5">
        <v>44562</v>
      </c>
      <c r="J590" s="6">
        <v>0</v>
      </c>
      <c r="K590" s="6">
        <v>0</v>
      </c>
      <c r="L590" s="6">
        <v>0.03</v>
      </c>
      <c r="M590" s="6">
        <v>1.0500000000000001E-2</v>
      </c>
      <c r="N590" s="6">
        <v>0.03</v>
      </c>
      <c r="O590" s="6">
        <v>1.0500000000000001E-2</v>
      </c>
      <c r="P590" s="6">
        <v>0</v>
      </c>
      <c r="Q590" s="4" t="s">
        <v>26</v>
      </c>
      <c r="R590" s="4">
        <v>0</v>
      </c>
      <c r="S590" s="4" t="s">
        <v>250</v>
      </c>
      <c r="T590" s="4" t="s">
        <v>447</v>
      </c>
      <c r="U590" s="4">
        <v>0</v>
      </c>
      <c r="V590" s="4">
        <v>8</v>
      </c>
      <c r="W590" s="4">
        <v>50</v>
      </c>
    </row>
    <row r="591" spans="1:23" ht="11.25" customHeight="1" x14ac:dyDescent="0.25">
      <c r="A591" s="4" t="s">
        <v>21</v>
      </c>
      <c r="B591" s="4" t="s">
        <v>22</v>
      </c>
      <c r="C591" s="4" t="s">
        <v>23</v>
      </c>
      <c r="D591" s="4" t="s">
        <v>24</v>
      </c>
      <c r="E591" s="4" t="s">
        <v>28</v>
      </c>
      <c r="F591" s="4" t="s">
        <v>25</v>
      </c>
      <c r="G591" s="4" t="s">
        <v>25</v>
      </c>
      <c r="H591" s="4" t="s">
        <v>25</v>
      </c>
      <c r="I591" s="5">
        <v>44593</v>
      </c>
      <c r="J591" s="6">
        <v>0</v>
      </c>
      <c r="K591" s="6">
        <v>0</v>
      </c>
      <c r="L591" s="6">
        <v>21.393000000000001</v>
      </c>
      <c r="M591" s="6">
        <v>21.393000000000001</v>
      </c>
      <c r="N591" s="6">
        <v>21.393000000000001</v>
      </c>
      <c r="O591" s="6">
        <v>21.393000000000001</v>
      </c>
      <c r="P591" s="6">
        <v>15</v>
      </c>
      <c r="Q591" s="4" t="s">
        <v>26</v>
      </c>
      <c r="R591" s="4">
        <v>0</v>
      </c>
      <c r="S591" s="4" t="s">
        <v>251</v>
      </c>
      <c r="T591" s="4" t="s">
        <v>448</v>
      </c>
      <c r="U591" s="4">
        <v>0</v>
      </c>
      <c r="V591" s="4">
        <v>8</v>
      </c>
      <c r="W591" s="4">
        <v>50</v>
      </c>
    </row>
    <row r="592" spans="1:23" ht="11.25" customHeight="1" x14ac:dyDescent="0.25">
      <c r="A592" s="4" t="s">
        <v>55</v>
      </c>
      <c r="B592" s="4" t="s">
        <v>22</v>
      </c>
      <c r="C592" s="4" t="s">
        <v>23</v>
      </c>
      <c r="D592" s="4" t="s">
        <v>24</v>
      </c>
      <c r="E592" s="4" t="s">
        <v>28</v>
      </c>
      <c r="F592" s="4" t="s">
        <v>25</v>
      </c>
      <c r="G592" s="4" t="s">
        <v>25</v>
      </c>
      <c r="H592" s="4" t="s">
        <v>25</v>
      </c>
      <c r="I592" s="5">
        <v>44593</v>
      </c>
      <c r="J592" s="6">
        <v>0</v>
      </c>
      <c r="K592" s="6">
        <v>0</v>
      </c>
      <c r="L592" s="6">
        <v>0.03</v>
      </c>
      <c r="M592" s="6">
        <v>1.0500000000000001E-2</v>
      </c>
      <c r="N592" s="6">
        <v>0.03</v>
      </c>
      <c r="O592" s="6">
        <v>1.0500000000000001E-2</v>
      </c>
      <c r="P592" s="6">
        <v>0</v>
      </c>
      <c r="Q592" s="4" t="s">
        <v>26</v>
      </c>
      <c r="R592" s="4">
        <v>0</v>
      </c>
      <c r="S592" s="4" t="s">
        <v>251</v>
      </c>
      <c r="T592" s="4" t="s">
        <v>448</v>
      </c>
      <c r="U592" s="4">
        <v>0</v>
      </c>
      <c r="V592" s="4">
        <v>8</v>
      </c>
      <c r="W592" s="4">
        <v>50</v>
      </c>
    </row>
    <row r="593" spans="1:23" ht="11.25" customHeight="1" x14ac:dyDescent="0.25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28</v>
      </c>
      <c r="F593" s="4" t="s">
        <v>25</v>
      </c>
      <c r="G593" s="4" t="s">
        <v>25</v>
      </c>
      <c r="H593" s="4" t="s">
        <v>25</v>
      </c>
      <c r="I593" s="5">
        <v>44621</v>
      </c>
      <c r="J593" s="6">
        <v>0</v>
      </c>
      <c r="K593" s="6">
        <v>0</v>
      </c>
      <c r="L593" s="6">
        <v>21.81</v>
      </c>
      <c r="M593" s="6">
        <v>21.81</v>
      </c>
      <c r="N593" s="6">
        <v>21.81</v>
      </c>
      <c r="O593" s="6">
        <v>21.81</v>
      </c>
      <c r="P593" s="6">
        <v>27</v>
      </c>
      <c r="Q593" s="4" t="s">
        <v>26</v>
      </c>
      <c r="R593" s="4">
        <v>0</v>
      </c>
      <c r="S593" s="4" t="s">
        <v>252</v>
      </c>
      <c r="T593" s="4" t="s">
        <v>449</v>
      </c>
      <c r="U593" s="4">
        <v>0</v>
      </c>
      <c r="V593" s="4">
        <v>8</v>
      </c>
      <c r="W593" s="4">
        <v>50</v>
      </c>
    </row>
    <row r="594" spans="1:23" ht="11.25" customHeight="1" x14ac:dyDescent="0.25">
      <c r="A594" s="4" t="s">
        <v>55</v>
      </c>
      <c r="B594" s="4" t="s">
        <v>22</v>
      </c>
      <c r="C594" s="4" t="s">
        <v>23</v>
      </c>
      <c r="D594" s="4" t="s">
        <v>24</v>
      </c>
      <c r="E594" s="4" t="s">
        <v>28</v>
      </c>
      <c r="F594" s="4" t="s">
        <v>25</v>
      </c>
      <c r="G594" s="4" t="s">
        <v>25</v>
      </c>
      <c r="H594" s="4" t="s">
        <v>25</v>
      </c>
      <c r="I594" s="5">
        <v>44621</v>
      </c>
      <c r="J594" s="6">
        <v>0</v>
      </c>
      <c r="K594" s="6">
        <v>0</v>
      </c>
      <c r="L594" s="6">
        <v>0.03</v>
      </c>
      <c r="M594" s="6">
        <v>1.0500000000000001E-2</v>
      </c>
      <c r="N594" s="6">
        <v>0.03</v>
      </c>
      <c r="O594" s="6">
        <v>1.0500000000000001E-2</v>
      </c>
      <c r="P594" s="6">
        <v>0</v>
      </c>
      <c r="Q594" s="4" t="s">
        <v>26</v>
      </c>
      <c r="R594" s="4">
        <v>0</v>
      </c>
      <c r="S594" s="4" t="s">
        <v>252</v>
      </c>
      <c r="T594" s="4" t="s">
        <v>449</v>
      </c>
      <c r="U594" s="4">
        <v>0</v>
      </c>
      <c r="V594" s="4">
        <v>8</v>
      </c>
      <c r="W594" s="4">
        <v>50</v>
      </c>
    </row>
    <row r="595" spans="1:23" ht="11.25" customHeight="1" x14ac:dyDescent="0.25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28</v>
      </c>
      <c r="F595" s="4" t="s">
        <v>25</v>
      </c>
      <c r="G595" s="4" t="s">
        <v>25</v>
      </c>
      <c r="H595" s="4" t="s">
        <v>25</v>
      </c>
      <c r="I595" s="5">
        <v>44652</v>
      </c>
      <c r="J595" s="6">
        <v>0</v>
      </c>
      <c r="K595" s="6">
        <v>0</v>
      </c>
      <c r="L595" s="6">
        <v>22.26</v>
      </c>
      <c r="M595" s="6">
        <v>22.26</v>
      </c>
      <c r="N595" s="6">
        <v>22.26</v>
      </c>
      <c r="O595" s="6">
        <v>22.26</v>
      </c>
      <c r="P595" s="6">
        <v>21</v>
      </c>
      <c r="Q595" s="4" t="s">
        <v>26</v>
      </c>
      <c r="R595" s="4">
        <v>0</v>
      </c>
      <c r="S595" s="4" t="s">
        <v>253</v>
      </c>
      <c r="T595" s="4" t="s">
        <v>450</v>
      </c>
      <c r="U595" s="4">
        <v>0</v>
      </c>
      <c r="V595" s="4">
        <v>8</v>
      </c>
      <c r="W595" s="4">
        <v>50</v>
      </c>
    </row>
    <row r="596" spans="1:23" ht="11.25" customHeight="1" x14ac:dyDescent="0.25">
      <c r="A596" s="4" t="s">
        <v>55</v>
      </c>
      <c r="B596" s="4" t="s">
        <v>22</v>
      </c>
      <c r="C596" s="4" t="s">
        <v>23</v>
      </c>
      <c r="D596" s="4" t="s">
        <v>24</v>
      </c>
      <c r="E596" s="4" t="s">
        <v>28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0.03</v>
      </c>
      <c r="M596" s="6">
        <v>1.0500000000000001E-2</v>
      </c>
      <c r="N596" s="6">
        <v>0.03</v>
      </c>
      <c r="O596" s="6">
        <v>1.0500000000000001E-2</v>
      </c>
      <c r="P596" s="6">
        <v>0</v>
      </c>
      <c r="Q596" s="4" t="s">
        <v>26</v>
      </c>
      <c r="R596" s="4">
        <v>0</v>
      </c>
      <c r="S596" s="4" t="s">
        <v>253</v>
      </c>
      <c r="T596" s="4" t="s">
        <v>450</v>
      </c>
      <c r="U596" s="4">
        <v>0</v>
      </c>
      <c r="V596" s="4">
        <v>8</v>
      </c>
      <c r="W596" s="4">
        <v>50</v>
      </c>
    </row>
    <row r="597" spans="1:23" ht="11.25" customHeight="1" x14ac:dyDescent="0.25">
      <c r="A597" s="4" t="s">
        <v>21</v>
      </c>
      <c r="B597" s="4" t="s">
        <v>22</v>
      </c>
      <c r="C597" s="4" t="s">
        <v>23</v>
      </c>
      <c r="D597" s="4" t="s">
        <v>24</v>
      </c>
      <c r="E597" s="4" t="s">
        <v>28</v>
      </c>
      <c r="F597" s="4" t="s">
        <v>25</v>
      </c>
      <c r="G597" s="4" t="s">
        <v>25</v>
      </c>
      <c r="H597" s="4" t="s">
        <v>25</v>
      </c>
      <c r="I597" s="5">
        <v>44682</v>
      </c>
      <c r="J597" s="6">
        <v>0</v>
      </c>
      <c r="K597" s="6">
        <v>0</v>
      </c>
      <c r="L597" s="6">
        <v>22.341999999999999</v>
      </c>
      <c r="M597" s="6">
        <v>22.341999999999999</v>
      </c>
      <c r="N597" s="6">
        <v>22.341999999999999</v>
      </c>
      <c r="O597" s="6">
        <v>22.341999999999999</v>
      </c>
      <c r="P597" s="6">
        <v>26</v>
      </c>
      <c r="Q597" s="4" t="s">
        <v>26</v>
      </c>
      <c r="R597" s="4">
        <v>0</v>
      </c>
      <c r="S597" s="4" t="s">
        <v>254</v>
      </c>
      <c r="T597" s="4" t="s">
        <v>451</v>
      </c>
      <c r="U597" s="4">
        <v>0</v>
      </c>
      <c r="V597" s="4">
        <v>8</v>
      </c>
      <c r="W597" s="4">
        <v>50</v>
      </c>
    </row>
    <row r="598" spans="1:23" ht="11.25" customHeight="1" x14ac:dyDescent="0.25">
      <c r="A598" s="4" t="s">
        <v>55</v>
      </c>
      <c r="B598" s="4" t="s">
        <v>22</v>
      </c>
      <c r="C598" s="4" t="s">
        <v>23</v>
      </c>
      <c r="D598" s="4" t="s">
        <v>24</v>
      </c>
      <c r="E598" s="4" t="s">
        <v>28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0.03</v>
      </c>
      <c r="M598" s="6">
        <v>1.0500000000000001E-2</v>
      </c>
      <c r="N598" s="6">
        <v>0.03</v>
      </c>
      <c r="O598" s="6">
        <v>1.0500000000000001E-2</v>
      </c>
      <c r="P598" s="6">
        <v>0</v>
      </c>
      <c r="Q598" s="4" t="s">
        <v>26</v>
      </c>
      <c r="R598" s="4">
        <v>0</v>
      </c>
      <c r="S598" s="4" t="s">
        <v>254</v>
      </c>
      <c r="T598" s="4" t="s">
        <v>451</v>
      </c>
      <c r="U598" s="4">
        <v>0</v>
      </c>
      <c r="V598" s="4">
        <v>8</v>
      </c>
      <c r="W598" s="4">
        <v>50</v>
      </c>
    </row>
    <row r="599" spans="1:23" ht="11.25" customHeight="1" x14ac:dyDescent="0.25">
      <c r="A599" s="4" t="s">
        <v>56</v>
      </c>
      <c r="B599" s="4" t="s">
        <v>22</v>
      </c>
      <c r="C599" s="4" t="s">
        <v>23</v>
      </c>
      <c r="D599" s="4" t="s">
        <v>24</v>
      </c>
      <c r="E599" s="4" t="s">
        <v>28</v>
      </c>
      <c r="F599" s="4" t="s">
        <v>25</v>
      </c>
      <c r="G599" s="4" t="s">
        <v>25</v>
      </c>
      <c r="H599" s="4" t="s">
        <v>25</v>
      </c>
      <c r="I599" s="5">
        <v>44713</v>
      </c>
      <c r="J599" s="6">
        <v>0</v>
      </c>
      <c r="K599" s="6">
        <v>0</v>
      </c>
      <c r="L599" s="6">
        <v>22.341999999999999</v>
      </c>
      <c r="M599" s="6">
        <v>22.341999999999999</v>
      </c>
      <c r="N599" s="6">
        <v>22.341999999999999</v>
      </c>
      <c r="O599" s="6">
        <v>22.341999999999999</v>
      </c>
      <c r="P599" s="6">
        <v>26</v>
      </c>
      <c r="Q599" s="4" t="s">
        <v>26</v>
      </c>
      <c r="R599" s="4">
        <v>0</v>
      </c>
      <c r="S599" s="4" t="s">
        <v>255</v>
      </c>
      <c r="T599" s="4" t="s">
        <v>452</v>
      </c>
      <c r="U599" s="4">
        <v>0</v>
      </c>
      <c r="V599" s="4">
        <v>8</v>
      </c>
      <c r="W599" s="4">
        <v>50</v>
      </c>
    </row>
    <row r="600" spans="1:23" ht="11.25" customHeight="1" x14ac:dyDescent="0.25">
      <c r="A600" s="4" t="s">
        <v>56</v>
      </c>
      <c r="B600" s="4" t="s">
        <v>22</v>
      </c>
      <c r="C600" s="4" t="s">
        <v>23</v>
      </c>
      <c r="D600" s="4" t="s">
        <v>24</v>
      </c>
      <c r="E600" s="4" t="s">
        <v>28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0.03</v>
      </c>
      <c r="M600" s="6">
        <v>1.0500000000000001E-2</v>
      </c>
      <c r="N600" s="6">
        <v>0.03</v>
      </c>
      <c r="O600" s="6">
        <v>1.0500000000000001E-2</v>
      </c>
      <c r="P600" s="6">
        <v>0</v>
      </c>
      <c r="Q600" s="4" t="s">
        <v>26</v>
      </c>
      <c r="R600" s="4">
        <v>0</v>
      </c>
      <c r="S600" s="4" t="s">
        <v>255</v>
      </c>
      <c r="T600" s="4" t="s">
        <v>452</v>
      </c>
      <c r="U600" s="4">
        <v>0</v>
      </c>
      <c r="V600" s="4">
        <v>8</v>
      </c>
      <c r="W600" s="4">
        <v>50</v>
      </c>
    </row>
    <row r="601" spans="1:23" ht="11.25" customHeight="1" x14ac:dyDescent="0.25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29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42.869</v>
      </c>
      <c r="M601" s="6">
        <v>42.869</v>
      </c>
      <c r="N601" s="6">
        <v>42.869</v>
      </c>
      <c r="O601" s="6">
        <v>42.869</v>
      </c>
      <c r="P601" s="6">
        <v>142</v>
      </c>
      <c r="Q601" s="4" t="s">
        <v>26</v>
      </c>
      <c r="R601" s="4">
        <v>0</v>
      </c>
      <c r="S601" s="4" t="s">
        <v>256</v>
      </c>
      <c r="T601" s="4" t="s">
        <v>453</v>
      </c>
      <c r="U601" s="4">
        <v>0</v>
      </c>
      <c r="V601" s="4">
        <v>28</v>
      </c>
      <c r="W601" s="4">
        <v>53</v>
      </c>
    </row>
    <row r="602" spans="1:23" ht="11.25" customHeight="1" x14ac:dyDescent="0.25">
      <c r="A602" s="4" t="s">
        <v>21</v>
      </c>
      <c r="B602" s="4" t="s">
        <v>22</v>
      </c>
      <c r="C602" s="4" t="s">
        <v>23</v>
      </c>
      <c r="D602" s="4" t="s">
        <v>24</v>
      </c>
      <c r="E602" s="4" t="s">
        <v>29</v>
      </c>
      <c r="F602" s="4" t="s">
        <v>25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43.503</v>
      </c>
      <c r="M602" s="6">
        <v>43.503</v>
      </c>
      <c r="N602" s="6">
        <v>43.503</v>
      </c>
      <c r="O602" s="6">
        <v>43.503</v>
      </c>
      <c r="P602" s="6">
        <v>139</v>
      </c>
      <c r="Q602" s="4" t="s">
        <v>26</v>
      </c>
      <c r="R602" s="4">
        <v>0</v>
      </c>
      <c r="S602" s="4" t="s">
        <v>257</v>
      </c>
      <c r="T602" s="4" t="s">
        <v>454</v>
      </c>
      <c r="U602" s="4">
        <v>0</v>
      </c>
      <c r="V602" s="4">
        <v>28</v>
      </c>
      <c r="W602" s="4">
        <v>53</v>
      </c>
    </row>
    <row r="603" spans="1:23" ht="11.25" customHeight="1" x14ac:dyDescent="0.25">
      <c r="A603" s="4" t="s">
        <v>21</v>
      </c>
      <c r="B603" s="4" t="s">
        <v>22</v>
      </c>
      <c r="C603" s="4" t="s">
        <v>23</v>
      </c>
      <c r="D603" s="4" t="s">
        <v>24</v>
      </c>
      <c r="E603" s="4" t="s">
        <v>29</v>
      </c>
      <c r="F603" s="4" t="s">
        <v>25</v>
      </c>
      <c r="G603" s="4" t="s">
        <v>25</v>
      </c>
      <c r="H603" s="4" t="s">
        <v>25</v>
      </c>
      <c r="I603" s="5">
        <v>44440</v>
      </c>
      <c r="J603" s="6">
        <v>0</v>
      </c>
      <c r="K603" s="6">
        <v>0</v>
      </c>
      <c r="L603" s="6">
        <v>43.853999999999999</v>
      </c>
      <c r="M603" s="6">
        <v>43.853999999999999</v>
      </c>
      <c r="N603" s="6">
        <v>43.853999999999999</v>
      </c>
      <c r="O603" s="6">
        <v>43.853999999999999</v>
      </c>
      <c r="P603" s="6">
        <v>134</v>
      </c>
      <c r="Q603" s="4" t="s">
        <v>26</v>
      </c>
      <c r="R603" s="4">
        <v>0</v>
      </c>
      <c r="S603" s="4" t="s">
        <v>258</v>
      </c>
      <c r="T603" s="4" t="s">
        <v>455</v>
      </c>
      <c r="U603" s="4">
        <v>0</v>
      </c>
      <c r="V603" s="4">
        <v>28</v>
      </c>
      <c r="W603" s="4">
        <v>53</v>
      </c>
    </row>
    <row r="604" spans="1:23" ht="11.25" customHeight="1" x14ac:dyDescent="0.25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29</v>
      </c>
      <c r="F604" s="4" t="s">
        <v>25</v>
      </c>
      <c r="G604" s="4" t="s">
        <v>25</v>
      </c>
      <c r="H604" s="4" t="s">
        <v>25</v>
      </c>
      <c r="I604" s="5">
        <v>44470</v>
      </c>
      <c r="J604" s="6">
        <v>0</v>
      </c>
      <c r="K604" s="6">
        <v>0</v>
      </c>
      <c r="L604" s="6">
        <v>44.758000000000003</v>
      </c>
      <c r="M604" s="6">
        <v>44.758000000000003</v>
      </c>
      <c r="N604" s="6">
        <v>44.758000000000003</v>
      </c>
      <c r="O604" s="6">
        <v>44.758000000000003</v>
      </c>
      <c r="P604" s="6">
        <v>133</v>
      </c>
      <c r="Q604" s="4" t="s">
        <v>26</v>
      </c>
      <c r="R604" s="4">
        <v>0</v>
      </c>
      <c r="S604" s="4" t="s">
        <v>259</v>
      </c>
      <c r="T604" s="4" t="s">
        <v>456</v>
      </c>
      <c r="U604" s="4">
        <v>0</v>
      </c>
      <c r="V604" s="4">
        <v>28</v>
      </c>
      <c r="W604" s="4">
        <v>53</v>
      </c>
    </row>
    <row r="605" spans="1:23" ht="11.25" customHeight="1" x14ac:dyDescent="0.25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29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0</v>
      </c>
      <c r="K605" s="6">
        <v>0</v>
      </c>
      <c r="L605" s="6">
        <v>45.768000000000001</v>
      </c>
      <c r="M605" s="6">
        <v>45.768000000000001</v>
      </c>
      <c r="N605" s="6">
        <v>45.768000000000001</v>
      </c>
      <c r="O605" s="6">
        <v>45.768000000000001</v>
      </c>
      <c r="P605" s="6">
        <v>111</v>
      </c>
      <c r="Q605" s="4" t="s">
        <v>26</v>
      </c>
      <c r="R605" s="4">
        <v>0</v>
      </c>
      <c r="S605" s="4" t="s">
        <v>260</v>
      </c>
      <c r="T605" s="4" t="s">
        <v>457</v>
      </c>
      <c r="U605" s="4">
        <v>0</v>
      </c>
      <c r="V605" s="4">
        <v>28</v>
      </c>
      <c r="W605" s="4">
        <v>53</v>
      </c>
    </row>
    <row r="606" spans="1:23" ht="11.25" customHeight="1" x14ac:dyDescent="0.25">
      <c r="A606" s="4" t="s">
        <v>21</v>
      </c>
      <c r="B606" s="4" t="s">
        <v>22</v>
      </c>
      <c r="C606" s="4" t="s">
        <v>23</v>
      </c>
      <c r="D606" s="4" t="s">
        <v>24</v>
      </c>
      <c r="E606" s="4" t="s">
        <v>29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46.033999999999999</v>
      </c>
      <c r="M606" s="6">
        <v>46.033999999999999</v>
      </c>
      <c r="N606" s="6">
        <v>46.033999999999999</v>
      </c>
      <c r="O606" s="6">
        <v>46.033999999999999</v>
      </c>
      <c r="P606" s="6">
        <v>115</v>
      </c>
      <c r="Q606" s="4" t="s">
        <v>26</v>
      </c>
      <c r="R606" s="4">
        <v>0</v>
      </c>
      <c r="S606" s="4" t="s">
        <v>261</v>
      </c>
      <c r="T606" s="4" t="s">
        <v>458</v>
      </c>
      <c r="U606" s="4">
        <v>0</v>
      </c>
      <c r="V606" s="4">
        <v>28</v>
      </c>
      <c r="W606" s="4">
        <v>53</v>
      </c>
    </row>
    <row r="607" spans="1:23" ht="11.25" customHeight="1" x14ac:dyDescent="0.25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29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0</v>
      </c>
      <c r="K607" s="6">
        <v>0</v>
      </c>
      <c r="L607" s="6">
        <v>46.927</v>
      </c>
      <c r="M607" s="6">
        <v>46.927</v>
      </c>
      <c r="N607" s="6">
        <v>46.927</v>
      </c>
      <c r="O607" s="6">
        <v>46.927</v>
      </c>
      <c r="P607" s="6">
        <v>83</v>
      </c>
      <c r="Q607" s="4" t="s">
        <v>26</v>
      </c>
      <c r="R607" s="4">
        <v>0</v>
      </c>
      <c r="S607" s="4" t="s">
        <v>262</v>
      </c>
      <c r="T607" s="4" t="s">
        <v>459</v>
      </c>
      <c r="U607" s="4">
        <v>0</v>
      </c>
      <c r="V607" s="4">
        <v>28</v>
      </c>
      <c r="W607" s="4">
        <v>53</v>
      </c>
    </row>
    <row r="608" spans="1:23" ht="11.25" customHeight="1" x14ac:dyDescent="0.25">
      <c r="A608" s="4" t="s">
        <v>21</v>
      </c>
      <c r="B608" s="4" t="s">
        <v>22</v>
      </c>
      <c r="C608" s="4" t="s">
        <v>23</v>
      </c>
      <c r="D608" s="4" t="s">
        <v>24</v>
      </c>
      <c r="E608" s="4" t="s">
        <v>29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0</v>
      </c>
      <c r="K608" s="6">
        <v>0</v>
      </c>
      <c r="L608" s="6">
        <v>46.610999999999997</v>
      </c>
      <c r="M608" s="6">
        <v>46.610999999999997</v>
      </c>
      <c r="N608" s="6">
        <v>46.610999999999997</v>
      </c>
      <c r="O608" s="6">
        <v>46.610999999999997</v>
      </c>
      <c r="P608" s="6">
        <v>101</v>
      </c>
      <c r="Q608" s="4" t="s">
        <v>26</v>
      </c>
      <c r="R608" s="4">
        <v>0</v>
      </c>
      <c r="S608" s="4" t="s">
        <v>263</v>
      </c>
      <c r="T608" s="4" t="s">
        <v>460</v>
      </c>
      <c r="U608" s="4">
        <v>0</v>
      </c>
      <c r="V608" s="4">
        <v>28</v>
      </c>
      <c r="W608" s="4">
        <v>53</v>
      </c>
    </row>
    <row r="609" spans="1:23" ht="11.25" customHeight="1" x14ac:dyDescent="0.25">
      <c r="A609" s="4" t="s">
        <v>21</v>
      </c>
      <c r="B609" s="4" t="s">
        <v>22</v>
      </c>
      <c r="C609" s="4" t="s">
        <v>23</v>
      </c>
      <c r="D609" s="4" t="s">
        <v>24</v>
      </c>
      <c r="E609" s="4" t="s">
        <v>29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46.491999999999997</v>
      </c>
      <c r="M609" s="6">
        <v>46.491999999999997</v>
      </c>
      <c r="N609" s="6">
        <v>46.491999999999997</v>
      </c>
      <c r="O609" s="6">
        <v>46.491999999999997</v>
      </c>
      <c r="P609" s="6">
        <v>93</v>
      </c>
      <c r="Q609" s="4" t="s">
        <v>26</v>
      </c>
      <c r="R609" s="4">
        <v>0</v>
      </c>
      <c r="S609" s="4" t="s">
        <v>264</v>
      </c>
      <c r="T609" s="4" t="s">
        <v>461</v>
      </c>
      <c r="U609" s="4">
        <v>0</v>
      </c>
      <c r="V609" s="4">
        <v>28</v>
      </c>
      <c r="W609" s="4">
        <v>53</v>
      </c>
    </row>
    <row r="610" spans="1:23" ht="11.25" customHeight="1" x14ac:dyDescent="0.25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29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0</v>
      </c>
      <c r="K610" s="6">
        <v>0</v>
      </c>
      <c r="L610" s="6">
        <v>46.753</v>
      </c>
      <c r="M610" s="6">
        <v>46.753</v>
      </c>
      <c r="N610" s="6">
        <v>46.753</v>
      </c>
      <c r="O610" s="6">
        <v>46.753</v>
      </c>
      <c r="P610" s="6">
        <v>144</v>
      </c>
      <c r="Q610" s="4" t="s">
        <v>26</v>
      </c>
      <c r="R610" s="4">
        <v>0</v>
      </c>
      <c r="S610" s="4" t="s">
        <v>265</v>
      </c>
      <c r="T610" s="4" t="s">
        <v>462</v>
      </c>
      <c r="U610" s="4">
        <v>0</v>
      </c>
      <c r="V610" s="4">
        <v>28</v>
      </c>
      <c r="W610" s="4">
        <v>53</v>
      </c>
    </row>
    <row r="611" spans="1:23" ht="11.25" customHeight="1" x14ac:dyDescent="0.25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29</v>
      </c>
      <c r="F611" s="4" t="s">
        <v>25</v>
      </c>
      <c r="G611" s="4" t="s">
        <v>25</v>
      </c>
      <c r="H611" s="4" t="s">
        <v>25</v>
      </c>
      <c r="I611" s="5">
        <v>44682</v>
      </c>
      <c r="J611" s="6">
        <v>0</v>
      </c>
      <c r="K611" s="6">
        <v>0</v>
      </c>
      <c r="L611" s="6">
        <v>46.506</v>
      </c>
      <c r="M611" s="6">
        <v>46.506</v>
      </c>
      <c r="N611" s="6">
        <v>46.506</v>
      </c>
      <c r="O611" s="6">
        <v>46.506</v>
      </c>
      <c r="P611" s="6">
        <v>151</v>
      </c>
      <c r="Q611" s="4" t="s">
        <v>26</v>
      </c>
      <c r="R611" s="4">
        <v>0</v>
      </c>
      <c r="S611" s="4" t="s">
        <v>266</v>
      </c>
      <c r="T611" s="4" t="s">
        <v>463</v>
      </c>
      <c r="U611" s="4">
        <v>0</v>
      </c>
      <c r="V611" s="4">
        <v>28</v>
      </c>
      <c r="W611" s="4">
        <v>53</v>
      </c>
    </row>
    <row r="612" spans="1:23" ht="11.25" customHeight="1" x14ac:dyDescent="0.25">
      <c r="A612" s="4" t="s">
        <v>56</v>
      </c>
      <c r="B612" s="4" t="s">
        <v>22</v>
      </c>
      <c r="C612" s="4" t="s">
        <v>23</v>
      </c>
      <c r="D612" s="4" t="s">
        <v>24</v>
      </c>
      <c r="E612" s="4" t="s">
        <v>29</v>
      </c>
      <c r="F612" s="4" t="s">
        <v>25</v>
      </c>
      <c r="G612" s="4" t="s">
        <v>25</v>
      </c>
      <c r="H612" s="4" t="s">
        <v>25</v>
      </c>
      <c r="I612" s="5">
        <v>44713</v>
      </c>
      <c r="J612" s="6">
        <v>0</v>
      </c>
      <c r="K612" s="6">
        <v>0</v>
      </c>
      <c r="L612" s="6">
        <v>46.506</v>
      </c>
      <c r="M612" s="6">
        <v>46.506</v>
      </c>
      <c r="N612" s="6">
        <v>46.506</v>
      </c>
      <c r="O612" s="6">
        <v>46.506</v>
      </c>
      <c r="P612" s="6">
        <v>151</v>
      </c>
      <c r="Q612" s="4" t="s">
        <v>26</v>
      </c>
      <c r="R612" s="4">
        <v>0</v>
      </c>
      <c r="S612" s="4" t="s">
        <v>267</v>
      </c>
      <c r="T612" s="4" t="s">
        <v>464</v>
      </c>
      <c r="U612" s="4">
        <v>0</v>
      </c>
      <c r="V612" s="4">
        <v>28</v>
      </c>
      <c r="W612" s="4">
        <v>53</v>
      </c>
    </row>
    <row r="613" spans="1:23" ht="11.25" customHeight="1" x14ac:dyDescent="0.25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30</v>
      </c>
      <c r="F613" s="4" t="s">
        <v>25</v>
      </c>
      <c r="G613" s="4" t="s">
        <v>25</v>
      </c>
      <c r="H613" s="4" t="s">
        <v>25</v>
      </c>
      <c r="I613" s="5">
        <v>44378</v>
      </c>
      <c r="J613" s="6">
        <v>0</v>
      </c>
      <c r="K613" s="6">
        <v>0</v>
      </c>
      <c r="L613" s="6">
        <v>42.231000000000002</v>
      </c>
      <c r="M613" s="6">
        <v>42.231000000000002</v>
      </c>
      <c r="N613" s="6">
        <v>42.231000000000002</v>
      </c>
      <c r="O613" s="6">
        <v>42.231000000000002</v>
      </c>
      <c r="P613" s="6">
        <v>350</v>
      </c>
      <c r="Q613" s="4" t="s">
        <v>26</v>
      </c>
      <c r="R613" s="4">
        <v>0</v>
      </c>
      <c r="S613" s="4" t="s">
        <v>268</v>
      </c>
      <c r="T613" s="4" t="s">
        <v>465</v>
      </c>
      <c r="U613" s="4">
        <v>0</v>
      </c>
      <c r="V613" s="4">
        <v>13</v>
      </c>
      <c r="W613" s="4">
        <v>55</v>
      </c>
    </row>
    <row r="614" spans="1:23" ht="11.25" customHeight="1" x14ac:dyDescent="0.25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30</v>
      </c>
      <c r="F614" s="4" t="s">
        <v>25</v>
      </c>
      <c r="G614" s="4" t="s">
        <v>25</v>
      </c>
      <c r="H614" s="4" t="s">
        <v>25</v>
      </c>
      <c r="I614" s="5">
        <v>44409</v>
      </c>
      <c r="J614" s="6">
        <v>0</v>
      </c>
      <c r="K614" s="6">
        <v>0</v>
      </c>
      <c r="L614" s="6">
        <v>43.195999999999998</v>
      </c>
      <c r="M614" s="6">
        <v>43.195999999999998</v>
      </c>
      <c r="N614" s="6">
        <v>43.195999999999998</v>
      </c>
      <c r="O614" s="6">
        <v>43.195999999999998</v>
      </c>
      <c r="P614" s="6">
        <v>346</v>
      </c>
      <c r="Q614" s="4" t="s">
        <v>26</v>
      </c>
      <c r="R614" s="4">
        <v>0</v>
      </c>
      <c r="S614" s="4" t="s">
        <v>269</v>
      </c>
      <c r="T614" s="4" t="s">
        <v>466</v>
      </c>
      <c r="U614" s="4">
        <v>0</v>
      </c>
      <c r="V614" s="4">
        <v>13</v>
      </c>
      <c r="W614" s="4">
        <v>55</v>
      </c>
    </row>
    <row r="615" spans="1:23" ht="11.25" customHeight="1" x14ac:dyDescent="0.25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30</v>
      </c>
      <c r="F615" s="4" t="s">
        <v>25</v>
      </c>
      <c r="G615" s="4" t="s">
        <v>25</v>
      </c>
      <c r="H615" s="4" t="s">
        <v>25</v>
      </c>
      <c r="I615" s="5">
        <v>44440</v>
      </c>
      <c r="J615" s="6">
        <v>0</v>
      </c>
      <c r="K615" s="6">
        <v>0</v>
      </c>
      <c r="L615" s="6">
        <v>41.781999999999996</v>
      </c>
      <c r="M615" s="6">
        <v>41.781999999999996</v>
      </c>
      <c r="N615" s="6">
        <v>41.781999999999996</v>
      </c>
      <c r="O615" s="6">
        <v>41.781999999999996</v>
      </c>
      <c r="P615" s="6">
        <v>367</v>
      </c>
      <c r="Q615" s="4" t="s">
        <v>26</v>
      </c>
      <c r="R615" s="4">
        <v>0</v>
      </c>
      <c r="S615" s="4" t="s">
        <v>270</v>
      </c>
      <c r="T615" s="4" t="s">
        <v>467</v>
      </c>
      <c r="U615" s="4">
        <v>0</v>
      </c>
      <c r="V615" s="4">
        <v>13</v>
      </c>
      <c r="W615" s="4">
        <v>55</v>
      </c>
    </row>
    <row r="616" spans="1:23" ht="11.25" customHeight="1" x14ac:dyDescent="0.25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30</v>
      </c>
      <c r="F616" s="4" t="s">
        <v>25</v>
      </c>
      <c r="G616" s="4" t="s">
        <v>25</v>
      </c>
      <c r="H616" s="4" t="s">
        <v>25</v>
      </c>
      <c r="I616" s="5">
        <v>44440</v>
      </c>
      <c r="J616" s="6">
        <v>0</v>
      </c>
      <c r="K616" s="6">
        <v>0</v>
      </c>
      <c r="L616" s="6">
        <v>-2.7E-2</v>
      </c>
      <c r="M616" s="6">
        <v>-2.7E-2</v>
      </c>
      <c r="N616" s="6">
        <v>-2.7E-2</v>
      </c>
      <c r="O616" s="6">
        <v>-2.7E-2</v>
      </c>
      <c r="P616" s="6">
        <v>0</v>
      </c>
      <c r="Q616" s="4" t="s">
        <v>26</v>
      </c>
      <c r="R616" s="4">
        <v>0</v>
      </c>
      <c r="S616" s="4" t="s">
        <v>270</v>
      </c>
      <c r="T616" s="4" t="s">
        <v>467</v>
      </c>
      <c r="U616" s="4">
        <v>0</v>
      </c>
      <c r="V616" s="4">
        <v>13</v>
      </c>
      <c r="W616" s="4">
        <v>55</v>
      </c>
    </row>
    <row r="617" spans="1:23" ht="11.25" customHeight="1" x14ac:dyDescent="0.25">
      <c r="A617" s="4" t="s">
        <v>21</v>
      </c>
      <c r="B617" s="4" t="s">
        <v>22</v>
      </c>
      <c r="C617" s="4" t="s">
        <v>23</v>
      </c>
      <c r="D617" s="4" t="s">
        <v>24</v>
      </c>
      <c r="E617" s="4" t="s">
        <v>30</v>
      </c>
      <c r="F617" s="4" t="s">
        <v>25</v>
      </c>
      <c r="G617" s="4" t="s">
        <v>25</v>
      </c>
      <c r="H617" s="4" t="s">
        <v>25</v>
      </c>
      <c r="I617" s="5">
        <v>44470</v>
      </c>
      <c r="J617" s="6">
        <v>0</v>
      </c>
      <c r="K617" s="6">
        <v>0</v>
      </c>
      <c r="L617" s="6">
        <v>43.228000000000002</v>
      </c>
      <c r="M617" s="6">
        <v>43.228000000000002</v>
      </c>
      <c r="N617" s="6">
        <v>43.228000000000002</v>
      </c>
      <c r="O617" s="6">
        <v>43.228000000000002</v>
      </c>
      <c r="P617" s="6">
        <v>378</v>
      </c>
      <c r="Q617" s="4" t="s">
        <v>26</v>
      </c>
      <c r="R617" s="4">
        <v>0</v>
      </c>
      <c r="S617" s="4" t="s">
        <v>271</v>
      </c>
      <c r="T617" s="4" t="s">
        <v>468</v>
      </c>
      <c r="U617" s="4">
        <v>0</v>
      </c>
      <c r="V617" s="4">
        <v>13</v>
      </c>
      <c r="W617" s="4">
        <v>55</v>
      </c>
    </row>
    <row r="618" spans="1:23" ht="11.25" customHeight="1" x14ac:dyDescent="0.25">
      <c r="A618" s="4" t="s">
        <v>21</v>
      </c>
      <c r="B618" s="4" t="s">
        <v>22</v>
      </c>
      <c r="C618" s="4" t="s">
        <v>23</v>
      </c>
      <c r="D618" s="4" t="s">
        <v>24</v>
      </c>
      <c r="E618" s="4" t="s">
        <v>30</v>
      </c>
      <c r="F618" s="4" t="s">
        <v>25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45.985999999999997</v>
      </c>
      <c r="M618" s="6">
        <v>45.985999999999997</v>
      </c>
      <c r="N618" s="6">
        <v>45.985999999999997</v>
      </c>
      <c r="O618" s="6">
        <v>45.985999999999997</v>
      </c>
      <c r="P618" s="6">
        <v>381</v>
      </c>
      <c r="Q618" s="4" t="s">
        <v>26</v>
      </c>
      <c r="R618" s="4">
        <v>0</v>
      </c>
      <c r="S618" s="4" t="s">
        <v>272</v>
      </c>
      <c r="T618" s="4" t="s">
        <v>469</v>
      </c>
      <c r="U618" s="4">
        <v>0</v>
      </c>
      <c r="V618" s="4">
        <v>13</v>
      </c>
      <c r="W618" s="4">
        <v>55</v>
      </c>
    </row>
    <row r="619" spans="1:23" ht="11.25" customHeight="1" x14ac:dyDescent="0.25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30</v>
      </c>
      <c r="F619" s="4" t="s">
        <v>25</v>
      </c>
      <c r="G619" s="4" t="s">
        <v>25</v>
      </c>
      <c r="H619" s="4" t="s">
        <v>25</v>
      </c>
      <c r="I619" s="5">
        <v>44531</v>
      </c>
      <c r="J619" s="6">
        <v>0</v>
      </c>
      <c r="K619" s="6">
        <v>0</v>
      </c>
      <c r="L619" s="6">
        <v>45.545999999999999</v>
      </c>
      <c r="M619" s="6">
        <v>45.545999999999999</v>
      </c>
      <c r="N619" s="6">
        <v>45.545999999999999</v>
      </c>
      <c r="O619" s="6">
        <v>45.545999999999999</v>
      </c>
      <c r="P619" s="6">
        <v>397</v>
      </c>
      <c r="Q619" s="4" t="s">
        <v>26</v>
      </c>
      <c r="R619" s="4">
        <v>0</v>
      </c>
      <c r="S619" s="4" t="s">
        <v>273</v>
      </c>
      <c r="T619" s="4" t="s">
        <v>470</v>
      </c>
      <c r="U619" s="4">
        <v>0</v>
      </c>
      <c r="V619" s="4">
        <v>13</v>
      </c>
      <c r="W619" s="4">
        <v>55</v>
      </c>
    </row>
    <row r="620" spans="1:23" ht="11.25" customHeight="1" x14ac:dyDescent="0.25">
      <c r="A620" s="4" t="s">
        <v>21</v>
      </c>
      <c r="B620" s="4" t="s">
        <v>22</v>
      </c>
      <c r="C620" s="4" t="s">
        <v>23</v>
      </c>
      <c r="D620" s="4" t="s">
        <v>24</v>
      </c>
      <c r="E620" s="4" t="s">
        <v>30</v>
      </c>
      <c r="F620" s="4" t="s">
        <v>25</v>
      </c>
      <c r="G620" s="4" t="s">
        <v>25</v>
      </c>
      <c r="H620" s="4" t="s">
        <v>25</v>
      </c>
      <c r="I620" s="5">
        <v>44562</v>
      </c>
      <c r="J620" s="6">
        <v>0</v>
      </c>
      <c r="K620" s="6">
        <v>0</v>
      </c>
      <c r="L620" s="6">
        <v>51.369</v>
      </c>
      <c r="M620" s="6">
        <v>51.369</v>
      </c>
      <c r="N620" s="6">
        <v>51.369</v>
      </c>
      <c r="O620" s="6">
        <v>51.369</v>
      </c>
      <c r="P620" s="6">
        <v>385</v>
      </c>
      <c r="Q620" s="4" t="s">
        <v>26</v>
      </c>
      <c r="R620" s="4">
        <v>0</v>
      </c>
      <c r="S620" s="4" t="s">
        <v>274</v>
      </c>
      <c r="T620" s="4" t="s">
        <v>471</v>
      </c>
      <c r="U620" s="4">
        <v>0</v>
      </c>
      <c r="V620" s="4">
        <v>13</v>
      </c>
      <c r="W620" s="4">
        <v>55</v>
      </c>
    </row>
    <row r="621" spans="1:23" ht="11.25" customHeight="1" x14ac:dyDescent="0.25">
      <c r="A621" s="4" t="s">
        <v>21</v>
      </c>
      <c r="B621" s="4" t="s">
        <v>22</v>
      </c>
      <c r="C621" s="4" t="s">
        <v>23</v>
      </c>
      <c r="D621" s="4" t="s">
        <v>24</v>
      </c>
      <c r="E621" s="4" t="s">
        <v>30</v>
      </c>
      <c r="F621" s="4" t="s">
        <v>25</v>
      </c>
      <c r="G621" s="4" t="s">
        <v>25</v>
      </c>
      <c r="H621" s="4" t="s">
        <v>25</v>
      </c>
      <c r="I621" s="5">
        <v>44593</v>
      </c>
      <c r="J621" s="6">
        <v>0</v>
      </c>
      <c r="K621" s="6">
        <v>0</v>
      </c>
      <c r="L621" s="6">
        <v>49.252000000000002</v>
      </c>
      <c r="M621" s="6">
        <v>49.252000000000002</v>
      </c>
      <c r="N621" s="6">
        <v>49.252000000000002</v>
      </c>
      <c r="O621" s="6">
        <v>49.252000000000002</v>
      </c>
      <c r="P621" s="6">
        <v>384</v>
      </c>
      <c r="Q621" s="4" t="s">
        <v>26</v>
      </c>
      <c r="R621" s="4">
        <v>0</v>
      </c>
      <c r="S621" s="4" t="s">
        <v>275</v>
      </c>
      <c r="T621" s="4" t="s">
        <v>472</v>
      </c>
      <c r="U621" s="4">
        <v>0</v>
      </c>
      <c r="V621" s="4">
        <v>13</v>
      </c>
      <c r="W621" s="4">
        <v>55</v>
      </c>
    </row>
    <row r="622" spans="1:23" ht="11.25" customHeight="1" x14ac:dyDescent="0.25">
      <c r="A622" s="4" t="s">
        <v>21</v>
      </c>
      <c r="B622" s="4" t="s">
        <v>22</v>
      </c>
      <c r="C622" s="4" t="s">
        <v>23</v>
      </c>
      <c r="D622" s="4" t="s">
        <v>24</v>
      </c>
      <c r="E622" s="4" t="s">
        <v>30</v>
      </c>
      <c r="F622" s="4" t="s">
        <v>25</v>
      </c>
      <c r="G622" s="4" t="s">
        <v>25</v>
      </c>
      <c r="H622" s="4" t="s">
        <v>25</v>
      </c>
      <c r="I622" s="5">
        <v>44621</v>
      </c>
      <c r="J622" s="6">
        <v>0</v>
      </c>
      <c r="K622" s="6">
        <v>0</v>
      </c>
      <c r="L622" s="6">
        <v>50.28</v>
      </c>
      <c r="M622" s="6">
        <v>50.28</v>
      </c>
      <c r="N622" s="6">
        <v>50.28</v>
      </c>
      <c r="O622" s="6">
        <v>50.28</v>
      </c>
      <c r="P622" s="6">
        <v>373</v>
      </c>
      <c r="Q622" s="4" t="s">
        <v>26</v>
      </c>
      <c r="R622" s="4">
        <v>0</v>
      </c>
      <c r="S622" s="4" t="s">
        <v>276</v>
      </c>
      <c r="T622" s="4" t="s">
        <v>473</v>
      </c>
      <c r="U622" s="4">
        <v>0</v>
      </c>
      <c r="V622" s="4">
        <v>13</v>
      </c>
      <c r="W622" s="4">
        <v>55</v>
      </c>
    </row>
    <row r="623" spans="1:23" ht="11.25" customHeight="1" x14ac:dyDescent="0.25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30</v>
      </c>
      <c r="F623" s="4" t="s">
        <v>25</v>
      </c>
      <c r="G623" s="4" t="s">
        <v>25</v>
      </c>
      <c r="H623" s="4" t="s">
        <v>25</v>
      </c>
      <c r="I623" s="5">
        <v>44652</v>
      </c>
      <c r="J623" s="6">
        <v>0</v>
      </c>
      <c r="K623" s="6">
        <v>0</v>
      </c>
      <c r="L623" s="6">
        <v>41.968000000000004</v>
      </c>
      <c r="M623" s="6">
        <v>41.968000000000004</v>
      </c>
      <c r="N623" s="6">
        <v>41.968000000000004</v>
      </c>
      <c r="O623" s="6">
        <v>41.968000000000004</v>
      </c>
      <c r="P623" s="6">
        <v>416</v>
      </c>
      <c r="Q623" s="4" t="s">
        <v>26</v>
      </c>
      <c r="R623" s="4">
        <v>0</v>
      </c>
      <c r="S623" s="4" t="s">
        <v>277</v>
      </c>
      <c r="T623" s="4" t="s">
        <v>474</v>
      </c>
      <c r="U623" s="4">
        <v>0</v>
      </c>
      <c r="V623" s="4">
        <v>13</v>
      </c>
      <c r="W623" s="4">
        <v>55</v>
      </c>
    </row>
    <row r="624" spans="1:23" ht="11.25" customHeight="1" x14ac:dyDescent="0.25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30</v>
      </c>
      <c r="F624" s="4" t="s">
        <v>25</v>
      </c>
      <c r="G624" s="4" t="s">
        <v>25</v>
      </c>
      <c r="H624" s="4" t="s">
        <v>25</v>
      </c>
      <c r="I624" s="5">
        <v>44682</v>
      </c>
      <c r="J624" s="6">
        <v>0</v>
      </c>
      <c r="K624" s="6">
        <v>0</v>
      </c>
      <c r="L624" s="6">
        <v>41.470999999999997</v>
      </c>
      <c r="M624" s="6">
        <v>41.470999999999997</v>
      </c>
      <c r="N624" s="6">
        <v>41.470999999999997</v>
      </c>
      <c r="O624" s="6">
        <v>41.470999999999997</v>
      </c>
      <c r="P624" s="6">
        <v>410</v>
      </c>
      <c r="Q624" s="4" t="s">
        <v>26</v>
      </c>
      <c r="R624" s="4">
        <v>0</v>
      </c>
      <c r="S624" s="4" t="s">
        <v>278</v>
      </c>
      <c r="T624" s="4" t="s">
        <v>475</v>
      </c>
      <c r="U624" s="4">
        <v>0</v>
      </c>
      <c r="V624" s="4">
        <v>13</v>
      </c>
      <c r="W624" s="4">
        <v>55</v>
      </c>
    </row>
    <row r="625" spans="1:23" ht="11.25" customHeight="1" x14ac:dyDescent="0.25">
      <c r="A625" s="4" t="s">
        <v>56</v>
      </c>
      <c r="B625" s="4" t="s">
        <v>22</v>
      </c>
      <c r="C625" s="4" t="s">
        <v>23</v>
      </c>
      <c r="D625" s="4" t="s">
        <v>24</v>
      </c>
      <c r="E625" s="4" t="s">
        <v>30</v>
      </c>
      <c r="F625" s="4" t="s">
        <v>25</v>
      </c>
      <c r="G625" s="4" t="s">
        <v>25</v>
      </c>
      <c r="H625" s="4" t="s">
        <v>25</v>
      </c>
      <c r="I625" s="5">
        <v>44713</v>
      </c>
      <c r="J625" s="6">
        <v>0</v>
      </c>
      <c r="K625" s="6">
        <v>0</v>
      </c>
      <c r="L625" s="6">
        <v>41.470999999999997</v>
      </c>
      <c r="M625" s="6">
        <v>41.470999999999997</v>
      </c>
      <c r="N625" s="6">
        <v>41.470999999999997</v>
      </c>
      <c r="O625" s="6">
        <v>41.470999999999997</v>
      </c>
      <c r="P625" s="6">
        <v>410</v>
      </c>
      <c r="Q625" s="4" t="s">
        <v>26</v>
      </c>
      <c r="R625" s="4">
        <v>0</v>
      </c>
      <c r="S625" s="4" t="s">
        <v>279</v>
      </c>
      <c r="T625" s="4" t="s">
        <v>476</v>
      </c>
      <c r="U625" s="4">
        <v>0</v>
      </c>
      <c r="V625" s="4">
        <v>13</v>
      </c>
      <c r="W625" s="4">
        <v>55</v>
      </c>
    </row>
    <row r="626" spans="1:23" ht="11.25" customHeight="1" x14ac:dyDescent="0.25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31</v>
      </c>
      <c r="F626" s="4" t="s">
        <v>25</v>
      </c>
      <c r="G626" s="4" t="s">
        <v>25</v>
      </c>
      <c r="H626" s="4" t="s">
        <v>25</v>
      </c>
      <c r="I626" s="5">
        <v>44378</v>
      </c>
      <c r="J626" s="6">
        <v>0</v>
      </c>
      <c r="K626" s="6">
        <v>0</v>
      </c>
      <c r="L626" s="6">
        <v>16.440000000000001</v>
      </c>
      <c r="M626" s="6">
        <v>16.440000000000001</v>
      </c>
      <c r="N626" s="6">
        <v>16.440000000000001</v>
      </c>
      <c r="O626" s="6">
        <v>16.440000000000001</v>
      </c>
      <c r="P626" s="6">
        <v>180</v>
      </c>
      <c r="Q626" s="4" t="s">
        <v>26</v>
      </c>
      <c r="R626" s="4">
        <v>0</v>
      </c>
      <c r="S626" s="4" t="s">
        <v>280</v>
      </c>
      <c r="T626" s="4" t="s">
        <v>477</v>
      </c>
      <c r="U626" s="4">
        <v>0</v>
      </c>
      <c r="V626" s="4">
        <v>17</v>
      </c>
      <c r="W626" s="4">
        <v>72</v>
      </c>
    </row>
    <row r="627" spans="1:23" ht="11.25" customHeight="1" x14ac:dyDescent="0.25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31</v>
      </c>
      <c r="F627" s="4" t="s">
        <v>25</v>
      </c>
      <c r="G627" s="4" t="s">
        <v>25</v>
      </c>
      <c r="H627" s="4" t="s">
        <v>25</v>
      </c>
      <c r="I627" s="5">
        <v>44409</v>
      </c>
      <c r="J627" s="6">
        <v>0</v>
      </c>
      <c r="K627" s="6">
        <v>0</v>
      </c>
      <c r="L627" s="6">
        <v>14.932</v>
      </c>
      <c r="M627" s="6">
        <v>14.932</v>
      </c>
      <c r="N627" s="6">
        <v>14.932</v>
      </c>
      <c r="O627" s="6">
        <v>14.932</v>
      </c>
      <c r="P627" s="6">
        <v>192</v>
      </c>
      <c r="Q627" s="4" t="s">
        <v>26</v>
      </c>
      <c r="R627" s="4">
        <v>0</v>
      </c>
      <c r="S627" s="4" t="s">
        <v>281</v>
      </c>
      <c r="T627" s="4" t="s">
        <v>478</v>
      </c>
      <c r="U627" s="4">
        <v>0</v>
      </c>
      <c r="V627" s="4">
        <v>17</v>
      </c>
      <c r="W627" s="4">
        <v>72</v>
      </c>
    </row>
    <row r="628" spans="1:23" ht="11.25" customHeight="1" x14ac:dyDescent="0.25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31</v>
      </c>
      <c r="F628" s="4" t="s">
        <v>25</v>
      </c>
      <c r="G628" s="4" t="s">
        <v>25</v>
      </c>
      <c r="H628" s="4" t="s">
        <v>25</v>
      </c>
      <c r="I628" s="5">
        <v>44440</v>
      </c>
      <c r="J628" s="6">
        <v>0</v>
      </c>
      <c r="K628" s="6">
        <v>0</v>
      </c>
      <c r="L628" s="6">
        <v>12.797000000000001</v>
      </c>
      <c r="M628" s="6">
        <v>12.797000000000001</v>
      </c>
      <c r="N628" s="6">
        <v>12.797000000000001</v>
      </c>
      <c r="O628" s="6">
        <v>12.797000000000001</v>
      </c>
      <c r="P628" s="6">
        <v>172</v>
      </c>
      <c r="Q628" s="4" t="s">
        <v>26</v>
      </c>
      <c r="R628" s="4">
        <v>0</v>
      </c>
      <c r="S628" s="4" t="s">
        <v>282</v>
      </c>
      <c r="T628" s="4" t="s">
        <v>479</v>
      </c>
      <c r="U628" s="4">
        <v>0</v>
      </c>
      <c r="V628" s="4">
        <v>17</v>
      </c>
      <c r="W628" s="4">
        <v>72</v>
      </c>
    </row>
    <row r="629" spans="1:23" ht="11.25" customHeight="1" x14ac:dyDescent="0.25">
      <c r="A629" s="4" t="s">
        <v>27</v>
      </c>
      <c r="B629" s="4" t="s">
        <v>22</v>
      </c>
      <c r="C629" s="4" t="s">
        <v>23</v>
      </c>
      <c r="D629" s="4" t="s">
        <v>24</v>
      </c>
      <c r="E629" s="4" t="s">
        <v>31</v>
      </c>
      <c r="F629" s="4" t="s">
        <v>25</v>
      </c>
      <c r="G629" s="4" t="s">
        <v>25</v>
      </c>
      <c r="H629" s="4" t="s">
        <v>25</v>
      </c>
      <c r="I629" s="5">
        <v>44440</v>
      </c>
      <c r="J629" s="6">
        <v>0</v>
      </c>
      <c r="K629" s="6">
        <v>0</v>
      </c>
      <c r="L629" s="6">
        <v>-0.29799999999999999</v>
      </c>
      <c r="M629" s="6">
        <v>-0.29799999999999999</v>
      </c>
      <c r="N629" s="6">
        <v>-0.29799999999999999</v>
      </c>
      <c r="O629" s="6">
        <v>-0.29799999999999999</v>
      </c>
      <c r="P629" s="6">
        <v>0</v>
      </c>
      <c r="Q629" s="4" t="s">
        <v>26</v>
      </c>
      <c r="R629" s="4">
        <v>0</v>
      </c>
      <c r="S629" s="4" t="s">
        <v>282</v>
      </c>
      <c r="T629" s="4" t="s">
        <v>479</v>
      </c>
      <c r="U629" s="4">
        <v>0</v>
      </c>
      <c r="V629" s="4">
        <v>17</v>
      </c>
      <c r="W629" s="4">
        <v>72</v>
      </c>
    </row>
    <row r="630" spans="1:23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31</v>
      </c>
      <c r="F630" s="4" t="s">
        <v>25</v>
      </c>
      <c r="G630" s="4" t="s">
        <v>25</v>
      </c>
      <c r="H630" s="4" t="s">
        <v>25</v>
      </c>
      <c r="I630" s="5">
        <v>44470</v>
      </c>
      <c r="J630" s="6">
        <v>0</v>
      </c>
      <c r="K630" s="6">
        <v>0</v>
      </c>
      <c r="L630" s="6">
        <v>12.688000000000001</v>
      </c>
      <c r="M630" s="6">
        <v>12.688000000000001</v>
      </c>
      <c r="N630" s="6">
        <v>12.688000000000001</v>
      </c>
      <c r="O630" s="6">
        <v>12.688000000000001</v>
      </c>
      <c r="P630" s="6">
        <v>175</v>
      </c>
      <c r="Q630" s="4" t="s">
        <v>26</v>
      </c>
      <c r="R630" s="4">
        <v>0</v>
      </c>
      <c r="S630" s="4" t="s">
        <v>283</v>
      </c>
      <c r="T630" s="4" t="s">
        <v>480</v>
      </c>
      <c r="U630" s="4">
        <v>0</v>
      </c>
      <c r="V630" s="4">
        <v>17</v>
      </c>
      <c r="W630" s="4">
        <v>72</v>
      </c>
    </row>
    <row r="631" spans="1:23" ht="11.25" customHeight="1" x14ac:dyDescent="0.25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31</v>
      </c>
      <c r="F631" s="4" t="s">
        <v>25</v>
      </c>
      <c r="G631" s="4" t="s">
        <v>25</v>
      </c>
      <c r="H631" s="4" t="s">
        <v>25</v>
      </c>
      <c r="I631" s="5">
        <v>44501</v>
      </c>
      <c r="J631" s="6">
        <v>0</v>
      </c>
      <c r="K631" s="6">
        <v>0</v>
      </c>
      <c r="L631" s="6">
        <v>14.66</v>
      </c>
      <c r="M631" s="6">
        <v>14.66</v>
      </c>
      <c r="N631" s="6">
        <v>14.66</v>
      </c>
      <c r="O631" s="6">
        <v>14.66</v>
      </c>
      <c r="P631" s="6">
        <v>199</v>
      </c>
      <c r="Q631" s="4" t="s">
        <v>26</v>
      </c>
      <c r="R631" s="4">
        <v>0</v>
      </c>
      <c r="S631" s="4" t="s">
        <v>284</v>
      </c>
      <c r="T631" s="4" t="s">
        <v>481</v>
      </c>
      <c r="U631" s="4">
        <v>0</v>
      </c>
      <c r="V631" s="4">
        <v>17</v>
      </c>
      <c r="W631" s="4">
        <v>72</v>
      </c>
    </row>
    <row r="632" spans="1:23" ht="11.25" customHeight="1" x14ac:dyDescent="0.25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31</v>
      </c>
      <c r="F632" s="4" t="s">
        <v>25</v>
      </c>
      <c r="G632" s="4" t="s">
        <v>25</v>
      </c>
      <c r="H632" s="4" t="s">
        <v>25</v>
      </c>
      <c r="I632" s="5">
        <v>44531</v>
      </c>
      <c r="J632" s="6">
        <v>0</v>
      </c>
      <c r="K632" s="6">
        <v>0</v>
      </c>
      <c r="L632" s="6">
        <v>13.177</v>
      </c>
      <c r="M632" s="6">
        <v>13.177</v>
      </c>
      <c r="N632" s="6">
        <v>13.177</v>
      </c>
      <c r="O632" s="6">
        <v>13.177</v>
      </c>
      <c r="P632" s="6">
        <v>185</v>
      </c>
      <c r="Q632" s="4" t="s">
        <v>26</v>
      </c>
      <c r="R632" s="4">
        <v>0</v>
      </c>
      <c r="S632" s="4" t="s">
        <v>285</v>
      </c>
      <c r="T632" s="4" t="s">
        <v>482</v>
      </c>
      <c r="U632" s="4">
        <v>0</v>
      </c>
      <c r="V632" s="4">
        <v>17</v>
      </c>
      <c r="W632" s="4">
        <v>72</v>
      </c>
    </row>
    <row r="633" spans="1:23" ht="11.25" customHeight="1" x14ac:dyDescent="0.25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31</v>
      </c>
      <c r="F633" s="4" t="s">
        <v>25</v>
      </c>
      <c r="G633" s="4" t="s">
        <v>25</v>
      </c>
      <c r="H633" s="4" t="s">
        <v>25</v>
      </c>
      <c r="I633" s="5">
        <v>44562</v>
      </c>
      <c r="J633" s="6">
        <v>0</v>
      </c>
      <c r="K633" s="6">
        <v>0</v>
      </c>
      <c r="L633" s="6">
        <v>20.587</v>
      </c>
      <c r="M633" s="6">
        <v>20.587</v>
      </c>
      <c r="N633" s="6">
        <v>20.587</v>
      </c>
      <c r="O633" s="6">
        <v>20.587</v>
      </c>
      <c r="P633" s="6">
        <v>229</v>
      </c>
      <c r="Q633" s="4" t="s">
        <v>26</v>
      </c>
      <c r="R633" s="4">
        <v>0</v>
      </c>
      <c r="S633" s="4" t="s">
        <v>286</v>
      </c>
      <c r="T633" s="4" t="s">
        <v>483</v>
      </c>
      <c r="U633" s="4">
        <v>0</v>
      </c>
      <c r="V633" s="4">
        <v>17</v>
      </c>
      <c r="W633" s="4">
        <v>72</v>
      </c>
    </row>
    <row r="634" spans="1:23" ht="11.25" customHeight="1" x14ac:dyDescent="0.25">
      <c r="A634" s="4" t="s">
        <v>21</v>
      </c>
      <c r="B634" s="4" t="s">
        <v>22</v>
      </c>
      <c r="C634" s="4" t="s">
        <v>23</v>
      </c>
      <c r="D634" s="4" t="s">
        <v>24</v>
      </c>
      <c r="E634" s="4" t="s">
        <v>31</v>
      </c>
      <c r="F634" s="4" t="s">
        <v>25</v>
      </c>
      <c r="G634" s="4" t="s">
        <v>25</v>
      </c>
      <c r="H634" s="4" t="s">
        <v>25</v>
      </c>
      <c r="I634" s="5">
        <v>44593</v>
      </c>
      <c r="J634" s="6">
        <v>0</v>
      </c>
      <c r="K634" s="6">
        <v>0</v>
      </c>
      <c r="L634" s="6">
        <v>18.414999999999999</v>
      </c>
      <c r="M634" s="6">
        <v>18.414999999999999</v>
      </c>
      <c r="N634" s="6">
        <v>18.414999999999999</v>
      </c>
      <c r="O634" s="6">
        <v>18.414999999999999</v>
      </c>
      <c r="P634" s="6">
        <v>214</v>
      </c>
      <c r="Q634" s="4" t="s">
        <v>26</v>
      </c>
      <c r="R634" s="4">
        <v>0</v>
      </c>
      <c r="S634" s="4" t="s">
        <v>287</v>
      </c>
      <c r="T634" s="4" t="s">
        <v>484</v>
      </c>
      <c r="U634" s="4">
        <v>0</v>
      </c>
      <c r="V634" s="4">
        <v>17</v>
      </c>
      <c r="W634" s="4">
        <v>72</v>
      </c>
    </row>
    <row r="635" spans="1:23" ht="11.25" customHeight="1" x14ac:dyDescent="0.25">
      <c r="A635" s="4" t="s">
        <v>27</v>
      </c>
      <c r="B635" s="4" t="s">
        <v>22</v>
      </c>
      <c r="C635" s="4" t="s">
        <v>23</v>
      </c>
      <c r="D635" s="4" t="s">
        <v>24</v>
      </c>
      <c r="E635" s="4" t="s">
        <v>31</v>
      </c>
      <c r="F635" s="4" t="s">
        <v>25</v>
      </c>
      <c r="G635" s="4" t="s">
        <v>25</v>
      </c>
      <c r="H635" s="4" t="s">
        <v>25</v>
      </c>
      <c r="I635" s="5">
        <v>44593</v>
      </c>
      <c r="J635" s="6">
        <v>0</v>
      </c>
      <c r="K635" s="6">
        <v>0</v>
      </c>
      <c r="L635" s="6">
        <v>5.5E-2</v>
      </c>
      <c r="M635" s="6">
        <v>5.5E-2</v>
      </c>
      <c r="N635" s="6">
        <v>5.5E-2</v>
      </c>
      <c r="O635" s="6">
        <v>5.5E-2</v>
      </c>
      <c r="P635" s="6">
        <v>0</v>
      </c>
      <c r="Q635" s="4" t="s">
        <v>26</v>
      </c>
      <c r="R635" s="4">
        <v>0</v>
      </c>
      <c r="S635" s="4" t="s">
        <v>287</v>
      </c>
      <c r="T635" s="4" t="s">
        <v>484</v>
      </c>
      <c r="U635" s="4">
        <v>0</v>
      </c>
      <c r="V635" s="4">
        <v>17</v>
      </c>
      <c r="W635" s="4">
        <v>72</v>
      </c>
    </row>
    <row r="636" spans="1:23" ht="11.25" customHeight="1" x14ac:dyDescent="0.25">
      <c r="A636" s="4" t="s">
        <v>21</v>
      </c>
      <c r="B636" s="4" t="s">
        <v>22</v>
      </c>
      <c r="C636" s="4" t="s">
        <v>23</v>
      </c>
      <c r="D636" s="4" t="s">
        <v>24</v>
      </c>
      <c r="E636" s="4" t="s">
        <v>31</v>
      </c>
      <c r="F636" s="4" t="s">
        <v>25</v>
      </c>
      <c r="G636" s="4" t="s">
        <v>25</v>
      </c>
      <c r="H636" s="4" t="s">
        <v>25</v>
      </c>
      <c r="I636" s="5">
        <v>44621</v>
      </c>
      <c r="J636" s="6">
        <v>0</v>
      </c>
      <c r="K636" s="6">
        <v>0</v>
      </c>
      <c r="L636" s="6">
        <v>21.835000000000001</v>
      </c>
      <c r="M636" s="6">
        <v>21.835000000000001</v>
      </c>
      <c r="N636" s="6">
        <v>21.835000000000001</v>
      </c>
      <c r="O636" s="6">
        <v>21.835000000000001</v>
      </c>
      <c r="P636" s="6">
        <v>234</v>
      </c>
      <c r="Q636" s="4" t="s">
        <v>26</v>
      </c>
      <c r="R636" s="4">
        <v>0</v>
      </c>
      <c r="S636" s="4" t="s">
        <v>288</v>
      </c>
      <c r="T636" s="4" t="s">
        <v>485</v>
      </c>
      <c r="U636" s="4">
        <v>0</v>
      </c>
      <c r="V636" s="4">
        <v>17</v>
      </c>
      <c r="W636" s="4">
        <v>72</v>
      </c>
    </row>
    <row r="637" spans="1:23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31</v>
      </c>
      <c r="F637" s="4" t="s">
        <v>25</v>
      </c>
      <c r="G637" s="4" t="s">
        <v>25</v>
      </c>
      <c r="H637" s="4" t="s">
        <v>25</v>
      </c>
      <c r="I637" s="5">
        <v>44652</v>
      </c>
      <c r="J637" s="6">
        <v>0</v>
      </c>
      <c r="K637" s="6">
        <v>0</v>
      </c>
      <c r="L637" s="6">
        <v>10.692</v>
      </c>
      <c r="M637" s="6">
        <v>10.692</v>
      </c>
      <c r="N637" s="6">
        <v>10.692</v>
      </c>
      <c r="O637" s="6">
        <v>10.692</v>
      </c>
      <c r="P637" s="6">
        <v>161</v>
      </c>
      <c r="Q637" s="4" t="s">
        <v>26</v>
      </c>
      <c r="R637" s="4">
        <v>0</v>
      </c>
      <c r="S637" s="4" t="s">
        <v>289</v>
      </c>
      <c r="T637" s="4" t="s">
        <v>486</v>
      </c>
      <c r="U637" s="4">
        <v>0</v>
      </c>
      <c r="V637" s="4">
        <v>17</v>
      </c>
      <c r="W637" s="4">
        <v>72</v>
      </c>
    </row>
    <row r="638" spans="1:23" ht="11.25" customHeight="1" x14ac:dyDescent="0.25">
      <c r="A638" s="4" t="s">
        <v>21</v>
      </c>
      <c r="B638" s="4" t="s">
        <v>22</v>
      </c>
      <c r="C638" s="4" t="s">
        <v>23</v>
      </c>
      <c r="D638" s="4" t="s">
        <v>24</v>
      </c>
      <c r="E638" s="4" t="s">
        <v>31</v>
      </c>
      <c r="F638" s="4" t="s">
        <v>25</v>
      </c>
      <c r="G638" s="4" t="s">
        <v>25</v>
      </c>
      <c r="H638" s="4" t="s">
        <v>25</v>
      </c>
      <c r="I638" s="5">
        <v>44682</v>
      </c>
      <c r="J638" s="6">
        <v>0</v>
      </c>
      <c r="K638" s="6">
        <v>0</v>
      </c>
      <c r="L638" s="6">
        <v>12.063000000000001</v>
      </c>
      <c r="M638" s="6">
        <v>12.063000000000001</v>
      </c>
      <c r="N638" s="6">
        <v>12.063000000000001</v>
      </c>
      <c r="O638" s="6">
        <v>12.063000000000001</v>
      </c>
      <c r="P638" s="6">
        <v>158</v>
      </c>
      <c r="Q638" s="4" t="s">
        <v>26</v>
      </c>
      <c r="R638" s="4">
        <v>0</v>
      </c>
      <c r="S638" s="4" t="s">
        <v>290</v>
      </c>
      <c r="T638" s="4" t="s">
        <v>487</v>
      </c>
      <c r="U638" s="4">
        <v>0</v>
      </c>
      <c r="V638" s="4">
        <v>17</v>
      </c>
      <c r="W638" s="4">
        <v>72</v>
      </c>
    </row>
    <row r="639" spans="1:23" ht="11.25" customHeight="1" x14ac:dyDescent="0.25">
      <c r="A639" s="4" t="s">
        <v>56</v>
      </c>
      <c r="B639" s="4" t="s">
        <v>22</v>
      </c>
      <c r="C639" s="4" t="s">
        <v>23</v>
      </c>
      <c r="D639" s="4" t="s">
        <v>24</v>
      </c>
      <c r="E639" s="4" t="s">
        <v>31</v>
      </c>
      <c r="F639" s="4" t="s">
        <v>25</v>
      </c>
      <c r="G639" s="4" t="s">
        <v>25</v>
      </c>
      <c r="H639" s="4" t="s">
        <v>25</v>
      </c>
      <c r="I639" s="5">
        <v>44713</v>
      </c>
      <c r="J639" s="6">
        <v>0</v>
      </c>
      <c r="K639" s="6">
        <v>0</v>
      </c>
      <c r="L639" s="6">
        <v>12.063000000000001</v>
      </c>
      <c r="M639" s="6">
        <v>12.063000000000001</v>
      </c>
      <c r="N639" s="6">
        <v>12.063000000000001</v>
      </c>
      <c r="O639" s="6">
        <v>12.063000000000001</v>
      </c>
      <c r="P639" s="6">
        <v>158</v>
      </c>
      <c r="Q639" s="4" t="s">
        <v>26</v>
      </c>
      <c r="R639" s="4">
        <v>0</v>
      </c>
      <c r="S639" s="4" t="s">
        <v>291</v>
      </c>
      <c r="T639" s="4" t="s">
        <v>488</v>
      </c>
      <c r="U639" s="4">
        <v>0</v>
      </c>
      <c r="V639" s="4">
        <v>17</v>
      </c>
      <c r="W639" s="4">
        <v>72</v>
      </c>
    </row>
    <row r="640" spans="1:23" ht="11.25" customHeight="1" x14ac:dyDescent="0.25">
      <c r="A640" s="4" t="s">
        <v>21</v>
      </c>
      <c r="B640" s="4" t="s">
        <v>42</v>
      </c>
      <c r="C640" s="4" t="s">
        <v>23</v>
      </c>
      <c r="D640" s="4" t="s">
        <v>43</v>
      </c>
      <c r="E640" s="4" t="s">
        <v>51</v>
      </c>
      <c r="F640" s="4" t="s">
        <v>52</v>
      </c>
      <c r="G640" s="4" t="s">
        <v>25</v>
      </c>
      <c r="H640" s="4" t="s">
        <v>25</v>
      </c>
      <c r="I640" s="5">
        <v>44378</v>
      </c>
      <c r="J640" s="6">
        <v>0</v>
      </c>
      <c r="K640" s="6">
        <v>0</v>
      </c>
      <c r="L640" s="6">
        <v>9.3789999999999996</v>
      </c>
      <c r="M640" s="6">
        <v>9.3789999999999996</v>
      </c>
      <c r="N640" s="6">
        <v>9.3789999999999996</v>
      </c>
      <c r="O640" s="6">
        <v>9.3789999999999996</v>
      </c>
      <c r="P640" s="6">
        <v>0</v>
      </c>
      <c r="Q640" s="4" t="s">
        <v>26</v>
      </c>
      <c r="R640" s="4">
        <v>0</v>
      </c>
      <c r="S640" s="4" t="s">
        <v>292</v>
      </c>
      <c r="T640" s="4" t="s">
        <v>489</v>
      </c>
      <c r="U640" s="4">
        <v>0</v>
      </c>
      <c r="V640" s="4">
        <v>30</v>
      </c>
      <c r="W640" s="4">
        <v>70</v>
      </c>
    </row>
    <row r="641" spans="1:23" ht="11.25" customHeight="1" x14ac:dyDescent="0.25">
      <c r="A641" s="4" t="s">
        <v>21</v>
      </c>
      <c r="B641" s="4" t="s">
        <v>42</v>
      </c>
      <c r="C641" s="4" t="s">
        <v>23</v>
      </c>
      <c r="D641" s="4" t="s">
        <v>43</v>
      </c>
      <c r="E641" s="4" t="s">
        <v>51</v>
      </c>
      <c r="F641" s="4" t="s">
        <v>52</v>
      </c>
      <c r="G641" s="4" t="s">
        <v>25</v>
      </c>
      <c r="H641" s="4" t="s">
        <v>25</v>
      </c>
      <c r="I641" s="5">
        <v>44409</v>
      </c>
      <c r="J641" s="6">
        <v>0</v>
      </c>
      <c r="K641" s="6">
        <v>0</v>
      </c>
      <c r="L641" s="6">
        <v>8.1590000000000007</v>
      </c>
      <c r="M641" s="6">
        <v>8.1590000000000007</v>
      </c>
      <c r="N641" s="6">
        <v>8.1590000000000007</v>
      </c>
      <c r="O641" s="6">
        <v>8.1590000000000007</v>
      </c>
      <c r="P641" s="6">
        <v>0</v>
      </c>
      <c r="Q641" s="4" t="s">
        <v>26</v>
      </c>
      <c r="R641" s="4">
        <v>0</v>
      </c>
      <c r="S641" s="4" t="s">
        <v>293</v>
      </c>
      <c r="T641" s="4" t="s">
        <v>490</v>
      </c>
      <c r="U641" s="4">
        <v>0</v>
      </c>
      <c r="V641" s="4">
        <v>30</v>
      </c>
      <c r="W641" s="4">
        <v>70</v>
      </c>
    </row>
    <row r="642" spans="1:23" ht="11.25" customHeight="1" x14ac:dyDescent="0.25">
      <c r="A642" s="4" t="s">
        <v>55</v>
      </c>
      <c r="B642" s="4" t="s">
        <v>42</v>
      </c>
      <c r="C642" s="4" t="s">
        <v>23</v>
      </c>
      <c r="D642" s="4" t="s">
        <v>43</v>
      </c>
      <c r="E642" s="4" t="s">
        <v>51</v>
      </c>
      <c r="F642" s="4" t="s">
        <v>52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6.8000000000000005E-2</v>
      </c>
      <c r="M642" s="6">
        <v>6.8000000000000005E-2</v>
      </c>
      <c r="N642" s="6">
        <v>6.8000000000000005E-2</v>
      </c>
      <c r="O642" s="6">
        <v>6.8000000000000005E-2</v>
      </c>
      <c r="P642" s="6">
        <v>0</v>
      </c>
      <c r="Q642" s="4" t="s">
        <v>26</v>
      </c>
      <c r="R642" s="4">
        <v>0</v>
      </c>
      <c r="S642" s="4" t="s">
        <v>293</v>
      </c>
      <c r="T642" s="4" t="s">
        <v>490</v>
      </c>
      <c r="U642" s="4">
        <v>0</v>
      </c>
      <c r="V642" s="4">
        <v>30</v>
      </c>
      <c r="W642" s="4">
        <v>70</v>
      </c>
    </row>
    <row r="643" spans="1:23" ht="11.25" customHeight="1" x14ac:dyDescent="0.25">
      <c r="A643" s="4" t="s">
        <v>21</v>
      </c>
      <c r="B643" s="4" t="s">
        <v>42</v>
      </c>
      <c r="C643" s="4" t="s">
        <v>23</v>
      </c>
      <c r="D643" s="4" t="s">
        <v>43</v>
      </c>
      <c r="E643" s="4" t="s">
        <v>51</v>
      </c>
      <c r="F643" s="4" t="s">
        <v>52</v>
      </c>
      <c r="G643" s="4" t="s">
        <v>25</v>
      </c>
      <c r="H643" s="4" t="s">
        <v>25</v>
      </c>
      <c r="I643" s="5">
        <v>44440</v>
      </c>
      <c r="J643" s="6">
        <v>0</v>
      </c>
      <c r="K643" s="6">
        <v>0</v>
      </c>
      <c r="L643" s="6">
        <v>9.0139999999999993</v>
      </c>
      <c r="M643" s="6">
        <v>9.0139999999999993</v>
      </c>
      <c r="N643" s="6">
        <v>9.0139999999999993</v>
      </c>
      <c r="O643" s="6">
        <v>9.0139999999999993</v>
      </c>
      <c r="P643" s="6">
        <v>0</v>
      </c>
      <c r="Q643" s="4" t="s">
        <v>26</v>
      </c>
      <c r="R643" s="4">
        <v>0</v>
      </c>
      <c r="S643" s="4" t="s">
        <v>294</v>
      </c>
      <c r="T643" s="4" t="s">
        <v>491</v>
      </c>
      <c r="U643" s="4">
        <v>0</v>
      </c>
      <c r="V643" s="4">
        <v>30</v>
      </c>
      <c r="W643" s="4">
        <v>70</v>
      </c>
    </row>
    <row r="644" spans="1:23" ht="11.25" customHeight="1" x14ac:dyDescent="0.25">
      <c r="A644" s="4" t="s">
        <v>55</v>
      </c>
      <c r="B644" s="4" t="s">
        <v>42</v>
      </c>
      <c r="C644" s="4" t="s">
        <v>23</v>
      </c>
      <c r="D644" s="4" t="s">
        <v>43</v>
      </c>
      <c r="E644" s="4" t="s">
        <v>51</v>
      </c>
      <c r="F644" s="4" t="s">
        <v>52</v>
      </c>
      <c r="G644" s="4" t="s">
        <v>25</v>
      </c>
      <c r="H644" s="4" t="s">
        <v>25</v>
      </c>
      <c r="I644" s="5">
        <v>44440</v>
      </c>
      <c r="J644" s="6">
        <v>0</v>
      </c>
      <c r="K644" s="6">
        <v>0</v>
      </c>
      <c r="L644" s="6">
        <v>0.1</v>
      </c>
      <c r="M644" s="6">
        <v>0.1</v>
      </c>
      <c r="N644" s="6">
        <v>0.1</v>
      </c>
      <c r="O644" s="6">
        <v>0.1</v>
      </c>
      <c r="P644" s="6">
        <v>0</v>
      </c>
      <c r="Q644" s="4" t="s">
        <v>26</v>
      </c>
      <c r="R644" s="4">
        <v>0</v>
      </c>
      <c r="S644" s="4" t="s">
        <v>294</v>
      </c>
      <c r="T644" s="4" t="s">
        <v>491</v>
      </c>
      <c r="U644" s="4">
        <v>0</v>
      </c>
      <c r="V644" s="4">
        <v>30</v>
      </c>
      <c r="W644" s="4">
        <v>70</v>
      </c>
    </row>
    <row r="645" spans="1:23" ht="11.25" customHeight="1" x14ac:dyDescent="0.25">
      <c r="A645" s="4" t="s">
        <v>21</v>
      </c>
      <c r="B645" s="4" t="s">
        <v>42</v>
      </c>
      <c r="C645" s="4" t="s">
        <v>23</v>
      </c>
      <c r="D645" s="4" t="s">
        <v>43</v>
      </c>
      <c r="E645" s="4" t="s">
        <v>51</v>
      </c>
      <c r="F645" s="4" t="s">
        <v>52</v>
      </c>
      <c r="G645" s="4" t="s">
        <v>25</v>
      </c>
      <c r="H645" s="4" t="s">
        <v>25</v>
      </c>
      <c r="I645" s="5">
        <v>44470</v>
      </c>
      <c r="J645" s="6">
        <v>0</v>
      </c>
      <c r="K645" s="6">
        <v>0</v>
      </c>
      <c r="L645" s="6">
        <v>9.7840000000000007</v>
      </c>
      <c r="M645" s="6">
        <v>9.7840000000000007</v>
      </c>
      <c r="N645" s="6">
        <v>9.7840000000000007</v>
      </c>
      <c r="O645" s="6">
        <v>9.7840000000000007</v>
      </c>
      <c r="P645" s="6">
        <v>0</v>
      </c>
      <c r="Q645" s="4" t="s">
        <v>26</v>
      </c>
      <c r="R645" s="4">
        <v>0</v>
      </c>
      <c r="S645" s="4" t="s">
        <v>295</v>
      </c>
      <c r="T645" s="4" t="s">
        <v>492</v>
      </c>
      <c r="U645" s="4">
        <v>0</v>
      </c>
      <c r="V645" s="4">
        <v>30</v>
      </c>
      <c r="W645" s="4">
        <v>70</v>
      </c>
    </row>
    <row r="646" spans="1:23" ht="11.25" customHeight="1" x14ac:dyDescent="0.25">
      <c r="A646" s="4" t="s">
        <v>55</v>
      </c>
      <c r="B646" s="4" t="s">
        <v>42</v>
      </c>
      <c r="C646" s="4" t="s">
        <v>23</v>
      </c>
      <c r="D646" s="4" t="s">
        <v>43</v>
      </c>
      <c r="E646" s="4" t="s">
        <v>51</v>
      </c>
      <c r="F646" s="4" t="s">
        <v>52</v>
      </c>
      <c r="G646" s="4" t="s">
        <v>25</v>
      </c>
      <c r="H646" s="4" t="s">
        <v>25</v>
      </c>
      <c r="I646" s="5">
        <v>44470</v>
      </c>
      <c r="J646" s="6">
        <v>0</v>
      </c>
      <c r="K646" s="6">
        <v>0</v>
      </c>
      <c r="L646" s="6">
        <v>0.15</v>
      </c>
      <c r="M646" s="6">
        <v>0.15</v>
      </c>
      <c r="N646" s="6">
        <v>0.15</v>
      </c>
      <c r="O646" s="6">
        <v>0.15</v>
      </c>
      <c r="P646" s="6">
        <v>0</v>
      </c>
      <c r="Q646" s="4" t="s">
        <v>26</v>
      </c>
      <c r="R646" s="4">
        <v>0</v>
      </c>
      <c r="S646" s="4" t="s">
        <v>295</v>
      </c>
      <c r="T646" s="4" t="s">
        <v>492</v>
      </c>
      <c r="U646" s="4">
        <v>0</v>
      </c>
      <c r="V646" s="4">
        <v>30</v>
      </c>
      <c r="W646" s="4">
        <v>70</v>
      </c>
    </row>
    <row r="647" spans="1:23" ht="11.25" customHeight="1" x14ac:dyDescent="0.25">
      <c r="A647" s="4" t="s">
        <v>21</v>
      </c>
      <c r="B647" s="4" t="s">
        <v>42</v>
      </c>
      <c r="C647" s="4" t="s">
        <v>23</v>
      </c>
      <c r="D647" s="4" t="s">
        <v>43</v>
      </c>
      <c r="E647" s="4" t="s">
        <v>51</v>
      </c>
      <c r="F647" s="4" t="s">
        <v>52</v>
      </c>
      <c r="G647" s="4" t="s">
        <v>25</v>
      </c>
      <c r="H647" s="4" t="s">
        <v>25</v>
      </c>
      <c r="I647" s="5">
        <v>44501</v>
      </c>
      <c r="J647" s="6">
        <v>0</v>
      </c>
      <c r="K647" s="6">
        <v>0</v>
      </c>
      <c r="L647" s="6">
        <v>10.707000000000001</v>
      </c>
      <c r="M647" s="6">
        <v>10.707000000000001</v>
      </c>
      <c r="N647" s="6">
        <v>10.707000000000001</v>
      </c>
      <c r="O647" s="6">
        <v>10.707000000000001</v>
      </c>
      <c r="P647" s="6">
        <v>0</v>
      </c>
      <c r="Q647" s="4" t="s">
        <v>26</v>
      </c>
      <c r="R647" s="4">
        <v>0</v>
      </c>
      <c r="S647" s="4" t="s">
        <v>296</v>
      </c>
      <c r="T647" s="4" t="s">
        <v>493</v>
      </c>
      <c r="U647" s="4">
        <v>0</v>
      </c>
      <c r="V647" s="4">
        <v>30</v>
      </c>
      <c r="W647" s="4">
        <v>70</v>
      </c>
    </row>
    <row r="648" spans="1:23" ht="11.25" customHeight="1" x14ac:dyDescent="0.25">
      <c r="A648" s="4" t="s">
        <v>55</v>
      </c>
      <c r="B648" s="4" t="s">
        <v>42</v>
      </c>
      <c r="C648" s="4" t="s">
        <v>23</v>
      </c>
      <c r="D648" s="4" t="s">
        <v>43</v>
      </c>
      <c r="E648" s="4" t="s">
        <v>51</v>
      </c>
      <c r="F648" s="4" t="s">
        <v>52</v>
      </c>
      <c r="G648" s="4" t="s">
        <v>25</v>
      </c>
      <c r="H648" s="4" t="s">
        <v>25</v>
      </c>
      <c r="I648" s="5">
        <v>44501</v>
      </c>
      <c r="J648" s="6">
        <v>0</v>
      </c>
      <c r="K648" s="6">
        <v>0</v>
      </c>
      <c r="L648" s="6">
        <v>0.15</v>
      </c>
      <c r="M648" s="6">
        <v>0.15</v>
      </c>
      <c r="N648" s="6">
        <v>0.15</v>
      </c>
      <c r="O648" s="6">
        <v>0.15</v>
      </c>
      <c r="P648" s="6">
        <v>0</v>
      </c>
      <c r="Q648" s="4" t="s">
        <v>26</v>
      </c>
      <c r="R648" s="4">
        <v>0</v>
      </c>
      <c r="S648" s="4" t="s">
        <v>296</v>
      </c>
      <c r="T648" s="4" t="s">
        <v>493</v>
      </c>
      <c r="U648" s="4">
        <v>0</v>
      </c>
      <c r="V648" s="4">
        <v>30</v>
      </c>
      <c r="W648" s="4">
        <v>70</v>
      </c>
    </row>
    <row r="649" spans="1:23" ht="11.25" customHeight="1" x14ac:dyDescent="0.25">
      <c r="A649" s="4" t="s">
        <v>21</v>
      </c>
      <c r="B649" s="4" t="s">
        <v>42</v>
      </c>
      <c r="C649" s="4" t="s">
        <v>23</v>
      </c>
      <c r="D649" s="4" t="s">
        <v>43</v>
      </c>
      <c r="E649" s="4" t="s">
        <v>51</v>
      </c>
      <c r="F649" s="4" t="s">
        <v>52</v>
      </c>
      <c r="G649" s="4" t="s">
        <v>25</v>
      </c>
      <c r="H649" s="4" t="s">
        <v>25</v>
      </c>
      <c r="I649" s="5">
        <v>44531</v>
      </c>
      <c r="J649" s="6">
        <v>0</v>
      </c>
      <c r="K649" s="6">
        <v>0</v>
      </c>
      <c r="L649" s="6">
        <v>35.530999999999999</v>
      </c>
      <c r="M649" s="6">
        <v>35.530999999999999</v>
      </c>
      <c r="N649" s="6">
        <v>35.530999999999999</v>
      </c>
      <c r="O649" s="6">
        <v>35.530999999999999</v>
      </c>
      <c r="P649" s="6">
        <v>0</v>
      </c>
      <c r="Q649" s="4" t="s">
        <v>26</v>
      </c>
      <c r="R649" s="4">
        <v>0</v>
      </c>
      <c r="S649" s="4" t="s">
        <v>297</v>
      </c>
      <c r="T649" s="4" t="s">
        <v>494</v>
      </c>
      <c r="U649" s="4">
        <v>0</v>
      </c>
      <c r="V649" s="4">
        <v>30</v>
      </c>
      <c r="W649" s="4">
        <v>70</v>
      </c>
    </row>
    <row r="650" spans="1:23" ht="11.25" customHeight="1" x14ac:dyDescent="0.25">
      <c r="A650" s="4" t="s">
        <v>55</v>
      </c>
      <c r="B650" s="4" t="s">
        <v>42</v>
      </c>
      <c r="C650" s="4" t="s">
        <v>23</v>
      </c>
      <c r="D650" s="4" t="s">
        <v>43</v>
      </c>
      <c r="E650" s="4" t="s">
        <v>51</v>
      </c>
      <c r="F650" s="4" t="s">
        <v>52</v>
      </c>
      <c r="G650" s="4" t="s">
        <v>25</v>
      </c>
      <c r="H650" s="4" t="s">
        <v>25</v>
      </c>
      <c r="I650" s="5">
        <v>44531</v>
      </c>
      <c r="J650" s="6">
        <v>0</v>
      </c>
      <c r="K650" s="6">
        <v>0</v>
      </c>
      <c r="L650" s="6">
        <v>0.1</v>
      </c>
      <c r="M650" s="6">
        <v>0.1</v>
      </c>
      <c r="N650" s="6">
        <v>0.1</v>
      </c>
      <c r="O650" s="6">
        <v>0.1</v>
      </c>
      <c r="P650" s="6">
        <v>0</v>
      </c>
      <c r="Q650" s="4" t="s">
        <v>26</v>
      </c>
      <c r="R650" s="4">
        <v>0</v>
      </c>
      <c r="S650" s="4" t="s">
        <v>297</v>
      </c>
      <c r="T650" s="4" t="s">
        <v>494</v>
      </c>
      <c r="U650" s="4">
        <v>0</v>
      </c>
      <c r="V650" s="4">
        <v>30</v>
      </c>
      <c r="W650" s="4">
        <v>70</v>
      </c>
    </row>
    <row r="651" spans="1:23" ht="11.25" customHeight="1" x14ac:dyDescent="0.25">
      <c r="A651" s="4" t="s">
        <v>21</v>
      </c>
      <c r="B651" s="4" t="s">
        <v>42</v>
      </c>
      <c r="C651" s="4" t="s">
        <v>23</v>
      </c>
      <c r="D651" s="4" t="s">
        <v>43</v>
      </c>
      <c r="E651" s="4" t="s">
        <v>51</v>
      </c>
      <c r="F651" s="4" t="s">
        <v>52</v>
      </c>
      <c r="G651" s="4" t="s">
        <v>25</v>
      </c>
      <c r="H651" s="4" t="s">
        <v>25</v>
      </c>
      <c r="I651" s="5">
        <v>44562</v>
      </c>
      <c r="J651" s="6">
        <v>0</v>
      </c>
      <c r="K651" s="6">
        <v>0</v>
      </c>
      <c r="L651" s="6">
        <v>67.302999999999997</v>
      </c>
      <c r="M651" s="6">
        <v>67.302999999999997</v>
      </c>
      <c r="N651" s="6">
        <v>67.302999999999997</v>
      </c>
      <c r="O651" s="6">
        <v>67.302999999999997</v>
      </c>
      <c r="P651" s="6">
        <v>0</v>
      </c>
      <c r="Q651" s="4" t="s">
        <v>26</v>
      </c>
      <c r="R651" s="4">
        <v>0</v>
      </c>
      <c r="S651" s="4" t="s">
        <v>298</v>
      </c>
      <c r="T651" s="4" t="s">
        <v>495</v>
      </c>
      <c r="U651" s="4">
        <v>0</v>
      </c>
      <c r="V651" s="4">
        <v>30</v>
      </c>
      <c r="W651" s="4">
        <v>70</v>
      </c>
    </row>
    <row r="652" spans="1:23" ht="11.25" customHeight="1" x14ac:dyDescent="0.25">
      <c r="A652" s="4" t="s">
        <v>55</v>
      </c>
      <c r="B652" s="4" t="s">
        <v>42</v>
      </c>
      <c r="C652" s="4" t="s">
        <v>23</v>
      </c>
      <c r="D652" s="4" t="s">
        <v>43</v>
      </c>
      <c r="E652" s="4" t="s">
        <v>51</v>
      </c>
      <c r="F652" s="4" t="s">
        <v>52</v>
      </c>
      <c r="G652" s="4" t="s">
        <v>25</v>
      </c>
      <c r="H652" s="4" t="s">
        <v>25</v>
      </c>
      <c r="I652" s="5">
        <v>44562</v>
      </c>
      <c r="J652" s="6">
        <v>0</v>
      </c>
      <c r="K652" s="6">
        <v>0</v>
      </c>
      <c r="L652" s="6">
        <v>0.15</v>
      </c>
      <c r="M652" s="6">
        <v>0.15</v>
      </c>
      <c r="N652" s="6">
        <v>0.15</v>
      </c>
      <c r="O652" s="6">
        <v>0.15</v>
      </c>
      <c r="P652" s="6">
        <v>0</v>
      </c>
      <c r="Q652" s="4" t="s">
        <v>26</v>
      </c>
      <c r="R652" s="4">
        <v>0</v>
      </c>
      <c r="S652" s="4" t="s">
        <v>298</v>
      </c>
      <c r="T652" s="4" t="s">
        <v>495</v>
      </c>
      <c r="U652" s="4">
        <v>0</v>
      </c>
      <c r="V652" s="4">
        <v>30</v>
      </c>
      <c r="W652" s="4">
        <v>70</v>
      </c>
    </row>
    <row r="653" spans="1:23" ht="11.25" customHeight="1" x14ac:dyDescent="0.25">
      <c r="A653" s="4" t="s">
        <v>21</v>
      </c>
      <c r="B653" s="4" t="s">
        <v>42</v>
      </c>
      <c r="C653" s="4" t="s">
        <v>23</v>
      </c>
      <c r="D653" s="4" t="s">
        <v>43</v>
      </c>
      <c r="E653" s="4" t="s">
        <v>51</v>
      </c>
      <c r="F653" s="4" t="s">
        <v>52</v>
      </c>
      <c r="G653" s="4" t="s">
        <v>25</v>
      </c>
      <c r="H653" s="4" t="s">
        <v>25</v>
      </c>
      <c r="I653" s="5">
        <v>44593</v>
      </c>
      <c r="J653" s="6">
        <v>0</v>
      </c>
      <c r="K653" s="6">
        <v>0</v>
      </c>
      <c r="L653" s="6">
        <v>32.872</v>
      </c>
      <c r="M653" s="6">
        <v>32.872</v>
      </c>
      <c r="N653" s="6">
        <v>32.872</v>
      </c>
      <c r="O653" s="6">
        <v>32.872</v>
      </c>
      <c r="P653" s="6">
        <v>0</v>
      </c>
      <c r="Q653" s="4" t="s">
        <v>26</v>
      </c>
      <c r="R653" s="4">
        <v>0</v>
      </c>
      <c r="S653" s="4" t="s">
        <v>299</v>
      </c>
      <c r="T653" s="4" t="s">
        <v>496</v>
      </c>
      <c r="U653" s="4">
        <v>0</v>
      </c>
      <c r="V653" s="4">
        <v>30</v>
      </c>
      <c r="W653" s="4">
        <v>70</v>
      </c>
    </row>
    <row r="654" spans="1:23" ht="11.25" customHeight="1" x14ac:dyDescent="0.25">
      <c r="A654" s="4" t="s">
        <v>55</v>
      </c>
      <c r="B654" s="4" t="s">
        <v>42</v>
      </c>
      <c r="C654" s="4" t="s">
        <v>23</v>
      </c>
      <c r="D654" s="4" t="s">
        <v>43</v>
      </c>
      <c r="E654" s="4" t="s">
        <v>51</v>
      </c>
      <c r="F654" s="4" t="s">
        <v>52</v>
      </c>
      <c r="G654" s="4" t="s">
        <v>25</v>
      </c>
      <c r="H654" s="4" t="s">
        <v>25</v>
      </c>
      <c r="I654" s="5">
        <v>44593</v>
      </c>
      <c r="J654" s="6">
        <v>0</v>
      </c>
      <c r="K654" s="6">
        <v>0</v>
      </c>
      <c r="L654" s="6">
        <v>0.1</v>
      </c>
      <c r="M654" s="6">
        <v>0.1</v>
      </c>
      <c r="N654" s="6">
        <v>0.1</v>
      </c>
      <c r="O654" s="6">
        <v>0.1</v>
      </c>
      <c r="P654" s="6">
        <v>0</v>
      </c>
      <c r="Q654" s="4" t="s">
        <v>26</v>
      </c>
      <c r="R654" s="4">
        <v>0</v>
      </c>
      <c r="S654" s="4" t="s">
        <v>299</v>
      </c>
      <c r="T654" s="4" t="s">
        <v>496</v>
      </c>
      <c r="U654" s="4">
        <v>0</v>
      </c>
      <c r="V654" s="4">
        <v>30</v>
      </c>
      <c r="W654" s="4">
        <v>70</v>
      </c>
    </row>
    <row r="655" spans="1:23" ht="11.25" customHeight="1" x14ac:dyDescent="0.25">
      <c r="A655" s="4" t="s">
        <v>21</v>
      </c>
      <c r="B655" s="4" t="s">
        <v>42</v>
      </c>
      <c r="C655" s="4" t="s">
        <v>23</v>
      </c>
      <c r="D655" s="4" t="s">
        <v>43</v>
      </c>
      <c r="E655" s="4" t="s">
        <v>51</v>
      </c>
      <c r="F655" s="4" t="s">
        <v>52</v>
      </c>
      <c r="G655" s="4" t="s">
        <v>25</v>
      </c>
      <c r="H655" s="4" t="s">
        <v>25</v>
      </c>
      <c r="I655" s="5">
        <v>44621</v>
      </c>
      <c r="J655" s="6">
        <v>0</v>
      </c>
      <c r="K655" s="6">
        <v>0</v>
      </c>
      <c r="L655" s="6">
        <v>23.164999999999999</v>
      </c>
      <c r="M655" s="6">
        <v>23.164999999999999</v>
      </c>
      <c r="N655" s="6">
        <v>23.164999999999999</v>
      </c>
      <c r="O655" s="6">
        <v>23.164999999999999</v>
      </c>
      <c r="P655" s="6">
        <v>0</v>
      </c>
      <c r="Q655" s="4" t="s">
        <v>26</v>
      </c>
      <c r="R655" s="4">
        <v>0</v>
      </c>
      <c r="S655" s="4" t="s">
        <v>300</v>
      </c>
      <c r="T655" s="4" t="s">
        <v>497</v>
      </c>
      <c r="U655" s="4">
        <v>0</v>
      </c>
      <c r="V655" s="4">
        <v>30</v>
      </c>
      <c r="W655" s="4">
        <v>70</v>
      </c>
    </row>
    <row r="656" spans="1:23" ht="11.25" customHeight="1" x14ac:dyDescent="0.25">
      <c r="A656" s="4" t="s">
        <v>55</v>
      </c>
      <c r="B656" s="4" t="s">
        <v>42</v>
      </c>
      <c r="C656" s="4" t="s">
        <v>23</v>
      </c>
      <c r="D656" s="4" t="s">
        <v>43</v>
      </c>
      <c r="E656" s="4" t="s">
        <v>51</v>
      </c>
      <c r="F656" s="4" t="s">
        <v>52</v>
      </c>
      <c r="G656" s="4" t="s">
        <v>25</v>
      </c>
      <c r="H656" s="4" t="s">
        <v>25</v>
      </c>
      <c r="I656" s="5">
        <v>44621</v>
      </c>
      <c r="J656" s="6">
        <v>0</v>
      </c>
      <c r="K656" s="6">
        <v>0</v>
      </c>
      <c r="L656" s="6">
        <v>0.1</v>
      </c>
      <c r="M656" s="6">
        <v>0.1</v>
      </c>
      <c r="N656" s="6">
        <v>0.1</v>
      </c>
      <c r="O656" s="6">
        <v>0.1</v>
      </c>
      <c r="P656" s="6">
        <v>0</v>
      </c>
      <c r="Q656" s="4" t="s">
        <v>26</v>
      </c>
      <c r="R656" s="4">
        <v>0</v>
      </c>
      <c r="S656" s="4" t="s">
        <v>300</v>
      </c>
      <c r="T656" s="4" t="s">
        <v>497</v>
      </c>
      <c r="U656" s="4">
        <v>0</v>
      </c>
      <c r="V656" s="4">
        <v>30</v>
      </c>
      <c r="W656" s="4">
        <v>70</v>
      </c>
    </row>
    <row r="657" spans="1:23" ht="11.25" customHeight="1" x14ac:dyDescent="0.25">
      <c r="A657" s="4" t="s">
        <v>21</v>
      </c>
      <c r="B657" s="4" t="s">
        <v>42</v>
      </c>
      <c r="C657" s="4" t="s">
        <v>23</v>
      </c>
      <c r="D657" s="4" t="s">
        <v>43</v>
      </c>
      <c r="E657" s="4" t="s">
        <v>51</v>
      </c>
      <c r="F657" s="4" t="s">
        <v>52</v>
      </c>
      <c r="G657" s="4" t="s">
        <v>25</v>
      </c>
      <c r="H657" s="4" t="s">
        <v>25</v>
      </c>
      <c r="I657" s="5">
        <v>44652</v>
      </c>
      <c r="J657" s="6">
        <v>0</v>
      </c>
      <c r="K657" s="6">
        <v>0</v>
      </c>
      <c r="L657" s="6">
        <v>7.4290000000000003</v>
      </c>
      <c r="M657" s="6">
        <v>7.4290000000000003</v>
      </c>
      <c r="N657" s="6">
        <v>7.4290000000000003</v>
      </c>
      <c r="O657" s="6">
        <v>7.4290000000000003</v>
      </c>
      <c r="P657" s="6">
        <v>0</v>
      </c>
      <c r="Q657" s="4" t="s">
        <v>26</v>
      </c>
      <c r="R657" s="4">
        <v>0</v>
      </c>
      <c r="S657" s="4" t="s">
        <v>301</v>
      </c>
      <c r="T657" s="4" t="s">
        <v>498</v>
      </c>
      <c r="U657" s="4">
        <v>0</v>
      </c>
      <c r="V657" s="4">
        <v>30</v>
      </c>
      <c r="W657" s="4">
        <v>70</v>
      </c>
    </row>
    <row r="658" spans="1:23" ht="11.25" customHeight="1" x14ac:dyDescent="0.25">
      <c r="A658" s="4" t="s">
        <v>55</v>
      </c>
      <c r="B658" s="4" t="s">
        <v>42</v>
      </c>
      <c r="C658" s="4" t="s">
        <v>23</v>
      </c>
      <c r="D658" s="4" t="s">
        <v>43</v>
      </c>
      <c r="E658" s="4" t="s">
        <v>51</v>
      </c>
      <c r="F658" s="4" t="s">
        <v>52</v>
      </c>
      <c r="G658" s="4" t="s">
        <v>25</v>
      </c>
      <c r="H658" s="4" t="s">
        <v>25</v>
      </c>
      <c r="I658" s="5">
        <v>44652</v>
      </c>
      <c r="J658" s="6">
        <v>0</v>
      </c>
      <c r="K658" s="6">
        <v>0</v>
      </c>
      <c r="L658" s="6">
        <v>0.15</v>
      </c>
      <c r="M658" s="6">
        <v>0.15</v>
      </c>
      <c r="N658" s="6">
        <v>0.15</v>
      </c>
      <c r="O658" s="6">
        <v>0.15</v>
      </c>
      <c r="P658" s="6">
        <v>0</v>
      </c>
      <c r="Q658" s="4" t="s">
        <v>26</v>
      </c>
      <c r="R658" s="4">
        <v>0</v>
      </c>
      <c r="S658" s="4" t="s">
        <v>301</v>
      </c>
      <c r="T658" s="4" t="s">
        <v>498</v>
      </c>
      <c r="U658" s="4">
        <v>0</v>
      </c>
      <c r="V658" s="4">
        <v>30</v>
      </c>
      <c r="W658" s="4">
        <v>70</v>
      </c>
    </row>
    <row r="659" spans="1:23" ht="11.25" customHeight="1" x14ac:dyDescent="0.25">
      <c r="A659" s="4" t="s">
        <v>21</v>
      </c>
      <c r="B659" s="4" t="s">
        <v>42</v>
      </c>
      <c r="C659" s="4" t="s">
        <v>23</v>
      </c>
      <c r="D659" s="4" t="s">
        <v>43</v>
      </c>
      <c r="E659" s="4" t="s">
        <v>51</v>
      </c>
      <c r="F659" s="4" t="s">
        <v>52</v>
      </c>
      <c r="G659" s="4" t="s">
        <v>25</v>
      </c>
      <c r="H659" s="4" t="s">
        <v>25</v>
      </c>
      <c r="I659" s="5">
        <v>44682</v>
      </c>
      <c r="J659" s="6">
        <v>0</v>
      </c>
      <c r="K659" s="6">
        <v>0</v>
      </c>
      <c r="L659" s="6">
        <v>6.1859999999999999</v>
      </c>
      <c r="M659" s="6">
        <v>6.1859999999999999</v>
      </c>
      <c r="N659" s="6">
        <v>6.1859999999999999</v>
      </c>
      <c r="O659" s="6">
        <v>6.1859999999999999</v>
      </c>
      <c r="P659" s="6">
        <v>0</v>
      </c>
      <c r="Q659" s="4" t="s">
        <v>26</v>
      </c>
      <c r="R659" s="4">
        <v>0</v>
      </c>
      <c r="S659" s="4" t="s">
        <v>302</v>
      </c>
      <c r="T659" s="4" t="s">
        <v>499</v>
      </c>
      <c r="U659" s="4">
        <v>0</v>
      </c>
      <c r="V659" s="4">
        <v>30</v>
      </c>
      <c r="W659" s="4">
        <v>70</v>
      </c>
    </row>
    <row r="660" spans="1:23" ht="11.25" customHeight="1" x14ac:dyDescent="0.25">
      <c r="A660" s="4" t="s">
        <v>56</v>
      </c>
      <c r="B660" s="4" t="s">
        <v>42</v>
      </c>
      <c r="C660" s="4" t="s">
        <v>23</v>
      </c>
      <c r="D660" s="4" t="s">
        <v>43</v>
      </c>
      <c r="E660" s="4" t="s">
        <v>51</v>
      </c>
      <c r="F660" s="4" t="s">
        <v>52</v>
      </c>
      <c r="G660" s="4" t="s">
        <v>25</v>
      </c>
      <c r="H660" s="4" t="s">
        <v>25</v>
      </c>
      <c r="I660" s="5">
        <v>44713</v>
      </c>
      <c r="J660" s="6">
        <v>0</v>
      </c>
      <c r="K660" s="6">
        <v>0</v>
      </c>
      <c r="L660" s="6">
        <v>6.1859999999999999</v>
      </c>
      <c r="M660" s="6">
        <v>6.1859999999999999</v>
      </c>
      <c r="N660" s="6">
        <v>6.1859999999999999</v>
      </c>
      <c r="O660" s="6">
        <v>6.1859999999999999</v>
      </c>
      <c r="P660" s="6">
        <v>0</v>
      </c>
      <c r="Q660" s="4" t="s">
        <v>26</v>
      </c>
      <c r="R660" s="4">
        <v>0</v>
      </c>
      <c r="S660" s="4" t="s">
        <v>303</v>
      </c>
      <c r="T660" s="4" t="s">
        <v>500</v>
      </c>
      <c r="U660" s="4">
        <v>0</v>
      </c>
      <c r="V660" s="4">
        <v>30</v>
      </c>
      <c r="W660" s="4">
        <v>70</v>
      </c>
    </row>
    <row r="661" spans="1:23" ht="11.25" customHeight="1" x14ac:dyDescent="0.25">
      <c r="A661" s="4" t="s">
        <v>21</v>
      </c>
      <c r="B661" s="4" t="s">
        <v>42</v>
      </c>
      <c r="C661" s="4" t="s">
        <v>23</v>
      </c>
      <c r="D661" s="4" t="s">
        <v>43</v>
      </c>
      <c r="E661" s="4" t="s">
        <v>51</v>
      </c>
      <c r="F661" s="4" t="s">
        <v>53</v>
      </c>
      <c r="G661" s="4" t="s">
        <v>25</v>
      </c>
      <c r="H661" s="4" t="s">
        <v>25</v>
      </c>
      <c r="I661" s="5">
        <v>44378</v>
      </c>
      <c r="J661" s="6">
        <v>0</v>
      </c>
      <c r="K661" s="6">
        <v>0</v>
      </c>
      <c r="L661" s="6">
        <v>1.282</v>
      </c>
      <c r="M661" s="6">
        <v>0.51280000000000003</v>
      </c>
      <c r="N661" s="6">
        <v>1.282</v>
      </c>
      <c r="O661" s="6">
        <v>0.51280000000000003</v>
      </c>
      <c r="P661" s="6">
        <v>0</v>
      </c>
      <c r="Q661" s="4" t="s">
        <v>26</v>
      </c>
      <c r="R661" s="4">
        <v>0</v>
      </c>
      <c r="S661" s="4" t="s">
        <v>292</v>
      </c>
      <c r="T661" s="4" t="s">
        <v>489</v>
      </c>
      <c r="U661" s="4">
        <v>0</v>
      </c>
      <c r="V661" s="4">
        <v>30</v>
      </c>
      <c r="W661" s="4">
        <v>70</v>
      </c>
    </row>
    <row r="662" spans="1:23" ht="11.25" customHeight="1" x14ac:dyDescent="0.25">
      <c r="A662" s="4" t="s">
        <v>21</v>
      </c>
      <c r="B662" s="4" t="s">
        <v>42</v>
      </c>
      <c r="C662" s="4" t="s">
        <v>23</v>
      </c>
      <c r="D662" s="4" t="s">
        <v>43</v>
      </c>
      <c r="E662" s="4" t="s">
        <v>51</v>
      </c>
      <c r="F662" s="4" t="s">
        <v>53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0.92400000000000004</v>
      </c>
      <c r="M662" s="6">
        <v>0.36959999999999998</v>
      </c>
      <c r="N662" s="6">
        <v>0.92400000000000004</v>
      </c>
      <c r="O662" s="6">
        <v>0.36959999999999998</v>
      </c>
      <c r="P662" s="6">
        <v>0</v>
      </c>
      <c r="Q662" s="4" t="s">
        <v>26</v>
      </c>
      <c r="R662" s="4">
        <v>0</v>
      </c>
      <c r="S662" s="4" t="s">
        <v>293</v>
      </c>
      <c r="T662" s="4" t="s">
        <v>490</v>
      </c>
      <c r="U662" s="4">
        <v>0</v>
      </c>
      <c r="V662" s="4">
        <v>30</v>
      </c>
      <c r="W662" s="4">
        <v>70</v>
      </c>
    </row>
    <row r="663" spans="1:23" ht="11.25" customHeight="1" x14ac:dyDescent="0.25">
      <c r="A663" s="4" t="s">
        <v>55</v>
      </c>
      <c r="B663" s="4" t="s">
        <v>42</v>
      </c>
      <c r="C663" s="4" t="s">
        <v>23</v>
      </c>
      <c r="D663" s="4" t="s">
        <v>43</v>
      </c>
      <c r="E663" s="4" t="s">
        <v>51</v>
      </c>
      <c r="F663" s="4" t="s">
        <v>53</v>
      </c>
      <c r="G663" s="4" t="s">
        <v>25</v>
      </c>
      <c r="H663" s="4" t="s">
        <v>25</v>
      </c>
      <c r="I663" s="5">
        <v>44409</v>
      </c>
      <c r="J663" s="6">
        <v>0</v>
      </c>
      <c r="K663" s="6">
        <v>0</v>
      </c>
      <c r="L663" s="6">
        <v>9.5000000000000001E-2</v>
      </c>
      <c r="M663" s="6">
        <v>9.5000000000000001E-2</v>
      </c>
      <c r="N663" s="6">
        <v>9.5000000000000001E-2</v>
      </c>
      <c r="O663" s="6">
        <v>9.5000000000000001E-2</v>
      </c>
      <c r="P663" s="6">
        <v>0</v>
      </c>
      <c r="Q663" s="4" t="s">
        <v>26</v>
      </c>
      <c r="R663" s="4">
        <v>0</v>
      </c>
      <c r="S663" s="4" t="s">
        <v>293</v>
      </c>
      <c r="T663" s="4" t="s">
        <v>490</v>
      </c>
      <c r="U663" s="4">
        <v>0</v>
      </c>
      <c r="V663" s="4">
        <v>30</v>
      </c>
      <c r="W663" s="4">
        <v>70</v>
      </c>
    </row>
    <row r="664" spans="1:23" ht="11.25" customHeight="1" x14ac:dyDescent="0.25">
      <c r="A664" s="4" t="s">
        <v>21</v>
      </c>
      <c r="B664" s="4" t="s">
        <v>42</v>
      </c>
      <c r="C664" s="4" t="s">
        <v>23</v>
      </c>
      <c r="D664" s="4" t="s">
        <v>43</v>
      </c>
      <c r="E664" s="4" t="s">
        <v>51</v>
      </c>
      <c r="F664" s="4" t="s">
        <v>53</v>
      </c>
      <c r="G664" s="4" t="s">
        <v>25</v>
      </c>
      <c r="H664" s="4" t="s">
        <v>25</v>
      </c>
      <c r="I664" s="5">
        <v>44440</v>
      </c>
      <c r="J664" s="6">
        <v>0</v>
      </c>
      <c r="K664" s="6">
        <v>0</v>
      </c>
      <c r="L664" s="6">
        <v>1.5880000000000001</v>
      </c>
      <c r="M664" s="6">
        <v>0.63519999999999999</v>
      </c>
      <c r="N664" s="6">
        <v>1.5880000000000001</v>
      </c>
      <c r="O664" s="6">
        <v>0.63519999999999999</v>
      </c>
      <c r="P664" s="6">
        <v>0</v>
      </c>
      <c r="Q664" s="4" t="s">
        <v>26</v>
      </c>
      <c r="R664" s="4">
        <v>0</v>
      </c>
      <c r="S664" s="4" t="s">
        <v>294</v>
      </c>
      <c r="T664" s="4" t="s">
        <v>491</v>
      </c>
      <c r="U664" s="4">
        <v>0</v>
      </c>
      <c r="V664" s="4">
        <v>30</v>
      </c>
      <c r="W664" s="4">
        <v>70</v>
      </c>
    </row>
    <row r="665" spans="1:23" ht="11.25" customHeight="1" x14ac:dyDescent="0.25">
      <c r="A665" s="4" t="s">
        <v>21</v>
      </c>
      <c r="B665" s="4" t="s">
        <v>42</v>
      </c>
      <c r="C665" s="4" t="s">
        <v>23</v>
      </c>
      <c r="D665" s="4" t="s">
        <v>43</v>
      </c>
      <c r="E665" s="4" t="s">
        <v>51</v>
      </c>
      <c r="F665" s="4" t="s">
        <v>53</v>
      </c>
      <c r="G665" s="4" t="s">
        <v>25</v>
      </c>
      <c r="H665" s="4" t="s">
        <v>25</v>
      </c>
      <c r="I665" s="5">
        <v>44470</v>
      </c>
      <c r="J665" s="6">
        <v>0</v>
      </c>
      <c r="K665" s="6">
        <v>0</v>
      </c>
      <c r="L665" s="6">
        <v>1.3839999999999999</v>
      </c>
      <c r="M665" s="6">
        <v>0.55359999999999998</v>
      </c>
      <c r="N665" s="6">
        <v>1.3839999999999999</v>
      </c>
      <c r="O665" s="6">
        <v>0.55359999999999998</v>
      </c>
      <c r="P665" s="6">
        <v>0</v>
      </c>
      <c r="Q665" s="4" t="s">
        <v>26</v>
      </c>
      <c r="R665" s="4">
        <v>0</v>
      </c>
      <c r="S665" s="4" t="s">
        <v>295</v>
      </c>
      <c r="T665" s="4" t="s">
        <v>492</v>
      </c>
      <c r="U665" s="4">
        <v>0</v>
      </c>
      <c r="V665" s="4">
        <v>30</v>
      </c>
      <c r="W665" s="4">
        <v>70</v>
      </c>
    </row>
    <row r="666" spans="1:23" ht="11.25" customHeight="1" x14ac:dyDescent="0.25">
      <c r="A666" s="4" t="s">
        <v>21</v>
      </c>
      <c r="B666" s="4" t="s">
        <v>42</v>
      </c>
      <c r="C666" s="4" t="s">
        <v>23</v>
      </c>
      <c r="D666" s="4" t="s">
        <v>43</v>
      </c>
      <c r="E666" s="4" t="s">
        <v>51</v>
      </c>
      <c r="F666" s="4" t="s">
        <v>53</v>
      </c>
      <c r="G666" s="4" t="s">
        <v>25</v>
      </c>
      <c r="H666" s="4" t="s">
        <v>25</v>
      </c>
      <c r="I666" s="5">
        <v>44501</v>
      </c>
      <c r="J666" s="6">
        <v>0</v>
      </c>
      <c r="K666" s="6">
        <v>0</v>
      </c>
      <c r="L666" s="6">
        <v>22.245000000000001</v>
      </c>
      <c r="M666" s="6">
        <v>8.8979999999999997</v>
      </c>
      <c r="N666" s="6">
        <v>22.245000000000001</v>
      </c>
      <c r="O666" s="6">
        <v>8.8979999999999997</v>
      </c>
      <c r="P666" s="6">
        <v>0</v>
      </c>
      <c r="Q666" s="4" t="s">
        <v>26</v>
      </c>
      <c r="R666" s="4">
        <v>0</v>
      </c>
      <c r="S666" s="4" t="s">
        <v>296</v>
      </c>
      <c r="T666" s="4" t="s">
        <v>493</v>
      </c>
      <c r="U666" s="4">
        <v>0</v>
      </c>
      <c r="V666" s="4">
        <v>30</v>
      </c>
      <c r="W666" s="4">
        <v>70</v>
      </c>
    </row>
    <row r="667" spans="1:23" ht="11.25" customHeight="1" x14ac:dyDescent="0.25">
      <c r="A667" s="4" t="s">
        <v>21</v>
      </c>
      <c r="B667" s="4" t="s">
        <v>42</v>
      </c>
      <c r="C667" s="4" t="s">
        <v>23</v>
      </c>
      <c r="D667" s="4" t="s">
        <v>43</v>
      </c>
      <c r="E667" s="4" t="s">
        <v>51</v>
      </c>
      <c r="F667" s="4" t="s">
        <v>53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36.807000000000002</v>
      </c>
      <c r="M667" s="6">
        <v>14.722799999999999</v>
      </c>
      <c r="N667" s="6">
        <v>36.807000000000002</v>
      </c>
      <c r="O667" s="6">
        <v>14.722799999999999</v>
      </c>
      <c r="P667" s="6">
        <v>0</v>
      </c>
      <c r="Q667" s="4" t="s">
        <v>26</v>
      </c>
      <c r="R667" s="4">
        <v>0</v>
      </c>
      <c r="S667" s="4" t="s">
        <v>297</v>
      </c>
      <c r="T667" s="4" t="s">
        <v>494</v>
      </c>
      <c r="U667" s="4">
        <v>0</v>
      </c>
      <c r="V667" s="4">
        <v>30</v>
      </c>
      <c r="W667" s="4">
        <v>70</v>
      </c>
    </row>
    <row r="668" spans="1:23" ht="11.25" customHeight="1" x14ac:dyDescent="0.25">
      <c r="A668" s="4" t="s">
        <v>55</v>
      </c>
      <c r="B668" s="4" t="s">
        <v>42</v>
      </c>
      <c r="C668" s="4" t="s">
        <v>23</v>
      </c>
      <c r="D668" s="4" t="s">
        <v>43</v>
      </c>
      <c r="E668" s="4" t="s">
        <v>51</v>
      </c>
      <c r="F668" s="4" t="s">
        <v>53</v>
      </c>
      <c r="G668" s="4" t="s">
        <v>25</v>
      </c>
      <c r="H668" s="4" t="s">
        <v>25</v>
      </c>
      <c r="I668" s="5">
        <v>44531</v>
      </c>
      <c r="J668" s="6">
        <v>0</v>
      </c>
      <c r="K668" s="6">
        <v>0</v>
      </c>
      <c r="L668" s="6">
        <v>0.55000000000000004</v>
      </c>
      <c r="M668" s="6">
        <v>0.55000000000000004</v>
      </c>
      <c r="N668" s="6">
        <v>0.55000000000000004</v>
      </c>
      <c r="O668" s="6">
        <v>0.55000000000000004</v>
      </c>
      <c r="P668" s="6">
        <v>0</v>
      </c>
      <c r="Q668" s="4" t="s">
        <v>26</v>
      </c>
      <c r="R668" s="4">
        <v>0</v>
      </c>
      <c r="S668" s="4" t="s">
        <v>297</v>
      </c>
      <c r="T668" s="4" t="s">
        <v>494</v>
      </c>
      <c r="U668" s="4">
        <v>0</v>
      </c>
      <c r="V668" s="4">
        <v>30</v>
      </c>
      <c r="W668" s="4">
        <v>70</v>
      </c>
    </row>
    <row r="669" spans="1:23" ht="11.25" customHeight="1" x14ac:dyDescent="0.25">
      <c r="A669" s="4" t="s">
        <v>21</v>
      </c>
      <c r="B669" s="4" t="s">
        <v>42</v>
      </c>
      <c r="C669" s="4" t="s">
        <v>23</v>
      </c>
      <c r="D669" s="4" t="s">
        <v>43</v>
      </c>
      <c r="E669" s="4" t="s">
        <v>51</v>
      </c>
      <c r="F669" s="4" t="s">
        <v>53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79.156999999999996</v>
      </c>
      <c r="M669" s="6">
        <v>31.662800000000001</v>
      </c>
      <c r="N669" s="6">
        <v>79.156999999999996</v>
      </c>
      <c r="O669" s="6">
        <v>31.662800000000001</v>
      </c>
      <c r="P669" s="6">
        <v>0</v>
      </c>
      <c r="Q669" s="4" t="s">
        <v>26</v>
      </c>
      <c r="R669" s="4">
        <v>0</v>
      </c>
      <c r="S669" s="4" t="s">
        <v>298</v>
      </c>
      <c r="T669" s="4" t="s">
        <v>495</v>
      </c>
      <c r="U669" s="4">
        <v>0</v>
      </c>
      <c r="V669" s="4">
        <v>30</v>
      </c>
      <c r="W669" s="4">
        <v>70</v>
      </c>
    </row>
    <row r="670" spans="1:23" ht="11.25" customHeight="1" x14ac:dyDescent="0.25">
      <c r="A670" s="4" t="s">
        <v>21</v>
      </c>
      <c r="B670" s="4" t="s">
        <v>42</v>
      </c>
      <c r="C670" s="4" t="s">
        <v>23</v>
      </c>
      <c r="D670" s="4" t="s">
        <v>43</v>
      </c>
      <c r="E670" s="4" t="s">
        <v>51</v>
      </c>
      <c r="F670" s="4" t="s">
        <v>53</v>
      </c>
      <c r="G670" s="4" t="s">
        <v>25</v>
      </c>
      <c r="H670" s="4" t="s">
        <v>25</v>
      </c>
      <c r="I670" s="5">
        <v>44593</v>
      </c>
      <c r="J670" s="6">
        <v>0</v>
      </c>
      <c r="K670" s="6">
        <v>0</v>
      </c>
      <c r="L670" s="6">
        <v>27.257999999999999</v>
      </c>
      <c r="M670" s="6">
        <v>10.9032</v>
      </c>
      <c r="N670" s="6">
        <v>27.257999999999999</v>
      </c>
      <c r="O670" s="6">
        <v>10.9032</v>
      </c>
      <c r="P670" s="6">
        <v>0</v>
      </c>
      <c r="Q670" s="4" t="s">
        <v>26</v>
      </c>
      <c r="R670" s="4">
        <v>0</v>
      </c>
      <c r="S670" s="4" t="s">
        <v>299</v>
      </c>
      <c r="T670" s="4" t="s">
        <v>496</v>
      </c>
      <c r="U670" s="4">
        <v>0</v>
      </c>
      <c r="V670" s="4">
        <v>30</v>
      </c>
      <c r="W670" s="4">
        <v>70</v>
      </c>
    </row>
    <row r="671" spans="1:23" ht="11.25" customHeight="1" x14ac:dyDescent="0.25">
      <c r="A671" s="4" t="s">
        <v>55</v>
      </c>
      <c r="B671" s="4" t="s">
        <v>42</v>
      </c>
      <c r="C671" s="4" t="s">
        <v>23</v>
      </c>
      <c r="D671" s="4" t="s">
        <v>43</v>
      </c>
      <c r="E671" s="4" t="s">
        <v>51</v>
      </c>
      <c r="F671" s="4" t="s">
        <v>53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0.4</v>
      </c>
      <c r="M671" s="6">
        <v>0.4</v>
      </c>
      <c r="N671" s="6">
        <v>0.4</v>
      </c>
      <c r="O671" s="6">
        <v>0.4</v>
      </c>
      <c r="P671" s="6">
        <v>0</v>
      </c>
      <c r="Q671" s="4" t="s">
        <v>26</v>
      </c>
      <c r="R671" s="4">
        <v>0</v>
      </c>
      <c r="S671" s="4" t="s">
        <v>299</v>
      </c>
      <c r="T671" s="4" t="s">
        <v>496</v>
      </c>
      <c r="U671" s="4">
        <v>0</v>
      </c>
      <c r="V671" s="4">
        <v>30</v>
      </c>
      <c r="W671" s="4">
        <v>70</v>
      </c>
    </row>
    <row r="672" spans="1:23" ht="11.25" customHeight="1" x14ac:dyDescent="0.25">
      <c r="A672" s="4" t="s">
        <v>21</v>
      </c>
      <c r="B672" s="4" t="s">
        <v>42</v>
      </c>
      <c r="C672" s="4" t="s">
        <v>23</v>
      </c>
      <c r="D672" s="4" t="s">
        <v>43</v>
      </c>
      <c r="E672" s="4" t="s">
        <v>51</v>
      </c>
      <c r="F672" s="4" t="s">
        <v>53</v>
      </c>
      <c r="G672" s="4" t="s">
        <v>25</v>
      </c>
      <c r="H672" s="4" t="s">
        <v>25</v>
      </c>
      <c r="I672" s="5">
        <v>44621</v>
      </c>
      <c r="J672" s="6">
        <v>0</v>
      </c>
      <c r="K672" s="6">
        <v>0</v>
      </c>
      <c r="L672" s="6">
        <v>26.222999999999999</v>
      </c>
      <c r="M672" s="6">
        <v>10.4892</v>
      </c>
      <c r="N672" s="6">
        <v>26.222999999999999</v>
      </c>
      <c r="O672" s="6">
        <v>10.4892</v>
      </c>
      <c r="P672" s="6">
        <v>0</v>
      </c>
      <c r="Q672" s="4" t="s">
        <v>26</v>
      </c>
      <c r="R672" s="4">
        <v>0</v>
      </c>
      <c r="S672" s="4" t="s">
        <v>300</v>
      </c>
      <c r="T672" s="4" t="s">
        <v>497</v>
      </c>
      <c r="U672" s="4">
        <v>0</v>
      </c>
      <c r="V672" s="4">
        <v>30</v>
      </c>
      <c r="W672" s="4">
        <v>70</v>
      </c>
    </row>
    <row r="673" spans="1:23" ht="11.25" customHeight="1" x14ac:dyDescent="0.25">
      <c r="A673" s="4" t="s">
        <v>55</v>
      </c>
      <c r="B673" s="4" t="s">
        <v>42</v>
      </c>
      <c r="C673" s="4" t="s">
        <v>23</v>
      </c>
      <c r="D673" s="4" t="s">
        <v>43</v>
      </c>
      <c r="E673" s="4" t="s">
        <v>51</v>
      </c>
      <c r="F673" s="4" t="s">
        <v>53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0.25</v>
      </c>
      <c r="M673" s="6">
        <v>0.25</v>
      </c>
      <c r="N673" s="6">
        <v>0.25</v>
      </c>
      <c r="O673" s="6">
        <v>0.25</v>
      </c>
      <c r="P673" s="6">
        <v>0</v>
      </c>
      <c r="Q673" s="4" t="s">
        <v>26</v>
      </c>
      <c r="R673" s="4">
        <v>0</v>
      </c>
      <c r="S673" s="4" t="s">
        <v>300</v>
      </c>
      <c r="T673" s="4" t="s">
        <v>497</v>
      </c>
      <c r="U673" s="4">
        <v>0</v>
      </c>
      <c r="V673" s="4">
        <v>30</v>
      </c>
      <c r="W673" s="4">
        <v>70</v>
      </c>
    </row>
    <row r="674" spans="1:23" ht="11.25" customHeight="1" x14ac:dyDescent="0.25">
      <c r="A674" s="4" t="s">
        <v>21</v>
      </c>
      <c r="B674" s="4" t="s">
        <v>42</v>
      </c>
      <c r="C674" s="4" t="s">
        <v>23</v>
      </c>
      <c r="D674" s="4" t="s">
        <v>43</v>
      </c>
      <c r="E674" s="4" t="s">
        <v>51</v>
      </c>
      <c r="F674" s="4" t="s">
        <v>53</v>
      </c>
      <c r="G674" s="4" t="s">
        <v>25</v>
      </c>
      <c r="H674" s="4" t="s">
        <v>25</v>
      </c>
      <c r="I674" s="5">
        <v>44652</v>
      </c>
      <c r="J674" s="6">
        <v>0</v>
      </c>
      <c r="K674" s="6">
        <v>0</v>
      </c>
      <c r="L674" s="6">
        <v>2.411</v>
      </c>
      <c r="M674" s="6">
        <v>0.96440000000000003</v>
      </c>
      <c r="N674" s="6">
        <v>2.411</v>
      </c>
      <c r="O674" s="6">
        <v>0.96440000000000003</v>
      </c>
      <c r="P674" s="6">
        <v>0</v>
      </c>
      <c r="Q674" s="4" t="s">
        <v>26</v>
      </c>
      <c r="R674" s="4">
        <v>0</v>
      </c>
      <c r="S674" s="4" t="s">
        <v>301</v>
      </c>
      <c r="T674" s="4" t="s">
        <v>498</v>
      </c>
      <c r="U674" s="4">
        <v>0</v>
      </c>
      <c r="V674" s="4">
        <v>30</v>
      </c>
      <c r="W674" s="4">
        <v>70</v>
      </c>
    </row>
    <row r="675" spans="1:23" ht="11.25" customHeight="1" x14ac:dyDescent="0.25">
      <c r="A675" s="4" t="s">
        <v>21</v>
      </c>
      <c r="B675" s="4" t="s">
        <v>42</v>
      </c>
      <c r="C675" s="4" t="s">
        <v>23</v>
      </c>
      <c r="D675" s="4" t="s">
        <v>43</v>
      </c>
      <c r="E675" s="4" t="s">
        <v>51</v>
      </c>
      <c r="F675" s="4" t="s">
        <v>53</v>
      </c>
      <c r="G675" s="4" t="s">
        <v>25</v>
      </c>
      <c r="H675" s="4" t="s">
        <v>25</v>
      </c>
      <c r="I675" s="5">
        <v>44682</v>
      </c>
      <c r="J675" s="6">
        <v>0</v>
      </c>
      <c r="K675" s="6">
        <v>0</v>
      </c>
      <c r="L675" s="6">
        <v>6.82</v>
      </c>
      <c r="M675" s="6">
        <v>2.7280000000000002</v>
      </c>
      <c r="N675" s="6">
        <v>6.82</v>
      </c>
      <c r="O675" s="6">
        <v>2.7280000000000002</v>
      </c>
      <c r="P675" s="6">
        <v>0</v>
      </c>
      <c r="Q675" s="4" t="s">
        <v>26</v>
      </c>
      <c r="R675" s="4">
        <v>0</v>
      </c>
      <c r="S675" s="4" t="s">
        <v>302</v>
      </c>
      <c r="T675" s="4" t="s">
        <v>499</v>
      </c>
      <c r="U675" s="4">
        <v>0</v>
      </c>
      <c r="V675" s="4">
        <v>30</v>
      </c>
      <c r="W675" s="4">
        <v>70</v>
      </c>
    </row>
    <row r="676" spans="1:23" ht="11.25" customHeight="1" x14ac:dyDescent="0.25">
      <c r="A676" s="4" t="s">
        <v>56</v>
      </c>
      <c r="B676" s="4" t="s">
        <v>42</v>
      </c>
      <c r="C676" s="4" t="s">
        <v>23</v>
      </c>
      <c r="D676" s="4" t="s">
        <v>43</v>
      </c>
      <c r="E676" s="4" t="s">
        <v>51</v>
      </c>
      <c r="F676" s="4" t="s">
        <v>53</v>
      </c>
      <c r="G676" s="4" t="s">
        <v>25</v>
      </c>
      <c r="H676" s="4" t="s">
        <v>25</v>
      </c>
      <c r="I676" s="5">
        <v>44713</v>
      </c>
      <c r="J676" s="6">
        <v>0</v>
      </c>
      <c r="K676" s="6">
        <v>0</v>
      </c>
      <c r="L676" s="6">
        <v>6.82</v>
      </c>
      <c r="M676" s="6">
        <v>2.7280000000000002</v>
      </c>
      <c r="N676" s="6">
        <v>6.82</v>
      </c>
      <c r="O676" s="6">
        <v>2.7280000000000002</v>
      </c>
      <c r="P676" s="6">
        <v>0</v>
      </c>
      <c r="Q676" s="4" t="s">
        <v>26</v>
      </c>
      <c r="R676" s="4">
        <v>0</v>
      </c>
      <c r="S676" s="4" t="s">
        <v>303</v>
      </c>
      <c r="T676" s="4" t="s">
        <v>500</v>
      </c>
      <c r="U676" s="4">
        <v>0</v>
      </c>
      <c r="V676" s="4">
        <v>30</v>
      </c>
      <c r="W676" s="4">
        <v>70</v>
      </c>
    </row>
    <row r="677" spans="1:23" ht="11.25" customHeight="1" x14ac:dyDescent="0.25">
      <c r="A677" s="4" t="s">
        <v>21</v>
      </c>
      <c r="B677" s="4" t="s">
        <v>42</v>
      </c>
      <c r="C677" s="4" t="s">
        <v>23</v>
      </c>
      <c r="D677" s="4" t="s">
        <v>43</v>
      </c>
      <c r="E677" s="4" t="s">
        <v>54</v>
      </c>
      <c r="F677" s="4" t="s">
        <v>52</v>
      </c>
      <c r="G677" s="4" t="s">
        <v>25</v>
      </c>
      <c r="H677" s="4" t="s">
        <v>25</v>
      </c>
      <c r="I677" s="5">
        <v>44378</v>
      </c>
      <c r="J677" s="6">
        <v>0</v>
      </c>
      <c r="K677" s="6">
        <v>0</v>
      </c>
      <c r="L677" s="6">
        <v>4.6390000000000002</v>
      </c>
      <c r="M677" s="6">
        <v>4.6390000000000002</v>
      </c>
      <c r="N677" s="6">
        <v>4.6390000000000002</v>
      </c>
      <c r="O677" s="6">
        <v>4.6390000000000002</v>
      </c>
      <c r="P677" s="6">
        <v>0</v>
      </c>
      <c r="Q677" s="4" t="s">
        <v>26</v>
      </c>
      <c r="R677" s="4">
        <v>0</v>
      </c>
      <c r="S677" s="4" t="s">
        <v>292</v>
      </c>
      <c r="T677" s="4" t="s">
        <v>489</v>
      </c>
      <c r="U677" s="4">
        <v>0</v>
      </c>
      <c r="V677" s="4">
        <v>30</v>
      </c>
      <c r="W677" s="4">
        <v>70</v>
      </c>
    </row>
    <row r="678" spans="1:23" ht="11.25" customHeight="1" x14ac:dyDescent="0.25">
      <c r="A678" s="4" t="s">
        <v>21</v>
      </c>
      <c r="B678" s="4" t="s">
        <v>42</v>
      </c>
      <c r="C678" s="4" t="s">
        <v>23</v>
      </c>
      <c r="D678" s="4" t="s">
        <v>43</v>
      </c>
      <c r="E678" s="4" t="s">
        <v>54</v>
      </c>
      <c r="F678" s="4" t="s">
        <v>52</v>
      </c>
      <c r="G678" s="4" t="s">
        <v>25</v>
      </c>
      <c r="H678" s="4" t="s">
        <v>25</v>
      </c>
      <c r="I678" s="5">
        <v>44409</v>
      </c>
      <c r="J678" s="6">
        <v>0</v>
      </c>
      <c r="K678" s="6">
        <v>0</v>
      </c>
      <c r="L678" s="6">
        <v>4.6219999999999999</v>
      </c>
      <c r="M678" s="6">
        <v>4.6219999999999999</v>
      </c>
      <c r="N678" s="6">
        <v>4.6219999999999999</v>
      </c>
      <c r="O678" s="6">
        <v>4.6219999999999999</v>
      </c>
      <c r="P678" s="6">
        <v>0</v>
      </c>
      <c r="Q678" s="4" t="s">
        <v>26</v>
      </c>
      <c r="R678" s="4">
        <v>0</v>
      </c>
      <c r="S678" s="4" t="s">
        <v>293</v>
      </c>
      <c r="T678" s="4" t="s">
        <v>490</v>
      </c>
      <c r="U678" s="4">
        <v>0</v>
      </c>
      <c r="V678" s="4">
        <v>30</v>
      </c>
      <c r="W678" s="4">
        <v>70</v>
      </c>
    </row>
    <row r="679" spans="1:23" ht="11.25" customHeight="1" x14ac:dyDescent="0.25">
      <c r="A679" s="4" t="s">
        <v>27</v>
      </c>
      <c r="B679" s="4" t="s">
        <v>42</v>
      </c>
      <c r="C679" s="4" t="s">
        <v>23</v>
      </c>
      <c r="D679" s="4" t="s">
        <v>43</v>
      </c>
      <c r="E679" s="4" t="s">
        <v>54</v>
      </c>
      <c r="F679" s="4" t="s">
        <v>52</v>
      </c>
      <c r="G679" s="4" t="s">
        <v>25</v>
      </c>
      <c r="H679" s="4" t="s">
        <v>25</v>
      </c>
      <c r="I679" s="5">
        <v>44409</v>
      </c>
      <c r="J679" s="6">
        <v>0</v>
      </c>
      <c r="K679" s="6">
        <v>0</v>
      </c>
      <c r="L679" s="6">
        <v>-1.766</v>
      </c>
      <c r="M679" s="6">
        <v>-1.766</v>
      </c>
      <c r="N679" s="6">
        <v>-1.766</v>
      </c>
      <c r="O679" s="6">
        <v>-1.766</v>
      </c>
      <c r="P679" s="6">
        <v>0</v>
      </c>
      <c r="Q679" s="4" t="s">
        <v>26</v>
      </c>
      <c r="R679" s="4">
        <v>0</v>
      </c>
      <c r="S679" s="4" t="s">
        <v>293</v>
      </c>
      <c r="T679" s="4" t="s">
        <v>490</v>
      </c>
      <c r="U679" s="4">
        <v>0</v>
      </c>
      <c r="V679" s="4">
        <v>30</v>
      </c>
      <c r="W679" s="4">
        <v>70</v>
      </c>
    </row>
    <row r="680" spans="1:23" ht="11.25" customHeight="1" x14ac:dyDescent="0.25">
      <c r="A680" s="4" t="s">
        <v>55</v>
      </c>
      <c r="B680" s="4" t="s">
        <v>42</v>
      </c>
      <c r="C680" s="4" t="s">
        <v>23</v>
      </c>
      <c r="D680" s="4" t="s">
        <v>43</v>
      </c>
      <c r="E680" s="4" t="s">
        <v>54</v>
      </c>
      <c r="F680" s="4" t="s">
        <v>52</v>
      </c>
      <c r="G680" s="4" t="s">
        <v>25</v>
      </c>
      <c r="H680" s="4" t="s">
        <v>25</v>
      </c>
      <c r="I680" s="5">
        <v>44409</v>
      </c>
      <c r="J680" s="6">
        <v>0</v>
      </c>
      <c r="K680" s="6">
        <v>0</v>
      </c>
      <c r="L680" s="6">
        <v>1.845</v>
      </c>
      <c r="M680" s="6">
        <v>1.845</v>
      </c>
      <c r="N680" s="6">
        <v>1.845</v>
      </c>
      <c r="O680" s="6">
        <v>1.845</v>
      </c>
      <c r="P680" s="6">
        <v>0</v>
      </c>
      <c r="Q680" s="4" t="s">
        <v>26</v>
      </c>
      <c r="R680" s="4">
        <v>0</v>
      </c>
      <c r="S680" s="4" t="s">
        <v>293</v>
      </c>
      <c r="T680" s="4" t="s">
        <v>490</v>
      </c>
      <c r="U680" s="4">
        <v>0</v>
      </c>
      <c r="V680" s="4">
        <v>30</v>
      </c>
      <c r="W680" s="4">
        <v>70</v>
      </c>
    </row>
    <row r="681" spans="1:23" ht="11.25" customHeight="1" x14ac:dyDescent="0.25">
      <c r="A681" s="4" t="s">
        <v>21</v>
      </c>
      <c r="B681" s="4" t="s">
        <v>42</v>
      </c>
      <c r="C681" s="4" t="s">
        <v>23</v>
      </c>
      <c r="D681" s="4" t="s">
        <v>43</v>
      </c>
      <c r="E681" s="4" t="s">
        <v>54</v>
      </c>
      <c r="F681" s="4" t="s">
        <v>52</v>
      </c>
      <c r="G681" s="4" t="s">
        <v>25</v>
      </c>
      <c r="H681" s="4" t="s">
        <v>25</v>
      </c>
      <c r="I681" s="5">
        <v>44440</v>
      </c>
      <c r="J681" s="6">
        <v>0</v>
      </c>
      <c r="K681" s="6">
        <v>0</v>
      </c>
      <c r="L681" s="6">
        <v>1.7450000000000001</v>
      </c>
      <c r="M681" s="6">
        <v>1.7450000000000001</v>
      </c>
      <c r="N681" s="6">
        <v>1.7450000000000001</v>
      </c>
      <c r="O681" s="6">
        <v>1.7450000000000001</v>
      </c>
      <c r="P681" s="6">
        <v>0</v>
      </c>
      <c r="Q681" s="4" t="s">
        <v>26</v>
      </c>
      <c r="R681" s="4">
        <v>0</v>
      </c>
      <c r="S681" s="4" t="s">
        <v>294</v>
      </c>
      <c r="T681" s="4" t="s">
        <v>491</v>
      </c>
      <c r="U681" s="4">
        <v>0</v>
      </c>
      <c r="V681" s="4">
        <v>30</v>
      </c>
      <c r="W681" s="4">
        <v>70</v>
      </c>
    </row>
    <row r="682" spans="1:23" ht="11.25" customHeight="1" x14ac:dyDescent="0.25">
      <c r="A682" s="4" t="s">
        <v>27</v>
      </c>
      <c r="B682" s="4" t="s">
        <v>42</v>
      </c>
      <c r="C682" s="4" t="s">
        <v>23</v>
      </c>
      <c r="D682" s="4" t="s">
        <v>43</v>
      </c>
      <c r="E682" s="4" t="s">
        <v>54</v>
      </c>
      <c r="F682" s="4" t="s">
        <v>52</v>
      </c>
      <c r="G682" s="4" t="s">
        <v>25</v>
      </c>
      <c r="H682" s="4" t="s">
        <v>25</v>
      </c>
      <c r="I682" s="5">
        <v>44440</v>
      </c>
      <c r="J682" s="6">
        <v>0</v>
      </c>
      <c r="K682" s="6">
        <v>0</v>
      </c>
      <c r="L682" s="6">
        <v>-1.5509999999999999</v>
      </c>
      <c r="M682" s="6">
        <v>-1.5509999999999999</v>
      </c>
      <c r="N682" s="6">
        <v>-1.5509999999999999</v>
      </c>
      <c r="O682" s="6">
        <v>-1.5509999999999999</v>
      </c>
      <c r="P682" s="6">
        <v>0</v>
      </c>
      <c r="Q682" s="4" t="s">
        <v>26</v>
      </c>
      <c r="R682" s="4">
        <v>0</v>
      </c>
      <c r="S682" s="4" t="s">
        <v>294</v>
      </c>
      <c r="T682" s="4" t="s">
        <v>491</v>
      </c>
      <c r="U682" s="4">
        <v>0</v>
      </c>
      <c r="V682" s="4">
        <v>30</v>
      </c>
      <c r="W682" s="4">
        <v>70</v>
      </c>
    </row>
    <row r="683" spans="1:23" ht="11.25" customHeight="1" x14ac:dyDescent="0.25">
      <c r="A683" s="4" t="s">
        <v>55</v>
      </c>
      <c r="B683" s="4" t="s">
        <v>42</v>
      </c>
      <c r="C683" s="4" t="s">
        <v>23</v>
      </c>
      <c r="D683" s="4" t="s">
        <v>43</v>
      </c>
      <c r="E683" s="4" t="s">
        <v>54</v>
      </c>
      <c r="F683" s="4" t="s">
        <v>52</v>
      </c>
      <c r="G683" s="4" t="s">
        <v>25</v>
      </c>
      <c r="H683" s="4" t="s">
        <v>25</v>
      </c>
      <c r="I683" s="5">
        <v>44440</v>
      </c>
      <c r="J683" s="6">
        <v>0</v>
      </c>
      <c r="K683" s="6">
        <v>0</v>
      </c>
      <c r="L683" s="6">
        <v>10.317</v>
      </c>
      <c r="M683" s="6">
        <v>10.317</v>
      </c>
      <c r="N683" s="6">
        <v>10.317</v>
      </c>
      <c r="O683" s="6">
        <v>10.317</v>
      </c>
      <c r="P683" s="6">
        <v>0</v>
      </c>
      <c r="Q683" s="4" t="s">
        <v>26</v>
      </c>
      <c r="R683" s="4">
        <v>0</v>
      </c>
      <c r="S683" s="4" t="s">
        <v>294</v>
      </c>
      <c r="T683" s="4" t="s">
        <v>491</v>
      </c>
      <c r="U683" s="4">
        <v>0</v>
      </c>
      <c r="V683" s="4">
        <v>30</v>
      </c>
      <c r="W683" s="4">
        <v>70</v>
      </c>
    </row>
    <row r="684" spans="1:23" ht="11.25" customHeight="1" x14ac:dyDescent="0.25">
      <c r="A684" s="4" t="s">
        <v>21</v>
      </c>
      <c r="B684" s="4" t="s">
        <v>42</v>
      </c>
      <c r="C684" s="4" t="s">
        <v>23</v>
      </c>
      <c r="D684" s="4" t="s">
        <v>43</v>
      </c>
      <c r="E684" s="4" t="s">
        <v>54</v>
      </c>
      <c r="F684" s="4" t="s">
        <v>52</v>
      </c>
      <c r="G684" s="4" t="s">
        <v>25</v>
      </c>
      <c r="H684" s="4" t="s">
        <v>25</v>
      </c>
      <c r="I684" s="5">
        <v>44470</v>
      </c>
      <c r="J684" s="6">
        <v>0</v>
      </c>
      <c r="K684" s="6">
        <v>0</v>
      </c>
      <c r="L684" s="6">
        <v>2.9319999999999999</v>
      </c>
      <c r="M684" s="6">
        <v>2.9319999999999999</v>
      </c>
      <c r="N684" s="6">
        <v>2.9319999999999999</v>
      </c>
      <c r="O684" s="6">
        <v>2.9319999999999999</v>
      </c>
      <c r="P684" s="6">
        <v>0</v>
      </c>
      <c r="Q684" s="4" t="s">
        <v>26</v>
      </c>
      <c r="R684" s="4">
        <v>0</v>
      </c>
      <c r="S684" s="4" t="s">
        <v>295</v>
      </c>
      <c r="T684" s="4" t="s">
        <v>492</v>
      </c>
      <c r="U684" s="4">
        <v>0</v>
      </c>
      <c r="V684" s="4">
        <v>30</v>
      </c>
      <c r="W684" s="4">
        <v>70</v>
      </c>
    </row>
    <row r="685" spans="1:23" ht="11.25" customHeight="1" x14ac:dyDescent="0.25">
      <c r="A685" s="4" t="s">
        <v>55</v>
      </c>
      <c r="B685" s="4" t="s">
        <v>42</v>
      </c>
      <c r="C685" s="4" t="s">
        <v>23</v>
      </c>
      <c r="D685" s="4" t="s">
        <v>43</v>
      </c>
      <c r="E685" s="4" t="s">
        <v>54</v>
      </c>
      <c r="F685" s="4" t="s">
        <v>52</v>
      </c>
      <c r="G685" s="4" t="s">
        <v>25</v>
      </c>
      <c r="H685" s="4" t="s">
        <v>25</v>
      </c>
      <c r="I685" s="5">
        <v>44470</v>
      </c>
      <c r="J685" s="6">
        <v>0</v>
      </c>
      <c r="K685" s="6">
        <v>0</v>
      </c>
      <c r="L685" s="6">
        <v>8.9480000000000004</v>
      </c>
      <c r="M685" s="6">
        <v>8.9480000000000004</v>
      </c>
      <c r="N685" s="6">
        <v>8.9480000000000004</v>
      </c>
      <c r="O685" s="6">
        <v>8.9480000000000004</v>
      </c>
      <c r="P685" s="6">
        <v>0</v>
      </c>
      <c r="Q685" s="4" t="s">
        <v>26</v>
      </c>
      <c r="R685" s="4">
        <v>0</v>
      </c>
      <c r="S685" s="4" t="s">
        <v>295</v>
      </c>
      <c r="T685" s="4" t="s">
        <v>492</v>
      </c>
      <c r="U685" s="4">
        <v>0</v>
      </c>
      <c r="V685" s="4">
        <v>30</v>
      </c>
      <c r="W685" s="4">
        <v>70</v>
      </c>
    </row>
    <row r="686" spans="1:23" ht="11.25" customHeight="1" x14ac:dyDescent="0.25">
      <c r="A686" s="4" t="s">
        <v>21</v>
      </c>
      <c r="B686" s="4" t="s">
        <v>42</v>
      </c>
      <c r="C686" s="4" t="s">
        <v>23</v>
      </c>
      <c r="D686" s="4" t="s">
        <v>43</v>
      </c>
      <c r="E686" s="4" t="s">
        <v>54</v>
      </c>
      <c r="F686" s="4" t="s">
        <v>52</v>
      </c>
      <c r="G686" s="4" t="s">
        <v>25</v>
      </c>
      <c r="H686" s="4" t="s">
        <v>25</v>
      </c>
      <c r="I686" s="5">
        <v>44501</v>
      </c>
      <c r="J686" s="6">
        <v>0</v>
      </c>
      <c r="K686" s="6">
        <v>0</v>
      </c>
      <c r="L686" s="6">
        <v>2.524</v>
      </c>
      <c r="M686" s="6">
        <v>2.524</v>
      </c>
      <c r="N686" s="6">
        <v>2.524</v>
      </c>
      <c r="O686" s="6">
        <v>2.524</v>
      </c>
      <c r="P686" s="6">
        <v>0</v>
      </c>
      <c r="Q686" s="4" t="s">
        <v>26</v>
      </c>
      <c r="R686" s="4">
        <v>0</v>
      </c>
      <c r="S686" s="4" t="s">
        <v>296</v>
      </c>
      <c r="T686" s="4" t="s">
        <v>493</v>
      </c>
      <c r="U686" s="4">
        <v>0</v>
      </c>
      <c r="V686" s="4">
        <v>30</v>
      </c>
      <c r="W686" s="4">
        <v>70</v>
      </c>
    </row>
    <row r="687" spans="1:23" ht="11.25" customHeight="1" x14ac:dyDescent="0.25">
      <c r="A687" s="4" t="s">
        <v>55</v>
      </c>
      <c r="B687" s="4" t="s">
        <v>42</v>
      </c>
      <c r="C687" s="4" t="s">
        <v>23</v>
      </c>
      <c r="D687" s="4" t="s">
        <v>43</v>
      </c>
      <c r="E687" s="4" t="s">
        <v>54</v>
      </c>
      <c r="F687" s="4" t="s">
        <v>52</v>
      </c>
      <c r="G687" s="4" t="s">
        <v>25</v>
      </c>
      <c r="H687" s="4" t="s">
        <v>25</v>
      </c>
      <c r="I687" s="5">
        <v>44501</v>
      </c>
      <c r="J687" s="6">
        <v>0</v>
      </c>
      <c r="K687" s="6">
        <v>0</v>
      </c>
      <c r="L687" s="6">
        <v>7.024</v>
      </c>
      <c r="M687" s="6">
        <v>7.024</v>
      </c>
      <c r="N687" s="6">
        <v>7.024</v>
      </c>
      <c r="O687" s="6">
        <v>7.024</v>
      </c>
      <c r="P687" s="6">
        <v>0</v>
      </c>
      <c r="Q687" s="4" t="s">
        <v>26</v>
      </c>
      <c r="R687" s="4">
        <v>0</v>
      </c>
      <c r="S687" s="4" t="s">
        <v>296</v>
      </c>
      <c r="T687" s="4" t="s">
        <v>493</v>
      </c>
      <c r="U687" s="4">
        <v>0</v>
      </c>
      <c r="V687" s="4">
        <v>30</v>
      </c>
      <c r="W687" s="4">
        <v>70</v>
      </c>
    </row>
    <row r="688" spans="1:23" ht="11.25" customHeight="1" x14ac:dyDescent="0.25">
      <c r="A688" s="4" t="s">
        <v>21</v>
      </c>
      <c r="B688" s="4" t="s">
        <v>42</v>
      </c>
      <c r="C688" s="4" t="s">
        <v>23</v>
      </c>
      <c r="D688" s="4" t="s">
        <v>43</v>
      </c>
      <c r="E688" s="4" t="s">
        <v>54</v>
      </c>
      <c r="F688" s="4" t="s">
        <v>52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5.0359999999999996</v>
      </c>
      <c r="M688" s="6">
        <v>5.0359999999999996</v>
      </c>
      <c r="N688" s="6">
        <v>5.0359999999999996</v>
      </c>
      <c r="O688" s="6">
        <v>5.0359999999999996</v>
      </c>
      <c r="P688" s="6">
        <v>0</v>
      </c>
      <c r="Q688" s="4" t="s">
        <v>26</v>
      </c>
      <c r="R688" s="4">
        <v>0</v>
      </c>
      <c r="S688" s="4" t="s">
        <v>297</v>
      </c>
      <c r="T688" s="4" t="s">
        <v>494</v>
      </c>
      <c r="U688" s="4">
        <v>0</v>
      </c>
      <c r="V688" s="4">
        <v>30</v>
      </c>
      <c r="W688" s="4">
        <v>70</v>
      </c>
    </row>
    <row r="689" spans="1:23" ht="11.25" customHeight="1" x14ac:dyDescent="0.25">
      <c r="A689" s="4" t="s">
        <v>55</v>
      </c>
      <c r="B689" s="4" t="s">
        <v>42</v>
      </c>
      <c r="C689" s="4" t="s">
        <v>23</v>
      </c>
      <c r="D689" s="4" t="s">
        <v>43</v>
      </c>
      <c r="E689" s="4" t="s">
        <v>54</v>
      </c>
      <c r="F689" s="4" t="s">
        <v>52</v>
      </c>
      <c r="G689" s="4" t="s">
        <v>25</v>
      </c>
      <c r="H689" s="4" t="s">
        <v>25</v>
      </c>
      <c r="I689" s="5">
        <v>44531</v>
      </c>
      <c r="J689" s="6">
        <v>0</v>
      </c>
      <c r="K689" s="6">
        <v>0</v>
      </c>
      <c r="L689" s="6">
        <v>8.0090000000000003</v>
      </c>
      <c r="M689" s="6">
        <v>8.0090000000000003</v>
      </c>
      <c r="N689" s="6">
        <v>8.0090000000000003</v>
      </c>
      <c r="O689" s="6">
        <v>8.0090000000000003</v>
      </c>
      <c r="P689" s="6">
        <v>0</v>
      </c>
      <c r="Q689" s="4" t="s">
        <v>26</v>
      </c>
      <c r="R689" s="4">
        <v>0</v>
      </c>
      <c r="S689" s="4" t="s">
        <v>297</v>
      </c>
      <c r="T689" s="4" t="s">
        <v>494</v>
      </c>
      <c r="U689" s="4">
        <v>0</v>
      </c>
      <c r="V689" s="4">
        <v>30</v>
      </c>
      <c r="W689" s="4">
        <v>70</v>
      </c>
    </row>
    <row r="690" spans="1:23" ht="11.25" customHeight="1" x14ac:dyDescent="0.25">
      <c r="A690" s="4" t="s">
        <v>21</v>
      </c>
      <c r="B690" s="4" t="s">
        <v>42</v>
      </c>
      <c r="C690" s="4" t="s">
        <v>23</v>
      </c>
      <c r="D690" s="4" t="s">
        <v>43</v>
      </c>
      <c r="E690" s="4" t="s">
        <v>54</v>
      </c>
      <c r="F690" s="4" t="s">
        <v>52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7.0739999999999998</v>
      </c>
      <c r="M690" s="6">
        <v>7.0739999999999998</v>
      </c>
      <c r="N690" s="6">
        <v>7.0739999999999998</v>
      </c>
      <c r="O690" s="6">
        <v>7.0739999999999998</v>
      </c>
      <c r="P690" s="6">
        <v>0</v>
      </c>
      <c r="Q690" s="4" t="s">
        <v>26</v>
      </c>
      <c r="R690" s="4">
        <v>0</v>
      </c>
      <c r="S690" s="4" t="s">
        <v>298</v>
      </c>
      <c r="T690" s="4" t="s">
        <v>495</v>
      </c>
      <c r="U690" s="4">
        <v>0</v>
      </c>
      <c r="V690" s="4">
        <v>30</v>
      </c>
      <c r="W690" s="4">
        <v>70</v>
      </c>
    </row>
    <row r="691" spans="1:23" ht="11.25" customHeight="1" x14ac:dyDescent="0.25">
      <c r="A691" s="4" t="s">
        <v>55</v>
      </c>
      <c r="B691" s="4" t="s">
        <v>42</v>
      </c>
      <c r="C691" s="4" t="s">
        <v>23</v>
      </c>
      <c r="D691" s="4" t="s">
        <v>43</v>
      </c>
      <c r="E691" s="4" t="s">
        <v>54</v>
      </c>
      <c r="F691" s="4" t="s">
        <v>52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7.4219999999999997</v>
      </c>
      <c r="M691" s="6">
        <v>7.4219999999999997</v>
      </c>
      <c r="N691" s="6">
        <v>7.4219999999999997</v>
      </c>
      <c r="O691" s="6">
        <v>7.4219999999999997</v>
      </c>
      <c r="P691" s="6">
        <v>0</v>
      </c>
      <c r="Q691" s="4" t="s">
        <v>26</v>
      </c>
      <c r="R691" s="4">
        <v>0</v>
      </c>
      <c r="S691" s="4" t="s">
        <v>298</v>
      </c>
      <c r="T691" s="4" t="s">
        <v>495</v>
      </c>
      <c r="U691" s="4">
        <v>0</v>
      </c>
      <c r="V691" s="4">
        <v>30</v>
      </c>
      <c r="W691" s="4">
        <v>70</v>
      </c>
    </row>
    <row r="692" spans="1:23" ht="11.25" customHeight="1" x14ac:dyDescent="0.25">
      <c r="A692" s="4" t="s">
        <v>21</v>
      </c>
      <c r="B692" s="4" t="s">
        <v>42</v>
      </c>
      <c r="C692" s="4" t="s">
        <v>23</v>
      </c>
      <c r="D692" s="4" t="s">
        <v>43</v>
      </c>
      <c r="E692" s="4" t="s">
        <v>54</v>
      </c>
      <c r="F692" s="4" t="s">
        <v>52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5.0780000000000003</v>
      </c>
      <c r="M692" s="6">
        <v>5.0780000000000003</v>
      </c>
      <c r="N692" s="6">
        <v>5.0780000000000003</v>
      </c>
      <c r="O692" s="6">
        <v>5.0780000000000003</v>
      </c>
      <c r="P692" s="6">
        <v>0</v>
      </c>
      <c r="Q692" s="4" t="s">
        <v>26</v>
      </c>
      <c r="R692" s="4">
        <v>0</v>
      </c>
      <c r="S692" s="4" t="s">
        <v>299</v>
      </c>
      <c r="T692" s="4" t="s">
        <v>496</v>
      </c>
      <c r="U692" s="4">
        <v>0</v>
      </c>
      <c r="V692" s="4">
        <v>30</v>
      </c>
      <c r="W692" s="4">
        <v>70</v>
      </c>
    </row>
    <row r="693" spans="1:23" ht="11.25" customHeight="1" x14ac:dyDescent="0.25">
      <c r="A693" s="4" t="s">
        <v>55</v>
      </c>
      <c r="B693" s="4" t="s">
        <v>42</v>
      </c>
      <c r="C693" s="4" t="s">
        <v>23</v>
      </c>
      <c r="D693" s="4" t="s">
        <v>43</v>
      </c>
      <c r="E693" s="4" t="s">
        <v>54</v>
      </c>
      <c r="F693" s="4" t="s">
        <v>52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9.9499999999999993</v>
      </c>
      <c r="M693" s="6">
        <v>9.9499999999999993</v>
      </c>
      <c r="N693" s="6">
        <v>9.9499999999999993</v>
      </c>
      <c r="O693" s="6">
        <v>9.9499999999999993</v>
      </c>
      <c r="P693" s="6">
        <v>0</v>
      </c>
      <c r="Q693" s="4" t="s">
        <v>26</v>
      </c>
      <c r="R693" s="4">
        <v>0</v>
      </c>
      <c r="S693" s="4" t="s">
        <v>299</v>
      </c>
      <c r="T693" s="4" t="s">
        <v>496</v>
      </c>
      <c r="U693" s="4">
        <v>0</v>
      </c>
      <c r="V693" s="4">
        <v>30</v>
      </c>
      <c r="W693" s="4">
        <v>70</v>
      </c>
    </row>
    <row r="694" spans="1:23" ht="11.25" customHeight="1" x14ac:dyDescent="0.25">
      <c r="A694" s="4" t="s">
        <v>21</v>
      </c>
      <c r="B694" s="4" t="s">
        <v>42</v>
      </c>
      <c r="C694" s="4" t="s">
        <v>23</v>
      </c>
      <c r="D694" s="4" t="s">
        <v>43</v>
      </c>
      <c r="E694" s="4" t="s">
        <v>54</v>
      </c>
      <c r="F694" s="4" t="s">
        <v>52</v>
      </c>
      <c r="G694" s="4" t="s">
        <v>25</v>
      </c>
      <c r="H694" s="4" t="s">
        <v>25</v>
      </c>
      <c r="I694" s="5">
        <v>44621</v>
      </c>
      <c r="J694" s="6">
        <v>0</v>
      </c>
      <c r="K694" s="6">
        <v>0</v>
      </c>
      <c r="L694" s="6">
        <v>4.3520000000000003</v>
      </c>
      <c r="M694" s="6">
        <v>4.3520000000000003</v>
      </c>
      <c r="N694" s="6">
        <v>4.3520000000000003</v>
      </c>
      <c r="O694" s="6">
        <v>4.3520000000000003</v>
      </c>
      <c r="P694" s="6">
        <v>0</v>
      </c>
      <c r="Q694" s="4" t="s">
        <v>26</v>
      </c>
      <c r="R694" s="4">
        <v>0</v>
      </c>
      <c r="S694" s="4" t="s">
        <v>300</v>
      </c>
      <c r="T694" s="4" t="s">
        <v>497</v>
      </c>
      <c r="U694" s="4">
        <v>0</v>
      </c>
      <c r="V694" s="4">
        <v>30</v>
      </c>
      <c r="W694" s="4">
        <v>70</v>
      </c>
    </row>
    <row r="695" spans="1:23" ht="11.25" customHeight="1" x14ac:dyDescent="0.25">
      <c r="A695" s="4" t="s">
        <v>27</v>
      </c>
      <c r="B695" s="4" t="s">
        <v>42</v>
      </c>
      <c r="C695" s="4" t="s">
        <v>23</v>
      </c>
      <c r="D695" s="4" t="s">
        <v>43</v>
      </c>
      <c r="E695" s="4" t="s">
        <v>54</v>
      </c>
      <c r="F695" s="4" t="s">
        <v>52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-0.97199999999999998</v>
      </c>
      <c r="M695" s="6">
        <v>-0.97199999999999998</v>
      </c>
      <c r="N695" s="6">
        <v>-0.97199999999999998</v>
      </c>
      <c r="O695" s="6">
        <v>-0.97199999999999998</v>
      </c>
      <c r="P695" s="6">
        <v>0</v>
      </c>
      <c r="Q695" s="4" t="s">
        <v>26</v>
      </c>
      <c r="R695" s="4">
        <v>0</v>
      </c>
      <c r="S695" s="4" t="s">
        <v>300</v>
      </c>
      <c r="T695" s="4" t="s">
        <v>497</v>
      </c>
      <c r="U695" s="4">
        <v>0</v>
      </c>
      <c r="V695" s="4">
        <v>30</v>
      </c>
      <c r="W695" s="4">
        <v>70</v>
      </c>
    </row>
    <row r="696" spans="1:23" ht="11.25" customHeight="1" x14ac:dyDescent="0.25">
      <c r="A696" s="4" t="s">
        <v>55</v>
      </c>
      <c r="B696" s="4" t="s">
        <v>42</v>
      </c>
      <c r="C696" s="4" t="s">
        <v>23</v>
      </c>
      <c r="D696" s="4" t="s">
        <v>43</v>
      </c>
      <c r="E696" s="4" t="s">
        <v>54</v>
      </c>
      <c r="F696" s="4" t="s">
        <v>52</v>
      </c>
      <c r="G696" s="4" t="s">
        <v>25</v>
      </c>
      <c r="H696" s="4" t="s">
        <v>25</v>
      </c>
      <c r="I696" s="5">
        <v>44621</v>
      </c>
      <c r="J696" s="6">
        <v>0</v>
      </c>
      <c r="K696" s="6">
        <v>0</v>
      </c>
      <c r="L696" s="6">
        <v>10.961</v>
      </c>
      <c r="M696" s="6">
        <v>10.961</v>
      </c>
      <c r="N696" s="6">
        <v>10.961</v>
      </c>
      <c r="O696" s="6">
        <v>10.961</v>
      </c>
      <c r="P696" s="6">
        <v>0</v>
      </c>
      <c r="Q696" s="4" t="s">
        <v>26</v>
      </c>
      <c r="R696" s="4">
        <v>0</v>
      </c>
      <c r="S696" s="4" t="s">
        <v>300</v>
      </c>
      <c r="T696" s="4" t="s">
        <v>497</v>
      </c>
      <c r="U696" s="4">
        <v>0</v>
      </c>
      <c r="V696" s="4">
        <v>30</v>
      </c>
      <c r="W696" s="4">
        <v>70</v>
      </c>
    </row>
    <row r="697" spans="1:23" ht="11.25" customHeight="1" x14ac:dyDescent="0.25">
      <c r="A697" s="4" t="s">
        <v>21</v>
      </c>
      <c r="B697" s="4" t="s">
        <v>42</v>
      </c>
      <c r="C697" s="4" t="s">
        <v>23</v>
      </c>
      <c r="D697" s="4" t="s">
        <v>43</v>
      </c>
      <c r="E697" s="4" t="s">
        <v>54</v>
      </c>
      <c r="F697" s="4" t="s">
        <v>52</v>
      </c>
      <c r="G697" s="4" t="s">
        <v>25</v>
      </c>
      <c r="H697" s="4" t="s">
        <v>25</v>
      </c>
      <c r="I697" s="5">
        <v>44652</v>
      </c>
      <c r="J697" s="6">
        <v>0</v>
      </c>
      <c r="K697" s="6">
        <v>0</v>
      </c>
      <c r="L697" s="6">
        <v>5.8879999999999999</v>
      </c>
      <c r="M697" s="6">
        <v>5.8879999999999999</v>
      </c>
      <c r="N697" s="6">
        <v>5.8879999999999999</v>
      </c>
      <c r="O697" s="6">
        <v>5.8879999999999999</v>
      </c>
      <c r="P697" s="6">
        <v>0</v>
      </c>
      <c r="Q697" s="4" t="s">
        <v>26</v>
      </c>
      <c r="R697" s="4">
        <v>0</v>
      </c>
      <c r="S697" s="4" t="s">
        <v>301</v>
      </c>
      <c r="T697" s="4" t="s">
        <v>498</v>
      </c>
      <c r="U697" s="4">
        <v>0</v>
      </c>
      <c r="V697" s="4">
        <v>30</v>
      </c>
      <c r="W697" s="4">
        <v>70</v>
      </c>
    </row>
    <row r="698" spans="1:23" ht="11.25" customHeight="1" x14ac:dyDescent="0.25">
      <c r="A698" s="4" t="s">
        <v>55</v>
      </c>
      <c r="B698" s="4" t="s">
        <v>42</v>
      </c>
      <c r="C698" s="4" t="s">
        <v>23</v>
      </c>
      <c r="D698" s="4" t="s">
        <v>43</v>
      </c>
      <c r="E698" s="4" t="s">
        <v>54</v>
      </c>
      <c r="F698" s="4" t="s">
        <v>52</v>
      </c>
      <c r="G698" s="4" t="s">
        <v>25</v>
      </c>
      <c r="H698" s="4" t="s">
        <v>25</v>
      </c>
      <c r="I698" s="5">
        <v>44652</v>
      </c>
      <c r="J698" s="6">
        <v>0</v>
      </c>
      <c r="K698" s="6">
        <v>0</v>
      </c>
      <c r="L698" s="6">
        <v>10.076000000000001</v>
      </c>
      <c r="M698" s="6">
        <v>10.076000000000001</v>
      </c>
      <c r="N698" s="6">
        <v>10.076000000000001</v>
      </c>
      <c r="O698" s="6">
        <v>10.076000000000001</v>
      </c>
      <c r="P698" s="6">
        <v>0</v>
      </c>
      <c r="Q698" s="4" t="s">
        <v>26</v>
      </c>
      <c r="R698" s="4">
        <v>0</v>
      </c>
      <c r="S698" s="4" t="s">
        <v>301</v>
      </c>
      <c r="T698" s="4" t="s">
        <v>498</v>
      </c>
      <c r="U698" s="4">
        <v>0</v>
      </c>
      <c r="V698" s="4">
        <v>30</v>
      </c>
      <c r="W698" s="4">
        <v>70</v>
      </c>
    </row>
    <row r="699" spans="1:23" ht="11.25" customHeight="1" x14ac:dyDescent="0.25">
      <c r="A699" s="4" t="s">
        <v>21</v>
      </c>
      <c r="B699" s="4" t="s">
        <v>42</v>
      </c>
      <c r="C699" s="4" t="s">
        <v>23</v>
      </c>
      <c r="D699" s="4" t="s">
        <v>43</v>
      </c>
      <c r="E699" s="4" t="s">
        <v>54</v>
      </c>
      <c r="F699" s="4" t="s">
        <v>52</v>
      </c>
      <c r="G699" s="4" t="s">
        <v>25</v>
      </c>
      <c r="H699" s="4" t="s">
        <v>25</v>
      </c>
      <c r="I699" s="5">
        <v>44682</v>
      </c>
      <c r="J699" s="6">
        <v>0</v>
      </c>
      <c r="K699" s="6">
        <v>0</v>
      </c>
      <c r="L699" s="6">
        <v>6.9560000000000004</v>
      </c>
      <c r="M699" s="6">
        <v>6.9560000000000004</v>
      </c>
      <c r="N699" s="6">
        <v>6.9560000000000004</v>
      </c>
      <c r="O699" s="6">
        <v>6.9560000000000004</v>
      </c>
      <c r="P699" s="6">
        <v>0</v>
      </c>
      <c r="Q699" s="4" t="s">
        <v>26</v>
      </c>
      <c r="R699" s="4">
        <v>0</v>
      </c>
      <c r="S699" s="4" t="s">
        <v>302</v>
      </c>
      <c r="T699" s="4" t="s">
        <v>499</v>
      </c>
      <c r="U699" s="4">
        <v>0</v>
      </c>
      <c r="V699" s="4">
        <v>30</v>
      </c>
      <c r="W699" s="4">
        <v>70</v>
      </c>
    </row>
    <row r="700" spans="1:23" ht="11.25" customHeight="1" x14ac:dyDescent="0.25">
      <c r="A700" s="4" t="s">
        <v>55</v>
      </c>
      <c r="B700" s="4" t="s">
        <v>42</v>
      </c>
      <c r="C700" s="4" t="s">
        <v>23</v>
      </c>
      <c r="D700" s="4" t="s">
        <v>43</v>
      </c>
      <c r="E700" s="4" t="s">
        <v>54</v>
      </c>
      <c r="F700" s="4" t="s">
        <v>52</v>
      </c>
      <c r="G700" s="4" t="s">
        <v>25</v>
      </c>
      <c r="H700" s="4" t="s">
        <v>25</v>
      </c>
      <c r="I700" s="5">
        <v>44682</v>
      </c>
      <c r="J700" s="6">
        <v>0</v>
      </c>
      <c r="K700" s="6">
        <v>0</v>
      </c>
      <c r="L700" s="6">
        <v>9.52</v>
      </c>
      <c r="M700" s="6">
        <v>9.52</v>
      </c>
      <c r="N700" s="6">
        <v>9.52</v>
      </c>
      <c r="O700" s="6">
        <v>9.52</v>
      </c>
      <c r="P700" s="6">
        <v>0</v>
      </c>
      <c r="Q700" s="4" t="s">
        <v>26</v>
      </c>
      <c r="R700" s="4">
        <v>0</v>
      </c>
      <c r="S700" s="4" t="s">
        <v>302</v>
      </c>
      <c r="T700" s="4" t="s">
        <v>499</v>
      </c>
      <c r="U700" s="4">
        <v>0</v>
      </c>
      <c r="V700" s="4">
        <v>30</v>
      </c>
      <c r="W700" s="4">
        <v>70</v>
      </c>
    </row>
    <row r="701" spans="1:23" ht="11.25" customHeight="1" x14ac:dyDescent="0.25">
      <c r="A701" s="4" t="s">
        <v>56</v>
      </c>
      <c r="B701" s="4" t="s">
        <v>42</v>
      </c>
      <c r="C701" s="4" t="s">
        <v>23</v>
      </c>
      <c r="D701" s="4" t="s">
        <v>43</v>
      </c>
      <c r="E701" s="4" t="s">
        <v>54</v>
      </c>
      <c r="F701" s="4" t="s">
        <v>52</v>
      </c>
      <c r="G701" s="4" t="s">
        <v>25</v>
      </c>
      <c r="H701" s="4" t="s">
        <v>25</v>
      </c>
      <c r="I701" s="5">
        <v>44713</v>
      </c>
      <c r="J701" s="6">
        <v>0</v>
      </c>
      <c r="K701" s="6">
        <v>0</v>
      </c>
      <c r="L701" s="6">
        <v>6.9560000000000004</v>
      </c>
      <c r="M701" s="6">
        <v>6.9560000000000004</v>
      </c>
      <c r="N701" s="6">
        <v>6.9560000000000004</v>
      </c>
      <c r="O701" s="6">
        <v>6.9560000000000004</v>
      </c>
      <c r="P701" s="6">
        <v>0</v>
      </c>
      <c r="Q701" s="4" t="s">
        <v>26</v>
      </c>
      <c r="R701" s="4">
        <v>0</v>
      </c>
      <c r="S701" s="4" t="s">
        <v>303</v>
      </c>
      <c r="T701" s="4" t="s">
        <v>500</v>
      </c>
      <c r="U701" s="4">
        <v>0</v>
      </c>
      <c r="V701" s="4">
        <v>30</v>
      </c>
      <c r="W701" s="4">
        <v>70</v>
      </c>
    </row>
    <row r="702" spans="1:23" ht="11.25" customHeight="1" x14ac:dyDescent="0.25">
      <c r="A702" s="4" t="s">
        <v>56</v>
      </c>
      <c r="B702" s="4" t="s">
        <v>42</v>
      </c>
      <c r="C702" s="4" t="s">
        <v>23</v>
      </c>
      <c r="D702" s="4" t="s">
        <v>43</v>
      </c>
      <c r="E702" s="4" t="s">
        <v>54</v>
      </c>
      <c r="F702" s="4" t="s">
        <v>52</v>
      </c>
      <c r="G702" s="4" t="s">
        <v>25</v>
      </c>
      <c r="H702" s="4" t="s">
        <v>25</v>
      </c>
      <c r="I702" s="5">
        <v>44713</v>
      </c>
      <c r="J702" s="6">
        <v>0</v>
      </c>
      <c r="K702" s="6">
        <v>0</v>
      </c>
      <c r="L702" s="6">
        <v>9.52</v>
      </c>
      <c r="M702" s="6">
        <v>9.52</v>
      </c>
      <c r="N702" s="6">
        <v>9.52</v>
      </c>
      <c r="O702" s="6">
        <v>9.52</v>
      </c>
      <c r="P702" s="6">
        <v>0</v>
      </c>
      <c r="Q702" s="4" t="s">
        <v>26</v>
      </c>
      <c r="R702" s="4">
        <v>0</v>
      </c>
      <c r="S702" s="4" t="s">
        <v>303</v>
      </c>
      <c r="T702" s="4" t="s">
        <v>500</v>
      </c>
      <c r="U702" s="4">
        <v>0</v>
      </c>
      <c r="V702" s="4">
        <v>30</v>
      </c>
      <c r="W702" s="4">
        <v>70</v>
      </c>
    </row>
    <row r="703" spans="1:23" ht="11.25" customHeight="1" x14ac:dyDescent="0.25">
      <c r="A703" s="4" t="s">
        <v>21</v>
      </c>
      <c r="B703" s="4" t="s">
        <v>42</v>
      </c>
      <c r="C703" s="4" t="s">
        <v>23</v>
      </c>
      <c r="D703" s="4" t="s">
        <v>43</v>
      </c>
      <c r="E703" s="4" t="s">
        <v>54</v>
      </c>
      <c r="F703" s="4" t="s">
        <v>53</v>
      </c>
      <c r="G703" s="4" t="s">
        <v>25</v>
      </c>
      <c r="H703" s="4" t="s">
        <v>25</v>
      </c>
      <c r="I703" s="5">
        <v>44378</v>
      </c>
      <c r="J703" s="6">
        <v>0</v>
      </c>
      <c r="K703" s="6">
        <v>0</v>
      </c>
      <c r="L703" s="6">
        <v>1.758</v>
      </c>
      <c r="M703" s="6">
        <v>0.70320000000000005</v>
      </c>
      <c r="N703" s="6">
        <v>1.758</v>
      </c>
      <c r="O703" s="6">
        <v>0.70320000000000005</v>
      </c>
      <c r="P703" s="6">
        <v>0</v>
      </c>
      <c r="Q703" s="4" t="s">
        <v>26</v>
      </c>
      <c r="R703" s="4">
        <v>0</v>
      </c>
      <c r="S703" s="4" t="s">
        <v>292</v>
      </c>
      <c r="T703" s="4" t="s">
        <v>489</v>
      </c>
      <c r="U703" s="4">
        <v>0</v>
      </c>
      <c r="V703" s="4">
        <v>30</v>
      </c>
      <c r="W703" s="4">
        <v>70</v>
      </c>
    </row>
    <row r="704" spans="1:23" ht="11.25" customHeight="1" x14ac:dyDescent="0.25">
      <c r="A704" s="4" t="s">
        <v>21</v>
      </c>
      <c r="B704" s="4" t="s">
        <v>42</v>
      </c>
      <c r="C704" s="4" t="s">
        <v>23</v>
      </c>
      <c r="D704" s="4" t="s">
        <v>43</v>
      </c>
      <c r="E704" s="4" t="s">
        <v>54</v>
      </c>
      <c r="F704" s="4" t="s">
        <v>53</v>
      </c>
      <c r="G704" s="4" t="s">
        <v>25</v>
      </c>
      <c r="H704" s="4" t="s">
        <v>25</v>
      </c>
      <c r="I704" s="5">
        <v>44409</v>
      </c>
      <c r="J704" s="6">
        <v>0</v>
      </c>
      <c r="K704" s="6">
        <v>0</v>
      </c>
      <c r="L704" s="6">
        <v>0.69899999999999995</v>
      </c>
      <c r="M704" s="6">
        <v>0.27960000000000002</v>
      </c>
      <c r="N704" s="6">
        <v>0.69899999999999995</v>
      </c>
      <c r="O704" s="6">
        <v>0.27960000000000002</v>
      </c>
      <c r="P704" s="6">
        <v>0</v>
      </c>
      <c r="Q704" s="4" t="s">
        <v>26</v>
      </c>
      <c r="R704" s="4">
        <v>0</v>
      </c>
      <c r="S704" s="4" t="s">
        <v>293</v>
      </c>
      <c r="T704" s="4" t="s">
        <v>490</v>
      </c>
      <c r="U704" s="4">
        <v>0</v>
      </c>
      <c r="V704" s="4">
        <v>30</v>
      </c>
      <c r="W704" s="4">
        <v>70</v>
      </c>
    </row>
    <row r="705" spans="1:23" ht="11.25" customHeight="1" x14ac:dyDescent="0.25">
      <c r="A705" s="4" t="s">
        <v>27</v>
      </c>
      <c r="B705" s="4" t="s">
        <v>42</v>
      </c>
      <c r="C705" s="4" t="s">
        <v>23</v>
      </c>
      <c r="D705" s="4" t="s">
        <v>43</v>
      </c>
      <c r="E705" s="4" t="s">
        <v>54</v>
      </c>
      <c r="F705" s="4" t="s">
        <v>53</v>
      </c>
      <c r="G705" s="4" t="s">
        <v>25</v>
      </c>
      <c r="H705" s="4" t="s">
        <v>25</v>
      </c>
      <c r="I705" s="5">
        <v>44409</v>
      </c>
      <c r="J705" s="6">
        <v>0</v>
      </c>
      <c r="K705" s="6">
        <v>0</v>
      </c>
      <c r="L705" s="6">
        <v>4.1000000000000002E-2</v>
      </c>
      <c r="M705" s="6">
        <v>1.6400000000000001E-2</v>
      </c>
      <c r="N705" s="6">
        <v>4.1000000000000002E-2</v>
      </c>
      <c r="O705" s="6">
        <v>1.6400000000000001E-2</v>
      </c>
      <c r="P705" s="6">
        <v>0</v>
      </c>
      <c r="Q705" s="4" t="s">
        <v>26</v>
      </c>
      <c r="R705" s="4">
        <v>0</v>
      </c>
      <c r="S705" s="4" t="s">
        <v>293</v>
      </c>
      <c r="T705" s="4" t="s">
        <v>490</v>
      </c>
      <c r="U705" s="4">
        <v>0</v>
      </c>
      <c r="V705" s="4">
        <v>30</v>
      </c>
      <c r="W705" s="4">
        <v>70</v>
      </c>
    </row>
    <row r="706" spans="1:23" ht="11.25" customHeight="1" x14ac:dyDescent="0.25">
      <c r="A706" s="4" t="s">
        <v>55</v>
      </c>
      <c r="B706" s="4" t="s">
        <v>42</v>
      </c>
      <c r="C706" s="4" t="s">
        <v>23</v>
      </c>
      <c r="D706" s="4" t="s">
        <v>43</v>
      </c>
      <c r="E706" s="4" t="s">
        <v>54</v>
      </c>
      <c r="F706" s="4" t="s">
        <v>53</v>
      </c>
      <c r="G706" s="4" t="s">
        <v>25</v>
      </c>
      <c r="H706" s="4" t="s">
        <v>25</v>
      </c>
      <c r="I706" s="5">
        <v>44409</v>
      </c>
      <c r="J706" s="6">
        <v>0</v>
      </c>
      <c r="K706" s="6">
        <v>0</v>
      </c>
      <c r="L706" s="6">
        <v>6.25</v>
      </c>
      <c r="M706" s="6">
        <v>6.25</v>
      </c>
      <c r="N706" s="6">
        <v>6.25</v>
      </c>
      <c r="O706" s="6">
        <v>6.25</v>
      </c>
      <c r="P706" s="6">
        <v>0</v>
      </c>
      <c r="Q706" s="4" t="s">
        <v>26</v>
      </c>
      <c r="R706" s="4">
        <v>0</v>
      </c>
      <c r="S706" s="4" t="s">
        <v>293</v>
      </c>
      <c r="T706" s="4" t="s">
        <v>490</v>
      </c>
      <c r="U706" s="4">
        <v>0</v>
      </c>
      <c r="V706" s="4">
        <v>30</v>
      </c>
      <c r="W706" s="4">
        <v>70</v>
      </c>
    </row>
    <row r="707" spans="1:23" ht="11.25" customHeight="1" x14ac:dyDescent="0.25">
      <c r="A707" s="4" t="s">
        <v>21</v>
      </c>
      <c r="B707" s="4" t="s">
        <v>42</v>
      </c>
      <c r="C707" s="4" t="s">
        <v>23</v>
      </c>
      <c r="D707" s="4" t="s">
        <v>43</v>
      </c>
      <c r="E707" s="4" t="s">
        <v>54</v>
      </c>
      <c r="F707" s="4" t="s">
        <v>53</v>
      </c>
      <c r="G707" s="4" t="s">
        <v>25</v>
      </c>
      <c r="H707" s="4" t="s">
        <v>25</v>
      </c>
      <c r="I707" s="5">
        <v>44440</v>
      </c>
      <c r="J707" s="6">
        <v>0</v>
      </c>
      <c r="K707" s="6">
        <v>0</v>
      </c>
      <c r="L707" s="6">
        <v>2.3479999999999999</v>
      </c>
      <c r="M707" s="6">
        <v>0.93920000000000003</v>
      </c>
      <c r="N707" s="6">
        <v>2.3479999999999999</v>
      </c>
      <c r="O707" s="6">
        <v>0.93920000000000003</v>
      </c>
      <c r="P707" s="6">
        <v>0</v>
      </c>
      <c r="Q707" s="4" t="s">
        <v>26</v>
      </c>
      <c r="R707" s="4">
        <v>0</v>
      </c>
      <c r="S707" s="4" t="s">
        <v>294</v>
      </c>
      <c r="T707" s="4" t="s">
        <v>491</v>
      </c>
      <c r="U707" s="4">
        <v>0</v>
      </c>
      <c r="V707" s="4">
        <v>30</v>
      </c>
      <c r="W707" s="4">
        <v>70</v>
      </c>
    </row>
    <row r="708" spans="1:23" ht="11.25" customHeight="1" x14ac:dyDescent="0.25">
      <c r="A708" s="4" t="s">
        <v>27</v>
      </c>
      <c r="B708" s="4" t="s">
        <v>42</v>
      </c>
      <c r="C708" s="4" t="s">
        <v>23</v>
      </c>
      <c r="D708" s="4" t="s">
        <v>43</v>
      </c>
      <c r="E708" s="4" t="s">
        <v>54</v>
      </c>
      <c r="F708" s="4" t="s">
        <v>53</v>
      </c>
      <c r="G708" s="4" t="s">
        <v>25</v>
      </c>
      <c r="H708" s="4" t="s">
        <v>25</v>
      </c>
      <c r="I708" s="5">
        <v>44440</v>
      </c>
      <c r="J708" s="6">
        <v>0</v>
      </c>
      <c r="K708" s="6">
        <v>0</v>
      </c>
      <c r="L708" s="6">
        <v>4.7E-2</v>
      </c>
      <c r="M708" s="6">
        <v>1.8800000000000001E-2</v>
      </c>
      <c r="N708" s="6">
        <v>4.7E-2</v>
      </c>
      <c r="O708" s="6">
        <v>1.8800000000000001E-2</v>
      </c>
      <c r="P708" s="6">
        <v>0</v>
      </c>
      <c r="Q708" s="4" t="s">
        <v>26</v>
      </c>
      <c r="R708" s="4">
        <v>0</v>
      </c>
      <c r="S708" s="4" t="s">
        <v>294</v>
      </c>
      <c r="T708" s="4" t="s">
        <v>491</v>
      </c>
      <c r="U708" s="4">
        <v>0</v>
      </c>
      <c r="V708" s="4">
        <v>30</v>
      </c>
      <c r="W708" s="4">
        <v>70</v>
      </c>
    </row>
    <row r="709" spans="1:23" ht="11.25" customHeight="1" x14ac:dyDescent="0.25">
      <c r="A709" s="4" t="s">
        <v>55</v>
      </c>
      <c r="B709" s="4" t="s">
        <v>42</v>
      </c>
      <c r="C709" s="4" t="s">
        <v>23</v>
      </c>
      <c r="D709" s="4" t="s">
        <v>43</v>
      </c>
      <c r="E709" s="4" t="s">
        <v>54</v>
      </c>
      <c r="F709" s="4" t="s">
        <v>53</v>
      </c>
      <c r="G709" s="4" t="s">
        <v>25</v>
      </c>
      <c r="H709" s="4" t="s">
        <v>25</v>
      </c>
      <c r="I709" s="5">
        <v>44440</v>
      </c>
      <c r="J709" s="6">
        <v>0</v>
      </c>
      <c r="K709" s="6">
        <v>0</v>
      </c>
      <c r="L709" s="6">
        <v>10.151</v>
      </c>
      <c r="M709" s="6">
        <v>10.151</v>
      </c>
      <c r="N709" s="6">
        <v>10.151</v>
      </c>
      <c r="O709" s="6">
        <v>10.151</v>
      </c>
      <c r="P709" s="6">
        <v>0</v>
      </c>
      <c r="Q709" s="4" t="s">
        <v>26</v>
      </c>
      <c r="R709" s="4">
        <v>0</v>
      </c>
      <c r="S709" s="4" t="s">
        <v>294</v>
      </c>
      <c r="T709" s="4" t="s">
        <v>491</v>
      </c>
      <c r="U709" s="4">
        <v>0</v>
      </c>
      <c r="V709" s="4">
        <v>30</v>
      </c>
      <c r="W709" s="4">
        <v>70</v>
      </c>
    </row>
    <row r="710" spans="1:23" ht="11.25" customHeight="1" x14ac:dyDescent="0.25">
      <c r="A710" s="4" t="s">
        <v>21</v>
      </c>
      <c r="B710" s="4" t="s">
        <v>42</v>
      </c>
      <c r="C710" s="4" t="s">
        <v>23</v>
      </c>
      <c r="D710" s="4" t="s">
        <v>43</v>
      </c>
      <c r="E710" s="4" t="s">
        <v>54</v>
      </c>
      <c r="F710" s="4" t="s">
        <v>53</v>
      </c>
      <c r="G710" s="4" t="s">
        <v>25</v>
      </c>
      <c r="H710" s="4" t="s">
        <v>25</v>
      </c>
      <c r="I710" s="5">
        <v>44470</v>
      </c>
      <c r="J710" s="6">
        <v>0</v>
      </c>
      <c r="K710" s="6">
        <v>0</v>
      </c>
      <c r="L710" s="6">
        <v>2.39</v>
      </c>
      <c r="M710" s="6">
        <v>0.95599999999999996</v>
      </c>
      <c r="N710" s="6">
        <v>2.39</v>
      </c>
      <c r="O710" s="6">
        <v>0.95599999999999996</v>
      </c>
      <c r="P710" s="6">
        <v>0</v>
      </c>
      <c r="Q710" s="4" t="s">
        <v>26</v>
      </c>
      <c r="R710" s="4">
        <v>0</v>
      </c>
      <c r="S710" s="4" t="s">
        <v>295</v>
      </c>
      <c r="T710" s="4" t="s">
        <v>492</v>
      </c>
      <c r="U710" s="4">
        <v>0</v>
      </c>
      <c r="V710" s="4">
        <v>30</v>
      </c>
      <c r="W710" s="4">
        <v>70</v>
      </c>
    </row>
    <row r="711" spans="1:23" ht="11.25" customHeight="1" x14ac:dyDescent="0.25">
      <c r="A711" s="4" t="s">
        <v>55</v>
      </c>
      <c r="B711" s="4" t="s">
        <v>42</v>
      </c>
      <c r="C711" s="4" t="s">
        <v>23</v>
      </c>
      <c r="D711" s="4" t="s">
        <v>43</v>
      </c>
      <c r="E711" s="4" t="s">
        <v>54</v>
      </c>
      <c r="F711" s="4" t="s">
        <v>53</v>
      </c>
      <c r="G711" s="4" t="s">
        <v>25</v>
      </c>
      <c r="H711" s="4" t="s">
        <v>25</v>
      </c>
      <c r="I711" s="5">
        <v>44470</v>
      </c>
      <c r="J711" s="6">
        <v>0</v>
      </c>
      <c r="K711" s="6">
        <v>0</v>
      </c>
      <c r="L711" s="6">
        <v>9.3699999999999992</v>
      </c>
      <c r="M711" s="6">
        <v>9.3699999999999992</v>
      </c>
      <c r="N711" s="6">
        <v>9.3699999999999992</v>
      </c>
      <c r="O711" s="6">
        <v>9.3699999999999992</v>
      </c>
      <c r="P711" s="6">
        <v>0</v>
      </c>
      <c r="Q711" s="4" t="s">
        <v>26</v>
      </c>
      <c r="R711" s="4">
        <v>0</v>
      </c>
      <c r="S711" s="4" t="s">
        <v>295</v>
      </c>
      <c r="T711" s="4" t="s">
        <v>492</v>
      </c>
      <c r="U711" s="4">
        <v>0</v>
      </c>
      <c r="V711" s="4">
        <v>30</v>
      </c>
      <c r="W711" s="4">
        <v>70</v>
      </c>
    </row>
    <row r="712" spans="1:23" ht="11.25" customHeight="1" x14ac:dyDescent="0.25">
      <c r="A712" s="4" t="s">
        <v>21</v>
      </c>
      <c r="B712" s="4" t="s">
        <v>42</v>
      </c>
      <c r="C712" s="4" t="s">
        <v>23</v>
      </c>
      <c r="D712" s="4" t="s">
        <v>43</v>
      </c>
      <c r="E712" s="4" t="s">
        <v>54</v>
      </c>
      <c r="F712" s="4" t="s">
        <v>53</v>
      </c>
      <c r="G712" s="4" t="s">
        <v>25</v>
      </c>
      <c r="H712" s="4" t="s">
        <v>25</v>
      </c>
      <c r="I712" s="5">
        <v>44501</v>
      </c>
      <c r="J712" s="6">
        <v>0</v>
      </c>
      <c r="K712" s="6">
        <v>0</v>
      </c>
      <c r="L712" s="6">
        <v>1.155</v>
      </c>
      <c r="M712" s="6">
        <v>0.46200000000000002</v>
      </c>
      <c r="N712" s="6">
        <v>1.155</v>
      </c>
      <c r="O712" s="6">
        <v>0.46200000000000002</v>
      </c>
      <c r="P712" s="6">
        <v>0</v>
      </c>
      <c r="Q712" s="4" t="s">
        <v>26</v>
      </c>
      <c r="R712" s="4">
        <v>0</v>
      </c>
      <c r="S712" s="4" t="s">
        <v>296</v>
      </c>
      <c r="T712" s="4" t="s">
        <v>493</v>
      </c>
      <c r="U712" s="4">
        <v>0</v>
      </c>
      <c r="V712" s="4">
        <v>30</v>
      </c>
      <c r="W712" s="4">
        <v>70</v>
      </c>
    </row>
    <row r="713" spans="1:23" ht="11.25" customHeight="1" x14ac:dyDescent="0.25">
      <c r="A713" s="4" t="s">
        <v>55</v>
      </c>
      <c r="B713" s="4" t="s">
        <v>42</v>
      </c>
      <c r="C713" s="4" t="s">
        <v>23</v>
      </c>
      <c r="D713" s="4" t="s">
        <v>43</v>
      </c>
      <c r="E713" s="4" t="s">
        <v>54</v>
      </c>
      <c r="F713" s="4" t="s">
        <v>53</v>
      </c>
      <c r="G713" s="4" t="s">
        <v>25</v>
      </c>
      <c r="H713" s="4" t="s">
        <v>25</v>
      </c>
      <c r="I713" s="5">
        <v>44501</v>
      </c>
      <c r="J713" s="6">
        <v>0</v>
      </c>
      <c r="K713" s="6">
        <v>0</v>
      </c>
      <c r="L713" s="6">
        <v>9.85</v>
      </c>
      <c r="M713" s="6">
        <v>9.85</v>
      </c>
      <c r="N713" s="6">
        <v>9.85</v>
      </c>
      <c r="O713" s="6">
        <v>9.85</v>
      </c>
      <c r="P713" s="6">
        <v>0</v>
      </c>
      <c r="Q713" s="4" t="s">
        <v>26</v>
      </c>
      <c r="R713" s="4">
        <v>0</v>
      </c>
      <c r="S713" s="4" t="s">
        <v>296</v>
      </c>
      <c r="T713" s="4" t="s">
        <v>493</v>
      </c>
      <c r="U713" s="4">
        <v>0</v>
      </c>
      <c r="V713" s="4">
        <v>30</v>
      </c>
      <c r="W713" s="4">
        <v>70</v>
      </c>
    </row>
    <row r="714" spans="1:23" ht="11.25" customHeight="1" x14ac:dyDescent="0.25">
      <c r="A714" s="4" t="s">
        <v>21</v>
      </c>
      <c r="B714" s="4" t="s">
        <v>42</v>
      </c>
      <c r="C714" s="4" t="s">
        <v>23</v>
      </c>
      <c r="D714" s="4" t="s">
        <v>43</v>
      </c>
      <c r="E714" s="4" t="s">
        <v>54</v>
      </c>
      <c r="F714" s="4" t="s">
        <v>53</v>
      </c>
      <c r="G714" s="4" t="s">
        <v>25</v>
      </c>
      <c r="H714" s="4" t="s">
        <v>25</v>
      </c>
      <c r="I714" s="5">
        <v>44531</v>
      </c>
      <c r="J714" s="6">
        <v>0</v>
      </c>
      <c r="K714" s="6">
        <v>0</v>
      </c>
      <c r="L714" s="6">
        <v>2.379</v>
      </c>
      <c r="M714" s="6">
        <v>0.9516</v>
      </c>
      <c r="N714" s="6">
        <v>2.379</v>
      </c>
      <c r="O714" s="6">
        <v>0.9516</v>
      </c>
      <c r="P714" s="6">
        <v>0</v>
      </c>
      <c r="Q714" s="4" t="s">
        <v>26</v>
      </c>
      <c r="R714" s="4">
        <v>0</v>
      </c>
      <c r="S714" s="4" t="s">
        <v>297</v>
      </c>
      <c r="T714" s="4" t="s">
        <v>494</v>
      </c>
      <c r="U714" s="4">
        <v>0</v>
      </c>
      <c r="V714" s="4">
        <v>30</v>
      </c>
      <c r="W714" s="4">
        <v>70</v>
      </c>
    </row>
    <row r="715" spans="1:23" ht="11.25" customHeight="1" x14ac:dyDescent="0.25">
      <c r="A715" s="4" t="s">
        <v>55</v>
      </c>
      <c r="B715" s="4" t="s">
        <v>42</v>
      </c>
      <c r="C715" s="4" t="s">
        <v>23</v>
      </c>
      <c r="D715" s="4" t="s">
        <v>43</v>
      </c>
      <c r="E715" s="4" t="s">
        <v>54</v>
      </c>
      <c r="F715" s="4" t="s">
        <v>53</v>
      </c>
      <c r="G715" s="4" t="s">
        <v>25</v>
      </c>
      <c r="H715" s="4" t="s">
        <v>25</v>
      </c>
      <c r="I715" s="5">
        <v>44531</v>
      </c>
      <c r="J715" s="6">
        <v>0</v>
      </c>
      <c r="K715" s="6">
        <v>0</v>
      </c>
      <c r="L715" s="6">
        <v>10.172000000000001</v>
      </c>
      <c r="M715" s="6">
        <v>10.172000000000001</v>
      </c>
      <c r="N715" s="6">
        <v>10.172000000000001</v>
      </c>
      <c r="O715" s="6">
        <v>10.172000000000001</v>
      </c>
      <c r="P715" s="6">
        <v>0</v>
      </c>
      <c r="Q715" s="4" t="s">
        <v>26</v>
      </c>
      <c r="R715" s="4">
        <v>0</v>
      </c>
      <c r="S715" s="4" t="s">
        <v>297</v>
      </c>
      <c r="T715" s="4" t="s">
        <v>494</v>
      </c>
      <c r="U715" s="4">
        <v>0</v>
      </c>
      <c r="V715" s="4">
        <v>30</v>
      </c>
      <c r="W715" s="4">
        <v>70</v>
      </c>
    </row>
    <row r="716" spans="1:23" ht="11.25" customHeight="1" x14ac:dyDescent="0.25">
      <c r="A716" s="4" t="s">
        <v>21</v>
      </c>
      <c r="B716" s="4" t="s">
        <v>42</v>
      </c>
      <c r="C716" s="4" t="s">
        <v>23</v>
      </c>
      <c r="D716" s="4" t="s">
        <v>43</v>
      </c>
      <c r="E716" s="4" t="s">
        <v>54</v>
      </c>
      <c r="F716" s="4" t="s">
        <v>53</v>
      </c>
      <c r="G716" s="4" t="s">
        <v>25</v>
      </c>
      <c r="H716" s="4" t="s">
        <v>25</v>
      </c>
      <c r="I716" s="5">
        <v>44562</v>
      </c>
      <c r="J716" s="6">
        <v>0</v>
      </c>
      <c r="K716" s="6">
        <v>0</v>
      </c>
      <c r="L716" s="6">
        <v>6.9930000000000003</v>
      </c>
      <c r="M716" s="6">
        <v>2.7972000000000001</v>
      </c>
      <c r="N716" s="6">
        <v>6.9930000000000003</v>
      </c>
      <c r="O716" s="6">
        <v>2.7972000000000001</v>
      </c>
      <c r="P716" s="6">
        <v>0</v>
      </c>
      <c r="Q716" s="4" t="s">
        <v>26</v>
      </c>
      <c r="R716" s="4">
        <v>0</v>
      </c>
      <c r="S716" s="4" t="s">
        <v>298</v>
      </c>
      <c r="T716" s="4" t="s">
        <v>495</v>
      </c>
      <c r="U716" s="4">
        <v>0</v>
      </c>
      <c r="V716" s="4">
        <v>30</v>
      </c>
      <c r="W716" s="4">
        <v>70</v>
      </c>
    </row>
    <row r="717" spans="1:23" ht="11.25" customHeight="1" x14ac:dyDescent="0.25">
      <c r="A717" s="4" t="s">
        <v>55</v>
      </c>
      <c r="B717" s="4" t="s">
        <v>42</v>
      </c>
      <c r="C717" s="4" t="s">
        <v>23</v>
      </c>
      <c r="D717" s="4" t="s">
        <v>43</v>
      </c>
      <c r="E717" s="4" t="s">
        <v>54</v>
      </c>
      <c r="F717" s="4" t="s">
        <v>53</v>
      </c>
      <c r="G717" s="4" t="s">
        <v>25</v>
      </c>
      <c r="H717" s="4" t="s">
        <v>25</v>
      </c>
      <c r="I717" s="5">
        <v>44562</v>
      </c>
      <c r="J717" s="6">
        <v>0</v>
      </c>
      <c r="K717" s="6">
        <v>0</v>
      </c>
      <c r="L717" s="6">
        <v>9.98</v>
      </c>
      <c r="M717" s="6">
        <v>9.98</v>
      </c>
      <c r="N717" s="6">
        <v>9.98</v>
      </c>
      <c r="O717" s="6">
        <v>9.98</v>
      </c>
      <c r="P717" s="6">
        <v>0</v>
      </c>
      <c r="Q717" s="4" t="s">
        <v>26</v>
      </c>
      <c r="R717" s="4">
        <v>0</v>
      </c>
      <c r="S717" s="4" t="s">
        <v>298</v>
      </c>
      <c r="T717" s="4" t="s">
        <v>495</v>
      </c>
      <c r="U717" s="4">
        <v>0</v>
      </c>
      <c r="V717" s="4">
        <v>30</v>
      </c>
      <c r="W717" s="4">
        <v>70</v>
      </c>
    </row>
    <row r="718" spans="1:23" ht="11.25" customHeight="1" x14ac:dyDescent="0.25">
      <c r="A718" s="4" t="s">
        <v>21</v>
      </c>
      <c r="B718" s="4" t="s">
        <v>42</v>
      </c>
      <c r="C718" s="4" t="s">
        <v>23</v>
      </c>
      <c r="D718" s="4" t="s">
        <v>43</v>
      </c>
      <c r="E718" s="4" t="s">
        <v>54</v>
      </c>
      <c r="F718" s="4" t="s">
        <v>53</v>
      </c>
      <c r="G718" s="4" t="s">
        <v>25</v>
      </c>
      <c r="H718" s="4" t="s">
        <v>25</v>
      </c>
      <c r="I718" s="5">
        <v>44593</v>
      </c>
      <c r="J718" s="6">
        <v>0</v>
      </c>
      <c r="K718" s="6">
        <v>0</v>
      </c>
      <c r="L718" s="6">
        <v>0.98599999999999999</v>
      </c>
      <c r="M718" s="6">
        <v>0.39439999999999997</v>
      </c>
      <c r="N718" s="6">
        <v>0.98599999999999999</v>
      </c>
      <c r="O718" s="6">
        <v>0.39439999999999997</v>
      </c>
      <c r="P718" s="6">
        <v>0</v>
      </c>
      <c r="Q718" s="4" t="s">
        <v>26</v>
      </c>
      <c r="R718" s="4">
        <v>0</v>
      </c>
      <c r="S718" s="4" t="s">
        <v>299</v>
      </c>
      <c r="T718" s="4" t="s">
        <v>496</v>
      </c>
      <c r="U718" s="4">
        <v>0</v>
      </c>
      <c r="V718" s="4">
        <v>30</v>
      </c>
      <c r="W718" s="4">
        <v>70</v>
      </c>
    </row>
    <row r="719" spans="1:23" ht="11.25" customHeight="1" x14ac:dyDescent="0.25">
      <c r="A719" s="4" t="s">
        <v>55</v>
      </c>
      <c r="B719" s="4" t="s">
        <v>42</v>
      </c>
      <c r="C719" s="4" t="s">
        <v>23</v>
      </c>
      <c r="D719" s="4" t="s">
        <v>43</v>
      </c>
      <c r="E719" s="4" t="s">
        <v>54</v>
      </c>
      <c r="F719" s="4" t="s">
        <v>53</v>
      </c>
      <c r="G719" s="4" t="s">
        <v>25</v>
      </c>
      <c r="H719" s="4" t="s">
        <v>25</v>
      </c>
      <c r="I719" s="5">
        <v>44593</v>
      </c>
      <c r="J719" s="6">
        <v>0</v>
      </c>
      <c r="K719" s="6">
        <v>0</v>
      </c>
      <c r="L719" s="6">
        <v>10.452999999999999</v>
      </c>
      <c r="M719" s="6">
        <v>10.452999999999999</v>
      </c>
      <c r="N719" s="6">
        <v>10.452999999999999</v>
      </c>
      <c r="O719" s="6">
        <v>10.452999999999999</v>
      </c>
      <c r="P719" s="6">
        <v>0</v>
      </c>
      <c r="Q719" s="4" t="s">
        <v>26</v>
      </c>
      <c r="R719" s="4">
        <v>0</v>
      </c>
      <c r="S719" s="4" t="s">
        <v>299</v>
      </c>
      <c r="T719" s="4" t="s">
        <v>496</v>
      </c>
      <c r="U719" s="4">
        <v>0</v>
      </c>
      <c r="V719" s="4">
        <v>30</v>
      </c>
      <c r="W719" s="4">
        <v>70</v>
      </c>
    </row>
    <row r="720" spans="1:23" ht="11.25" customHeight="1" x14ac:dyDescent="0.25">
      <c r="A720" s="4" t="s">
        <v>21</v>
      </c>
      <c r="B720" s="4" t="s">
        <v>42</v>
      </c>
      <c r="C720" s="4" t="s">
        <v>23</v>
      </c>
      <c r="D720" s="4" t="s">
        <v>43</v>
      </c>
      <c r="E720" s="4" t="s">
        <v>54</v>
      </c>
      <c r="F720" s="4" t="s">
        <v>53</v>
      </c>
      <c r="G720" s="4" t="s">
        <v>25</v>
      </c>
      <c r="H720" s="4" t="s">
        <v>25</v>
      </c>
      <c r="I720" s="5">
        <v>44621</v>
      </c>
      <c r="J720" s="6">
        <v>0</v>
      </c>
      <c r="K720" s="6">
        <v>0</v>
      </c>
      <c r="L720" s="6">
        <v>2.355</v>
      </c>
      <c r="M720" s="6">
        <v>0.94199999999999995</v>
      </c>
      <c r="N720" s="6">
        <v>2.355</v>
      </c>
      <c r="O720" s="6">
        <v>0.94199999999999995</v>
      </c>
      <c r="P720" s="6">
        <v>0</v>
      </c>
      <c r="Q720" s="4" t="s">
        <v>26</v>
      </c>
      <c r="R720" s="4">
        <v>0</v>
      </c>
      <c r="S720" s="4" t="s">
        <v>300</v>
      </c>
      <c r="T720" s="4" t="s">
        <v>497</v>
      </c>
      <c r="U720" s="4">
        <v>0</v>
      </c>
      <c r="V720" s="4">
        <v>30</v>
      </c>
      <c r="W720" s="4">
        <v>70</v>
      </c>
    </row>
    <row r="721" spans="1:23" ht="11.25" customHeight="1" x14ac:dyDescent="0.25">
      <c r="A721" s="4" t="s">
        <v>27</v>
      </c>
      <c r="B721" s="4" t="s">
        <v>42</v>
      </c>
      <c r="C721" s="4" t="s">
        <v>23</v>
      </c>
      <c r="D721" s="4" t="s">
        <v>43</v>
      </c>
      <c r="E721" s="4" t="s">
        <v>54</v>
      </c>
      <c r="F721" s="4" t="s">
        <v>53</v>
      </c>
      <c r="G721" s="4" t="s">
        <v>25</v>
      </c>
      <c r="H721" s="4" t="s">
        <v>25</v>
      </c>
      <c r="I721" s="5">
        <v>44621</v>
      </c>
      <c r="J721" s="6">
        <v>0</v>
      </c>
      <c r="K721" s="6">
        <v>0</v>
      </c>
      <c r="L721" s="6">
        <v>1.0999999999999999E-2</v>
      </c>
      <c r="M721" s="6">
        <v>4.4000000000000003E-3</v>
      </c>
      <c r="N721" s="6">
        <v>1.0999999999999999E-2</v>
      </c>
      <c r="O721" s="6">
        <v>4.4000000000000003E-3</v>
      </c>
      <c r="P721" s="6">
        <v>0</v>
      </c>
      <c r="Q721" s="4" t="s">
        <v>26</v>
      </c>
      <c r="R721" s="4">
        <v>0</v>
      </c>
      <c r="S721" s="4" t="s">
        <v>300</v>
      </c>
      <c r="T721" s="4" t="s">
        <v>497</v>
      </c>
      <c r="U721" s="4">
        <v>0</v>
      </c>
      <c r="V721" s="4">
        <v>30</v>
      </c>
      <c r="W721" s="4">
        <v>70</v>
      </c>
    </row>
    <row r="722" spans="1:23" ht="11.25" customHeight="1" x14ac:dyDescent="0.25">
      <c r="A722" s="4" t="s">
        <v>55</v>
      </c>
      <c r="B722" s="4" t="s">
        <v>42</v>
      </c>
      <c r="C722" s="4" t="s">
        <v>23</v>
      </c>
      <c r="D722" s="4" t="s">
        <v>43</v>
      </c>
      <c r="E722" s="4" t="s">
        <v>54</v>
      </c>
      <c r="F722" s="4" t="s">
        <v>53</v>
      </c>
      <c r="G722" s="4" t="s">
        <v>25</v>
      </c>
      <c r="H722" s="4" t="s">
        <v>25</v>
      </c>
      <c r="I722" s="5">
        <v>44621</v>
      </c>
      <c r="J722" s="6">
        <v>0</v>
      </c>
      <c r="K722" s="6">
        <v>0</v>
      </c>
      <c r="L722" s="6">
        <v>9.3070000000000004</v>
      </c>
      <c r="M722" s="6">
        <v>9.3070000000000004</v>
      </c>
      <c r="N722" s="6">
        <v>9.3070000000000004</v>
      </c>
      <c r="O722" s="6">
        <v>9.3070000000000004</v>
      </c>
      <c r="P722" s="6">
        <v>0</v>
      </c>
      <c r="Q722" s="4" t="s">
        <v>26</v>
      </c>
      <c r="R722" s="4">
        <v>0</v>
      </c>
      <c r="S722" s="4" t="s">
        <v>300</v>
      </c>
      <c r="T722" s="4" t="s">
        <v>497</v>
      </c>
      <c r="U722" s="4">
        <v>0</v>
      </c>
      <c r="V722" s="4">
        <v>30</v>
      </c>
      <c r="W722" s="4">
        <v>70</v>
      </c>
    </row>
    <row r="723" spans="1:23" ht="11.25" customHeight="1" x14ac:dyDescent="0.25">
      <c r="A723" s="4" t="s">
        <v>21</v>
      </c>
      <c r="B723" s="4" t="s">
        <v>42</v>
      </c>
      <c r="C723" s="4" t="s">
        <v>23</v>
      </c>
      <c r="D723" s="4" t="s">
        <v>43</v>
      </c>
      <c r="E723" s="4" t="s">
        <v>54</v>
      </c>
      <c r="F723" s="4" t="s">
        <v>53</v>
      </c>
      <c r="G723" s="4" t="s">
        <v>25</v>
      </c>
      <c r="H723" s="4" t="s">
        <v>25</v>
      </c>
      <c r="I723" s="5">
        <v>44652</v>
      </c>
      <c r="J723" s="6">
        <v>0</v>
      </c>
      <c r="K723" s="6">
        <v>0</v>
      </c>
      <c r="L723" s="6">
        <v>4.0279999999999996</v>
      </c>
      <c r="M723" s="6">
        <v>1.6112</v>
      </c>
      <c r="N723" s="6">
        <v>4.0279999999999996</v>
      </c>
      <c r="O723" s="6">
        <v>1.6112</v>
      </c>
      <c r="P723" s="6">
        <v>0</v>
      </c>
      <c r="Q723" s="4" t="s">
        <v>26</v>
      </c>
      <c r="R723" s="4">
        <v>0</v>
      </c>
      <c r="S723" s="4" t="s">
        <v>301</v>
      </c>
      <c r="T723" s="4" t="s">
        <v>498</v>
      </c>
      <c r="U723" s="4">
        <v>0</v>
      </c>
      <c r="V723" s="4">
        <v>30</v>
      </c>
      <c r="W723" s="4">
        <v>70</v>
      </c>
    </row>
    <row r="724" spans="1:23" ht="11.25" customHeight="1" x14ac:dyDescent="0.25">
      <c r="A724" s="4" t="s">
        <v>55</v>
      </c>
      <c r="B724" s="4" t="s">
        <v>42</v>
      </c>
      <c r="C724" s="4" t="s">
        <v>23</v>
      </c>
      <c r="D724" s="4" t="s">
        <v>43</v>
      </c>
      <c r="E724" s="4" t="s">
        <v>54</v>
      </c>
      <c r="F724" s="4" t="s">
        <v>53</v>
      </c>
      <c r="G724" s="4" t="s">
        <v>25</v>
      </c>
      <c r="H724" s="4" t="s">
        <v>25</v>
      </c>
      <c r="I724" s="5">
        <v>44652</v>
      </c>
      <c r="J724" s="6">
        <v>0</v>
      </c>
      <c r="K724" s="6">
        <v>0</v>
      </c>
      <c r="L724" s="6">
        <v>9.84</v>
      </c>
      <c r="M724" s="6">
        <v>9.84</v>
      </c>
      <c r="N724" s="6">
        <v>9.84</v>
      </c>
      <c r="O724" s="6">
        <v>9.84</v>
      </c>
      <c r="P724" s="6">
        <v>0</v>
      </c>
      <c r="Q724" s="4" t="s">
        <v>26</v>
      </c>
      <c r="R724" s="4">
        <v>0</v>
      </c>
      <c r="S724" s="4" t="s">
        <v>301</v>
      </c>
      <c r="T724" s="4" t="s">
        <v>498</v>
      </c>
      <c r="U724" s="4">
        <v>0</v>
      </c>
      <c r="V724" s="4">
        <v>30</v>
      </c>
      <c r="W724" s="4">
        <v>70</v>
      </c>
    </row>
    <row r="725" spans="1:23" ht="11.25" customHeight="1" x14ac:dyDescent="0.25">
      <c r="A725" s="4" t="s">
        <v>21</v>
      </c>
      <c r="B725" s="4" t="s">
        <v>42</v>
      </c>
      <c r="C725" s="4" t="s">
        <v>23</v>
      </c>
      <c r="D725" s="4" t="s">
        <v>43</v>
      </c>
      <c r="E725" s="4" t="s">
        <v>54</v>
      </c>
      <c r="F725" s="4" t="s">
        <v>53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1.613</v>
      </c>
      <c r="M725" s="6">
        <v>0.6452</v>
      </c>
      <c r="N725" s="6">
        <v>1.613</v>
      </c>
      <c r="O725" s="6">
        <v>0.6452</v>
      </c>
      <c r="P725" s="6">
        <v>0</v>
      </c>
      <c r="Q725" s="4" t="s">
        <v>26</v>
      </c>
      <c r="R725" s="4">
        <v>0</v>
      </c>
      <c r="S725" s="4" t="s">
        <v>302</v>
      </c>
      <c r="T725" s="4" t="s">
        <v>499</v>
      </c>
      <c r="U725" s="4">
        <v>0</v>
      </c>
      <c r="V725" s="4">
        <v>30</v>
      </c>
      <c r="W725" s="4">
        <v>70</v>
      </c>
    </row>
    <row r="726" spans="1:23" ht="11.25" customHeight="1" x14ac:dyDescent="0.25">
      <c r="A726" s="4" t="s">
        <v>55</v>
      </c>
      <c r="B726" s="4" t="s">
        <v>42</v>
      </c>
      <c r="C726" s="4" t="s">
        <v>23</v>
      </c>
      <c r="D726" s="4" t="s">
        <v>43</v>
      </c>
      <c r="E726" s="4" t="s">
        <v>54</v>
      </c>
      <c r="F726" s="4" t="s">
        <v>53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7.9359999999999999</v>
      </c>
      <c r="M726" s="6">
        <v>7.9359999999999999</v>
      </c>
      <c r="N726" s="6">
        <v>7.9359999999999999</v>
      </c>
      <c r="O726" s="6">
        <v>7.9359999999999999</v>
      </c>
      <c r="P726" s="6">
        <v>0</v>
      </c>
      <c r="Q726" s="4" t="s">
        <v>26</v>
      </c>
      <c r="R726" s="4">
        <v>0</v>
      </c>
      <c r="S726" s="4" t="s">
        <v>302</v>
      </c>
      <c r="T726" s="4" t="s">
        <v>499</v>
      </c>
      <c r="U726" s="4">
        <v>0</v>
      </c>
      <c r="V726" s="4">
        <v>30</v>
      </c>
      <c r="W726" s="4">
        <v>70</v>
      </c>
    </row>
    <row r="727" spans="1:23" ht="11.25" customHeight="1" x14ac:dyDescent="0.25">
      <c r="A727" s="4" t="s">
        <v>56</v>
      </c>
      <c r="B727" s="4" t="s">
        <v>42</v>
      </c>
      <c r="C727" s="4" t="s">
        <v>23</v>
      </c>
      <c r="D727" s="4" t="s">
        <v>43</v>
      </c>
      <c r="E727" s="4" t="s">
        <v>54</v>
      </c>
      <c r="F727" s="4" t="s">
        <v>53</v>
      </c>
      <c r="G727" s="4" t="s">
        <v>25</v>
      </c>
      <c r="H727" s="4" t="s">
        <v>25</v>
      </c>
      <c r="I727" s="5">
        <v>44713</v>
      </c>
      <c r="J727" s="6">
        <v>0</v>
      </c>
      <c r="K727" s="6">
        <v>0</v>
      </c>
      <c r="L727" s="6">
        <v>1.613</v>
      </c>
      <c r="M727" s="6">
        <v>0.6452</v>
      </c>
      <c r="N727" s="6">
        <v>1.613</v>
      </c>
      <c r="O727" s="6">
        <v>0.6452</v>
      </c>
      <c r="P727" s="6">
        <v>0</v>
      </c>
      <c r="Q727" s="4" t="s">
        <v>26</v>
      </c>
      <c r="R727" s="4">
        <v>0</v>
      </c>
      <c r="S727" s="4" t="s">
        <v>303</v>
      </c>
      <c r="T727" s="4" t="s">
        <v>500</v>
      </c>
      <c r="U727" s="4">
        <v>0</v>
      </c>
      <c r="V727" s="4">
        <v>30</v>
      </c>
      <c r="W727" s="4">
        <v>70</v>
      </c>
    </row>
    <row r="728" spans="1:23" ht="11.25" customHeight="1" x14ac:dyDescent="0.25">
      <c r="A728" s="4" t="s">
        <v>56</v>
      </c>
      <c r="B728" s="4" t="s">
        <v>42</v>
      </c>
      <c r="C728" s="4" t="s">
        <v>23</v>
      </c>
      <c r="D728" s="4" t="s">
        <v>43</v>
      </c>
      <c r="E728" s="4" t="s">
        <v>54</v>
      </c>
      <c r="F728" s="4" t="s">
        <v>53</v>
      </c>
      <c r="G728" s="4" t="s">
        <v>25</v>
      </c>
      <c r="H728" s="4" t="s">
        <v>25</v>
      </c>
      <c r="I728" s="5">
        <v>44713</v>
      </c>
      <c r="J728" s="6">
        <v>0</v>
      </c>
      <c r="K728" s="6">
        <v>0</v>
      </c>
      <c r="L728" s="6">
        <v>7.9359999999999999</v>
      </c>
      <c r="M728" s="6">
        <v>7.9359999999999999</v>
      </c>
      <c r="N728" s="6">
        <v>7.9359999999999999</v>
      </c>
      <c r="O728" s="6">
        <v>7.9359999999999999</v>
      </c>
      <c r="P728" s="6">
        <v>0</v>
      </c>
      <c r="Q728" s="4" t="s">
        <v>26</v>
      </c>
      <c r="R728" s="4">
        <v>0</v>
      </c>
      <c r="S728" s="4" t="s">
        <v>303</v>
      </c>
      <c r="T728" s="4" t="s">
        <v>500</v>
      </c>
      <c r="U728" s="4">
        <v>0</v>
      </c>
      <c r="V728" s="4">
        <v>30</v>
      </c>
      <c r="W728" s="4">
        <v>70</v>
      </c>
    </row>
    <row r="729" spans="1:23" ht="11.25" customHeight="1" x14ac:dyDescent="0.25">
      <c r="A729" s="4" t="s">
        <v>21</v>
      </c>
      <c r="B729" s="4" t="s">
        <v>42</v>
      </c>
      <c r="C729" s="4" t="s">
        <v>23</v>
      </c>
      <c r="D729" s="4" t="s">
        <v>43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44378</v>
      </c>
      <c r="J729" s="6">
        <v>0</v>
      </c>
      <c r="K729" s="6">
        <v>0</v>
      </c>
      <c r="L729" s="6">
        <v>1461.049</v>
      </c>
      <c r="M729" s="6">
        <v>1461.049</v>
      </c>
      <c r="N729" s="6">
        <v>1461.049</v>
      </c>
      <c r="O729" s="6">
        <v>1461.049</v>
      </c>
      <c r="P729" s="6">
        <v>3611</v>
      </c>
      <c r="Q729" s="4" t="s">
        <v>26</v>
      </c>
      <c r="R729" s="4">
        <v>0</v>
      </c>
      <c r="S729" s="4" t="s">
        <v>292</v>
      </c>
      <c r="T729" s="4" t="s">
        <v>489</v>
      </c>
      <c r="U729" s="4">
        <v>0</v>
      </c>
      <c r="V729" s="4">
        <v>30</v>
      </c>
      <c r="W729" s="4">
        <v>70</v>
      </c>
    </row>
    <row r="730" spans="1:23" ht="11.25" customHeight="1" x14ac:dyDescent="0.25">
      <c r="A730" s="4" t="s">
        <v>27</v>
      </c>
      <c r="B730" s="4" t="s">
        <v>42</v>
      </c>
      <c r="C730" s="4" t="s">
        <v>23</v>
      </c>
      <c r="D730" s="4" t="s">
        <v>43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44378</v>
      </c>
      <c r="J730" s="6">
        <v>0</v>
      </c>
      <c r="K730" s="6">
        <v>0</v>
      </c>
      <c r="L730" s="6">
        <v>-2.8149999999999999</v>
      </c>
      <c r="M730" s="6">
        <v>-2.8149999999999999</v>
      </c>
      <c r="N730" s="6">
        <v>-2.8149999999999999</v>
      </c>
      <c r="O730" s="6">
        <v>-2.8149999999999999</v>
      </c>
      <c r="P730" s="6">
        <v>0</v>
      </c>
      <c r="Q730" s="4" t="s">
        <v>26</v>
      </c>
      <c r="R730" s="4">
        <v>0</v>
      </c>
      <c r="S730" s="4" t="s">
        <v>292</v>
      </c>
      <c r="T730" s="4" t="s">
        <v>489</v>
      </c>
      <c r="U730" s="4">
        <v>0</v>
      </c>
      <c r="V730" s="4">
        <v>30</v>
      </c>
      <c r="W730" s="4">
        <v>70</v>
      </c>
    </row>
    <row r="731" spans="1:23" ht="11.25" customHeight="1" x14ac:dyDescent="0.25">
      <c r="A731" s="4" t="s">
        <v>21</v>
      </c>
      <c r="B731" s="4" t="s">
        <v>42</v>
      </c>
      <c r="C731" s="4" t="s">
        <v>23</v>
      </c>
      <c r="D731" s="4" t="s">
        <v>43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44409</v>
      </c>
      <c r="J731" s="6">
        <v>0</v>
      </c>
      <c r="K731" s="6">
        <v>0</v>
      </c>
      <c r="L731" s="6">
        <v>1449.085</v>
      </c>
      <c r="M731" s="6">
        <v>1449.085</v>
      </c>
      <c r="N731" s="6">
        <v>1449.085</v>
      </c>
      <c r="O731" s="6">
        <v>1449.085</v>
      </c>
      <c r="P731" s="6">
        <v>3596</v>
      </c>
      <c r="Q731" s="4" t="s">
        <v>26</v>
      </c>
      <c r="R731" s="4">
        <v>0</v>
      </c>
      <c r="S731" s="4" t="s">
        <v>293</v>
      </c>
      <c r="T731" s="4" t="s">
        <v>490</v>
      </c>
      <c r="U731" s="4">
        <v>0</v>
      </c>
      <c r="V731" s="4">
        <v>30</v>
      </c>
      <c r="W731" s="4">
        <v>70</v>
      </c>
    </row>
    <row r="732" spans="1:23" ht="11.25" customHeight="1" x14ac:dyDescent="0.25">
      <c r="A732" s="4" t="s">
        <v>27</v>
      </c>
      <c r="B732" s="4" t="s">
        <v>42</v>
      </c>
      <c r="C732" s="4" t="s">
        <v>23</v>
      </c>
      <c r="D732" s="4" t="s">
        <v>43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44409</v>
      </c>
      <c r="J732" s="6">
        <v>0</v>
      </c>
      <c r="K732" s="6">
        <v>0</v>
      </c>
      <c r="L732" s="6">
        <v>-3.5960000000000001</v>
      </c>
      <c r="M732" s="6">
        <v>-3.5960000000000001</v>
      </c>
      <c r="N732" s="6">
        <v>-3.5960000000000001</v>
      </c>
      <c r="O732" s="6">
        <v>-3.5960000000000001</v>
      </c>
      <c r="P732" s="6">
        <v>0</v>
      </c>
      <c r="Q732" s="4" t="s">
        <v>26</v>
      </c>
      <c r="R732" s="4">
        <v>0</v>
      </c>
      <c r="S732" s="4" t="s">
        <v>293</v>
      </c>
      <c r="T732" s="4" t="s">
        <v>490</v>
      </c>
      <c r="U732" s="4">
        <v>0</v>
      </c>
      <c r="V732" s="4">
        <v>30</v>
      </c>
      <c r="W732" s="4">
        <v>70</v>
      </c>
    </row>
    <row r="733" spans="1:23" ht="11.25" customHeight="1" x14ac:dyDescent="0.25">
      <c r="A733" s="4" t="s">
        <v>55</v>
      </c>
      <c r="B733" s="4" t="s">
        <v>42</v>
      </c>
      <c r="C733" s="4" t="s">
        <v>23</v>
      </c>
      <c r="D733" s="4" t="s">
        <v>43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44409</v>
      </c>
      <c r="J733" s="6">
        <v>0</v>
      </c>
      <c r="K733" s="6">
        <v>0</v>
      </c>
      <c r="L733" s="6">
        <v>50.58</v>
      </c>
      <c r="M733" s="6">
        <v>50.58</v>
      </c>
      <c r="N733" s="6">
        <v>50.58</v>
      </c>
      <c r="O733" s="6">
        <v>50.58</v>
      </c>
      <c r="P733" s="6">
        <v>140</v>
      </c>
      <c r="Q733" s="4" t="s">
        <v>26</v>
      </c>
      <c r="R733" s="4">
        <v>0</v>
      </c>
      <c r="S733" s="4" t="s">
        <v>293</v>
      </c>
      <c r="T733" s="4" t="s">
        <v>490</v>
      </c>
      <c r="U733" s="4">
        <v>0</v>
      </c>
      <c r="V733" s="4">
        <v>30</v>
      </c>
      <c r="W733" s="4">
        <v>70</v>
      </c>
    </row>
    <row r="734" spans="1:23" ht="11.25" customHeight="1" x14ac:dyDescent="0.25">
      <c r="A734" s="4" t="s">
        <v>55</v>
      </c>
      <c r="B734" s="4" t="s">
        <v>42</v>
      </c>
      <c r="C734" s="4" t="s">
        <v>23</v>
      </c>
      <c r="D734" s="4" t="s">
        <v>43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44409</v>
      </c>
      <c r="J734" s="6">
        <v>0</v>
      </c>
      <c r="K734" s="6">
        <v>0</v>
      </c>
      <c r="L734" s="6">
        <v>2.86</v>
      </c>
      <c r="M734" s="6">
        <v>2.86</v>
      </c>
      <c r="N734" s="6">
        <v>2.86</v>
      </c>
      <c r="O734" s="6">
        <v>2.86</v>
      </c>
      <c r="P734" s="6">
        <v>1</v>
      </c>
      <c r="Q734" s="4" t="s">
        <v>26</v>
      </c>
      <c r="R734" s="4">
        <v>0</v>
      </c>
      <c r="S734" s="4" t="s">
        <v>293</v>
      </c>
      <c r="T734" s="4" t="s">
        <v>490</v>
      </c>
      <c r="U734" s="4">
        <v>0</v>
      </c>
      <c r="V734" s="4">
        <v>30</v>
      </c>
      <c r="W734" s="4">
        <v>70</v>
      </c>
    </row>
    <row r="735" spans="1:23" ht="11.25" customHeight="1" x14ac:dyDescent="0.25">
      <c r="A735" s="4" t="s">
        <v>21</v>
      </c>
      <c r="B735" s="4" t="s">
        <v>42</v>
      </c>
      <c r="C735" s="4" t="s">
        <v>23</v>
      </c>
      <c r="D735" s="4" t="s">
        <v>43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44440</v>
      </c>
      <c r="J735" s="6">
        <v>0</v>
      </c>
      <c r="K735" s="6">
        <v>0</v>
      </c>
      <c r="L735" s="6">
        <v>1487.13</v>
      </c>
      <c r="M735" s="6">
        <v>1487.13</v>
      </c>
      <c r="N735" s="6">
        <v>1487.13</v>
      </c>
      <c r="O735" s="6">
        <v>1487.13</v>
      </c>
      <c r="P735" s="6">
        <v>3587</v>
      </c>
      <c r="Q735" s="4" t="s">
        <v>26</v>
      </c>
      <c r="R735" s="4">
        <v>0</v>
      </c>
      <c r="S735" s="4" t="s">
        <v>294</v>
      </c>
      <c r="T735" s="4" t="s">
        <v>491</v>
      </c>
      <c r="U735" s="4">
        <v>0</v>
      </c>
      <c r="V735" s="4">
        <v>30</v>
      </c>
      <c r="W735" s="4">
        <v>70</v>
      </c>
    </row>
    <row r="736" spans="1:23" ht="11.25" customHeight="1" x14ac:dyDescent="0.25">
      <c r="A736" s="4" t="s">
        <v>27</v>
      </c>
      <c r="B736" s="4" t="s">
        <v>42</v>
      </c>
      <c r="C736" s="4" t="s">
        <v>23</v>
      </c>
      <c r="D736" s="4" t="s">
        <v>43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44440</v>
      </c>
      <c r="J736" s="6">
        <v>0</v>
      </c>
      <c r="K736" s="6">
        <v>0</v>
      </c>
      <c r="L736" s="6">
        <v>-2.6749999999999998</v>
      </c>
      <c r="M736" s="6">
        <v>-2.6749999999999998</v>
      </c>
      <c r="N736" s="6">
        <v>-2.6749999999999998</v>
      </c>
      <c r="O736" s="6">
        <v>-2.6749999999999998</v>
      </c>
      <c r="P736" s="6">
        <v>0</v>
      </c>
      <c r="Q736" s="4" t="s">
        <v>26</v>
      </c>
      <c r="R736" s="4">
        <v>0</v>
      </c>
      <c r="S736" s="4" t="s">
        <v>294</v>
      </c>
      <c r="T736" s="4" t="s">
        <v>491</v>
      </c>
      <c r="U736" s="4">
        <v>0</v>
      </c>
      <c r="V736" s="4">
        <v>30</v>
      </c>
      <c r="W736" s="4">
        <v>70</v>
      </c>
    </row>
    <row r="737" spans="1:23" ht="11.25" customHeight="1" x14ac:dyDescent="0.25">
      <c r="A737" s="4" t="s">
        <v>55</v>
      </c>
      <c r="B737" s="4" t="s">
        <v>42</v>
      </c>
      <c r="C737" s="4" t="s">
        <v>23</v>
      </c>
      <c r="D737" s="4" t="s">
        <v>43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44440</v>
      </c>
      <c r="J737" s="6">
        <v>0</v>
      </c>
      <c r="K737" s="6">
        <v>0</v>
      </c>
      <c r="L737" s="6">
        <v>42.877000000000002</v>
      </c>
      <c r="M737" s="6">
        <v>42.877000000000002</v>
      </c>
      <c r="N737" s="6">
        <v>42.877000000000002</v>
      </c>
      <c r="O737" s="6">
        <v>42.877000000000002</v>
      </c>
      <c r="P737" s="6">
        <v>142</v>
      </c>
      <c r="Q737" s="4" t="s">
        <v>26</v>
      </c>
      <c r="R737" s="4">
        <v>0</v>
      </c>
      <c r="S737" s="4" t="s">
        <v>294</v>
      </c>
      <c r="T737" s="4" t="s">
        <v>491</v>
      </c>
      <c r="U737" s="4">
        <v>0</v>
      </c>
      <c r="V737" s="4">
        <v>30</v>
      </c>
      <c r="W737" s="4">
        <v>70</v>
      </c>
    </row>
    <row r="738" spans="1:23" ht="11.25" customHeight="1" x14ac:dyDescent="0.25">
      <c r="A738" s="4" t="s">
        <v>21</v>
      </c>
      <c r="B738" s="4" t="s">
        <v>42</v>
      </c>
      <c r="C738" s="4" t="s">
        <v>23</v>
      </c>
      <c r="D738" s="4" t="s">
        <v>43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44470</v>
      </c>
      <c r="J738" s="6">
        <v>0</v>
      </c>
      <c r="K738" s="6">
        <v>0</v>
      </c>
      <c r="L738" s="6">
        <v>1471.472</v>
      </c>
      <c r="M738" s="6">
        <v>1471.472</v>
      </c>
      <c r="N738" s="6">
        <v>1471.472</v>
      </c>
      <c r="O738" s="6">
        <v>1471.472</v>
      </c>
      <c r="P738" s="6">
        <v>3564</v>
      </c>
      <c r="Q738" s="4" t="s">
        <v>26</v>
      </c>
      <c r="R738" s="4">
        <v>0</v>
      </c>
      <c r="S738" s="4" t="s">
        <v>295</v>
      </c>
      <c r="T738" s="4" t="s">
        <v>492</v>
      </c>
      <c r="U738" s="4">
        <v>0</v>
      </c>
      <c r="V738" s="4">
        <v>30</v>
      </c>
      <c r="W738" s="4">
        <v>70</v>
      </c>
    </row>
    <row r="739" spans="1:23" ht="11.25" customHeight="1" x14ac:dyDescent="0.25">
      <c r="A739" s="4" t="s">
        <v>27</v>
      </c>
      <c r="B739" s="4" t="s">
        <v>42</v>
      </c>
      <c r="C739" s="4" t="s">
        <v>23</v>
      </c>
      <c r="D739" s="4" t="s">
        <v>43</v>
      </c>
      <c r="E739" s="4" t="s">
        <v>25</v>
      </c>
      <c r="F739" s="4" t="s">
        <v>25</v>
      </c>
      <c r="G739" s="4" t="s">
        <v>25</v>
      </c>
      <c r="H739" s="4" t="s">
        <v>25</v>
      </c>
      <c r="I739" s="5">
        <v>44470</v>
      </c>
      <c r="J739" s="6">
        <v>0</v>
      </c>
      <c r="K739" s="6">
        <v>0</v>
      </c>
      <c r="L739" s="6">
        <v>-0.53800000000000003</v>
      </c>
      <c r="M739" s="6">
        <v>-0.53800000000000003</v>
      </c>
      <c r="N739" s="6">
        <v>-0.53800000000000003</v>
      </c>
      <c r="O739" s="6">
        <v>-0.53800000000000003</v>
      </c>
      <c r="P739" s="6">
        <v>0</v>
      </c>
      <c r="Q739" s="4" t="s">
        <v>26</v>
      </c>
      <c r="R739" s="4">
        <v>0</v>
      </c>
      <c r="S739" s="4" t="s">
        <v>295</v>
      </c>
      <c r="T739" s="4" t="s">
        <v>492</v>
      </c>
      <c r="U739" s="4">
        <v>0</v>
      </c>
      <c r="V739" s="4">
        <v>30</v>
      </c>
      <c r="W739" s="4">
        <v>70</v>
      </c>
    </row>
    <row r="740" spans="1:23" ht="11.25" customHeight="1" x14ac:dyDescent="0.25">
      <c r="A740" s="4" t="s">
        <v>55</v>
      </c>
      <c r="B740" s="4" t="s">
        <v>42</v>
      </c>
      <c r="C740" s="4" t="s">
        <v>23</v>
      </c>
      <c r="D740" s="4" t="s">
        <v>43</v>
      </c>
      <c r="E740" s="4" t="s">
        <v>25</v>
      </c>
      <c r="F740" s="4" t="s">
        <v>25</v>
      </c>
      <c r="G740" s="4" t="s">
        <v>25</v>
      </c>
      <c r="H740" s="4" t="s">
        <v>25</v>
      </c>
      <c r="I740" s="5">
        <v>44470</v>
      </c>
      <c r="J740" s="6">
        <v>0</v>
      </c>
      <c r="K740" s="6">
        <v>0</v>
      </c>
      <c r="L740" s="6">
        <v>153.453</v>
      </c>
      <c r="M740" s="6">
        <v>153.453</v>
      </c>
      <c r="N740" s="6">
        <v>153.453</v>
      </c>
      <c r="O740" s="6">
        <v>153.453</v>
      </c>
      <c r="P740" s="6">
        <v>154</v>
      </c>
      <c r="Q740" s="4" t="s">
        <v>26</v>
      </c>
      <c r="R740" s="4">
        <v>0</v>
      </c>
      <c r="S740" s="4" t="s">
        <v>295</v>
      </c>
      <c r="T740" s="4" t="s">
        <v>492</v>
      </c>
      <c r="U740" s="4">
        <v>0</v>
      </c>
      <c r="V740" s="4">
        <v>30</v>
      </c>
      <c r="W740" s="4">
        <v>70</v>
      </c>
    </row>
    <row r="741" spans="1:23" ht="11.25" customHeight="1" x14ac:dyDescent="0.25">
      <c r="A741" s="4" t="s">
        <v>55</v>
      </c>
      <c r="B741" s="4" t="s">
        <v>42</v>
      </c>
      <c r="C741" s="4" t="s">
        <v>23</v>
      </c>
      <c r="D741" s="4" t="s">
        <v>43</v>
      </c>
      <c r="E741" s="4" t="s">
        <v>25</v>
      </c>
      <c r="F741" s="4" t="s">
        <v>25</v>
      </c>
      <c r="G741" s="4" t="s">
        <v>25</v>
      </c>
      <c r="H741" s="4" t="s">
        <v>25</v>
      </c>
      <c r="I741" s="5">
        <v>44470</v>
      </c>
      <c r="J741" s="6">
        <v>0</v>
      </c>
      <c r="K741" s="6">
        <v>0</v>
      </c>
      <c r="L741" s="6">
        <v>-99.662999999999997</v>
      </c>
      <c r="M741" s="6">
        <v>-99.662999999999997</v>
      </c>
      <c r="N741" s="6">
        <v>-99.662999999999997</v>
      </c>
      <c r="O741" s="6">
        <v>-99.662999999999997</v>
      </c>
      <c r="P741" s="6">
        <v>2</v>
      </c>
      <c r="Q741" s="4" t="s">
        <v>26</v>
      </c>
      <c r="R741" s="4">
        <v>0</v>
      </c>
      <c r="S741" s="4" t="s">
        <v>295</v>
      </c>
      <c r="T741" s="4" t="s">
        <v>492</v>
      </c>
      <c r="U741" s="4">
        <v>0</v>
      </c>
      <c r="V741" s="4">
        <v>30</v>
      </c>
      <c r="W741" s="4">
        <v>70</v>
      </c>
    </row>
    <row r="742" spans="1:23" ht="11.25" customHeight="1" x14ac:dyDescent="0.25">
      <c r="A742" s="4" t="s">
        <v>21</v>
      </c>
      <c r="B742" s="4" t="s">
        <v>42</v>
      </c>
      <c r="C742" s="4" t="s">
        <v>23</v>
      </c>
      <c r="D742" s="4" t="s">
        <v>43</v>
      </c>
      <c r="E742" s="4" t="s">
        <v>25</v>
      </c>
      <c r="F742" s="4" t="s">
        <v>25</v>
      </c>
      <c r="G742" s="4" t="s">
        <v>25</v>
      </c>
      <c r="H742" s="4" t="s">
        <v>25</v>
      </c>
      <c r="I742" s="5">
        <v>44501</v>
      </c>
      <c r="J742" s="6">
        <v>0</v>
      </c>
      <c r="K742" s="6">
        <v>0</v>
      </c>
      <c r="L742" s="6">
        <v>1486.4380000000001</v>
      </c>
      <c r="M742" s="6">
        <v>1486.4380000000001</v>
      </c>
      <c r="N742" s="6">
        <v>1486.4380000000001</v>
      </c>
      <c r="O742" s="6">
        <v>1486.4380000000001</v>
      </c>
      <c r="P742" s="6">
        <v>3541</v>
      </c>
      <c r="Q742" s="4" t="s">
        <v>26</v>
      </c>
      <c r="R742" s="4">
        <v>0</v>
      </c>
      <c r="S742" s="4" t="s">
        <v>296</v>
      </c>
      <c r="T742" s="4" t="s">
        <v>493</v>
      </c>
      <c r="U742" s="4">
        <v>0</v>
      </c>
      <c r="V742" s="4">
        <v>30</v>
      </c>
      <c r="W742" s="4">
        <v>70</v>
      </c>
    </row>
    <row r="743" spans="1:23" ht="11.25" customHeight="1" x14ac:dyDescent="0.25">
      <c r="A743" s="4" t="s">
        <v>27</v>
      </c>
      <c r="B743" s="4" t="s">
        <v>42</v>
      </c>
      <c r="C743" s="4" t="s">
        <v>23</v>
      </c>
      <c r="D743" s="4" t="s">
        <v>43</v>
      </c>
      <c r="E743" s="4" t="s">
        <v>25</v>
      </c>
      <c r="F743" s="4" t="s">
        <v>25</v>
      </c>
      <c r="G743" s="4" t="s">
        <v>25</v>
      </c>
      <c r="H743" s="4" t="s">
        <v>25</v>
      </c>
      <c r="I743" s="5">
        <v>44501</v>
      </c>
      <c r="J743" s="6">
        <v>0</v>
      </c>
      <c r="K743" s="6">
        <v>0</v>
      </c>
      <c r="L743" s="6">
        <v>-7.9989999999999997</v>
      </c>
      <c r="M743" s="6">
        <v>-7.9989999999999997</v>
      </c>
      <c r="N743" s="6">
        <v>-7.9989999999999997</v>
      </c>
      <c r="O743" s="6">
        <v>-7.9989999999999997</v>
      </c>
      <c r="P743" s="6">
        <v>0</v>
      </c>
      <c r="Q743" s="4" t="s">
        <v>26</v>
      </c>
      <c r="R743" s="4">
        <v>0</v>
      </c>
      <c r="S743" s="4" t="s">
        <v>296</v>
      </c>
      <c r="T743" s="4" t="s">
        <v>493</v>
      </c>
      <c r="U743" s="4">
        <v>0</v>
      </c>
      <c r="V743" s="4">
        <v>30</v>
      </c>
      <c r="W743" s="4">
        <v>70</v>
      </c>
    </row>
    <row r="744" spans="1:23" ht="11.25" customHeight="1" x14ac:dyDescent="0.25">
      <c r="A744" s="4" t="s">
        <v>55</v>
      </c>
      <c r="B744" s="4" t="s">
        <v>42</v>
      </c>
      <c r="C744" s="4" t="s">
        <v>23</v>
      </c>
      <c r="D744" s="4" t="s">
        <v>43</v>
      </c>
      <c r="E744" s="4" t="s">
        <v>25</v>
      </c>
      <c r="F744" s="4" t="s">
        <v>25</v>
      </c>
      <c r="G744" s="4" t="s">
        <v>25</v>
      </c>
      <c r="H744" s="4" t="s">
        <v>25</v>
      </c>
      <c r="I744" s="5">
        <v>44501</v>
      </c>
      <c r="J744" s="6">
        <v>0</v>
      </c>
      <c r="K744" s="6">
        <v>0</v>
      </c>
      <c r="L744" s="6">
        <v>48.371000000000002</v>
      </c>
      <c r="M744" s="6">
        <v>48.371000000000002</v>
      </c>
      <c r="N744" s="6">
        <v>48.371000000000002</v>
      </c>
      <c r="O744" s="6">
        <v>48.371000000000002</v>
      </c>
      <c r="P744" s="6">
        <v>175</v>
      </c>
      <c r="Q744" s="4" t="s">
        <v>26</v>
      </c>
      <c r="R744" s="4">
        <v>0</v>
      </c>
      <c r="S744" s="4" t="s">
        <v>296</v>
      </c>
      <c r="T744" s="4" t="s">
        <v>493</v>
      </c>
      <c r="U744" s="4">
        <v>0</v>
      </c>
      <c r="V744" s="4">
        <v>30</v>
      </c>
      <c r="W744" s="4">
        <v>70</v>
      </c>
    </row>
    <row r="745" spans="1:23" ht="11.25" customHeight="1" x14ac:dyDescent="0.25">
      <c r="A745" s="4" t="s">
        <v>55</v>
      </c>
      <c r="B745" s="4" t="s">
        <v>42</v>
      </c>
      <c r="C745" s="4" t="s">
        <v>23</v>
      </c>
      <c r="D745" s="4" t="s">
        <v>43</v>
      </c>
      <c r="E745" s="4" t="s">
        <v>25</v>
      </c>
      <c r="F745" s="4" t="s">
        <v>25</v>
      </c>
      <c r="G745" s="4" t="s">
        <v>25</v>
      </c>
      <c r="H745" s="4" t="s">
        <v>25</v>
      </c>
      <c r="I745" s="5">
        <v>44501</v>
      </c>
      <c r="J745" s="6">
        <v>0</v>
      </c>
      <c r="K745" s="6">
        <v>0</v>
      </c>
      <c r="L745" s="6">
        <v>-0.42099999999999999</v>
      </c>
      <c r="M745" s="6">
        <v>-0.42099999999999999</v>
      </c>
      <c r="N745" s="6">
        <v>-0.42099999999999999</v>
      </c>
      <c r="O745" s="6">
        <v>-0.42099999999999999</v>
      </c>
      <c r="P745" s="6">
        <v>3</v>
      </c>
      <c r="Q745" s="4" t="s">
        <v>26</v>
      </c>
      <c r="R745" s="4">
        <v>0</v>
      </c>
      <c r="S745" s="4" t="s">
        <v>296</v>
      </c>
      <c r="T745" s="4" t="s">
        <v>493</v>
      </c>
      <c r="U745" s="4">
        <v>0</v>
      </c>
      <c r="V745" s="4">
        <v>30</v>
      </c>
      <c r="W745" s="4">
        <v>70</v>
      </c>
    </row>
    <row r="746" spans="1:23" ht="11.25" customHeight="1" x14ac:dyDescent="0.25">
      <c r="A746" s="4" t="s">
        <v>21</v>
      </c>
      <c r="B746" s="4" t="s">
        <v>42</v>
      </c>
      <c r="C746" s="4" t="s">
        <v>23</v>
      </c>
      <c r="D746" s="4" t="s">
        <v>43</v>
      </c>
      <c r="E746" s="4" t="s">
        <v>25</v>
      </c>
      <c r="F746" s="4" t="s">
        <v>25</v>
      </c>
      <c r="G746" s="4" t="s">
        <v>25</v>
      </c>
      <c r="H746" s="4" t="s">
        <v>25</v>
      </c>
      <c r="I746" s="5">
        <v>44531</v>
      </c>
      <c r="J746" s="6">
        <v>0</v>
      </c>
      <c r="K746" s="6">
        <v>0</v>
      </c>
      <c r="L746" s="6">
        <v>1485.425</v>
      </c>
      <c r="M746" s="6">
        <v>1485.425</v>
      </c>
      <c r="N746" s="6">
        <v>1485.425</v>
      </c>
      <c r="O746" s="6">
        <v>1485.425</v>
      </c>
      <c r="P746" s="6">
        <v>3487</v>
      </c>
      <c r="Q746" s="4" t="s">
        <v>26</v>
      </c>
      <c r="R746" s="4">
        <v>0</v>
      </c>
      <c r="S746" s="4" t="s">
        <v>297</v>
      </c>
      <c r="T746" s="4" t="s">
        <v>494</v>
      </c>
      <c r="U746" s="4">
        <v>0</v>
      </c>
      <c r="V746" s="4">
        <v>30</v>
      </c>
      <c r="W746" s="4">
        <v>70</v>
      </c>
    </row>
    <row r="747" spans="1:23" ht="11.25" customHeight="1" x14ac:dyDescent="0.25">
      <c r="A747" s="4" t="s">
        <v>27</v>
      </c>
      <c r="B747" s="4" t="s">
        <v>42</v>
      </c>
      <c r="C747" s="4" t="s">
        <v>23</v>
      </c>
      <c r="D747" s="4" t="s">
        <v>43</v>
      </c>
      <c r="E747" s="4" t="s">
        <v>25</v>
      </c>
      <c r="F747" s="4" t="s">
        <v>25</v>
      </c>
      <c r="G747" s="4" t="s">
        <v>25</v>
      </c>
      <c r="H747" s="4" t="s">
        <v>25</v>
      </c>
      <c r="I747" s="5">
        <v>44531</v>
      </c>
      <c r="J747" s="6">
        <v>0</v>
      </c>
      <c r="K747" s="6">
        <v>0</v>
      </c>
      <c r="L747" s="6">
        <v>-4.8369999999999997</v>
      </c>
      <c r="M747" s="6">
        <v>-4.8369999999999997</v>
      </c>
      <c r="N747" s="6">
        <v>-4.8369999999999997</v>
      </c>
      <c r="O747" s="6">
        <v>-4.8369999999999997</v>
      </c>
      <c r="P747" s="6">
        <v>0</v>
      </c>
      <c r="Q747" s="4" t="s">
        <v>26</v>
      </c>
      <c r="R747" s="4">
        <v>0</v>
      </c>
      <c r="S747" s="4" t="s">
        <v>297</v>
      </c>
      <c r="T747" s="4" t="s">
        <v>494</v>
      </c>
      <c r="U747" s="4">
        <v>0</v>
      </c>
      <c r="V747" s="4">
        <v>30</v>
      </c>
      <c r="W747" s="4">
        <v>70</v>
      </c>
    </row>
    <row r="748" spans="1:23" ht="11.25" customHeight="1" x14ac:dyDescent="0.25">
      <c r="A748" s="4" t="s">
        <v>55</v>
      </c>
      <c r="B748" s="4" t="s">
        <v>42</v>
      </c>
      <c r="C748" s="4" t="s">
        <v>23</v>
      </c>
      <c r="D748" s="4" t="s">
        <v>43</v>
      </c>
      <c r="E748" s="4" t="s">
        <v>25</v>
      </c>
      <c r="F748" s="4" t="s">
        <v>25</v>
      </c>
      <c r="G748" s="4" t="s">
        <v>25</v>
      </c>
      <c r="H748" s="4" t="s">
        <v>25</v>
      </c>
      <c r="I748" s="5">
        <v>44531</v>
      </c>
      <c r="J748" s="6">
        <v>0</v>
      </c>
      <c r="K748" s="6">
        <v>0</v>
      </c>
      <c r="L748" s="6">
        <v>54.66</v>
      </c>
      <c r="M748" s="6">
        <v>54.66</v>
      </c>
      <c r="N748" s="6">
        <v>54.66</v>
      </c>
      <c r="O748" s="6">
        <v>54.66</v>
      </c>
      <c r="P748" s="6">
        <v>202</v>
      </c>
      <c r="Q748" s="4" t="s">
        <v>26</v>
      </c>
      <c r="R748" s="4">
        <v>0</v>
      </c>
      <c r="S748" s="4" t="s">
        <v>297</v>
      </c>
      <c r="T748" s="4" t="s">
        <v>494</v>
      </c>
      <c r="U748" s="4">
        <v>0</v>
      </c>
      <c r="V748" s="4">
        <v>30</v>
      </c>
      <c r="W748" s="4">
        <v>70</v>
      </c>
    </row>
    <row r="749" spans="1:23" ht="11.25" customHeight="1" x14ac:dyDescent="0.25">
      <c r="A749" s="4" t="s">
        <v>55</v>
      </c>
      <c r="B749" s="4" t="s">
        <v>42</v>
      </c>
      <c r="C749" s="4" t="s">
        <v>23</v>
      </c>
      <c r="D749" s="4" t="s">
        <v>43</v>
      </c>
      <c r="E749" s="4" t="s">
        <v>25</v>
      </c>
      <c r="F749" s="4" t="s">
        <v>25</v>
      </c>
      <c r="G749" s="4" t="s">
        <v>25</v>
      </c>
      <c r="H749" s="4" t="s">
        <v>25</v>
      </c>
      <c r="I749" s="5">
        <v>44531</v>
      </c>
      <c r="J749" s="6">
        <v>0</v>
      </c>
      <c r="K749" s="6">
        <v>0</v>
      </c>
      <c r="L749" s="6">
        <v>-3.8969999999999998</v>
      </c>
      <c r="M749" s="6">
        <v>-3.8969999999999998</v>
      </c>
      <c r="N749" s="6">
        <v>-3.8969999999999998</v>
      </c>
      <c r="O749" s="6">
        <v>-3.8969999999999998</v>
      </c>
      <c r="P749" s="6">
        <v>3</v>
      </c>
      <c r="Q749" s="4" t="s">
        <v>26</v>
      </c>
      <c r="R749" s="4">
        <v>0</v>
      </c>
      <c r="S749" s="4" t="s">
        <v>297</v>
      </c>
      <c r="T749" s="4" t="s">
        <v>494</v>
      </c>
      <c r="U749" s="4">
        <v>0</v>
      </c>
      <c r="V749" s="4">
        <v>30</v>
      </c>
      <c r="W749" s="4">
        <v>70</v>
      </c>
    </row>
    <row r="750" spans="1:23" ht="11.25" customHeight="1" x14ac:dyDescent="0.25">
      <c r="A750" s="4" t="s">
        <v>21</v>
      </c>
      <c r="B750" s="4" t="s">
        <v>42</v>
      </c>
      <c r="C750" s="4" t="s">
        <v>23</v>
      </c>
      <c r="D750" s="4" t="s">
        <v>43</v>
      </c>
      <c r="E750" s="4" t="s">
        <v>25</v>
      </c>
      <c r="F750" s="4" t="s">
        <v>25</v>
      </c>
      <c r="G750" s="4" t="s">
        <v>25</v>
      </c>
      <c r="H750" s="4" t="s">
        <v>25</v>
      </c>
      <c r="I750" s="5">
        <v>44562</v>
      </c>
      <c r="J750" s="6">
        <v>0</v>
      </c>
      <c r="K750" s="6">
        <v>0</v>
      </c>
      <c r="L750" s="6">
        <v>1602.441</v>
      </c>
      <c r="M750" s="6">
        <v>1602.441</v>
      </c>
      <c r="N750" s="6">
        <v>1602.441</v>
      </c>
      <c r="O750" s="6">
        <v>1602.441</v>
      </c>
      <c r="P750" s="6">
        <v>3483</v>
      </c>
      <c r="Q750" s="4" t="s">
        <v>26</v>
      </c>
      <c r="R750" s="4">
        <v>0</v>
      </c>
      <c r="S750" s="4" t="s">
        <v>298</v>
      </c>
      <c r="T750" s="4" t="s">
        <v>495</v>
      </c>
      <c r="U750" s="4">
        <v>0</v>
      </c>
      <c r="V750" s="4">
        <v>30</v>
      </c>
      <c r="W750" s="4">
        <v>70</v>
      </c>
    </row>
    <row r="751" spans="1:23" ht="11.25" customHeight="1" x14ac:dyDescent="0.25">
      <c r="A751" s="4" t="s">
        <v>27</v>
      </c>
      <c r="B751" s="4" t="s">
        <v>42</v>
      </c>
      <c r="C751" s="4" t="s">
        <v>23</v>
      </c>
      <c r="D751" s="4" t="s">
        <v>43</v>
      </c>
      <c r="E751" s="4" t="s">
        <v>25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-60.328000000000003</v>
      </c>
      <c r="M751" s="6">
        <v>-60.328000000000003</v>
      </c>
      <c r="N751" s="6">
        <v>-60.328000000000003</v>
      </c>
      <c r="O751" s="6">
        <v>-60.328000000000003</v>
      </c>
      <c r="P751" s="6">
        <v>0</v>
      </c>
      <c r="Q751" s="4" t="s">
        <v>26</v>
      </c>
      <c r="R751" s="4">
        <v>0</v>
      </c>
      <c r="S751" s="4" t="s">
        <v>298</v>
      </c>
      <c r="T751" s="4" t="s">
        <v>495</v>
      </c>
      <c r="U751" s="4">
        <v>0</v>
      </c>
      <c r="V751" s="4">
        <v>30</v>
      </c>
      <c r="W751" s="4">
        <v>70</v>
      </c>
    </row>
    <row r="752" spans="1:23" ht="11.25" customHeight="1" x14ac:dyDescent="0.25">
      <c r="A752" s="4" t="s">
        <v>55</v>
      </c>
      <c r="B752" s="4" t="s">
        <v>42</v>
      </c>
      <c r="C752" s="4" t="s">
        <v>23</v>
      </c>
      <c r="D752" s="4" t="s">
        <v>43</v>
      </c>
      <c r="E752" s="4" t="s">
        <v>25</v>
      </c>
      <c r="F752" s="4" t="s">
        <v>25</v>
      </c>
      <c r="G752" s="4" t="s">
        <v>25</v>
      </c>
      <c r="H752" s="4" t="s">
        <v>25</v>
      </c>
      <c r="I752" s="5">
        <v>44562</v>
      </c>
      <c r="J752" s="6">
        <v>0</v>
      </c>
      <c r="K752" s="6">
        <v>0</v>
      </c>
      <c r="L752" s="6">
        <v>48.277000000000001</v>
      </c>
      <c r="M752" s="6">
        <v>48.277000000000001</v>
      </c>
      <c r="N752" s="6">
        <v>48.277000000000001</v>
      </c>
      <c r="O752" s="6">
        <v>48.277000000000001</v>
      </c>
      <c r="P752" s="6">
        <v>205</v>
      </c>
      <c r="Q752" s="4" t="s">
        <v>26</v>
      </c>
      <c r="R752" s="4">
        <v>0</v>
      </c>
      <c r="S752" s="4" t="s">
        <v>298</v>
      </c>
      <c r="T752" s="4" t="s">
        <v>495</v>
      </c>
      <c r="U752" s="4">
        <v>0</v>
      </c>
      <c r="V752" s="4">
        <v>30</v>
      </c>
      <c r="W752" s="4">
        <v>70</v>
      </c>
    </row>
    <row r="753" spans="1:23" ht="11.25" customHeight="1" x14ac:dyDescent="0.25">
      <c r="A753" s="4" t="s">
        <v>21</v>
      </c>
      <c r="B753" s="4" t="s">
        <v>42</v>
      </c>
      <c r="C753" s="4" t="s">
        <v>23</v>
      </c>
      <c r="D753" s="4" t="s">
        <v>43</v>
      </c>
      <c r="E753" s="4" t="s">
        <v>25</v>
      </c>
      <c r="F753" s="4" t="s">
        <v>25</v>
      </c>
      <c r="G753" s="4" t="s">
        <v>25</v>
      </c>
      <c r="H753" s="4" t="s">
        <v>25</v>
      </c>
      <c r="I753" s="5">
        <v>44593</v>
      </c>
      <c r="J753" s="6">
        <v>0</v>
      </c>
      <c r="K753" s="6">
        <v>0</v>
      </c>
      <c r="L753" s="6">
        <v>1841.87</v>
      </c>
      <c r="M753" s="6">
        <v>1841.87</v>
      </c>
      <c r="N753" s="6">
        <v>1841.87</v>
      </c>
      <c r="O753" s="6">
        <v>1841.87</v>
      </c>
      <c r="P753" s="6">
        <v>3436</v>
      </c>
      <c r="Q753" s="4" t="s">
        <v>26</v>
      </c>
      <c r="R753" s="4">
        <v>0</v>
      </c>
      <c r="S753" s="4" t="s">
        <v>299</v>
      </c>
      <c r="T753" s="4" t="s">
        <v>496</v>
      </c>
      <c r="U753" s="4">
        <v>0</v>
      </c>
      <c r="V753" s="4">
        <v>30</v>
      </c>
      <c r="W753" s="4">
        <v>70</v>
      </c>
    </row>
    <row r="754" spans="1:23" ht="11.25" customHeight="1" x14ac:dyDescent="0.25">
      <c r="A754" s="4" t="s">
        <v>27</v>
      </c>
      <c r="B754" s="4" t="s">
        <v>42</v>
      </c>
      <c r="C754" s="4" t="s">
        <v>23</v>
      </c>
      <c r="D754" s="4" t="s">
        <v>43</v>
      </c>
      <c r="E754" s="4" t="s">
        <v>25</v>
      </c>
      <c r="F754" s="4" t="s">
        <v>25</v>
      </c>
      <c r="G754" s="4" t="s">
        <v>25</v>
      </c>
      <c r="H754" s="4" t="s">
        <v>25</v>
      </c>
      <c r="I754" s="5">
        <v>44593</v>
      </c>
      <c r="J754" s="6">
        <v>0</v>
      </c>
      <c r="K754" s="6">
        <v>0</v>
      </c>
      <c r="L754" s="6">
        <v>-1.823</v>
      </c>
      <c r="M754" s="6">
        <v>-1.823</v>
      </c>
      <c r="N754" s="6">
        <v>-1.823</v>
      </c>
      <c r="O754" s="6">
        <v>-1.823</v>
      </c>
      <c r="P754" s="6">
        <v>0</v>
      </c>
      <c r="Q754" s="4" t="s">
        <v>26</v>
      </c>
      <c r="R754" s="4">
        <v>0</v>
      </c>
      <c r="S754" s="4" t="s">
        <v>299</v>
      </c>
      <c r="T754" s="4" t="s">
        <v>496</v>
      </c>
      <c r="U754" s="4">
        <v>0</v>
      </c>
      <c r="V754" s="4">
        <v>30</v>
      </c>
      <c r="W754" s="4">
        <v>70</v>
      </c>
    </row>
    <row r="755" spans="1:23" ht="11.25" customHeight="1" x14ac:dyDescent="0.25">
      <c r="A755" s="4" t="s">
        <v>55</v>
      </c>
      <c r="B755" s="4" t="s">
        <v>42</v>
      </c>
      <c r="C755" s="4" t="s">
        <v>23</v>
      </c>
      <c r="D755" s="4" t="s">
        <v>43</v>
      </c>
      <c r="E755" s="4" t="s">
        <v>25</v>
      </c>
      <c r="F755" s="4" t="s">
        <v>25</v>
      </c>
      <c r="G755" s="4" t="s">
        <v>25</v>
      </c>
      <c r="H755" s="4" t="s">
        <v>25</v>
      </c>
      <c r="I755" s="5">
        <v>44593</v>
      </c>
      <c r="J755" s="6">
        <v>0</v>
      </c>
      <c r="K755" s="6">
        <v>0</v>
      </c>
      <c r="L755" s="6">
        <v>55.790999999999997</v>
      </c>
      <c r="M755" s="6">
        <v>55.790999999999997</v>
      </c>
      <c r="N755" s="6">
        <v>55.790999999999997</v>
      </c>
      <c r="O755" s="6">
        <v>55.790999999999997</v>
      </c>
      <c r="P755" s="6">
        <v>233</v>
      </c>
      <c r="Q755" s="4" t="s">
        <v>26</v>
      </c>
      <c r="R755" s="4">
        <v>0</v>
      </c>
      <c r="S755" s="4" t="s">
        <v>299</v>
      </c>
      <c r="T755" s="4" t="s">
        <v>496</v>
      </c>
      <c r="U755" s="4">
        <v>0</v>
      </c>
      <c r="V755" s="4">
        <v>30</v>
      </c>
      <c r="W755" s="4">
        <v>70</v>
      </c>
    </row>
    <row r="756" spans="1:23" ht="11.25" customHeight="1" x14ac:dyDescent="0.25">
      <c r="A756" s="4" t="s">
        <v>21</v>
      </c>
      <c r="B756" s="4" t="s">
        <v>42</v>
      </c>
      <c r="C756" s="4" t="s">
        <v>23</v>
      </c>
      <c r="D756" s="4" t="s">
        <v>43</v>
      </c>
      <c r="E756" s="4" t="s">
        <v>25</v>
      </c>
      <c r="F756" s="4" t="s">
        <v>25</v>
      </c>
      <c r="G756" s="4" t="s">
        <v>25</v>
      </c>
      <c r="H756" s="4" t="s">
        <v>25</v>
      </c>
      <c r="I756" s="5">
        <v>44621</v>
      </c>
      <c r="J756" s="6">
        <v>0</v>
      </c>
      <c r="K756" s="6">
        <v>0</v>
      </c>
      <c r="L756" s="6">
        <v>1456.9090000000001</v>
      </c>
      <c r="M756" s="6">
        <v>1456.9090000000001</v>
      </c>
      <c r="N756" s="6">
        <v>1456.9090000000001</v>
      </c>
      <c r="O756" s="6">
        <v>1456.9090000000001</v>
      </c>
      <c r="P756" s="6">
        <v>3418</v>
      </c>
      <c r="Q756" s="4" t="s">
        <v>26</v>
      </c>
      <c r="R756" s="4">
        <v>0</v>
      </c>
      <c r="S756" s="4" t="s">
        <v>300</v>
      </c>
      <c r="T756" s="4" t="s">
        <v>497</v>
      </c>
      <c r="U756" s="4">
        <v>0</v>
      </c>
      <c r="V756" s="4">
        <v>30</v>
      </c>
      <c r="W756" s="4">
        <v>70</v>
      </c>
    </row>
    <row r="757" spans="1:23" ht="11.25" customHeight="1" x14ac:dyDescent="0.25">
      <c r="A757" s="4" t="s">
        <v>27</v>
      </c>
      <c r="B757" s="4" t="s">
        <v>42</v>
      </c>
      <c r="C757" s="4" t="s">
        <v>23</v>
      </c>
      <c r="D757" s="4" t="s">
        <v>43</v>
      </c>
      <c r="E757" s="4" t="s">
        <v>25</v>
      </c>
      <c r="F757" s="4" t="s">
        <v>25</v>
      </c>
      <c r="G757" s="4" t="s">
        <v>25</v>
      </c>
      <c r="H757" s="4" t="s">
        <v>25</v>
      </c>
      <c r="I757" s="5">
        <v>44621</v>
      </c>
      <c r="J757" s="6">
        <v>0</v>
      </c>
      <c r="K757" s="6">
        <v>0</v>
      </c>
      <c r="L757" s="6">
        <v>-196.922</v>
      </c>
      <c r="M757" s="6">
        <v>-196.922</v>
      </c>
      <c r="N757" s="6">
        <v>-196.922</v>
      </c>
      <c r="O757" s="6">
        <v>-196.922</v>
      </c>
      <c r="P757" s="6">
        <v>0</v>
      </c>
      <c r="Q757" s="4" t="s">
        <v>26</v>
      </c>
      <c r="R757" s="4">
        <v>0</v>
      </c>
      <c r="S757" s="4" t="s">
        <v>300</v>
      </c>
      <c r="T757" s="4" t="s">
        <v>497</v>
      </c>
      <c r="U757" s="4">
        <v>0</v>
      </c>
      <c r="V757" s="4">
        <v>30</v>
      </c>
      <c r="W757" s="4">
        <v>70</v>
      </c>
    </row>
    <row r="758" spans="1:23" ht="11.25" customHeight="1" x14ac:dyDescent="0.25">
      <c r="A758" s="4" t="s">
        <v>55</v>
      </c>
      <c r="B758" s="4" t="s">
        <v>42</v>
      </c>
      <c r="C758" s="4" t="s">
        <v>23</v>
      </c>
      <c r="D758" s="4" t="s">
        <v>43</v>
      </c>
      <c r="E758" s="4" t="s">
        <v>25</v>
      </c>
      <c r="F758" s="4" t="s">
        <v>25</v>
      </c>
      <c r="G758" s="4" t="s">
        <v>25</v>
      </c>
      <c r="H758" s="4" t="s">
        <v>25</v>
      </c>
      <c r="I758" s="5">
        <v>44621</v>
      </c>
      <c r="J758" s="6">
        <v>0</v>
      </c>
      <c r="K758" s="6">
        <v>0</v>
      </c>
      <c r="L758" s="6">
        <v>60.874000000000002</v>
      </c>
      <c r="M758" s="6">
        <v>60.874000000000002</v>
      </c>
      <c r="N758" s="6">
        <v>60.874000000000002</v>
      </c>
      <c r="O758" s="6">
        <v>60.874000000000002</v>
      </c>
      <c r="P758" s="6">
        <v>256</v>
      </c>
      <c r="Q758" s="4" t="s">
        <v>26</v>
      </c>
      <c r="R758" s="4">
        <v>0</v>
      </c>
      <c r="S758" s="4" t="s">
        <v>300</v>
      </c>
      <c r="T758" s="4" t="s">
        <v>497</v>
      </c>
      <c r="U758" s="4">
        <v>0</v>
      </c>
      <c r="V758" s="4">
        <v>30</v>
      </c>
      <c r="W758" s="4">
        <v>70</v>
      </c>
    </row>
    <row r="759" spans="1:23" ht="11.25" customHeight="1" x14ac:dyDescent="0.25">
      <c r="A759" s="4" t="s">
        <v>55</v>
      </c>
      <c r="B759" s="4" t="s">
        <v>42</v>
      </c>
      <c r="C759" s="4" t="s">
        <v>23</v>
      </c>
      <c r="D759" s="4" t="s">
        <v>43</v>
      </c>
      <c r="E759" s="4" t="s">
        <v>25</v>
      </c>
      <c r="F759" s="4" t="s">
        <v>25</v>
      </c>
      <c r="G759" s="4" t="s">
        <v>25</v>
      </c>
      <c r="H759" s="4" t="s">
        <v>25</v>
      </c>
      <c r="I759" s="5">
        <v>44621</v>
      </c>
      <c r="J759" s="6">
        <v>0</v>
      </c>
      <c r="K759" s="6">
        <v>0</v>
      </c>
      <c r="L759" s="6">
        <v>0.2</v>
      </c>
      <c r="M759" s="6">
        <v>0.2</v>
      </c>
      <c r="N759" s="6">
        <v>0.2</v>
      </c>
      <c r="O759" s="6">
        <v>0.2</v>
      </c>
      <c r="P759" s="6">
        <v>2</v>
      </c>
      <c r="Q759" s="4" t="s">
        <v>26</v>
      </c>
      <c r="R759" s="4">
        <v>0</v>
      </c>
      <c r="S759" s="4" t="s">
        <v>300</v>
      </c>
      <c r="T759" s="4" t="s">
        <v>497</v>
      </c>
      <c r="U759" s="4">
        <v>0</v>
      </c>
      <c r="V759" s="4">
        <v>30</v>
      </c>
      <c r="W759" s="4">
        <v>70</v>
      </c>
    </row>
    <row r="760" spans="1:23" ht="11.25" customHeight="1" x14ac:dyDescent="0.25">
      <c r="A760" s="4" t="s">
        <v>21</v>
      </c>
      <c r="B760" s="4" t="s">
        <v>42</v>
      </c>
      <c r="C760" s="4" t="s">
        <v>23</v>
      </c>
      <c r="D760" s="4" t="s">
        <v>43</v>
      </c>
      <c r="E760" s="4" t="s">
        <v>25</v>
      </c>
      <c r="F760" s="4" t="s">
        <v>25</v>
      </c>
      <c r="G760" s="4" t="s">
        <v>25</v>
      </c>
      <c r="H760" s="4" t="s">
        <v>25</v>
      </c>
      <c r="I760" s="5">
        <v>44652</v>
      </c>
      <c r="J760" s="6">
        <v>0</v>
      </c>
      <c r="K760" s="6">
        <v>0</v>
      </c>
      <c r="L760" s="6">
        <v>1410.451</v>
      </c>
      <c r="M760" s="6">
        <v>1410.451</v>
      </c>
      <c r="N760" s="6">
        <v>1410.451</v>
      </c>
      <c r="O760" s="6">
        <v>1410.451</v>
      </c>
      <c r="P760" s="6">
        <v>3394</v>
      </c>
      <c r="Q760" s="4" t="s">
        <v>26</v>
      </c>
      <c r="R760" s="4">
        <v>0</v>
      </c>
      <c r="S760" s="4" t="s">
        <v>301</v>
      </c>
      <c r="T760" s="4" t="s">
        <v>498</v>
      </c>
      <c r="U760" s="4">
        <v>0</v>
      </c>
      <c r="V760" s="4">
        <v>30</v>
      </c>
      <c r="W760" s="4">
        <v>70</v>
      </c>
    </row>
    <row r="761" spans="1:23" ht="11.25" customHeight="1" x14ac:dyDescent="0.25">
      <c r="A761" s="4" t="s">
        <v>27</v>
      </c>
      <c r="B761" s="4" t="s">
        <v>42</v>
      </c>
      <c r="C761" s="4" t="s">
        <v>23</v>
      </c>
      <c r="D761" s="4" t="s">
        <v>43</v>
      </c>
      <c r="E761" s="4" t="s">
        <v>25</v>
      </c>
      <c r="F761" s="4" t="s">
        <v>25</v>
      </c>
      <c r="G761" s="4" t="s">
        <v>25</v>
      </c>
      <c r="H761" s="4" t="s">
        <v>25</v>
      </c>
      <c r="I761" s="5">
        <v>44652</v>
      </c>
      <c r="J761" s="6">
        <v>0</v>
      </c>
      <c r="K761" s="6">
        <v>0</v>
      </c>
      <c r="L761" s="6">
        <v>-112.73</v>
      </c>
      <c r="M761" s="6">
        <v>-112.73</v>
      </c>
      <c r="N761" s="6">
        <v>-112.73</v>
      </c>
      <c r="O761" s="6">
        <v>-112.73</v>
      </c>
      <c r="P761" s="6">
        <v>0</v>
      </c>
      <c r="Q761" s="4" t="s">
        <v>26</v>
      </c>
      <c r="R761" s="4">
        <v>0</v>
      </c>
      <c r="S761" s="4" t="s">
        <v>301</v>
      </c>
      <c r="T761" s="4" t="s">
        <v>498</v>
      </c>
      <c r="U761" s="4">
        <v>0</v>
      </c>
      <c r="V761" s="4">
        <v>30</v>
      </c>
      <c r="W761" s="4">
        <v>70</v>
      </c>
    </row>
    <row r="762" spans="1:23" ht="11.25" customHeight="1" x14ac:dyDescent="0.25">
      <c r="A762" s="4" t="s">
        <v>55</v>
      </c>
      <c r="B762" s="4" t="s">
        <v>42</v>
      </c>
      <c r="C762" s="4" t="s">
        <v>23</v>
      </c>
      <c r="D762" s="4" t="s">
        <v>43</v>
      </c>
      <c r="E762" s="4" t="s">
        <v>25</v>
      </c>
      <c r="F762" s="4" t="s">
        <v>25</v>
      </c>
      <c r="G762" s="4" t="s">
        <v>25</v>
      </c>
      <c r="H762" s="4" t="s">
        <v>25</v>
      </c>
      <c r="I762" s="5">
        <v>44652</v>
      </c>
      <c r="J762" s="6">
        <v>0</v>
      </c>
      <c r="K762" s="6">
        <v>0</v>
      </c>
      <c r="L762" s="6">
        <v>95.173000000000002</v>
      </c>
      <c r="M762" s="6">
        <v>95.173000000000002</v>
      </c>
      <c r="N762" s="6">
        <v>95.173000000000002</v>
      </c>
      <c r="O762" s="6">
        <v>95.173000000000002</v>
      </c>
      <c r="P762" s="6">
        <v>276</v>
      </c>
      <c r="Q762" s="4" t="s">
        <v>26</v>
      </c>
      <c r="R762" s="4">
        <v>0</v>
      </c>
      <c r="S762" s="4" t="s">
        <v>301</v>
      </c>
      <c r="T762" s="4" t="s">
        <v>498</v>
      </c>
      <c r="U762" s="4">
        <v>0</v>
      </c>
      <c r="V762" s="4">
        <v>30</v>
      </c>
      <c r="W762" s="4">
        <v>70</v>
      </c>
    </row>
    <row r="763" spans="1:23" ht="11.25" customHeight="1" x14ac:dyDescent="0.25">
      <c r="A763" s="4" t="s">
        <v>21</v>
      </c>
      <c r="B763" s="4" t="s">
        <v>42</v>
      </c>
      <c r="C763" s="4" t="s">
        <v>23</v>
      </c>
      <c r="D763" s="4" t="s">
        <v>43</v>
      </c>
      <c r="E763" s="4" t="s">
        <v>25</v>
      </c>
      <c r="F763" s="4" t="s">
        <v>25</v>
      </c>
      <c r="G763" s="4" t="s">
        <v>25</v>
      </c>
      <c r="H763" s="4" t="s">
        <v>25</v>
      </c>
      <c r="I763" s="5">
        <v>44682</v>
      </c>
      <c r="J763" s="6">
        <v>0</v>
      </c>
      <c r="K763" s="6">
        <v>0</v>
      </c>
      <c r="L763" s="6">
        <v>1287.5889999999999</v>
      </c>
      <c r="M763" s="6">
        <v>1287.5889999999999</v>
      </c>
      <c r="N763" s="6">
        <v>1287.5889999999999</v>
      </c>
      <c r="O763" s="6">
        <v>1287.5889999999999</v>
      </c>
      <c r="P763" s="6">
        <v>3370</v>
      </c>
      <c r="Q763" s="4" t="s">
        <v>26</v>
      </c>
      <c r="R763" s="4">
        <v>0</v>
      </c>
      <c r="S763" s="4" t="s">
        <v>302</v>
      </c>
      <c r="T763" s="4" t="s">
        <v>499</v>
      </c>
      <c r="U763" s="4">
        <v>0</v>
      </c>
      <c r="V763" s="4">
        <v>30</v>
      </c>
      <c r="W763" s="4">
        <v>70</v>
      </c>
    </row>
    <row r="764" spans="1:23" ht="11.25" customHeight="1" x14ac:dyDescent="0.25">
      <c r="A764" s="4" t="s">
        <v>27</v>
      </c>
      <c r="B764" s="4" t="s">
        <v>42</v>
      </c>
      <c r="C764" s="4" t="s">
        <v>23</v>
      </c>
      <c r="D764" s="4" t="s">
        <v>43</v>
      </c>
      <c r="E764" s="4" t="s">
        <v>25</v>
      </c>
      <c r="F764" s="4" t="s">
        <v>25</v>
      </c>
      <c r="G764" s="4" t="s">
        <v>25</v>
      </c>
      <c r="H764" s="4" t="s">
        <v>25</v>
      </c>
      <c r="I764" s="5">
        <v>44682</v>
      </c>
      <c r="J764" s="6">
        <v>0</v>
      </c>
      <c r="K764" s="6">
        <v>0</v>
      </c>
      <c r="L764" s="6">
        <v>-4.1399999999999997</v>
      </c>
      <c r="M764" s="6">
        <v>-4.1399999999999997</v>
      </c>
      <c r="N764" s="6">
        <v>-4.1399999999999997</v>
      </c>
      <c r="O764" s="6">
        <v>-4.1399999999999997</v>
      </c>
      <c r="P764" s="6">
        <v>0</v>
      </c>
      <c r="Q764" s="4" t="s">
        <v>26</v>
      </c>
      <c r="R764" s="4">
        <v>0</v>
      </c>
      <c r="S764" s="4" t="s">
        <v>302</v>
      </c>
      <c r="T764" s="4" t="s">
        <v>499</v>
      </c>
      <c r="U764" s="4">
        <v>0</v>
      </c>
      <c r="V764" s="4">
        <v>30</v>
      </c>
      <c r="W764" s="4">
        <v>70</v>
      </c>
    </row>
    <row r="765" spans="1:23" ht="11.25" customHeight="1" x14ac:dyDescent="0.25">
      <c r="A765" s="4" t="s">
        <v>55</v>
      </c>
      <c r="B765" s="4" t="s">
        <v>42</v>
      </c>
      <c r="C765" s="4" t="s">
        <v>23</v>
      </c>
      <c r="D765" s="4" t="s">
        <v>43</v>
      </c>
      <c r="E765" s="4" t="s">
        <v>25</v>
      </c>
      <c r="F765" s="4" t="s">
        <v>25</v>
      </c>
      <c r="G765" s="4" t="s">
        <v>25</v>
      </c>
      <c r="H765" s="4" t="s">
        <v>25</v>
      </c>
      <c r="I765" s="5">
        <v>44682</v>
      </c>
      <c r="J765" s="6">
        <v>0</v>
      </c>
      <c r="K765" s="6">
        <v>0</v>
      </c>
      <c r="L765" s="6">
        <v>87.944000000000003</v>
      </c>
      <c r="M765" s="6">
        <v>87.944000000000003</v>
      </c>
      <c r="N765" s="6">
        <v>87.944000000000003</v>
      </c>
      <c r="O765" s="6">
        <v>87.944000000000003</v>
      </c>
      <c r="P765" s="6">
        <v>293</v>
      </c>
      <c r="Q765" s="4" t="s">
        <v>26</v>
      </c>
      <c r="R765" s="4">
        <v>0</v>
      </c>
      <c r="S765" s="4" t="s">
        <v>302</v>
      </c>
      <c r="T765" s="4" t="s">
        <v>499</v>
      </c>
      <c r="U765" s="4">
        <v>0</v>
      </c>
      <c r="V765" s="4">
        <v>30</v>
      </c>
      <c r="W765" s="4">
        <v>70</v>
      </c>
    </row>
    <row r="766" spans="1:23" ht="11.25" customHeight="1" x14ac:dyDescent="0.25">
      <c r="A766" s="4" t="s">
        <v>55</v>
      </c>
      <c r="B766" s="4" t="s">
        <v>42</v>
      </c>
      <c r="C766" s="4" t="s">
        <v>23</v>
      </c>
      <c r="D766" s="4" t="s">
        <v>43</v>
      </c>
      <c r="E766" s="4" t="s">
        <v>25</v>
      </c>
      <c r="F766" s="4" t="s">
        <v>25</v>
      </c>
      <c r="G766" s="4" t="s">
        <v>25</v>
      </c>
      <c r="H766" s="4" t="s">
        <v>25</v>
      </c>
      <c r="I766" s="5">
        <v>44682</v>
      </c>
      <c r="J766" s="6">
        <v>0</v>
      </c>
      <c r="K766" s="6">
        <v>0</v>
      </c>
      <c r="L766" s="6">
        <v>-0.11899999999999999</v>
      </c>
      <c r="M766" s="6">
        <v>-0.11899999999999999</v>
      </c>
      <c r="N766" s="6">
        <v>-0.11899999999999999</v>
      </c>
      <c r="O766" s="6">
        <v>-0.11899999999999999</v>
      </c>
      <c r="P766" s="6">
        <v>2</v>
      </c>
      <c r="Q766" s="4" t="s">
        <v>26</v>
      </c>
      <c r="R766" s="4">
        <v>0</v>
      </c>
      <c r="S766" s="4" t="s">
        <v>302</v>
      </c>
      <c r="T766" s="4" t="s">
        <v>499</v>
      </c>
      <c r="U766" s="4">
        <v>0</v>
      </c>
      <c r="V766" s="4">
        <v>30</v>
      </c>
      <c r="W766" s="4">
        <v>70</v>
      </c>
    </row>
    <row r="767" spans="1:23" ht="11.25" customHeight="1" x14ac:dyDescent="0.25">
      <c r="A767" s="4" t="s">
        <v>56</v>
      </c>
      <c r="B767" s="4" t="s">
        <v>42</v>
      </c>
      <c r="C767" s="4" t="s">
        <v>23</v>
      </c>
      <c r="D767" s="4" t="s">
        <v>43</v>
      </c>
      <c r="E767" s="4" t="s">
        <v>25</v>
      </c>
      <c r="F767" s="4" t="s">
        <v>25</v>
      </c>
      <c r="G767" s="4" t="s">
        <v>25</v>
      </c>
      <c r="H767" s="4" t="s">
        <v>25</v>
      </c>
      <c r="I767" s="5">
        <v>44713</v>
      </c>
      <c r="J767" s="6">
        <v>0</v>
      </c>
      <c r="K767" s="6">
        <v>0</v>
      </c>
      <c r="L767" s="6">
        <v>1287.5889999999999</v>
      </c>
      <c r="M767" s="6">
        <v>1287.5889999999999</v>
      </c>
      <c r="N767" s="6">
        <v>1287.5889999999999</v>
      </c>
      <c r="O767" s="6">
        <v>1287.5889999999999</v>
      </c>
      <c r="P767" s="6">
        <v>3370</v>
      </c>
      <c r="Q767" s="4" t="s">
        <v>26</v>
      </c>
      <c r="R767" s="4">
        <v>0</v>
      </c>
      <c r="S767" s="4" t="s">
        <v>303</v>
      </c>
      <c r="T767" s="4" t="s">
        <v>500</v>
      </c>
      <c r="U767" s="4">
        <v>0</v>
      </c>
      <c r="V767" s="4">
        <v>30</v>
      </c>
      <c r="W767" s="4">
        <v>70</v>
      </c>
    </row>
    <row r="768" spans="1:23" ht="11.25" customHeight="1" x14ac:dyDescent="0.25">
      <c r="A768" s="4" t="s">
        <v>56</v>
      </c>
      <c r="B768" s="4" t="s">
        <v>42</v>
      </c>
      <c r="C768" s="4" t="s">
        <v>23</v>
      </c>
      <c r="D768" s="4" t="s">
        <v>43</v>
      </c>
      <c r="E768" s="4" t="s">
        <v>25</v>
      </c>
      <c r="F768" s="4" t="s">
        <v>25</v>
      </c>
      <c r="G768" s="4" t="s">
        <v>25</v>
      </c>
      <c r="H768" s="4" t="s">
        <v>25</v>
      </c>
      <c r="I768" s="5">
        <v>44713</v>
      </c>
      <c r="J768" s="6">
        <v>0</v>
      </c>
      <c r="K768" s="6">
        <v>0</v>
      </c>
      <c r="L768" s="6">
        <v>-4.1399999999999997</v>
      </c>
      <c r="M768" s="6">
        <v>-4.1399999999999997</v>
      </c>
      <c r="N768" s="6">
        <v>-4.1399999999999997</v>
      </c>
      <c r="O768" s="6">
        <v>-4.1399999999999997</v>
      </c>
      <c r="P768" s="6">
        <v>0</v>
      </c>
      <c r="Q768" s="4" t="s">
        <v>26</v>
      </c>
      <c r="R768" s="4">
        <v>0</v>
      </c>
      <c r="S768" s="4" t="s">
        <v>303</v>
      </c>
      <c r="T768" s="4" t="s">
        <v>500</v>
      </c>
      <c r="U768" s="4">
        <v>0</v>
      </c>
      <c r="V768" s="4">
        <v>30</v>
      </c>
      <c r="W768" s="4">
        <v>70</v>
      </c>
    </row>
    <row r="769" spans="1:23" ht="11.25" customHeight="1" x14ac:dyDescent="0.25">
      <c r="A769" s="4" t="s">
        <v>56</v>
      </c>
      <c r="B769" s="4" t="s">
        <v>42</v>
      </c>
      <c r="C769" s="4" t="s">
        <v>23</v>
      </c>
      <c r="D769" s="4" t="s">
        <v>43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44713</v>
      </c>
      <c r="J769" s="6">
        <v>0</v>
      </c>
      <c r="K769" s="6">
        <v>0</v>
      </c>
      <c r="L769" s="6">
        <v>87.944000000000003</v>
      </c>
      <c r="M769" s="6">
        <v>87.944000000000003</v>
      </c>
      <c r="N769" s="6">
        <v>87.944000000000003</v>
      </c>
      <c r="O769" s="6">
        <v>87.944000000000003</v>
      </c>
      <c r="P769" s="6">
        <v>293</v>
      </c>
      <c r="Q769" s="4" t="s">
        <v>26</v>
      </c>
      <c r="R769" s="4">
        <v>0</v>
      </c>
      <c r="S769" s="4" t="s">
        <v>303</v>
      </c>
      <c r="T769" s="4" t="s">
        <v>500</v>
      </c>
      <c r="U769" s="4">
        <v>0</v>
      </c>
      <c r="V769" s="4">
        <v>30</v>
      </c>
      <c r="W769" s="4">
        <v>70</v>
      </c>
    </row>
    <row r="770" spans="1:23" ht="11.25" customHeight="1" x14ac:dyDescent="0.25">
      <c r="A770" s="4" t="s">
        <v>56</v>
      </c>
      <c r="B770" s="4" t="s">
        <v>42</v>
      </c>
      <c r="C770" s="4" t="s">
        <v>23</v>
      </c>
      <c r="D770" s="4" t="s">
        <v>43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44713</v>
      </c>
      <c r="J770" s="6">
        <v>0</v>
      </c>
      <c r="K770" s="6">
        <v>0</v>
      </c>
      <c r="L770" s="6">
        <v>-0.11899999999999999</v>
      </c>
      <c r="M770" s="6">
        <v>-0.11899999999999999</v>
      </c>
      <c r="N770" s="6">
        <v>-0.11899999999999999</v>
      </c>
      <c r="O770" s="6">
        <v>-0.11899999999999999</v>
      </c>
      <c r="P770" s="6">
        <v>2</v>
      </c>
      <c r="Q770" s="4" t="s">
        <v>26</v>
      </c>
      <c r="R770" s="4">
        <v>0</v>
      </c>
      <c r="S770" s="4" t="s">
        <v>303</v>
      </c>
      <c r="T770" s="4" t="s">
        <v>500</v>
      </c>
      <c r="U770" s="4">
        <v>0</v>
      </c>
      <c r="V770" s="4">
        <v>30</v>
      </c>
      <c r="W770" s="4">
        <v>70</v>
      </c>
    </row>
    <row r="771" spans="1:23" ht="11.25" customHeight="1" x14ac:dyDescent="0.25">
      <c r="A771" s="4" t="s">
        <v>21</v>
      </c>
      <c r="B771" s="4" t="s">
        <v>36</v>
      </c>
      <c r="C771" s="4" t="s">
        <v>32</v>
      </c>
      <c r="D771" s="4" t="s">
        <v>41</v>
      </c>
      <c r="E771" s="4" t="s">
        <v>25</v>
      </c>
      <c r="F771" s="4" t="s">
        <v>25</v>
      </c>
      <c r="G771" s="4" t="s">
        <v>25</v>
      </c>
      <c r="H771" s="4" t="s">
        <v>34</v>
      </c>
      <c r="I771" s="5">
        <v>44378</v>
      </c>
      <c r="J771" s="6">
        <v>0</v>
      </c>
      <c r="K771" s="6">
        <v>0</v>
      </c>
      <c r="L771" s="6">
        <v>19.925000000000001</v>
      </c>
      <c r="M771" s="6">
        <v>19.925000000000001</v>
      </c>
      <c r="N771" s="6">
        <v>19.925000000000001</v>
      </c>
      <c r="O771" s="6">
        <v>19.925000000000001</v>
      </c>
      <c r="P771" s="6">
        <v>0</v>
      </c>
      <c r="Q771" s="4" t="s">
        <v>26</v>
      </c>
      <c r="R771" s="4">
        <v>0</v>
      </c>
      <c r="S771" s="4" t="s">
        <v>304</v>
      </c>
      <c r="T771" s="4" t="s">
        <v>501</v>
      </c>
      <c r="U771" s="4">
        <v>0</v>
      </c>
      <c r="V771" s="4">
        <v>26</v>
      </c>
      <c r="W771" s="4">
        <v>69</v>
      </c>
    </row>
    <row r="772" spans="1:23" ht="11.25" customHeight="1" x14ac:dyDescent="0.25">
      <c r="A772" s="4" t="s">
        <v>21</v>
      </c>
      <c r="B772" s="4" t="s">
        <v>36</v>
      </c>
      <c r="C772" s="4" t="s">
        <v>32</v>
      </c>
      <c r="D772" s="4" t="s">
        <v>41</v>
      </c>
      <c r="E772" s="4" t="s">
        <v>25</v>
      </c>
      <c r="F772" s="4" t="s">
        <v>25</v>
      </c>
      <c r="G772" s="4" t="s">
        <v>25</v>
      </c>
      <c r="H772" s="4" t="s">
        <v>34</v>
      </c>
      <c r="I772" s="5">
        <v>44409</v>
      </c>
      <c r="J772" s="6">
        <v>0</v>
      </c>
      <c r="K772" s="6">
        <v>0</v>
      </c>
      <c r="L772" s="6">
        <v>17.105</v>
      </c>
      <c r="M772" s="6">
        <v>17.105</v>
      </c>
      <c r="N772" s="6">
        <v>17.105</v>
      </c>
      <c r="O772" s="6">
        <v>17.105</v>
      </c>
      <c r="P772" s="6">
        <v>0</v>
      </c>
      <c r="Q772" s="4" t="s">
        <v>26</v>
      </c>
      <c r="R772" s="4">
        <v>0</v>
      </c>
      <c r="S772" s="4" t="s">
        <v>305</v>
      </c>
      <c r="T772" s="4" t="s">
        <v>502</v>
      </c>
      <c r="U772" s="4">
        <v>0</v>
      </c>
      <c r="V772" s="4">
        <v>26</v>
      </c>
      <c r="W772" s="4">
        <v>69</v>
      </c>
    </row>
    <row r="773" spans="1:23" ht="11.25" customHeight="1" x14ac:dyDescent="0.25">
      <c r="A773" s="4" t="s">
        <v>21</v>
      </c>
      <c r="B773" s="4" t="s">
        <v>36</v>
      </c>
      <c r="C773" s="4" t="s">
        <v>32</v>
      </c>
      <c r="D773" s="4" t="s">
        <v>41</v>
      </c>
      <c r="E773" s="4" t="s">
        <v>25</v>
      </c>
      <c r="F773" s="4" t="s">
        <v>25</v>
      </c>
      <c r="G773" s="4" t="s">
        <v>25</v>
      </c>
      <c r="H773" s="4" t="s">
        <v>34</v>
      </c>
      <c r="I773" s="5">
        <v>44440</v>
      </c>
      <c r="J773" s="6">
        <v>0</v>
      </c>
      <c r="K773" s="6">
        <v>0</v>
      </c>
      <c r="L773" s="6">
        <v>16.241</v>
      </c>
      <c r="M773" s="6">
        <v>16.241</v>
      </c>
      <c r="N773" s="6">
        <v>16.241</v>
      </c>
      <c r="O773" s="6">
        <v>16.241</v>
      </c>
      <c r="P773" s="6">
        <v>0</v>
      </c>
      <c r="Q773" s="4" t="s">
        <v>26</v>
      </c>
      <c r="R773" s="4">
        <v>0</v>
      </c>
      <c r="S773" s="4" t="s">
        <v>306</v>
      </c>
      <c r="T773" s="4" t="s">
        <v>503</v>
      </c>
      <c r="U773" s="4">
        <v>0</v>
      </c>
      <c r="V773" s="4">
        <v>26</v>
      </c>
      <c r="W773" s="4">
        <v>69</v>
      </c>
    </row>
    <row r="774" spans="1:23" ht="11.25" customHeight="1" x14ac:dyDescent="0.25">
      <c r="A774" s="4" t="s">
        <v>21</v>
      </c>
      <c r="B774" s="4" t="s">
        <v>36</v>
      </c>
      <c r="C774" s="4" t="s">
        <v>32</v>
      </c>
      <c r="D774" s="4" t="s">
        <v>41</v>
      </c>
      <c r="E774" s="4" t="s">
        <v>25</v>
      </c>
      <c r="F774" s="4" t="s">
        <v>25</v>
      </c>
      <c r="G774" s="4" t="s">
        <v>25</v>
      </c>
      <c r="H774" s="4" t="s">
        <v>34</v>
      </c>
      <c r="I774" s="5">
        <v>44470</v>
      </c>
      <c r="J774" s="6">
        <v>0</v>
      </c>
      <c r="K774" s="6">
        <v>0</v>
      </c>
      <c r="L774" s="6">
        <v>16.625</v>
      </c>
      <c r="M774" s="6">
        <v>16.625</v>
      </c>
      <c r="N774" s="6">
        <v>16.625</v>
      </c>
      <c r="O774" s="6">
        <v>16.625</v>
      </c>
      <c r="P774" s="6">
        <v>0</v>
      </c>
      <c r="Q774" s="4" t="s">
        <v>26</v>
      </c>
      <c r="R774" s="4">
        <v>0</v>
      </c>
      <c r="S774" s="4" t="s">
        <v>307</v>
      </c>
      <c r="T774" s="4" t="s">
        <v>504</v>
      </c>
      <c r="U774" s="4">
        <v>0</v>
      </c>
      <c r="V774" s="4">
        <v>26</v>
      </c>
      <c r="W774" s="4">
        <v>69</v>
      </c>
    </row>
    <row r="775" spans="1:23" ht="11.25" customHeight="1" x14ac:dyDescent="0.25">
      <c r="A775" s="4" t="s">
        <v>21</v>
      </c>
      <c r="B775" s="4" t="s">
        <v>36</v>
      </c>
      <c r="C775" s="4" t="s">
        <v>32</v>
      </c>
      <c r="D775" s="4" t="s">
        <v>41</v>
      </c>
      <c r="E775" s="4" t="s">
        <v>25</v>
      </c>
      <c r="F775" s="4" t="s">
        <v>25</v>
      </c>
      <c r="G775" s="4" t="s">
        <v>25</v>
      </c>
      <c r="H775" s="4" t="s">
        <v>34</v>
      </c>
      <c r="I775" s="5">
        <v>44501</v>
      </c>
      <c r="J775" s="6">
        <v>0</v>
      </c>
      <c r="K775" s="6">
        <v>0</v>
      </c>
      <c r="L775" s="6">
        <v>18.853000000000002</v>
      </c>
      <c r="M775" s="6">
        <v>18.853000000000002</v>
      </c>
      <c r="N775" s="6">
        <v>18.853000000000002</v>
      </c>
      <c r="O775" s="6">
        <v>18.853000000000002</v>
      </c>
      <c r="P775" s="6">
        <v>0</v>
      </c>
      <c r="Q775" s="4" t="s">
        <v>26</v>
      </c>
      <c r="R775" s="4">
        <v>0</v>
      </c>
      <c r="S775" s="4" t="s">
        <v>308</v>
      </c>
      <c r="T775" s="4" t="s">
        <v>505</v>
      </c>
      <c r="U775" s="4">
        <v>0</v>
      </c>
      <c r="V775" s="4">
        <v>26</v>
      </c>
      <c r="W775" s="4">
        <v>69</v>
      </c>
    </row>
    <row r="776" spans="1:23" ht="11.25" customHeight="1" x14ac:dyDescent="0.25">
      <c r="A776" s="4" t="s">
        <v>21</v>
      </c>
      <c r="B776" s="4" t="s">
        <v>36</v>
      </c>
      <c r="C776" s="4" t="s">
        <v>32</v>
      </c>
      <c r="D776" s="4" t="s">
        <v>41</v>
      </c>
      <c r="E776" s="4" t="s">
        <v>25</v>
      </c>
      <c r="F776" s="4" t="s">
        <v>25</v>
      </c>
      <c r="G776" s="4" t="s">
        <v>25</v>
      </c>
      <c r="H776" s="4" t="s">
        <v>34</v>
      </c>
      <c r="I776" s="5">
        <v>44531</v>
      </c>
      <c r="J776" s="6">
        <v>0</v>
      </c>
      <c r="K776" s="6">
        <v>0</v>
      </c>
      <c r="L776" s="6">
        <v>18.457999999999998</v>
      </c>
      <c r="M776" s="6">
        <v>18.457999999999998</v>
      </c>
      <c r="N776" s="6">
        <v>18.457999999999998</v>
      </c>
      <c r="O776" s="6">
        <v>18.457999999999998</v>
      </c>
      <c r="P776" s="6">
        <v>0</v>
      </c>
      <c r="Q776" s="4" t="s">
        <v>26</v>
      </c>
      <c r="R776" s="4">
        <v>0</v>
      </c>
      <c r="S776" s="4" t="s">
        <v>309</v>
      </c>
      <c r="T776" s="4" t="s">
        <v>506</v>
      </c>
      <c r="U776" s="4">
        <v>0</v>
      </c>
      <c r="V776" s="4">
        <v>26</v>
      </c>
      <c r="W776" s="4">
        <v>69</v>
      </c>
    </row>
    <row r="777" spans="1:23" ht="11.25" customHeight="1" x14ac:dyDescent="0.25">
      <c r="A777" s="4" t="s">
        <v>21</v>
      </c>
      <c r="B777" s="4" t="s">
        <v>36</v>
      </c>
      <c r="C777" s="4" t="s">
        <v>32</v>
      </c>
      <c r="D777" s="4" t="s">
        <v>41</v>
      </c>
      <c r="E777" s="4" t="s">
        <v>25</v>
      </c>
      <c r="F777" s="4" t="s">
        <v>25</v>
      </c>
      <c r="G777" s="4" t="s">
        <v>25</v>
      </c>
      <c r="H777" s="4" t="s">
        <v>34</v>
      </c>
      <c r="I777" s="5">
        <v>44562</v>
      </c>
      <c r="J777" s="6">
        <v>0</v>
      </c>
      <c r="K777" s="6">
        <v>0</v>
      </c>
      <c r="L777" s="6">
        <v>25.123999999999999</v>
      </c>
      <c r="M777" s="6">
        <v>25.123999999999999</v>
      </c>
      <c r="N777" s="6">
        <v>25.123999999999999</v>
      </c>
      <c r="O777" s="6">
        <v>25.123999999999999</v>
      </c>
      <c r="P777" s="6">
        <v>0</v>
      </c>
      <c r="Q777" s="4" t="s">
        <v>26</v>
      </c>
      <c r="R777" s="4">
        <v>0</v>
      </c>
      <c r="S777" s="4" t="s">
        <v>310</v>
      </c>
      <c r="T777" s="4" t="s">
        <v>507</v>
      </c>
      <c r="U777" s="4">
        <v>0</v>
      </c>
      <c r="V777" s="4">
        <v>26</v>
      </c>
      <c r="W777" s="4">
        <v>69</v>
      </c>
    </row>
    <row r="778" spans="1:23" ht="11.25" customHeight="1" x14ac:dyDescent="0.25">
      <c r="A778" s="4" t="s">
        <v>21</v>
      </c>
      <c r="B778" s="4" t="s">
        <v>36</v>
      </c>
      <c r="C778" s="4" t="s">
        <v>32</v>
      </c>
      <c r="D778" s="4" t="s">
        <v>41</v>
      </c>
      <c r="E778" s="4" t="s">
        <v>25</v>
      </c>
      <c r="F778" s="4" t="s">
        <v>25</v>
      </c>
      <c r="G778" s="4" t="s">
        <v>25</v>
      </c>
      <c r="H778" s="4" t="s">
        <v>34</v>
      </c>
      <c r="I778" s="5">
        <v>44593</v>
      </c>
      <c r="J778" s="6">
        <v>0</v>
      </c>
      <c r="K778" s="6">
        <v>0</v>
      </c>
      <c r="L778" s="6">
        <v>17.977</v>
      </c>
      <c r="M778" s="6">
        <v>17.977</v>
      </c>
      <c r="N778" s="6">
        <v>17.977</v>
      </c>
      <c r="O778" s="6">
        <v>17.977</v>
      </c>
      <c r="P778" s="6">
        <v>0</v>
      </c>
      <c r="Q778" s="4" t="s">
        <v>26</v>
      </c>
      <c r="R778" s="4">
        <v>0</v>
      </c>
      <c r="S778" s="4" t="s">
        <v>311</v>
      </c>
      <c r="T778" s="4" t="s">
        <v>508</v>
      </c>
      <c r="U778" s="4">
        <v>0</v>
      </c>
      <c r="V778" s="4">
        <v>26</v>
      </c>
      <c r="W778" s="4">
        <v>69</v>
      </c>
    </row>
    <row r="779" spans="1:23" ht="11.25" customHeight="1" x14ac:dyDescent="0.25">
      <c r="A779" s="4" t="s">
        <v>21</v>
      </c>
      <c r="B779" s="4" t="s">
        <v>36</v>
      </c>
      <c r="C779" s="4" t="s">
        <v>32</v>
      </c>
      <c r="D779" s="4" t="s">
        <v>41</v>
      </c>
      <c r="E779" s="4" t="s">
        <v>25</v>
      </c>
      <c r="F779" s="4" t="s">
        <v>25</v>
      </c>
      <c r="G779" s="4" t="s">
        <v>25</v>
      </c>
      <c r="H779" s="4" t="s">
        <v>34</v>
      </c>
      <c r="I779" s="5">
        <v>44621</v>
      </c>
      <c r="J779" s="6">
        <v>0</v>
      </c>
      <c r="K779" s="6">
        <v>0</v>
      </c>
      <c r="L779" s="6">
        <v>13.593999999999999</v>
      </c>
      <c r="M779" s="6">
        <v>13.593999999999999</v>
      </c>
      <c r="N779" s="6">
        <v>13.593999999999999</v>
      </c>
      <c r="O779" s="6">
        <v>13.593999999999999</v>
      </c>
      <c r="P779" s="6">
        <v>0</v>
      </c>
      <c r="Q779" s="4" t="s">
        <v>26</v>
      </c>
      <c r="R779" s="4">
        <v>0</v>
      </c>
      <c r="S779" s="4" t="s">
        <v>312</v>
      </c>
      <c r="T779" s="4" t="s">
        <v>509</v>
      </c>
      <c r="U779" s="4">
        <v>0</v>
      </c>
      <c r="V779" s="4">
        <v>26</v>
      </c>
      <c r="W779" s="4">
        <v>69</v>
      </c>
    </row>
    <row r="780" spans="1:23" ht="11.25" customHeight="1" x14ac:dyDescent="0.25">
      <c r="A780" s="4" t="s">
        <v>21</v>
      </c>
      <c r="B780" s="4" t="s">
        <v>36</v>
      </c>
      <c r="C780" s="4" t="s">
        <v>32</v>
      </c>
      <c r="D780" s="4" t="s">
        <v>41</v>
      </c>
      <c r="E780" s="4" t="s">
        <v>25</v>
      </c>
      <c r="F780" s="4" t="s">
        <v>25</v>
      </c>
      <c r="G780" s="4" t="s">
        <v>25</v>
      </c>
      <c r="H780" s="4" t="s">
        <v>34</v>
      </c>
      <c r="I780" s="5">
        <v>44652</v>
      </c>
      <c r="J780" s="6">
        <v>0</v>
      </c>
      <c r="K780" s="6">
        <v>0</v>
      </c>
      <c r="L780" s="6">
        <v>21.498999999999999</v>
      </c>
      <c r="M780" s="6">
        <v>21.498999999999999</v>
      </c>
      <c r="N780" s="6">
        <v>21.498999999999999</v>
      </c>
      <c r="O780" s="6">
        <v>21.498999999999999</v>
      </c>
      <c r="P780" s="6">
        <v>0</v>
      </c>
      <c r="Q780" s="4" t="s">
        <v>26</v>
      </c>
      <c r="R780" s="4">
        <v>0</v>
      </c>
      <c r="S780" s="4" t="s">
        <v>313</v>
      </c>
      <c r="T780" s="4" t="s">
        <v>510</v>
      </c>
      <c r="U780" s="4">
        <v>0</v>
      </c>
      <c r="V780" s="4">
        <v>26</v>
      </c>
      <c r="W780" s="4">
        <v>69</v>
      </c>
    </row>
    <row r="781" spans="1:23" ht="11.25" customHeight="1" x14ac:dyDescent="0.25">
      <c r="A781" s="4" t="s">
        <v>21</v>
      </c>
      <c r="B781" s="4" t="s">
        <v>36</v>
      </c>
      <c r="C781" s="4" t="s">
        <v>32</v>
      </c>
      <c r="D781" s="4" t="s">
        <v>41</v>
      </c>
      <c r="E781" s="4" t="s">
        <v>25</v>
      </c>
      <c r="F781" s="4" t="s">
        <v>25</v>
      </c>
      <c r="G781" s="4" t="s">
        <v>25</v>
      </c>
      <c r="H781" s="4" t="s">
        <v>34</v>
      </c>
      <c r="I781" s="5">
        <v>44682</v>
      </c>
      <c r="J781" s="6">
        <v>0</v>
      </c>
      <c r="K781" s="6">
        <v>0</v>
      </c>
      <c r="L781" s="6">
        <v>15.483000000000001</v>
      </c>
      <c r="M781" s="6">
        <v>15.483000000000001</v>
      </c>
      <c r="N781" s="6">
        <v>15.483000000000001</v>
      </c>
      <c r="O781" s="6">
        <v>15.483000000000001</v>
      </c>
      <c r="P781" s="6">
        <v>0</v>
      </c>
      <c r="Q781" s="4" t="s">
        <v>26</v>
      </c>
      <c r="R781" s="4">
        <v>0</v>
      </c>
      <c r="S781" s="4" t="s">
        <v>314</v>
      </c>
      <c r="T781" s="4" t="s">
        <v>511</v>
      </c>
      <c r="U781" s="4">
        <v>0</v>
      </c>
      <c r="V781" s="4">
        <v>26</v>
      </c>
      <c r="W781" s="4">
        <v>69</v>
      </c>
    </row>
    <row r="782" spans="1:23" ht="11.25" customHeight="1" x14ac:dyDescent="0.25">
      <c r="A782" s="4" t="s">
        <v>56</v>
      </c>
      <c r="B782" s="4" t="s">
        <v>36</v>
      </c>
      <c r="C782" s="4" t="s">
        <v>32</v>
      </c>
      <c r="D782" s="4" t="s">
        <v>41</v>
      </c>
      <c r="E782" s="4" t="s">
        <v>25</v>
      </c>
      <c r="F782" s="4" t="s">
        <v>25</v>
      </c>
      <c r="G782" s="4" t="s">
        <v>25</v>
      </c>
      <c r="H782" s="4" t="s">
        <v>34</v>
      </c>
      <c r="I782" s="5">
        <v>44713</v>
      </c>
      <c r="J782" s="6">
        <v>0</v>
      </c>
      <c r="K782" s="6">
        <v>0</v>
      </c>
      <c r="L782" s="6">
        <v>15.483000000000001</v>
      </c>
      <c r="M782" s="6">
        <v>15.483000000000001</v>
      </c>
      <c r="N782" s="6">
        <v>15.483000000000001</v>
      </c>
      <c r="O782" s="6">
        <v>15.483000000000001</v>
      </c>
      <c r="P782" s="6">
        <v>0</v>
      </c>
      <c r="Q782" s="4" t="s">
        <v>26</v>
      </c>
      <c r="R782" s="4">
        <v>0</v>
      </c>
      <c r="S782" s="4" t="s">
        <v>315</v>
      </c>
      <c r="T782" s="4" t="s">
        <v>512</v>
      </c>
      <c r="U782" s="4">
        <v>0</v>
      </c>
      <c r="V782" s="4">
        <v>26</v>
      </c>
      <c r="W782" s="4">
        <v>69</v>
      </c>
    </row>
    <row r="783" spans="1:23" ht="11.25" customHeight="1" x14ac:dyDescent="0.25">
      <c r="A783" s="4" t="s">
        <v>21</v>
      </c>
      <c r="B783" s="4" t="s">
        <v>36</v>
      </c>
      <c r="C783" s="4" t="s">
        <v>32</v>
      </c>
      <c r="D783" s="4" t="s">
        <v>41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44378</v>
      </c>
      <c r="J783" s="6">
        <v>0</v>
      </c>
      <c r="K783" s="6">
        <v>0</v>
      </c>
      <c r="L783" s="6">
        <v>1.2869999999999999</v>
      </c>
      <c r="M783" s="6">
        <v>1.2869999999999999</v>
      </c>
      <c r="N783" s="6">
        <v>1.2869999999999999</v>
      </c>
      <c r="O783" s="6">
        <v>1.2869999999999999</v>
      </c>
      <c r="P783" s="6">
        <v>0</v>
      </c>
      <c r="Q783" s="4" t="s">
        <v>26</v>
      </c>
      <c r="R783" s="4">
        <v>0</v>
      </c>
      <c r="S783" s="4" t="s">
        <v>316</v>
      </c>
      <c r="T783" s="4" t="s">
        <v>513</v>
      </c>
      <c r="U783" s="4">
        <v>0</v>
      </c>
      <c r="V783" s="4">
        <v>31</v>
      </c>
      <c r="W783" s="4">
        <v>71</v>
      </c>
    </row>
    <row r="784" spans="1:23" ht="11.25" customHeight="1" x14ac:dyDescent="0.25">
      <c r="A784" s="4" t="s">
        <v>21</v>
      </c>
      <c r="B784" s="4" t="s">
        <v>36</v>
      </c>
      <c r="C784" s="4" t="s">
        <v>32</v>
      </c>
      <c r="D784" s="4" t="s">
        <v>41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44409</v>
      </c>
      <c r="J784" s="6">
        <v>0</v>
      </c>
      <c r="K784" s="6">
        <v>0</v>
      </c>
      <c r="L784" s="6">
        <v>1.155</v>
      </c>
      <c r="M784" s="6">
        <v>1.155</v>
      </c>
      <c r="N784" s="6">
        <v>1.155</v>
      </c>
      <c r="O784" s="6">
        <v>1.155</v>
      </c>
      <c r="P784" s="6">
        <v>0</v>
      </c>
      <c r="Q784" s="4" t="s">
        <v>26</v>
      </c>
      <c r="R784" s="4">
        <v>0</v>
      </c>
      <c r="S784" s="4" t="s">
        <v>317</v>
      </c>
      <c r="T784" s="4" t="s">
        <v>514</v>
      </c>
      <c r="U784" s="4">
        <v>0</v>
      </c>
      <c r="V784" s="4">
        <v>31</v>
      </c>
      <c r="W784" s="4">
        <v>71</v>
      </c>
    </row>
    <row r="785" spans="1:23" ht="11.25" customHeight="1" x14ac:dyDescent="0.25">
      <c r="A785" s="4" t="s">
        <v>21</v>
      </c>
      <c r="B785" s="4" t="s">
        <v>36</v>
      </c>
      <c r="C785" s="4" t="s">
        <v>32</v>
      </c>
      <c r="D785" s="4" t="s">
        <v>41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44440</v>
      </c>
      <c r="J785" s="6">
        <v>0</v>
      </c>
      <c r="K785" s="6">
        <v>0</v>
      </c>
      <c r="L785" s="6">
        <v>1.115</v>
      </c>
      <c r="M785" s="6">
        <v>1.115</v>
      </c>
      <c r="N785" s="6">
        <v>1.115</v>
      </c>
      <c r="O785" s="6">
        <v>1.115</v>
      </c>
      <c r="P785" s="6">
        <v>0</v>
      </c>
      <c r="Q785" s="4" t="s">
        <v>26</v>
      </c>
      <c r="R785" s="4">
        <v>0</v>
      </c>
      <c r="S785" s="4" t="s">
        <v>318</v>
      </c>
      <c r="T785" s="4" t="s">
        <v>515</v>
      </c>
      <c r="U785" s="4">
        <v>0</v>
      </c>
      <c r="V785" s="4">
        <v>31</v>
      </c>
      <c r="W785" s="4">
        <v>71</v>
      </c>
    </row>
    <row r="786" spans="1:23" ht="11.25" customHeight="1" x14ac:dyDescent="0.25">
      <c r="A786" s="4" t="s">
        <v>21</v>
      </c>
      <c r="B786" s="4" t="s">
        <v>36</v>
      </c>
      <c r="C786" s="4" t="s">
        <v>32</v>
      </c>
      <c r="D786" s="4" t="s">
        <v>41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44470</v>
      </c>
      <c r="J786" s="6">
        <v>0</v>
      </c>
      <c r="K786" s="6">
        <v>0</v>
      </c>
      <c r="L786" s="6">
        <v>1.157</v>
      </c>
      <c r="M786" s="6">
        <v>1.157</v>
      </c>
      <c r="N786" s="6">
        <v>1.157</v>
      </c>
      <c r="O786" s="6">
        <v>1.157</v>
      </c>
      <c r="P786" s="6">
        <v>0</v>
      </c>
      <c r="Q786" s="4" t="s">
        <v>26</v>
      </c>
      <c r="R786" s="4">
        <v>0</v>
      </c>
      <c r="S786" s="4" t="s">
        <v>319</v>
      </c>
      <c r="T786" s="4" t="s">
        <v>516</v>
      </c>
      <c r="U786" s="4">
        <v>0</v>
      </c>
      <c r="V786" s="4">
        <v>31</v>
      </c>
      <c r="W786" s="4">
        <v>71</v>
      </c>
    </row>
    <row r="787" spans="1:23" ht="11.25" customHeight="1" x14ac:dyDescent="0.25">
      <c r="A787" s="4" t="s">
        <v>21</v>
      </c>
      <c r="B787" s="4" t="s">
        <v>36</v>
      </c>
      <c r="C787" s="4" t="s">
        <v>32</v>
      </c>
      <c r="D787" s="4" t="s">
        <v>41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44501</v>
      </c>
      <c r="J787" s="6">
        <v>0</v>
      </c>
      <c r="K787" s="6">
        <v>0</v>
      </c>
      <c r="L787" s="6">
        <v>1.415</v>
      </c>
      <c r="M787" s="6">
        <v>1.415</v>
      </c>
      <c r="N787" s="6">
        <v>1.415</v>
      </c>
      <c r="O787" s="6">
        <v>1.415</v>
      </c>
      <c r="P787" s="6">
        <v>0</v>
      </c>
      <c r="Q787" s="4" t="s">
        <v>26</v>
      </c>
      <c r="R787" s="4">
        <v>0</v>
      </c>
      <c r="S787" s="4" t="s">
        <v>320</v>
      </c>
      <c r="T787" s="4" t="s">
        <v>517</v>
      </c>
      <c r="U787" s="4">
        <v>0</v>
      </c>
      <c r="V787" s="4">
        <v>31</v>
      </c>
      <c r="W787" s="4">
        <v>71</v>
      </c>
    </row>
    <row r="788" spans="1:23" ht="11.25" customHeight="1" x14ac:dyDescent="0.25">
      <c r="A788" s="4" t="s">
        <v>21</v>
      </c>
      <c r="B788" s="4" t="s">
        <v>36</v>
      </c>
      <c r="C788" s="4" t="s">
        <v>32</v>
      </c>
      <c r="D788" s="4" t="s">
        <v>41</v>
      </c>
      <c r="E788" s="4" t="s">
        <v>25</v>
      </c>
      <c r="F788" s="4" t="s">
        <v>25</v>
      </c>
      <c r="G788" s="4" t="s">
        <v>25</v>
      </c>
      <c r="H788" s="4" t="s">
        <v>35</v>
      </c>
      <c r="I788" s="5">
        <v>44531</v>
      </c>
      <c r="J788" s="6">
        <v>0</v>
      </c>
      <c r="K788" s="6">
        <v>0</v>
      </c>
      <c r="L788" s="6">
        <v>1.536</v>
      </c>
      <c r="M788" s="6">
        <v>1.536</v>
      </c>
      <c r="N788" s="6">
        <v>1.536</v>
      </c>
      <c r="O788" s="6">
        <v>1.536</v>
      </c>
      <c r="P788" s="6">
        <v>0</v>
      </c>
      <c r="Q788" s="4" t="s">
        <v>26</v>
      </c>
      <c r="R788" s="4">
        <v>0</v>
      </c>
      <c r="S788" s="4" t="s">
        <v>321</v>
      </c>
      <c r="T788" s="4" t="s">
        <v>518</v>
      </c>
      <c r="U788" s="4">
        <v>0</v>
      </c>
      <c r="V788" s="4">
        <v>31</v>
      </c>
      <c r="W788" s="4">
        <v>71</v>
      </c>
    </row>
    <row r="789" spans="1:23" ht="11.25" customHeight="1" x14ac:dyDescent="0.25">
      <c r="A789" s="4" t="s">
        <v>21</v>
      </c>
      <c r="B789" s="4" t="s">
        <v>36</v>
      </c>
      <c r="C789" s="4" t="s">
        <v>32</v>
      </c>
      <c r="D789" s="4" t="s">
        <v>41</v>
      </c>
      <c r="E789" s="4" t="s">
        <v>25</v>
      </c>
      <c r="F789" s="4" t="s">
        <v>25</v>
      </c>
      <c r="G789" s="4" t="s">
        <v>25</v>
      </c>
      <c r="H789" s="4" t="s">
        <v>35</v>
      </c>
      <c r="I789" s="5">
        <v>44562</v>
      </c>
      <c r="J789" s="6">
        <v>0</v>
      </c>
      <c r="K789" s="6">
        <v>0</v>
      </c>
      <c r="L789" s="6">
        <v>2.0840000000000001</v>
      </c>
      <c r="M789" s="6">
        <v>2.0840000000000001</v>
      </c>
      <c r="N789" s="6">
        <v>2.0840000000000001</v>
      </c>
      <c r="O789" s="6">
        <v>2.0840000000000001</v>
      </c>
      <c r="P789" s="6">
        <v>0</v>
      </c>
      <c r="Q789" s="4" t="s">
        <v>26</v>
      </c>
      <c r="R789" s="4">
        <v>0</v>
      </c>
      <c r="S789" s="4" t="s">
        <v>322</v>
      </c>
      <c r="T789" s="4" t="s">
        <v>519</v>
      </c>
      <c r="U789" s="4">
        <v>0</v>
      </c>
      <c r="V789" s="4">
        <v>31</v>
      </c>
      <c r="W789" s="4">
        <v>71</v>
      </c>
    </row>
    <row r="790" spans="1:23" ht="11.25" customHeight="1" x14ac:dyDescent="0.25">
      <c r="A790" s="4" t="s">
        <v>21</v>
      </c>
      <c r="B790" s="4" t="s">
        <v>36</v>
      </c>
      <c r="C790" s="4" t="s">
        <v>32</v>
      </c>
      <c r="D790" s="4" t="s">
        <v>41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44593</v>
      </c>
      <c r="J790" s="6">
        <v>0</v>
      </c>
      <c r="K790" s="6">
        <v>0</v>
      </c>
      <c r="L790" s="6">
        <v>1.64</v>
      </c>
      <c r="M790" s="6">
        <v>1.64</v>
      </c>
      <c r="N790" s="6">
        <v>1.64</v>
      </c>
      <c r="O790" s="6">
        <v>1.64</v>
      </c>
      <c r="P790" s="6">
        <v>0</v>
      </c>
      <c r="Q790" s="4" t="s">
        <v>26</v>
      </c>
      <c r="R790" s="4">
        <v>0</v>
      </c>
      <c r="S790" s="4" t="s">
        <v>323</v>
      </c>
      <c r="T790" s="4" t="s">
        <v>520</v>
      </c>
      <c r="U790" s="4">
        <v>0</v>
      </c>
      <c r="V790" s="4">
        <v>31</v>
      </c>
      <c r="W790" s="4">
        <v>71</v>
      </c>
    </row>
    <row r="791" spans="1:23" ht="11.25" customHeight="1" x14ac:dyDescent="0.25">
      <c r="A791" s="4" t="s">
        <v>21</v>
      </c>
      <c r="B791" s="4" t="s">
        <v>36</v>
      </c>
      <c r="C791" s="4" t="s">
        <v>32</v>
      </c>
      <c r="D791" s="4" t="s">
        <v>41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44621</v>
      </c>
      <c r="J791" s="6">
        <v>0</v>
      </c>
      <c r="K791" s="6">
        <v>0</v>
      </c>
      <c r="L791" s="6">
        <v>1.492</v>
      </c>
      <c r="M791" s="6">
        <v>1.492</v>
      </c>
      <c r="N791" s="6">
        <v>1.492</v>
      </c>
      <c r="O791" s="6">
        <v>1.492</v>
      </c>
      <c r="P791" s="6">
        <v>0</v>
      </c>
      <c r="Q791" s="4" t="s">
        <v>26</v>
      </c>
      <c r="R791" s="4">
        <v>0</v>
      </c>
      <c r="S791" s="4" t="s">
        <v>324</v>
      </c>
      <c r="T791" s="4" t="s">
        <v>521</v>
      </c>
      <c r="U791" s="4">
        <v>0</v>
      </c>
      <c r="V791" s="4">
        <v>31</v>
      </c>
      <c r="W791" s="4">
        <v>71</v>
      </c>
    </row>
    <row r="792" spans="1:23" ht="11.25" customHeight="1" x14ac:dyDescent="0.25">
      <c r="A792" s="4" t="s">
        <v>21</v>
      </c>
      <c r="B792" s="4" t="s">
        <v>36</v>
      </c>
      <c r="C792" s="4" t="s">
        <v>32</v>
      </c>
      <c r="D792" s="4" t="s">
        <v>41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44652</v>
      </c>
      <c r="J792" s="6">
        <v>0</v>
      </c>
      <c r="K792" s="6">
        <v>0</v>
      </c>
      <c r="L792" s="6">
        <v>1.5289999999999999</v>
      </c>
      <c r="M792" s="6">
        <v>1.5289999999999999</v>
      </c>
      <c r="N792" s="6">
        <v>1.5289999999999999</v>
      </c>
      <c r="O792" s="6">
        <v>1.5289999999999999</v>
      </c>
      <c r="P792" s="6">
        <v>0</v>
      </c>
      <c r="Q792" s="4" t="s">
        <v>26</v>
      </c>
      <c r="R792" s="4">
        <v>0</v>
      </c>
      <c r="S792" s="4" t="s">
        <v>325</v>
      </c>
      <c r="T792" s="4" t="s">
        <v>522</v>
      </c>
      <c r="U792" s="4">
        <v>0</v>
      </c>
      <c r="V792" s="4">
        <v>31</v>
      </c>
      <c r="W792" s="4">
        <v>71</v>
      </c>
    </row>
    <row r="793" spans="1:23" ht="11.25" customHeight="1" x14ac:dyDescent="0.25">
      <c r="A793" s="4" t="s">
        <v>21</v>
      </c>
      <c r="B793" s="4" t="s">
        <v>36</v>
      </c>
      <c r="C793" s="4" t="s">
        <v>32</v>
      </c>
      <c r="D793" s="4" t="s">
        <v>41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44682</v>
      </c>
      <c r="J793" s="6">
        <v>0</v>
      </c>
      <c r="K793" s="6">
        <v>0</v>
      </c>
      <c r="L793" s="6">
        <v>1.139</v>
      </c>
      <c r="M793" s="6">
        <v>1.139</v>
      </c>
      <c r="N793" s="6">
        <v>1.139</v>
      </c>
      <c r="O793" s="6">
        <v>1.139</v>
      </c>
      <c r="P793" s="6">
        <v>0</v>
      </c>
      <c r="Q793" s="4" t="s">
        <v>26</v>
      </c>
      <c r="R793" s="4">
        <v>0</v>
      </c>
      <c r="S793" s="4" t="s">
        <v>326</v>
      </c>
      <c r="T793" s="4" t="s">
        <v>523</v>
      </c>
      <c r="U793" s="4">
        <v>0</v>
      </c>
      <c r="V793" s="4">
        <v>31</v>
      </c>
      <c r="W793" s="4">
        <v>71</v>
      </c>
    </row>
    <row r="794" spans="1:23" ht="11.25" customHeight="1" x14ac:dyDescent="0.25">
      <c r="A794" s="4" t="s">
        <v>56</v>
      </c>
      <c r="B794" s="4" t="s">
        <v>36</v>
      </c>
      <c r="C794" s="4" t="s">
        <v>32</v>
      </c>
      <c r="D794" s="4" t="s">
        <v>41</v>
      </c>
      <c r="E794" s="4" t="s">
        <v>25</v>
      </c>
      <c r="F794" s="4" t="s">
        <v>25</v>
      </c>
      <c r="G794" s="4" t="s">
        <v>25</v>
      </c>
      <c r="H794" s="4" t="s">
        <v>35</v>
      </c>
      <c r="I794" s="5">
        <v>44713</v>
      </c>
      <c r="J794" s="6">
        <v>0</v>
      </c>
      <c r="K794" s="6">
        <v>0</v>
      </c>
      <c r="L794" s="6">
        <v>1.139</v>
      </c>
      <c r="M794" s="6">
        <v>1.139</v>
      </c>
      <c r="N794" s="6">
        <v>1.139</v>
      </c>
      <c r="O794" s="6">
        <v>1.139</v>
      </c>
      <c r="P794" s="6">
        <v>0</v>
      </c>
      <c r="Q794" s="4" t="s">
        <v>26</v>
      </c>
      <c r="R794" s="4">
        <v>0</v>
      </c>
      <c r="S794" s="4" t="s">
        <v>327</v>
      </c>
      <c r="T794" s="4" t="s">
        <v>524</v>
      </c>
      <c r="U794" s="4">
        <v>0</v>
      </c>
      <c r="V794" s="4">
        <v>31</v>
      </c>
      <c r="W794" s="4">
        <v>71</v>
      </c>
    </row>
    <row r="795" spans="1:23" ht="11.25" customHeight="1" x14ac:dyDescent="0.25">
      <c r="A795" s="4" t="s">
        <v>21</v>
      </c>
      <c r="B795" s="4" t="s">
        <v>36</v>
      </c>
      <c r="C795" s="4" t="s">
        <v>32</v>
      </c>
      <c r="D795" s="4" t="s">
        <v>41</v>
      </c>
      <c r="E795" s="4" t="s">
        <v>25</v>
      </c>
      <c r="F795" s="4" t="s">
        <v>25</v>
      </c>
      <c r="G795" s="4" t="s">
        <v>25</v>
      </c>
      <c r="H795" s="4" t="s">
        <v>33</v>
      </c>
      <c r="I795" s="5">
        <v>44378</v>
      </c>
      <c r="J795" s="6">
        <v>0</v>
      </c>
      <c r="K795" s="6">
        <v>0</v>
      </c>
      <c r="L795" s="6">
        <v>1.661</v>
      </c>
      <c r="M795" s="6">
        <v>1.661</v>
      </c>
      <c r="N795" s="6">
        <v>1.661</v>
      </c>
      <c r="O795" s="6">
        <v>1.661</v>
      </c>
      <c r="P795" s="6">
        <v>0</v>
      </c>
      <c r="Q795" s="4" t="s">
        <v>26</v>
      </c>
      <c r="R795" s="4">
        <v>0</v>
      </c>
      <c r="S795" s="4" t="s">
        <v>328</v>
      </c>
      <c r="T795" s="4" t="s">
        <v>525</v>
      </c>
      <c r="U795" s="4">
        <v>0</v>
      </c>
      <c r="V795" s="4">
        <v>33</v>
      </c>
      <c r="W795" s="4">
        <v>75</v>
      </c>
    </row>
    <row r="796" spans="1:23" ht="11.25" customHeight="1" x14ac:dyDescent="0.25">
      <c r="A796" s="4" t="s">
        <v>21</v>
      </c>
      <c r="B796" s="4" t="s">
        <v>36</v>
      </c>
      <c r="C796" s="4" t="s">
        <v>32</v>
      </c>
      <c r="D796" s="4" t="s">
        <v>41</v>
      </c>
      <c r="E796" s="4" t="s">
        <v>25</v>
      </c>
      <c r="F796" s="4" t="s">
        <v>25</v>
      </c>
      <c r="G796" s="4" t="s">
        <v>25</v>
      </c>
      <c r="H796" s="4" t="s">
        <v>33</v>
      </c>
      <c r="I796" s="5">
        <v>44409</v>
      </c>
      <c r="J796" s="6">
        <v>0</v>
      </c>
      <c r="K796" s="6">
        <v>0</v>
      </c>
      <c r="L796" s="6">
        <v>1.4</v>
      </c>
      <c r="M796" s="6">
        <v>1.4</v>
      </c>
      <c r="N796" s="6">
        <v>1.4</v>
      </c>
      <c r="O796" s="6">
        <v>1.4</v>
      </c>
      <c r="P796" s="6">
        <v>0</v>
      </c>
      <c r="Q796" s="4" t="s">
        <v>26</v>
      </c>
      <c r="R796" s="4">
        <v>0</v>
      </c>
      <c r="S796" s="4" t="s">
        <v>329</v>
      </c>
      <c r="T796" s="4" t="s">
        <v>526</v>
      </c>
      <c r="U796" s="4">
        <v>0</v>
      </c>
      <c r="V796" s="4">
        <v>33</v>
      </c>
      <c r="W796" s="4">
        <v>75</v>
      </c>
    </row>
    <row r="797" spans="1:23" ht="11.25" customHeight="1" x14ac:dyDescent="0.25">
      <c r="A797" s="4" t="s">
        <v>21</v>
      </c>
      <c r="B797" s="4" t="s">
        <v>36</v>
      </c>
      <c r="C797" s="4" t="s">
        <v>32</v>
      </c>
      <c r="D797" s="4" t="s">
        <v>41</v>
      </c>
      <c r="E797" s="4" t="s">
        <v>25</v>
      </c>
      <c r="F797" s="4" t="s">
        <v>25</v>
      </c>
      <c r="G797" s="4" t="s">
        <v>25</v>
      </c>
      <c r="H797" s="4" t="s">
        <v>33</v>
      </c>
      <c r="I797" s="5">
        <v>44440</v>
      </c>
      <c r="J797" s="6">
        <v>0</v>
      </c>
      <c r="K797" s="6">
        <v>0</v>
      </c>
      <c r="L797" s="6">
        <v>1.401</v>
      </c>
      <c r="M797" s="6">
        <v>1.401</v>
      </c>
      <c r="N797" s="6">
        <v>1.401</v>
      </c>
      <c r="O797" s="6">
        <v>1.401</v>
      </c>
      <c r="P797" s="6">
        <v>0</v>
      </c>
      <c r="Q797" s="4" t="s">
        <v>26</v>
      </c>
      <c r="R797" s="4">
        <v>0</v>
      </c>
      <c r="S797" s="4" t="s">
        <v>330</v>
      </c>
      <c r="T797" s="4" t="s">
        <v>527</v>
      </c>
      <c r="U797" s="4">
        <v>0</v>
      </c>
      <c r="V797" s="4">
        <v>33</v>
      </c>
      <c r="W797" s="4">
        <v>75</v>
      </c>
    </row>
    <row r="798" spans="1:23" ht="11.25" customHeight="1" x14ac:dyDescent="0.25">
      <c r="A798" s="4" t="s">
        <v>21</v>
      </c>
      <c r="B798" s="4" t="s">
        <v>36</v>
      </c>
      <c r="C798" s="4" t="s">
        <v>32</v>
      </c>
      <c r="D798" s="4" t="s">
        <v>41</v>
      </c>
      <c r="E798" s="4" t="s">
        <v>25</v>
      </c>
      <c r="F798" s="4" t="s">
        <v>25</v>
      </c>
      <c r="G798" s="4" t="s">
        <v>25</v>
      </c>
      <c r="H798" s="4" t="s">
        <v>33</v>
      </c>
      <c r="I798" s="5">
        <v>44470</v>
      </c>
      <c r="J798" s="6">
        <v>0</v>
      </c>
      <c r="K798" s="6">
        <v>0</v>
      </c>
      <c r="L798" s="6">
        <v>1.506</v>
      </c>
      <c r="M798" s="6">
        <v>1.506</v>
      </c>
      <c r="N798" s="6">
        <v>1.506</v>
      </c>
      <c r="O798" s="6">
        <v>1.506</v>
      </c>
      <c r="P798" s="6">
        <v>0</v>
      </c>
      <c r="Q798" s="4" t="s">
        <v>26</v>
      </c>
      <c r="R798" s="4">
        <v>0</v>
      </c>
      <c r="S798" s="4" t="s">
        <v>331</v>
      </c>
      <c r="T798" s="4" t="s">
        <v>528</v>
      </c>
      <c r="U798" s="4">
        <v>0</v>
      </c>
      <c r="V798" s="4">
        <v>33</v>
      </c>
      <c r="W798" s="4">
        <v>75</v>
      </c>
    </row>
    <row r="799" spans="1:23" ht="11.25" customHeight="1" x14ac:dyDescent="0.25">
      <c r="A799" s="4" t="s">
        <v>21</v>
      </c>
      <c r="B799" s="4" t="s">
        <v>36</v>
      </c>
      <c r="C799" s="4" t="s">
        <v>32</v>
      </c>
      <c r="D799" s="4" t="s">
        <v>41</v>
      </c>
      <c r="E799" s="4" t="s">
        <v>25</v>
      </c>
      <c r="F799" s="4" t="s">
        <v>25</v>
      </c>
      <c r="G799" s="4" t="s">
        <v>25</v>
      </c>
      <c r="H799" s="4" t="s">
        <v>33</v>
      </c>
      <c r="I799" s="5">
        <v>44501</v>
      </c>
      <c r="J799" s="6">
        <v>0</v>
      </c>
      <c r="K799" s="6">
        <v>0</v>
      </c>
      <c r="L799" s="6">
        <v>1.865</v>
      </c>
      <c r="M799" s="6">
        <v>1.865</v>
      </c>
      <c r="N799" s="6">
        <v>1.865</v>
      </c>
      <c r="O799" s="6">
        <v>1.865</v>
      </c>
      <c r="P799" s="6">
        <v>0</v>
      </c>
      <c r="Q799" s="4" t="s">
        <v>26</v>
      </c>
      <c r="R799" s="4">
        <v>0</v>
      </c>
      <c r="S799" s="4" t="s">
        <v>332</v>
      </c>
      <c r="T799" s="4" t="s">
        <v>529</v>
      </c>
      <c r="U799" s="4">
        <v>0</v>
      </c>
      <c r="V799" s="4">
        <v>33</v>
      </c>
      <c r="W799" s="4">
        <v>75</v>
      </c>
    </row>
    <row r="800" spans="1:23" ht="11.25" customHeight="1" x14ac:dyDescent="0.25">
      <c r="A800" s="4" t="s">
        <v>21</v>
      </c>
      <c r="B800" s="4" t="s">
        <v>36</v>
      </c>
      <c r="C800" s="4" t="s">
        <v>32</v>
      </c>
      <c r="D800" s="4" t="s">
        <v>41</v>
      </c>
      <c r="E800" s="4" t="s">
        <v>25</v>
      </c>
      <c r="F800" s="4" t="s">
        <v>25</v>
      </c>
      <c r="G800" s="4" t="s">
        <v>25</v>
      </c>
      <c r="H800" s="4" t="s">
        <v>33</v>
      </c>
      <c r="I800" s="5">
        <v>44531</v>
      </c>
      <c r="J800" s="6">
        <v>0</v>
      </c>
      <c r="K800" s="6">
        <v>0</v>
      </c>
      <c r="L800" s="6">
        <v>1.996</v>
      </c>
      <c r="M800" s="6">
        <v>1.996</v>
      </c>
      <c r="N800" s="6">
        <v>1.996</v>
      </c>
      <c r="O800" s="6">
        <v>1.996</v>
      </c>
      <c r="P800" s="6">
        <v>0</v>
      </c>
      <c r="Q800" s="4" t="s">
        <v>26</v>
      </c>
      <c r="R800" s="4">
        <v>0</v>
      </c>
      <c r="S800" s="4" t="s">
        <v>333</v>
      </c>
      <c r="T800" s="4" t="s">
        <v>530</v>
      </c>
      <c r="U800" s="4">
        <v>0</v>
      </c>
      <c r="V800" s="4">
        <v>33</v>
      </c>
      <c r="W800" s="4">
        <v>75</v>
      </c>
    </row>
    <row r="801" spans="1:23" ht="11.25" customHeight="1" x14ac:dyDescent="0.25">
      <c r="A801" s="4" t="s">
        <v>21</v>
      </c>
      <c r="B801" s="4" t="s">
        <v>36</v>
      </c>
      <c r="C801" s="4" t="s">
        <v>32</v>
      </c>
      <c r="D801" s="4" t="s">
        <v>41</v>
      </c>
      <c r="E801" s="4" t="s">
        <v>25</v>
      </c>
      <c r="F801" s="4" t="s">
        <v>25</v>
      </c>
      <c r="G801" s="4" t="s">
        <v>25</v>
      </c>
      <c r="H801" s="4" t="s">
        <v>33</v>
      </c>
      <c r="I801" s="5">
        <v>44562</v>
      </c>
      <c r="J801" s="6">
        <v>0</v>
      </c>
      <c r="K801" s="6">
        <v>0</v>
      </c>
      <c r="L801" s="6">
        <v>2.5379999999999998</v>
      </c>
      <c r="M801" s="6">
        <v>2.5379999999999998</v>
      </c>
      <c r="N801" s="6">
        <v>2.5379999999999998</v>
      </c>
      <c r="O801" s="6">
        <v>2.5379999999999998</v>
      </c>
      <c r="P801" s="6">
        <v>0</v>
      </c>
      <c r="Q801" s="4" t="s">
        <v>26</v>
      </c>
      <c r="R801" s="4">
        <v>0</v>
      </c>
      <c r="S801" s="4" t="s">
        <v>334</v>
      </c>
      <c r="T801" s="4" t="s">
        <v>531</v>
      </c>
      <c r="U801" s="4">
        <v>0</v>
      </c>
      <c r="V801" s="4">
        <v>33</v>
      </c>
      <c r="W801" s="4">
        <v>75</v>
      </c>
    </row>
    <row r="802" spans="1:23" ht="11.25" customHeight="1" x14ac:dyDescent="0.25">
      <c r="A802" s="4" t="s">
        <v>21</v>
      </c>
      <c r="B802" s="4" t="s">
        <v>36</v>
      </c>
      <c r="C802" s="4" t="s">
        <v>32</v>
      </c>
      <c r="D802" s="4" t="s">
        <v>41</v>
      </c>
      <c r="E802" s="4" t="s">
        <v>25</v>
      </c>
      <c r="F802" s="4" t="s">
        <v>25</v>
      </c>
      <c r="G802" s="4" t="s">
        <v>25</v>
      </c>
      <c r="H802" s="4" t="s">
        <v>33</v>
      </c>
      <c r="I802" s="5">
        <v>44593</v>
      </c>
      <c r="J802" s="6">
        <v>0</v>
      </c>
      <c r="K802" s="6">
        <v>0</v>
      </c>
      <c r="L802" s="6">
        <v>1.871</v>
      </c>
      <c r="M802" s="6">
        <v>1.871</v>
      </c>
      <c r="N802" s="6">
        <v>1.871</v>
      </c>
      <c r="O802" s="6">
        <v>1.871</v>
      </c>
      <c r="P802" s="6">
        <v>0</v>
      </c>
      <c r="Q802" s="4" t="s">
        <v>26</v>
      </c>
      <c r="R802" s="4">
        <v>0</v>
      </c>
      <c r="S802" s="4" t="s">
        <v>335</v>
      </c>
      <c r="T802" s="4" t="s">
        <v>532</v>
      </c>
      <c r="U802" s="4">
        <v>0</v>
      </c>
      <c r="V802" s="4">
        <v>33</v>
      </c>
      <c r="W802" s="4">
        <v>75</v>
      </c>
    </row>
    <row r="803" spans="1:23" ht="11.25" customHeight="1" x14ac:dyDescent="0.25">
      <c r="A803" s="4" t="s">
        <v>21</v>
      </c>
      <c r="B803" s="4" t="s">
        <v>36</v>
      </c>
      <c r="C803" s="4" t="s">
        <v>32</v>
      </c>
      <c r="D803" s="4" t="s">
        <v>41</v>
      </c>
      <c r="E803" s="4" t="s">
        <v>25</v>
      </c>
      <c r="F803" s="4" t="s">
        <v>25</v>
      </c>
      <c r="G803" s="4" t="s">
        <v>25</v>
      </c>
      <c r="H803" s="4" t="s">
        <v>33</v>
      </c>
      <c r="I803" s="5">
        <v>44621</v>
      </c>
      <c r="J803" s="6">
        <v>0</v>
      </c>
      <c r="K803" s="6">
        <v>0</v>
      </c>
      <c r="L803" s="6">
        <v>1.47</v>
      </c>
      <c r="M803" s="6">
        <v>1.47</v>
      </c>
      <c r="N803" s="6">
        <v>1.47</v>
      </c>
      <c r="O803" s="6">
        <v>1.47</v>
      </c>
      <c r="P803" s="6">
        <v>0</v>
      </c>
      <c r="Q803" s="4" t="s">
        <v>26</v>
      </c>
      <c r="R803" s="4">
        <v>0</v>
      </c>
      <c r="S803" s="4" t="s">
        <v>336</v>
      </c>
      <c r="T803" s="4" t="s">
        <v>533</v>
      </c>
      <c r="U803" s="4">
        <v>0</v>
      </c>
      <c r="V803" s="4">
        <v>33</v>
      </c>
      <c r="W803" s="4">
        <v>75</v>
      </c>
    </row>
    <row r="804" spans="1:23" ht="11.25" customHeight="1" x14ac:dyDescent="0.25">
      <c r="A804" s="4" t="s">
        <v>21</v>
      </c>
      <c r="B804" s="4" t="s">
        <v>36</v>
      </c>
      <c r="C804" s="4" t="s">
        <v>32</v>
      </c>
      <c r="D804" s="4" t="s">
        <v>41</v>
      </c>
      <c r="E804" s="4" t="s">
        <v>25</v>
      </c>
      <c r="F804" s="4" t="s">
        <v>25</v>
      </c>
      <c r="G804" s="4" t="s">
        <v>25</v>
      </c>
      <c r="H804" s="4" t="s">
        <v>33</v>
      </c>
      <c r="I804" s="5">
        <v>44652</v>
      </c>
      <c r="J804" s="6">
        <v>0</v>
      </c>
      <c r="K804" s="6">
        <v>0</v>
      </c>
      <c r="L804" s="6">
        <v>1.9059999999999999</v>
      </c>
      <c r="M804" s="6">
        <v>1.9059999999999999</v>
      </c>
      <c r="N804" s="6">
        <v>1.9059999999999999</v>
      </c>
      <c r="O804" s="6">
        <v>1.9059999999999999</v>
      </c>
      <c r="P804" s="6">
        <v>0</v>
      </c>
      <c r="Q804" s="4" t="s">
        <v>26</v>
      </c>
      <c r="R804" s="4">
        <v>0</v>
      </c>
      <c r="S804" s="4" t="s">
        <v>337</v>
      </c>
      <c r="T804" s="4" t="s">
        <v>534</v>
      </c>
      <c r="U804" s="4">
        <v>0</v>
      </c>
      <c r="V804" s="4">
        <v>33</v>
      </c>
      <c r="W804" s="4">
        <v>75</v>
      </c>
    </row>
    <row r="805" spans="1:23" ht="11.25" customHeight="1" x14ac:dyDescent="0.25">
      <c r="A805" s="4" t="s">
        <v>21</v>
      </c>
      <c r="B805" s="4" t="s">
        <v>36</v>
      </c>
      <c r="C805" s="4" t="s">
        <v>32</v>
      </c>
      <c r="D805" s="4" t="s">
        <v>41</v>
      </c>
      <c r="E805" s="4" t="s">
        <v>25</v>
      </c>
      <c r="F805" s="4" t="s">
        <v>25</v>
      </c>
      <c r="G805" s="4" t="s">
        <v>25</v>
      </c>
      <c r="H805" s="4" t="s">
        <v>33</v>
      </c>
      <c r="I805" s="5">
        <v>44682</v>
      </c>
      <c r="J805" s="6">
        <v>0</v>
      </c>
      <c r="K805" s="6">
        <v>0</v>
      </c>
      <c r="L805" s="6">
        <v>1.429</v>
      </c>
      <c r="M805" s="6">
        <v>1.429</v>
      </c>
      <c r="N805" s="6">
        <v>1.429</v>
      </c>
      <c r="O805" s="6">
        <v>1.429</v>
      </c>
      <c r="P805" s="6">
        <v>0</v>
      </c>
      <c r="Q805" s="4" t="s">
        <v>26</v>
      </c>
      <c r="R805" s="4">
        <v>0</v>
      </c>
      <c r="S805" s="4" t="s">
        <v>338</v>
      </c>
      <c r="T805" s="4" t="s">
        <v>535</v>
      </c>
      <c r="U805" s="4">
        <v>0</v>
      </c>
      <c r="V805" s="4">
        <v>33</v>
      </c>
      <c r="W805" s="4">
        <v>75</v>
      </c>
    </row>
    <row r="806" spans="1:23" ht="11.25" customHeight="1" x14ac:dyDescent="0.25">
      <c r="A806" s="4" t="s">
        <v>56</v>
      </c>
      <c r="B806" s="4" t="s">
        <v>36</v>
      </c>
      <c r="C806" s="4" t="s">
        <v>32</v>
      </c>
      <c r="D806" s="4" t="s">
        <v>41</v>
      </c>
      <c r="E806" s="4" t="s">
        <v>25</v>
      </c>
      <c r="F806" s="4" t="s">
        <v>25</v>
      </c>
      <c r="G806" s="4" t="s">
        <v>25</v>
      </c>
      <c r="H806" s="4" t="s">
        <v>33</v>
      </c>
      <c r="I806" s="5">
        <v>44713</v>
      </c>
      <c r="J806" s="6">
        <v>0</v>
      </c>
      <c r="K806" s="6">
        <v>0</v>
      </c>
      <c r="L806" s="6">
        <v>1.429</v>
      </c>
      <c r="M806" s="6">
        <v>1.429</v>
      </c>
      <c r="N806" s="6">
        <v>1.429</v>
      </c>
      <c r="O806" s="6">
        <v>1.429</v>
      </c>
      <c r="P806" s="6">
        <v>0</v>
      </c>
      <c r="Q806" s="4" t="s">
        <v>26</v>
      </c>
      <c r="R806" s="4">
        <v>0</v>
      </c>
      <c r="S806" s="4" t="s">
        <v>339</v>
      </c>
      <c r="T806" s="4" t="s">
        <v>536</v>
      </c>
      <c r="U806" s="4">
        <v>0</v>
      </c>
      <c r="V806" s="4">
        <v>33</v>
      </c>
      <c r="W806" s="4">
        <v>75</v>
      </c>
    </row>
    <row r="807" spans="1:23" ht="11.25" customHeight="1" x14ac:dyDescent="0.25">
      <c r="A807" s="4" t="s">
        <v>21</v>
      </c>
      <c r="B807" s="4" t="s">
        <v>36</v>
      </c>
      <c r="C807" s="4" t="s">
        <v>23</v>
      </c>
      <c r="D807" s="4" t="s">
        <v>41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44378</v>
      </c>
      <c r="J807" s="6">
        <v>0</v>
      </c>
      <c r="K807" s="6">
        <v>0</v>
      </c>
      <c r="L807" s="6">
        <v>1496.1780000000001</v>
      </c>
      <c r="M807" s="6">
        <v>1496.1780000000001</v>
      </c>
      <c r="N807" s="6">
        <v>1496.1780000000001</v>
      </c>
      <c r="O807" s="6">
        <v>1496.1780000000001</v>
      </c>
      <c r="P807" s="6">
        <v>3511</v>
      </c>
      <c r="Q807" s="4" t="s">
        <v>26</v>
      </c>
      <c r="R807" s="4">
        <v>0</v>
      </c>
      <c r="S807" s="4" t="s">
        <v>340</v>
      </c>
      <c r="T807" s="4" t="s">
        <v>537</v>
      </c>
      <c r="U807" s="4">
        <v>0</v>
      </c>
      <c r="V807" s="4">
        <v>34</v>
      </c>
      <c r="W807" s="4">
        <v>80</v>
      </c>
    </row>
    <row r="808" spans="1:23" ht="11.25" customHeight="1" x14ac:dyDescent="0.25">
      <c r="A808" s="4" t="s">
        <v>27</v>
      </c>
      <c r="B808" s="4" t="s">
        <v>36</v>
      </c>
      <c r="C808" s="4" t="s">
        <v>23</v>
      </c>
      <c r="D808" s="4" t="s">
        <v>41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44378</v>
      </c>
      <c r="J808" s="6">
        <v>0</v>
      </c>
      <c r="K808" s="6">
        <v>0</v>
      </c>
      <c r="L808" s="6">
        <v>4.2000000000000003E-2</v>
      </c>
      <c r="M808" s="6">
        <v>4.2000000000000003E-2</v>
      </c>
      <c r="N808" s="6">
        <v>4.2000000000000003E-2</v>
      </c>
      <c r="O808" s="6">
        <v>4.2000000000000003E-2</v>
      </c>
      <c r="P808" s="6">
        <v>0</v>
      </c>
      <c r="Q808" s="4" t="s">
        <v>26</v>
      </c>
      <c r="R808" s="4">
        <v>0</v>
      </c>
      <c r="S808" s="4" t="s">
        <v>340</v>
      </c>
      <c r="T808" s="4" t="s">
        <v>537</v>
      </c>
      <c r="U808" s="4">
        <v>0</v>
      </c>
      <c r="V808" s="4">
        <v>34</v>
      </c>
      <c r="W808" s="4">
        <v>80</v>
      </c>
    </row>
    <row r="809" spans="1:23" ht="11.25" customHeight="1" x14ac:dyDescent="0.25">
      <c r="A809" s="4" t="s">
        <v>21</v>
      </c>
      <c r="B809" s="4" t="s">
        <v>36</v>
      </c>
      <c r="C809" s="4" t="s">
        <v>23</v>
      </c>
      <c r="D809" s="4" t="s">
        <v>41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44409</v>
      </c>
      <c r="J809" s="6">
        <v>0</v>
      </c>
      <c r="K809" s="6">
        <v>0</v>
      </c>
      <c r="L809" s="6">
        <v>1480.2719999999999</v>
      </c>
      <c r="M809" s="6">
        <v>1480.2719999999999</v>
      </c>
      <c r="N809" s="6">
        <v>1480.2719999999999</v>
      </c>
      <c r="O809" s="6">
        <v>1480.2719999999999</v>
      </c>
      <c r="P809" s="6">
        <v>3497</v>
      </c>
      <c r="Q809" s="4" t="s">
        <v>26</v>
      </c>
      <c r="R809" s="4">
        <v>0</v>
      </c>
      <c r="S809" s="4" t="s">
        <v>341</v>
      </c>
      <c r="T809" s="4" t="s">
        <v>538</v>
      </c>
      <c r="U809" s="4">
        <v>0</v>
      </c>
      <c r="V809" s="4">
        <v>34</v>
      </c>
      <c r="W809" s="4">
        <v>80</v>
      </c>
    </row>
    <row r="810" spans="1:23" ht="11.25" customHeight="1" x14ac:dyDescent="0.25">
      <c r="A810" s="4" t="s">
        <v>27</v>
      </c>
      <c r="B810" s="4" t="s">
        <v>36</v>
      </c>
      <c r="C810" s="4" t="s">
        <v>23</v>
      </c>
      <c r="D810" s="4" t="s">
        <v>41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44409</v>
      </c>
      <c r="J810" s="6">
        <v>0</v>
      </c>
      <c r="K810" s="6">
        <v>0</v>
      </c>
      <c r="L810" s="6">
        <v>-6.6000000000000003E-2</v>
      </c>
      <c r="M810" s="6">
        <v>-6.6000000000000003E-2</v>
      </c>
      <c r="N810" s="6">
        <v>-6.6000000000000003E-2</v>
      </c>
      <c r="O810" s="6">
        <v>-6.6000000000000003E-2</v>
      </c>
      <c r="P810" s="6">
        <v>0</v>
      </c>
      <c r="Q810" s="4" t="s">
        <v>26</v>
      </c>
      <c r="R810" s="4">
        <v>0</v>
      </c>
      <c r="S810" s="4" t="s">
        <v>341</v>
      </c>
      <c r="T810" s="4" t="s">
        <v>538</v>
      </c>
      <c r="U810" s="4">
        <v>0</v>
      </c>
      <c r="V810" s="4">
        <v>34</v>
      </c>
      <c r="W810" s="4">
        <v>80</v>
      </c>
    </row>
    <row r="811" spans="1:23" ht="11.25" customHeight="1" x14ac:dyDescent="0.25">
      <c r="A811" s="4" t="s">
        <v>55</v>
      </c>
      <c r="B811" s="4" t="s">
        <v>36</v>
      </c>
      <c r="C811" s="4" t="s">
        <v>23</v>
      </c>
      <c r="D811" s="4" t="s">
        <v>41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44409</v>
      </c>
      <c r="J811" s="6">
        <v>0</v>
      </c>
      <c r="K811" s="6">
        <v>0</v>
      </c>
      <c r="L811" s="6">
        <v>98.412000000000006</v>
      </c>
      <c r="M811" s="6">
        <v>98.412000000000006</v>
      </c>
      <c r="N811" s="6">
        <v>98.412000000000006</v>
      </c>
      <c r="O811" s="6">
        <v>98.412000000000006</v>
      </c>
      <c r="P811" s="6">
        <v>263</v>
      </c>
      <c r="Q811" s="4" t="s">
        <v>26</v>
      </c>
      <c r="R811" s="4">
        <v>0</v>
      </c>
      <c r="S811" s="4" t="s">
        <v>341</v>
      </c>
      <c r="T811" s="4" t="s">
        <v>538</v>
      </c>
      <c r="U811" s="4">
        <v>0</v>
      </c>
      <c r="V811" s="4">
        <v>34</v>
      </c>
      <c r="W811" s="4">
        <v>80</v>
      </c>
    </row>
    <row r="812" spans="1:23" ht="11.25" customHeight="1" x14ac:dyDescent="0.25">
      <c r="A812" s="4" t="s">
        <v>21</v>
      </c>
      <c r="B812" s="4" t="s">
        <v>36</v>
      </c>
      <c r="C812" s="4" t="s">
        <v>23</v>
      </c>
      <c r="D812" s="4" t="s">
        <v>41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44440</v>
      </c>
      <c r="J812" s="6">
        <v>0</v>
      </c>
      <c r="K812" s="6">
        <v>0</v>
      </c>
      <c r="L812" s="6">
        <v>1433.048</v>
      </c>
      <c r="M812" s="6">
        <v>1433.048</v>
      </c>
      <c r="N812" s="6">
        <v>1433.048</v>
      </c>
      <c r="O812" s="6">
        <v>1433.048</v>
      </c>
      <c r="P812" s="6">
        <v>3490</v>
      </c>
      <c r="Q812" s="4" t="s">
        <v>26</v>
      </c>
      <c r="R812" s="4">
        <v>0</v>
      </c>
      <c r="S812" s="4" t="s">
        <v>342</v>
      </c>
      <c r="T812" s="4" t="s">
        <v>539</v>
      </c>
      <c r="U812" s="4">
        <v>0</v>
      </c>
      <c r="V812" s="4">
        <v>34</v>
      </c>
      <c r="W812" s="4">
        <v>80</v>
      </c>
    </row>
    <row r="813" spans="1:23" ht="11.25" customHeight="1" x14ac:dyDescent="0.25">
      <c r="A813" s="4" t="s">
        <v>27</v>
      </c>
      <c r="B813" s="4" t="s">
        <v>36</v>
      </c>
      <c r="C813" s="4" t="s">
        <v>23</v>
      </c>
      <c r="D813" s="4" t="s">
        <v>41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44440</v>
      </c>
      <c r="J813" s="6">
        <v>0</v>
      </c>
      <c r="K813" s="6">
        <v>0</v>
      </c>
      <c r="L813" s="6">
        <v>-3.03</v>
      </c>
      <c r="M813" s="6">
        <v>-3.03</v>
      </c>
      <c r="N813" s="6">
        <v>-3.03</v>
      </c>
      <c r="O813" s="6">
        <v>-3.03</v>
      </c>
      <c r="P813" s="6">
        <v>0</v>
      </c>
      <c r="Q813" s="4" t="s">
        <v>26</v>
      </c>
      <c r="R813" s="4">
        <v>0</v>
      </c>
      <c r="S813" s="4" t="s">
        <v>342</v>
      </c>
      <c r="T813" s="4" t="s">
        <v>539</v>
      </c>
      <c r="U813" s="4">
        <v>0</v>
      </c>
      <c r="V813" s="4">
        <v>34</v>
      </c>
      <c r="W813" s="4">
        <v>80</v>
      </c>
    </row>
    <row r="814" spans="1:23" ht="11.25" customHeight="1" x14ac:dyDescent="0.25">
      <c r="A814" s="4" t="s">
        <v>55</v>
      </c>
      <c r="B814" s="4" t="s">
        <v>36</v>
      </c>
      <c r="C814" s="4" t="s">
        <v>23</v>
      </c>
      <c r="D814" s="4" t="s">
        <v>41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44440</v>
      </c>
      <c r="J814" s="6">
        <v>0</v>
      </c>
      <c r="K814" s="6">
        <v>0</v>
      </c>
      <c r="L814" s="6">
        <v>102.071</v>
      </c>
      <c r="M814" s="6">
        <v>102.071</v>
      </c>
      <c r="N814" s="6">
        <v>102.071</v>
      </c>
      <c r="O814" s="6">
        <v>102.071</v>
      </c>
      <c r="P814" s="6">
        <v>279</v>
      </c>
      <c r="Q814" s="4" t="s">
        <v>26</v>
      </c>
      <c r="R814" s="4">
        <v>0</v>
      </c>
      <c r="S814" s="4" t="s">
        <v>342</v>
      </c>
      <c r="T814" s="4" t="s">
        <v>539</v>
      </c>
      <c r="U814" s="4">
        <v>0</v>
      </c>
      <c r="V814" s="4">
        <v>34</v>
      </c>
      <c r="W814" s="4">
        <v>80</v>
      </c>
    </row>
    <row r="815" spans="1:23" ht="11.25" customHeight="1" x14ac:dyDescent="0.25">
      <c r="A815" s="4" t="s">
        <v>55</v>
      </c>
      <c r="B815" s="4" t="s">
        <v>36</v>
      </c>
      <c r="C815" s="4" t="s">
        <v>23</v>
      </c>
      <c r="D815" s="4" t="s">
        <v>41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44440</v>
      </c>
      <c r="J815" s="6">
        <v>0</v>
      </c>
      <c r="K815" s="6">
        <v>0</v>
      </c>
      <c r="L815" s="6">
        <v>0.997</v>
      </c>
      <c r="M815" s="6">
        <v>0.997</v>
      </c>
      <c r="N815" s="6">
        <v>0.997</v>
      </c>
      <c r="O815" s="6">
        <v>0.997</v>
      </c>
      <c r="P815" s="6">
        <v>1</v>
      </c>
      <c r="Q815" s="4" t="s">
        <v>26</v>
      </c>
      <c r="R815" s="4">
        <v>0</v>
      </c>
      <c r="S815" s="4" t="s">
        <v>342</v>
      </c>
      <c r="T815" s="4" t="s">
        <v>539</v>
      </c>
      <c r="U815" s="4">
        <v>0</v>
      </c>
      <c r="V815" s="4">
        <v>34</v>
      </c>
      <c r="W815" s="4">
        <v>80</v>
      </c>
    </row>
    <row r="816" spans="1:23" ht="11.25" customHeight="1" x14ac:dyDescent="0.25">
      <c r="A816" s="4" t="s">
        <v>21</v>
      </c>
      <c r="B816" s="4" t="s">
        <v>36</v>
      </c>
      <c r="C816" s="4" t="s">
        <v>23</v>
      </c>
      <c r="D816" s="4" t="s">
        <v>41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44470</v>
      </c>
      <c r="J816" s="6">
        <v>0</v>
      </c>
      <c r="K816" s="6">
        <v>0</v>
      </c>
      <c r="L816" s="6">
        <v>1456.4770000000001</v>
      </c>
      <c r="M816" s="6">
        <v>1456.4770000000001</v>
      </c>
      <c r="N816" s="6">
        <v>1456.4770000000001</v>
      </c>
      <c r="O816" s="6">
        <v>1456.4770000000001</v>
      </c>
      <c r="P816" s="6">
        <v>3478</v>
      </c>
      <c r="Q816" s="4" t="s">
        <v>26</v>
      </c>
      <c r="R816" s="4">
        <v>0</v>
      </c>
      <c r="S816" s="4" t="s">
        <v>343</v>
      </c>
      <c r="T816" s="4" t="s">
        <v>540</v>
      </c>
      <c r="U816" s="4">
        <v>0</v>
      </c>
      <c r="V816" s="4">
        <v>34</v>
      </c>
      <c r="W816" s="4">
        <v>80</v>
      </c>
    </row>
    <row r="817" spans="1:23" ht="11.25" customHeight="1" x14ac:dyDescent="0.25">
      <c r="A817" s="4" t="s">
        <v>27</v>
      </c>
      <c r="B817" s="4" t="s">
        <v>36</v>
      </c>
      <c r="C817" s="4" t="s">
        <v>23</v>
      </c>
      <c r="D817" s="4" t="s">
        <v>41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44470</v>
      </c>
      <c r="J817" s="6">
        <v>0</v>
      </c>
      <c r="K817" s="6">
        <v>0</v>
      </c>
      <c r="L817" s="6">
        <v>-11.048999999999999</v>
      </c>
      <c r="M817" s="6">
        <v>-11.048999999999999</v>
      </c>
      <c r="N817" s="6">
        <v>-11.048999999999999</v>
      </c>
      <c r="O817" s="6">
        <v>-11.048999999999999</v>
      </c>
      <c r="P817" s="6">
        <v>0</v>
      </c>
      <c r="Q817" s="4" t="s">
        <v>26</v>
      </c>
      <c r="R817" s="4">
        <v>0</v>
      </c>
      <c r="S817" s="4" t="s">
        <v>343</v>
      </c>
      <c r="T817" s="4" t="s">
        <v>540</v>
      </c>
      <c r="U817" s="4">
        <v>0</v>
      </c>
      <c r="V817" s="4">
        <v>34</v>
      </c>
      <c r="W817" s="4">
        <v>80</v>
      </c>
    </row>
    <row r="818" spans="1:23" ht="11.25" customHeight="1" x14ac:dyDescent="0.25">
      <c r="A818" s="4" t="s">
        <v>55</v>
      </c>
      <c r="B818" s="4" t="s">
        <v>36</v>
      </c>
      <c r="C818" s="4" t="s">
        <v>23</v>
      </c>
      <c r="D818" s="4" t="s">
        <v>41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44470</v>
      </c>
      <c r="J818" s="6">
        <v>0</v>
      </c>
      <c r="K818" s="6">
        <v>0</v>
      </c>
      <c r="L818" s="6">
        <v>94.376000000000005</v>
      </c>
      <c r="M818" s="6">
        <v>94.376000000000005</v>
      </c>
      <c r="N818" s="6">
        <v>94.376000000000005</v>
      </c>
      <c r="O818" s="6">
        <v>94.376000000000005</v>
      </c>
      <c r="P818" s="6">
        <v>289</v>
      </c>
      <c r="Q818" s="4" t="s">
        <v>26</v>
      </c>
      <c r="R818" s="4">
        <v>0</v>
      </c>
      <c r="S818" s="4" t="s">
        <v>343</v>
      </c>
      <c r="T818" s="4" t="s">
        <v>540</v>
      </c>
      <c r="U818" s="4">
        <v>0</v>
      </c>
      <c r="V818" s="4">
        <v>34</v>
      </c>
      <c r="W818" s="4">
        <v>80</v>
      </c>
    </row>
    <row r="819" spans="1:23" ht="11.25" customHeight="1" x14ac:dyDescent="0.25">
      <c r="A819" s="4" t="s">
        <v>21</v>
      </c>
      <c r="B819" s="4" t="s">
        <v>36</v>
      </c>
      <c r="C819" s="4" t="s">
        <v>23</v>
      </c>
      <c r="D819" s="4" t="s">
        <v>41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44501</v>
      </c>
      <c r="J819" s="6">
        <v>0</v>
      </c>
      <c r="K819" s="6">
        <v>0</v>
      </c>
      <c r="L819" s="6">
        <v>1624.27</v>
      </c>
      <c r="M819" s="6">
        <v>1624.27</v>
      </c>
      <c r="N819" s="6">
        <v>1624.27</v>
      </c>
      <c r="O819" s="6">
        <v>1624.27</v>
      </c>
      <c r="P819" s="6">
        <v>3459</v>
      </c>
      <c r="Q819" s="4" t="s">
        <v>26</v>
      </c>
      <c r="R819" s="4">
        <v>0</v>
      </c>
      <c r="S819" s="4" t="s">
        <v>344</v>
      </c>
      <c r="T819" s="4" t="s">
        <v>541</v>
      </c>
      <c r="U819" s="4">
        <v>0</v>
      </c>
      <c r="V819" s="4">
        <v>34</v>
      </c>
      <c r="W819" s="4">
        <v>80</v>
      </c>
    </row>
    <row r="820" spans="1:23" ht="11.25" customHeight="1" x14ac:dyDescent="0.25">
      <c r="A820" s="4" t="s">
        <v>27</v>
      </c>
      <c r="B820" s="4" t="s">
        <v>36</v>
      </c>
      <c r="C820" s="4" t="s">
        <v>23</v>
      </c>
      <c r="D820" s="4" t="s">
        <v>41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44501</v>
      </c>
      <c r="J820" s="6">
        <v>0</v>
      </c>
      <c r="K820" s="6">
        <v>0</v>
      </c>
      <c r="L820" s="6">
        <v>-7.5990000000000002</v>
      </c>
      <c r="M820" s="6">
        <v>-7.5990000000000002</v>
      </c>
      <c r="N820" s="6">
        <v>-7.5990000000000002</v>
      </c>
      <c r="O820" s="6">
        <v>-7.5990000000000002</v>
      </c>
      <c r="P820" s="6">
        <v>0</v>
      </c>
      <c r="Q820" s="4" t="s">
        <v>26</v>
      </c>
      <c r="R820" s="4">
        <v>0</v>
      </c>
      <c r="S820" s="4" t="s">
        <v>344</v>
      </c>
      <c r="T820" s="4" t="s">
        <v>541</v>
      </c>
      <c r="U820" s="4">
        <v>0</v>
      </c>
      <c r="V820" s="4">
        <v>34</v>
      </c>
      <c r="W820" s="4">
        <v>80</v>
      </c>
    </row>
    <row r="821" spans="1:23" ht="11.25" customHeight="1" x14ac:dyDescent="0.25">
      <c r="A821" s="4" t="s">
        <v>55</v>
      </c>
      <c r="B821" s="4" t="s">
        <v>36</v>
      </c>
      <c r="C821" s="4" t="s">
        <v>23</v>
      </c>
      <c r="D821" s="4" t="s">
        <v>41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44501</v>
      </c>
      <c r="J821" s="6">
        <v>0</v>
      </c>
      <c r="K821" s="6">
        <v>0</v>
      </c>
      <c r="L821" s="6">
        <v>91.132999999999996</v>
      </c>
      <c r="M821" s="6">
        <v>91.132999999999996</v>
      </c>
      <c r="N821" s="6">
        <v>91.132999999999996</v>
      </c>
      <c r="O821" s="6">
        <v>91.132999999999996</v>
      </c>
      <c r="P821" s="6">
        <v>308</v>
      </c>
      <c r="Q821" s="4" t="s">
        <v>26</v>
      </c>
      <c r="R821" s="4">
        <v>0</v>
      </c>
      <c r="S821" s="4" t="s">
        <v>344</v>
      </c>
      <c r="T821" s="4" t="s">
        <v>541</v>
      </c>
      <c r="U821" s="4">
        <v>0</v>
      </c>
      <c r="V821" s="4">
        <v>34</v>
      </c>
      <c r="W821" s="4">
        <v>80</v>
      </c>
    </row>
    <row r="822" spans="1:23" ht="11.25" customHeight="1" x14ac:dyDescent="0.25">
      <c r="A822" s="4" t="s">
        <v>21</v>
      </c>
      <c r="B822" s="4" t="s">
        <v>36</v>
      </c>
      <c r="C822" s="4" t="s">
        <v>23</v>
      </c>
      <c r="D822" s="4" t="s">
        <v>41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44531</v>
      </c>
      <c r="J822" s="6">
        <v>0</v>
      </c>
      <c r="K822" s="6">
        <v>0</v>
      </c>
      <c r="L822" s="6">
        <v>1704.2360000000001</v>
      </c>
      <c r="M822" s="6">
        <v>1704.2360000000001</v>
      </c>
      <c r="N822" s="6">
        <v>1704.2360000000001</v>
      </c>
      <c r="O822" s="6">
        <v>1704.2360000000001</v>
      </c>
      <c r="P822" s="6">
        <v>3467</v>
      </c>
      <c r="Q822" s="4" t="s">
        <v>26</v>
      </c>
      <c r="R822" s="4">
        <v>0</v>
      </c>
      <c r="S822" s="4" t="s">
        <v>345</v>
      </c>
      <c r="T822" s="4" t="s">
        <v>542</v>
      </c>
      <c r="U822" s="4">
        <v>0</v>
      </c>
      <c r="V822" s="4">
        <v>34</v>
      </c>
      <c r="W822" s="4">
        <v>80</v>
      </c>
    </row>
    <row r="823" spans="1:23" ht="11.25" customHeight="1" x14ac:dyDescent="0.25">
      <c r="A823" s="4" t="s">
        <v>27</v>
      </c>
      <c r="B823" s="4" t="s">
        <v>36</v>
      </c>
      <c r="C823" s="4" t="s">
        <v>23</v>
      </c>
      <c r="D823" s="4" t="s">
        <v>41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44531</v>
      </c>
      <c r="J823" s="6">
        <v>0</v>
      </c>
      <c r="K823" s="6">
        <v>0</v>
      </c>
      <c r="L823" s="6">
        <v>-211.714</v>
      </c>
      <c r="M823" s="6">
        <v>-211.714</v>
      </c>
      <c r="N823" s="6">
        <v>-211.714</v>
      </c>
      <c r="O823" s="6">
        <v>-211.714</v>
      </c>
      <c r="P823" s="6">
        <v>0</v>
      </c>
      <c r="Q823" s="4" t="s">
        <v>26</v>
      </c>
      <c r="R823" s="4">
        <v>0</v>
      </c>
      <c r="S823" s="4" t="s">
        <v>345</v>
      </c>
      <c r="T823" s="4" t="s">
        <v>542</v>
      </c>
      <c r="U823" s="4">
        <v>0</v>
      </c>
      <c r="V823" s="4">
        <v>34</v>
      </c>
      <c r="W823" s="4">
        <v>80</v>
      </c>
    </row>
    <row r="824" spans="1:23" ht="11.25" customHeight="1" x14ac:dyDescent="0.25">
      <c r="A824" s="4" t="s">
        <v>55</v>
      </c>
      <c r="B824" s="4" t="s">
        <v>36</v>
      </c>
      <c r="C824" s="4" t="s">
        <v>23</v>
      </c>
      <c r="D824" s="4" t="s">
        <v>41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120.959</v>
      </c>
      <c r="M824" s="6">
        <v>120.959</v>
      </c>
      <c r="N824" s="6">
        <v>120.959</v>
      </c>
      <c r="O824" s="6">
        <v>120.959</v>
      </c>
      <c r="P824" s="6">
        <v>330</v>
      </c>
      <c r="Q824" s="4" t="s">
        <v>26</v>
      </c>
      <c r="R824" s="4">
        <v>0</v>
      </c>
      <c r="S824" s="4" t="s">
        <v>345</v>
      </c>
      <c r="T824" s="4" t="s">
        <v>542</v>
      </c>
      <c r="U824" s="4">
        <v>0</v>
      </c>
      <c r="V824" s="4">
        <v>34</v>
      </c>
      <c r="W824" s="4">
        <v>80</v>
      </c>
    </row>
    <row r="825" spans="1:23" ht="11.25" customHeight="1" x14ac:dyDescent="0.25">
      <c r="A825" s="4" t="s">
        <v>55</v>
      </c>
      <c r="B825" s="4" t="s">
        <v>36</v>
      </c>
      <c r="C825" s="4" t="s">
        <v>23</v>
      </c>
      <c r="D825" s="4" t="s">
        <v>41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44531</v>
      </c>
      <c r="J825" s="6">
        <v>0</v>
      </c>
      <c r="K825" s="6">
        <v>0</v>
      </c>
      <c r="L825" s="6">
        <v>0.1</v>
      </c>
      <c r="M825" s="6">
        <v>0.1</v>
      </c>
      <c r="N825" s="6">
        <v>0.1</v>
      </c>
      <c r="O825" s="6">
        <v>0.1</v>
      </c>
      <c r="P825" s="6">
        <v>1</v>
      </c>
      <c r="Q825" s="4" t="s">
        <v>26</v>
      </c>
      <c r="R825" s="4">
        <v>0</v>
      </c>
      <c r="S825" s="4" t="s">
        <v>345</v>
      </c>
      <c r="T825" s="4" t="s">
        <v>542</v>
      </c>
      <c r="U825" s="4">
        <v>0</v>
      </c>
      <c r="V825" s="4">
        <v>34</v>
      </c>
      <c r="W825" s="4">
        <v>80</v>
      </c>
    </row>
    <row r="826" spans="1:23" ht="11.25" customHeight="1" x14ac:dyDescent="0.25">
      <c r="A826" s="4" t="s">
        <v>21</v>
      </c>
      <c r="B826" s="4" t="s">
        <v>36</v>
      </c>
      <c r="C826" s="4" t="s">
        <v>23</v>
      </c>
      <c r="D826" s="4" t="s">
        <v>41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44562</v>
      </c>
      <c r="J826" s="6">
        <v>0</v>
      </c>
      <c r="K826" s="6">
        <v>0</v>
      </c>
      <c r="L826" s="6">
        <v>1899.3979999999999</v>
      </c>
      <c r="M826" s="6">
        <v>1899.3979999999999</v>
      </c>
      <c r="N826" s="6">
        <v>1899.3979999999999</v>
      </c>
      <c r="O826" s="6">
        <v>1899.3979999999999</v>
      </c>
      <c r="P826" s="6">
        <v>3426</v>
      </c>
      <c r="Q826" s="4" t="s">
        <v>26</v>
      </c>
      <c r="R826" s="4">
        <v>0</v>
      </c>
      <c r="S826" s="4" t="s">
        <v>346</v>
      </c>
      <c r="T826" s="4" t="s">
        <v>543</v>
      </c>
      <c r="U826" s="4">
        <v>0</v>
      </c>
      <c r="V826" s="4">
        <v>34</v>
      </c>
      <c r="W826" s="4">
        <v>80</v>
      </c>
    </row>
    <row r="827" spans="1:23" ht="11.25" customHeight="1" x14ac:dyDescent="0.25">
      <c r="A827" s="4" t="s">
        <v>27</v>
      </c>
      <c r="B827" s="4" t="s">
        <v>36</v>
      </c>
      <c r="C827" s="4" t="s">
        <v>23</v>
      </c>
      <c r="D827" s="4" t="s">
        <v>41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44562</v>
      </c>
      <c r="J827" s="6">
        <v>0</v>
      </c>
      <c r="K827" s="6">
        <v>0</v>
      </c>
      <c r="L827" s="6">
        <v>-0.47399999999999998</v>
      </c>
      <c r="M827" s="6">
        <v>-0.47399999999999998</v>
      </c>
      <c r="N827" s="6">
        <v>-0.47399999999999998</v>
      </c>
      <c r="O827" s="6">
        <v>-0.47399999999999998</v>
      </c>
      <c r="P827" s="6">
        <v>0</v>
      </c>
      <c r="Q827" s="4" t="s">
        <v>26</v>
      </c>
      <c r="R827" s="4">
        <v>0</v>
      </c>
      <c r="S827" s="4" t="s">
        <v>346</v>
      </c>
      <c r="T827" s="4" t="s">
        <v>543</v>
      </c>
      <c r="U827" s="4">
        <v>0</v>
      </c>
      <c r="V827" s="4">
        <v>34</v>
      </c>
      <c r="W827" s="4">
        <v>80</v>
      </c>
    </row>
    <row r="828" spans="1:23" ht="11.25" customHeight="1" x14ac:dyDescent="0.25">
      <c r="A828" s="4" t="s">
        <v>55</v>
      </c>
      <c r="B828" s="4" t="s">
        <v>36</v>
      </c>
      <c r="C828" s="4" t="s">
        <v>23</v>
      </c>
      <c r="D828" s="4" t="s">
        <v>41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44562</v>
      </c>
      <c r="J828" s="6">
        <v>0</v>
      </c>
      <c r="K828" s="6">
        <v>0</v>
      </c>
      <c r="L828" s="6">
        <v>115.46</v>
      </c>
      <c r="M828" s="6">
        <v>115.46</v>
      </c>
      <c r="N828" s="6">
        <v>115.46</v>
      </c>
      <c r="O828" s="6">
        <v>115.46</v>
      </c>
      <c r="P828" s="6">
        <v>344</v>
      </c>
      <c r="Q828" s="4" t="s">
        <v>26</v>
      </c>
      <c r="R828" s="4">
        <v>0</v>
      </c>
      <c r="S828" s="4" t="s">
        <v>346</v>
      </c>
      <c r="T828" s="4" t="s">
        <v>543</v>
      </c>
      <c r="U828" s="4">
        <v>0</v>
      </c>
      <c r="V828" s="4">
        <v>34</v>
      </c>
      <c r="W828" s="4">
        <v>80</v>
      </c>
    </row>
    <row r="829" spans="1:23" ht="11.25" customHeight="1" x14ac:dyDescent="0.25">
      <c r="A829" s="4" t="s">
        <v>55</v>
      </c>
      <c r="B829" s="4" t="s">
        <v>36</v>
      </c>
      <c r="C829" s="4" t="s">
        <v>23</v>
      </c>
      <c r="D829" s="4" t="s">
        <v>41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44562</v>
      </c>
      <c r="J829" s="6">
        <v>0</v>
      </c>
      <c r="K829" s="6">
        <v>0</v>
      </c>
      <c r="L829" s="6">
        <v>0.1</v>
      </c>
      <c r="M829" s="6">
        <v>0.1</v>
      </c>
      <c r="N829" s="6">
        <v>0.1</v>
      </c>
      <c r="O829" s="6">
        <v>0.1</v>
      </c>
      <c r="P829" s="6">
        <v>1</v>
      </c>
      <c r="Q829" s="4" t="s">
        <v>26</v>
      </c>
      <c r="R829" s="4">
        <v>0</v>
      </c>
      <c r="S829" s="4" t="s">
        <v>346</v>
      </c>
      <c r="T829" s="4" t="s">
        <v>543</v>
      </c>
      <c r="U829" s="4">
        <v>0</v>
      </c>
      <c r="V829" s="4">
        <v>34</v>
      </c>
      <c r="W829" s="4">
        <v>80</v>
      </c>
    </row>
    <row r="830" spans="1:23" ht="11.25" customHeight="1" x14ac:dyDescent="0.25">
      <c r="A830" s="4" t="s">
        <v>21</v>
      </c>
      <c r="B830" s="4" t="s">
        <v>36</v>
      </c>
      <c r="C830" s="4" t="s">
        <v>23</v>
      </c>
      <c r="D830" s="4" t="s">
        <v>41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44593</v>
      </c>
      <c r="J830" s="6">
        <v>0</v>
      </c>
      <c r="K830" s="6">
        <v>0</v>
      </c>
      <c r="L830" s="6">
        <v>1757.3530000000001</v>
      </c>
      <c r="M830" s="6">
        <v>1757.3530000000001</v>
      </c>
      <c r="N830" s="6">
        <v>1757.3530000000001</v>
      </c>
      <c r="O830" s="6">
        <v>1757.3530000000001</v>
      </c>
      <c r="P830" s="6">
        <v>3403</v>
      </c>
      <c r="Q830" s="4" t="s">
        <v>26</v>
      </c>
      <c r="R830" s="4">
        <v>0</v>
      </c>
      <c r="S830" s="4" t="s">
        <v>347</v>
      </c>
      <c r="T830" s="4" t="s">
        <v>544</v>
      </c>
      <c r="U830" s="4">
        <v>0</v>
      </c>
      <c r="V830" s="4">
        <v>34</v>
      </c>
      <c r="W830" s="4">
        <v>80</v>
      </c>
    </row>
    <row r="831" spans="1:23" ht="11.25" customHeight="1" x14ac:dyDescent="0.25">
      <c r="A831" s="4" t="s">
        <v>27</v>
      </c>
      <c r="B831" s="4" t="s">
        <v>36</v>
      </c>
      <c r="C831" s="4" t="s">
        <v>23</v>
      </c>
      <c r="D831" s="4" t="s">
        <v>41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44593</v>
      </c>
      <c r="J831" s="6">
        <v>0</v>
      </c>
      <c r="K831" s="6">
        <v>0</v>
      </c>
      <c r="L831" s="6">
        <v>-1.524</v>
      </c>
      <c r="M831" s="6">
        <v>-1.524</v>
      </c>
      <c r="N831" s="6">
        <v>-1.524</v>
      </c>
      <c r="O831" s="6">
        <v>-1.524</v>
      </c>
      <c r="P831" s="6">
        <v>0</v>
      </c>
      <c r="Q831" s="4" t="s">
        <v>26</v>
      </c>
      <c r="R831" s="4">
        <v>0</v>
      </c>
      <c r="S831" s="4" t="s">
        <v>347</v>
      </c>
      <c r="T831" s="4" t="s">
        <v>544</v>
      </c>
      <c r="U831" s="4">
        <v>0</v>
      </c>
      <c r="V831" s="4">
        <v>34</v>
      </c>
      <c r="W831" s="4">
        <v>80</v>
      </c>
    </row>
    <row r="832" spans="1:23" ht="11.25" customHeight="1" x14ac:dyDescent="0.25">
      <c r="A832" s="4" t="s">
        <v>55</v>
      </c>
      <c r="B832" s="4" t="s">
        <v>36</v>
      </c>
      <c r="C832" s="4" t="s">
        <v>23</v>
      </c>
      <c r="D832" s="4" t="s">
        <v>41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44593</v>
      </c>
      <c r="J832" s="6">
        <v>0</v>
      </c>
      <c r="K832" s="6">
        <v>0</v>
      </c>
      <c r="L832" s="6">
        <v>138.67599999999999</v>
      </c>
      <c r="M832" s="6">
        <v>138.67599999999999</v>
      </c>
      <c r="N832" s="6">
        <v>138.67599999999999</v>
      </c>
      <c r="O832" s="6">
        <v>138.67599999999999</v>
      </c>
      <c r="P832" s="6">
        <v>364</v>
      </c>
      <c r="Q832" s="4" t="s">
        <v>26</v>
      </c>
      <c r="R832" s="4">
        <v>0</v>
      </c>
      <c r="S832" s="4" t="s">
        <v>347</v>
      </c>
      <c r="T832" s="4" t="s">
        <v>544</v>
      </c>
      <c r="U832" s="4">
        <v>0</v>
      </c>
      <c r="V832" s="4">
        <v>34</v>
      </c>
      <c r="W832" s="4">
        <v>80</v>
      </c>
    </row>
    <row r="833" spans="1:23" ht="11.25" customHeight="1" x14ac:dyDescent="0.25">
      <c r="A833" s="4" t="s">
        <v>21</v>
      </c>
      <c r="B833" s="4" t="s">
        <v>36</v>
      </c>
      <c r="C833" s="4" t="s">
        <v>23</v>
      </c>
      <c r="D833" s="4" t="s">
        <v>41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44621</v>
      </c>
      <c r="J833" s="6">
        <v>0</v>
      </c>
      <c r="K833" s="6">
        <v>0</v>
      </c>
      <c r="L833" s="6">
        <v>1864.232</v>
      </c>
      <c r="M833" s="6">
        <v>1864.232</v>
      </c>
      <c r="N833" s="6">
        <v>1864.232</v>
      </c>
      <c r="O833" s="6">
        <v>1864.232</v>
      </c>
      <c r="P833" s="6">
        <v>3405</v>
      </c>
      <c r="Q833" s="4" t="s">
        <v>26</v>
      </c>
      <c r="R833" s="4">
        <v>0</v>
      </c>
      <c r="S833" s="4" t="s">
        <v>348</v>
      </c>
      <c r="T833" s="4" t="s">
        <v>545</v>
      </c>
      <c r="U833" s="4">
        <v>0</v>
      </c>
      <c r="V833" s="4">
        <v>34</v>
      </c>
      <c r="W833" s="4">
        <v>80</v>
      </c>
    </row>
    <row r="834" spans="1:23" ht="11.25" customHeight="1" x14ac:dyDescent="0.25">
      <c r="A834" s="4" t="s">
        <v>27</v>
      </c>
      <c r="B834" s="4" t="s">
        <v>36</v>
      </c>
      <c r="C834" s="4" t="s">
        <v>23</v>
      </c>
      <c r="D834" s="4" t="s">
        <v>41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44621</v>
      </c>
      <c r="J834" s="6">
        <v>0</v>
      </c>
      <c r="K834" s="6">
        <v>0</v>
      </c>
      <c r="L834" s="6">
        <v>-0.33700000000000002</v>
      </c>
      <c r="M834" s="6">
        <v>-0.33700000000000002</v>
      </c>
      <c r="N834" s="6">
        <v>-0.33700000000000002</v>
      </c>
      <c r="O834" s="6">
        <v>-0.33700000000000002</v>
      </c>
      <c r="P834" s="6">
        <v>0</v>
      </c>
      <c r="Q834" s="4" t="s">
        <v>26</v>
      </c>
      <c r="R834" s="4">
        <v>0</v>
      </c>
      <c r="S834" s="4" t="s">
        <v>348</v>
      </c>
      <c r="T834" s="4" t="s">
        <v>545</v>
      </c>
      <c r="U834" s="4">
        <v>0</v>
      </c>
      <c r="V834" s="4">
        <v>34</v>
      </c>
      <c r="W834" s="4">
        <v>80</v>
      </c>
    </row>
    <row r="835" spans="1:23" ht="11.25" customHeight="1" x14ac:dyDescent="0.25">
      <c r="A835" s="4" t="s">
        <v>55</v>
      </c>
      <c r="B835" s="4" t="s">
        <v>36</v>
      </c>
      <c r="C835" s="4" t="s">
        <v>23</v>
      </c>
      <c r="D835" s="4" t="s">
        <v>41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44621</v>
      </c>
      <c r="J835" s="6">
        <v>0</v>
      </c>
      <c r="K835" s="6">
        <v>0</v>
      </c>
      <c r="L835" s="6">
        <v>162.666</v>
      </c>
      <c r="M835" s="6">
        <v>162.666</v>
      </c>
      <c r="N835" s="6">
        <v>162.666</v>
      </c>
      <c r="O835" s="6">
        <v>162.666</v>
      </c>
      <c r="P835" s="6">
        <v>373</v>
      </c>
      <c r="Q835" s="4" t="s">
        <v>26</v>
      </c>
      <c r="R835" s="4">
        <v>0</v>
      </c>
      <c r="S835" s="4" t="s">
        <v>348</v>
      </c>
      <c r="T835" s="4" t="s">
        <v>545</v>
      </c>
      <c r="U835" s="4">
        <v>0</v>
      </c>
      <c r="V835" s="4">
        <v>34</v>
      </c>
      <c r="W835" s="4">
        <v>80</v>
      </c>
    </row>
    <row r="836" spans="1:23" ht="11.25" customHeight="1" x14ac:dyDescent="0.25">
      <c r="A836" s="4" t="s">
        <v>55</v>
      </c>
      <c r="B836" s="4" t="s">
        <v>36</v>
      </c>
      <c r="C836" s="4" t="s">
        <v>23</v>
      </c>
      <c r="D836" s="4" t="s">
        <v>41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44621</v>
      </c>
      <c r="J836" s="6">
        <v>0</v>
      </c>
      <c r="K836" s="6">
        <v>0</v>
      </c>
      <c r="L836" s="6">
        <v>-1.3220000000000001</v>
      </c>
      <c r="M836" s="6">
        <v>-1.3220000000000001</v>
      </c>
      <c r="N836" s="6">
        <v>-1.3220000000000001</v>
      </c>
      <c r="O836" s="6">
        <v>-1.3220000000000001</v>
      </c>
      <c r="P836" s="6">
        <v>8</v>
      </c>
      <c r="Q836" s="4" t="s">
        <v>26</v>
      </c>
      <c r="R836" s="4">
        <v>0</v>
      </c>
      <c r="S836" s="4" t="s">
        <v>348</v>
      </c>
      <c r="T836" s="4" t="s">
        <v>545</v>
      </c>
      <c r="U836" s="4">
        <v>0</v>
      </c>
      <c r="V836" s="4">
        <v>34</v>
      </c>
      <c r="W836" s="4">
        <v>80</v>
      </c>
    </row>
    <row r="837" spans="1:23" ht="11.25" customHeight="1" x14ac:dyDescent="0.25">
      <c r="A837" s="4" t="s">
        <v>21</v>
      </c>
      <c r="B837" s="4" t="s">
        <v>36</v>
      </c>
      <c r="C837" s="4" t="s">
        <v>23</v>
      </c>
      <c r="D837" s="4" t="s">
        <v>41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44652</v>
      </c>
      <c r="J837" s="6">
        <v>0</v>
      </c>
      <c r="K837" s="6">
        <v>0</v>
      </c>
      <c r="L837" s="6">
        <v>1404.752</v>
      </c>
      <c r="M837" s="6">
        <v>1404.752</v>
      </c>
      <c r="N837" s="6">
        <v>1404.752</v>
      </c>
      <c r="O837" s="6">
        <v>1404.752</v>
      </c>
      <c r="P837" s="6">
        <v>3393</v>
      </c>
      <c r="Q837" s="4" t="s">
        <v>26</v>
      </c>
      <c r="R837" s="4">
        <v>0</v>
      </c>
      <c r="S837" s="4" t="s">
        <v>349</v>
      </c>
      <c r="T837" s="4" t="s">
        <v>546</v>
      </c>
      <c r="U837" s="4">
        <v>0</v>
      </c>
      <c r="V837" s="4">
        <v>34</v>
      </c>
      <c r="W837" s="4">
        <v>80</v>
      </c>
    </row>
    <row r="838" spans="1:23" ht="11.25" customHeight="1" x14ac:dyDescent="0.25">
      <c r="A838" s="4" t="s">
        <v>27</v>
      </c>
      <c r="B838" s="4" t="s">
        <v>36</v>
      </c>
      <c r="C838" s="4" t="s">
        <v>23</v>
      </c>
      <c r="D838" s="4" t="s">
        <v>41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44652</v>
      </c>
      <c r="J838" s="6">
        <v>0</v>
      </c>
      <c r="K838" s="6">
        <v>0</v>
      </c>
      <c r="L838" s="6">
        <v>-2.246</v>
      </c>
      <c r="M838" s="6">
        <v>-2.246</v>
      </c>
      <c r="N838" s="6">
        <v>-2.246</v>
      </c>
      <c r="O838" s="6">
        <v>-2.246</v>
      </c>
      <c r="P838" s="6">
        <v>0</v>
      </c>
      <c r="Q838" s="4" t="s">
        <v>26</v>
      </c>
      <c r="R838" s="4">
        <v>0</v>
      </c>
      <c r="S838" s="4" t="s">
        <v>349</v>
      </c>
      <c r="T838" s="4" t="s">
        <v>546</v>
      </c>
      <c r="U838" s="4">
        <v>0</v>
      </c>
      <c r="V838" s="4">
        <v>34</v>
      </c>
      <c r="W838" s="4">
        <v>80</v>
      </c>
    </row>
    <row r="839" spans="1:23" ht="11.25" customHeight="1" x14ac:dyDescent="0.25">
      <c r="A839" s="4" t="s">
        <v>55</v>
      </c>
      <c r="B839" s="4" t="s">
        <v>36</v>
      </c>
      <c r="C839" s="4" t="s">
        <v>23</v>
      </c>
      <c r="D839" s="4" t="s">
        <v>41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44652</v>
      </c>
      <c r="J839" s="6">
        <v>0</v>
      </c>
      <c r="K839" s="6">
        <v>0</v>
      </c>
      <c r="L839" s="6">
        <v>141.43</v>
      </c>
      <c r="M839" s="6">
        <v>141.43</v>
      </c>
      <c r="N839" s="6">
        <v>141.43</v>
      </c>
      <c r="O839" s="6">
        <v>141.43</v>
      </c>
      <c r="P839" s="6">
        <v>376</v>
      </c>
      <c r="Q839" s="4" t="s">
        <v>26</v>
      </c>
      <c r="R839" s="4">
        <v>0</v>
      </c>
      <c r="S839" s="4" t="s">
        <v>349</v>
      </c>
      <c r="T839" s="4" t="s">
        <v>546</v>
      </c>
      <c r="U839" s="4">
        <v>0</v>
      </c>
      <c r="V839" s="4">
        <v>34</v>
      </c>
      <c r="W839" s="4">
        <v>80</v>
      </c>
    </row>
    <row r="840" spans="1:23" ht="11.25" customHeight="1" x14ac:dyDescent="0.25">
      <c r="A840" s="4" t="s">
        <v>55</v>
      </c>
      <c r="B840" s="4" t="s">
        <v>36</v>
      </c>
      <c r="C840" s="4" t="s">
        <v>23</v>
      </c>
      <c r="D840" s="4" t="s">
        <v>41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9.5510000000000002</v>
      </c>
      <c r="M840" s="6">
        <v>9.5510000000000002</v>
      </c>
      <c r="N840" s="6">
        <v>9.5510000000000002</v>
      </c>
      <c r="O840" s="6">
        <v>9.5510000000000002</v>
      </c>
      <c r="P840" s="6">
        <v>11</v>
      </c>
      <c r="Q840" s="4" t="s">
        <v>26</v>
      </c>
      <c r="R840" s="4">
        <v>0</v>
      </c>
      <c r="S840" s="4" t="s">
        <v>349</v>
      </c>
      <c r="T840" s="4" t="s">
        <v>546</v>
      </c>
      <c r="U840" s="4">
        <v>0</v>
      </c>
      <c r="V840" s="4">
        <v>34</v>
      </c>
      <c r="W840" s="4">
        <v>80</v>
      </c>
    </row>
    <row r="841" spans="1:23" ht="11.25" customHeight="1" x14ac:dyDescent="0.25">
      <c r="A841" s="4" t="s">
        <v>21</v>
      </c>
      <c r="B841" s="4" t="s">
        <v>36</v>
      </c>
      <c r="C841" s="4" t="s">
        <v>23</v>
      </c>
      <c r="D841" s="4" t="s">
        <v>41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44682</v>
      </c>
      <c r="J841" s="6">
        <v>0</v>
      </c>
      <c r="K841" s="6">
        <v>0</v>
      </c>
      <c r="L841" s="6">
        <v>1289.569</v>
      </c>
      <c r="M841" s="6">
        <v>1289.569</v>
      </c>
      <c r="N841" s="6">
        <v>1289.569</v>
      </c>
      <c r="O841" s="6">
        <v>1289.569</v>
      </c>
      <c r="P841" s="6">
        <v>3370</v>
      </c>
      <c r="Q841" s="4" t="s">
        <v>26</v>
      </c>
      <c r="R841" s="4">
        <v>0</v>
      </c>
      <c r="S841" s="4" t="s">
        <v>350</v>
      </c>
      <c r="T841" s="4" t="s">
        <v>547</v>
      </c>
      <c r="U841" s="4">
        <v>0</v>
      </c>
      <c r="V841" s="4">
        <v>34</v>
      </c>
      <c r="W841" s="4">
        <v>80</v>
      </c>
    </row>
    <row r="842" spans="1:23" ht="11.25" customHeight="1" x14ac:dyDescent="0.25">
      <c r="A842" s="4" t="s">
        <v>55</v>
      </c>
      <c r="B842" s="4" t="s">
        <v>36</v>
      </c>
      <c r="C842" s="4" t="s">
        <v>23</v>
      </c>
      <c r="D842" s="4" t="s">
        <v>41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44682</v>
      </c>
      <c r="J842" s="6">
        <v>0</v>
      </c>
      <c r="K842" s="6">
        <v>0</v>
      </c>
      <c r="L842" s="6">
        <v>159.91200000000001</v>
      </c>
      <c r="M842" s="6">
        <v>159.91200000000001</v>
      </c>
      <c r="N842" s="6">
        <v>159.91200000000001</v>
      </c>
      <c r="O842" s="6">
        <v>159.91200000000001</v>
      </c>
      <c r="P842" s="6">
        <v>405</v>
      </c>
      <c r="Q842" s="4" t="s">
        <v>26</v>
      </c>
      <c r="R842" s="4">
        <v>0</v>
      </c>
      <c r="S842" s="4" t="s">
        <v>350</v>
      </c>
      <c r="T842" s="4" t="s">
        <v>547</v>
      </c>
      <c r="U842" s="4">
        <v>0</v>
      </c>
      <c r="V842" s="4">
        <v>34</v>
      </c>
      <c r="W842" s="4">
        <v>80</v>
      </c>
    </row>
    <row r="843" spans="1:23" ht="11.25" customHeight="1" x14ac:dyDescent="0.25">
      <c r="A843" s="4" t="s">
        <v>56</v>
      </c>
      <c r="B843" s="4" t="s">
        <v>36</v>
      </c>
      <c r="C843" s="4" t="s">
        <v>23</v>
      </c>
      <c r="D843" s="4" t="s">
        <v>41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44713</v>
      </c>
      <c r="J843" s="6">
        <v>0</v>
      </c>
      <c r="K843" s="6">
        <v>0</v>
      </c>
      <c r="L843" s="6">
        <v>1289.569</v>
      </c>
      <c r="M843" s="6">
        <v>1289.569</v>
      </c>
      <c r="N843" s="6">
        <v>1289.569</v>
      </c>
      <c r="O843" s="6">
        <v>1289.569</v>
      </c>
      <c r="P843" s="6">
        <v>3370</v>
      </c>
      <c r="Q843" s="4" t="s">
        <v>26</v>
      </c>
      <c r="R843" s="4">
        <v>0</v>
      </c>
      <c r="S843" s="4" t="s">
        <v>351</v>
      </c>
      <c r="T843" s="4" t="s">
        <v>548</v>
      </c>
      <c r="U843" s="4">
        <v>0</v>
      </c>
      <c r="V843" s="4">
        <v>34</v>
      </c>
      <c r="W843" s="4">
        <v>80</v>
      </c>
    </row>
    <row r="844" spans="1:23" ht="11.25" customHeight="1" x14ac:dyDescent="0.25">
      <c r="A844" s="4" t="s">
        <v>56</v>
      </c>
      <c r="B844" s="4" t="s">
        <v>36</v>
      </c>
      <c r="C844" s="4" t="s">
        <v>23</v>
      </c>
      <c r="D844" s="4" t="s">
        <v>41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44713</v>
      </c>
      <c r="J844" s="6">
        <v>0</v>
      </c>
      <c r="K844" s="6">
        <v>0</v>
      </c>
      <c r="L844" s="6">
        <v>159.91200000000001</v>
      </c>
      <c r="M844" s="6">
        <v>159.91200000000001</v>
      </c>
      <c r="N844" s="6">
        <v>159.91200000000001</v>
      </c>
      <c r="O844" s="6">
        <v>159.91200000000001</v>
      </c>
      <c r="P844" s="6">
        <v>405</v>
      </c>
      <c r="Q844" s="4" t="s">
        <v>26</v>
      </c>
      <c r="R844" s="4">
        <v>0</v>
      </c>
      <c r="S844" s="4" t="s">
        <v>351</v>
      </c>
      <c r="T844" s="4" t="s">
        <v>548</v>
      </c>
      <c r="U844" s="4">
        <v>0</v>
      </c>
      <c r="V844" s="4">
        <v>34</v>
      </c>
      <c r="W844" s="4">
        <v>80</v>
      </c>
    </row>
    <row r="845" spans="1:23" ht="11.25" customHeight="1" x14ac:dyDescent="0.25">
      <c r="A845" s="4" t="s">
        <v>21</v>
      </c>
      <c r="B845" s="4" t="s">
        <v>36</v>
      </c>
      <c r="C845" s="4" t="s">
        <v>23</v>
      </c>
      <c r="D845" s="4" t="s">
        <v>50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44378</v>
      </c>
      <c r="J845" s="6">
        <v>0</v>
      </c>
      <c r="K845" s="6">
        <v>0</v>
      </c>
      <c r="L845" s="6">
        <v>6.26</v>
      </c>
      <c r="M845" s="6">
        <v>6.26</v>
      </c>
      <c r="N845" s="6">
        <v>6.26</v>
      </c>
      <c r="O845" s="6">
        <v>6.26</v>
      </c>
      <c r="P845" s="6">
        <v>4</v>
      </c>
      <c r="Q845" s="4" t="s">
        <v>26</v>
      </c>
      <c r="R845" s="4">
        <v>0</v>
      </c>
      <c r="S845" s="4" t="s">
        <v>340</v>
      </c>
      <c r="T845" s="4" t="s">
        <v>537</v>
      </c>
      <c r="U845" s="4">
        <v>0</v>
      </c>
      <c r="V845" s="4">
        <v>34</v>
      </c>
      <c r="W845" s="4">
        <v>80</v>
      </c>
    </row>
    <row r="846" spans="1:23" ht="11.25" customHeight="1" x14ac:dyDescent="0.25">
      <c r="A846" s="4" t="s">
        <v>21</v>
      </c>
      <c r="B846" s="4" t="s">
        <v>36</v>
      </c>
      <c r="C846" s="4" t="s">
        <v>23</v>
      </c>
      <c r="D846" s="4" t="s">
        <v>50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44409</v>
      </c>
      <c r="J846" s="6">
        <v>0</v>
      </c>
      <c r="K846" s="6">
        <v>0</v>
      </c>
      <c r="L846" s="6">
        <v>6.88</v>
      </c>
      <c r="M846" s="6">
        <v>6.88</v>
      </c>
      <c r="N846" s="6">
        <v>6.88</v>
      </c>
      <c r="O846" s="6">
        <v>6.88</v>
      </c>
      <c r="P846" s="6">
        <v>4</v>
      </c>
      <c r="Q846" s="4" t="s">
        <v>26</v>
      </c>
      <c r="R846" s="4">
        <v>0</v>
      </c>
      <c r="S846" s="4" t="s">
        <v>341</v>
      </c>
      <c r="T846" s="4" t="s">
        <v>538</v>
      </c>
      <c r="U846" s="4">
        <v>0</v>
      </c>
      <c r="V846" s="4">
        <v>34</v>
      </c>
      <c r="W846" s="4">
        <v>80</v>
      </c>
    </row>
    <row r="847" spans="1:23" ht="11.25" customHeight="1" x14ac:dyDescent="0.25">
      <c r="A847" s="4" t="s">
        <v>21</v>
      </c>
      <c r="B847" s="4" t="s">
        <v>36</v>
      </c>
      <c r="C847" s="4" t="s">
        <v>23</v>
      </c>
      <c r="D847" s="4" t="s">
        <v>50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44440</v>
      </c>
      <c r="J847" s="6">
        <v>0</v>
      </c>
      <c r="K847" s="6">
        <v>0</v>
      </c>
      <c r="L847" s="6">
        <v>6.58</v>
      </c>
      <c r="M847" s="6">
        <v>6.58</v>
      </c>
      <c r="N847" s="6">
        <v>6.58</v>
      </c>
      <c r="O847" s="6">
        <v>6.58</v>
      </c>
      <c r="P847" s="6">
        <v>4</v>
      </c>
      <c r="Q847" s="4" t="s">
        <v>26</v>
      </c>
      <c r="R847" s="4">
        <v>0</v>
      </c>
      <c r="S847" s="4" t="s">
        <v>342</v>
      </c>
      <c r="T847" s="4" t="s">
        <v>539</v>
      </c>
      <c r="U847" s="4">
        <v>0</v>
      </c>
      <c r="V847" s="4">
        <v>34</v>
      </c>
      <c r="W847" s="4">
        <v>80</v>
      </c>
    </row>
    <row r="848" spans="1:23" ht="11.25" customHeight="1" x14ac:dyDescent="0.25">
      <c r="A848" s="4" t="s">
        <v>21</v>
      </c>
      <c r="B848" s="4" t="s">
        <v>36</v>
      </c>
      <c r="C848" s="4" t="s">
        <v>23</v>
      </c>
      <c r="D848" s="4" t="s">
        <v>50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44470</v>
      </c>
      <c r="J848" s="6">
        <v>0</v>
      </c>
      <c r="K848" s="6">
        <v>0</v>
      </c>
      <c r="L848" s="6">
        <v>7.3239999999999998</v>
      </c>
      <c r="M848" s="6">
        <v>7.3239999999999998</v>
      </c>
      <c r="N848" s="6">
        <v>7.3239999999999998</v>
      </c>
      <c r="O848" s="6">
        <v>7.3239999999999998</v>
      </c>
      <c r="P848" s="6">
        <v>4</v>
      </c>
      <c r="Q848" s="4" t="s">
        <v>26</v>
      </c>
      <c r="R848" s="4">
        <v>0</v>
      </c>
      <c r="S848" s="4" t="s">
        <v>343</v>
      </c>
      <c r="T848" s="4" t="s">
        <v>540</v>
      </c>
      <c r="U848" s="4">
        <v>0</v>
      </c>
      <c r="V848" s="4">
        <v>34</v>
      </c>
      <c r="W848" s="4">
        <v>80</v>
      </c>
    </row>
    <row r="849" spans="1:23" ht="11.25" customHeight="1" x14ac:dyDescent="0.25">
      <c r="A849" s="4" t="s">
        <v>21</v>
      </c>
      <c r="B849" s="4" t="s">
        <v>36</v>
      </c>
      <c r="C849" s="4" t="s">
        <v>23</v>
      </c>
      <c r="D849" s="4" t="s">
        <v>50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44501</v>
      </c>
      <c r="J849" s="6">
        <v>0</v>
      </c>
      <c r="K849" s="6">
        <v>0</v>
      </c>
      <c r="L849" s="6">
        <v>6.5979999999999999</v>
      </c>
      <c r="M849" s="6">
        <v>6.5979999999999999</v>
      </c>
      <c r="N849" s="6">
        <v>6.5979999999999999</v>
      </c>
      <c r="O849" s="6">
        <v>6.5979999999999999</v>
      </c>
      <c r="P849" s="6">
        <v>4</v>
      </c>
      <c r="Q849" s="4" t="s">
        <v>26</v>
      </c>
      <c r="R849" s="4">
        <v>0</v>
      </c>
      <c r="S849" s="4" t="s">
        <v>344</v>
      </c>
      <c r="T849" s="4" t="s">
        <v>541</v>
      </c>
      <c r="U849" s="4">
        <v>0</v>
      </c>
      <c r="V849" s="4">
        <v>34</v>
      </c>
      <c r="W849" s="4">
        <v>80</v>
      </c>
    </row>
    <row r="850" spans="1:23" ht="11.25" customHeight="1" x14ac:dyDescent="0.25">
      <c r="A850" s="4" t="s">
        <v>21</v>
      </c>
      <c r="B850" s="4" t="s">
        <v>36</v>
      </c>
      <c r="C850" s="4" t="s">
        <v>23</v>
      </c>
      <c r="D850" s="4" t="s">
        <v>50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44531</v>
      </c>
      <c r="J850" s="6">
        <v>0</v>
      </c>
      <c r="K850" s="6">
        <v>0</v>
      </c>
      <c r="L850" s="6">
        <v>7.2380000000000004</v>
      </c>
      <c r="M850" s="6">
        <v>7.2380000000000004</v>
      </c>
      <c r="N850" s="6">
        <v>7.2380000000000004</v>
      </c>
      <c r="O850" s="6">
        <v>7.2380000000000004</v>
      </c>
      <c r="P850" s="6">
        <v>4</v>
      </c>
      <c r="Q850" s="4" t="s">
        <v>26</v>
      </c>
      <c r="R850" s="4">
        <v>0</v>
      </c>
      <c r="S850" s="4" t="s">
        <v>345</v>
      </c>
      <c r="T850" s="4" t="s">
        <v>542</v>
      </c>
      <c r="U850" s="4">
        <v>0</v>
      </c>
      <c r="V850" s="4">
        <v>34</v>
      </c>
      <c r="W850" s="4">
        <v>80</v>
      </c>
    </row>
    <row r="851" spans="1:23" ht="11.25" customHeight="1" x14ac:dyDescent="0.25">
      <c r="A851" s="4" t="s">
        <v>21</v>
      </c>
      <c r="B851" s="4" t="s">
        <v>36</v>
      </c>
      <c r="C851" s="4" t="s">
        <v>23</v>
      </c>
      <c r="D851" s="4" t="s">
        <v>50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44562</v>
      </c>
      <c r="J851" s="6">
        <v>0</v>
      </c>
      <c r="K851" s="6">
        <v>0</v>
      </c>
      <c r="L851" s="6">
        <v>9.24</v>
      </c>
      <c r="M851" s="6">
        <v>9.24</v>
      </c>
      <c r="N851" s="6">
        <v>9.24</v>
      </c>
      <c r="O851" s="6">
        <v>9.24</v>
      </c>
      <c r="P851" s="6">
        <v>4</v>
      </c>
      <c r="Q851" s="4" t="s">
        <v>26</v>
      </c>
      <c r="R851" s="4">
        <v>0</v>
      </c>
      <c r="S851" s="4" t="s">
        <v>346</v>
      </c>
      <c r="T851" s="4" t="s">
        <v>543</v>
      </c>
      <c r="U851" s="4">
        <v>0</v>
      </c>
      <c r="V851" s="4">
        <v>34</v>
      </c>
      <c r="W851" s="4">
        <v>80</v>
      </c>
    </row>
    <row r="852" spans="1:23" ht="11.25" customHeight="1" x14ac:dyDescent="0.25">
      <c r="A852" s="4" t="s">
        <v>21</v>
      </c>
      <c r="B852" s="4" t="s">
        <v>36</v>
      </c>
      <c r="C852" s="4" t="s">
        <v>23</v>
      </c>
      <c r="D852" s="4" t="s">
        <v>50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44593</v>
      </c>
      <c r="J852" s="6">
        <v>0</v>
      </c>
      <c r="K852" s="6">
        <v>0</v>
      </c>
      <c r="L852" s="6">
        <v>7.9509999999999996</v>
      </c>
      <c r="M852" s="6">
        <v>7.9509999999999996</v>
      </c>
      <c r="N852" s="6">
        <v>7.9509999999999996</v>
      </c>
      <c r="O852" s="6">
        <v>7.9509999999999996</v>
      </c>
      <c r="P852" s="6">
        <v>4</v>
      </c>
      <c r="Q852" s="4" t="s">
        <v>26</v>
      </c>
      <c r="R852" s="4">
        <v>0</v>
      </c>
      <c r="S852" s="4" t="s">
        <v>347</v>
      </c>
      <c r="T852" s="4" t="s">
        <v>544</v>
      </c>
      <c r="U852" s="4">
        <v>0</v>
      </c>
      <c r="V852" s="4">
        <v>34</v>
      </c>
      <c r="W852" s="4">
        <v>80</v>
      </c>
    </row>
    <row r="853" spans="1:23" ht="11.25" customHeight="1" x14ac:dyDescent="0.25">
      <c r="A853" s="4" t="s">
        <v>21</v>
      </c>
      <c r="B853" s="4" t="s">
        <v>36</v>
      </c>
      <c r="C853" s="4" t="s">
        <v>23</v>
      </c>
      <c r="D853" s="4" t="s">
        <v>50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44621</v>
      </c>
      <c r="J853" s="6">
        <v>0</v>
      </c>
      <c r="K853" s="6">
        <v>0</v>
      </c>
      <c r="L853" s="6">
        <v>7.4459999999999997</v>
      </c>
      <c r="M853" s="6">
        <v>7.4459999999999997</v>
      </c>
      <c r="N853" s="6">
        <v>7.4459999999999997</v>
      </c>
      <c r="O853" s="6">
        <v>7.4459999999999997</v>
      </c>
      <c r="P853" s="6">
        <v>4</v>
      </c>
      <c r="Q853" s="4" t="s">
        <v>26</v>
      </c>
      <c r="R853" s="4">
        <v>0</v>
      </c>
      <c r="S853" s="4" t="s">
        <v>348</v>
      </c>
      <c r="T853" s="4" t="s">
        <v>545</v>
      </c>
      <c r="U853" s="4">
        <v>0</v>
      </c>
      <c r="V853" s="4">
        <v>34</v>
      </c>
      <c r="W853" s="4">
        <v>80</v>
      </c>
    </row>
    <row r="854" spans="1:23" ht="11.25" customHeight="1" x14ac:dyDescent="0.25">
      <c r="A854" s="4" t="s">
        <v>21</v>
      </c>
      <c r="B854" s="4" t="s">
        <v>36</v>
      </c>
      <c r="C854" s="4" t="s">
        <v>23</v>
      </c>
      <c r="D854" s="4" t="s">
        <v>50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44652</v>
      </c>
      <c r="J854" s="6">
        <v>0</v>
      </c>
      <c r="K854" s="6">
        <v>0</v>
      </c>
      <c r="L854" s="6">
        <v>7.6</v>
      </c>
      <c r="M854" s="6">
        <v>7.6</v>
      </c>
      <c r="N854" s="6">
        <v>7.6</v>
      </c>
      <c r="O854" s="6">
        <v>7.6</v>
      </c>
      <c r="P854" s="6">
        <v>4</v>
      </c>
      <c r="Q854" s="4" t="s">
        <v>26</v>
      </c>
      <c r="R854" s="4">
        <v>0</v>
      </c>
      <c r="S854" s="4" t="s">
        <v>349</v>
      </c>
      <c r="T854" s="4" t="s">
        <v>546</v>
      </c>
      <c r="U854" s="4">
        <v>0</v>
      </c>
      <c r="V854" s="4">
        <v>34</v>
      </c>
      <c r="W854" s="4">
        <v>80</v>
      </c>
    </row>
    <row r="855" spans="1:23" ht="11.25" customHeight="1" x14ac:dyDescent="0.25">
      <c r="A855" s="4" t="s">
        <v>21</v>
      </c>
      <c r="B855" s="4" t="s">
        <v>36</v>
      </c>
      <c r="C855" s="4" t="s">
        <v>23</v>
      </c>
      <c r="D855" s="4" t="s">
        <v>50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44682</v>
      </c>
      <c r="J855" s="6">
        <v>0</v>
      </c>
      <c r="K855" s="6">
        <v>0</v>
      </c>
      <c r="L855" s="6">
        <v>6.72</v>
      </c>
      <c r="M855" s="6">
        <v>6.72</v>
      </c>
      <c r="N855" s="6">
        <v>6.72</v>
      </c>
      <c r="O855" s="6">
        <v>6.72</v>
      </c>
      <c r="P855" s="6">
        <v>4</v>
      </c>
      <c r="Q855" s="4" t="s">
        <v>26</v>
      </c>
      <c r="R855" s="4">
        <v>0</v>
      </c>
      <c r="S855" s="4" t="s">
        <v>350</v>
      </c>
      <c r="T855" s="4" t="s">
        <v>547</v>
      </c>
      <c r="U855" s="4">
        <v>0</v>
      </c>
      <c r="V855" s="4">
        <v>34</v>
      </c>
      <c r="W855" s="4">
        <v>80</v>
      </c>
    </row>
    <row r="856" spans="1:23" ht="11.25" customHeight="1" x14ac:dyDescent="0.25">
      <c r="A856" s="4" t="s">
        <v>56</v>
      </c>
      <c r="B856" s="4" t="s">
        <v>36</v>
      </c>
      <c r="C856" s="4" t="s">
        <v>23</v>
      </c>
      <c r="D856" s="4" t="s">
        <v>50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44713</v>
      </c>
      <c r="J856" s="6">
        <v>0</v>
      </c>
      <c r="K856" s="6">
        <v>0</v>
      </c>
      <c r="L856" s="6">
        <v>6.72</v>
      </c>
      <c r="M856" s="6">
        <v>6.72</v>
      </c>
      <c r="N856" s="6">
        <v>6.72</v>
      </c>
      <c r="O856" s="6">
        <v>6.72</v>
      </c>
      <c r="P856" s="6">
        <v>4</v>
      </c>
      <c r="Q856" s="4" t="s">
        <v>26</v>
      </c>
      <c r="R856" s="4">
        <v>0</v>
      </c>
      <c r="S856" s="4" t="s">
        <v>351</v>
      </c>
      <c r="T856" s="4" t="s">
        <v>548</v>
      </c>
      <c r="U856" s="4">
        <v>0</v>
      </c>
      <c r="V856" s="4">
        <v>34</v>
      </c>
      <c r="W856" s="4">
        <v>80</v>
      </c>
    </row>
    <row r="857" spans="1:23" ht="11.25" customHeight="1" x14ac:dyDescent="0.25">
      <c r="A857" s="4" t="s">
        <v>21</v>
      </c>
      <c r="B857" s="4" t="s">
        <v>36</v>
      </c>
      <c r="C857" s="4" t="s">
        <v>23</v>
      </c>
      <c r="D857" s="4" t="s">
        <v>37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44378</v>
      </c>
      <c r="J857" s="6">
        <v>0</v>
      </c>
      <c r="K857" s="6">
        <v>0</v>
      </c>
      <c r="L857" s="6">
        <v>91.245000000000005</v>
      </c>
      <c r="M857" s="6">
        <v>91.245000000000005</v>
      </c>
      <c r="N857" s="6">
        <v>91.245000000000005</v>
      </c>
      <c r="O857" s="6">
        <v>91.245000000000005</v>
      </c>
      <c r="P857" s="6">
        <v>99</v>
      </c>
      <c r="Q857" s="4" t="s">
        <v>26</v>
      </c>
      <c r="R857" s="4">
        <v>0</v>
      </c>
      <c r="S857" s="4" t="s">
        <v>340</v>
      </c>
      <c r="T857" s="4" t="s">
        <v>537</v>
      </c>
      <c r="U857" s="4">
        <v>0</v>
      </c>
      <c r="V857" s="4">
        <v>34</v>
      </c>
      <c r="W857" s="4">
        <v>80</v>
      </c>
    </row>
    <row r="858" spans="1:23" ht="11.25" customHeight="1" x14ac:dyDescent="0.25">
      <c r="A858" s="4" t="s">
        <v>21</v>
      </c>
      <c r="B858" s="4" t="s">
        <v>36</v>
      </c>
      <c r="C858" s="4" t="s">
        <v>23</v>
      </c>
      <c r="D858" s="4" t="s">
        <v>37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44409</v>
      </c>
      <c r="J858" s="6">
        <v>0</v>
      </c>
      <c r="K858" s="6">
        <v>0</v>
      </c>
      <c r="L858" s="6">
        <v>94.638999999999996</v>
      </c>
      <c r="M858" s="6">
        <v>94.638999999999996</v>
      </c>
      <c r="N858" s="6">
        <v>94.638999999999996</v>
      </c>
      <c r="O858" s="6">
        <v>94.638999999999996</v>
      </c>
      <c r="P858" s="6">
        <v>100</v>
      </c>
      <c r="Q858" s="4" t="s">
        <v>26</v>
      </c>
      <c r="R858" s="4">
        <v>0</v>
      </c>
      <c r="S858" s="4" t="s">
        <v>341</v>
      </c>
      <c r="T858" s="4" t="s">
        <v>538</v>
      </c>
      <c r="U858" s="4">
        <v>0</v>
      </c>
      <c r="V858" s="4">
        <v>34</v>
      </c>
      <c r="W858" s="4">
        <v>80</v>
      </c>
    </row>
    <row r="859" spans="1:23" ht="11.25" customHeight="1" x14ac:dyDescent="0.25">
      <c r="A859" s="4" t="s">
        <v>55</v>
      </c>
      <c r="B859" s="4" t="s">
        <v>36</v>
      </c>
      <c r="C859" s="4" t="s">
        <v>23</v>
      </c>
      <c r="D859" s="4" t="s">
        <v>37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44409</v>
      </c>
      <c r="J859" s="6">
        <v>0</v>
      </c>
      <c r="K859" s="6">
        <v>0</v>
      </c>
      <c r="L859" s="6">
        <v>13.840999999999999</v>
      </c>
      <c r="M859" s="6">
        <v>13.840999999999999</v>
      </c>
      <c r="N859" s="6">
        <v>13.840999999999999</v>
      </c>
      <c r="O859" s="6">
        <v>13.840999999999999</v>
      </c>
      <c r="P859" s="6">
        <v>16</v>
      </c>
      <c r="Q859" s="4" t="s">
        <v>26</v>
      </c>
      <c r="R859" s="4">
        <v>0</v>
      </c>
      <c r="S859" s="4" t="s">
        <v>341</v>
      </c>
      <c r="T859" s="4" t="s">
        <v>538</v>
      </c>
      <c r="U859" s="4">
        <v>0</v>
      </c>
      <c r="V859" s="4">
        <v>34</v>
      </c>
      <c r="W859" s="4">
        <v>80</v>
      </c>
    </row>
    <row r="860" spans="1:23" ht="11.25" customHeight="1" x14ac:dyDescent="0.25">
      <c r="A860" s="4" t="s">
        <v>21</v>
      </c>
      <c r="B860" s="4" t="s">
        <v>36</v>
      </c>
      <c r="C860" s="4" t="s">
        <v>23</v>
      </c>
      <c r="D860" s="4" t="s">
        <v>37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44440</v>
      </c>
      <c r="J860" s="6">
        <v>0</v>
      </c>
      <c r="K860" s="6">
        <v>0</v>
      </c>
      <c r="L860" s="6">
        <v>96.843999999999994</v>
      </c>
      <c r="M860" s="6">
        <v>96.843999999999994</v>
      </c>
      <c r="N860" s="6">
        <v>96.843999999999994</v>
      </c>
      <c r="O860" s="6">
        <v>96.843999999999994</v>
      </c>
      <c r="P860" s="6">
        <v>103</v>
      </c>
      <c r="Q860" s="4" t="s">
        <v>26</v>
      </c>
      <c r="R860" s="4">
        <v>0</v>
      </c>
      <c r="S860" s="4" t="s">
        <v>342</v>
      </c>
      <c r="T860" s="4" t="s">
        <v>539</v>
      </c>
      <c r="U860" s="4">
        <v>0</v>
      </c>
      <c r="V860" s="4">
        <v>34</v>
      </c>
      <c r="W860" s="4">
        <v>80</v>
      </c>
    </row>
    <row r="861" spans="1:23" ht="11.25" customHeight="1" x14ac:dyDescent="0.25">
      <c r="A861" s="4" t="s">
        <v>55</v>
      </c>
      <c r="B861" s="4" t="s">
        <v>36</v>
      </c>
      <c r="C861" s="4" t="s">
        <v>23</v>
      </c>
      <c r="D861" s="4" t="s">
        <v>37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44440</v>
      </c>
      <c r="J861" s="6">
        <v>0</v>
      </c>
      <c r="K861" s="6">
        <v>0</v>
      </c>
      <c r="L861" s="6">
        <v>16.565999999999999</v>
      </c>
      <c r="M861" s="6">
        <v>16.565999999999999</v>
      </c>
      <c r="N861" s="6">
        <v>16.565999999999999</v>
      </c>
      <c r="O861" s="6">
        <v>16.565999999999999</v>
      </c>
      <c r="P861" s="6">
        <v>16</v>
      </c>
      <c r="Q861" s="4" t="s">
        <v>26</v>
      </c>
      <c r="R861" s="4">
        <v>0</v>
      </c>
      <c r="S861" s="4" t="s">
        <v>342</v>
      </c>
      <c r="T861" s="4" t="s">
        <v>539</v>
      </c>
      <c r="U861" s="4">
        <v>0</v>
      </c>
      <c r="V861" s="4">
        <v>34</v>
      </c>
      <c r="W861" s="4">
        <v>80</v>
      </c>
    </row>
    <row r="862" spans="1:23" ht="11.25" customHeight="1" x14ac:dyDescent="0.25">
      <c r="A862" s="4" t="s">
        <v>21</v>
      </c>
      <c r="B862" s="4" t="s">
        <v>36</v>
      </c>
      <c r="C862" s="4" t="s">
        <v>23</v>
      </c>
      <c r="D862" s="4" t="s">
        <v>37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44470</v>
      </c>
      <c r="J862" s="6">
        <v>0</v>
      </c>
      <c r="K862" s="6">
        <v>0</v>
      </c>
      <c r="L862" s="6">
        <v>104.761</v>
      </c>
      <c r="M862" s="6">
        <v>104.761</v>
      </c>
      <c r="N862" s="6">
        <v>104.761</v>
      </c>
      <c r="O862" s="6">
        <v>104.761</v>
      </c>
      <c r="P862" s="6">
        <v>103</v>
      </c>
      <c r="Q862" s="4" t="s">
        <v>26</v>
      </c>
      <c r="R862" s="4">
        <v>0</v>
      </c>
      <c r="S862" s="4" t="s">
        <v>343</v>
      </c>
      <c r="T862" s="4" t="s">
        <v>540</v>
      </c>
      <c r="U862" s="4">
        <v>0</v>
      </c>
      <c r="V862" s="4">
        <v>34</v>
      </c>
      <c r="W862" s="4">
        <v>80</v>
      </c>
    </row>
    <row r="863" spans="1:23" ht="11.25" customHeight="1" x14ac:dyDescent="0.25">
      <c r="A863" s="4" t="s">
        <v>55</v>
      </c>
      <c r="B863" s="4" t="s">
        <v>36</v>
      </c>
      <c r="C863" s="4" t="s">
        <v>23</v>
      </c>
      <c r="D863" s="4" t="s">
        <v>37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44470</v>
      </c>
      <c r="J863" s="6">
        <v>0</v>
      </c>
      <c r="K863" s="6">
        <v>0</v>
      </c>
      <c r="L863" s="6">
        <v>16.713999999999999</v>
      </c>
      <c r="M863" s="6">
        <v>16.713999999999999</v>
      </c>
      <c r="N863" s="6">
        <v>16.713999999999999</v>
      </c>
      <c r="O863" s="6">
        <v>16.713999999999999</v>
      </c>
      <c r="P863" s="6">
        <v>16</v>
      </c>
      <c r="Q863" s="4" t="s">
        <v>26</v>
      </c>
      <c r="R863" s="4">
        <v>0</v>
      </c>
      <c r="S863" s="4" t="s">
        <v>343</v>
      </c>
      <c r="T863" s="4" t="s">
        <v>540</v>
      </c>
      <c r="U863" s="4">
        <v>0</v>
      </c>
      <c r="V863" s="4">
        <v>34</v>
      </c>
      <c r="W863" s="4">
        <v>80</v>
      </c>
    </row>
    <row r="864" spans="1:23" ht="11.25" customHeight="1" x14ac:dyDescent="0.25">
      <c r="A864" s="4" t="s">
        <v>21</v>
      </c>
      <c r="B864" s="4" t="s">
        <v>36</v>
      </c>
      <c r="C864" s="4" t="s">
        <v>23</v>
      </c>
      <c r="D864" s="4" t="s">
        <v>37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44501</v>
      </c>
      <c r="J864" s="6">
        <v>0</v>
      </c>
      <c r="K864" s="6">
        <v>0</v>
      </c>
      <c r="L864" s="6">
        <v>123.17700000000001</v>
      </c>
      <c r="M864" s="6">
        <v>123.17700000000001</v>
      </c>
      <c r="N864" s="6">
        <v>123.17700000000001</v>
      </c>
      <c r="O864" s="6">
        <v>123.17700000000001</v>
      </c>
      <c r="P864" s="6">
        <v>105</v>
      </c>
      <c r="Q864" s="4" t="s">
        <v>26</v>
      </c>
      <c r="R864" s="4">
        <v>0</v>
      </c>
      <c r="S864" s="4" t="s">
        <v>344</v>
      </c>
      <c r="T864" s="4" t="s">
        <v>541</v>
      </c>
      <c r="U864" s="4">
        <v>0</v>
      </c>
      <c r="V864" s="4">
        <v>34</v>
      </c>
      <c r="W864" s="4">
        <v>80</v>
      </c>
    </row>
    <row r="865" spans="1:23" ht="11.25" customHeight="1" x14ac:dyDescent="0.25">
      <c r="A865" s="4" t="s">
        <v>55</v>
      </c>
      <c r="B865" s="4" t="s">
        <v>36</v>
      </c>
      <c r="C865" s="4" t="s">
        <v>23</v>
      </c>
      <c r="D865" s="4" t="s">
        <v>37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44501</v>
      </c>
      <c r="J865" s="6">
        <v>0</v>
      </c>
      <c r="K865" s="6">
        <v>0</v>
      </c>
      <c r="L865" s="6">
        <v>15.544</v>
      </c>
      <c r="M865" s="6">
        <v>15.544</v>
      </c>
      <c r="N865" s="6">
        <v>15.544</v>
      </c>
      <c r="O865" s="6">
        <v>15.544</v>
      </c>
      <c r="P865" s="6">
        <v>17</v>
      </c>
      <c r="Q865" s="4" t="s">
        <v>26</v>
      </c>
      <c r="R865" s="4">
        <v>0</v>
      </c>
      <c r="S865" s="4" t="s">
        <v>344</v>
      </c>
      <c r="T865" s="4" t="s">
        <v>541</v>
      </c>
      <c r="U865" s="4">
        <v>0</v>
      </c>
      <c r="V865" s="4">
        <v>34</v>
      </c>
      <c r="W865" s="4">
        <v>80</v>
      </c>
    </row>
    <row r="866" spans="1:23" ht="11.25" customHeight="1" x14ac:dyDescent="0.25">
      <c r="A866" s="4" t="s">
        <v>21</v>
      </c>
      <c r="B866" s="4" t="s">
        <v>36</v>
      </c>
      <c r="C866" s="4" t="s">
        <v>23</v>
      </c>
      <c r="D866" s="4" t="s">
        <v>37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44531</v>
      </c>
      <c r="J866" s="6">
        <v>0</v>
      </c>
      <c r="K866" s="6">
        <v>0</v>
      </c>
      <c r="L866" s="6">
        <v>130.61099999999999</v>
      </c>
      <c r="M866" s="6">
        <v>130.61099999999999</v>
      </c>
      <c r="N866" s="6">
        <v>130.61099999999999</v>
      </c>
      <c r="O866" s="6">
        <v>130.61099999999999</v>
      </c>
      <c r="P866" s="6">
        <v>105</v>
      </c>
      <c r="Q866" s="4" t="s">
        <v>26</v>
      </c>
      <c r="R866" s="4">
        <v>0</v>
      </c>
      <c r="S866" s="4" t="s">
        <v>345</v>
      </c>
      <c r="T866" s="4" t="s">
        <v>542</v>
      </c>
      <c r="U866" s="4">
        <v>0</v>
      </c>
      <c r="V866" s="4">
        <v>34</v>
      </c>
      <c r="W866" s="4">
        <v>80</v>
      </c>
    </row>
    <row r="867" spans="1:23" ht="11.25" customHeight="1" x14ac:dyDescent="0.25">
      <c r="A867" s="4" t="s">
        <v>27</v>
      </c>
      <c r="B867" s="4" t="s">
        <v>36</v>
      </c>
      <c r="C867" s="4" t="s">
        <v>23</v>
      </c>
      <c r="D867" s="4" t="s">
        <v>37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44531</v>
      </c>
      <c r="J867" s="6">
        <v>0</v>
      </c>
      <c r="K867" s="6">
        <v>0</v>
      </c>
      <c r="L867" s="6">
        <v>209.90799999999999</v>
      </c>
      <c r="M867" s="6">
        <v>209.90799999999999</v>
      </c>
      <c r="N867" s="6">
        <v>209.90799999999999</v>
      </c>
      <c r="O867" s="6">
        <v>209.90799999999999</v>
      </c>
      <c r="P867" s="6">
        <v>0</v>
      </c>
      <c r="Q867" s="4" t="s">
        <v>26</v>
      </c>
      <c r="R867" s="4">
        <v>0</v>
      </c>
      <c r="S867" s="4" t="s">
        <v>345</v>
      </c>
      <c r="T867" s="4" t="s">
        <v>542</v>
      </c>
      <c r="U867" s="4">
        <v>0</v>
      </c>
      <c r="V867" s="4">
        <v>34</v>
      </c>
      <c r="W867" s="4">
        <v>80</v>
      </c>
    </row>
    <row r="868" spans="1:23" ht="11.25" customHeight="1" x14ac:dyDescent="0.25">
      <c r="A868" s="4" t="s">
        <v>55</v>
      </c>
      <c r="B868" s="4" t="s">
        <v>36</v>
      </c>
      <c r="C868" s="4" t="s">
        <v>23</v>
      </c>
      <c r="D868" s="4" t="s">
        <v>37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44531</v>
      </c>
      <c r="J868" s="6">
        <v>0</v>
      </c>
      <c r="K868" s="6">
        <v>0</v>
      </c>
      <c r="L868" s="6">
        <v>18.53</v>
      </c>
      <c r="M868" s="6">
        <v>18.53</v>
      </c>
      <c r="N868" s="6">
        <v>18.53</v>
      </c>
      <c r="O868" s="6">
        <v>18.53</v>
      </c>
      <c r="P868" s="6">
        <v>16</v>
      </c>
      <c r="Q868" s="4" t="s">
        <v>26</v>
      </c>
      <c r="R868" s="4">
        <v>0</v>
      </c>
      <c r="S868" s="4" t="s">
        <v>345</v>
      </c>
      <c r="T868" s="4" t="s">
        <v>542</v>
      </c>
      <c r="U868" s="4">
        <v>0</v>
      </c>
      <c r="V868" s="4">
        <v>34</v>
      </c>
      <c r="W868" s="4">
        <v>80</v>
      </c>
    </row>
    <row r="869" spans="1:23" ht="11.25" customHeight="1" x14ac:dyDescent="0.25">
      <c r="A869" s="4" t="s">
        <v>21</v>
      </c>
      <c r="B869" s="4" t="s">
        <v>36</v>
      </c>
      <c r="C869" s="4" t="s">
        <v>23</v>
      </c>
      <c r="D869" s="4" t="s">
        <v>37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44562</v>
      </c>
      <c r="J869" s="6">
        <v>0</v>
      </c>
      <c r="K869" s="6">
        <v>0</v>
      </c>
      <c r="L869" s="6">
        <v>125.572</v>
      </c>
      <c r="M869" s="6">
        <v>125.572</v>
      </c>
      <c r="N869" s="6">
        <v>125.572</v>
      </c>
      <c r="O869" s="6">
        <v>125.572</v>
      </c>
      <c r="P869" s="6">
        <v>103</v>
      </c>
      <c r="Q869" s="4" t="s">
        <v>26</v>
      </c>
      <c r="R869" s="4">
        <v>0</v>
      </c>
      <c r="S869" s="4" t="s">
        <v>346</v>
      </c>
      <c r="T869" s="4" t="s">
        <v>543</v>
      </c>
      <c r="U869" s="4">
        <v>0</v>
      </c>
      <c r="V869" s="4">
        <v>34</v>
      </c>
      <c r="W869" s="4">
        <v>80</v>
      </c>
    </row>
    <row r="870" spans="1:23" ht="11.25" customHeight="1" x14ac:dyDescent="0.25">
      <c r="A870" s="4" t="s">
        <v>55</v>
      </c>
      <c r="B870" s="4" t="s">
        <v>36</v>
      </c>
      <c r="C870" s="4" t="s">
        <v>23</v>
      </c>
      <c r="D870" s="4" t="s">
        <v>37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44562</v>
      </c>
      <c r="J870" s="6">
        <v>0</v>
      </c>
      <c r="K870" s="6">
        <v>0</v>
      </c>
      <c r="L870" s="6">
        <v>11.912000000000001</v>
      </c>
      <c r="M870" s="6">
        <v>11.912000000000001</v>
      </c>
      <c r="N870" s="6">
        <v>11.912000000000001</v>
      </c>
      <c r="O870" s="6">
        <v>11.912000000000001</v>
      </c>
      <c r="P870" s="6">
        <v>17</v>
      </c>
      <c r="Q870" s="4" t="s">
        <v>26</v>
      </c>
      <c r="R870" s="4">
        <v>0</v>
      </c>
      <c r="S870" s="4" t="s">
        <v>346</v>
      </c>
      <c r="T870" s="4" t="s">
        <v>543</v>
      </c>
      <c r="U870" s="4">
        <v>0</v>
      </c>
      <c r="V870" s="4">
        <v>34</v>
      </c>
      <c r="W870" s="4">
        <v>80</v>
      </c>
    </row>
    <row r="871" spans="1:23" ht="11.25" customHeight="1" x14ac:dyDescent="0.25">
      <c r="A871" s="4" t="s">
        <v>21</v>
      </c>
      <c r="B871" s="4" t="s">
        <v>36</v>
      </c>
      <c r="C871" s="4" t="s">
        <v>23</v>
      </c>
      <c r="D871" s="4" t="s">
        <v>37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44593</v>
      </c>
      <c r="J871" s="6">
        <v>0</v>
      </c>
      <c r="K871" s="6">
        <v>0</v>
      </c>
      <c r="L871" s="6">
        <v>100.13200000000001</v>
      </c>
      <c r="M871" s="6">
        <v>100.13200000000001</v>
      </c>
      <c r="N871" s="6">
        <v>100.13200000000001</v>
      </c>
      <c r="O871" s="6">
        <v>100.13200000000001</v>
      </c>
      <c r="P871" s="6">
        <v>98</v>
      </c>
      <c r="Q871" s="4" t="s">
        <v>26</v>
      </c>
      <c r="R871" s="4">
        <v>0</v>
      </c>
      <c r="S871" s="4" t="s">
        <v>347</v>
      </c>
      <c r="T871" s="4" t="s">
        <v>544</v>
      </c>
      <c r="U871" s="4">
        <v>0</v>
      </c>
      <c r="V871" s="4">
        <v>34</v>
      </c>
      <c r="W871" s="4">
        <v>80</v>
      </c>
    </row>
    <row r="872" spans="1:23" ht="11.25" customHeight="1" x14ac:dyDescent="0.25">
      <c r="A872" s="4" t="s">
        <v>55</v>
      </c>
      <c r="B872" s="4" t="s">
        <v>36</v>
      </c>
      <c r="C872" s="4" t="s">
        <v>23</v>
      </c>
      <c r="D872" s="4" t="s">
        <v>37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44593</v>
      </c>
      <c r="J872" s="6">
        <v>0</v>
      </c>
      <c r="K872" s="6">
        <v>0</v>
      </c>
      <c r="L872" s="6">
        <v>25.227</v>
      </c>
      <c r="M872" s="6">
        <v>25.227</v>
      </c>
      <c r="N872" s="6">
        <v>25.227</v>
      </c>
      <c r="O872" s="6">
        <v>25.227</v>
      </c>
      <c r="P872" s="6">
        <v>21</v>
      </c>
      <c r="Q872" s="4" t="s">
        <v>26</v>
      </c>
      <c r="R872" s="4">
        <v>0</v>
      </c>
      <c r="S872" s="4" t="s">
        <v>347</v>
      </c>
      <c r="T872" s="4" t="s">
        <v>544</v>
      </c>
      <c r="U872" s="4">
        <v>0</v>
      </c>
      <c r="V872" s="4">
        <v>34</v>
      </c>
      <c r="W872" s="4">
        <v>80</v>
      </c>
    </row>
    <row r="873" spans="1:23" ht="11.25" customHeight="1" x14ac:dyDescent="0.25">
      <c r="A873" s="4" t="s">
        <v>21</v>
      </c>
      <c r="B873" s="4" t="s">
        <v>36</v>
      </c>
      <c r="C873" s="4" t="s">
        <v>23</v>
      </c>
      <c r="D873" s="4" t="s">
        <v>37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44621</v>
      </c>
      <c r="J873" s="6">
        <v>0</v>
      </c>
      <c r="K873" s="6">
        <v>0</v>
      </c>
      <c r="L873" s="6">
        <v>93.885000000000005</v>
      </c>
      <c r="M873" s="6">
        <v>93.885000000000005</v>
      </c>
      <c r="N873" s="6">
        <v>93.885000000000005</v>
      </c>
      <c r="O873" s="6">
        <v>93.885000000000005</v>
      </c>
      <c r="P873" s="6">
        <v>98</v>
      </c>
      <c r="Q873" s="4" t="s">
        <v>26</v>
      </c>
      <c r="R873" s="4">
        <v>0</v>
      </c>
      <c r="S873" s="4" t="s">
        <v>348</v>
      </c>
      <c r="T873" s="4" t="s">
        <v>545</v>
      </c>
      <c r="U873" s="4">
        <v>0</v>
      </c>
      <c r="V873" s="4">
        <v>34</v>
      </c>
      <c r="W873" s="4">
        <v>80</v>
      </c>
    </row>
    <row r="874" spans="1:23" ht="11.25" customHeight="1" x14ac:dyDescent="0.25">
      <c r="A874" s="4" t="s">
        <v>55</v>
      </c>
      <c r="B874" s="4" t="s">
        <v>36</v>
      </c>
      <c r="C874" s="4" t="s">
        <v>23</v>
      </c>
      <c r="D874" s="4" t="s">
        <v>37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44621</v>
      </c>
      <c r="J874" s="6">
        <v>0</v>
      </c>
      <c r="K874" s="6">
        <v>0</v>
      </c>
      <c r="L874" s="6">
        <v>16.547000000000001</v>
      </c>
      <c r="M874" s="6">
        <v>16.547000000000001</v>
      </c>
      <c r="N874" s="6">
        <v>16.547000000000001</v>
      </c>
      <c r="O874" s="6">
        <v>16.547000000000001</v>
      </c>
      <c r="P874" s="6">
        <v>21</v>
      </c>
      <c r="Q874" s="4" t="s">
        <v>26</v>
      </c>
      <c r="R874" s="4">
        <v>0</v>
      </c>
      <c r="S874" s="4" t="s">
        <v>348</v>
      </c>
      <c r="T874" s="4" t="s">
        <v>545</v>
      </c>
      <c r="U874" s="4">
        <v>0</v>
      </c>
      <c r="V874" s="4">
        <v>34</v>
      </c>
      <c r="W874" s="4">
        <v>80</v>
      </c>
    </row>
    <row r="875" spans="1:23" ht="11.25" customHeight="1" x14ac:dyDescent="0.25">
      <c r="A875" s="4" t="s">
        <v>21</v>
      </c>
      <c r="B875" s="4" t="s">
        <v>36</v>
      </c>
      <c r="C875" s="4" t="s">
        <v>23</v>
      </c>
      <c r="D875" s="4" t="s">
        <v>37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44652</v>
      </c>
      <c r="J875" s="6">
        <v>0</v>
      </c>
      <c r="K875" s="6">
        <v>0</v>
      </c>
      <c r="L875" s="6">
        <v>97.992000000000004</v>
      </c>
      <c r="M875" s="6">
        <v>97.992000000000004</v>
      </c>
      <c r="N875" s="6">
        <v>97.992000000000004</v>
      </c>
      <c r="O875" s="6">
        <v>97.992000000000004</v>
      </c>
      <c r="P875" s="6">
        <v>97</v>
      </c>
      <c r="Q875" s="4" t="s">
        <v>26</v>
      </c>
      <c r="R875" s="4">
        <v>0</v>
      </c>
      <c r="S875" s="4" t="s">
        <v>349</v>
      </c>
      <c r="T875" s="4" t="s">
        <v>546</v>
      </c>
      <c r="U875" s="4">
        <v>0</v>
      </c>
      <c r="V875" s="4">
        <v>34</v>
      </c>
      <c r="W875" s="4">
        <v>80</v>
      </c>
    </row>
    <row r="876" spans="1:23" ht="11.25" customHeight="1" x14ac:dyDescent="0.25">
      <c r="A876" s="4" t="s">
        <v>55</v>
      </c>
      <c r="B876" s="4" t="s">
        <v>36</v>
      </c>
      <c r="C876" s="4" t="s">
        <v>23</v>
      </c>
      <c r="D876" s="4" t="s">
        <v>37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44652</v>
      </c>
      <c r="J876" s="6">
        <v>0</v>
      </c>
      <c r="K876" s="6">
        <v>0</v>
      </c>
      <c r="L876" s="6">
        <v>11.519</v>
      </c>
      <c r="M876" s="6">
        <v>11.519</v>
      </c>
      <c r="N876" s="6">
        <v>11.519</v>
      </c>
      <c r="O876" s="6">
        <v>11.519</v>
      </c>
      <c r="P876" s="6">
        <v>21</v>
      </c>
      <c r="Q876" s="4" t="s">
        <v>26</v>
      </c>
      <c r="R876" s="4">
        <v>0</v>
      </c>
      <c r="S876" s="4" t="s">
        <v>349</v>
      </c>
      <c r="T876" s="4" t="s">
        <v>546</v>
      </c>
      <c r="U876" s="4">
        <v>0</v>
      </c>
      <c r="V876" s="4">
        <v>34</v>
      </c>
      <c r="W876" s="4">
        <v>80</v>
      </c>
    </row>
    <row r="877" spans="1:23" ht="11.25" customHeight="1" x14ac:dyDescent="0.25">
      <c r="A877" s="4" t="s">
        <v>21</v>
      </c>
      <c r="B877" s="4" t="s">
        <v>36</v>
      </c>
      <c r="C877" s="4" t="s">
        <v>23</v>
      </c>
      <c r="D877" s="4" t="s">
        <v>37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44682</v>
      </c>
      <c r="J877" s="6">
        <v>0</v>
      </c>
      <c r="K877" s="6">
        <v>0</v>
      </c>
      <c r="L877" s="6">
        <v>74.156000000000006</v>
      </c>
      <c r="M877" s="6">
        <v>74.156000000000006</v>
      </c>
      <c r="N877" s="6">
        <v>74.156000000000006</v>
      </c>
      <c r="O877" s="6">
        <v>74.156000000000006</v>
      </c>
      <c r="P877" s="6">
        <v>94</v>
      </c>
      <c r="Q877" s="4" t="s">
        <v>26</v>
      </c>
      <c r="R877" s="4">
        <v>0</v>
      </c>
      <c r="S877" s="4" t="s">
        <v>350</v>
      </c>
      <c r="T877" s="4" t="s">
        <v>547</v>
      </c>
      <c r="U877" s="4">
        <v>0</v>
      </c>
      <c r="V877" s="4">
        <v>34</v>
      </c>
      <c r="W877" s="4">
        <v>80</v>
      </c>
    </row>
    <row r="878" spans="1:23" ht="11.25" customHeight="1" x14ac:dyDescent="0.25">
      <c r="A878" s="4" t="s">
        <v>55</v>
      </c>
      <c r="B878" s="4" t="s">
        <v>36</v>
      </c>
      <c r="C878" s="4" t="s">
        <v>23</v>
      </c>
      <c r="D878" s="4" t="s">
        <v>37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44682</v>
      </c>
      <c r="J878" s="6">
        <v>0</v>
      </c>
      <c r="K878" s="6">
        <v>0</v>
      </c>
      <c r="L878" s="6">
        <v>9.9749999999999996</v>
      </c>
      <c r="M878" s="6">
        <v>9.9749999999999996</v>
      </c>
      <c r="N878" s="6">
        <v>9.9749999999999996</v>
      </c>
      <c r="O878" s="6">
        <v>9.9749999999999996</v>
      </c>
      <c r="P878" s="6">
        <v>24</v>
      </c>
      <c r="Q878" s="4" t="s">
        <v>26</v>
      </c>
      <c r="R878" s="4">
        <v>0</v>
      </c>
      <c r="S878" s="4" t="s">
        <v>350</v>
      </c>
      <c r="T878" s="4" t="s">
        <v>547</v>
      </c>
      <c r="U878" s="4">
        <v>0</v>
      </c>
      <c r="V878" s="4">
        <v>34</v>
      </c>
      <c r="W878" s="4">
        <v>80</v>
      </c>
    </row>
    <row r="879" spans="1:23" ht="11.25" customHeight="1" x14ac:dyDescent="0.25">
      <c r="A879" s="4" t="s">
        <v>56</v>
      </c>
      <c r="B879" s="4" t="s">
        <v>36</v>
      </c>
      <c r="C879" s="4" t="s">
        <v>23</v>
      </c>
      <c r="D879" s="4" t="s">
        <v>37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44713</v>
      </c>
      <c r="J879" s="6">
        <v>0</v>
      </c>
      <c r="K879" s="6">
        <v>0</v>
      </c>
      <c r="L879" s="6">
        <v>74.156000000000006</v>
      </c>
      <c r="M879" s="6">
        <v>74.156000000000006</v>
      </c>
      <c r="N879" s="6">
        <v>74.156000000000006</v>
      </c>
      <c r="O879" s="6">
        <v>74.156000000000006</v>
      </c>
      <c r="P879" s="6">
        <v>94</v>
      </c>
      <c r="Q879" s="4" t="s">
        <v>26</v>
      </c>
      <c r="R879" s="4">
        <v>0</v>
      </c>
      <c r="S879" s="4" t="s">
        <v>351</v>
      </c>
      <c r="T879" s="4" t="s">
        <v>548</v>
      </c>
      <c r="U879" s="4">
        <v>0</v>
      </c>
      <c r="V879" s="4">
        <v>34</v>
      </c>
      <c r="W879" s="4">
        <v>80</v>
      </c>
    </row>
    <row r="880" spans="1:23" ht="11.25" customHeight="1" x14ac:dyDescent="0.25">
      <c r="A880" s="4" t="s">
        <v>56</v>
      </c>
      <c r="B880" s="4" t="s">
        <v>36</v>
      </c>
      <c r="C880" s="4" t="s">
        <v>23</v>
      </c>
      <c r="D880" s="4" t="s">
        <v>37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44713</v>
      </c>
      <c r="J880" s="6">
        <v>0</v>
      </c>
      <c r="K880" s="6">
        <v>0</v>
      </c>
      <c r="L880" s="6">
        <v>9.9749999999999996</v>
      </c>
      <c r="M880" s="6">
        <v>9.9749999999999996</v>
      </c>
      <c r="N880" s="6">
        <v>9.9749999999999996</v>
      </c>
      <c r="O880" s="6">
        <v>9.9749999999999996</v>
      </c>
      <c r="P880" s="6">
        <v>24</v>
      </c>
      <c r="Q880" s="4" t="s">
        <v>26</v>
      </c>
      <c r="R880" s="4">
        <v>0</v>
      </c>
      <c r="S880" s="4" t="s">
        <v>351</v>
      </c>
      <c r="T880" s="4" t="s">
        <v>548</v>
      </c>
      <c r="U880" s="4">
        <v>0</v>
      </c>
      <c r="V880" s="4">
        <v>34</v>
      </c>
      <c r="W880" s="4">
        <v>80</v>
      </c>
    </row>
    <row r="881" spans="1:23" ht="11.25" customHeight="1" x14ac:dyDescent="0.25">
      <c r="A881" s="4" t="s">
        <v>21</v>
      </c>
      <c r="B881" s="4" t="s">
        <v>36</v>
      </c>
      <c r="C881" s="4" t="s">
        <v>23</v>
      </c>
      <c r="D881" s="4" t="s">
        <v>44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44378</v>
      </c>
      <c r="J881" s="6">
        <v>0</v>
      </c>
      <c r="K881" s="6">
        <v>0</v>
      </c>
      <c r="L881" s="6">
        <v>295.88299999999998</v>
      </c>
      <c r="M881" s="6">
        <v>295.88299999999998</v>
      </c>
      <c r="N881" s="6">
        <v>295.88299999999998</v>
      </c>
      <c r="O881" s="6">
        <v>295.88299999999998</v>
      </c>
      <c r="P881" s="6">
        <v>419</v>
      </c>
      <c r="Q881" s="4" t="s">
        <v>26</v>
      </c>
      <c r="R881" s="4">
        <v>0</v>
      </c>
      <c r="S881" s="4" t="s">
        <v>340</v>
      </c>
      <c r="T881" s="4" t="s">
        <v>537</v>
      </c>
      <c r="U881" s="4">
        <v>0</v>
      </c>
      <c r="V881" s="4">
        <v>34</v>
      </c>
      <c r="W881" s="4">
        <v>80</v>
      </c>
    </row>
    <row r="882" spans="1:23" ht="11.25" customHeight="1" x14ac:dyDescent="0.25">
      <c r="A882" s="4" t="s">
        <v>21</v>
      </c>
      <c r="B882" s="4" t="s">
        <v>36</v>
      </c>
      <c r="C882" s="4" t="s">
        <v>23</v>
      </c>
      <c r="D882" s="4" t="s">
        <v>44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44409</v>
      </c>
      <c r="J882" s="6">
        <v>0</v>
      </c>
      <c r="K882" s="6">
        <v>0</v>
      </c>
      <c r="L882" s="6">
        <v>287.26499999999999</v>
      </c>
      <c r="M882" s="6">
        <v>287.26499999999999</v>
      </c>
      <c r="N882" s="6">
        <v>287.26499999999999</v>
      </c>
      <c r="O882" s="6">
        <v>287.26499999999999</v>
      </c>
      <c r="P882" s="6">
        <v>420</v>
      </c>
      <c r="Q882" s="4" t="s">
        <v>26</v>
      </c>
      <c r="R882" s="4">
        <v>0</v>
      </c>
      <c r="S882" s="4" t="s">
        <v>341</v>
      </c>
      <c r="T882" s="4" t="s">
        <v>538</v>
      </c>
      <c r="U882" s="4">
        <v>0</v>
      </c>
      <c r="V882" s="4">
        <v>34</v>
      </c>
      <c r="W882" s="4">
        <v>80</v>
      </c>
    </row>
    <row r="883" spans="1:23" ht="11.25" customHeight="1" x14ac:dyDescent="0.25">
      <c r="A883" s="4" t="s">
        <v>21</v>
      </c>
      <c r="B883" s="4" t="s">
        <v>36</v>
      </c>
      <c r="C883" s="4" t="s">
        <v>23</v>
      </c>
      <c r="D883" s="4" t="s">
        <v>44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44440</v>
      </c>
      <c r="J883" s="6">
        <v>0</v>
      </c>
      <c r="K883" s="6">
        <v>0</v>
      </c>
      <c r="L883" s="6">
        <v>255.31399999999999</v>
      </c>
      <c r="M883" s="6">
        <v>255.31399999999999</v>
      </c>
      <c r="N883" s="6">
        <v>255.31399999999999</v>
      </c>
      <c r="O883" s="6">
        <v>255.31399999999999</v>
      </c>
      <c r="P883" s="6">
        <v>418</v>
      </c>
      <c r="Q883" s="4" t="s">
        <v>26</v>
      </c>
      <c r="R883" s="4">
        <v>0</v>
      </c>
      <c r="S883" s="4" t="s">
        <v>342</v>
      </c>
      <c r="T883" s="4" t="s">
        <v>539</v>
      </c>
      <c r="U883" s="4">
        <v>0</v>
      </c>
      <c r="V883" s="4">
        <v>34</v>
      </c>
      <c r="W883" s="4">
        <v>80</v>
      </c>
    </row>
    <row r="884" spans="1:23" ht="11.25" customHeight="1" x14ac:dyDescent="0.25">
      <c r="A884" s="4" t="s">
        <v>21</v>
      </c>
      <c r="B884" s="4" t="s">
        <v>36</v>
      </c>
      <c r="C884" s="4" t="s">
        <v>23</v>
      </c>
      <c r="D884" s="4" t="s">
        <v>44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44470</v>
      </c>
      <c r="J884" s="6">
        <v>0</v>
      </c>
      <c r="K884" s="6">
        <v>0</v>
      </c>
      <c r="L884" s="6">
        <v>241.05600000000001</v>
      </c>
      <c r="M884" s="6">
        <v>241.05600000000001</v>
      </c>
      <c r="N884" s="6">
        <v>241.05600000000001</v>
      </c>
      <c r="O884" s="6">
        <v>241.05600000000001</v>
      </c>
      <c r="P884" s="6">
        <v>421</v>
      </c>
      <c r="Q884" s="4" t="s">
        <v>26</v>
      </c>
      <c r="R884" s="4">
        <v>0</v>
      </c>
      <c r="S884" s="4" t="s">
        <v>343</v>
      </c>
      <c r="T884" s="4" t="s">
        <v>540</v>
      </c>
      <c r="U884" s="4">
        <v>0</v>
      </c>
      <c r="V884" s="4">
        <v>34</v>
      </c>
      <c r="W884" s="4">
        <v>80</v>
      </c>
    </row>
    <row r="885" spans="1:23" ht="11.25" customHeight="1" x14ac:dyDescent="0.25">
      <c r="A885" s="4" t="s">
        <v>27</v>
      </c>
      <c r="B885" s="4" t="s">
        <v>36</v>
      </c>
      <c r="C885" s="4" t="s">
        <v>23</v>
      </c>
      <c r="D885" s="4" t="s">
        <v>44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44470</v>
      </c>
      <c r="J885" s="6">
        <v>0</v>
      </c>
      <c r="K885" s="6">
        <v>0</v>
      </c>
      <c r="L885" s="6">
        <v>0.16500000000000001</v>
      </c>
      <c r="M885" s="6">
        <v>0.16500000000000001</v>
      </c>
      <c r="N885" s="6">
        <v>0.16500000000000001</v>
      </c>
      <c r="O885" s="6">
        <v>0.16500000000000001</v>
      </c>
      <c r="P885" s="6">
        <v>0</v>
      </c>
      <c r="Q885" s="4" t="s">
        <v>26</v>
      </c>
      <c r="R885" s="4">
        <v>0</v>
      </c>
      <c r="S885" s="4" t="s">
        <v>343</v>
      </c>
      <c r="T885" s="4" t="s">
        <v>540</v>
      </c>
      <c r="U885" s="4">
        <v>0</v>
      </c>
      <c r="V885" s="4">
        <v>34</v>
      </c>
      <c r="W885" s="4">
        <v>80</v>
      </c>
    </row>
    <row r="886" spans="1:23" ht="11.25" customHeight="1" x14ac:dyDescent="0.25">
      <c r="A886" s="4" t="s">
        <v>21</v>
      </c>
      <c r="B886" s="4" t="s">
        <v>36</v>
      </c>
      <c r="C886" s="4" t="s">
        <v>23</v>
      </c>
      <c r="D886" s="4" t="s">
        <v>44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44501</v>
      </c>
      <c r="J886" s="6">
        <v>0</v>
      </c>
      <c r="K886" s="6">
        <v>0</v>
      </c>
      <c r="L886" s="6">
        <v>248.298</v>
      </c>
      <c r="M886" s="6">
        <v>248.298</v>
      </c>
      <c r="N886" s="6">
        <v>248.298</v>
      </c>
      <c r="O886" s="6">
        <v>248.298</v>
      </c>
      <c r="P886" s="6">
        <v>419</v>
      </c>
      <c r="Q886" s="4" t="s">
        <v>26</v>
      </c>
      <c r="R886" s="4">
        <v>0</v>
      </c>
      <c r="S886" s="4" t="s">
        <v>344</v>
      </c>
      <c r="T886" s="4" t="s">
        <v>541</v>
      </c>
      <c r="U886" s="4">
        <v>0</v>
      </c>
      <c r="V886" s="4">
        <v>34</v>
      </c>
      <c r="W886" s="4">
        <v>80</v>
      </c>
    </row>
    <row r="887" spans="1:23" ht="11.25" customHeight="1" x14ac:dyDescent="0.25">
      <c r="A887" s="4" t="s">
        <v>21</v>
      </c>
      <c r="B887" s="4" t="s">
        <v>36</v>
      </c>
      <c r="C887" s="4" t="s">
        <v>23</v>
      </c>
      <c r="D887" s="4" t="s">
        <v>44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44531</v>
      </c>
      <c r="J887" s="6">
        <v>0</v>
      </c>
      <c r="K887" s="6">
        <v>0</v>
      </c>
      <c r="L887" s="6">
        <v>343.28899999999999</v>
      </c>
      <c r="M887" s="6">
        <v>343.28899999999999</v>
      </c>
      <c r="N887" s="6">
        <v>343.28899999999999</v>
      </c>
      <c r="O887" s="6">
        <v>343.28899999999999</v>
      </c>
      <c r="P887" s="6">
        <v>421</v>
      </c>
      <c r="Q887" s="4" t="s">
        <v>26</v>
      </c>
      <c r="R887" s="4">
        <v>0</v>
      </c>
      <c r="S887" s="4" t="s">
        <v>345</v>
      </c>
      <c r="T887" s="4" t="s">
        <v>542</v>
      </c>
      <c r="U887" s="4">
        <v>0</v>
      </c>
      <c r="V887" s="4">
        <v>34</v>
      </c>
      <c r="W887" s="4">
        <v>80</v>
      </c>
    </row>
    <row r="888" spans="1:23" ht="11.25" customHeight="1" x14ac:dyDescent="0.25">
      <c r="A888" s="4" t="s">
        <v>21</v>
      </c>
      <c r="B888" s="4" t="s">
        <v>36</v>
      </c>
      <c r="C888" s="4" t="s">
        <v>23</v>
      </c>
      <c r="D888" s="4" t="s">
        <v>44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44562</v>
      </c>
      <c r="J888" s="6">
        <v>0</v>
      </c>
      <c r="K888" s="6">
        <v>0</v>
      </c>
      <c r="L888" s="6">
        <v>303.61599999999999</v>
      </c>
      <c r="M888" s="6">
        <v>303.61599999999999</v>
      </c>
      <c r="N888" s="6">
        <v>303.61599999999999</v>
      </c>
      <c r="O888" s="6">
        <v>303.61599999999999</v>
      </c>
      <c r="P888" s="6">
        <v>428</v>
      </c>
      <c r="Q888" s="4" t="s">
        <v>26</v>
      </c>
      <c r="R888" s="4">
        <v>0</v>
      </c>
      <c r="S888" s="4" t="s">
        <v>346</v>
      </c>
      <c r="T888" s="4" t="s">
        <v>543</v>
      </c>
      <c r="U888" s="4">
        <v>0</v>
      </c>
      <c r="V888" s="4">
        <v>34</v>
      </c>
      <c r="W888" s="4">
        <v>80</v>
      </c>
    </row>
    <row r="889" spans="1:23" ht="11.25" customHeight="1" x14ac:dyDescent="0.25">
      <c r="A889" s="4" t="s">
        <v>21</v>
      </c>
      <c r="B889" s="4" t="s">
        <v>36</v>
      </c>
      <c r="C889" s="4" t="s">
        <v>23</v>
      </c>
      <c r="D889" s="4" t="s">
        <v>44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44593</v>
      </c>
      <c r="J889" s="6">
        <v>0</v>
      </c>
      <c r="K889" s="6">
        <v>0</v>
      </c>
      <c r="L889" s="6">
        <v>306.42200000000003</v>
      </c>
      <c r="M889" s="6">
        <v>306.42200000000003</v>
      </c>
      <c r="N889" s="6">
        <v>306.42200000000003</v>
      </c>
      <c r="O889" s="6">
        <v>306.42200000000003</v>
      </c>
      <c r="P889" s="6">
        <v>438</v>
      </c>
      <c r="Q889" s="4" t="s">
        <v>26</v>
      </c>
      <c r="R889" s="4">
        <v>0</v>
      </c>
      <c r="S889" s="4" t="s">
        <v>347</v>
      </c>
      <c r="T889" s="4" t="s">
        <v>544</v>
      </c>
      <c r="U889" s="4">
        <v>0</v>
      </c>
      <c r="V889" s="4">
        <v>34</v>
      </c>
      <c r="W889" s="4">
        <v>80</v>
      </c>
    </row>
    <row r="890" spans="1:23" ht="11.25" customHeight="1" x14ac:dyDescent="0.25">
      <c r="A890" s="4" t="s">
        <v>21</v>
      </c>
      <c r="B890" s="4" t="s">
        <v>36</v>
      </c>
      <c r="C890" s="4" t="s">
        <v>23</v>
      </c>
      <c r="D890" s="4" t="s">
        <v>44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44621</v>
      </c>
      <c r="J890" s="6">
        <v>0</v>
      </c>
      <c r="K890" s="6">
        <v>0</v>
      </c>
      <c r="L890" s="6">
        <v>406.154</v>
      </c>
      <c r="M890" s="6">
        <v>406.154</v>
      </c>
      <c r="N890" s="6">
        <v>406.154</v>
      </c>
      <c r="O890" s="6">
        <v>406.154</v>
      </c>
      <c r="P890" s="6">
        <v>445</v>
      </c>
      <c r="Q890" s="4" t="s">
        <v>26</v>
      </c>
      <c r="R890" s="4">
        <v>0</v>
      </c>
      <c r="S890" s="4" t="s">
        <v>348</v>
      </c>
      <c r="T890" s="4" t="s">
        <v>545</v>
      </c>
      <c r="U890" s="4">
        <v>0</v>
      </c>
      <c r="V890" s="4">
        <v>34</v>
      </c>
      <c r="W890" s="4">
        <v>80</v>
      </c>
    </row>
    <row r="891" spans="1:23" ht="11.25" customHeight="1" x14ac:dyDescent="0.25">
      <c r="A891" s="4" t="s">
        <v>27</v>
      </c>
      <c r="B891" s="4" t="s">
        <v>36</v>
      </c>
      <c r="C891" s="4" t="s">
        <v>23</v>
      </c>
      <c r="D891" s="4" t="s">
        <v>44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44621</v>
      </c>
      <c r="J891" s="6">
        <v>0</v>
      </c>
      <c r="K891" s="6">
        <v>0</v>
      </c>
      <c r="L891" s="6">
        <v>-4.4390000000000001</v>
      </c>
      <c r="M891" s="6">
        <v>-4.4390000000000001</v>
      </c>
      <c r="N891" s="6">
        <v>-4.4390000000000001</v>
      </c>
      <c r="O891" s="6">
        <v>-4.4390000000000001</v>
      </c>
      <c r="P891" s="6">
        <v>0</v>
      </c>
      <c r="Q891" s="4" t="s">
        <v>26</v>
      </c>
      <c r="R891" s="4">
        <v>0</v>
      </c>
      <c r="S891" s="4" t="s">
        <v>348</v>
      </c>
      <c r="T891" s="4" t="s">
        <v>545</v>
      </c>
      <c r="U891" s="4">
        <v>0</v>
      </c>
      <c r="V891" s="4">
        <v>34</v>
      </c>
      <c r="W891" s="4">
        <v>80</v>
      </c>
    </row>
    <row r="892" spans="1:23" ht="11.25" customHeight="1" x14ac:dyDescent="0.25">
      <c r="A892" s="4" t="s">
        <v>21</v>
      </c>
      <c r="B892" s="4" t="s">
        <v>36</v>
      </c>
      <c r="C892" s="4" t="s">
        <v>23</v>
      </c>
      <c r="D892" s="4" t="s">
        <v>44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44652</v>
      </c>
      <c r="J892" s="6">
        <v>0</v>
      </c>
      <c r="K892" s="6">
        <v>0</v>
      </c>
      <c r="L892" s="6">
        <v>292.38600000000002</v>
      </c>
      <c r="M892" s="6">
        <v>292.38600000000002</v>
      </c>
      <c r="N892" s="6">
        <v>292.38600000000002</v>
      </c>
      <c r="O892" s="6">
        <v>292.38600000000002</v>
      </c>
      <c r="P892" s="6">
        <v>446</v>
      </c>
      <c r="Q892" s="4" t="s">
        <v>26</v>
      </c>
      <c r="R892" s="4">
        <v>0</v>
      </c>
      <c r="S892" s="4" t="s">
        <v>349</v>
      </c>
      <c r="T892" s="4" t="s">
        <v>546</v>
      </c>
      <c r="U892" s="4">
        <v>0</v>
      </c>
      <c r="V892" s="4">
        <v>34</v>
      </c>
      <c r="W892" s="4">
        <v>80</v>
      </c>
    </row>
    <row r="893" spans="1:23" ht="11.25" customHeight="1" x14ac:dyDescent="0.25">
      <c r="A893" s="4" t="s">
        <v>27</v>
      </c>
      <c r="B893" s="4" t="s">
        <v>36</v>
      </c>
      <c r="C893" s="4" t="s">
        <v>23</v>
      </c>
      <c r="D893" s="4" t="s">
        <v>44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44652</v>
      </c>
      <c r="J893" s="6">
        <v>0</v>
      </c>
      <c r="K893" s="6">
        <v>0</v>
      </c>
      <c r="L893" s="6">
        <v>-1.4079999999999999</v>
      </c>
      <c r="M893" s="6">
        <v>-1.4079999999999999</v>
      </c>
      <c r="N893" s="6">
        <v>-1.4079999999999999</v>
      </c>
      <c r="O893" s="6">
        <v>-1.4079999999999999</v>
      </c>
      <c r="P893" s="6">
        <v>0</v>
      </c>
      <c r="Q893" s="4" t="s">
        <v>26</v>
      </c>
      <c r="R893" s="4">
        <v>0</v>
      </c>
      <c r="S893" s="4" t="s">
        <v>349</v>
      </c>
      <c r="T893" s="4" t="s">
        <v>546</v>
      </c>
      <c r="U893" s="4">
        <v>0</v>
      </c>
      <c r="V893" s="4">
        <v>34</v>
      </c>
      <c r="W893" s="4">
        <v>80</v>
      </c>
    </row>
    <row r="894" spans="1:23" ht="11.25" customHeight="1" x14ac:dyDescent="0.25">
      <c r="A894" s="4" t="s">
        <v>21</v>
      </c>
      <c r="B894" s="4" t="s">
        <v>36</v>
      </c>
      <c r="C894" s="4" t="s">
        <v>23</v>
      </c>
      <c r="D894" s="4" t="s">
        <v>44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44682</v>
      </c>
      <c r="J894" s="6">
        <v>0</v>
      </c>
      <c r="K894" s="6">
        <v>0</v>
      </c>
      <c r="L894" s="6">
        <v>247.535</v>
      </c>
      <c r="M894" s="6">
        <v>247.535</v>
      </c>
      <c r="N894" s="6">
        <v>247.535</v>
      </c>
      <c r="O894" s="6">
        <v>247.535</v>
      </c>
      <c r="P894" s="6">
        <v>447</v>
      </c>
      <c r="Q894" s="4" t="s">
        <v>26</v>
      </c>
      <c r="R894" s="4">
        <v>0</v>
      </c>
      <c r="S894" s="4" t="s">
        <v>350</v>
      </c>
      <c r="T894" s="4" t="s">
        <v>547</v>
      </c>
      <c r="U894" s="4">
        <v>0</v>
      </c>
      <c r="V894" s="4">
        <v>34</v>
      </c>
      <c r="W894" s="4">
        <v>80</v>
      </c>
    </row>
    <row r="895" spans="1:23" ht="11.25" customHeight="1" x14ac:dyDescent="0.25">
      <c r="A895" s="4" t="s">
        <v>27</v>
      </c>
      <c r="B895" s="4" t="s">
        <v>36</v>
      </c>
      <c r="C895" s="4" t="s">
        <v>23</v>
      </c>
      <c r="D895" s="4" t="s">
        <v>44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44682</v>
      </c>
      <c r="J895" s="6">
        <v>0</v>
      </c>
      <c r="K895" s="6">
        <v>0</v>
      </c>
      <c r="L895" s="6">
        <v>-4.4770000000000003</v>
      </c>
      <c r="M895" s="6">
        <v>-4.4770000000000003</v>
      </c>
      <c r="N895" s="6">
        <v>-4.4770000000000003</v>
      </c>
      <c r="O895" s="6">
        <v>-4.4770000000000003</v>
      </c>
      <c r="P895" s="6">
        <v>0</v>
      </c>
      <c r="Q895" s="4" t="s">
        <v>26</v>
      </c>
      <c r="R895" s="4">
        <v>0</v>
      </c>
      <c r="S895" s="4" t="s">
        <v>350</v>
      </c>
      <c r="T895" s="4" t="s">
        <v>547</v>
      </c>
      <c r="U895" s="4">
        <v>0</v>
      </c>
      <c r="V895" s="4">
        <v>34</v>
      </c>
      <c r="W895" s="4">
        <v>80</v>
      </c>
    </row>
    <row r="896" spans="1:23" ht="11.25" customHeight="1" x14ac:dyDescent="0.25">
      <c r="A896" s="4" t="s">
        <v>56</v>
      </c>
      <c r="B896" s="4" t="s">
        <v>36</v>
      </c>
      <c r="C896" s="4" t="s">
        <v>23</v>
      </c>
      <c r="D896" s="4" t="s">
        <v>44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44713</v>
      </c>
      <c r="J896" s="6">
        <v>0</v>
      </c>
      <c r="K896" s="6">
        <v>0</v>
      </c>
      <c r="L896" s="6">
        <v>247.535</v>
      </c>
      <c r="M896" s="6">
        <v>247.535</v>
      </c>
      <c r="N896" s="6">
        <v>247.535</v>
      </c>
      <c r="O896" s="6">
        <v>247.535</v>
      </c>
      <c r="P896" s="6">
        <v>447</v>
      </c>
      <c r="Q896" s="4" t="s">
        <v>26</v>
      </c>
      <c r="R896" s="4">
        <v>0</v>
      </c>
      <c r="S896" s="4" t="s">
        <v>351</v>
      </c>
      <c r="T896" s="4" t="s">
        <v>548</v>
      </c>
      <c r="U896" s="4">
        <v>0</v>
      </c>
      <c r="V896" s="4">
        <v>34</v>
      </c>
      <c r="W896" s="4">
        <v>80</v>
      </c>
    </row>
    <row r="897" spans="1:23" ht="11.25" customHeight="1" x14ac:dyDescent="0.25">
      <c r="A897" s="4" t="s">
        <v>56</v>
      </c>
      <c r="B897" s="4" t="s">
        <v>36</v>
      </c>
      <c r="C897" s="4" t="s">
        <v>23</v>
      </c>
      <c r="D897" s="4" t="s">
        <v>44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44713</v>
      </c>
      <c r="J897" s="6">
        <v>0</v>
      </c>
      <c r="K897" s="6">
        <v>0</v>
      </c>
      <c r="L897" s="6">
        <v>-4.4770000000000003</v>
      </c>
      <c r="M897" s="6">
        <v>-4.4770000000000003</v>
      </c>
      <c r="N897" s="6">
        <v>-4.4770000000000003</v>
      </c>
      <c r="O897" s="6">
        <v>-4.4770000000000003</v>
      </c>
      <c r="P897" s="6">
        <v>0</v>
      </c>
      <c r="Q897" s="4" t="s">
        <v>26</v>
      </c>
      <c r="R897" s="4">
        <v>0</v>
      </c>
      <c r="S897" s="4" t="s">
        <v>351</v>
      </c>
      <c r="T897" s="4" t="s">
        <v>548</v>
      </c>
      <c r="U897" s="4">
        <v>0</v>
      </c>
      <c r="V897" s="4">
        <v>34</v>
      </c>
      <c r="W897" s="4">
        <v>80</v>
      </c>
    </row>
    <row r="898" spans="1:23" ht="11.25" customHeight="1" x14ac:dyDescent="0.25">
      <c r="A898" s="4" t="s">
        <v>21</v>
      </c>
      <c r="B898" s="4" t="s">
        <v>36</v>
      </c>
      <c r="C898" s="4" t="s">
        <v>23</v>
      </c>
      <c r="D898" s="4" t="s">
        <v>48</v>
      </c>
      <c r="E898" s="4" t="s">
        <v>49</v>
      </c>
      <c r="F898" s="4" t="s">
        <v>25</v>
      </c>
      <c r="G898" s="4" t="s">
        <v>25</v>
      </c>
      <c r="H898" s="4" t="s">
        <v>25</v>
      </c>
      <c r="I898" s="5">
        <v>44378</v>
      </c>
      <c r="J898" s="6">
        <v>0</v>
      </c>
      <c r="K898" s="6">
        <v>0</v>
      </c>
      <c r="L898" s="6">
        <v>91.671000000000006</v>
      </c>
      <c r="M898" s="6">
        <v>86.170739999999995</v>
      </c>
      <c r="N898" s="6">
        <v>91.671000000000006</v>
      </c>
      <c r="O898" s="6">
        <v>86.170739999999995</v>
      </c>
      <c r="P898" s="6">
        <v>26</v>
      </c>
      <c r="Q898" s="4" t="s">
        <v>26</v>
      </c>
      <c r="R898" s="4">
        <v>0</v>
      </c>
      <c r="S898" s="4" t="s">
        <v>340</v>
      </c>
      <c r="T898" s="4" t="s">
        <v>537</v>
      </c>
      <c r="U898" s="4">
        <v>0</v>
      </c>
      <c r="V898" s="4">
        <v>34</v>
      </c>
      <c r="W898" s="4">
        <v>80</v>
      </c>
    </row>
    <row r="899" spans="1:23" ht="11.25" customHeight="1" x14ac:dyDescent="0.25">
      <c r="A899" s="4" t="s">
        <v>21</v>
      </c>
      <c r="B899" s="4" t="s">
        <v>36</v>
      </c>
      <c r="C899" s="4" t="s">
        <v>23</v>
      </c>
      <c r="D899" s="4" t="s">
        <v>48</v>
      </c>
      <c r="E899" s="4" t="s">
        <v>49</v>
      </c>
      <c r="F899" s="4" t="s">
        <v>25</v>
      </c>
      <c r="G899" s="4" t="s">
        <v>25</v>
      </c>
      <c r="H899" s="4" t="s">
        <v>25</v>
      </c>
      <c r="I899" s="5">
        <v>44409</v>
      </c>
      <c r="J899" s="6">
        <v>0</v>
      </c>
      <c r="K899" s="6">
        <v>0</v>
      </c>
      <c r="L899" s="6">
        <v>94.36</v>
      </c>
      <c r="M899" s="6">
        <v>88.698399999999992</v>
      </c>
      <c r="N899" s="6">
        <v>94.36</v>
      </c>
      <c r="O899" s="6">
        <v>88.698399999999992</v>
      </c>
      <c r="P899" s="6">
        <v>26</v>
      </c>
      <c r="Q899" s="4" t="s">
        <v>26</v>
      </c>
      <c r="R899" s="4">
        <v>0</v>
      </c>
      <c r="S899" s="4" t="s">
        <v>341</v>
      </c>
      <c r="T899" s="4" t="s">
        <v>538</v>
      </c>
      <c r="U899" s="4">
        <v>0</v>
      </c>
      <c r="V899" s="4">
        <v>34</v>
      </c>
      <c r="W899" s="4">
        <v>80</v>
      </c>
    </row>
    <row r="900" spans="1:23" ht="11.25" customHeight="1" x14ac:dyDescent="0.25">
      <c r="A900" s="4" t="s">
        <v>21</v>
      </c>
      <c r="B900" s="4" t="s">
        <v>36</v>
      </c>
      <c r="C900" s="4" t="s">
        <v>23</v>
      </c>
      <c r="D900" s="4" t="s">
        <v>48</v>
      </c>
      <c r="E900" s="4" t="s">
        <v>49</v>
      </c>
      <c r="F900" s="4" t="s">
        <v>25</v>
      </c>
      <c r="G900" s="4" t="s">
        <v>25</v>
      </c>
      <c r="H900" s="4" t="s">
        <v>25</v>
      </c>
      <c r="I900" s="5">
        <v>44440</v>
      </c>
      <c r="J900" s="6">
        <v>0</v>
      </c>
      <c r="K900" s="6">
        <v>0</v>
      </c>
      <c r="L900" s="6">
        <v>98.474999999999994</v>
      </c>
      <c r="M900" s="6">
        <v>92.566500000000005</v>
      </c>
      <c r="N900" s="6">
        <v>98.474999999999994</v>
      </c>
      <c r="O900" s="6">
        <v>92.566500000000005</v>
      </c>
      <c r="P900" s="6">
        <v>26</v>
      </c>
      <c r="Q900" s="4" t="s">
        <v>26</v>
      </c>
      <c r="R900" s="4">
        <v>0</v>
      </c>
      <c r="S900" s="4" t="s">
        <v>342</v>
      </c>
      <c r="T900" s="4" t="s">
        <v>539</v>
      </c>
      <c r="U900" s="4">
        <v>0</v>
      </c>
      <c r="V900" s="4">
        <v>34</v>
      </c>
      <c r="W900" s="4">
        <v>80</v>
      </c>
    </row>
    <row r="901" spans="1:23" ht="11.25" customHeight="1" x14ac:dyDescent="0.25">
      <c r="A901" s="4" t="s">
        <v>21</v>
      </c>
      <c r="B901" s="4" t="s">
        <v>36</v>
      </c>
      <c r="C901" s="4" t="s">
        <v>23</v>
      </c>
      <c r="D901" s="4" t="s">
        <v>48</v>
      </c>
      <c r="E901" s="4" t="s">
        <v>49</v>
      </c>
      <c r="F901" s="4" t="s">
        <v>25</v>
      </c>
      <c r="G901" s="4" t="s">
        <v>25</v>
      </c>
      <c r="H901" s="4" t="s">
        <v>25</v>
      </c>
      <c r="I901" s="5">
        <v>44470</v>
      </c>
      <c r="J901" s="6">
        <v>0</v>
      </c>
      <c r="K901" s="6">
        <v>0</v>
      </c>
      <c r="L901" s="6">
        <v>105.744</v>
      </c>
      <c r="M901" s="6">
        <v>99.399360000000001</v>
      </c>
      <c r="N901" s="6">
        <v>105.744</v>
      </c>
      <c r="O901" s="6">
        <v>99.399360000000001</v>
      </c>
      <c r="P901" s="6">
        <v>26</v>
      </c>
      <c r="Q901" s="4" t="s">
        <v>26</v>
      </c>
      <c r="R901" s="4">
        <v>0</v>
      </c>
      <c r="S901" s="4" t="s">
        <v>343</v>
      </c>
      <c r="T901" s="4" t="s">
        <v>540</v>
      </c>
      <c r="U901" s="4">
        <v>0</v>
      </c>
      <c r="V901" s="4">
        <v>34</v>
      </c>
      <c r="W901" s="4">
        <v>80</v>
      </c>
    </row>
    <row r="902" spans="1:23" ht="11.25" customHeight="1" x14ac:dyDescent="0.25">
      <c r="A902" s="4" t="s">
        <v>21</v>
      </c>
      <c r="B902" s="4" t="s">
        <v>36</v>
      </c>
      <c r="C902" s="4" t="s">
        <v>23</v>
      </c>
      <c r="D902" s="4" t="s">
        <v>48</v>
      </c>
      <c r="E902" s="4" t="s">
        <v>49</v>
      </c>
      <c r="F902" s="4" t="s">
        <v>25</v>
      </c>
      <c r="G902" s="4" t="s">
        <v>25</v>
      </c>
      <c r="H902" s="4" t="s">
        <v>25</v>
      </c>
      <c r="I902" s="5">
        <v>44501</v>
      </c>
      <c r="J902" s="6">
        <v>0</v>
      </c>
      <c r="K902" s="6">
        <v>0</v>
      </c>
      <c r="L902" s="6">
        <v>77.584999999999994</v>
      </c>
      <c r="M902" s="6">
        <v>72.929900000000004</v>
      </c>
      <c r="N902" s="6">
        <v>77.584999999999994</v>
      </c>
      <c r="O902" s="6">
        <v>72.929900000000004</v>
      </c>
      <c r="P902" s="6">
        <v>26</v>
      </c>
      <c r="Q902" s="4" t="s">
        <v>26</v>
      </c>
      <c r="R902" s="4">
        <v>0</v>
      </c>
      <c r="S902" s="4" t="s">
        <v>344</v>
      </c>
      <c r="T902" s="4" t="s">
        <v>541</v>
      </c>
      <c r="U902" s="4">
        <v>0</v>
      </c>
      <c r="V902" s="4">
        <v>34</v>
      </c>
      <c r="W902" s="4">
        <v>80</v>
      </c>
    </row>
    <row r="903" spans="1:23" ht="11.25" customHeight="1" x14ac:dyDescent="0.25">
      <c r="A903" s="4" t="s">
        <v>21</v>
      </c>
      <c r="B903" s="4" t="s">
        <v>36</v>
      </c>
      <c r="C903" s="4" t="s">
        <v>23</v>
      </c>
      <c r="D903" s="4" t="s">
        <v>48</v>
      </c>
      <c r="E903" s="4" t="s">
        <v>49</v>
      </c>
      <c r="F903" s="4" t="s">
        <v>25</v>
      </c>
      <c r="G903" s="4" t="s">
        <v>25</v>
      </c>
      <c r="H903" s="4" t="s">
        <v>25</v>
      </c>
      <c r="I903" s="5">
        <v>44531</v>
      </c>
      <c r="J903" s="6">
        <v>0</v>
      </c>
      <c r="K903" s="6">
        <v>0</v>
      </c>
      <c r="L903" s="6">
        <v>94.201999999999998</v>
      </c>
      <c r="M903" s="6">
        <v>88.549880000000002</v>
      </c>
      <c r="N903" s="6">
        <v>94.201999999999998</v>
      </c>
      <c r="O903" s="6">
        <v>88.549880000000002</v>
      </c>
      <c r="P903" s="6">
        <v>26</v>
      </c>
      <c r="Q903" s="4" t="s">
        <v>26</v>
      </c>
      <c r="R903" s="4">
        <v>0</v>
      </c>
      <c r="S903" s="4" t="s">
        <v>345</v>
      </c>
      <c r="T903" s="4" t="s">
        <v>542</v>
      </c>
      <c r="U903" s="4">
        <v>0</v>
      </c>
      <c r="V903" s="4">
        <v>34</v>
      </c>
      <c r="W903" s="4">
        <v>80</v>
      </c>
    </row>
    <row r="904" spans="1:23" ht="11.25" customHeight="1" x14ac:dyDescent="0.25">
      <c r="A904" s="4" t="s">
        <v>21</v>
      </c>
      <c r="B904" s="4" t="s">
        <v>36</v>
      </c>
      <c r="C904" s="4" t="s">
        <v>23</v>
      </c>
      <c r="D904" s="4" t="s">
        <v>48</v>
      </c>
      <c r="E904" s="4" t="s">
        <v>49</v>
      </c>
      <c r="F904" s="4" t="s">
        <v>25</v>
      </c>
      <c r="G904" s="4" t="s">
        <v>25</v>
      </c>
      <c r="H904" s="4" t="s">
        <v>25</v>
      </c>
      <c r="I904" s="5">
        <v>44562</v>
      </c>
      <c r="J904" s="6">
        <v>0</v>
      </c>
      <c r="K904" s="6">
        <v>0</v>
      </c>
      <c r="L904" s="6">
        <v>94.076999999999998</v>
      </c>
      <c r="M904" s="6">
        <v>88.432379999999995</v>
      </c>
      <c r="N904" s="6">
        <v>94.076999999999998</v>
      </c>
      <c r="O904" s="6">
        <v>88.432379999999995</v>
      </c>
      <c r="P904" s="6">
        <v>26</v>
      </c>
      <c r="Q904" s="4" t="s">
        <v>26</v>
      </c>
      <c r="R904" s="4">
        <v>0</v>
      </c>
      <c r="S904" s="4" t="s">
        <v>346</v>
      </c>
      <c r="T904" s="4" t="s">
        <v>543</v>
      </c>
      <c r="U904" s="4">
        <v>0</v>
      </c>
      <c r="V904" s="4">
        <v>34</v>
      </c>
      <c r="W904" s="4">
        <v>80</v>
      </c>
    </row>
    <row r="905" spans="1:23" ht="11.25" customHeight="1" x14ac:dyDescent="0.25">
      <c r="A905" s="4" t="s">
        <v>21</v>
      </c>
      <c r="B905" s="4" t="s">
        <v>36</v>
      </c>
      <c r="C905" s="4" t="s">
        <v>23</v>
      </c>
      <c r="D905" s="4" t="s">
        <v>48</v>
      </c>
      <c r="E905" s="4" t="s">
        <v>49</v>
      </c>
      <c r="F905" s="4" t="s">
        <v>25</v>
      </c>
      <c r="G905" s="4" t="s">
        <v>25</v>
      </c>
      <c r="H905" s="4" t="s">
        <v>25</v>
      </c>
      <c r="I905" s="5">
        <v>44593</v>
      </c>
      <c r="J905" s="6">
        <v>0</v>
      </c>
      <c r="K905" s="6">
        <v>0</v>
      </c>
      <c r="L905" s="6">
        <v>94.504000000000005</v>
      </c>
      <c r="M905" s="6">
        <v>88.833759999999998</v>
      </c>
      <c r="N905" s="6">
        <v>94.504000000000005</v>
      </c>
      <c r="O905" s="6">
        <v>88.833759999999998</v>
      </c>
      <c r="P905" s="6">
        <v>26</v>
      </c>
      <c r="Q905" s="4" t="s">
        <v>26</v>
      </c>
      <c r="R905" s="4">
        <v>0</v>
      </c>
      <c r="S905" s="4" t="s">
        <v>347</v>
      </c>
      <c r="T905" s="4" t="s">
        <v>544</v>
      </c>
      <c r="U905" s="4">
        <v>0</v>
      </c>
      <c r="V905" s="4">
        <v>34</v>
      </c>
      <c r="W905" s="4">
        <v>80</v>
      </c>
    </row>
    <row r="906" spans="1:23" ht="11.25" customHeight="1" x14ac:dyDescent="0.25">
      <c r="A906" s="4" t="s">
        <v>21</v>
      </c>
      <c r="B906" s="4" t="s">
        <v>36</v>
      </c>
      <c r="C906" s="4" t="s">
        <v>23</v>
      </c>
      <c r="D906" s="4" t="s">
        <v>48</v>
      </c>
      <c r="E906" s="4" t="s">
        <v>49</v>
      </c>
      <c r="F906" s="4" t="s">
        <v>25</v>
      </c>
      <c r="G906" s="4" t="s">
        <v>25</v>
      </c>
      <c r="H906" s="4" t="s">
        <v>25</v>
      </c>
      <c r="I906" s="5">
        <v>44621</v>
      </c>
      <c r="J906" s="6">
        <v>0</v>
      </c>
      <c r="K906" s="6">
        <v>0</v>
      </c>
      <c r="L906" s="6">
        <v>94.319000000000003</v>
      </c>
      <c r="M906" s="6">
        <v>88.659859999999995</v>
      </c>
      <c r="N906" s="6">
        <v>94.319000000000003</v>
      </c>
      <c r="O906" s="6">
        <v>88.659859999999995</v>
      </c>
      <c r="P906" s="6">
        <v>26</v>
      </c>
      <c r="Q906" s="4" t="s">
        <v>26</v>
      </c>
      <c r="R906" s="4">
        <v>0</v>
      </c>
      <c r="S906" s="4" t="s">
        <v>348</v>
      </c>
      <c r="T906" s="4" t="s">
        <v>545</v>
      </c>
      <c r="U906" s="4">
        <v>0</v>
      </c>
      <c r="V906" s="4">
        <v>34</v>
      </c>
      <c r="W906" s="4">
        <v>80</v>
      </c>
    </row>
    <row r="907" spans="1:23" ht="11.25" customHeight="1" x14ac:dyDescent="0.25">
      <c r="A907" s="4" t="s">
        <v>21</v>
      </c>
      <c r="B907" s="4" t="s">
        <v>36</v>
      </c>
      <c r="C907" s="4" t="s">
        <v>23</v>
      </c>
      <c r="D907" s="4" t="s">
        <v>48</v>
      </c>
      <c r="E907" s="4" t="s">
        <v>49</v>
      </c>
      <c r="F907" s="4" t="s">
        <v>25</v>
      </c>
      <c r="G907" s="4" t="s">
        <v>25</v>
      </c>
      <c r="H907" s="4" t="s">
        <v>25</v>
      </c>
      <c r="I907" s="5">
        <v>44652</v>
      </c>
      <c r="J907" s="6">
        <v>0</v>
      </c>
      <c r="K907" s="6">
        <v>0</v>
      </c>
      <c r="L907" s="6">
        <v>108.834</v>
      </c>
      <c r="M907" s="6">
        <v>102.30396</v>
      </c>
      <c r="N907" s="6">
        <v>108.834</v>
      </c>
      <c r="O907" s="6">
        <v>102.30396</v>
      </c>
      <c r="P907" s="6">
        <v>26</v>
      </c>
      <c r="Q907" s="4" t="s">
        <v>26</v>
      </c>
      <c r="R907" s="4">
        <v>0</v>
      </c>
      <c r="S907" s="4" t="s">
        <v>349</v>
      </c>
      <c r="T907" s="4" t="s">
        <v>546</v>
      </c>
      <c r="U907" s="4">
        <v>0</v>
      </c>
      <c r="V907" s="4">
        <v>34</v>
      </c>
      <c r="W907" s="4">
        <v>80</v>
      </c>
    </row>
    <row r="908" spans="1:23" ht="11.25" customHeight="1" x14ac:dyDescent="0.25">
      <c r="A908" s="4" t="s">
        <v>21</v>
      </c>
      <c r="B908" s="4" t="s">
        <v>36</v>
      </c>
      <c r="C908" s="4" t="s">
        <v>23</v>
      </c>
      <c r="D908" s="4" t="s">
        <v>48</v>
      </c>
      <c r="E908" s="4" t="s">
        <v>49</v>
      </c>
      <c r="F908" s="4" t="s">
        <v>25</v>
      </c>
      <c r="G908" s="4" t="s">
        <v>25</v>
      </c>
      <c r="H908" s="4" t="s">
        <v>25</v>
      </c>
      <c r="I908" s="5">
        <v>44682</v>
      </c>
      <c r="J908" s="6">
        <v>0</v>
      </c>
      <c r="K908" s="6">
        <v>0</v>
      </c>
      <c r="L908" s="6">
        <v>92.935000000000002</v>
      </c>
      <c r="M908" s="6">
        <v>87.358900000000006</v>
      </c>
      <c r="N908" s="6">
        <v>92.935000000000002</v>
      </c>
      <c r="O908" s="6">
        <v>87.358900000000006</v>
      </c>
      <c r="P908" s="6">
        <v>26</v>
      </c>
      <c r="Q908" s="4" t="s">
        <v>26</v>
      </c>
      <c r="R908" s="4">
        <v>0</v>
      </c>
      <c r="S908" s="4" t="s">
        <v>350</v>
      </c>
      <c r="T908" s="4" t="s">
        <v>547</v>
      </c>
      <c r="U908" s="4">
        <v>0</v>
      </c>
      <c r="V908" s="4">
        <v>34</v>
      </c>
      <c r="W908" s="4">
        <v>80</v>
      </c>
    </row>
    <row r="909" spans="1:23" ht="11.25" customHeight="1" x14ac:dyDescent="0.25">
      <c r="A909" s="4" t="s">
        <v>56</v>
      </c>
      <c r="B909" s="4" t="s">
        <v>36</v>
      </c>
      <c r="C909" s="4" t="s">
        <v>23</v>
      </c>
      <c r="D909" s="4" t="s">
        <v>48</v>
      </c>
      <c r="E909" s="4" t="s">
        <v>49</v>
      </c>
      <c r="F909" s="4" t="s">
        <v>25</v>
      </c>
      <c r="G909" s="4" t="s">
        <v>25</v>
      </c>
      <c r="H909" s="4" t="s">
        <v>25</v>
      </c>
      <c r="I909" s="5">
        <v>44713</v>
      </c>
      <c r="J909" s="6">
        <v>0</v>
      </c>
      <c r="K909" s="6">
        <v>0</v>
      </c>
      <c r="L909" s="6">
        <v>92.935000000000002</v>
      </c>
      <c r="M909" s="6">
        <v>87.358900000000006</v>
      </c>
      <c r="N909" s="6">
        <v>92.935000000000002</v>
      </c>
      <c r="O909" s="6">
        <v>87.358900000000006</v>
      </c>
      <c r="P909" s="6">
        <v>26</v>
      </c>
      <c r="Q909" s="4" t="s">
        <v>26</v>
      </c>
      <c r="R909" s="4">
        <v>0</v>
      </c>
      <c r="S909" s="4" t="s">
        <v>351</v>
      </c>
      <c r="T909" s="4" t="s">
        <v>548</v>
      </c>
      <c r="U909" s="4">
        <v>0</v>
      </c>
      <c r="V909" s="4">
        <v>34</v>
      </c>
      <c r="W909" s="4">
        <v>80</v>
      </c>
    </row>
    <row r="910" spans="1:23" ht="11.25" customHeight="1" x14ac:dyDescent="0.25">
      <c r="A910" s="4" t="s">
        <v>21</v>
      </c>
      <c r="B910" s="4" t="s">
        <v>45</v>
      </c>
      <c r="C910" s="4" t="s">
        <v>23</v>
      </c>
      <c r="D910" s="4" t="s">
        <v>46</v>
      </c>
      <c r="E910" s="4" t="s">
        <v>47</v>
      </c>
      <c r="F910" s="4" t="s">
        <v>25</v>
      </c>
      <c r="G910" s="4" t="s">
        <v>25</v>
      </c>
      <c r="H910" s="4" t="s">
        <v>25</v>
      </c>
      <c r="I910" s="5">
        <v>44378</v>
      </c>
      <c r="J910" s="6">
        <v>0</v>
      </c>
      <c r="K910" s="6">
        <v>0</v>
      </c>
      <c r="L910" s="6">
        <v>471.03500000000003</v>
      </c>
      <c r="M910" s="6">
        <v>471.03500000000003</v>
      </c>
      <c r="N910" s="6">
        <v>471.03500000000003</v>
      </c>
      <c r="O910" s="6">
        <v>471.03500000000003</v>
      </c>
      <c r="P910" s="6">
        <v>9</v>
      </c>
      <c r="Q910" s="4" t="s">
        <v>26</v>
      </c>
      <c r="R910" s="4">
        <v>0</v>
      </c>
      <c r="S910" s="4" t="s">
        <v>352</v>
      </c>
      <c r="T910" s="4" t="s">
        <v>549</v>
      </c>
      <c r="U910" s="4">
        <v>0</v>
      </c>
      <c r="V910" s="4">
        <v>65</v>
      </c>
      <c r="W910" s="4">
        <v>82</v>
      </c>
    </row>
    <row r="911" spans="1:23" ht="11.25" customHeight="1" x14ac:dyDescent="0.25">
      <c r="A911" s="4" t="s">
        <v>21</v>
      </c>
      <c r="B911" s="4" t="s">
        <v>45</v>
      </c>
      <c r="C911" s="4" t="s">
        <v>23</v>
      </c>
      <c r="D911" s="4" t="s">
        <v>46</v>
      </c>
      <c r="E911" s="4" t="s">
        <v>47</v>
      </c>
      <c r="F911" s="4" t="s">
        <v>25</v>
      </c>
      <c r="G911" s="4" t="s">
        <v>25</v>
      </c>
      <c r="H911" s="4" t="s">
        <v>25</v>
      </c>
      <c r="I911" s="5">
        <v>44409</v>
      </c>
      <c r="J911" s="6">
        <v>0</v>
      </c>
      <c r="K911" s="6">
        <v>0</v>
      </c>
      <c r="L911" s="6">
        <v>462.63900000000001</v>
      </c>
      <c r="M911" s="6">
        <v>462.63900000000001</v>
      </c>
      <c r="N911" s="6">
        <v>462.63900000000001</v>
      </c>
      <c r="O911" s="6">
        <v>462.63900000000001</v>
      </c>
      <c r="P911" s="6">
        <v>9</v>
      </c>
      <c r="Q911" s="4" t="s">
        <v>26</v>
      </c>
      <c r="R911" s="4">
        <v>0</v>
      </c>
      <c r="S911" s="4" t="s">
        <v>353</v>
      </c>
      <c r="T911" s="4" t="s">
        <v>550</v>
      </c>
      <c r="U911" s="4">
        <v>0</v>
      </c>
      <c r="V911" s="4">
        <v>65</v>
      </c>
      <c r="W911" s="4">
        <v>82</v>
      </c>
    </row>
    <row r="912" spans="1:23" ht="11.25" customHeight="1" x14ac:dyDescent="0.25">
      <c r="A912" s="4" t="s">
        <v>21</v>
      </c>
      <c r="B912" s="4" t="s">
        <v>45</v>
      </c>
      <c r="C912" s="4" t="s">
        <v>23</v>
      </c>
      <c r="D912" s="4" t="s">
        <v>46</v>
      </c>
      <c r="E912" s="4" t="s">
        <v>47</v>
      </c>
      <c r="F912" s="4" t="s">
        <v>25</v>
      </c>
      <c r="G912" s="4" t="s">
        <v>25</v>
      </c>
      <c r="H912" s="4" t="s">
        <v>25</v>
      </c>
      <c r="I912" s="5">
        <v>44440</v>
      </c>
      <c r="J912" s="6">
        <v>0</v>
      </c>
      <c r="K912" s="6">
        <v>0</v>
      </c>
      <c r="L912" s="6">
        <v>447.71600000000001</v>
      </c>
      <c r="M912" s="6">
        <v>447.71600000000001</v>
      </c>
      <c r="N912" s="6">
        <v>447.71600000000001</v>
      </c>
      <c r="O912" s="6">
        <v>447.71600000000001</v>
      </c>
      <c r="P912" s="6">
        <v>9</v>
      </c>
      <c r="Q912" s="4" t="s">
        <v>26</v>
      </c>
      <c r="R912" s="4">
        <v>0</v>
      </c>
      <c r="S912" s="4" t="s">
        <v>354</v>
      </c>
      <c r="T912" s="4" t="s">
        <v>551</v>
      </c>
      <c r="U912" s="4">
        <v>0</v>
      </c>
      <c r="V912" s="4">
        <v>65</v>
      </c>
      <c r="W912" s="4">
        <v>82</v>
      </c>
    </row>
    <row r="913" spans="1:23" ht="11.25" customHeight="1" x14ac:dyDescent="0.25">
      <c r="A913" s="4" t="s">
        <v>21</v>
      </c>
      <c r="B913" s="4" t="s">
        <v>45</v>
      </c>
      <c r="C913" s="4" t="s">
        <v>23</v>
      </c>
      <c r="D913" s="4" t="s">
        <v>46</v>
      </c>
      <c r="E913" s="4" t="s">
        <v>47</v>
      </c>
      <c r="F913" s="4" t="s">
        <v>25</v>
      </c>
      <c r="G913" s="4" t="s">
        <v>25</v>
      </c>
      <c r="H913" s="4" t="s">
        <v>25</v>
      </c>
      <c r="I913" s="5">
        <v>44470</v>
      </c>
      <c r="J913" s="6">
        <v>0</v>
      </c>
      <c r="K913" s="6">
        <v>0</v>
      </c>
      <c r="L913" s="6">
        <v>462.63900000000001</v>
      </c>
      <c r="M913" s="6">
        <v>462.63900000000001</v>
      </c>
      <c r="N913" s="6">
        <v>462.63900000000001</v>
      </c>
      <c r="O913" s="6">
        <v>462.63900000000001</v>
      </c>
      <c r="P913" s="6">
        <v>9</v>
      </c>
      <c r="Q913" s="4" t="s">
        <v>26</v>
      </c>
      <c r="R913" s="4">
        <v>0</v>
      </c>
      <c r="S913" s="4" t="s">
        <v>355</v>
      </c>
      <c r="T913" s="4" t="s">
        <v>552</v>
      </c>
      <c r="U913" s="4">
        <v>0</v>
      </c>
      <c r="V913" s="4">
        <v>65</v>
      </c>
      <c r="W913" s="4">
        <v>82</v>
      </c>
    </row>
    <row r="914" spans="1:23" ht="11.25" customHeight="1" x14ac:dyDescent="0.25">
      <c r="A914" s="4" t="s">
        <v>21</v>
      </c>
      <c r="B914" s="4" t="s">
        <v>45</v>
      </c>
      <c r="C914" s="4" t="s">
        <v>23</v>
      </c>
      <c r="D914" s="4" t="s">
        <v>46</v>
      </c>
      <c r="E914" s="4" t="s">
        <v>47</v>
      </c>
      <c r="F914" s="4" t="s">
        <v>25</v>
      </c>
      <c r="G914" s="4" t="s">
        <v>25</v>
      </c>
      <c r="H914" s="4" t="s">
        <v>25</v>
      </c>
      <c r="I914" s="5">
        <v>44501</v>
      </c>
      <c r="J914" s="6">
        <v>0</v>
      </c>
      <c r="K914" s="6">
        <v>0</v>
      </c>
      <c r="L914" s="6">
        <v>448.31</v>
      </c>
      <c r="M914" s="6">
        <v>448.31</v>
      </c>
      <c r="N914" s="6">
        <v>448.31</v>
      </c>
      <c r="O914" s="6">
        <v>448.31</v>
      </c>
      <c r="P914" s="6">
        <v>10</v>
      </c>
      <c r="Q914" s="4" t="s">
        <v>26</v>
      </c>
      <c r="R914" s="4">
        <v>0</v>
      </c>
      <c r="S914" s="4" t="s">
        <v>356</v>
      </c>
      <c r="T914" s="4" t="s">
        <v>553</v>
      </c>
      <c r="U914" s="4">
        <v>0</v>
      </c>
      <c r="V914" s="4">
        <v>65</v>
      </c>
      <c r="W914" s="4">
        <v>82</v>
      </c>
    </row>
    <row r="915" spans="1:23" ht="11.25" customHeight="1" x14ac:dyDescent="0.25">
      <c r="A915" s="4" t="s">
        <v>21</v>
      </c>
      <c r="B915" s="4" t="s">
        <v>45</v>
      </c>
      <c r="C915" s="4" t="s">
        <v>23</v>
      </c>
      <c r="D915" s="4" t="s">
        <v>46</v>
      </c>
      <c r="E915" s="4" t="s">
        <v>47</v>
      </c>
      <c r="F915" s="4" t="s">
        <v>25</v>
      </c>
      <c r="G915" s="4" t="s">
        <v>25</v>
      </c>
      <c r="H915" s="4" t="s">
        <v>25</v>
      </c>
      <c r="I915" s="5">
        <v>44531</v>
      </c>
      <c r="J915" s="6">
        <v>0</v>
      </c>
      <c r="K915" s="6">
        <v>0</v>
      </c>
      <c r="L915" s="6">
        <v>463.16500000000002</v>
      </c>
      <c r="M915" s="6">
        <v>463.16500000000002</v>
      </c>
      <c r="N915" s="6">
        <v>463.16500000000002</v>
      </c>
      <c r="O915" s="6">
        <v>463.16500000000002</v>
      </c>
      <c r="P915" s="6">
        <v>10</v>
      </c>
      <c r="Q915" s="4" t="s">
        <v>26</v>
      </c>
      <c r="R915" s="4">
        <v>0</v>
      </c>
      <c r="S915" s="4" t="s">
        <v>357</v>
      </c>
      <c r="T915" s="4" t="s">
        <v>554</v>
      </c>
      <c r="U915" s="4">
        <v>0</v>
      </c>
      <c r="V915" s="4">
        <v>65</v>
      </c>
      <c r="W915" s="4">
        <v>82</v>
      </c>
    </row>
    <row r="916" spans="1:23" ht="11.25" customHeight="1" x14ac:dyDescent="0.25">
      <c r="A916" s="4" t="s">
        <v>21</v>
      </c>
      <c r="B916" s="4" t="s">
        <v>45</v>
      </c>
      <c r="C916" s="4" t="s">
        <v>23</v>
      </c>
      <c r="D916" s="4" t="s">
        <v>46</v>
      </c>
      <c r="E916" s="4" t="s">
        <v>47</v>
      </c>
      <c r="F916" s="4" t="s">
        <v>25</v>
      </c>
      <c r="G916" s="4" t="s">
        <v>25</v>
      </c>
      <c r="H916" s="4" t="s">
        <v>25</v>
      </c>
      <c r="I916" s="5">
        <v>44562</v>
      </c>
      <c r="J916" s="6">
        <v>0</v>
      </c>
      <c r="K916" s="6">
        <v>0</v>
      </c>
      <c r="L916" s="6">
        <v>463.16500000000002</v>
      </c>
      <c r="M916" s="6">
        <v>463.16500000000002</v>
      </c>
      <c r="N916" s="6">
        <v>463.16500000000002</v>
      </c>
      <c r="O916" s="6">
        <v>463.16500000000002</v>
      </c>
      <c r="P916" s="6">
        <v>10</v>
      </c>
      <c r="Q916" s="4" t="s">
        <v>26</v>
      </c>
      <c r="R916" s="4">
        <v>0</v>
      </c>
      <c r="S916" s="4" t="s">
        <v>358</v>
      </c>
      <c r="T916" s="4" t="s">
        <v>555</v>
      </c>
      <c r="U916" s="4">
        <v>0</v>
      </c>
      <c r="V916" s="4">
        <v>65</v>
      </c>
      <c r="W916" s="4">
        <v>82</v>
      </c>
    </row>
    <row r="917" spans="1:23" ht="11.25" customHeight="1" x14ac:dyDescent="0.25">
      <c r="A917" s="4" t="s">
        <v>21</v>
      </c>
      <c r="B917" s="4" t="s">
        <v>45</v>
      </c>
      <c r="C917" s="4" t="s">
        <v>23</v>
      </c>
      <c r="D917" s="4" t="s">
        <v>46</v>
      </c>
      <c r="E917" s="4" t="s">
        <v>47</v>
      </c>
      <c r="F917" s="4" t="s">
        <v>25</v>
      </c>
      <c r="G917" s="4" t="s">
        <v>25</v>
      </c>
      <c r="H917" s="4" t="s">
        <v>25</v>
      </c>
      <c r="I917" s="5">
        <v>44593</v>
      </c>
      <c r="J917" s="6">
        <v>0</v>
      </c>
      <c r="K917" s="6">
        <v>0</v>
      </c>
      <c r="L917" s="6">
        <v>418.34300000000002</v>
      </c>
      <c r="M917" s="6">
        <v>418.34300000000002</v>
      </c>
      <c r="N917" s="6">
        <v>418.34300000000002</v>
      </c>
      <c r="O917" s="6">
        <v>418.34300000000002</v>
      </c>
      <c r="P917" s="6">
        <v>10</v>
      </c>
      <c r="Q917" s="4" t="s">
        <v>26</v>
      </c>
      <c r="R917" s="4">
        <v>0</v>
      </c>
      <c r="S917" s="4" t="s">
        <v>359</v>
      </c>
      <c r="T917" s="4" t="s">
        <v>556</v>
      </c>
      <c r="U917" s="4">
        <v>0</v>
      </c>
      <c r="V917" s="4">
        <v>65</v>
      </c>
      <c r="W917" s="4">
        <v>82</v>
      </c>
    </row>
    <row r="918" spans="1:23" ht="11.25" customHeight="1" x14ac:dyDescent="0.25">
      <c r="A918" s="4" t="s">
        <v>21</v>
      </c>
      <c r="B918" s="4" t="s">
        <v>45</v>
      </c>
      <c r="C918" s="4" t="s">
        <v>23</v>
      </c>
      <c r="D918" s="4" t="s">
        <v>46</v>
      </c>
      <c r="E918" s="4" t="s">
        <v>47</v>
      </c>
      <c r="F918" s="4" t="s">
        <v>25</v>
      </c>
      <c r="G918" s="4" t="s">
        <v>25</v>
      </c>
      <c r="H918" s="4" t="s">
        <v>25</v>
      </c>
      <c r="I918" s="5">
        <v>44621</v>
      </c>
      <c r="J918" s="6">
        <v>0</v>
      </c>
      <c r="K918" s="6">
        <v>0</v>
      </c>
      <c r="L918" s="6">
        <v>463.16500000000002</v>
      </c>
      <c r="M918" s="6">
        <v>463.16500000000002</v>
      </c>
      <c r="N918" s="6">
        <v>463.16500000000002</v>
      </c>
      <c r="O918" s="6">
        <v>463.16500000000002</v>
      </c>
      <c r="P918" s="6">
        <v>10</v>
      </c>
      <c r="Q918" s="4" t="s">
        <v>26</v>
      </c>
      <c r="R918" s="4">
        <v>0</v>
      </c>
      <c r="S918" s="4" t="s">
        <v>360</v>
      </c>
      <c r="T918" s="4" t="s">
        <v>557</v>
      </c>
      <c r="U918" s="4">
        <v>0</v>
      </c>
      <c r="V918" s="4">
        <v>65</v>
      </c>
      <c r="W918" s="4">
        <v>82</v>
      </c>
    </row>
    <row r="919" spans="1:23" ht="11.25" customHeight="1" x14ac:dyDescent="0.25">
      <c r="A919" s="4" t="s">
        <v>21</v>
      </c>
      <c r="B919" s="4" t="s">
        <v>45</v>
      </c>
      <c r="C919" s="4" t="s">
        <v>23</v>
      </c>
      <c r="D919" s="4" t="s">
        <v>46</v>
      </c>
      <c r="E919" s="4" t="s">
        <v>47</v>
      </c>
      <c r="F919" s="4" t="s">
        <v>25</v>
      </c>
      <c r="G919" s="4" t="s">
        <v>25</v>
      </c>
      <c r="H919" s="4" t="s">
        <v>25</v>
      </c>
      <c r="I919" s="5">
        <v>44652</v>
      </c>
      <c r="J919" s="6">
        <v>0</v>
      </c>
      <c r="K919" s="6">
        <v>0</v>
      </c>
      <c r="L919" s="6">
        <v>448.22500000000002</v>
      </c>
      <c r="M919" s="6">
        <v>448.22500000000002</v>
      </c>
      <c r="N919" s="6">
        <v>448.22500000000002</v>
      </c>
      <c r="O919" s="6">
        <v>448.22500000000002</v>
      </c>
      <c r="P919" s="6">
        <v>10</v>
      </c>
      <c r="Q919" s="4" t="s">
        <v>26</v>
      </c>
      <c r="R919" s="4">
        <v>0</v>
      </c>
      <c r="S919" s="4" t="s">
        <v>361</v>
      </c>
      <c r="T919" s="4" t="s">
        <v>558</v>
      </c>
      <c r="U919" s="4">
        <v>0</v>
      </c>
      <c r="V919" s="4">
        <v>65</v>
      </c>
      <c r="W919" s="4">
        <v>82</v>
      </c>
    </row>
    <row r="920" spans="1:23" ht="11.25" customHeight="1" x14ac:dyDescent="0.25">
      <c r="A920" s="4" t="s">
        <v>21</v>
      </c>
      <c r="B920" s="4" t="s">
        <v>45</v>
      </c>
      <c r="C920" s="4" t="s">
        <v>23</v>
      </c>
      <c r="D920" s="4" t="s">
        <v>46</v>
      </c>
      <c r="E920" s="4" t="s">
        <v>47</v>
      </c>
      <c r="F920" s="4" t="s">
        <v>25</v>
      </c>
      <c r="G920" s="4" t="s">
        <v>25</v>
      </c>
      <c r="H920" s="4" t="s">
        <v>25</v>
      </c>
      <c r="I920" s="5">
        <v>44682</v>
      </c>
      <c r="J920" s="6">
        <v>0</v>
      </c>
      <c r="K920" s="6">
        <v>0</v>
      </c>
      <c r="L920" s="6">
        <v>463.16500000000002</v>
      </c>
      <c r="M920" s="6">
        <v>463.16500000000002</v>
      </c>
      <c r="N920" s="6">
        <v>463.16500000000002</v>
      </c>
      <c r="O920" s="6">
        <v>463.16500000000002</v>
      </c>
      <c r="P920" s="6">
        <v>10</v>
      </c>
      <c r="Q920" s="4" t="s">
        <v>26</v>
      </c>
      <c r="R920" s="4">
        <v>0</v>
      </c>
      <c r="S920" s="4" t="s">
        <v>362</v>
      </c>
      <c r="T920" s="4" t="s">
        <v>559</v>
      </c>
      <c r="U920" s="4">
        <v>0</v>
      </c>
      <c r="V920" s="4">
        <v>65</v>
      </c>
      <c r="W920" s="4">
        <v>82</v>
      </c>
    </row>
    <row r="921" spans="1:23" ht="11.25" customHeight="1" x14ac:dyDescent="0.25">
      <c r="A921" s="4" t="s">
        <v>56</v>
      </c>
      <c r="B921" s="4" t="s">
        <v>45</v>
      </c>
      <c r="C921" s="4" t="s">
        <v>23</v>
      </c>
      <c r="D921" s="4" t="s">
        <v>46</v>
      </c>
      <c r="E921" s="4" t="s">
        <v>47</v>
      </c>
      <c r="F921" s="4" t="s">
        <v>25</v>
      </c>
      <c r="G921" s="4" t="s">
        <v>25</v>
      </c>
      <c r="H921" s="4" t="s">
        <v>25</v>
      </c>
      <c r="I921" s="5">
        <v>44713</v>
      </c>
      <c r="J921" s="6">
        <v>0</v>
      </c>
      <c r="K921" s="6">
        <v>0</v>
      </c>
      <c r="L921" s="6">
        <v>463.16500000000002</v>
      </c>
      <c r="M921" s="6">
        <v>463.16500000000002</v>
      </c>
      <c r="N921" s="6">
        <v>463.16500000000002</v>
      </c>
      <c r="O921" s="6">
        <v>463.16500000000002</v>
      </c>
      <c r="P921" s="6">
        <v>10</v>
      </c>
      <c r="Q921" s="4" t="s">
        <v>26</v>
      </c>
      <c r="R921" s="4">
        <v>0</v>
      </c>
      <c r="S921" s="4" t="s">
        <v>363</v>
      </c>
      <c r="T921" s="4" t="s">
        <v>560</v>
      </c>
      <c r="U921" s="4">
        <v>0</v>
      </c>
      <c r="V921" s="4">
        <v>65</v>
      </c>
      <c r="W921" s="4">
        <v>82</v>
      </c>
    </row>
  </sheetData>
  <sortState xmlns:xlrd2="http://schemas.microsoft.com/office/spreadsheetml/2017/richdata2" ref="A2:W921">
    <sortCondition ref="B2:B921"/>
    <sortCondition ref="C2:C921"/>
    <sortCondition ref="D2:D921"/>
    <sortCondition ref="E2:E921"/>
    <sortCondition ref="F2:F921"/>
    <sortCondition ref="H2:H92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49112-E44E-45E7-85B9-9B7B8B39FA6D}">
  <dimension ref="A1:H115"/>
  <sheetViews>
    <sheetView showGridLines="0" workbookViewId="0">
      <selection activeCell="G7" sqref="G7"/>
    </sheetView>
  </sheetViews>
  <sheetFormatPr defaultRowHeight="11.25" customHeight="1" x14ac:dyDescent="0.25"/>
  <cols>
    <col min="1" max="1" width="12.140625" style="8" bestFit="1" customWidth="1"/>
    <col min="2" max="2" width="42.7109375" style="52" customWidth="1"/>
    <col min="3" max="3" width="13.85546875" style="8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5.42578125" style="8" customWidth="1"/>
    <col min="9" max="16384" width="9.140625" style="8"/>
  </cols>
  <sheetData>
    <row r="1" spans="1:8" s="7" customFormat="1" ht="11.25" customHeight="1" x14ac:dyDescent="0.25">
      <c r="A1" s="7" t="s">
        <v>65</v>
      </c>
      <c r="B1" s="51" t="s">
        <v>66</v>
      </c>
      <c r="C1" s="7" t="s">
        <v>67</v>
      </c>
      <c r="D1" s="7" t="s">
        <v>68</v>
      </c>
      <c r="E1" s="7" t="s">
        <v>69</v>
      </c>
      <c r="G1" s="7" t="s">
        <v>70</v>
      </c>
      <c r="H1" s="7">
        <f>COUNTA(A:A)</f>
        <v>115</v>
      </c>
    </row>
    <row r="2" spans="1:8" ht="11.25" customHeight="1" x14ac:dyDescent="0.25">
      <c r="A2" s="8" t="s">
        <v>389</v>
      </c>
      <c r="B2" s="52" t="s">
        <v>390</v>
      </c>
      <c r="C2" s="8" t="s">
        <v>391</v>
      </c>
      <c r="D2" s="8">
        <v>166</v>
      </c>
      <c r="E2" s="8" t="s">
        <v>392</v>
      </c>
    </row>
    <row r="3" spans="1:8" ht="11.25" customHeight="1" x14ac:dyDescent="0.25">
      <c r="A3" s="8" t="s">
        <v>389</v>
      </c>
      <c r="B3" s="52" t="s">
        <v>390</v>
      </c>
      <c r="C3" s="8" t="s">
        <v>391</v>
      </c>
      <c r="D3" s="8">
        <v>167</v>
      </c>
      <c r="E3" s="8" t="s">
        <v>392</v>
      </c>
    </row>
    <row r="4" spans="1:8" ht="11.25" customHeight="1" x14ac:dyDescent="0.25">
      <c r="A4" s="8" t="s">
        <v>389</v>
      </c>
      <c r="B4" s="52" t="s">
        <v>390</v>
      </c>
      <c r="C4" s="8" t="s">
        <v>391</v>
      </c>
      <c r="D4" s="8">
        <v>168</v>
      </c>
      <c r="E4" s="8" t="s">
        <v>392</v>
      </c>
    </row>
    <row r="5" spans="1:8" ht="11.25" customHeight="1" x14ac:dyDescent="0.25">
      <c r="A5" s="8" t="s">
        <v>389</v>
      </c>
      <c r="B5" s="52" t="s">
        <v>390</v>
      </c>
      <c r="C5" s="8" t="s">
        <v>391</v>
      </c>
      <c r="D5" s="8">
        <v>169</v>
      </c>
      <c r="E5" s="8" t="s">
        <v>392</v>
      </c>
    </row>
    <row r="6" spans="1:8" ht="11.25" customHeight="1" x14ac:dyDescent="0.25">
      <c r="A6" s="8" t="s">
        <v>389</v>
      </c>
      <c r="B6" s="52" t="s">
        <v>390</v>
      </c>
      <c r="C6" s="8" t="s">
        <v>391</v>
      </c>
      <c r="D6" s="8">
        <v>170</v>
      </c>
      <c r="E6" s="8" t="s">
        <v>392</v>
      </c>
    </row>
    <row r="7" spans="1:8" ht="11.25" customHeight="1" x14ac:dyDescent="0.25">
      <c r="A7" s="8" t="s">
        <v>389</v>
      </c>
      <c r="B7" s="52" t="s">
        <v>390</v>
      </c>
      <c r="C7" s="8" t="s">
        <v>391</v>
      </c>
      <c r="D7" s="8">
        <v>171</v>
      </c>
      <c r="E7" s="8" t="s">
        <v>392</v>
      </c>
    </row>
    <row r="8" spans="1:8" ht="11.25" customHeight="1" x14ac:dyDescent="0.25">
      <c r="A8" s="8" t="s">
        <v>389</v>
      </c>
      <c r="B8" s="52" t="s">
        <v>390</v>
      </c>
      <c r="C8" s="8" t="s">
        <v>391</v>
      </c>
      <c r="D8" s="8">
        <v>172</v>
      </c>
      <c r="E8" s="8" t="s">
        <v>392</v>
      </c>
    </row>
    <row r="9" spans="1:8" ht="11.25" customHeight="1" x14ac:dyDescent="0.25">
      <c r="A9" s="8" t="s">
        <v>389</v>
      </c>
      <c r="B9" s="52" t="s">
        <v>390</v>
      </c>
      <c r="C9" s="8" t="s">
        <v>391</v>
      </c>
      <c r="D9" s="8">
        <v>173</v>
      </c>
      <c r="E9" s="8" t="s">
        <v>392</v>
      </c>
    </row>
    <row r="10" spans="1:8" ht="11.25" customHeight="1" x14ac:dyDescent="0.25">
      <c r="A10" s="8" t="s">
        <v>389</v>
      </c>
      <c r="B10" s="52" t="s">
        <v>390</v>
      </c>
      <c r="C10" s="8" t="s">
        <v>391</v>
      </c>
      <c r="D10" s="8">
        <v>174</v>
      </c>
      <c r="E10" s="8" t="s">
        <v>392</v>
      </c>
    </row>
    <row r="11" spans="1:8" ht="11.25" customHeight="1" x14ac:dyDescent="0.25">
      <c r="A11" s="8" t="s">
        <v>389</v>
      </c>
      <c r="B11" s="52" t="s">
        <v>390</v>
      </c>
      <c r="C11" s="8" t="s">
        <v>391</v>
      </c>
      <c r="D11" s="8">
        <v>175</v>
      </c>
      <c r="E11" s="8" t="s">
        <v>392</v>
      </c>
    </row>
    <row r="12" spans="1:8" ht="11.25" customHeight="1" x14ac:dyDescent="0.25">
      <c r="A12" s="8" t="s">
        <v>389</v>
      </c>
      <c r="B12" s="52" t="s">
        <v>390</v>
      </c>
      <c r="C12" s="8" t="s">
        <v>391</v>
      </c>
      <c r="D12" s="8">
        <v>176</v>
      </c>
      <c r="E12" s="8" t="s">
        <v>392</v>
      </c>
    </row>
    <row r="13" spans="1:8" ht="11.25" customHeight="1" x14ac:dyDescent="0.25">
      <c r="A13" s="8" t="s">
        <v>389</v>
      </c>
      <c r="B13" s="52" t="s">
        <v>390</v>
      </c>
      <c r="C13" s="8" t="s">
        <v>391</v>
      </c>
      <c r="D13" s="8">
        <v>177</v>
      </c>
      <c r="E13" s="8" t="s">
        <v>392</v>
      </c>
    </row>
    <row r="14" spans="1:8" ht="11.25" customHeight="1" x14ac:dyDescent="0.25">
      <c r="A14" s="8" t="s">
        <v>389</v>
      </c>
      <c r="B14" s="52" t="s">
        <v>390</v>
      </c>
      <c r="C14" s="8" t="s">
        <v>391</v>
      </c>
      <c r="D14" s="8">
        <v>178</v>
      </c>
      <c r="E14" s="8" t="s">
        <v>392</v>
      </c>
    </row>
    <row r="15" spans="1:8" ht="11.25" customHeight="1" x14ac:dyDescent="0.25">
      <c r="A15" s="8" t="s">
        <v>389</v>
      </c>
      <c r="B15" s="52" t="s">
        <v>390</v>
      </c>
      <c r="C15" s="8" t="s">
        <v>391</v>
      </c>
      <c r="D15" s="8">
        <v>179</v>
      </c>
      <c r="E15" s="8" t="s">
        <v>392</v>
      </c>
    </row>
    <row r="16" spans="1:8" ht="11.25" customHeight="1" x14ac:dyDescent="0.25">
      <c r="A16" s="8" t="s">
        <v>389</v>
      </c>
      <c r="B16" s="52" t="s">
        <v>390</v>
      </c>
      <c r="C16" s="8" t="s">
        <v>391</v>
      </c>
      <c r="D16" s="8">
        <v>180</v>
      </c>
      <c r="E16" s="8" t="s">
        <v>392</v>
      </c>
    </row>
    <row r="17" spans="1:5" ht="11.25" customHeight="1" x14ac:dyDescent="0.25">
      <c r="A17" s="8" t="s">
        <v>389</v>
      </c>
      <c r="B17" s="52" t="s">
        <v>390</v>
      </c>
      <c r="C17" s="8" t="s">
        <v>391</v>
      </c>
      <c r="D17" s="8">
        <v>181</v>
      </c>
      <c r="E17" s="8" t="s">
        <v>392</v>
      </c>
    </row>
    <row r="18" spans="1:5" ht="11.25" customHeight="1" x14ac:dyDescent="0.25">
      <c r="A18" s="8" t="s">
        <v>389</v>
      </c>
      <c r="B18" s="52" t="s">
        <v>390</v>
      </c>
      <c r="C18" s="8" t="s">
        <v>391</v>
      </c>
      <c r="D18" s="8">
        <v>182</v>
      </c>
      <c r="E18" s="8" t="s">
        <v>392</v>
      </c>
    </row>
    <row r="19" spans="1:5" ht="11.25" customHeight="1" x14ac:dyDescent="0.25">
      <c r="A19" s="8" t="s">
        <v>389</v>
      </c>
      <c r="B19" s="52" t="s">
        <v>390</v>
      </c>
      <c r="C19" s="8" t="s">
        <v>391</v>
      </c>
      <c r="D19" s="8">
        <v>183</v>
      </c>
      <c r="E19" s="8" t="s">
        <v>392</v>
      </c>
    </row>
    <row r="20" spans="1:5" ht="11.25" customHeight="1" x14ac:dyDescent="0.25">
      <c r="A20" s="8" t="s">
        <v>389</v>
      </c>
      <c r="B20" s="52" t="s">
        <v>390</v>
      </c>
      <c r="C20" s="8" t="s">
        <v>391</v>
      </c>
      <c r="D20" s="8">
        <v>184</v>
      </c>
      <c r="E20" s="8" t="s">
        <v>392</v>
      </c>
    </row>
    <row r="21" spans="1:5" ht="11.25" customHeight="1" x14ac:dyDescent="0.25">
      <c r="A21" s="8" t="s">
        <v>389</v>
      </c>
      <c r="B21" s="52" t="s">
        <v>390</v>
      </c>
      <c r="C21" s="8" t="s">
        <v>391</v>
      </c>
      <c r="D21" s="8">
        <v>185</v>
      </c>
      <c r="E21" s="8" t="s">
        <v>392</v>
      </c>
    </row>
    <row r="22" spans="1:5" ht="11.25" customHeight="1" x14ac:dyDescent="0.25">
      <c r="A22" s="8" t="s">
        <v>389</v>
      </c>
      <c r="B22" s="52" t="s">
        <v>390</v>
      </c>
      <c r="C22" s="8" t="s">
        <v>391</v>
      </c>
      <c r="D22" s="8">
        <v>186</v>
      </c>
      <c r="E22" s="8" t="s">
        <v>392</v>
      </c>
    </row>
    <row r="23" spans="1:5" ht="11.25" customHeight="1" x14ac:dyDescent="0.25">
      <c r="A23" s="8" t="s">
        <v>389</v>
      </c>
      <c r="B23" s="52" t="s">
        <v>390</v>
      </c>
      <c r="C23" s="8" t="s">
        <v>391</v>
      </c>
      <c r="D23" s="8">
        <v>187</v>
      </c>
      <c r="E23" s="8" t="s">
        <v>392</v>
      </c>
    </row>
    <row r="24" spans="1:5" ht="11.25" customHeight="1" x14ac:dyDescent="0.25">
      <c r="A24" s="8" t="s">
        <v>389</v>
      </c>
      <c r="B24" s="52" t="s">
        <v>390</v>
      </c>
      <c r="C24" s="8" t="s">
        <v>391</v>
      </c>
      <c r="D24" s="8">
        <v>219</v>
      </c>
      <c r="E24" s="8" t="s">
        <v>392</v>
      </c>
    </row>
    <row r="25" spans="1:5" ht="11.25" customHeight="1" x14ac:dyDescent="0.25">
      <c r="A25" s="8" t="s">
        <v>389</v>
      </c>
      <c r="B25" s="52" t="s">
        <v>390</v>
      </c>
      <c r="C25" s="8" t="s">
        <v>391</v>
      </c>
      <c r="D25" s="8">
        <v>220</v>
      </c>
      <c r="E25" s="8" t="s">
        <v>392</v>
      </c>
    </row>
    <row r="26" spans="1:5" ht="11.25" customHeight="1" x14ac:dyDescent="0.25">
      <c r="A26" s="8" t="s">
        <v>389</v>
      </c>
      <c r="B26" s="52" t="s">
        <v>390</v>
      </c>
      <c r="C26" s="8" t="s">
        <v>391</v>
      </c>
      <c r="D26" s="8">
        <v>221</v>
      </c>
      <c r="E26" s="8" t="s">
        <v>392</v>
      </c>
    </row>
    <row r="27" spans="1:5" ht="11.25" customHeight="1" x14ac:dyDescent="0.25">
      <c r="A27" s="8" t="s">
        <v>389</v>
      </c>
      <c r="B27" s="52" t="s">
        <v>390</v>
      </c>
      <c r="C27" s="8" t="s">
        <v>391</v>
      </c>
      <c r="D27" s="8">
        <v>222</v>
      </c>
      <c r="E27" s="8" t="s">
        <v>392</v>
      </c>
    </row>
    <row r="28" spans="1:5" ht="11.25" customHeight="1" x14ac:dyDescent="0.25">
      <c r="A28" s="8" t="s">
        <v>389</v>
      </c>
      <c r="B28" s="52" t="s">
        <v>390</v>
      </c>
      <c r="C28" s="8" t="s">
        <v>391</v>
      </c>
      <c r="D28" s="8">
        <v>223</v>
      </c>
      <c r="E28" s="8" t="s">
        <v>392</v>
      </c>
    </row>
    <row r="29" spans="1:5" ht="11.25" customHeight="1" x14ac:dyDescent="0.25">
      <c r="A29" s="8" t="s">
        <v>389</v>
      </c>
      <c r="B29" s="52" t="s">
        <v>390</v>
      </c>
      <c r="C29" s="8" t="s">
        <v>391</v>
      </c>
      <c r="D29" s="8">
        <v>224</v>
      </c>
      <c r="E29" s="8" t="s">
        <v>392</v>
      </c>
    </row>
    <row r="30" spans="1:5" ht="11.25" customHeight="1" x14ac:dyDescent="0.25">
      <c r="A30" s="8" t="s">
        <v>389</v>
      </c>
      <c r="B30" s="52" t="s">
        <v>390</v>
      </c>
      <c r="C30" s="8" t="s">
        <v>391</v>
      </c>
      <c r="D30" s="8">
        <v>225</v>
      </c>
      <c r="E30" s="8" t="s">
        <v>392</v>
      </c>
    </row>
    <row r="31" spans="1:5" ht="11.25" customHeight="1" x14ac:dyDescent="0.25">
      <c r="A31" s="8" t="s">
        <v>389</v>
      </c>
      <c r="B31" s="52" t="s">
        <v>390</v>
      </c>
      <c r="C31" s="8" t="s">
        <v>391</v>
      </c>
      <c r="D31" s="8">
        <v>226</v>
      </c>
      <c r="E31" s="8" t="s">
        <v>392</v>
      </c>
    </row>
    <row r="32" spans="1:5" ht="11.25" customHeight="1" x14ac:dyDescent="0.25">
      <c r="A32" s="8" t="s">
        <v>389</v>
      </c>
      <c r="B32" s="52" t="s">
        <v>390</v>
      </c>
      <c r="C32" s="8" t="s">
        <v>391</v>
      </c>
      <c r="D32" s="8">
        <v>227</v>
      </c>
      <c r="E32" s="8" t="s">
        <v>392</v>
      </c>
    </row>
    <row r="33" spans="1:5" ht="11.25" customHeight="1" x14ac:dyDescent="0.25">
      <c r="A33" s="8" t="s">
        <v>389</v>
      </c>
      <c r="B33" s="52" t="s">
        <v>390</v>
      </c>
      <c r="C33" s="8" t="s">
        <v>391</v>
      </c>
      <c r="D33" s="8">
        <v>228</v>
      </c>
      <c r="E33" s="8" t="s">
        <v>392</v>
      </c>
    </row>
    <row r="34" spans="1:5" ht="11.25" customHeight="1" x14ac:dyDescent="0.25">
      <c r="A34" s="8" t="s">
        <v>389</v>
      </c>
      <c r="B34" s="52" t="s">
        <v>390</v>
      </c>
      <c r="C34" s="8" t="s">
        <v>391</v>
      </c>
      <c r="D34" s="8">
        <v>229</v>
      </c>
      <c r="E34" s="8" t="s">
        <v>392</v>
      </c>
    </row>
    <row r="35" spans="1:5" ht="11.25" customHeight="1" x14ac:dyDescent="0.25">
      <c r="A35" s="8" t="s">
        <v>389</v>
      </c>
      <c r="B35" s="52" t="s">
        <v>390</v>
      </c>
      <c r="C35" s="8" t="s">
        <v>391</v>
      </c>
      <c r="D35" s="8">
        <v>230</v>
      </c>
      <c r="E35" s="8" t="s">
        <v>392</v>
      </c>
    </row>
    <row r="36" spans="1:5" ht="11.25" customHeight="1" x14ac:dyDescent="0.25">
      <c r="A36" s="8" t="s">
        <v>389</v>
      </c>
      <c r="B36" s="52" t="s">
        <v>390</v>
      </c>
      <c r="C36" s="8" t="s">
        <v>391</v>
      </c>
      <c r="D36" s="8">
        <v>302</v>
      </c>
      <c r="E36" s="8" t="s">
        <v>392</v>
      </c>
    </row>
    <row r="37" spans="1:5" ht="11.25" customHeight="1" x14ac:dyDescent="0.25">
      <c r="A37" s="8" t="s">
        <v>389</v>
      </c>
      <c r="B37" s="52" t="s">
        <v>390</v>
      </c>
      <c r="C37" s="8" t="s">
        <v>391</v>
      </c>
      <c r="D37" s="8">
        <v>303</v>
      </c>
      <c r="E37" s="8" t="s">
        <v>392</v>
      </c>
    </row>
    <row r="38" spans="1:5" ht="11.25" customHeight="1" x14ac:dyDescent="0.25">
      <c r="A38" s="8" t="s">
        <v>389</v>
      </c>
      <c r="B38" s="52" t="s">
        <v>390</v>
      </c>
      <c r="C38" s="8" t="s">
        <v>391</v>
      </c>
      <c r="D38" s="8">
        <v>304</v>
      </c>
      <c r="E38" s="8" t="s">
        <v>392</v>
      </c>
    </row>
    <row r="39" spans="1:5" ht="11.25" customHeight="1" x14ac:dyDescent="0.25">
      <c r="A39" s="8" t="s">
        <v>389</v>
      </c>
      <c r="B39" s="52" t="s">
        <v>390</v>
      </c>
      <c r="C39" s="8" t="s">
        <v>391</v>
      </c>
      <c r="D39" s="8">
        <v>305</v>
      </c>
      <c r="E39" s="8" t="s">
        <v>392</v>
      </c>
    </row>
    <row r="40" spans="1:5" ht="11.25" customHeight="1" x14ac:dyDescent="0.25">
      <c r="A40" s="8" t="s">
        <v>389</v>
      </c>
      <c r="B40" s="52" t="s">
        <v>390</v>
      </c>
      <c r="C40" s="8" t="s">
        <v>391</v>
      </c>
      <c r="D40" s="8">
        <v>306</v>
      </c>
      <c r="E40" s="8" t="s">
        <v>392</v>
      </c>
    </row>
    <row r="41" spans="1:5" ht="11.25" customHeight="1" x14ac:dyDescent="0.25">
      <c r="A41" s="8" t="s">
        <v>389</v>
      </c>
      <c r="B41" s="52" t="s">
        <v>390</v>
      </c>
      <c r="C41" s="8" t="s">
        <v>391</v>
      </c>
      <c r="D41" s="8">
        <v>307</v>
      </c>
      <c r="E41" s="8" t="s">
        <v>392</v>
      </c>
    </row>
    <row r="42" spans="1:5" ht="11.25" customHeight="1" x14ac:dyDescent="0.25">
      <c r="A42" s="8" t="s">
        <v>389</v>
      </c>
      <c r="B42" s="52" t="s">
        <v>390</v>
      </c>
      <c r="C42" s="8" t="s">
        <v>391</v>
      </c>
      <c r="D42" s="8">
        <v>308</v>
      </c>
      <c r="E42" s="8" t="s">
        <v>392</v>
      </c>
    </row>
    <row r="43" spans="1:5" ht="11.25" customHeight="1" x14ac:dyDescent="0.25">
      <c r="A43" s="8" t="s">
        <v>389</v>
      </c>
      <c r="B43" s="52" t="s">
        <v>390</v>
      </c>
      <c r="C43" s="8" t="s">
        <v>391</v>
      </c>
      <c r="D43" s="8">
        <v>309</v>
      </c>
      <c r="E43" s="8" t="s">
        <v>392</v>
      </c>
    </row>
    <row r="44" spans="1:5" ht="11.25" customHeight="1" x14ac:dyDescent="0.25">
      <c r="A44" s="8" t="s">
        <v>389</v>
      </c>
      <c r="B44" s="52" t="s">
        <v>390</v>
      </c>
      <c r="C44" s="8" t="s">
        <v>391</v>
      </c>
      <c r="D44" s="8">
        <v>310</v>
      </c>
      <c r="E44" s="8" t="s">
        <v>392</v>
      </c>
    </row>
    <row r="45" spans="1:5" ht="11.25" customHeight="1" x14ac:dyDescent="0.25">
      <c r="A45" s="8" t="s">
        <v>389</v>
      </c>
      <c r="B45" s="52" t="s">
        <v>390</v>
      </c>
      <c r="C45" s="8" t="s">
        <v>391</v>
      </c>
      <c r="D45" s="8">
        <v>311</v>
      </c>
      <c r="E45" s="8" t="s">
        <v>392</v>
      </c>
    </row>
    <row r="46" spans="1:5" ht="11.25" customHeight="1" x14ac:dyDescent="0.25">
      <c r="A46" s="8" t="s">
        <v>389</v>
      </c>
      <c r="B46" s="52" t="s">
        <v>390</v>
      </c>
      <c r="C46" s="8" t="s">
        <v>391</v>
      </c>
      <c r="D46" s="8">
        <v>312</v>
      </c>
      <c r="E46" s="8" t="s">
        <v>392</v>
      </c>
    </row>
    <row r="47" spans="1:5" ht="11.25" customHeight="1" x14ac:dyDescent="0.25">
      <c r="A47" s="8" t="s">
        <v>389</v>
      </c>
      <c r="B47" s="52" t="s">
        <v>390</v>
      </c>
      <c r="C47" s="8" t="s">
        <v>391</v>
      </c>
      <c r="D47" s="8">
        <v>313</v>
      </c>
      <c r="E47" s="8" t="s">
        <v>392</v>
      </c>
    </row>
    <row r="48" spans="1:5" ht="11.25" customHeight="1" x14ac:dyDescent="0.25">
      <c r="A48" s="8" t="s">
        <v>389</v>
      </c>
      <c r="B48" s="52" t="s">
        <v>390</v>
      </c>
      <c r="C48" s="8" t="s">
        <v>391</v>
      </c>
      <c r="D48" s="8">
        <v>314</v>
      </c>
      <c r="E48" s="8" t="s">
        <v>392</v>
      </c>
    </row>
    <row r="49" spans="1:5" ht="11.25" customHeight="1" x14ac:dyDescent="0.25">
      <c r="A49" s="8" t="s">
        <v>389</v>
      </c>
      <c r="B49" s="52" t="s">
        <v>390</v>
      </c>
      <c r="C49" s="8" t="s">
        <v>391</v>
      </c>
      <c r="D49" s="8">
        <v>315</v>
      </c>
      <c r="E49" s="8" t="s">
        <v>392</v>
      </c>
    </row>
    <row r="50" spans="1:5" ht="11.25" customHeight="1" x14ac:dyDescent="0.25">
      <c r="A50" s="8" t="s">
        <v>389</v>
      </c>
      <c r="B50" s="52" t="s">
        <v>390</v>
      </c>
      <c r="C50" s="8" t="s">
        <v>391</v>
      </c>
      <c r="D50" s="8">
        <v>316</v>
      </c>
      <c r="E50" s="8" t="s">
        <v>392</v>
      </c>
    </row>
    <row r="51" spans="1:5" ht="11.25" customHeight="1" x14ac:dyDescent="0.25">
      <c r="A51" s="8" t="s">
        <v>389</v>
      </c>
      <c r="B51" s="52" t="s">
        <v>390</v>
      </c>
      <c r="C51" s="8" t="s">
        <v>391</v>
      </c>
      <c r="D51" s="8">
        <v>317</v>
      </c>
      <c r="E51" s="8" t="s">
        <v>392</v>
      </c>
    </row>
    <row r="52" spans="1:5" ht="11.25" customHeight="1" x14ac:dyDescent="0.25">
      <c r="A52" s="8" t="s">
        <v>389</v>
      </c>
      <c r="B52" s="52" t="s">
        <v>390</v>
      </c>
      <c r="C52" s="8" t="s">
        <v>391</v>
      </c>
      <c r="D52" s="8">
        <v>318</v>
      </c>
      <c r="E52" s="8" t="s">
        <v>392</v>
      </c>
    </row>
    <row r="53" spans="1:5" ht="11.25" customHeight="1" x14ac:dyDescent="0.25">
      <c r="A53" s="8" t="s">
        <v>389</v>
      </c>
      <c r="B53" s="52" t="s">
        <v>390</v>
      </c>
      <c r="C53" s="8" t="s">
        <v>391</v>
      </c>
      <c r="D53" s="8">
        <v>319</v>
      </c>
      <c r="E53" s="8" t="s">
        <v>392</v>
      </c>
    </row>
    <row r="54" spans="1:5" ht="11.25" customHeight="1" x14ac:dyDescent="0.25">
      <c r="A54" s="8" t="s">
        <v>389</v>
      </c>
      <c r="B54" s="52" t="s">
        <v>390</v>
      </c>
      <c r="C54" s="8" t="s">
        <v>391</v>
      </c>
      <c r="D54" s="8">
        <v>320</v>
      </c>
      <c r="E54" s="8" t="s">
        <v>392</v>
      </c>
    </row>
    <row r="55" spans="1:5" ht="11.25" customHeight="1" x14ac:dyDescent="0.25">
      <c r="A55" s="8" t="s">
        <v>389</v>
      </c>
      <c r="B55" s="52" t="s">
        <v>390</v>
      </c>
      <c r="C55" s="8" t="s">
        <v>391</v>
      </c>
      <c r="D55" s="8">
        <v>321</v>
      </c>
      <c r="E55" s="8" t="s">
        <v>392</v>
      </c>
    </row>
    <row r="56" spans="1:5" ht="11.25" customHeight="1" x14ac:dyDescent="0.25">
      <c r="A56" s="8" t="s">
        <v>389</v>
      </c>
      <c r="B56" s="52" t="s">
        <v>390</v>
      </c>
      <c r="C56" s="8" t="s">
        <v>391</v>
      </c>
      <c r="D56" s="8">
        <v>322</v>
      </c>
      <c r="E56" s="8" t="s">
        <v>392</v>
      </c>
    </row>
    <row r="57" spans="1:5" ht="11.25" customHeight="1" x14ac:dyDescent="0.25">
      <c r="A57" s="8" t="s">
        <v>389</v>
      </c>
      <c r="B57" s="52" t="s">
        <v>390</v>
      </c>
      <c r="C57" s="8" t="s">
        <v>391</v>
      </c>
      <c r="D57" s="8">
        <v>323</v>
      </c>
      <c r="E57" s="8" t="s">
        <v>392</v>
      </c>
    </row>
    <row r="58" spans="1:5" ht="11.25" customHeight="1" x14ac:dyDescent="0.25">
      <c r="A58" s="8" t="s">
        <v>389</v>
      </c>
      <c r="B58" s="52" t="s">
        <v>390</v>
      </c>
      <c r="C58" s="8" t="s">
        <v>391</v>
      </c>
      <c r="D58" s="8">
        <v>324</v>
      </c>
      <c r="E58" s="8" t="s">
        <v>392</v>
      </c>
    </row>
    <row r="59" spans="1:5" ht="11.25" customHeight="1" x14ac:dyDescent="0.25">
      <c r="A59" s="8" t="s">
        <v>389</v>
      </c>
      <c r="B59" s="52" t="s">
        <v>390</v>
      </c>
      <c r="C59" s="8" t="s">
        <v>391</v>
      </c>
      <c r="D59" s="8">
        <v>325</v>
      </c>
      <c r="E59" s="8" t="s">
        <v>392</v>
      </c>
    </row>
    <row r="60" spans="1:5" ht="11.25" customHeight="1" x14ac:dyDescent="0.25">
      <c r="A60" s="8" t="s">
        <v>389</v>
      </c>
      <c r="B60" s="52" t="s">
        <v>390</v>
      </c>
      <c r="C60" s="8" t="s">
        <v>391</v>
      </c>
      <c r="D60" s="8">
        <v>361</v>
      </c>
      <c r="E60" s="8" t="s">
        <v>392</v>
      </c>
    </row>
    <row r="61" spans="1:5" ht="11.25" customHeight="1" x14ac:dyDescent="0.25">
      <c r="A61" s="8" t="s">
        <v>389</v>
      </c>
      <c r="B61" s="52" t="s">
        <v>390</v>
      </c>
      <c r="C61" s="8" t="s">
        <v>391</v>
      </c>
      <c r="D61" s="8">
        <v>362</v>
      </c>
      <c r="E61" s="8" t="s">
        <v>392</v>
      </c>
    </row>
    <row r="62" spans="1:5" ht="11.25" customHeight="1" x14ac:dyDescent="0.25">
      <c r="A62" s="8" t="s">
        <v>389</v>
      </c>
      <c r="B62" s="52" t="s">
        <v>390</v>
      </c>
      <c r="C62" s="8" t="s">
        <v>391</v>
      </c>
      <c r="D62" s="8">
        <v>363</v>
      </c>
      <c r="E62" s="8" t="s">
        <v>392</v>
      </c>
    </row>
    <row r="63" spans="1:5" ht="11.25" customHeight="1" x14ac:dyDescent="0.25">
      <c r="A63" s="8" t="s">
        <v>389</v>
      </c>
      <c r="B63" s="52" t="s">
        <v>390</v>
      </c>
      <c r="C63" s="8" t="s">
        <v>391</v>
      </c>
      <c r="D63" s="8">
        <v>364</v>
      </c>
      <c r="E63" s="8" t="s">
        <v>392</v>
      </c>
    </row>
    <row r="64" spans="1:5" ht="11.25" customHeight="1" x14ac:dyDescent="0.25">
      <c r="A64" s="8" t="s">
        <v>389</v>
      </c>
      <c r="B64" s="52" t="s">
        <v>390</v>
      </c>
      <c r="C64" s="8" t="s">
        <v>391</v>
      </c>
      <c r="D64" s="8">
        <v>365</v>
      </c>
      <c r="E64" s="8" t="s">
        <v>392</v>
      </c>
    </row>
    <row r="65" spans="1:5" ht="11.25" customHeight="1" x14ac:dyDescent="0.25">
      <c r="A65" s="8" t="s">
        <v>389</v>
      </c>
      <c r="B65" s="52" t="s">
        <v>390</v>
      </c>
      <c r="C65" s="8" t="s">
        <v>391</v>
      </c>
      <c r="D65" s="8">
        <v>366</v>
      </c>
      <c r="E65" s="8" t="s">
        <v>392</v>
      </c>
    </row>
    <row r="66" spans="1:5" ht="11.25" customHeight="1" x14ac:dyDescent="0.25">
      <c r="A66" s="8" t="s">
        <v>389</v>
      </c>
      <c r="B66" s="52" t="s">
        <v>390</v>
      </c>
      <c r="C66" s="8" t="s">
        <v>391</v>
      </c>
      <c r="D66" s="8">
        <v>367</v>
      </c>
      <c r="E66" s="8" t="s">
        <v>392</v>
      </c>
    </row>
    <row r="67" spans="1:5" ht="11.25" customHeight="1" x14ac:dyDescent="0.25">
      <c r="A67" s="8" t="s">
        <v>389</v>
      </c>
      <c r="B67" s="52" t="s">
        <v>390</v>
      </c>
      <c r="C67" s="8" t="s">
        <v>391</v>
      </c>
      <c r="D67" s="8">
        <v>368</v>
      </c>
      <c r="E67" s="8" t="s">
        <v>392</v>
      </c>
    </row>
    <row r="68" spans="1:5" ht="11.25" customHeight="1" x14ac:dyDescent="0.25">
      <c r="A68" s="8" t="s">
        <v>389</v>
      </c>
      <c r="B68" s="52" t="s">
        <v>390</v>
      </c>
      <c r="C68" s="8" t="s">
        <v>391</v>
      </c>
      <c r="D68" s="8">
        <v>369</v>
      </c>
      <c r="E68" s="8" t="s">
        <v>392</v>
      </c>
    </row>
    <row r="69" spans="1:5" ht="11.25" customHeight="1" x14ac:dyDescent="0.25">
      <c r="A69" s="8" t="s">
        <v>389</v>
      </c>
      <c r="B69" s="52" t="s">
        <v>390</v>
      </c>
      <c r="C69" s="8" t="s">
        <v>391</v>
      </c>
      <c r="D69" s="8">
        <v>370</v>
      </c>
      <c r="E69" s="8" t="s">
        <v>392</v>
      </c>
    </row>
    <row r="70" spans="1:5" ht="11.25" customHeight="1" x14ac:dyDescent="0.25">
      <c r="A70" s="8" t="s">
        <v>389</v>
      </c>
      <c r="B70" s="52" t="s">
        <v>390</v>
      </c>
      <c r="C70" s="8" t="s">
        <v>391</v>
      </c>
      <c r="D70" s="8">
        <v>371</v>
      </c>
      <c r="E70" s="8" t="s">
        <v>392</v>
      </c>
    </row>
    <row r="71" spans="1:5" ht="11.25" customHeight="1" x14ac:dyDescent="0.25">
      <c r="A71" s="8" t="s">
        <v>389</v>
      </c>
      <c r="B71" s="52" t="s">
        <v>390</v>
      </c>
      <c r="C71" s="8" t="s">
        <v>391</v>
      </c>
      <c r="D71" s="8">
        <v>372</v>
      </c>
      <c r="E71" s="8" t="s">
        <v>392</v>
      </c>
    </row>
    <row r="72" spans="1:5" ht="11.25" customHeight="1" x14ac:dyDescent="0.25">
      <c r="A72" s="8" t="s">
        <v>389</v>
      </c>
      <c r="B72" s="52" t="s">
        <v>390</v>
      </c>
      <c r="C72" s="8" t="s">
        <v>391</v>
      </c>
      <c r="D72" s="8">
        <v>420</v>
      </c>
      <c r="E72" s="8" t="s">
        <v>392</v>
      </c>
    </row>
    <row r="73" spans="1:5" ht="11.25" customHeight="1" x14ac:dyDescent="0.25">
      <c r="A73" s="8" t="s">
        <v>389</v>
      </c>
      <c r="B73" s="52" t="s">
        <v>390</v>
      </c>
      <c r="C73" s="8" t="s">
        <v>391</v>
      </c>
      <c r="D73" s="8">
        <v>421</v>
      </c>
      <c r="E73" s="8" t="s">
        <v>392</v>
      </c>
    </row>
    <row r="74" spans="1:5" ht="11.25" customHeight="1" x14ac:dyDescent="0.25">
      <c r="A74" s="8" t="s">
        <v>389</v>
      </c>
      <c r="B74" s="52" t="s">
        <v>390</v>
      </c>
      <c r="C74" s="8" t="s">
        <v>391</v>
      </c>
      <c r="D74" s="8">
        <v>422</v>
      </c>
      <c r="E74" s="8" t="s">
        <v>392</v>
      </c>
    </row>
    <row r="75" spans="1:5" ht="11.25" customHeight="1" x14ac:dyDescent="0.25">
      <c r="A75" s="8" t="s">
        <v>389</v>
      </c>
      <c r="B75" s="52" t="s">
        <v>390</v>
      </c>
      <c r="C75" s="8" t="s">
        <v>391</v>
      </c>
      <c r="D75" s="8">
        <v>423</v>
      </c>
      <c r="E75" s="8" t="s">
        <v>392</v>
      </c>
    </row>
    <row r="76" spans="1:5" ht="11.25" customHeight="1" x14ac:dyDescent="0.25">
      <c r="A76" s="8" t="s">
        <v>389</v>
      </c>
      <c r="B76" s="52" t="s">
        <v>390</v>
      </c>
      <c r="C76" s="8" t="s">
        <v>391</v>
      </c>
      <c r="D76" s="8">
        <v>424</v>
      </c>
      <c r="E76" s="8" t="s">
        <v>392</v>
      </c>
    </row>
    <row r="77" spans="1:5" ht="11.25" customHeight="1" x14ac:dyDescent="0.25">
      <c r="A77" s="8" t="s">
        <v>389</v>
      </c>
      <c r="B77" s="52" t="s">
        <v>390</v>
      </c>
      <c r="C77" s="8" t="s">
        <v>391</v>
      </c>
      <c r="D77" s="8">
        <v>425</v>
      </c>
      <c r="E77" s="8" t="s">
        <v>392</v>
      </c>
    </row>
    <row r="78" spans="1:5" ht="11.25" customHeight="1" x14ac:dyDescent="0.25">
      <c r="A78" s="8" t="s">
        <v>389</v>
      </c>
      <c r="B78" s="52" t="s">
        <v>390</v>
      </c>
      <c r="C78" s="8" t="s">
        <v>391</v>
      </c>
      <c r="D78" s="8">
        <v>426</v>
      </c>
      <c r="E78" s="8" t="s">
        <v>392</v>
      </c>
    </row>
    <row r="79" spans="1:5" ht="11.25" customHeight="1" x14ac:dyDescent="0.25">
      <c r="A79" s="8" t="s">
        <v>389</v>
      </c>
      <c r="B79" s="52" t="s">
        <v>390</v>
      </c>
      <c r="C79" s="8" t="s">
        <v>391</v>
      </c>
      <c r="D79" s="8">
        <v>427</v>
      </c>
      <c r="E79" s="8" t="s">
        <v>392</v>
      </c>
    </row>
    <row r="80" spans="1:5" ht="11.25" customHeight="1" x14ac:dyDescent="0.25">
      <c r="A80" s="8" t="s">
        <v>389</v>
      </c>
      <c r="B80" s="52" t="s">
        <v>390</v>
      </c>
      <c r="C80" s="8" t="s">
        <v>391</v>
      </c>
      <c r="D80" s="8">
        <v>428</v>
      </c>
      <c r="E80" s="8" t="s">
        <v>392</v>
      </c>
    </row>
    <row r="81" spans="1:5" ht="11.25" customHeight="1" x14ac:dyDescent="0.25">
      <c r="A81" s="8" t="s">
        <v>389</v>
      </c>
      <c r="B81" s="52" t="s">
        <v>390</v>
      </c>
      <c r="C81" s="8" t="s">
        <v>391</v>
      </c>
      <c r="D81" s="8">
        <v>429</v>
      </c>
      <c r="E81" s="8" t="s">
        <v>392</v>
      </c>
    </row>
    <row r="82" spans="1:5" ht="11.25" customHeight="1" x14ac:dyDescent="0.25">
      <c r="A82" s="8" t="s">
        <v>389</v>
      </c>
      <c r="B82" s="52" t="s">
        <v>390</v>
      </c>
      <c r="C82" s="8" t="s">
        <v>391</v>
      </c>
      <c r="D82" s="8">
        <v>430</v>
      </c>
      <c r="E82" s="8" t="s">
        <v>392</v>
      </c>
    </row>
    <row r="83" spans="1:5" ht="11.25" customHeight="1" x14ac:dyDescent="0.25">
      <c r="A83" s="8" t="s">
        <v>389</v>
      </c>
      <c r="B83" s="52" t="s">
        <v>390</v>
      </c>
      <c r="C83" s="8" t="s">
        <v>391</v>
      </c>
      <c r="D83" s="8">
        <v>431</v>
      </c>
      <c r="E83" s="8" t="s">
        <v>392</v>
      </c>
    </row>
    <row r="84" spans="1:5" ht="11.25" customHeight="1" x14ac:dyDescent="0.25">
      <c r="A84" s="8" t="s">
        <v>389</v>
      </c>
      <c r="B84" s="52" t="s">
        <v>390</v>
      </c>
      <c r="C84" s="8" t="s">
        <v>391</v>
      </c>
      <c r="D84" s="8">
        <v>432</v>
      </c>
      <c r="E84" s="8" t="s">
        <v>392</v>
      </c>
    </row>
    <row r="85" spans="1:5" ht="11.25" customHeight="1" x14ac:dyDescent="0.25">
      <c r="A85" s="8" t="s">
        <v>389</v>
      </c>
      <c r="B85" s="52" t="s">
        <v>390</v>
      </c>
      <c r="C85" s="8" t="s">
        <v>391</v>
      </c>
      <c r="D85" s="8">
        <v>433</v>
      </c>
      <c r="E85" s="8" t="s">
        <v>392</v>
      </c>
    </row>
    <row r="86" spans="1:5" ht="11.25" customHeight="1" x14ac:dyDescent="0.25">
      <c r="A86" s="8" t="s">
        <v>389</v>
      </c>
      <c r="B86" s="52" t="s">
        <v>390</v>
      </c>
      <c r="C86" s="8" t="s">
        <v>391</v>
      </c>
      <c r="D86" s="8">
        <v>434</v>
      </c>
      <c r="E86" s="8" t="s">
        <v>392</v>
      </c>
    </row>
    <row r="87" spans="1:5" ht="11.25" customHeight="1" x14ac:dyDescent="0.25">
      <c r="A87" s="8" t="s">
        <v>389</v>
      </c>
      <c r="B87" s="52" t="s">
        <v>390</v>
      </c>
      <c r="C87" s="8" t="s">
        <v>391</v>
      </c>
      <c r="D87" s="8">
        <v>435</v>
      </c>
      <c r="E87" s="8" t="s">
        <v>392</v>
      </c>
    </row>
    <row r="88" spans="1:5" ht="11.25" customHeight="1" x14ac:dyDescent="0.25">
      <c r="A88" s="8" t="s">
        <v>389</v>
      </c>
      <c r="B88" s="52" t="s">
        <v>390</v>
      </c>
      <c r="C88" s="8" t="s">
        <v>391</v>
      </c>
      <c r="D88" s="8">
        <v>436</v>
      </c>
      <c r="E88" s="8" t="s">
        <v>392</v>
      </c>
    </row>
    <row r="89" spans="1:5" ht="11.25" customHeight="1" x14ac:dyDescent="0.25">
      <c r="A89" s="8" t="s">
        <v>389</v>
      </c>
      <c r="B89" s="52" t="s">
        <v>390</v>
      </c>
      <c r="C89" s="8" t="s">
        <v>391</v>
      </c>
      <c r="D89" s="8">
        <v>437</v>
      </c>
      <c r="E89" s="8" t="s">
        <v>392</v>
      </c>
    </row>
    <row r="90" spans="1:5" ht="11.25" customHeight="1" x14ac:dyDescent="0.25">
      <c r="A90" s="8" t="s">
        <v>389</v>
      </c>
      <c r="B90" s="52" t="s">
        <v>390</v>
      </c>
      <c r="C90" s="8" t="s">
        <v>391</v>
      </c>
      <c r="D90" s="8">
        <v>438</v>
      </c>
      <c r="E90" s="8" t="s">
        <v>392</v>
      </c>
    </row>
    <row r="91" spans="1:5" ht="11.25" customHeight="1" x14ac:dyDescent="0.25">
      <c r="A91" s="8" t="s">
        <v>389</v>
      </c>
      <c r="B91" s="52" t="s">
        <v>390</v>
      </c>
      <c r="C91" s="8" t="s">
        <v>391</v>
      </c>
      <c r="D91" s="8">
        <v>439</v>
      </c>
      <c r="E91" s="8" t="s">
        <v>392</v>
      </c>
    </row>
    <row r="92" spans="1:5" ht="11.25" customHeight="1" x14ac:dyDescent="0.25">
      <c r="A92" s="8" t="s">
        <v>389</v>
      </c>
      <c r="B92" s="52" t="s">
        <v>390</v>
      </c>
      <c r="C92" s="8" t="s">
        <v>391</v>
      </c>
      <c r="D92" s="8">
        <v>440</v>
      </c>
      <c r="E92" s="8" t="s">
        <v>392</v>
      </c>
    </row>
    <row r="93" spans="1:5" ht="11.25" customHeight="1" x14ac:dyDescent="0.25">
      <c r="A93" s="8" t="s">
        <v>389</v>
      </c>
      <c r="B93" s="52" t="s">
        <v>390</v>
      </c>
      <c r="C93" s="8" t="s">
        <v>391</v>
      </c>
      <c r="D93" s="8">
        <v>441</v>
      </c>
      <c r="E93" s="8" t="s">
        <v>392</v>
      </c>
    </row>
    <row r="94" spans="1:5" ht="11.25" customHeight="1" x14ac:dyDescent="0.25">
      <c r="A94" s="8" t="s">
        <v>389</v>
      </c>
      <c r="B94" s="52" t="s">
        <v>390</v>
      </c>
      <c r="C94" s="8" t="s">
        <v>391</v>
      </c>
      <c r="D94" s="8">
        <v>442</v>
      </c>
      <c r="E94" s="8" t="s">
        <v>392</v>
      </c>
    </row>
    <row r="95" spans="1:5" ht="11.25" customHeight="1" x14ac:dyDescent="0.25">
      <c r="A95" s="8" t="s">
        <v>389</v>
      </c>
      <c r="B95" s="52" t="s">
        <v>390</v>
      </c>
      <c r="C95" s="8" t="s">
        <v>391</v>
      </c>
      <c r="D95" s="8">
        <v>479</v>
      </c>
      <c r="E95" s="8" t="s">
        <v>392</v>
      </c>
    </row>
    <row r="96" spans="1:5" ht="11.25" customHeight="1" x14ac:dyDescent="0.25">
      <c r="A96" s="8" t="s">
        <v>389</v>
      </c>
      <c r="B96" s="52" t="s">
        <v>390</v>
      </c>
      <c r="C96" s="8" t="s">
        <v>391</v>
      </c>
      <c r="D96" s="8">
        <v>480</v>
      </c>
      <c r="E96" s="8" t="s">
        <v>392</v>
      </c>
    </row>
    <row r="97" spans="1:5" ht="11.25" customHeight="1" x14ac:dyDescent="0.25">
      <c r="A97" s="8" t="s">
        <v>389</v>
      </c>
      <c r="B97" s="52" t="s">
        <v>390</v>
      </c>
      <c r="C97" s="8" t="s">
        <v>391</v>
      </c>
      <c r="D97" s="8">
        <v>481</v>
      </c>
      <c r="E97" s="8" t="s">
        <v>392</v>
      </c>
    </row>
    <row r="98" spans="1:5" ht="11.25" customHeight="1" x14ac:dyDescent="0.25">
      <c r="A98" s="8" t="s">
        <v>389</v>
      </c>
      <c r="B98" s="52" t="s">
        <v>390</v>
      </c>
      <c r="C98" s="8" t="s">
        <v>391</v>
      </c>
      <c r="D98" s="8">
        <v>482</v>
      </c>
      <c r="E98" s="8" t="s">
        <v>392</v>
      </c>
    </row>
    <row r="99" spans="1:5" ht="11.25" customHeight="1" x14ac:dyDescent="0.25">
      <c r="A99" s="8" t="s">
        <v>389</v>
      </c>
      <c r="B99" s="52" t="s">
        <v>390</v>
      </c>
      <c r="C99" s="8" t="s">
        <v>391</v>
      </c>
      <c r="D99" s="8">
        <v>483</v>
      </c>
      <c r="E99" s="8" t="s">
        <v>392</v>
      </c>
    </row>
    <row r="100" spans="1:5" ht="11.25" customHeight="1" x14ac:dyDescent="0.25">
      <c r="A100" s="8" t="s">
        <v>389</v>
      </c>
      <c r="B100" s="52" t="s">
        <v>390</v>
      </c>
      <c r="C100" s="8" t="s">
        <v>391</v>
      </c>
      <c r="D100" s="8">
        <v>484</v>
      </c>
      <c r="E100" s="8" t="s">
        <v>392</v>
      </c>
    </row>
    <row r="101" spans="1:5" ht="11.25" customHeight="1" x14ac:dyDescent="0.25">
      <c r="A101" s="8" t="s">
        <v>389</v>
      </c>
      <c r="B101" s="52" t="s">
        <v>390</v>
      </c>
      <c r="C101" s="8" t="s">
        <v>391</v>
      </c>
      <c r="D101" s="8">
        <v>485</v>
      </c>
      <c r="E101" s="8" t="s">
        <v>392</v>
      </c>
    </row>
    <row r="102" spans="1:5" ht="11.25" customHeight="1" x14ac:dyDescent="0.25">
      <c r="A102" s="8" t="s">
        <v>389</v>
      </c>
      <c r="B102" s="52" t="s">
        <v>390</v>
      </c>
      <c r="C102" s="8" t="s">
        <v>391</v>
      </c>
      <c r="D102" s="8">
        <v>486</v>
      </c>
      <c r="E102" s="8" t="s">
        <v>392</v>
      </c>
    </row>
    <row r="103" spans="1:5" ht="11.25" customHeight="1" x14ac:dyDescent="0.25">
      <c r="A103" s="8" t="s">
        <v>389</v>
      </c>
      <c r="B103" s="52" t="s">
        <v>390</v>
      </c>
      <c r="C103" s="8" t="s">
        <v>391</v>
      </c>
      <c r="D103" s="8">
        <v>487</v>
      </c>
      <c r="E103" s="8" t="s">
        <v>392</v>
      </c>
    </row>
    <row r="104" spans="1:5" ht="11.25" customHeight="1" x14ac:dyDescent="0.25">
      <c r="A104" s="8" t="s">
        <v>389</v>
      </c>
      <c r="B104" s="52" t="s">
        <v>390</v>
      </c>
      <c r="C104" s="8" t="s">
        <v>391</v>
      </c>
      <c r="D104" s="8">
        <v>488</v>
      </c>
      <c r="E104" s="8" t="s">
        <v>392</v>
      </c>
    </row>
    <row r="105" spans="1:5" ht="11.25" customHeight="1" x14ac:dyDescent="0.25">
      <c r="A105" s="8" t="s">
        <v>389</v>
      </c>
      <c r="B105" s="52" t="s">
        <v>390</v>
      </c>
      <c r="C105" s="8" t="s">
        <v>391</v>
      </c>
      <c r="D105" s="8">
        <v>489</v>
      </c>
      <c r="E105" s="8" t="s">
        <v>392</v>
      </c>
    </row>
    <row r="106" spans="1:5" ht="11.25" customHeight="1" x14ac:dyDescent="0.25">
      <c r="A106" s="8" t="s">
        <v>389</v>
      </c>
      <c r="B106" s="52" t="s">
        <v>390</v>
      </c>
      <c r="C106" s="8" t="s">
        <v>391</v>
      </c>
      <c r="D106" s="8">
        <v>490</v>
      </c>
      <c r="E106" s="8" t="s">
        <v>392</v>
      </c>
    </row>
    <row r="107" spans="1:5" ht="11.25" customHeight="1" x14ac:dyDescent="0.25">
      <c r="A107" s="8" t="s">
        <v>389</v>
      </c>
      <c r="B107" s="52" t="s">
        <v>390</v>
      </c>
      <c r="C107" s="8" t="s">
        <v>391</v>
      </c>
      <c r="D107" s="8">
        <v>491</v>
      </c>
      <c r="E107" s="8" t="s">
        <v>392</v>
      </c>
    </row>
    <row r="108" spans="1:5" ht="11.25" customHeight="1" x14ac:dyDescent="0.25">
      <c r="A108" s="8" t="s">
        <v>389</v>
      </c>
      <c r="C108" s="8" t="s">
        <v>650</v>
      </c>
      <c r="D108" s="8">
        <v>40</v>
      </c>
      <c r="E108" s="8" t="s">
        <v>9</v>
      </c>
    </row>
    <row r="109" spans="1:5" ht="11.25" customHeight="1" x14ac:dyDescent="0.25">
      <c r="A109" s="8" t="s">
        <v>389</v>
      </c>
      <c r="C109" s="8" t="s">
        <v>650</v>
      </c>
      <c r="D109" s="8">
        <v>40</v>
      </c>
      <c r="E109" s="8" t="s">
        <v>9</v>
      </c>
    </row>
    <row r="110" spans="1:5" ht="11.25" customHeight="1" x14ac:dyDescent="0.25">
      <c r="A110" s="8" t="s">
        <v>389</v>
      </c>
      <c r="C110" s="8" t="s">
        <v>650</v>
      </c>
      <c r="D110" s="8">
        <v>40</v>
      </c>
      <c r="E110" s="8" t="s">
        <v>9</v>
      </c>
    </row>
    <row r="111" spans="1:5" ht="11.25" customHeight="1" x14ac:dyDescent="0.25">
      <c r="A111" s="8" t="s">
        <v>389</v>
      </c>
      <c r="C111" s="8" t="s">
        <v>650</v>
      </c>
      <c r="D111" s="8">
        <v>40</v>
      </c>
      <c r="E111" s="8" t="s">
        <v>9</v>
      </c>
    </row>
    <row r="112" spans="1:5" ht="11.25" customHeight="1" x14ac:dyDescent="0.25">
      <c r="A112" s="8" t="s">
        <v>389</v>
      </c>
      <c r="C112" s="8" t="s">
        <v>650</v>
      </c>
      <c r="D112" s="8">
        <v>40</v>
      </c>
      <c r="E112" s="8" t="s">
        <v>9</v>
      </c>
    </row>
    <row r="113" spans="1:5" ht="11.25" customHeight="1" x14ac:dyDescent="0.25">
      <c r="A113" s="8" t="s">
        <v>389</v>
      </c>
      <c r="C113" s="8" t="s">
        <v>650</v>
      </c>
      <c r="D113" s="8">
        <v>40</v>
      </c>
      <c r="E113" s="8" t="s">
        <v>9</v>
      </c>
    </row>
    <row r="114" spans="1:5" ht="11.25" customHeight="1" x14ac:dyDescent="0.25">
      <c r="A114" s="8" t="s">
        <v>389</v>
      </c>
      <c r="C114" s="8" t="s">
        <v>650</v>
      </c>
      <c r="D114" s="8">
        <v>40</v>
      </c>
      <c r="E114" s="8" t="s">
        <v>9</v>
      </c>
    </row>
    <row r="115" spans="1:5" ht="11.25" customHeight="1" x14ac:dyDescent="0.25">
      <c r="A115" s="8" t="s">
        <v>389</v>
      </c>
      <c r="C115" s="8" t="s">
        <v>650</v>
      </c>
      <c r="D115" s="8">
        <v>40</v>
      </c>
      <c r="E115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4B66-1008-4254-B4A3-236B3FF4E494}">
  <dimension ref="A1:AX86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86" t="s">
        <v>687</v>
      </c>
      <c r="B1" s="86" t="s">
        <v>678</v>
      </c>
      <c r="C1" s="86" t="s">
        <v>1</v>
      </c>
      <c r="D1" s="86" t="s">
        <v>2</v>
      </c>
      <c r="E1" s="86" t="s">
        <v>3</v>
      </c>
      <c r="F1" s="86" t="s">
        <v>4</v>
      </c>
      <c r="G1" s="86" t="s">
        <v>5</v>
      </c>
      <c r="H1" s="86" t="s">
        <v>6</v>
      </c>
      <c r="I1" s="86" t="s">
        <v>7</v>
      </c>
      <c r="J1" s="86" t="s">
        <v>679</v>
      </c>
      <c r="K1" s="86" t="s">
        <v>680</v>
      </c>
      <c r="L1" s="86" t="s">
        <v>681</v>
      </c>
      <c r="M1" s="86" t="s">
        <v>682</v>
      </c>
      <c r="N1" s="86" t="s">
        <v>683</v>
      </c>
      <c r="O1" s="86" t="s">
        <v>582</v>
      </c>
      <c r="P1" s="86" t="s">
        <v>568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87">
        <v>1</v>
      </c>
      <c r="B2" s="87" t="s">
        <v>562</v>
      </c>
      <c r="C2" s="87" t="s">
        <v>22</v>
      </c>
      <c r="D2" s="87" t="s">
        <v>32</v>
      </c>
      <c r="E2" s="87" t="s">
        <v>24</v>
      </c>
      <c r="F2" s="87" t="s">
        <v>24</v>
      </c>
      <c r="G2" s="87" t="s">
        <v>25</v>
      </c>
      <c r="H2" s="87" t="s">
        <v>25</v>
      </c>
      <c r="I2" s="87" t="s">
        <v>33</v>
      </c>
      <c r="J2" s="87" t="s">
        <v>684</v>
      </c>
      <c r="K2" s="87" t="s">
        <v>685</v>
      </c>
      <c r="L2" s="87" t="s">
        <v>82</v>
      </c>
      <c r="M2" s="87">
        <v>2021</v>
      </c>
      <c r="N2" s="87">
        <v>0</v>
      </c>
      <c r="O2" s="87">
        <v>1014.17</v>
      </c>
      <c r="P2" s="87">
        <v>59.500123198303399</v>
      </c>
    </row>
    <row r="3" spans="1:50" ht="11.25" customHeight="1" x14ac:dyDescent="0.25">
      <c r="A3" s="87">
        <v>2</v>
      </c>
      <c r="B3" s="87" t="s">
        <v>562</v>
      </c>
      <c r="C3" s="87" t="s">
        <v>42</v>
      </c>
      <c r="D3" s="87" t="s">
        <v>32</v>
      </c>
      <c r="E3" s="87" t="s">
        <v>43</v>
      </c>
      <c r="F3" s="87" t="s">
        <v>25</v>
      </c>
      <c r="G3" s="87" t="s">
        <v>25</v>
      </c>
      <c r="H3" s="87" t="s">
        <v>25</v>
      </c>
      <c r="I3" s="87" t="s">
        <v>33</v>
      </c>
      <c r="J3" s="87" t="s">
        <v>684</v>
      </c>
      <c r="K3" s="87" t="s">
        <v>685</v>
      </c>
      <c r="L3" s="87" t="s">
        <v>82</v>
      </c>
      <c r="M3" s="87">
        <v>2021</v>
      </c>
      <c r="N3" s="87">
        <v>0</v>
      </c>
      <c r="O3" s="87">
        <v>609.29</v>
      </c>
      <c r="P3" s="87">
        <v>52.360108414507003</v>
      </c>
    </row>
    <row r="4" spans="1:50" ht="11.25" customHeight="1" x14ac:dyDescent="0.25">
      <c r="A4" s="87">
        <v>3</v>
      </c>
      <c r="B4" s="87" t="s">
        <v>562</v>
      </c>
      <c r="C4" s="87" t="s">
        <v>38</v>
      </c>
      <c r="D4" s="87" t="s">
        <v>39</v>
      </c>
      <c r="E4" s="87" t="s">
        <v>25</v>
      </c>
      <c r="F4" s="87" t="s">
        <v>25</v>
      </c>
      <c r="G4" s="87" t="s">
        <v>25</v>
      </c>
      <c r="H4" s="87" t="s">
        <v>25</v>
      </c>
      <c r="I4" s="87" t="s">
        <v>33</v>
      </c>
      <c r="J4" s="87" t="s">
        <v>686</v>
      </c>
      <c r="K4" s="87" t="s">
        <v>685</v>
      </c>
      <c r="L4" s="87" t="s">
        <v>80</v>
      </c>
      <c r="M4" s="87">
        <v>2021</v>
      </c>
      <c r="N4" s="87">
        <v>0</v>
      </c>
      <c r="O4" s="87">
        <v>51.41</v>
      </c>
      <c r="P4" s="87">
        <v>0</v>
      </c>
    </row>
    <row r="5" spans="1:50" ht="11.25" customHeight="1" x14ac:dyDescent="0.25">
      <c r="A5" s="87">
        <v>4</v>
      </c>
      <c r="B5" s="87" t="s">
        <v>562</v>
      </c>
      <c r="C5" s="87" t="s">
        <v>22</v>
      </c>
      <c r="D5" s="87" t="s">
        <v>32</v>
      </c>
      <c r="E5" s="87" t="s">
        <v>24</v>
      </c>
      <c r="F5" s="87" t="s">
        <v>24</v>
      </c>
      <c r="G5" s="87" t="s">
        <v>25</v>
      </c>
      <c r="H5" s="87" t="s">
        <v>25</v>
      </c>
      <c r="I5" s="87" t="s">
        <v>35</v>
      </c>
      <c r="J5" s="87" t="s">
        <v>684</v>
      </c>
      <c r="K5" s="87" t="s">
        <v>685</v>
      </c>
      <c r="L5" s="87" t="s">
        <v>82</v>
      </c>
      <c r="M5" s="87">
        <v>2021</v>
      </c>
      <c r="N5" s="87">
        <v>0</v>
      </c>
      <c r="O5" s="87">
        <v>556.29</v>
      </c>
      <c r="P5" s="87">
        <v>59.500123198303399</v>
      </c>
    </row>
    <row r="6" spans="1:50" ht="11.25" customHeight="1" x14ac:dyDescent="0.25">
      <c r="A6" s="87">
        <v>5</v>
      </c>
      <c r="B6" s="87" t="s">
        <v>562</v>
      </c>
      <c r="C6" s="87" t="s">
        <v>38</v>
      </c>
      <c r="D6" s="87" t="s">
        <v>40</v>
      </c>
      <c r="E6" s="87" t="s">
        <v>25</v>
      </c>
      <c r="F6" s="87" t="s">
        <v>25</v>
      </c>
      <c r="G6" s="87" t="s">
        <v>89</v>
      </c>
      <c r="H6" s="87" t="s">
        <v>25</v>
      </c>
      <c r="I6" s="87" t="s">
        <v>34</v>
      </c>
      <c r="J6" s="87" t="s">
        <v>684</v>
      </c>
      <c r="K6" s="87" t="s">
        <v>685</v>
      </c>
      <c r="L6" s="87" t="s">
        <v>82</v>
      </c>
      <c r="M6" s="87">
        <v>2021</v>
      </c>
      <c r="N6" s="87">
        <v>0</v>
      </c>
      <c r="O6" s="87">
        <v>11.73</v>
      </c>
      <c r="P6" s="87">
        <v>0</v>
      </c>
    </row>
    <row r="7" spans="1:50" ht="11.25" customHeight="1" x14ac:dyDescent="0.25">
      <c r="A7" s="87">
        <v>6</v>
      </c>
      <c r="B7" s="87" t="s">
        <v>562</v>
      </c>
      <c r="C7" s="87" t="s">
        <v>22</v>
      </c>
      <c r="D7" s="87" t="s">
        <v>95</v>
      </c>
      <c r="E7" s="87" t="s">
        <v>24</v>
      </c>
      <c r="F7" s="87" t="s">
        <v>29</v>
      </c>
      <c r="G7" s="87" t="s">
        <v>25</v>
      </c>
      <c r="H7" s="87" t="s">
        <v>25</v>
      </c>
      <c r="I7" s="87" t="s">
        <v>25</v>
      </c>
      <c r="J7" s="87" t="s">
        <v>684</v>
      </c>
      <c r="K7" s="87" t="s">
        <v>685</v>
      </c>
      <c r="L7" s="87" t="s">
        <v>82</v>
      </c>
      <c r="M7" s="87">
        <v>2021</v>
      </c>
      <c r="N7" s="87">
        <v>0</v>
      </c>
      <c r="O7" s="87">
        <v>149.38999999999999</v>
      </c>
      <c r="P7" s="87">
        <v>0</v>
      </c>
    </row>
    <row r="8" spans="1:50" ht="11.25" customHeight="1" x14ac:dyDescent="0.25">
      <c r="A8" s="87">
        <v>7</v>
      </c>
      <c r="B8" s="87" t="s">
        <v>562</v>
      </c>
      <c r="C8" s="87" t="s">
        <v>38</v>
      </c>
      <c r="D8" s="87" t="s">
        <v>39</v>
      </c>
      <c r="E8" s="87" t="s">
        <v>25</v>
      </c>
      <c r="F8" s="87" t="s">
        <v>25</v>
      </c>
      <c r="G8" s="87" t="s">
        <v>25</v>
      </c>
      <c r="H8" s="87" t="s">
        <v>25</v>
      </c>
      <c r="I8" s="87" t="s">
        <v>25</v>
      </c>
      <c r="J8" s="87" t="s">
        <v>684</v>
      </c>
      <c r="K8" s="87" t="s">
        <v>685</v>
      </c>
      <c r="L8" s="87" t="s">
        <v>82</v>
      </c>
      <c r="M8" s="87">
        <v>2021</v>
      </c>
      <c r="N8" s="87">
        <v>0</v>
      </c>
      <c r="O8" s="87">
        <v>78.680000000000007</v>
      </c>
      <c r="P8" s="87">
        <v>51.765107182523899</v>
      </c>
    </row>
    <row r="9" spans="1:50" ht="11.25" customHeight="1" x14ac:dyDescent="0.25">
      <c r="A9" s="87">
        <v>8</v>
      </c>
      <c r="B9" s="87" t="s">
        <v>562</v>
      </c>
      <c r="C9" s="87" t="s">
        <v>22</v>
      </c>
      <c r="D9" s="87" t="s">
        <v>23</v>
      </c>
      <c r="E9" s="87" t="s">
        <v>24</v>
      </c>
      <c r="F9" s="87" t="s">
        <v>28</v>
      </c>
      <c r="G9" s="87" t="s">
        <v>25</v>
      </c>
      <c r="H9" s="87" t="s">
        <v>25</v>
      </c>
      <c r="I9" s="87" t="s">
        <v>25</v>
      </c>
      <c r="J9" s="87" t="s">
        <v>684</v>
      </c>
      <c r="K9" s="87" t="s">
        <v>685</v>
      </c>
      <c r="L9" s="87" t="s">
        <v>82</v>
      </c>
      <c r="M9" s="87">
        <v>2021</v>
      </c>
      <c r="N9" s="87">
        <v>0</v>
      </c>
      <c r="O9" s="87">
        <v>87.14</v>
      </c>
      <c r="P9" s="87">
        <v>0</v>
      </c>
    </row>
    <row r="10" spans="1:50" ht="11.25" customHeight="1" x14ac:dyDescent="0.25">
      <c r="A10" s="87">
        <v>9</v>
      </c>
      <c r="B10" s="87" t="s">
        <v>562</v>
      </c>
      <c r="C10" s="87" t="s">
        <v>90</v>
      </c>
      <c r="D10" s="87" t="s">
        <v>59</v>
      </c>
      <c r="E10" s="87" t="s">
        <v>25</v>
      </c>
      <c r="F10" s="87" t="s">
        <v>25</v>
      </c>
      <c r="G10" s="87" t="s">
        <v>92</v>
      </c>
      <c r="H10" s="87" t="s">
        <v>25</v>
      </c>
      <c r="I10" s="87" t="s">
        <v>25</v>
      </c>
      <c r="J10" s="87" t="s">
        <v>686</v>
      </c>
      <c r="K10" s="87" t="s">
        <v>685</v>
      </c>
      <c r="L10" s="87" t="s">
        <v>80</v>
      </c>
      <c r="M10" s="87">
        <v>2021</v>
      </c>
      <c r="N10" s="87">
        <v>0</v>
      </c>
      <c r="O10" s="87">
        <v>12.84</v>
      </c>
      <c r="P10" s="87">
        <v>0</v>
      </c>
    </row>
    <row r="11" spans="1:50" ht="11.25" customHeight="1" x14ac:dyDescent="0.25">
      <c r="A11" s="87">
        <v>10</v>
      </c>
      <c r="B11" s="87" t="s">
        <v>562</v>
      </c>
      <c r="C11" s="87" t="s">
        <v>90</v>
      </c>
      <c r="D11" s="87" t="s">
        <v>59</v>
      </c>
      <c r="E11" s="87" t="s">
        <v>25</v>
      </c>
      <c r="F11" s="87" t="s">
        <v>25</v>
      </c>
      <c r="G11" s="87" t="s">
        <v>91</v>
      </c>
      <c r="H11" s="87" t="s">
        <v>25</v>
      </c>
      <c r="I11" s="87" t="s">
        <v>25</v>
      </c>
      <c r="J11" s="87" t="s">
        <v>686</v>
      </c>
      <c r="K11" s="87" t="s">
        <v>685</v>
      </c>
      <c r="L11" s="87" t="s">
        <v>80</v>
      </c>
      <c r="M11" s="87">
        <v>2021</v>
      </c>
      <c r="N11" s="87">
        <v>0</v>
      </c>
      <c r="O11" s="87">
        <v>4.8</v>
      </c>
      <c r="P11" s="87">
        <v>0</v>
      </c>
    </row>
    <row r="12" spans="1:50" ht="11.25" customHeight="1" x14ac:dyDescent="0.25">
      <c r="A12" s="87">
        <v>11</v>
      </c>
      <c r="B12" s="87" t="s">
        <v>562</v>
      </c>
      <c r="C12" s="87" t="s">
        <v>22</v>
      </c>
      <c r="D12" s="87" t="s">
        <v>95</v>
      </c>
      <c r="E12" s="87" t="s">
        <v>24</v>
      </c>
      <c r="F12" s="87" t="s">
        <v>30</v>
      </c>
      <c r="G12" s="87" t="s">
        <v>25</v>
      </c>
      <c r="H12" s="87" t="s">
        <v>25</v>
      </c>
      <c r="I12" s="87" t="s">
        <v>25</v>
      </c>
      <c r="J12" s="87" t="s">
        <v>684</v>
      </c>
      <c r="K12" s="87" t="s">
        <v>685</v>
      </c>
      <c r="L12" s="87" t="s">
        <v>82</v>
      </c>
      <c r="M12" s="87">
        <v>2021</v>
      </c>
      <c r="N12" s="87">
        <v>0</v>
      </c>
      <c r="O12" s="87">
        <v>224.09</v>
      </c>
      <c r="P12" s="87">
        <v>0</v>
      </c>
    </row>
    <row r="13" spans="1:50" ht="11.25" customHeight="1" x14ac:dyDescent="0.25">
      <c r="A13" s="87">
        <v>12</v>
      </c>
      <c r="B13" s="87" t="s">
        <v>562</v>
      </c>
      <c r="C13" s="87" t="s">
        <v>38</v>
      </c>
      <c r="D13" s="87" t="s">
        <v>59</v>
      </c>
      <c r="E13" s="87" t="s">
        <v>25</v>
      </c>
      <c r="F13" s="87" t="s">
        <v>25</v>
      </c>
      <c r="G13" s="87" t="s">
        <v>25</v>
      </c>
      <c r="H13" s="87" t="s">
        <v>25</v>
      </c>
      <c r="I13" s="87" t="s">
        <v>25</v>
      </c>
      <c r="J13" s="87" t="s">
        <v>686</v>
      </c>
      <c r="K13" s="87" t="s">
        <v>685</v>
      </c>
      <c r="L13" s="87" t="s">
        <v>80</v>
      </c>
      <c r="M13" s="87">
        <v>2021</v>
      </c>
      <c r="N13" s="87">
        <v>0</v>
      </c>
      <c r="O13" s="87">
        <v>8.14</v>
      </c>
      <c r="P13" s="87">
        <v>0</v>
      </c>
    </row>
    <row r="14" spans="1:50" ht="11.25" customHeight="1" x14ac:dyDescent="0.25">
      <c r="A14" s="87">
        <v>13</v>
      </c>
      <c r="B14" s="87" t="s">
        <v>562</v>
      </c>
      <c r="C14" s="87" t="s">
        <v>22</v>
      </c>
      <c r="D14" s="87" t="s">
        <v>23</v>
      </c>
      <c r="E14" s="87" t="s">
        <v>24</v>
      </c>
      <c r="F14" s="87" t="s">
        <v>30</v>
      </c>
      <c r="G14" s="87" t="s">
        <v>25</v>
      </c>
      <c r="H14" s="87" t="s">
        <v>25</v>
      </c>
      <c r="I14" s="87" t="s">
        <v>25</v>
      </c>
      <c r="J14" s="87" t="s">
        <v>684</v>
      </c>
      <c r="K14" s="87" t="s">
        <v>685</v>
      </c>
      <c r="L14" s="87" t="s">
        <v>82</v>
      </c>
      <c r="M14" s="87">
        <v>2021</v>
      </c>
      <c r="N14" s="87">
        <v>0</v>
      </c>
      <c r="O14" s="87">
        <v>224.09</v>
      </c>
      <c r="P14" s="87">
        <v>0</v>
      </c>
    </row>
    <row r="15" spans="1:50" ht="11.25" customHeight="1" x14ac:dyDescent="0.25">
      <c r="A15" s="87">
        <v>14</v>
      </c>
      <c r="B15" s="87" t="s">
        <v>562</v>
      </c>
      <c r="C15" s="87" t="s">
        <v>38</v>
      </c>
      <c r="D15" s="87" t="s">
        <v>40</v>
      </c>
      <c r="E15" s="87" t="s">
        <v>25</v>
      </c>
      <c r="F15" s="87" t="s">
        <v>25</v>
      </c>
      <c r="G15" s="87" t="s">
        <v>25</v>
      </c>
      <c r="H15" s="87" t="s">
        <v>25</v>
      </c>
      <c r="I15" s="87" t="s">
        <v>34</v>
      </c>
      <c r="J15" s="87" t="s">
        <v>684</v>
      </c>
      <c r="K15" s="87" t="s">
        <v>685</v>
      </c>
      <c r="L15" s="87" t="s">
        <v>82</v>
      </c>
      <c r="M15" s="87">
        <v>2021</v>
      </c>
      <c r="N15" s="87">
        <v>0</v>
      </c>
      <c r="O15" s="87">
        <v>78.680000000000007</v>
      </c>
      <c r="P15" s="87">
        <v>51.765107182523899</v>
      </c>
    </row>
    <row r="16" spans="1:50" ht="11.25" customHeight="1" x14ac:dyDescent="0.25">
      <c r="A16" s="87">
        <v>15</v>
      </c>
      <c r="B16" s="87" t="s">
        <v>562</v>
      </c>
      <c r="C16" s="87" t="s">
        <v>22</v>
      </c>
      <c r="D16" s="87" t="s">
        <v>95</v>
      </c>
      <c r="E16" s="87" t="s">
        <v>24</v>
      </c>
      <c r="F16" s="87" t="s">
        <v>24</v>
      </c>
      <c r="G16" s="87" t="s">
        <v>25</v>
      </c>
      <c r="H16" s="87" t="s">
        <v>25</v>
      </c>
      <c r="I16" s="87" t="s">
        <v>25</v>
      </c>
      <c r="J16" s="87" t="s">
        <v>684</v>
      </c>
      <c r="K16" s="87" t="s">
        <v>685</v>
      </c>
      <c r="L16" s="87" t="s">
        <v>82</v>
      </c>
      <c r="M16" s="87">
        <v>2021</v>
      </c>
      <c r="N16" s="87">
        <v>0</v>
      </c>
      <c r="O16" s="87">
        <v>324.5</v>
      </c>
      <c r="P16" s="87">
        <v>59.500123198303399</v>
      </c>
    </row>
    <row r="17" spans="1:16" ht="11.25" customHeight="1" x14ac:dyDescent="0.25">
      <c r="A17" s="87">
        <v>16</v>
      </c>
      <c r="B17" s="87" t="s">
        <v>562</v>
      </c>
      <c r="C17" s="87" t="s">
        <v>38</v>
      </c>
      <c r="D17" s="87" t="s">
        <v>40</v>
      </c>
      <c r="E17" s="87" t="s">
        <v>25</v>
      </c>
      <c r="F17" s="87" t="s">
        <v>25</v>
      </c>
      <c r="G17" s="87" t="s">
        <v>25</v>
      </c>
      <c r="H17" s="87" t="s">
        <v>25</v>
      </c>
      <c r="I17" s="87" t="s">
        <v>33</v>
      </c>
      <c r="J17" s="87" t="s">
        <v>684</v>
      </c>
      <c r="K17" s="87" t="s">
        <v>685</v>
      </c>
      <c r="L17" s="87" t="s">
        <v>82</v>
      </c>
      <c r="M17" s="87">
        <v>2021</v>
      </c>
      <c r="N17" s="87">
        <v>0</v>
      </c>
      <c r="O17" s="87">
        <v>1329.67</v>
      </c>
      <c r="P17" s="87">
        <v>51.765107182523899</v>
      </c>
    </row>
    <row r="18" spans="1:16" ht="11.25" customHeight="1" x14ac:dyDescent="0.25">
      <c r="A18" s="87">
        <v>17</v>
      </c>
      <c r="B18" s="87" t="s">
        <v>562</v>
      </c>
      <c r="C18" s="87" t="s">
        <v>22</v>
      </c>
      <c r="D18" s="87" t="s">
        <v>23</v>
      </c>
      <c r="E18" s="87" t="s">
        <v>24</v>
      </c>
      <c r="F18" s="87" t="s">
        <v>31</v>
      </c>
      <c r="G18" s="87" t="s">
        <v>25</v>
      </c>
      <c r="H18" s="87" t="s">
        <v>25</v>
      </c>
      <c r="I18" s="87" t="s">
        <v>25</v>
      </c>
      <c r="J18" s="87" t="s">
        <v>684</v>
      </c>
      <c r="K18" s="87" t="s">
        <v>685</v>
      </c>
      <c r="L18" s="87" t="s">
        <v>82</v>
      </c>
      <c r="M18" s="87">
        <v>2021</v>
      </c>
      <c r="N18" s="87">
        <v>0</v>
      </c>
      <c r="O18" s="87">
        <v>248.98</v>
      </c>
      <c r="P18" s="87">
        <v>0</v>
      </c>
    </row>
    <row r="19" spans="1:16" ht="11.25" customHeight="1" x14ac:dyDescent="0.25">
      <c r="A19" s="87">
        <v>18</v>
      </c>
      <c r="B19" s="87" t="s">
        <v>562</v>
      </c>
      <c r="C19" s="87" t="s">
        <v>38</v>
      </c>
      <c r="D19" s="87" t="s">
        <v>40</v>
      </c>
      <c r="E19" s="87" t="s">
        <v>25</v>
      </c>
      <c r="F19" s="87" t="s">
        <v>25</v>
      </c>
      <c r="G19" s="87" t="s">
        <v>25</v>
      </c>
      <c r="H19" s="87" t="s">
        <v>25</v>
      </c>
      <c r="I19" s="87" t="s">
        <v>25</v>
      </c>
      <c r="J19" s="87" t="s">
        <v>686</v>
      </c>
      <c r="K19" s="87" t="s">
        <v>685</v>
      </c>
      <c r="L19" s="87" t="s">
        <v>80</v>
      </c>
      <c r="M19" s="87">
        <v>2021</v>
      </c>
      <c r="N19" s="87">
        <v>0</v>
      </c>
      <c r="O19" s="87">
        <v>19.239999999999998</v>
      </c>
      <c r="P19" s="87">
        <v>0</v>
      </c>
    </row>
    <row r="20" spans="1:16" ht="11.25" customHeight="1" x14ac:dyDescent="0.25">
      <c r="A20" s="87">
        <v>19</v>
      </c>
      <c r="B20" s="87" t="s">
        <v>562</v>
      </c>
      <c r="C20" s="87" t="s">
        <v>22</v>
      </c>
      <c r="D20" s="87" t="s">
        <v>95</v>
      </c>
      <c r="E20" s="87" t="s">
        <v>24</v>
      </c>
      <c r="F20" s="87" t="s">
        <v>31</v>
      </c>
      <c r="G20" s="87" t="s">
        <v>25</v>
      </c>
      <c r="H20" s="87" t="s">
        <v>25</v>
      </c>
      <c r="I20" s="87" t="s">
        <v>25</v>
      </c>
      <c r="J20" s="87" t="s">
        <v>684</v>
      </c>
      <c r="K20" s="87" t="s">
        <v>685</v>
      </c>
      <c r="L20" s="87" t="s">
        <v>82</v>
      </c>
      <c r="M20" s="87">
        <v>2021</v>
      </c>
      <c r="N20" s="87">
        <v>0</v>
      </c>
      <c r="O20" s="87">
        <v>248.98</v>
      </c>
      <c r="P20" s="87">
        <v>0</v>
      </c>
    </row>
    <row r="21" spans="1:16" ht="11.25" customHeight="1" x14ac:dyDescent="0.25">
      <c r="A21" s="87">
        <v>20</v>
      </c>
      <c r="B21" s="87" t="s">
        <v>562</v>
      </c>
      <c r="C21" s="87" t="s">
        <v>38</v>
      </c>
      <c r="D21" s="87" t="s">
        <v>40</v>
      </c>
      <c r="E21" s="87" t="s">
        <v>25</v>
      </c>
      <c r="F21" s="87" t="s">
        <v>25</v>
      </c>
      <c r="G21" s="87" t="s">
        <v>89</v>
      </c>
      <c r="H21" s="87" t="s">
        <v>25</v>
      </c>
      <c r="I21" s="87" t="s">
        <v>33</v>
      </c>
      <c r="J21" s="87" t="s">
        <v>684</v>
      </c>
      <c r="K21" s="87" t="s">
        <v>685</v>
      </c>
      <c r="L21" s="87" t="s">
        <v>82</v>
      </c>
      <c r="M21" s="87">
        <v>2021</v>
      </c>
      <c r="N21" s="87">
        <v>0</v>
      </c>
      <c r="O21" s="87">
        <v>1262.72</v>
      </c>
      <c r="P21" s="87">
        <v>0</v>
      </c>
    </row>
    <row r="22" spans="1:16" ht="11.25" customHeight="1" x14ac:dyDescent="0.25">
      <c r="A22" s="87">
        <v>21</v>
      </c>
      <c r="B22" s="87" t="s">
        <v>562</v>
      </c>
      <c r="C22" s="87" t="s">
        <v>22</v>
      </c>
      <c r="D22" s="87" t="s">
        <v>95</v>
      </c>
      <c r="E22" s="87" t="s">
        <v>24</v>
      </c>
      <c r="F22" s="87" t="s">
        <v>28</v>
      </c>
      <c r="G22" s="87" t="s">
        <v>25</v>
      </c>
      <c r="H22" s="87" t="s">
        <v>25</v>
      </c>
      <c r="I22" s="87" t="s">
        <v>25</v>
      </c>
      <c r="J22" s="87" t="s">
        <v>684</v>
      </c>
      <c r="K22" s="87" t="s">
        <v>685</v>
      </c>
      <c r="L22" s="87" t="s">
        <v>82</v>
      </c>
      <c r="M22" s="87">
        <v>2021</v>
      </c>
      <c r="N22" s="87">
        <v>0</v>
      </c>
      <c r="O22" s="87">
        <v>87.14</v>
      </c>
      <c r="P22" s="87">
        <v>0</v>
      </c>
    </row>
    <row r="23" spans="1:16" ht="11.25" customHeight="1" x14ac:dyDescent="0.25">
      <c r="A23" s="87">
        <v>22</v>
      </c>
      <c r="B23" s="87" t="s">
        <v>562</v>
      </c>
      <c r="C23" s="87" t="s">
        <v>38</v>
      </c>
      <c r="D23" s="87" t="s">
        <v>39</v>
      </c>
      <c r="E23" s="87" t="s">
        <v>25</v>
      </c>
      <c r="F23" s="87" t="s">
        <v>25</v>
      </c>
      <c r="G23" s="87" t="s">
        <v>25</v>
      </c>
      <c r="H23" s="87" t="s">
        <v>25</v>
      </c>
      <c r="I23" s="87" t="s">
        <v>34</v>
      </c>
      <c r="J23" s="87" t="s">
        <v>686</v>
      </c>
      <c r="K23" s="87" t="s">
        <v>685</v>
      </c>
      <c r="L23" s="87" t="s">
        <v>80</v>
      </c>
      <c r="M23" s="87">
        <v>2021</v>
      </c>
      <c r="N23" s="87">
        <v>0</v>
      </c>
      <c r="O23" s="87">
        <v>19.239999999999998</v>
      </c>
      <c r="P23" s="87">
        <v>0</v>
      </c>
    </row>
    <row r="24" spans="1:16" ht="11.25" customHeight="1" x14ac:dyDescent="0.25">
      <c r="A24" s="87">
        <v>23</v>
      </c>
      <c r="B24" s="87" t="s">
        <v>562</v>
      </c>
      <c r="C24" s="87" t="s">
        <v>22</v>
      </c>
      <c r="D24" s="87" t="s">
        <v>32</v>
      </c>
      <c r="E24" s="87" t="s">
        <v>24</v>
      </c>
      <c r="F24" s="87" t="s">
        <v>24</v>
      </c>
      <c r="G24" s="87" t="s">
        <v>25</v>
      </c>
      <c r="H24" s="87" t="s">
        <v>25</v>
      </c>
      <c r="I24" s="87" t="s">
        <v>34</v>
      </c>
      <c r="J24" s="87" t="s">
        <v>684</v>
      </c>
      <c r="K24" s="87" t="s">
        <v>685</v>
      </c>
      <c r="L24" s="87" t="s">
        <v>82</v>
      </c>
      <c r="M24" s="87">
        <v>2021</v>
      </c>
      <c r="N24" s="87">
        <v>0</v>
      </c>
      <c r="O24" s="87">
        <v>196.18</v>
      </c>
      <c r="P24" s="87">
        <v>59.500123198303399</v>
      </c>
    </row>
    <row r="25" spans="1:16" ht="11.25" customHeight="1" x14ac:dyDescent="0.25">
      <c r="A25" s="87">
        <v>24</v>
      </c>
      <c r="B25" s="87" t="s">
        <v>562</v>
      </c>
      <c r="C25" s="87" t="s">
        <v>38</v>
      </c>
      <c r="D25" s="87" t="s">
        <v>39</v>
      </c>
      <c r="E25" s="87" t="s">
        <v>25</v>
      </c>
      <c r="F25" s="87" t="s">
        <v>25</v>
      </c>
      <c r="G25" s="87" t="s">
        <v>89</v>
      </c>
      <c r="H25" s="87" t="s">
        <v>25</v>
      </c>
      <c r="I25" s="87" t="s">
        <v>25</v>
      </c>
      <c r="J25" s="87" t="s">
        <v>684</v>
      </c>
      <c r="K25" s="87" t="s">
        <v>685</v>
      </c>
      <c r="L25" s="87" t="s">
        <v>82</v>
      </c>
      <c r="M25" s="87">
        <v>2021</v>
      </c>
      <c r="N25" s="87">
        <v>0</v>
      </c>
      <c r="O25" s="87">
        <v>11.73</v>
      </c>
      <c r="P25" s="87">
        <v>0</v>
      </c>
    </row>
    <row r="26" spans="1:16" ht="11.25" customHeight="1" x14ac:dyDescent="0.25">
      <c r="A26" s="87">
        <v>25</v>
      </c>
      <c r="B26" s="87" t="s">
        <v>562</v>
      </c>
      <c r="C26" s="87" t="s">
        <v>42</v>
      </c>
      <c r="D26" s="87" t="s">
        <v>32</v>
      </c>
      <c r="E26" s="87" t="s">
        <v>43</v>
      </c>
      <c r="F26" s="87" t="s">
        <v>96</v>
      </c>
      <c r="G26" s="87" t="s">
        <v>25</v>
      </c>
      <c r="H26" s="87" t="s">
        <v>25</v>
      </c>
      <c r="I26" s="87" t="s">
        <v>33</v>
      </c>
      <c r="J26" s="87" t="s">
        <v>684</v>
      </c>
      <c r="K26" s="87" t="s">
        <v>685</v>
      </c>
      <c r="L26" s="87" t="s">
        <v>82</v>
      </c>
      <c r="M26" s="87">
        <v>2021</v>
      </c>
      <c r="N26" s="87">
        <v>0</v>
      </c>
      <c r="O26" s="87">
        <v>609.29</v>
      </c>
      <c r="P26" s="87">
        <v>52.360108414507003</v>
      </c>
    </row>
    <row r="27" spans="1:16" ht="11.25" customHeight="1" x14ac:dyDescent="0.25">
      <c r="A27" s="87">
        <v>26</v>
      </c>
      <c r="B27" s="87" t="s">
        <v>562</v>
      </c>
      <c r="C27" s="87" t="s">
        <v>36</v>
      </c>
      <c r="D27" s="87" t="s">
        <v>32</v>
      </c>
      <c r="E27" s="87" t="s">
        <v>25</v>
      </c>
      <c r="F27" s="87" t="s">
        <v>25</v>
      </c>
      <c r="G27" s="87" t="s">
        <v>25</v>
      </c>
      <c r="H27" s="87" t="s">
        <v>25</v>
      </c>
      <c r="I27" s="87" t="s">
        <v>34</v>
      </c>
      <c r="J27" s="87" t="s">
        <v>684</v>
      </c>
      <c r="K27" s="87" t="s">
        <v>685</v>
      </c>
      <c r="L27" s="87" t="s">
        <v>82</v>
      </c>
      <c r="M27" s="87">
        <v>2021</v>
      </c>
      <c r="N27" s="87">
        <v>0</v>
      </c>
      <c r="O27" s="87">
        <v>245.71</v>
      </c>
      <c r="P27" s="87">
        <v>59.500123198303399</v>
      </c>
    </row>
    <row r="28" spans="1:16" ht="11.25" customHeight="1" x14ac:dyDescent="0.25">
      <c r="A28" s="87">
        <v>27</v>
      </c>
      <c r="B28" s="87" t="s">
        <v>562</v>
      </c>
      <c r="C28" s="87" t="s">
        <v>22</v>
      </c>
      <c r="D28" s="87" t="s">
        <v>23</v>
      </c>
      <c r="E28" s="87" t="s">
        <v>24</v>
      </c>
      <c r="F28" s="87" t="s">
        <v>24</v>
      </c>
      <c r="G28" s="87" t="s">
        <v>25</v>
      </c>
      <c r="H28" s="87" t="s">
        <v>25</v>
      </c>
      <c r="I28" s="87" t="s">
        <v>25</v>
      </c>
      <c r="J28" s="87" t="s">
        <v>684</v>
      </c>
      <c r="K28" s="87" t="s">
        <v>685</v>
      </c>
      <c r="L28" s="87" t="s">
        <v>82</v>
      </c>
      <c r="M28" s="87">
        <v>2021</v>
      </c>
      <c r="N28" s="87">
        <v>0</v>
      </c>
      <c r="O28" s="87">
        <v>324.5</v>
      </c>
      <c r="P28" s="87">
        <v>59.500123198303399</v>
      </c>
    </row>
    <row r="29" spans="1:16" ht="11.25" customHeight="1" x14ac:dyDescent="0.25">
      <c r="A29" s="87">
        <v>28</v>
      </c>
      <c r="B29" s="87" t="s">
        <v>562</v>
      </c>
      <c r="C29" s="87" t="s">
        <v>22</v>
      </c>
      <c r="D29" s="87" t="s">
        <v>23</v>
      </c>
      <c r="E29" s="87" t="s">
        <v>24</v>
      </c>
      <c r="F29" s="87" t="s">
        <v>29</v>
      </c>
      <c r="G29" s="87" t="s">
        <v>25</v>
      </c>
      <c r="H29" s="87" t="s">
        <v>25</v>
      </c>
      <c r="I29" s="87" t="s">
        <v>25</v>
      </c>
      <c r="J29" s="87" t="s">
        <v>684</v>
      </c>
      <c r="K29" s="87" t="s">
        <v>685</v>
      </c>
      <c r="L29" s="87" t="s">
        <v>82</v>
      </c>
      <c r="M29" s="87">
        <v>2021</v>
      </c>
      <c r="N29" s="87">
        <v>0</v>
      </c>
      <c r="O29" s="87">
        <v>149.38999999999999</v>
      </c>
      <c r="P29" s="87">
        <v>0</v>
      </c>
    </row>
    <row r="30" spans="1:16" ht="11.25" customHeight="1" x14ac:dyDescent="0.25">
      <c r="A30" s="87">
        <v>29</v>
      </c>
      <c r="B30" s="87" t="s">
        <v>562</v>
      </c>
      <c r="C30" s="87" t="s">
        <v>62</v>
      </c>
      <c r="D30" s="87" t="s">
        <v>59</v>
      </c>
      <c r="E30" s="87" t="s">
        <v>25</v>
      </c>
      <c r="F30" s="87" t="s">
        <v>25</v>
      </c>
      <c r="G30" s="87" t="s">
        <v>25</v>
      </c>
      <c r="H30" s="87" t="s">
        <v>25</v>
      </c>
      <c r="I30" s="87" t="s">
        <v>25</v>
      </c>
      <c r="J30" s="87" t="s">
        <v>686</v>
      </c>
      <c r="K30" s="87" t="s">
        <v>685</v>
      </c>
      <c r="L30" s="87" t="s">
        <v>80</v>
      </c>
      <c r="M30" s="87">
        <v>2021</v>
      </c>
      <c r="N30" s="87">
        <v>0</v>
      </c>
      <c r="O30" s="87">
        <v>13.17</v>
      </c>
      <c r="P30" s="87">
        <v>0</v>
      </c>
    </row>
    <row r="31" spans="1:16" ht="11.25" customHeight="1" x14ac:dyDescent="0.25">
      <c r="A31" s="87">
        <v>30</v>
      </c>
      <c r="B31" s="87" t="s">
        <v>562</v>
      </c>
      <c r="C31" s="87" t="s">
        <v>42</v>
      </c>
      <c r="D31" s="87" t="s">
        <v>23</v>
      </c>
      <c r="E31" s="87" t="s">
        <v>43</v>
      </c>
      <c r="F31" s="87" t="s">
        <v>25</v>
      </c>
      <c r="G31" s="87" t="s">
        <v>25</v>
      </c>
      <c r="H31" s="87" t="s">
        <v>25</v>
      </c>
      <c r="I31" s="87" t="s">
        <v>25</v>
      </c>
      <c r="J31" s="87" t="s">
        <v>684</v>
      </c>
      <c r="K31" s="87" t="s">
        <v>685</v>
      </c>
      <c r="L31" s="87" t="s">
        <v>82</v>
      </c>
      <c r="M31" s="87">
        <v>2021</v>
      </c>
      <c r="N31" s="87">
        <v>0</v>
      </c>
      <c r="O31" s="87">
        <v>285.56</v>
      </c>
      <c r="P31" s="87">
        <v>52.360108414507003</v>
      </c>
    </row>
    <row r="32" spans="1:16" ht="11.25" customHeight="1" x14ac:dyDescent="0.25">
      <c r="A32" s="87">
        <v>31</v>
      </c>
      <c r="B32" s="87" t="s">
        <v>562</v>
      </c>
      <c r="C32" s="87" t="s">
        <v>36</v>
      </c>
      <c r="D32" s="87" t="s">
        <v>32</v>
      </c>
      <c r="E32" s="87" t="s">
        <v>25</v>
      </c>
      <c r="F32" s="87" t="s">
        <v>25</v>
      </c>
      <c r="G32" s="87" t="s">
        <v>25</v>
      </c>
      <c r="H32" s="87" t="s">
        <v>25</v>
      </c>
      <c r="I32" s="87" t="s">
        <v>35</v>
      </c>
      <c r="J32" s="87" t="s">
        <v>684</v>
      </c>
      <c r="K32" s="87" t="s">
        <v>685</v>
      </c>
      <c r="L32" s="87" t="s">
        <v>82</v>
      </c>
      <c r="M32" s="87">
        <v>2021</v>
      </c>
      <c r="N32" s="87">
        <v>0</v>
      </c>
      <c r="O32" s="87">
        <v>479.1</v>
      </c>
      <c r="P32" s="87">
        <v>59.500123198303399</v>
      </c>
    </row>
    <row r="33" spans="1:16" ht="11.25" customHeight="1" x14ac:dyDescent="0.25">
      <c r="A33" s="87">
        <v>32</v>
      </c>
      <c r="B33" s="87" t="s">
        <v>562</v>
      </c>
      <c r="C33" s="87" t="s">
        <v>42</v>
      </c>
      <c r="D33" s="87" t="s">
        <v>32</v>
      </c>
      <c r="E33" s="87" t="s">
        <v>43</v>
      </c>
      <c r="F33" s="87" t="s">
        <v>25</v>
      </c>
      <c r="G33" s="87" t="s">
        <v>25</v>
      </c>
      <c r="H33" s="87" t="s">
        <v>25</v>
      </c>
      <c r="I33" s="87" t="s">
        <v>34</v>
      </c>
      <c r="J33" s="87" t="s">
        <v>684</v>
      </c>
      <c r="K33" s="87" t="s">
        <v>685</v>
      </c>
      <c r="L33" s="87" t="s">
        <v>82</v>
      </c>
      <c r="M33" s="87">
        <v>2021</v>
      </c>
      <c r="N33" s="87">
        <v>0</v>
      </c>
      <c r="O33" s="87">
        <v>228.11</v>
      </c>
      <c r="P33" s="87">
        <v>52.360108414507003</v>
      </c>
    </row>
    <row r="34" spans="1:16" ht="11.25" customHeight="1" x14ac:dyDescent="0.25">
      <c r="A34" s="87">
        <v>33</v>
      </c>
      <c r="B34" s="87" t="s">
        <v>562</v>
      </c>
      <c r="C34" s="87" t="s">
        <v>36</v>
      </c>
      <c r="D34" s="87" t="s">
        <v>32</v>
      </c>
      <c r="E34" s="87" t="s">
        <v>25</v>
      </c>
      <c r="F34" s="87" t="s">
        <v>25</v>
      </c>
      <c r="G34" s="87" t="s">
        <v>25</v>
      </c>
      <c r="H34" s="87" t="s">
        <v>25</v>
      </c>
      <c r="I34" s="87" t="s">
        <v>33</v>
      </c>
      <c r="J34" s="87" t="s">
        <v>684</v>
      </c>
      <c r="K34" s="87" t="s">
        <v>685</v>
      </c>
      <c r="L34" s="87" t="s">
        <v>82</v>
      </c>
      <c r="M34" s="87">
        <v>2021</v>
      </c>
      <c r="N34" s="87">
        <v>0</v>
      </c>
      <c r="O34" s="87">
        <v>858.83</v>
      </c>
      <c r="P34" s="87">
        <v>59.500123198303399</v>
      </c>
    </row>
    <row r="35" spans="1:16" ht="11.25" customHeight="1" x14ac:dyDescent="0.25">
      <c r="A35" s="87">
        <v>34</v>
      </c>
      <c r="B35" s="87" t="s">
        <v>562</v>
      </c>
      <c r="C35" s="87" t="s">
        <v>36</v>
      </c>
      <c r="D35" s="87" t="s">
        <v>23</v>
      </c>
      <c r="E35" s="87" t="s">
        <v>25</v>
      </c>
      <c r="F35" s="87" t="s">
        <v>25</v>
      </c>
      <c r="G35" s="87" t="s">
        <v>25</v>
      </c>
      <c r="H35" s="87" t="s">
        <v>25</v>
      </c>
      <c r="I35" s="87" t="s">
        <v>25</v>
      </c>
      <c r="J35" s="87" t="s">
        <v>684</v>
      </c>
      <c r="K35" s="87" t="s">
        <v>685</v>
      </c>
      <c r="L35" s="87" t="s">
        <v>82</v>
      </c>
      <c r="M35" s="87">
        <v>2021</v>
      </c>
      <c r="N35" s="87">
        <v>0</v>
      </c>
      <c r="O35" s="87">
        <v>324.5</v>
      </c>
      <c r="P35" s="87">
        <v>59.500123198303399</v>
      </c>
    </row>
    <row r="36" spans="1:16" ht="11.25" customHeight="1" x14ac:dyDescent="0.25">
      <c r="A36" s="87">
        <v>35</v>
      </c>
      <c r="B36" s="87" t="s">
        <v>562</v>
      </c>
      <c r="C36" s="87" t="s">
        <v>42</v>
      </c>
      <c r="D36" s="87" t="s">
        <v>32</v>
      </c>
      <c r="E36" s="87" t="s">
        <v>43</v>
      </c>
      <c r="F36" s="87" t="s">
        <v>96</v>
      </c>
      <c r="G36" s="87" t="s">
        <v>25</v>
      </c>
      <c r="H36" s="87" t="s">
        <v>25</v>
      </c>
      <c r="I36" s="87" t="s">
        <v>35</v>
      </c>
      <c r="J36" s="87" t="s">
        <v>684</v>
      </c>
      <c r="K36" s="87" t="s">
        <v>685</v>
      </c>
      <c r="L36" s="87" t="s">
        <v>82</v>
      </c>
      <c r="M36" s="87">
        <v>2021</v>
      </c>
      <c r="N36" s="87">
        <v>0</v>
      </c>
      <c r="O36" s="87">
        <v>348.37</v>
      </c>
      <c r="P36" s="87">
        <v>52.360108414507003</v>
      </c>
    </row>
    <row r="37" spans="1:16" ht="11.25" customHeight="1" x14ac:dyDescent="0.25">
      <c r="A37" s="87">
        <v>36</v>
      </c>
      <c r="B37" s="87" t="s">
        <v>562</v>
      </c>
      <c r="C37" s="87" t="s">
        <v>36</v>
      </c>
      <c r="D37" s="87" t="s">
        <v>95</v>
      </c>
      <c r="E37" s="87" t="s">
        <v>25</v>
      </c>
      <c r="F37" s="87" t="s">
        <v>25</v>
      </c>
      <c r="G37" s="87" t="s">
        <v>25</v>
      </c>
      <c r="H37" s="87" t="s">
        <v>25</v>
      </c>
      <c r="I37" s="87" t="s">
        <v>25</v>
      </c>
      <c r="J37" s="87" t="s">
        <v>684</v>
      </c>
      <c r="K37" s="87" t="s">
        <v>685</v>
      </c>
      <c r="L37" s="87" t="s">
        <v>82</v>
      </c>
      <c r="M37" s="87">
        <v>2021</v>
      </c>
      <c r="N37" s="87">
        <v>0</v>
      </c>
      <c r="O37" s="87">
        <v>324.5</v>
      </c>
      <c r="P37" s="87">
        <v>59.500123198303399</v>
      </c>
    </row>
    <row r="38" spans="1:16" ht="11.25" customHeight="1" x14ac:dyDescent="0.25">
      <c r="A38" s="87">
        <v>37</v>
      </c>
      <c r="B38" s="87" t="s">
        <v>562</v>
      </c>
      <c r="C38" s="87" t="s">
        <v>42</v>
      </c>
      <c r="D38" s="87" t="s">
        <v>32</v>
      </c>
      <c r="E38" s="87" t="s">
        <v>43</v>
      </c>
      <c r="F38" s="87" t="s">
        <v>25</v>
      </c>
      <c r="G38" s="87" t="s">
        <v>25</v>
      </c>
      <c r="H38" s="87" t="s">
        <v>25</v>
      </c>
      <c r="I38" s="87" t="s">
        <v>35</v>
      </c>
      <c r="J38" s="87" t="s">
        <v>684</v>
      </c>
      <c r="K38" s="87" t="s">
        <v>685</v>
      </c>
      <c r="L38" s="87" t="s">
        <v>82</v>
      </c>
      <c r="M38" s="87">
        <v>2021</v>
      </c>
      <c r="N38" s="87">
        <v>0</v>
      </c>
      <c r="O38" s="87">
        <v>348.37</v>
      </c>
      <c r="P38" s="87">
        <v>52.360108414507003</v>
      </c>
    </row>
    <row r="39" spans="1:16" ht="11.25" customHeight="1" x14ac:dyDescent="0.25">
      <c r="A39" s="87">
        <v>38</v>
      </c>
      <c r="B39" s="87" t="s">
        <v>562</v>
      </c>
      <c r="C39" s="87" t="s">
        <v>42</v>
      </c>
      <c r="D39" s="87" t="s">
        <v>95</v>
      </c>
      <c r="E39" s="87" t="s">
        <v>43</v>
      </c>
      <c r="F39" s="87" t="s">
        <v>97</v>
      </c>
      <c r="G39" s="87" t="s">
        <v>25</v>
      </c>
      <c r="H39" s="87" t="s">
        <v>25</v>
      </c>
      <c r="I39" s="87" t="s">
        <v>25</v>
      </c>
      <c r="J39" s="87" t="s">
        <v>684</v>
      </c>
      <c r="K39" s="87" t="s">
        <v>685</v>
      </c>
      <c r="L39" s="87" t="s">
        <v>82</v>
      </c>
      <c r="M39" s="87">
        <v>2021</v>
      </c>
      <c r="N39" s="87">
        <v>0</v>
      </c>
      <c r="O39" s="87">
        <v>272.58</v>
      </c>
      <c r="P39" s="87">
        <v>49.980103486574798</v>
      </c>
    </row>
    <row r="40" spans="1:16" ht="11.25" customHeight="1" x14ac:dyDescent="0.25">
      <c r="A40" s="87">
        <v>39</v>
      </c>
      <c r="B40" s="87" t="s">
        <v>562</v>
      </c>
      <c r="C40" s="87" t="s">
        <v>42</v>
      </c>
      <c r="D40" s="87" t="s">
        <v>32</v>
      </c>
      <c r="E40" s="87" t="s">
        <v>43</v>
      </c>
      <c r="F40" s="87" t="s">
        <v>97</v>
      </c>
      <c r="G40" s="87" t="s">
        <v>25</v>
      </c>
      <c r="H40" s="87" t="s">
        <v>25</v>
      </c>
      <c r="I40" s="87" t="s">
        <v>35</v>
      </c>
      <c r="J40" s="87" t="s">
        <v>684</v>
      </c>
      <c r="K40" s="87" t="s">
        <v>685</v>
      </c>
      <c r="L40" s="87" t="s">
        <v>82</v>
      </c>
      <c r="M40" s="87">
        <v>2021</v>
      </c>
      <c r="N40" s="87">
        <v>0</v>
      </c>
      <c r="O40" s="87">
        <v>332.53</v>
      </c>
      <c r="P40" s="87">
        <v>49.980103486574798</v>
      </c>
    </row>
    <row r="41" spans="1:16" ht="11.25" customHeight="1" x14ac:dyDescent="0.25">
      <c r="A41" s="87">
        <v>40</v>
      </c>
      <c r="B41" s="87" t="s">
        <v>590</v>
      </c>
      <c r="C41" s="87" t="s">
        <v>22</v>
      </c>
      <c r="D41" s="87" t="s">
        <v>81</v>
      </c>
      <c r="E41" s="87" t="s">
        <v>24</v>
      </c>
      <c r="F41" s="87" t="s">
        <v>24</v>
      </c>
      <c r="G41" s="87" t="s">
        <v>25</v>
      </c>
      <c r="H41" s="87" t="s">
        <v>25</v>
      </c>
      <c r="I41" s="87" t="s">
        <v>35</v>
      </c>
      <c r="J41" s="87" t="s">
        <v>684</v>
      </c>
      <c r="K41" s="87" t="s">
        <v>685</v>
      </c>
      <c r="L41" s="87" t="s">
        <v>82</v>
      </c>
      <c r="M41" s="87">
        <v>2021</v>
      </c>
      <c r="N41" s="87">
        <v>0</v>
      </c>
      <c r="O41" s="87">
        <v>246.3</v>
      </c>
      <c r="P41" s="87"/>
    </row>
    <row r="42" spans="1:16" ht="11.25" customHeight="1" x14ac:dyDescent="0.25">
      <c r="A42" s="87">
        <v>41</v>
      </c>
      <c r="B42" s="87" t="s">
        <v>562</v>
      </c>
      <c r="C42" s="87" t="s">
        <v>42</v>
      </c>
      <c r="D42" s="87" t="s">
        <v>32</v>
      </c>
      <c r="E42" s="87" t="s">
        <v>43</v>
      </c>
      <c r="F42" s="87" t="s">
        <v>97</v>
      </c>
      <c r="G42" s="87" t="s">
        <v>25</v>
      </c>
      <c r="H42" s="87" t="s">
        <v>25</v>
      </c>
      <c r="I42" s="87" t="s">
        <v>33</v>
      </c>
      <c r="J42" s="87" t="s">
        <v>684</v>
      </c>
      <c r="K42" s="87" t="s">
        <v>685</v>
      </c>
      <c r="L42" s="87" t="s">
        <v>82</v>
      </c>
      <c r="M42" s="87">
        <v>2021</v>
      </c>
      <c r="N42" s="87">
        <v>0</v>
      </c>
      <c r="O42" s="87">
        <v>581.59</v>
      </c>
      <c r="P42" s="87">
        <v>49.980103486574798</v>
      </c>
    </row>
    <row r="43" spans="1:16" ht="11.25" customHeight="1" x14ac:dyDescent="0.25">
      <c r="A43" s="87">
        <v>42</v>
      </c>
      <c r="B43" s="87" t="s">
        <v>590</v>
      </c>
      <c r="C43" s="87" t="s">
        <v>38</v>
      </c>
      <c r="D43" s="87" t="s">
        <v>81</v>
      </c>
      <c r="E43" s="87" t="s">
        <v>25</v>
      </c>
      <c r="F43" s="87" t="s">
        <v>25</v>
      </c>
      <c r="G43" s="87" t="s">
        <v>25</v>
      </c>
      <c r="H43" s="87" t="s">
        <v>25</v>
      </c>
      <c r="I43" s="87" t="s">
        <v>34</v>
      </c>
      <c r="J43" s="87" t="s">
        <v>684</v>
      </c>
      <c r="K43" s="87" t="s">
        <v>685</v>
      </c>
      <c r="L43" s="87" t="s">
        <v>82</v>
      </c>
      <c r="M43" s="87">
        <v>2021</v>
      </c>
      <c r="N43" s="87">
        <v>0</v>
      </c>
      <c r="O43" s="87">
        <v>246.3</v>
      </c>
      <c r="P43" s="87"/>
    </row>
    <row r="44" spans="1:16" ht="11.25" customHeight="1" x14ac:dyDescent="0.25">
      <c r="A44" s="87">
        <v>43</v>
      </c>
      <c r="B44" s="87" t="s">
        <v>562</v>
      </c>
      <c r="C44" s="87" t="s">
        <v>42</v>
      </c>
      <c r="D44" s="87" t="s">
        <v>32</v>
      </c>
      <c r="E44" s="87" t="s">
        <v>43</v>
      </c>
      <c r="F44" s="87" t="s">
        <v>96</v>
      </c>
      <c r="G44" s="87" t="s">
        <v>25</v>
      </c>
      <c r="H44" s="87" t="s">
        <v>25</v>
      </c>
      <c r="I44" s="87" t="s">
        <v>34</v>
      </c>
      <c r="J44" s="87" t="s">
        <v>684</v>
      </c>
      <c r="K44" s="87" t="s">
        <v>685</v>
      </c>
      <c r="L44" s="87" t="s">
        <v>82</v>
      </c>
      <c r="M44" s="87">
        <v>2021</v>
      </c>
      <c r="N44" s="87">
        <v>0</v>
      </c>
      <c r="O44" s="87">
        <v>228.11</v>
      </c>
      <c r="P44" s="87">
        <v>52.360108414507003</v>
      </c>
    </row>
    <row r="45" spans="1:16" ht="11.25" customHeight="1" x14ac:dyDescent="0.25">
      <c r="A45" s="87">
        <v>44</v>
      </c>
      <c r="B45" s="87" t="s">
        <v>562</v>
      </c>
      <c r="C45" s="87" t="s">
        <v>45</v>
      </c>
      <c r="D45" s="87" t="s">
        <v>23</v>
      </c>
      <c r="E45" s="87" t="s">
        <v>46</v>
      </c>
      <c r="F45" s="87" t="s">
        <v>98</v>
      </c>
      <c r="G45" s="87" t="s">
        <v>25</v>
      </c>
      <c r="H45" s="87" t="s">
        <v>25</v>
      </c>
      <c r="I45" s="87" t="s">
        <v>25</v>
      </c>
      <c r="J45" s="87" t="s">
        <v>684</v>
      </c>
      <c r="K45" s="87" t="s">
        <v>685</v>
      </c>
      <c r="L45" s="87" t="s">
        <v>82</v>
      </c>
      <c r="M45" s="87">
        <v>2021</v>
      </c>
      <c r="N45" s="87">
        <v>0</v>
      </c>
      <c r="O45" s="87">
        <v>194.7</v>
      </c>
      <c r="P45" s="87">
        <v>35.700073918982</v>
      </c>
    </row>
    <row r="46" spans="1:16" ht="11.25" customHeight="1" x14ac:dyDescent="0.25">
      <c r="A46" s="87">
        <v>45</v>
      </c>
      <c r="B46" s="87" t="s">
        <v>562</v>
      </c>
      <c r="C46" s="87" t="s">
        <v>42</v>
      </c>
      <c r="D46" s="87" t="s">
        <v>32</v>
      </c>
      <c r="E46" s="87" t="s">
        <v>43</v>
      </c>
      <c r="F46" s="87" t="s">
        <v>97</v>
      </c>
      <c r="G46" s="87" t="s">
        <v>25</v>
      </c>
      <c r="H46" s="87" t="s">
        <v>25</v>
      </c>
      <c r="I46" s="87" t="s">
        <v>34</v>
      </c>
      <c r="J46" s="87" t="s">
        <v>684</v>
      </c>
      <c r="K46" s="87" t="s">
        <v>685</v>
      </c>
      <c r="L46" s="87" t="s">
        <v>82</v>
      </c>
      <c r="M46" s="87">
        <v>2021</v>
      </c>
      <c r="N46" s="87">
        <v>0</v>
      </c>
      <c r="O46" s="87">
        <v>217.74</v>
      </c>
      <c r="P46" s="87">
        <v>49.980103486574798</v>
      </c>
    </row>
    <row r="47" spans="1:16" ht="11.25" customHeight="1" x14ac:dyDescent="0.25">
      <c r="A47" s="87">
        <v>46</v>
      </c>
      <c r="B47" s="87" t="s">
        <v>562</v>
      </c>
      <c r="C47" s="87" t="s">
        <v>42</v>
      </c>
      <c r="D47" s="87" t="s">
        <v>23</v>
      </c>
      <c r="E47" s="87" t="s">
        <v>43</v>
      </c>
      <c r="F47" s="87" t="s">
        <v>96</v>
      </c>
      <c r="G47" s="87" t="s">
        <v>25</v>
      </c>
      <c r="H47" s="87" t="s">
        <v>25</v>
      </c>
      <c r="I47" s="87" t="s">
        <v>25</v>
      </c>
      <c r="J47" s="87" t="s">
        <v>684</v>
      </c>
      <c r="K47" s="87" t="s">
        <v>685</v>
      </c>
      <c r="L47" s="87" t="s">
        <v>82</v>
      </c>
      <c r="M47" s="87">
        <v>2021</v>
      </c>
      <c r="N47" s="87">
        <v>0</v>
      </c>
      <c r="O47" s="87">
        <v>285.56</v>
      </c>
      <c r="P47" s="87">
        <v>52.360108414507003</v>
      </c>
    </row>
    <row r="48" spans="1:16" ht="11.25" customHeight="1" x14ac:dyDescent="0.25">
      <c r="A48" s="87">
        <v>47</v>
      </c>
      <c r="B48" s="87" t="s">
        <v>590</v>
      </c>
      <c r="C48" s="87" t="s">
        <v>38</v>
      </c>
      <c r="D48" s="87" t="s">
        <v>81</v>
      </c>
      <c r="E48" s="87" t="s">
        <v>25</v>
      </c>
      <c r="F48" s="87" t="s">
        <v>25</v>
      </c>
      <c r="G48" s="87" t="s">
        <v>25</v>
      </c>
      <c r="H48" s="87" t="s">
        <v>25</v>
      </c>
      <c r="I48" s="87" t="s">
        <v>33</v>
      </c>
      <c r="J48" s="87" t="s">
        <v>684</v>
      </c>
      <c r="K48" s="87" t="s">
        <v>685</v>
      </c>
      <c r="L48" s="87" t="s">
        <v>82</v>
      </c>
      <c r="M48" s="87">
        <v>2021</v>
      </c>
      <c r="N48" s="87">
        <v>0</v>
      </c>
      <c r="O48" s="87">
        <v>389.21</v>
      </c>
      <c r="P48" s="87"/>
    </row>
    <row r="49" spans="1:16" ht="11.25" customHeight="1" x14ac:dyDescent="0.25">
      <c r="A49" s="87">
        <v>48</v>
      </c>
      <c r="B49" s="87" t="s">
        <v>590</v>
      </c>
      <c r="C49" s="87" t="s">
        <v>22</v>
      </c>
      <c r="D49" s="87" t="s">
        <v>81</v>
      </c>
      <c r="E49" s="87" t="s">
        <v>24</v>
      </c>
      <c r="F49" s="87" t="s">
        <v>24</v>
      </c>
      <c r="G49" s="87" t="s">
        <v>25</v>
      </c>
      <c r="H49" s="87" t="s">
        <v>25</v>
      </c>
      <c r="I49" s="87" t="s">
        <v>33</v>
      </c>
      <c r="J49" s="87" t="s">
        <v>684</v>
      </c>
      <c r="K49" s="87" t="s">
        <v>685</v>
      </c>
      <c r="L49" s="87" t="s">
        <v>82</v>
      </c>
      <c r="M49" s="87">
        <v>2021</v>
      </c>
      <c r="N49" s="87">
        <v>0</v>
      </c>
      <c r="O49" s="87">
        <v>389.21</v>
      </c>
      <c r="P49" s="87"/>
    </row>
    <row r="50" spans="1:16" ht="11.25" customHeight="1" x14ac:dyDescent="0.25">
      <c r="A50" s="87">
        <v>49</v>
      </c>
      <c r="B50" s="87" t="s">
        <v>562</v>
      </c>
      <c r="C50" s="87" t="s">
        <v>42</v>
      </c>
      <c r="D50" s="87" t="s">
        <v>95</v>
      </c>
      <c r="E50" s="87" t="s">
        <v>43</v>
      </c>
      <c r="F50" s="87" t="s">
        <v>96</v>
      </c>
      <c r="G50" s="87" t="s">
        <v>25</v>
      </c>
      <c r="H50" s="87" t="s">
        <v>25</v>
      </c>
      <c r="I50" s="87" t="s">
        <v>25</v>
      </c>
      <c r="J50" s="87" t="s">
        <v>684</v>
      </c>
      <c r="K50" s="87" t="s">
        <v>685</v>
      </c>
      <c r="L50" s="87" t="s">
        <v>82</v>
      </c>
      <c r="M50" s="87">
        <v>2021</v>
      </c>
      <c r="N50" s="87">
        <v>0</v>
      </c>
      <c r="O50" s="87">
        <v>285.56</v>
      </c>
      <c r="P50" s="87">
        <v>52.360108414507003</v>
      </c>
    </row>
    <row r="51" spans="1:16" ht="11.25" customHeight="1" x14ac:dyDescent="0.25">
      <c r="A51" s="87">
        <v>50</v>
      </c>
      <c r="B51" s="87" t="s">
        <v>590</v>
      </c>
      <c r="C51" s="87" t="s">
        <v>22</v>
      </c>
      <c r="D51" s="87" t="s">
        <v>85</v>
      </c>
      <c r="E51" s="87" t="s">
        <v>24</v>
      </c>
      <c r="F51" s="87" t="s">
        <v>28</v>
      </c>
      <c r="G51" s="87" t="s">
        <v>25</v>
      </c>
      <c r="H51" s="87" t="s">
        <v>25</v>
      </c>
      <c r="I51" s="87" t="s">
        <v>25</v>
      </c>
      <c r="J51" s="87" t="s">
        <v>684</v>
      </c>
      <c r="K51" s="87" t="s">
        <v>685</v>
      </c>
      <c r="L51" s="87" t="s">
        <v>82</v>
      </c>
      <c r="M51" s="87">
        <v>2021</v>
      </c>
      <c r="N51" s="87">
        <v>0</v>
      </c>
      <c r="O51" s="87">
        <v>90.37</v>
      </c>
      <c r="P51" s="87"/>
    </row>
    <row r="52" spans="1:16" ht="11.25" customHeight="1" x14ac:dyDescent="0.25">
      <c r="A52" s="87">
        <v>51</v>
      </c>
      <c r="B52" s="87" t="s">
        <v>562</v>
      </c>
      <c r="C52" s="87" t="s">
        <v>42</v>
      </c>
      <c r="D52" s="87" t="s">
        <v>95</v>
      </c>
      <c r="E52" s="87" t="s">
        <v>43</v>
      </c>
      <c r="F52" s="87" t="s">
        <v>25</v>
      </c>
      <c r="G52" s="87" t="s">
        <v>25</v>
      </c>
      <c r="H52" s="87" t="s">
        <v>25</v>
      </c>
      <c r="I52" s="87" t="s">
        <v>25</v>
      </c>
      <c r="J52" s="87" t="s">
        <v>684</v>
      </c>
      <c r="K52" s="87" t="s">
        <v>685</v>
      </c>
      <c r="L52" s="87" t="s">
        <v>82</v>
      </c>
      <c r="M52" s="87">
        <v>2021</v>
      </c>
      <c r="N52" s="87">
        <v>0</v>
      </c>
      <c r="O52" s="87">
        <v>285.56</v>
      </c>
      <c r="P52" s="87">
        <v>52.360108414507003</v>
      </c>
    </row>
    <row r="53" spans="1:16" ht="11.25" customHeight="1" x14ac:dyDescent="0.25">
      <c r="A53" s="87">
        <v>52</v>
      </c>
      <c r="B53" s="87" t="s">
        <v>590</v>
      </c>
      <c r="C53" s="87" t="s">
        <v>22</v>
      </c>
      <c r="D53" s="87" t="s">
        <v>85</v>
      </c>
      <c r="E53" s="87" t="s">
        <v>24</v>
      </c>
      <c r="F53" s="87" t="s">
        <v>24</v>
      </c>
      <c r="G53" s="87" t="s">
        <v>25</v>
      </c>
      <c r="H53" s="87" t="s">
        <v>25</v>
      </c>
      <c r="I53" s="87" t="s">
        <v>25</v>
      </c>
      <c r="J53" s="87" t="s">
        <v>684</v>
      </c>
      <c r="K53" s="87" t="s">
        <v>685</v>
      </c>
      <c r="L53" s="87" t="s">
        <v>82</v>
      </c>
      <c r="M53" s="87">
        <v>2021</v>
      </c>
      <c r="N53" s="87">
        <v>0</v>
      </c>
      <c r="O53" s="87">
        <v>258.20999999999998</v>
      </c>
      <c r="P53" s="87"/>
    </row>
    <row r="54" spans="1:16" ht="11.25" customHeight="1" x14ac:dyDescent="0.25">
      <c r="A54" s="87">
        <v>53</v>
      </c>
      <c r="B54" s="87" t="s">
        <v>590</v>
      </c>
      <c r="C54" s="87" t="s">
        <v>22</v>
      </c>
      <c r="D54" s="87" t="s">
        <v>85</v>
      </c>
      <c r="E54" s="87" t="s">
        <v>24</v>
      </c>
      <c r="F54" s="87" t="s">
        <v>29</v>
      </c>
      <c r="G54" s="87" t="s">
        <v>25</v>
      </c>
      <c r="H54" s="87" t="s">
        <v>25</v>
      </c>
      <c r="I54" s="87" t="s">
        <v>25</v>
      </c>
      <c r="J54" s="87" t="s">
        <v>684</v>
      </c>
      <c r="K54" s="87" t="s">
        <v>685</v>
      </c>
      <c r="L54" s="87" t="s">
        <v>82</v>
      </c>
      <c r="M54" s="87">
        <v>2021</v>
      </c>
      <c r="N54" s="87">
        <v>0</v>
      </c>
      <c r="O54" s="87">
        <v>154.93</v>
      </c>
      <c r="P54" s="87"/>
    </row>
    <row r="55" spans="1:16" ht="11.25" customHeight="1" x14ac:dyDescent="0.25">
      <c r="A55" s="87">
        <v>54</v>
      </c>
      <c r="B55" s="87" t="s">
        <v>590</v>
      </c>
      <c r="C55" s="87" t="s">
        <v>42</v>
      </c>
      <c r="D55" s="87" t="s">
        <v>81</v>
      </c>
      <c r="E55" s="87" t="s">
        <v>43</v>
      </c>
      <c r="F55" s="87" t="s">
        <v>96</v>
      </c>
      <c r="G55" s="87" t="s">
        <v>25</v>
      </c>
      <c r="H55" s="87" t="s">
        <v>25</v>
      </c>
      <c r="I55" s="87" t="s">
        <v>34</v>
      </c>
      <c r="J55" s="87" t="s">
        <v>684</v>
      </c>
      <c r="K55" s="87" t="s">
        <v>685</v>
      </c>
      <c r="L55" s="87" t="s">
        <v>82</v>
      </c>
      <c r="M55" s="87">
        <v>2021</v>
      </c>
      <c r="N55" s="87">
        <v>0</v>
      </c>
      <c r="O55" s="87">
        <v>216.75</v>
      </c>
      <c r="P55" s="87"/>
    </row>
    <row r="56" spans="1:16" ht="11.25" customHeight="1" x14ac:dyDescent="0.25">
      <c r="A56" s="87">
        <v>55</v>
      </c>
      <c r="B56" s="87" t="s">
        <v>590</v>
      </c>
      <c r="C56" s="87" t="s">
        <v>22</v>
      </c>
      <c r="D56" s="87" t="s">
        <v>85</v>
      </c>
      <c r="E56" s="87" t="s">
        <v>24</v>
      </c>
      <c r="F56" s="87" t="s">
        <v>30</v>
      </c>
      <c r="G56" s="87" t="s">
        <v>25</v>
      </c>
      <c r="H56" s="87" t="s">
        <v>25</v>
      </c>
      <c r="I56" s="87" t="s">
        <v>25</v>
      </c>
      <c r="J56" s="87" t="s">
        <v>684</v>
      </c>
      <c r="K56" s="87" t="s">
        <v>685</v>
      </c>
      <c r="L56" s="87" t="s">
        <v>82</v>
      </c>
      <c r="M56" s="87">
        <v>2021</v>
      </c>
      <c r="N56" s="87">
        <v>0</v>
      </c>
      <c r="O56" s="87">
        <v>232.39</v>
      </c>
      <c r="P56" s="87"/>
    </row>
    <row r="57" spans="1:16" ht="11.25" customHeight="1" x14ac:dyDescent="0.25">
      <c r="A57" s="87">
        <v>56</v>
      </c>
      <c r="B57" s="87" t="s">
        <v>590</v>
      </c>
      <c r="C57" s="87" t="s">
        <v>22</v>
      </c>
      <c r="D57" s="87" t="s">
        <v>81</v>
      </c>
      <c r="E57" s="87" t="s">
        <v>24</v>
      </c>
      <c r="F57" s="87" t="s">
        <v>24</v>
      </c>
      <c r="G57" s="87" t="s">
        <v>25</v>
      </c>
      <c r="H57" s="87" t="s">
        <v>25</v>
      </c>
      <c r="I57" s="87" t="s">
        <v>34</v>
      </c>
      <c r="J57" s="87" t="s">
        <v>684</v>
      </c>
      <c r="K57" s="87" t="s">
        <v>685</v>
      </c>
      <c r="L57" s="87" t="s">
        <v>82</v>
      </c>
      <c r="M57" s="87">
        <v>2021</v>
      </c>
      <c r="N57" s="87">
        <v>0</v>
      </c>
      <c r="O57" s="87">
        <v>246.3</v>
      </c>
      <c r="P57" s="87"/>
    </row>
    <row r="58" spans="1:16" ht="11.25" customHeight="1" x14ac:dyDescent="0.25">
      <c r="A58" s="87">
        <v>57</v>
      </c>
      <c r="B58" s="87" t="s">
        <v>562</v>
      </c>
      <c r="C58" s="87" t="s">
        <v>42</v>
      </c>
      <c r="D58" s="87" t="s">
        <v>23</v>
      </c>
      <c r="E58" s="87" t="s">
        <v>43</v>
      </c>
      <c r="F58" s="87" t="s">
        <v>97</v>
      </c>
      <c r="G58" s="87" t="s">
        <v>25</v>
      </c>
      <c r="H58" s="87" t="s">
        <v>25</v>
      </c>
      <c r="I58" s="87" t="s">
        <v>25</v>
      </c>
      <c r="J58" s="87" t="s">
        <v>684</v>
      </c>
      <c r="K58" s="87" t="s">
        <v>685</v>
      </c>
      <c r="L58" s="87" t="s">
        <v>82</v>
      </c>
      <c r="M58" s="87">
        <v>2021</v>
      </c>
      <c r="N58" s="87">
        <v>0</v>
      </c>
      <c r="O58" s="87">
        <v>272.58</v>
      </c>
      <c r="P58" s="87">
        <v>49.980103486574798</v>
      </c>
    </row>
    <row r="59" spans="1:16" ht="11.25" customHeight="1" x14ac:dyDescent="0.25">
      <c r="A59" s="87">
        <v>58</v>
      </c>
      <c r="B59" s="87" t="s">
        <v>590</v>
      </c>
      <c r="C59" s="87" t="s">
        <v>42</v>
      </c>
      <c r="D59" s="87" t="s">
        <v>81</v>
      </c>
      <c r="E59" s="87" t="s">
        <v>43</v>
      </c>
      <c r="F59" s="87" t="s">
        <v>25</v>
      </c>
      <c r="G59" s="87" t="s">
        <v>25</v>
      </c>
      <c r="H59" s="87" t="s">
        <v>25</v>
      </c>
      <c r="I59" s="87" t="s">
        <v>35</v>
      </c>
      <c r="J59" s="87" t="s">
        <v>684</v>
      </c>
      <c r="K59" s="87" t="s">
        <v>685</v>
      </c>
      <c r="L59" s="87" t="s">
        <v>82</v>
      </c>
      <c r="M59" s="87">
        <v>2021</v>
      </c>
      <c r="N59" s="87">
        <v>0</v>
      </c>
      <c r="O59" s="87">
        <v>216.75</v>
      </c>
      <c r="P59" s="87"/>
    </row>
    <row r="60" spans="1:16" ht="11.25" customHeight="1" x14ac:dyDescent="0.25">
      <c r="A60" s="87">
        <v>59</v>
      </c>
      <c r="B60" s="87" t="s">
        <v>590</v>
      </c>
      <c r="C60" s="87" t="s">
        <v>42</v>
      </c>
      <c r="D60" s="87" t="s">
        <v>94</v>
      </c>
      <c r="E60" s="87" t="s">
        <v>43</v>
      </c>
      <c r="F60" s="87" t="s">
        <v>97</v>
      </c>
      <c r="G60" s="87" t="s">
        <v>25</v>
      </c>
      <c r="H60" s="87" t="s">
        <v>25</v>
      </c>
      <c r="I60" s="87" t="s">
        <v>25</v>
      </c>
      <c r="J60" s="87" t="s">
        <v>684</v>
      </c>
      <c r="K60" s="87" t="s">
        <v>685</v>
      </c>
      <c r="L60" s="87" t="s">
        <v>82</v>
      </c>
      <c r="M60" s="87">
        <v>2021</v>
      </c>
      <c r="N60" s="87">
        <v>0</v>
      </c>
      <c r="O60" s="87">
        <v>216.9</v>
      </c>
      <c r="P60" s="87"/>
    </row>
    <row r="61" spans="1:16" ht="11.25" customHeight="1" x14ac:dyDescent="0.25">
      <c r="A61" s="87">
        <v>60</v>
      </c>
      <c r="B61" s="87" t="s">
        <v>590</v>
      </c>
      <c r="C61" s="87" t="s">
        <v>22</v>
      </c>
      <c r="D61" s="87" t="s">
        <v>94</v>
      </c>
      <c r="E61" s="87" t="s">
        <v>24</v>
      </c>
      <c r="F61" s="87" t="s">
        <v>24</v>
      </c>
      <c r="G61" s="87" t="s">
        <v>25</v>
      </c>
      <c r="H61" s="87" t="s">
        <v>25</v>
      </c>
      <c r="I61" s="87" t="s">
        <v>25</v>
      </c>
      <c r="J61" s="87" t="s">
        <v>684</v>
      </c>
      <c r="K61" s="87" t="s">
        <v>685</v>
      </c>
      <c r="L61" s="87" t="s">
        <v>82</v>
      </c>
      <c r="M61" s="87">
        <v>2021</v>
      </c>
      <c r="N61" s="87">
        <v>0</v>
      </c>
      <c r="O61" s="87">
        <v>258.20999999999998</v>
      </c>
      <c r="P61" s="87"/>
    </row>
    <row r="62" spans="1:16" ht="11.25" customHeight="1" x14ac:dyDescent="0.25">
      <c r="A62" s="87">
        <v>61</v>
      </c>
      <c r="B62" s="87" t="s">
        <v>590</v>
      </c>
      <c r="C62" s="87" t="s">
        <v>42</v>
      </c>
      <c r="D62" s="87" t="s">
        <v>81</v>
      </c>
      <c r="E62" s="87" t="s">
        <v>43</v>
      </c>
      <c r="F62" s="87" t="s">
        <v>25</v>
      </c>
      <c r="G62" s="87" t="s">
        <v>25</v>
      </c>
      <c r="H62" s="87" t="s">
        <v>25</v>
      </c>
      <c r="I62" s="87" t="s">
        <v>33</v>
      </c>
      <c r="J62" s="87" t="s">
        <v>684</v>
      </c>
      <c r="K62" s="87" t="s">
        <v>685</v>
      </c>
      <c r="L62" s="87" t="s">
        <v>82</v>
      </c>
      <c r="M62" s="87">
        <v>2021</v>
      </c>
      <c r="N62" s="87">
        <v>0</v>
      </c>
      <c r="O62" s="87">
        <v>342.5</v>
      </c>
      <c r="P62" s="87"/>
    </row>
    <row r="63" spans="1:16" ht="11.25" customHeight="1" x14ac:dyDescent="0.25">
      <c r="A63" s="87">
        <v>62</v>
      </c>
      <c r="B63" s="87" t="s">
        <v>590</v>
      </c>
      <c r="C63" s="87" t="s">
        <v>42</v>
      </c>
      <c r="D63" s="87" t="s">
        <v>94</v>
      </c>
      <c r="E63" s="87" t="s">
        <v>43</v>
      </c>
      <c r="F63" s="87" t="s">
        <v>96</v>
      </c>
      <c r="G63" s="87" t="s">
        <v>25</v>
      </c>
      <c r="H63" s="87" t="s">
        <v>25</v>
      </c>
      <c r="I63" s="87" t="s">
        <v>25</v>
      </c>
      <c r="J63" s="87" t="s">
        <v>684</v>
      </c>
      <c r="K63" s="87" t="s">
        <v>685</v>
      </c>
      <c r="L63" s="87" t="s">
        <v>82</v>
      </c>
      <c r="M63" s="87">
        <v>2021</v>
      </c>
      <c r="N63" s="87">
        <v>0</v>
      </c>
      <c r="O63" s="87">
        <v>227.23</v>
      </c>
      <c r="P63" s="87"/>
    </row>
    <row r="64" spans="1:16" ht="11.25" customHeight="1" x14ac:dyDescent="0.25">
      <c r="A64" s="87">
        <v>63</v>
      </c>
      <c r="B64" s="87" t="s">
        <v>590</v>
      </c>
      <c r="C64" s="87" t="s">
        <v>22</v>
      </c>
      <c r="D64" s="87" t="s">
        <v>94</v>
      </c>
      <c r="E64" s="87" t="s">
        <v>24</v>
      </c>
      <c r="F64" s="87" t="s">
        <v>30</v>
      </c>
      <c r="G64" s="87" t="s">
        <v>25</v>
      </c>
      <c r="H64" s="87" t="s">
        <v>25</v>
      </c>
      <c r="I64" s="87" t="s">
        <v>25</v>
      </c>
      <c r="J64" s="87" t="s">
        <v>684</v>
      </c>
      <c r="K64" s="87" t="s">
        <v>685</v>
      </c>
      <c r="L64" s="87" t="s">
        <v>82</v>
      </c>
      <c r="M64" s="87">
        <v>2021</v>
      </c>
      <c r="N64" s="87">
        <v>0</v>
      </c>
      <c r="O64" s="87">
        <v>232.39</v>
      </c>
      <c r="P64" s="87"/>
    </row>
    <row r="65" spans="1:16" ht="11.25" customHeight="1" x14ac:dyDescent="0.25">
      <c r="A65" s="87">
        <v>64</v>
      </c>
      <c r="B65" s="87" t="s">
        <v>590</v>
      </c>
      <c r="C65" s="87" t="s">
        <v>42</v>
      </c>
      <c r="D65" s="87" t="s">
        <v>85</v>
      </c>
      <c r="E65" s="87" t="s">
        <v>43</v>
      </c>
      <c r="F65" s="87" t="s">
        <v>97</v>
      </c>
      <c r="G65" s="87" t="s">
        <v>25</v>
      </c>
      <c r="H65" s="87" t="s">
        <v>25</v>
      </c>
      <c r="I65" s="87" t="s">
        <v>25</v>
      </c>
      <c r="J65" s="87" t="s">
        <v>684</v>
      </c>
      <c r="K65" s="87" t="s">
        <v>685</v>
      </c>
      <c r="L65" s="87" t="s">
        <v>82</v>
      </c>
      <c r="M65" s="87">
        <v>2021</v>
      </c>
      <c r="N65" s="87">
        <v>0</v>
      </c>
      <c r="O65" s="87">
        <v>216.9</v>
      </c>
      <c r="P65" s="87"/>
    </row>
    <row r="66" spans="1:16" ht="11.25" customHeight="1" x14ac:dyDescent="0.25">
      <c r="A66" s="87">
        <v>65</v>
      </c>
      <c r="B66" s="87" t="s">
        <v>562</v>
      </c>
      <c r="C66" s="87" t="s">
        <v>45</v>
      </c>
      <c r="D66" s="87" t="s">
        <v>23</v>
      </c>
      <c r="E66" s="87" t="s">
        <v>46</v>
      </c>
      <c r="F66" s="87" t="s">
        <v>47</v>
      </c>
      <c r="G66" s="87" t="s">
        <v>25</v>
      </c>
      <c r="H66" s="87" t="s">
        <v>25</v>
      </c>
      <c r="I66" s="87" t="s">
        <v>25</v>
      </c>
      <c r="J66" s="87" t="s">
        <v>684</v>
      </c>
      <c r="K66" s="87" t="s">
        <v>685</v>
      </c>
      <c r="L66" s="87" t="s">
        <v>82</v>
      </c>
      <c r="M66" s="87">
        <v>2021</v>
      </c>
      <c r="N66" s="87">
        <v>0</v>
      </c>
      <c r="O66" s="87">
        <v>178.47</v>
      </c>
      <c r="P66" s="87">
        <v>32.725067759066903</v>
      </c>
    </row>
    <row r="67" spans="1:16" ht="11.25" customHeight="1" x14ac:dyDescent="0.25">
      <c r="A67" s="87">
        <v>66</v>
      </c>
      <c r="B67" s="87" t="s">
        <v>590</v>
      </c>
      <c r="C67" s="87" t="s">
        <v>22</v>
      </c>
      <c r="D67" s="87" t="s">
        <v>94</v>
      </c>
      <c r="E67" s="87" t="s">
        <v>24</v>
      </c>
      <c r="F67" s="87" t="s">
        <v>29</v>
      </c>
      <c r="G67" s="87" t="s">
        <v>25</v>
      </c>
      <c r="H67" s="87" t="s">
        <v>25</v>
      </c>
      <c r="I67" s="87" t="s">
        <v>25</v>
      </c>
      <c r="J67" s="87" t="s">
        <v>684</v>
      </c>
      <c r="K67" s="87" t="s">
        <v>685</v>
      </c>
      <c r="L67" s="87" t="s">
        <v>82</v>
      </c>
      <c r="M67" s="87">
        <v>2021</v>
      </c>
      <c r="N67" s="87">
        <v>0</v>
      </c>
      <c r="O67" s="87">
        <v>154.93</v>
      </c>
      <c r="P67" s="87"/>
    </row>
    <row r="68" spans="1:16" ht="11.25" customHeight="1" x14ac:dyDescent="0.25">
      <c r="A68" s="87">
        <v>67</v>
      </c>
      <c r="B68" s="87" t="s">
        <v>590</v>
      </c>
      <c r="C68" s="87" t="s">
        <v>22</v>
      </c>
      <c r="D68" s="87" t="s">
        <v>94</v>
      </c>
      <c r="E68" s="87" t="s">
        <v>24</v>
      </c>
      <c r="F68" s="87" t="s">
        <v>31</v>
      </c>
      <c r="G68" s="87" t="s">
        <v>25</v>
      </c>
      <c r="H68" s="87" t="s">
        <v>25</v>
      </c>
      <c r="I68" s="87" t="s">
        <v>25</v>
      </c>
      <c r="J68" s="87" t="s">
        <v>684</v>
      </c>
      <c r="K68" s="87" t="s">
        <v>685</v>
      </c>
      <c r="L68" s="87" t="s">
        <v>82</v>
      </c>
      <c r="M68" s="87">
        <v>2021</v>
      </c>
      <c r="N68" s="87">
        <v>0</v>
      </c>
      <c r="O68" s="87">
        <v>258.20999999999998</v>
      </c>
      <c r="P68" s="87"/>
    </row>
    <row r="69" spans="1:16" ht="11.25" customHeight="1" x14ac:dyDescent="0.25">
      <c r="A69" s="87">
        <v>68</v>
      </c>
      <c r="B69" s="87" t="s">
        <v>590</v>
      </c>
      <c r="C69" s="87" t="s">
        <v>42</v>
      </c>
      <c r="D69" s="87" t="s">
        <v>81</v>
      </c>
      <c r="E69" s="87" t="s">
        <v>43</v>
      </c>
      <c r="F69" s="87" t="s">
        <v>96</v>
      </c>
      <c r="G69" s="87" t="s">
        <v>25</v>
      </c>
      <c r="H69" s="87" t="s">
        <v>25</v>
      </c>
      <c r="I69" s="87" t="s">
        <v>33</v>
      </c>
      <c r="J69" s="87" t="s">
        <v>684</v>
      </c>
      <c r="K69" s="87" t="s">
        <v>685</v>
      </c>
      <c r="L69" s="87" t="s">
        <v>82</v>
      </c>
      <c r="M69" s="87">
        <v>2021</v>
      </c>
      <c r="N69" s="87">
        <v>0</v>
      </c>
      <c r="O69" s="87">
        <v>342.5</v>
      </c>
      <c r="P69" s="87"/>
    </row>
    <row r="70" spans="1:16" ht="11.25" customHeight="1" x14ac:dyDescent="0.25">
      <c r="A70" s="87">
        <v>69</v>
      </c>
      <c r="B70" s="87" t="s">
        <v>590</v>
      </c>
      <c r="C70" s="87" t="s">
        <v>36</v>
      </c>
      <c r="D70" s="87" t="s">
        <v>81</v>
      </c>
      <c r="E70" s="87" t="s">
        <v>25</v>
      </c>
      <c r="F70" s="87" t="s">
        <v>25</v>
      </c>
      <c r="G70" s="87" t="s">
        <v>25</v>
      </c>
      <c r="H70" s="87" t="s">
        <v>25</v>
      </c>
      <c r="I70" s="87" t="s">
        <v>34</v>
      </c>
      <c r="J70" s="87" t="s">
        <v>684</v>
      </c>
      <c r="K70" s="87" t="s">
        <v>685</v>
      </c>
      <c r="L70" s="87" t="s">
        <v>82</v>
      </c>
      <c r="M70" s="87">
        <v>2021</v>
      </c>
      <c r="N70" s="87">
        <v>0</v>
      </c>
      <c r="O70" s="87">
        <v>246.3</v>
      </c>
      <c r="P70" s="87"/>
    </row>
    <row r="71" spans="1:16" ht="11.25" customHeight="1" x14ac:dyDescent="0.25">
      <c r="A71" s="87">
        <v>70</v>
      </c>
      <c r="B71" s="87" t="s">
        <v>590</v>
      </c>
      <c r="C71" s="87" t="s">
        <v>42</v>
      </c>
      <c r="D71" s="87" t="s">
        <v>85</v>
      </c>
      <c r="E71" s="87" t="s">
        <v>43</v>
      </c>
      <c r="F71" s="87" t="s">
        <v>25</v>
      </c>
      <c r="G71" s="87" t="s">
        <v>25</v>
      </c>
      <c r="H71" s="87" t="s">
        <v>25</v>
      </c>
      <c r="I71" s="87" t="s">
        <v>25</v>
      </c>
      <c r="J71" s="87" t="s">
        <v>684</v>
      </c>
      <c r="K71" s="87" t="s">
        <v>685</v>
      </c>
      <c r="L71" s="87" t="s">
        <v>82</v>
      </c>
      <c r="M71" s="87">
        <v>2021</v>
      </c>
      <c r="N71" s="87">
        <v>0</v>
      </c>
      <c r="O71" s="87">
        <v>227.23</v>
      </c>
      <c r="P71" s="87"/>
    </row>
    <row r="72" spans="1:16" ht="11.25" customHeight="1" x14ac:dyDescent="0.25">
      <c r="A72" s="87">
        <v>71</v>
      </c>
      <c r="B72" s="87" t="s">
        <v>590</v>
      </c>
      <c r="C72" s="87" t="s">
        <v>36</v>
      </c>
      <c r="D72" s="87" t="s">
        <v>81</v>
      </c>
      <c r="E72" s="87" t="s">
        <v>25</v>
      </c>
      <c r="F72" s="87" t="s">
        <v>25</v>
      </c>
      <c r="G72" s="87" t="s">
        <v>25</v>
      </c>
      <c r="H72" s="87" t="s">
        <v>25</v>
      </c>
      <c r="I72" s="87" t="s">
        <v>35</v>
      </c>
      <c r="J72" s="87" t="s">
        <v>684</v>
      </c>
      <c r="K72" s="87" t="s">
        <v>685</v>
      </c>
      <c r="L72" s="87" t="s">
        <v>82</v>
      </c>
      <c r="M72" s="87">
        <v>2021</v>
      </c>
      <c r="N72" s="87">
        <v>0</v>
      </c>
      <c r="O72" s="87">
        <v>246.3</v>
      </c>
      <c r="P72" s="87"/>
    </row>
    <row r="73" spans="1:16" ht="11.25" customHeight="1" x14ac:dyDescent="0.25">
      <c r="A73" s="87">
        <v>72</v>
      </c>
      <c r="B73" s="87" t="s">
        <v>590</v>
      </c>
      <c r="C73" s="87" t="s">
        <v>22</v>
      </c>
      <c r="D73" s="87" t="s">
        <v>85</v>
      </c>
      <c r="E73" s="87" t="s">
        <v>24</v>
      </c>
      <c r="F73" s="87" t="s">
        <v>31</v>
      </c>
      <c r="G73" s="87" t="s">
        <v>25</v>
      </c>
      <c r="H73" s="87" t="s">
        <v>25</v>
      </c>
      <c r="I73" s="87" t="s">
        <v>25</v>
      </c>
      <c r="J73" s="87" t="s">
        <v>684</v>
      </c>
      <c r="K73" s="87" t="s">
        <v>685</v>
      </c>
      <c r="L73" s="87" t="s">
        <v>82</v>
      </c>
      <c r="M73" s="87">
        <v>2021</v>
      </c>
      <c r="N73" s="87">
        <v>0</v>
      </c>
      <c r="O73" s="87">
        <v>258.20999999999998</v>
      </c>
      <c r="P73" s="87"/>
    </row>
    <row r="74" spans="1:16" ht="11.25" customHeight="1" x14ac:dyDescent="0.25">
      <c r="A74" s="87">
        <v>73</v>
      </c>
      <c r="B74" s="87" t="s">
        <v>590</v>
      </c>
      <c r="C74" s="87" t="s">
        <v>42</v>
      </c>
      <c r="D74" s="87" t="s">
        <v>81</v>
      </c>
      <c r="E74" s="87" t="s">
        <v>43</v>
      </c>
      <c r="F74" s="87" t="s">
        <v>97</v>
      </c>
      <c r="G74" s="87" t="s">
        <v>25</v>
      </c>
      <c r="H74" s="87" t="s">
        <v>25</v>
      </c>
      <c r="I74" s="87" t="s">
        <v>33</v>
      </c>
      <c r="J74" s="87" t="s">
        <v>684</v>
      </c>
      <c r="K74" s="87" t="s">
        <v>685</v>
      </c>
      <c r="L74" s="87" t="s">
        <v>82</v>
      </c>
      <c r="M74" s="87">
        <v>2021</v>
      </c>
      <c r="N74" s="87">
        <v>0</v>
      </c>
      <c r="O74" s="87">
        <v>326.93</v>
      </c>
      <c r="P74" s="87"/>
    </row>
    <row r="75" spans="1:16" ht="11.25" customHeight="1" x14ac:dyDescent="0.25">
      <c r="A75" s="87">
        <v>74</v>
      </c>
      <c r="B75" s="87" t="s">
        <v>590</v>
      </c>
      <c r="C75" s="87" t="s">
        <v>42</v>
      </c>
      <c r="D75" s="87" t="s">
        <v>81</v>
      </c>
      <c r="E75" s="87" t="s">
        <v>43</v>
      </c>
      <c r="F75" s="87" t="s">
        <v>25</v>
      </c>
      <c r="G75" s="87" t="s">
        <v>25</v>
      </c>
      <c r="H75" s="87" t="s">
        <v>25</v>
      </c>
      <c r="I75" s="87" t="s">
        <v>34</v>
      </c>
      <c r="J75" s="87" t="s">
        <v>684</v>
      </c>
      <c r="K75" s="87" t="s">
        <v>685</v>
      </c>
      <c r="L75" s="87" t="s">
        <v>82</v>
      </c>
      <c r="M75" s="87">
        <v>2021</v>
      </c>
      <c r="N75" s="87">
        <v>0</v>
      </c>
      <c r="O75" s="87">
        <v>216.75</v>
      </c>
      <c r="P75" s="87"/>
    </row>
    <row r="76" spans="1:16" ht="11.25" customHeight="1" x14ac:dyDescent="0.25">
      <c r="A76" s="87">
        <v>75</v>
      </c>
      <c r="B76" s="87" t="s">
        <v>590</v>
      </c>
      <c r="C76" s="87" t="s">
        <v>36</v>
      </c>
      <c r="D76" s="87" t="s">
        <v>81</v>
      </c>
      <c r="E76" s="87" t="s">
        <v>25</v>
      </c>
      <c r="F76" s="87" t="s">
        <v>25</v>
      </c>
      <c r="G76" s="87" t="s">
        <v>25</v>
      </c>
      <c r="H76" s="87" t="s">
        <v>25</v>
      </c>
      <c r="I76" s="87" t="s">
        <v>33</v>
      </c>
      <c r="J76" s="87" t="s">
        <v>684</v>
      </c>
      <c r="K76" s="87" t="s">
        <v>685</v>
      </c>
      <c r="L76" s="87" t="s">
        <v>82</v>
      </c>
      <c r="M76" s="87">
        <v>2021</v>
      </c>
      <c r="N76" s="87">
        <v>0</v>
      </c>
      <c r="O76" s="87">
        <v>389.21</v>
      </c>
      <c r="P76" s="87"/>
    </row>
    <row r="77" spans="1:16" ht="11.25" customHeight="1" x14ac:dyDescent="0.25">
      <c r="A77" s="87">
        <v>76</v>
      </c>
      <c r="B77" s="87" t="s">
        <v>590</v>
      </c>
      <c r="C77" s="87" t="s">
        <v>42</v>
      </c>
      <c r="D77" s="87" t="s">
        <v>85</v>
      </c>
      <c r="E77" s="87" t="s">
        <v>43</v>
      </c>
      <c r="F77" s="87" t="s">
        <v>96</v>
      </c>
      <c r="G77" s="87" t="s">
        <v>25</v>
      </c>
      <c r="H77" s="87" t="s">
        <v>25</v>
      </c>
      <c r="I77" s="87" t="s">
        <v>25</v>
      </c>
      <c r="J77" s="87" t="s">
        <v>684</v>
      </c>
      <c r="K77" s="87" t="s">
        <v>685</v>
      </c>
      <c r="L77" s="87" t="s">
        <v>82</v>
      </c>
      <c r="M77" s="87">
        <v>2021</v>
      </c>
      <c r="N77" s="87">
        <v>0</v>
      </c>
      <c r="O77" s="87">
        <v>227.23</v>
      </c>
      <c r="P77" s="87"/>
    </row>
    <row r="78" spans="1:16" ht="11.25" customHeight="1" x14ac:dyDescent="0.25">
      <c r="A78" s="87">
        <v>77</v>
      </c>
      <c r="B78" s="87" t="s">
        <v>590</v>
      </c>
      <c r="C78" s="87" t="s">
        <v>22</v>
      </c>
      <c r="D78" s="87" t="s">
        <v>94</v>
      </c>
      <c r="E78" s="87" t="s">
        <v>24</v>
      </c>
      <c r="F78" s="87" t="s">
        <v>28</v>
      </c>
      <c r="G78" s="87" t="s">
        <v>25</v>
      </c>
      <c r="H78" s="87" t="s">
        <v>25</v>
      </c>
      <c r="I78" s="87" t="s">
        <v>25</v>
      </c>
      <c r="J78" s="87" t="s">
        <v>684</v>
      </c>
      <c r="K78" s="87" t="s">
        <v>685</v>
      </c>
      <c r="L78" s="87" t="s">
        <v>82</v>
      </c>
      <c r="M78" s="87">
        <v>2021</v>
      </c>
      <c r="N78" s="87">
        <v>0</v>
      </c>
      <c r="O78" s="87">
        <v>90.37</v>
      </c>
      <c r="P78" s="87"/>
    </row>
    <row r="79" spans="1:16" ht="11.25" customHeight="1" x14ac:dyDescent="0.25">
      <c r="A79" s="87">
        <v>78</v>
      </c>
      <c r="B79" s="87" t="s">
        <v>590</v>
      </c>
      <c r="C79" s="87" t="s">
        <v>42</v>
      </c>
      <c r="D79" s="87" t="s">
        <v>94</v>
      </c>
      <c r="E79" s="87" t="s">
        <v>43</v>
      </c>
      <c r="F79" s="87" t="s">
        <v>25</v>
      </c>
      <c r="G79" s="87" t="s">
        <v>25</v>
      </c>
      <c r="H79" s="87" t="s">
        <v>25</v>
      </c>
      <c r="I79" s="87" t="s">
        <v>25</v>
      </c>
      <c r="J79" s="87" t="s">
        <v>684</v>
      </c>
      <c r="K79" s="87" t="s">
        <v>685</v>
      </c>
      <c r="L79" s="87" t="s">
        <v>82</v>
      </c>
      <c r="M79" s="87">
        <v>2021</v>
      </c>
      <c r="N79" s="87">
        <v>0</v>
      </c>
      <c r="O79" s="87">
        <v>227.23</v>
      </c>
      <c r="P79" s="87"/>
    </row>
    <row r="80" spans="1:16" ht="11.25" customHeight="1" x14ac:dyDescent="0.25">
      <c r="A80" s="87">
        <v>79</v>
      </c>
      <c r="B80" s="87" t="s">
        <v>590</v>
      </c>
      <c r="C80" s="87" t="s">
        <v>42</v>
      </c>
      <c r="D80" s="87" t="s">
        <v>81</v>
      </c>
      <c r="E80" s="87" t="s">
        <v>43</v>
      </c>
      <c r="F80" s="87" t="s">
        <v>96</v>
      </c>
      <c r="G80" s="87" t="s">
        <v>25</v>
      </c>
      <c r="H80" s="87" t="s">
        <v>25</v>
      </c>
      <c r="I80" s="87" t="s">
        <v>35</v>
      </c>
      <c r="J80" s="87" t="s">
        <v>684</v>
      </c>
      <c r="K80" s="87" t="s">
        <v>685</v>
      </c>
      <c r="L80" s="87" t="s">
        <v>82</v>
      </c>
      <c r="M80" s="87">
        <v>2021</v>
      </c>
      <c r="N80" s="87">
        <v>0</v>
      </c>
      <c r="O80" s="87">
        <v>216.75</v>
      </c>
      <c r="P80" s="87"/>
    </row>
    <row r="81" spans="1:16" ht="11.25" customHeight="1" x14ac:dyDescent="0.25">
      <c r="A81" s="87">
        <v>80</v>
      </c>
      <c r="B81" s="87" t="s">
        <v>590</v>
      </c>
      <c r="C81" s="87" t="s">
        <v>36</v>
      </c>
      <c r="D81" s="87" t="s">
        <v>85</v>
      </c>
      <c r="E81" s="87" t="s">
        <v>25</v>
      </c>
      <c r="F81" s="87" t="s">
        <v>25</v>
      </c>
      <c r="G81" s="87" t="s">
        <v>25</v>
      </c>
      <c r="H81" s="87" t="s">
        <v>25</v>
      </c>
      <c r="I81" s="87" t="s">
        <v>25</v>
      </c>
      <c r="J81" s="87" t="s">
        <v>684</v>
      </c>
      <c r="K81" s="87" t="s">
        <v>685</v>
      </c>
      <c r="L81" s="87" t="s">
        <v>82</v>
      </c>
      <c r="M81" s="87">
        <v>2021</v>
      </c>
      <c r="N81" s="87">
        <v>0</v>
      </c>
      <c r="O81" s="87">
        <v>258.20999999999998</v>
      </c>
      <c r="P81" s="87"/>
    </row>
    <row r="82" spans="1:16" ht="11.25" customHeight="1" x14ac:dyDescent="0.25">
      <c r="A82" s="87">
        <v>81</v>
      </c>
      <c r="B82" s="87" t="s">
        <v>590</v>
      </c>
      <c r="C82" s="87" t="s">
        <v>36</v>
      </c>
      <c r="D82" s="87" t="s">
        <v>94</v>
      </c>
      <c r="E82" s="87" t="s">
        <v>25</v>
      </c>
      <c r="F82" s="87" t="s">
        <v>25</v>
      </c>
      <c r="G82" s="87" t="s">
        <v>25</v>
      </c>
      <c r="H82" s="87" t="s">
        <v>25</v>
      </c>
      <c r="I82" s="87" t="s">
        <v>25</v>
      </c>
      <c r="J82" s="87" t="s">
        <v>684</v>
      </c>
      <c r="K82" s="87" t="s">
        <v>685</v>
      </c>
      <c r="L82" s="87" t="s">
        <v>82</v>
      </c>
      <c r="M82" s="87">
        <v>2021</v>
      </c>
      <c r="N82" s="87">
        <v>0</v>
      </c>
      <c r="O82" s="87">
        <v>258.20999999999998</v>
      </c>
      <c r="P82" s="87"/>
    </row>
    <row r="83" spans="1:16" ht="11.25" customHeight="1" x14ac:dyDescent="0.25">
      <c r="A83" s="87">
        <v>82</v>
      </c>
      <c r="B83" s="87" t="s">
        <v>590</v>
      </c>
      <c r="C83" s="87" t="s">
        <v>45</v>
      </c>
      <c r="D83" s="87" t="s">
        <v>85</v>
      </c>
      <c r="E83" s="87" t="s">
        <v>46</v>
      </c>
      <c r="F83" s="87" t="s">
        <v>47</v>
      </c>
      <c r="G83" s="87" t="s">
        <v>25</v>
      </c>
      <c r="H83" s="87" t="s">
        <v>25</v>
      </c>
      <c r="I83" s="87" t="s">
        <v>25</v>
      </c>
      <c r="J83" s="87" t="s">
        <v>684</v>
      </c>
      <c r="K83" s="87" t="s">
        <v>685</v>
      </c>
      <c r="L83" s="87" t="s">
        <v>82</v>
      </c>
      <c r="M83" s="87">
        <v>2021</v>
      </c>
      <c r="N83" s="87">
        <v>0</v>
      </c>
      <c r="O83" s="87">
        <v>142.02000000000001</v>
      </c>
      <c r="P83" s="87"/>
    </row>
    <row r="84" spans="1:16" ht="11.25" customHeight="1" x14ac:dyDescent="0.25">
      <c r="A84" s="87">
        <v>83</v>
      </c>
      <c r="B84" s="87" t="s">
        <v>590</v>
      </c>
      <c r="C84" s="87" t="s">
        <v>45</v>
      </c>
      <c r="D84" s="87" t="s">
        <v>85</v>
      </c>
      <c r="E84" s="87" t="s">
        <v>46</v>
      </c>
      <c r="F84" s="87" t="s">
        <v>98</v>
      </c>
      <c r="G84" s="87" t="s">
        <v>25</v>
      </c>
      <c r="H84" s="87" t="s">
        <v>25</v>
      </c>
      <c r="I84" s="87" t="s">
        <v>25</v>
      </c>
      <c r="J84" s="87" t="s">
        <v>684</v>
      </c>
      <c r="K84" s="87" t="s">
        <v>685</v>
      </c>
      <c r="L84" s="87" t="s">
        <v>82</v>
      </c>
      <c r="M84" s="87">
        <v>2021</v>
      </c>
      <c r="N84" s="87">
        <v>0</v>
      </c>
      <c r="O84" s="87">
        <v>154.93</v>
      </c>
      <c r="P84" s="87"/>
    </row>
    <row r="85" spans="1:16" ht="11.25" customHeight="1" x14ac:dyDescent="0.25">
      <c r="A85" s="87">
        <v>84</v>
      </c>
      <c r="B85" s="87" t="s">
        <v>590</v>
      </c>
      <c r="C85" s="87" t="s">
        <v>42</v>
      </c>
      <c r="D85" s="87" t="s">
        <v>81</v>
      </c>
      <c r="E85" s="87" t="s">
        <v>43</v>
      </c>
      <c r="F85" s="87" t="s">
        <v>97</v>
      </c>
      <c r="G85" s="87" t="s">
        <v>25</v>
      </c>
      <c r="H85" s="87" t="s">
        <v>25</v>
      </c>
      <c r="I85" s="87" t="s">
        <v>34</v>
      </c>
      <c r="J85" s="87" t="s">
        <v>684</v>
      </c>
      <c r="K85" s="87" t="s">
        <v>685</v>
      </c>
      <c r="L85" s="87" t="s">
        <v>82</v>
      </c>
      <c r="M85" s="87">
        <v>2021</v>
      </c>
      <c r="N85" s="87">
        <v>0</v>
      </c>
      <c r="O85" s="87">
        <v>206.89</v>
      </c>
      <c r="P85" s="87"/>
    </row>
    <row r="86" spans="1:16" ht="11.25" customHeight="1" x14ac:dyDescent="0.25">
      <c r="A86" s="87">
        <v>85</v>
      </c>
      <c r="B86" s="87" t="s">
        <v>590</v>
      </c>
      <c r="C86" s="87" t="s">
        <v>42</v>
      </c>
      <c r="D86" s="87" t="s">
        <v>81</v>
      </c>
      <c r="E86" s="87" t="s">
        <v>43</v>
      </c>
      <c r="F86" s="87" t="s">
        <v>97</v>
      </c>
      <c r="G86" s="87" t="s">
        <v>25</v>
      </c>
      <c r="H86" s="87" t="s">
        <v>25</v>
      </c>
      <c r="I86" s="87" t="s">
        <v>35</v>
      </c>
      <c r="J86" s="87" t="s">
        <v>684</v>
      </c>
      <c r="K86" s="87" t="s">
        <v>685</v>
      </c>
      <c r="L86" s="87" t="s">
        <v>82</v>
      </c>
      <c r="M86" s="87">
        <v>2021</v>
      </c>
      <c r="N86" s="87">
        <v>0</v>
      </c>
      <c r="O86" s="87">
        <v>206.89</v>
      </c>
      <c r="P86" s="87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B6ECB-50D8-4F15-97A2-3E3FFAA9918C}">
  <dimension ref="A1:AD50"/>
  <sheetViews>
    <sheetView showGridLines="0" workbookViewId="0">
      <selection sqref="A1:W50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71</v>
      </c>
      <c r="B1" s="10" t="s">
        <v>72</v>
      </c>
      <c r="C1" s="10" t="s">
        <v>73</v>
      </c>
      <c r="D1" s="10" t="s">
        <v>74</v>
      </c>
      <c r="E1" s="10" t="s">
        <v>75</v>
      </c>
      <c r="F1" s="10" t="s">
        <v>76</v>
      </c>
      <c r="G1" s="10" t="s">
        <v>77</v>
      </c>
      <c r="H1" s="10" t="s">
        <v>78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79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2" t="s">
        <v>62</v>
      </c>
      <c r="B2" s="12" t="s">
        <v>59</v>
      </c>
      <c r="C2" s="12" t="s">
        <v>25</v>
      </c>
      <c r="D2" s="12" t="s">
        <v>25</v>
      </c>
      <c r="E2" s="12" t="s">
        <v>25</v>
      </c>
      <c r="F2" s="12" t="s">
        <v>25</v>
      </c>
      <c r="G2" s="13" t="s">
        <v>9</v>
      </c>
      <c r="H2" s="13" t="s">
        <v>80</v>
      </c>
      <c r="I2" s="13">
        <f>SUMIF(Mercado_Receita!$S$2:$S$921,"44378A3GeraçãoNão se aplicaNão se aplicaNão se aplicaNão se aplicaNão se aplica",Mercado_Receita!$J$2:$J$921)+SUMIF(Mercado_Receita!$S$2:$S$921,"44378A3GeraçãoNão se aplicaNão se aplicaAPENão se aplicaNão se aplica",Mercado_Receita!$J$2:$J$921)</f>
        <v>2300</v>
      </c>
      <c r="J2" s="13">
        <f>SUMIF(Mercado_Receita!$S$2:$S$921,"44409A3GeraçãoNão se aplicaNão se aplicaNão se aplicaNão se aplicaNão se aplica",Mercado_Receita!$J$2:$J$921)+SUMIF(Mercado_Receita!$S$2:$S$921,"44409A3GeraçãoNão se aplicaNão se aplicaAPENão se aplicaNão se aplica",Mercado_Receita!$J$2:$J$921)</f>
        <v>2300</v>
      </c>
      <c r="K2" s="13">
        <f>SUMIF(Mercado_Receita!$S$2:$S$921,"44440A3GeraçãoNão se aplicaNão se aplicaNão se aplicaNão se aplicaNão se aplica",Mercado_Receita!$J$2:$J$921)+SUMIF(Mercado_Receita!$S$2:$S$921,"44440A3GeraçãoNão se aplicaNão se aplicaAPENão se aplicaNão se aplica",Mercado_Receita!$J$2:$J$921)</f>
        <v>2300</v>
      </c>
      <c r="L2" s="13">
        <f>SUMIF(Mercado_Receita!$S$2:$S$921,"44470A3GeraçãoNão se aplicaNão se aplicaNão se aplicaNão se aplicaNão se aplica",Mercado_Receita!$J$2:$J$921)+SUMIF(Mercado_Receita!$S$2:$S$921,"44470A3GeraçãoNão se aplicaNão se aplicaAPENão se aplicaNão se aplica",Mercado_Receita!$J$2:$J$921)</f>
        <v>2300</v>
      </c>
      <c r="M2" s="13">
        <f>SUMIF(Mercado_Receita!$S$2:$S$921,"44501A3GeraçãoNão se aplicaNão se aplicaNão se aplicaNão se aplicaNão se aplica",Mercado_Receita!$J$2:$J$921)+SUMIF(Mercado_Receita!$S$2:$S$921,"44501A3GeraçãoNão se aplicaNão se aplicaAPENão se aplicaNão se aplica",Mercado_Receita!$J$2:$J$921)</f>
        <v>2300</v>
      </c>
      <c r="N2" s="13">
        <f>SUMIF(Mercado_Receita!$S$2:$S$921,"44531A3GeraçãoNão se aplicaNão se aplicaNão se aplicaNão se aplicaNão se aplica",Mercado_Receita!$J$2:$J$921)+SUMIF(Mercado_Receita!$S$2:$S$921,"44531A3GeraçãoNão se aplicaNão se aplicaAPENão se aplicaNão se aplica",Mercado_Receita!$J$2:$J$921)</f>
        <v>2300</v>
      </c>
      <c r="O2" s="13">
        <f>SUMIF(Mercado_Receita!$S$2:$S$921,"44562A3GeraçãoNão se aplicaNão se aplicaNão se aplicaNão se aplicaNão se aplica",Mercado_Receita!$J$2:$J$921)+SUMIF(Mercado_Receita!$S$2:$S$921,"44562A3GeraçãoNão se aplicaNão se aplicaAPENão se aplicaNão se aplica",Mercado_Receita!$J$2:$J$921)</f>
        <v>2300</v>
      </c>
      <c r="P2" s="13">
        <f>SUMIF(Mercado_Receita!$S$2:$S$921,"44593A3GeraçãoNão se aplicaNão se aplicaNão se aplicaNão se aplicaNão se aplica",Mercado_Receita!$J$2:$J$921)+SUMIF(Mercado_Receita!$S$2:$S$921,"44593A3GeraçãoNão se aplicaNão se aplicaAPENão se aplicaNão se aplica",Mercado_Receita!$J$2:$J$921)</f>
        <v>2300</v>
      </c>
      <c r="Q2" s="13">
        <f>SUMIF(Mercado_Receita!$S$2:$S$921,"44621A3GeraçãoNão se aplicaNão se aplicaNão se aplicaNão se aplicaNão se aplica",Mercado_Receita!$J$2:$J$921)+SUMIF(Mercado_Receita!$S$2:$S$921,"44621A3GeraçãoNão se aplicaNão se aplicaAPENão se aplicaNão se aplica",Mercado_Receita!$J$2:$J$921)</f>
        <v>2300</v>
      </c>
      <c r="R2" s="13">
        <f>SUMIF(Mercado_Receita!$S$2:$S$921,"44652A3GeraçãoNão se aplicaNão se aplicaNão se aplicaNão se aplicaNão se aplica",Mercado_Receita!$J$2:$J$921)+SUMIF(Mercado_Receita!$S$2:$S$921,"44652A3GeraçãoNão se aplicaNão se aplicaAPENão se aplicaNão se aplica",Mercado_Receita!$J$2:$J$921)</f>
        <v>2300</v>
      </c>
      <c r="S2" s="13">
        <f>SUMIF(Mercado_Receita!$S$2:$S$921,"44682A3GeraçãoNão se aplicaNão se aplicaNão se aplicaNão se aplicaNão se aplica",Mercado_Receita!$J$2:$J$921)+SUMIF(Mercado_Receita!$S$2:$S$921,"44682A3GeraçãoNão se aplicaNão se aplicaAPENão se aplicaNão se aplica",Mercado_Receita!$J$2:$J$921)</f>
        <v>2300</v>
      </c>
      <c r="T2" s="13">
        <f>SUMIF(Mercado_Receita!$S$2:$S$921,"44713A3GeraçãoNão se aplicaNão se aplicaNão se aplicaNão se aplicaNão se aplica",Mercado_Receita!$J$2:$J$921)+SUMIF(Mercado_Receita!$S$2:$S$921,"44713A3GeraçãoNão se aplicaNão se aplicaAPENão se aplicaNão se aplica",Mercado_Receita!$J$2:$J$921)</f>
        <v>2300</v>
      </c>
      <c r="U2" s="13">
        <f t="shared" ref="U2:U49" si="0">SUM(I2:T2)</f>
        <v>27600</v>
      </c>
      <c r="V2" s="13"/>
      <c r="W2" s="13"/>
    </row>
    <row r="3" spans="1:30" ht="11.25" customHeight="1" x14ac:dyDescent="0.25">
      <c r="A3" s="116" t="s">
        <v>38</v>
      </c>
      <c r="B3" s="116" t="s">
        <v>39</v>
      </c>
      <c r="C3" s="116" t="s">
        <v>25</v>
      </c>
      <c r="D3" s="116" t="s">
        <v>25</v>
      </c>
      <c r="E3" s="116" t="s">
        <v>25</v>
      </c>
      <c r="F3" s="116" t="s">
        <v>25</v>
      </c>
      <c r="G3" s="13" t="s">
        <v>87</v>
      </c>
      <c r="H3" s="13" t="s">
        <v>80</v>
      </c>
      <c r="I3" s="13">
        <f>SUMIF(Mercado_Receita!$S$2:$S$921,"44378A4AzulNão se aplicaNão se aplicaNão se aplicaNão se aplicaPonta",Mercado_Receita!$J$2:$J$921)+SUMIF(Mercado_Receita!$S$2:$S$921,"44378A4AzulNão se aplicaNão se aplicaAPENão se aplicaPonta",Mercado_Receita!$J$2:$J$921)</f>
        <v>6090</v>
      </c>
      <c r="J3" s="13">
        <f>SUMIF(Mercado_Receita!$S$2:$S$921,"44409A4AzulNão se aplicaNão se aplicaNão se aplicaNão se aplicaPonta",Mercado_Receita!$J$2:$J$921)+SUMIF(Mercado_Receita!$S$2:$S$921,"44409A4AzulNão se aplicaNão se aplicaAPENão se aplicaPonta",Mercado_Receita!$J$2:$J$921)</f>
        <v>6144</v>
      </c>
      <c r="K3" s="13">
        <f>SUMIF(Mercado_Receita!$S$2:$S$921,"44440A4AzulNão se aplicaNão se aplicaNão se aplicaNão se aplicaPonta",Mercado_Receita!$J$2:$J$921)+SUMIF(Mercado_Receita!$S$2:$S$921,"44440A4AzulNão se aplicaNão se aplicaAPENão se aplicaPonta",Mercado_Receita!$J$2:$J$921)</f>
        <v>6149</v>
      </c>
      <c r="L3" s="13">
        <f>SUMIF(Mercado_Receita!$S$2:$S$921,"44470A4AzulNão se aplicaNão se aplicaNão se aplicaNão se aplicaPonta",Mercado_Receita!$J$2:$J$921)+SUMIF(Mercado_Receita!$S$2:$S$921,"44470A4AzulNão se aplicaNão se aplicaAPENão se aplicaPonta",Mercado_Receita!$J$2:$J$921)</f>
        <v>6168</v>
      </c>
      <c r="M3" s="13">
        <f>SUMIF(Mercado_Receita!$S$2:$S$921,"44501A4AzulNão se aplicaNão se aplicaNão se aplicaNão se aplicaPonta",Mercado_Receita!$J$2:$J$921)+SUMIF(Mercado_Receita!$S$2:$S$921,"44501A4AzulNão se aplicaNão se aplicaAPENão se aplicaPonta",Mercado_Receita!$J$2:$J$921)</f>
        <v>6178</v>
      </c>
      <c r="N3" s="13">
        <f>SUMIF(Mercado_Receita!$S$2:$S$921,"44531A4AzulNão se aplicaNão se aplicaNão se aplicaNão se aplicaPonta",Mercado_Receita!$J$2:$J$921)+SUMIF(Mercado_Receita!$S$2:$S$921,"44531A4AzulNão se aplicaNão se aplicaAPENão se aplicaPonta",Mercado_Receita!$J$2:$J$921)</f>
        <v>6226</v>
      </c>
      <c r="O3" s="13">
        <f>SUMIF(Mercado_Receita!$S$2:$S$921,"44562A4AzulNão se aplicaNão se aplicaNão se aplicaNão se aplicaPonta",Mercado_Receita!$J$2:$J$921)+SUMIF(Mercado_Receita!$S$2:$S$921,"44562A4AzulNão se aplicaNão se aplicaAPENão se aplicaPonta",Mercado_Receita!$J$2:$J$921)</f>
        <v>6279</v>
      </c>
      <c r="P3" s="13">
        <f>SUMIF(Mercado_Receita!$S$2:$S$921,"44593A4AzulNão se aplicaNão se aplicaNão se aplicaNão se aplicaPonta",Mercado_Receita!$J$2:$J$921)+SUMIF(Mercado_Receita!$S$2:$S$921,"44593A4AzulNão se aplicaNão se aplicaAPENão se aplicaPonta",Mercado_Receita!$J$2:$J$921)</f>
        <v>6288</v>
      </c>
      <c r="Q3" s="13">
        <f>SUMIF(Mercado_Receita!$S$2:$S$921,"44621A4AzulNão se aplicaNão se aplicaNão se aplicaNão se aplicaPonta",Mercado_Receita!$J$2:$J$921)+SUMIF(Mercado_Receita!$S$2:$S$921,"44621A4AzulNão se aplicaNão se aplicaAPENão se aplicaPonta",Mercado_Receita!$J$2:$J$921)</f>
        <v>6264</v>
      </c>
      <c r="R3" s="13">
        <f>SUMIF(Mercado_Receita!$S$2:$S$921,"44652A4AzulNão se aplicaNão se aplicaNão se aplicaNão se aplicaPonta",Mercado_Receita!$J$2:$J$921)+SUMIF(Mercado_Receita!$S$2:$S$921,"44652A4AzulNão se aplicaNão se aplicaAPENão se aplicaPonta",Mercado_Receita!$J$2:$J$921)</f>
        <v>6200</v>
      </c>
      <c r="S3" s="13">
        <f>SUMIF(Mercado_Receita!$S$2:$S$921,"44682A4AzulNão se aplicaNão se aplicaNão se aplicaNão se aplicaPonta",Mercado_Receita!$J$2:$J$921)+SUMIF(Mercado_Receita!$S$2:$S$921,"44682A4AzulNão se aplicaNão se aplicaAPENão se aplicaPonta",Mercado_Receita!$J$2:$J$921)</f>
        <v>6272</v>
      </c>
      <c r="T3" s="13">
        <f>SUMIF(Mercado_Receita!$S$2:$S$921,"44713A4AzulNão se aplicaNão se aplicaNão se aplicaNão se aplicaPonta",Mercado_Receita!$J$2:$J$921)+SUMIF(Mercado_Receita!$S$2:$S$921,"44713A4AzulNão se aplicaNão se aplicaAPENão se aplicaPonta",Mercado_Receita!$J$2:$J$921)</f>
        <v>6272</v>
      </c>
      <c r="U3" s="13">
        <f t="shared" si="0"/>
        <v>74530</v>
      </c>
      <c r="V3" s="13"/>
      <c r="W3" s="13"/>
    </row>
    <row r="4" spans="1:30" ht="11.25" customHeight="1" x14ac:dyDescent="0.25">
      <c r="A4" s="117"/>
      <c r="B4" s="117"/>
      <c r="C4" s="117"/>
      <c r="D4" s="117"/>
      <c r="E4" s="117"/>
      <c r="F4" s="117"/>
      <c r="G4" s="13" t="s">
        <v>88</v>
      </c>
      <c r="H4" s="13" t="s">
        <v>80</v>
      </c>
      <c r="I4" s="13">
        <f>SUMIF(Mercado_Receita!$S$2:$S$921,"44378A4AzulNão se aplicaNão se aplicaNão se aplicaNão se aplicaFora ponta",Mercado_Receita!$J$2:$J$921)+SUMIF(Mercado_Receita!$S$2:$S$921,"44378A4AzulNão se aplicaNão se aplicaAPENão se aplicaFora ponta",Mercado_Receita!$J$2:$J$921)</f>
        <v>6460</v>
      </c>
      <c r="J4" s="13">
        <f>SUMIF(Mercado_Receita!$S$2:$S$921,"44409A4AzulNão se aplicaNão se aplicaNão se aplicaNão se aplicaFora ponta",Mercado_Receita!$J$2:$J$921)+SUMIF(Mercado_Receita!$S$2:$S$921,"44409A4AzulNão se aplicaNão se aplicaAPENão se aplicaFora ponta",Mercado_Receita!$J$2:$J$921)</f>
        <v>6488</v>
      </c>
      <c r="K4" s="13">
        <f>SUMIF(Mercado_Receita!$S$2:$S$921,"44440A4AzulNão se aplicaNão se aplicaNão se aplicaNão se aplicaFora ponta",Mercado_Receita!$J$2:$J$921)+SUMIF(Mercado_Receita!$S$2:$S$921,"44440A4AzulNão se aplicaNão se aplicaAPENão se aplicaFora ponta",Mercado_Receita!$J$2:$J$921)</f>
        <v>6460</v>
      </c>
      <c r="L4" s="13">
        <f>SUMIF(Mercado_Receita!$S$2:$S$921,"44470A4AzulNão se aplicaNão se aplicaNão se aplicaNão se aplicaFora ponta",Mercado_Receita!$J$2:$J$921)+SUMIF(Mercado_Receita!$S$2:$S$921,"44470A4AzulNão se aplicaNão se aplicaAPENão se aplicaFora ponta",Mercado_Receita!$J$2:$J$921)</f>
        <v>6478</v>
      </c>
      <c r="M4" s="13">
        <f>SUMIF(Mercado_Receita!$S$2:$S$921,"44501A4AzulNão se aplicaNão se aplicaNão se aplicaNão se aplicaFora ponta",Mercado_Receita!$J$2:$J$921)+SUMIF(Mercado_Receita!$S$2:$S$921,"44501A4AzulNão se aplicaNão se aplicaAPENão se aplicaFora ponta",Mercado_Receita!$J$2:$J$921)</f>
        <v>6535</v>
      </c>
      <c r="N4" s="13">
        <f>SUMIF(Mercado_Receita!$S$2:$S$921,"44531A4AzulNão se aplicaNão se aplicaNão se aplicaNão se aplicaFora ponta",Mercado_Receita!$J$2:$J$921)+SUMIF(Mercado_Receita!$S$2:$S$921,"44531A4AzulNão se aplicaNão se aplicaAPENão se aplicaFora ponta",Mercado_Receita!$J$2:$J$921)</f>
        <v>6570</v>
      </c>
      <c r="O4" s="13">
        <f>SUMIF(Mercado_Receita!$S$2:$S$921,"44562A4AzulNão se aplicaNão se aplicaNão se aplicaNão se aplicaFora ponta",Mercado_Receita!$J$2:$J$921)+SUMIF(Mercado_Receita!$S$2:$S$921,"44562A4AzulNão se aplicaNão se aplicaAPENão se aplicaFora ponta",Mercado_Receita!$J$2:$J$921)</f>
        <v>6654</v>
      </c>
      <c r="P4" s="13">
        <f>SUMIF(Mercado_Receita!$S$2:$S$921,"44593A4AzulNão se aplicaNão se aplicaNão se aplicaNão se aplicaFora ponta",Mercado_Receita!$J$2:$J$921)+SUMIF(Mercado_Receita!$S$2:$S$921,"44593A4AzulNão se aplicaNão se aplicaAPENão se aplicaFora ponta",Mercado_Receita!$J$2:$J$921)</f>
        <v>6592</v>
      </c>
      <c r="Q4" s="13">
        <f>SUMIF(Mercado_Receita!$S$2:$S$921,"44621A4AzulNão se aplicaNão se aplicaNão se aplicaNão se aplicaFora ponta",Mercado_Receita!$J$2:$J$921)+SUMIF(Mercado_Receita!$S$2:$S$921,"44621A4AzulNão se aplicaNão se aplicaAPENão se aplicaFora ponta",Mercado_Receita!$J$2:$J$921)</f>
        <v>6620</v>
      </c>
      <c r="R4" s="13">
        <f>SUMIF(Mercado_Receita!$S$2:$S$921,"44652A4AzulNão se aplicaNão se aplicaNão se aplicaNão se aplicaFora ponta",Mercado_Receita!$J$2:$J$921)+SUMIF(Mercado_Receita!$S$2:$S$921,"44652A4AzulNão se aplicaNão se aplicaAPENão se aplicaFora ponta",Mercado_Receita!$J$2:$J$921)</f>
        <v>6555</v>
      </c>
      <c r="S4" s="13">
        <f>SUMIF(Mercado_Receita!$S$2:$S$921,"44682A4AzulNão se aplicaNão se aplicaNão se aplicaNão se aplicaFora ponta",Mercado_Receita!$J$2:$J$921)+SUMIF(Mercado_Receita!$S$2:$S$921,"44682A4AzulNão se aplicaNão se aplicaAPENão se aplicaFora ponta",Mercado_Receita!$J$2:$J$921)</f>
        <v>6625</v>
      </c>
      <c r="T4" s="13">
        <f>SUMIF(Mercado_Receita!$S$2:$S$921,"44713A4AzulNão se aplicaNão se aplicaNão se aplicaNão se aplicaFora ponta",Mercado_Receita!$J$2:$J$921)+SUMIF(Mercado_Receita!$S$2:$S$921,"44713A4AzulNão se aplicaNão se aplicaAPENão se aplicaFora ponta",Mercado_Receita!$J$2:$J$921)</f>
        <v>6625</v>
      </c>
      <c r="U4" s="13">
        <f t="shared" si="0"/>
        <v>78662</v>
      </c>
      <c r="V4" s="13"/>
      <c r="W4" s="13"/>
    </row>
    <row r="5" spans="1:30" ht="11.25" customHeight="1" x14ac:dyDescent="0.25">
      <c r="A5" s="117"/>
      <c r="B5" s="117"/>
      <c r="C5" s="117"/>
      <c r="D5" s="117"/>
      <c r="E5" s="117"/>
      <c r="F5" s="117"/>
      <c r="G5" s="13" t="s">
        <v>86</v>
      </c>
      <c r="H5" s="13" t="s">
        <v>82</v>
      </c>
      <c r="I5" s="13">
        <f>SUMIF(Mercado_Receita!$S$2:$S$921,"44378A4AzulNão se aplicaNão se aplicaNão se aplicaNão se aplicaPonta",Mercado_Receita!$L$2:$L$921)+SUMIF(Mercado_Receita!$S$2:$S$921,"44378A4AzulNão se aplicaNão se aplicaNão se aplicaNão se aplicaFora ponta",Mercado_Receita!$L$2:$L$921)+SUMIF(Mercado_Receita!$S$2:$S$921,"44378A4AzulNão se aplicaNão se aplicaNão se aplicaNão se aplicaIntermediário",Mercado_Receita!$L$2:$L$921)+SUMIF(Mercado_Receita!$S$2:$S$921,"44378A4AzulNão se aplicaNão se aplicaNão se aplicaNão se aplicaNão se aplica",Mercado_Receita!$L$2:$L$921)</f>
        <v>2962.4349999999999</v>
      </c>
      <c r="J5" s="13">
        <f>SUMIF(Mercado_Receita!$S$2:$S$921,"44409A4AzulNão se aplicaNão se aplicaNão se aplicaNão se aplicaPonta",Mercado_Receita!$L$2:$L$921)+SUMIF(Mercado_Receita!$S$2:$S$921,"44409A4AzulNão se aplicaNão se aplicaNão se aplicaNão se aplicaFora ponta",Mercado_Receita!$L$2:$L$921)+SUMIF(Mercado_Receita!$S$2:$S$921,"44409A4AzulNão se aplicaNão se aplicaNão se aplicaNão se aplicaIntermediário",Mercado_Receita!$L$2:$L$921)+SUMIF(Mercado_Receita!$S$2:$S$921,"44409A4AzulNão se aplicaNão se aplicaNão se aplicaNão se aplicaNão se aplica",Mercado_Receita!$L$2:$L$921)</f>
        <v>3028.2849999999999</v>
      </c>
      <c r="K5" s="13">
        <f>SUMIF(Mercado_Receita!$S$2:$S$921,"44440A4AzulNão se aplicaNão se aplicaNão se aplicaNão se aplicaPonta",Mercado_Receita!$L$2:$L$921)+SUMIF(Mercado_Receita!$S$2:$S$921,"44440A4AzulNão se aplicaNão se aplicaNão se aplicaNão se aplicaFora ponta",Mercado_Receita!$L$2:$L$921)+SUMIF(Mercado_Receita!$S$2:$S$921,"44440A4AzulNão se aplicaNão se aplicaNão se aplicaNão se aplicaIntermediário",Mercado_Receita!$L$2:$L$921)+SUMIF(Mercado_Receita!$S$2:$S$921,"44440A4AzulNão se aplicaNão se aplicaNão se aplicaNão se aplicaNão se aplica",Mercado_Receita!$L$2:$L$921)</f>
        <v>2967.5450000000001</v>
      </c>
      <c r="L5" s="13">
        <f>SUMIF(Mercado_Receita!$S$2:$S$921,"44470A4AzulNão se aplicaNão se aplicaNão se aplicaNão se aplicaPonta",Mercado_Receita!$L$2:$L$921)+SUMIF(Mercado_Receita!$S$2:$S$921,"44470A4AzulNão se aplicaNão se aplicaNão se aplicaNão se aplicaFora ponta",Mercado_Receita!$L$2:$L$921)+SUMIF(Mercado_Receita!$S$2:$S$921,"44470A4AzulNão se aplicaNão se aplicaNão se aplicaNão se aplicaIntermediário",Mercado_Receita!$L$2:$L$921)+SUMIF(Mercado_Receita!$S$2:$S$921,"44470A4AzulNão se aplicaNão se aplicaNão se aplicaNão se aplicaNão se aplica",Mercado_Receita!$L$2:$L$921)</f>
        <v>2925.0590000000002</v>
      </c>
      <c r="M5" s="13">
        <f>SUMIF(Mercado_Receita!$S$2:$S$921,"44501A4AzulNão se aplicaNão se aplicaNão se aplicaNão se aplicaPonta",Mercado_Receita!$L$2:$L$921)+SUMIF(Mercado_Receita!$S$2:$S$921,"44501A4AzulNão se aplicaNão se aplicaNão se aplicaNão se aplicaFora ponta",Mercado_Receita!$L$2:$L$921)+SUMIF(Mercado_Receita!$S$2:$S$921,"44501A4AzulNão se aplicaNão se aplicaNão se aplicaNão se aplicaIntermediário",Mercado_Receita!$L$2:$L$921)+SUMIF(Mercado_Receita!$S$2:$S$921,"44501A4AzulNão se aplicaNão se aplicaNão se aplicaNão se aplicaNão se aplica",Mercado_Receita!$L$2:$L$921)</f>
        <v>2931.6060000000002</v>
      </c>
      <c r="N5" s="13">
        <f>SUMIF(Mercado_Receita!$S$2:$S$921,"44531A4AzulNão se aplicaNão se aplicaNão se aplicaNão se aplicaPonta",Mercado_Receita!$L$2:$L$921)+SUMIF(Mercado_Receita!$S$2:$S$921,"44531A4AzulNão se aplicaNão se aplicaNão se aplicaNão se aplicaFora ponta",Mercado_Receita!$L$2:$L$921)+SUMIF(Mercado_Receita!$S$2:$S$921,"44531A4AzulNão se aplicaNão se aplicaNão se aplicaNão se aplicaIntermediário",Mercado_Receita!$L$2:$L$921)+SUMIF(Mercado_Receita!$S$2:$S$921,"44531A4AzulNão se aplicaNão se aplicaNão se aplicaNão se aplicaNão se aplica",Mercado_Receita!$L$2:$L$921)</f>
        <v>3257.5460000000003</v>
      </c>
      <c r="O5" s="13">
        <f>SUMIF(Mercado_Receita!$S$2:$S$921,"44562A4AzulNão se aplicaNão se aplicaNão se aplicaNão se aplicaPonta",Mercado_Receita!$L$2:$L$921)+SUMIF(Mercado_Receita!$S$2:$S$921,"44562A4AzulNão se aplicaNão se aplicaNão se aplicaNão se aplicaFora ponta",Mercado_Receita!$L$2:$L$921)+SUMIF(Mercado_Receita!$S$2:$S$921,"44562A4AzulNão se aplicaNão se aplicaNão se aplicaNão se aplicaIntermediário",Mercado_Receita!$L$2:$L$921)+SUMIF(Mercado_Receita!$S$2:$S$921,"44562A4AzulNão se aplicaNão se aplicaNão se aplicaNão se aplicaNão se aplica",Mercado_Receita!$L$2:$L$921)</f>
        <v>3276.94</v>
      </c>
      <c r="P5" s="13">
        <f>SUMIF(Mercado_Receita!$S$2:$S$921,"44593A4AzulNão se aplicaNão se aplicaNão se aplicaNão se aplicaPonta",Mercado_Receita!$L$2:$L$921)+SUMIF(Mercado_Receita!$S$2:$S$921,"44593A4AzulNão se aplicaNão se aplicaNão se aplicaNão se aplicaFora ponta",Mercado_Receita!$L$2:$L$921)+SUMIF(Mercado_Receita!$S$2:$S$921,"44593A4AzulNão se aplicaNão se aplicaNão se aplicaNão se aplicaIntermediário",Mercado_Receita!$L$2:$L$921)+SUMIF(Mercado_Receita!$S$2:$S$921,"44593A4AzulNão se aplicaNão se aplicaNão se aplicaNão se aplicaNão se aplica",Mercado_Receita!$L$2:$L$921)</f>
        <v>2911.4349999999999</v>
      </c>
      <c r="Q5" s="13">
        <f>SUMIF(Mercado_Receita!$S$2:$S$921,"44621A4AzulNão se aplicaNão se aplicaNão se aplicaNão se aplicaPonta",Mercado_Receita!$L$2:$L$921)+SUMIF(Mercado_Receita!$S$2:$S$921,"44621A4AzulNão se aplicaNão se aplicaNão se aplicaNão se aplicaFora ponta",Mercado_Receita!$L$2:$L$921)+SUMIF(Mercado_Receita!$S$2:$S$921,"44621A4AzulNão se aplicaNão se aplicaNão se aplicaNão se aplicaIntermediário",Mercado_Receita!$L$2:$L$921)+SUMIF(Mercado_Receita!$S$2:$S$921,"44621A4AzulNão se aplicaNão se aplicaNão se aplicaNão se aplicaNão se aplica",Mercado_Receita!$L$2:$L$921)</f>
        <v>3191.0330000000004</v>
      </c>
      <c r="R5" s="13">
        <f>SUMIF(Mercado_Receita!$S$2:$S$921,"44652A4AzulNão se aplicaNão se aplicaNão se aplicaNão se aplicaPonta",Mercado_Receita!$L$2:$L$921)+SUMIF(Mercado_Receita!$S$2:$S$921,"44652A4AzulNão se aplicaNão se aplicaNão se aplicaNão se aplicaFora ponta",Mercado_Receita!$L$2:$L$921)+SUMIF(Mercado_Receita!$S$2:$S$921,"44652A4AzulNão se aplicaNão se aplicaNão se aplicaNão se aplicaIntermediário",Mercado_Receita!$L$2:$L$921)+SUMIF(Mercado_Receita!$S$2:$S$921,"44652A4AzulNão se aplicaNão se aplicaNão se aplicaNão se aplicaNão se aplica",Mercado_Receita!$L$2:$L$921)</f>
        <v>2806.0140000000001</v>
      </c>
      <c r="S5" s="13">
        <f>SUMIF(Mercado_Receita!$S$2:$S$921,"44682A4AzulNão se aplicaNão se aplicaNão se aplicaNão se aplicaPonta",Mercado_Receita!$L$2:$L$921)+SUMIF(Mercado_Receita!$S$2:$S$921,"44682A4AzulNão se aplicaNão se aplicaNão se aplicaNão se aplicaFora ponta",Mercado_Receita!$L$2:$L$921)+SUMIF(Mercado_Receita!$S$2:$S$921,"44682A4AzulNão se aplicaNão se aplicaNão se aplicaNão se aplicaIntermediário",Mercado_Receita!$L$2:$L$921)+SUMIF(Mercado_Receita!$S$2:$S$921,"44682A4AzulNão se aplicaNão se aplicaNão se aplicaNão se aplicaNão se aplica",Mercado_Receita!$L$2:$L$921)</f>
        <v>2820.4890000000005</v>
      </c>
      <c r="T5" s="13">
        <f>SUMIF(Mercado_Receita!$S$2:$S$921,"44713A4AzulNão se aplicaNão se aplicaNão se aplicaNão se aplicaPonta",Mercado_Receita!$L$2:$L$921)+SUMIF(Mercado_Receita!$S$2:$S$921,"44713A4AzulNão se aplicaNão se aplicaNão se aplicaNão se aplicaFora ponta",Mercado_Receita!$L$2:$L$921)+SUMIF(Mercado_Receita!$S$2:$S$921,"44713A4AzulNão se aplicaNão se aplicaNão se aplicaNão se aplicaIntermediário",Mercado_Receita!$L$2:$L$921)+SUMIF(Mercado_Receita!$S$2:$S$921,"44713A4AzulNão se aplicaNão se aplicaNão se aplicaNão se aplicaNão se aplica",Mercado_Receita!$L$2:$L$921)</f>
        <v>2820.4890000000005</v>
      </c>
      <c r="U5" s="13">
        <f t="shared" si="0"/>
        <v>35898.876000000004</v>
      </c>
      <c r="V5" s="13"/>
      <c r="W5" s="13"/>
    </row>
    <row r="6" spans="1:30" ht="11.25" customHeight="1" x14ac:dyDescent="0.25">
      <c r="A6" s="117"/>
      <c r="B6" s="117"/>
      <c r="C6" s="117"/>
      <c r="D6" s="117"/>
      <c r="E6" s="12" t="s">
        <v>89</v>
      </c>
      <c r="F6" s="12" t="s">
        <v>25</v>
      </c>
      <c r="G6" s="13" t="s">
        <v>86</v>
      </c>
      <c r="H6" s="13" t="s">
        <v>82</v>
      </c>
      <c r="I6" s="13">
        <f>SUMIF(Mercado_Receita!$S$2:$S$921,"44378A4AzulNão se aplicaNão se aplicaAPENão se aplicaPonta",Mercado_Receita!$L$2:$L$921)+SUMIF(Mercado_Receita!$S$2:$S$921,"44378A4AzulNão se aplicaNão se aplicaAPENão se aplicaFora ponta",Mercado_Receita!$L$2:$L$921)+SUMIF(Mercado_Receita!$S$2:$S$921,"44378A4AzulNão se aplicaNão se aplicaAPENão se aplicaIntermediário",Mercado_Receita!$L$2:$L$921)+SUMIF(Mercado_Receita!$S$2:$S$921,"44378A4AzulNão se aplicaNão se aplicaAPENão se aplicaNão se aplica",Mercado_Receita!$L$2:$L$921)</f>
        <v>0</v>
      </c>
      <c r="J6" s="13">
        <f>SUMIF(Mercado_Receita!$S$2:$S$921,"44409A4AzulNão se aplicaNão se aplicaAPENão se aplicaPonta",Mercado_Receita!$L$2:$L$921)+SUMIF(Mercado_Receita!$S$2:$S$921,"44409A4AzulNão se aplicaNão se aplicaAPENão se aplicaFora ponta",Mercado_Receita!$L$2:$L$921)+SUMIF(Mercado_Receita!$S$2:$S$921,"44409A4AzulNão se aplicaNão se aplicaAPENão se aplicaIntermediário",Mercado_Receita!$L$2:$L$921)+SUMIF(Mercado_Receita!$S$2:$S$921,"44409A4AzulNão se aplicaNão se aplicaAPENão se aplicaNão se aplica",Mercado_Receita!$L$2:$L$921)</f>
        <v>0</v>
      </c>
      <c r="K6" s="13">
        <f>SUMIF(Mercado_Receita!$S$2:$S$921,"44440A4AzulNão se aplicaNão se aplicaAPENão se aplicaPonta",Mercado_Receita!$L$2:$L$921)+SUMIF(Mercado_Receita!$S$2:$S$921,"44440A4AzulNão se aplicaNão se aplicaAPENão se aplicaFora ponta",Mercado_Receita!$L$2:$L$921)+SUMIF(Mercado_Receita!$S$2:$S$921,"44440A4AzulNão se aplicaNão se aplicaAPENão se aplicaIntermediário",Mercado_Receita!$L$2:$L$921)+SUMIF(Mercado_Receita!$S$2:$S$921,"44440A4AzulNão se aplicaNão se aplicaAPENão se aplicaNão se aplica",Mercado_Receita!$L$2:$L$921)</f>
        <v>0</v>
      </c>
      <c r="L6" s="13">
        <f>SUMIF(Mercado_Receita!$S$2:$S$921,"44470A4AzulNão se aplicaNão se aplicaAPENão se aplicaPonta",Mercado_Receita!$L$2:$L$921)+SUMIF(Mercado_Receita!$S$2:$S$921,"44470A4AzulNão se aplicaNão se aplicaAPENão se aplicaFora ponta",Mercado_Receita!$L$2:$L$921)+SUMIF(Mercado_Receita!$S$2:$S$921,"44470A4AzulNão se aplicaNão se aplicaAPENão se aplicaIntermediário",Mercado_Receita!$L$2:$L$921)+SUMIF(Mercado_Receita!$S$2:$S$921,"44470A4AzulNão se aplicaNão se aplicaAPENão se aplicaNão se aplica",Mercado_Receita!$L$2:$L$921)</f>
        <v>0</v>
      </c>
      <c r="M6" s="13">
        <f>SUMIF(Mercado_Receita!$S$2:$S$921,"44501A4AzulNão se aplicaNão se aplicaAPENão se aplicaPonta",Mercado_Receita!$L$2:$L$921)+SUMIF(Mercado_Receita!$S$2:$S$921,"44501A4AzulNão se aplicaNão se aplicaAPENão se aplicaFora ponta",Mercado_Receita!$L$2:$L$921)+SUMIF(Mercado_Receita!$S$2:$S$921,"44501A4AzulNão se aplicaNão se aplicaAPENão se aplicaIntermediário",Mercado_Receita!$L$2:$L$921)+SUMIF(Mercado_Receita!$S$2:$S$921,"44501A4AzulNão se aplicaNão se aplicaAPENão se aplicaNão se aplica",Mercado_Receita!$L$2:$L$921)</f>
        <v>0</v>
      </c>
      <c r="N6" s="13">
        <f>SUMIF(Mercado_Receita!$S$2:$S$921,"44531A4AzulNão se aplicaNão se aplicaAPENão se aplicaPonta",Mercado_Receita!$L$2:$L$921)+SUMIF(Mercado_Receita!$S$2:$S$921,"44531A4AzulNão se aplicaNão se aplicaAPENão se aplicaFora ponta",Mercado_Receita!$L$2:$L$921)+SUMIF(Mercado_Receita!$S$2:$S$921,"44531A4AzulNão se aplicaNão se aplicaAPENão se aplicaIntermediário",Mercado_Receita!$L$2:$L$921)+SUMIF(Mercado_Receita!$S$2:$S$921,"44531A4AzulNão se aplicaNão se aplicaAPENão se aplicaNão se aplica",Mercado_Receita!$L$2:$L$921)</f>
        <v>0</v>
      </c>
      <c r="O6" s="13">
        <f>SUMIF(Mercado_Receita!$S$2:$S$921,"44562A4AzulNão se aplicaNão se aplicaAPENão se aplicaPonta",Mercado_Receita!$L$2:$L$921)+SUMIF(Mercado_Receita!$S$2:$S$921,"44562A4AzulNão se aplicaNão se aplicaAPENão se aplicaFora ponta",Mercado_Receita!$L$2:$L$921)+SUMIF(Mercado_Receita!$S$2:$S$921,"44562A4AzulNão se aplicaNão se aplicaAPENão se aplicaIntermediário",Mercado_Receita!$L$2:$L$921)+SUMIF(Mercado_Receita!$S$2:$S$921,"44562A4AzulNão se aplicaNão se aplicaAPENão se aplicaNão se aplica",Mercado_Receita!$L$2:$L$921)</f>
        <v>0</v>
      </c>
      <c r="P6" s="13">
        <f>SUMIF(Mercado_Receita!$S$2:$S$921,"44593A4AzulNão se aplicaNão se aplicaAPENão se aplicaPonta",Mercado_Receita!$L$2:$L$921)+SUMIF(Mercado_Receita!$S$2:$S$921,"44593A4AzulNão se aplicaNão se aplicaAPENão se aplicaFora ponta",Mercado_Receita!$L$2:$L$921)+SUMIF(Mercado_Receita!$S$2:$S$921,"44593A4AzulNão se aplicaNão se aplicaAPENão se aplicaIntermediário",Mercado_Receita!$L$2:$L$921)+SUMIF(Mercado_Receita!$S$2:$S$921,"44593A4AzulNão se aplicaNão se aplicaAPENão se aplicaNão se aplica",Mercado_Receita!$L$2:$L$921)</f>
        <v>0</v>
      </c>
      <c r="Q6" s="13">
        <f>SUMIF(Mercado_Receita!$S$2:$S$921,"44621A4AzulNão se aplicaNão se aplicaAPENão se aplicaPonta",Mercado_Receita!$L$2:$L$921)+SUMIF(Mercado_Receita!$S$2:$S$921,"44621A4AzulNão se aplicaNão se aplicaAPENão se aplicaFora ponta",Mercado_Receita!$L$2:$L$921)+SUMIF(Mercado_Receita!$S$2:$S$921,"44621A4AzulNão se aplicaNão se aplicaAPENão se aplicaIntermediário",Mercado_Receita!$L$2:$L$921)+SUMIF(Mercado_Receita!$S$2:$S$921,"44621A4AzulNão se aplicaNão se aplicaAPENão se aplicaNão se aplica",Mercado_Receita!$L$2:$L$921)</f>
        <v>0</v>
      </c>
      <c r="R6" s="13">
        <f>SUMIF(Mercado_Receita!$S$2:$S$921,"44652A4AzulNão se aplicaNão se aplicaAPENão se aplicaPonta",Mercado_Receita!$L$2:$L$921)+SUMIF(Mercado_Receita!$S$2:$S$921,"44652A4AzulNão se aplicaNão se aplicaAPENão se aplicaFora ponta",Mercado_Receita!$L$2:$L$921)+SUMIF(Mercado_Receita!$S$2:$S$921,"44652A4AzulNão se aplicaNão se aplicaAPENão se aplicaIntermediário",Mercado_Receita!$L$2:$L$921)+SUMIF(Mercado_Receita!$S$2:$S$921,"44652A4AzulNão se aplicaNão se aplicaAPENão se aplicaNão se aplica",Mercado_Receita!$L$2:$L$921)</f>
        <v>0</v>
      </c>
      <c r="S6" s="13">
        <f>SUMIF(Mercado_Receita!$S$2:$S$921,"44682A4AzulNão se aplicaNão se aplicaAPENão se aplicaPonta",Mercado_Receita!$L$2:$L$921)+SUMIF(Mercado_Receita!$S$2:$S$921,"44682A4AzulNão se aplicaNão se aplicaAPENão se aplicaFora ponta",Mercado_Receita!$L$2:$L$921)+SUMIF(Mercado_Receita!$S$2:$S$921,"44682A4AzulNão se aplicaNão se aplicaAPENão se aplicaIntermediário",Mercado_Receita!$L$2:$L$921)+SUMIF(Mercado_Receita!$S$2:$S$921,"44682A4AzulNão se aplicaNão se aplicaAPENão se aplicaNão se aplica",Mercado_Receita!$L$2:$L$921)</f>
        <v>0</v>
      </c>
      <c r="T6" s="13">
        <f>SUMIF(Mercado_Receita!$S$2:$S$921,"44713A4AzulNão se aplicaNão se aplicaAPENão se aplicaPonta",Mercado_Receita!$L$2:$L$921)+SUMIF(Mercado_Receita!$S$2:$S$921,"44713A4AzulNão se aplicaNão se aplicaAPENão se aplicaFora ponta",Mercado_Receita!$L$2:$L$921)+SUMIF(Mercado_Receita!$S$2:$S$921,"44713A4AzulNão se aplicaNão se aplicaAPENão se aplicaIntermediário",Mercado_Receita!$L$2:$L$921)+SUMIF(Mercado_Receita!$S$2:$S$921,"44713A4AzulNão se aplicaNão se aplicaAPENão se aplicaNão se aplica",Mercado_Receita!$L$2:$L$921)</f>
        <v>0</v>
      </c>
      <c r="U6" s="13">
        <f t="shared" si="0"/>
        <v>0</v>
      </c>
      <c r="V6" s="13"/>
      <c r="W6" s="13"/>
    </row>
    <row r="7" spans="1:30" ht="11.25" customHeight="1" x14ac:dyDescent="0.25">
      <c r="A7" s="117"/>
      <c r="B7" s="12" t="s">
        <v>59</v>
      </c>
      <c r="C7" s="12" t="s">
        <v>25</v>
      </c>
      <c r="D7" s="12" t="s">
        <v>25</v>
      </c>
      <c r="E7" s="12" t="s">
        <v>25</v>
      </c>
      <c r="F7" s="12" t="s">
        <v>25</v>
      </c>
      <c r="G7" s="13" t="s">
        <v>9</v>
      </c>
      <c r="H7" s="13" t="s">
        <v>80</v>
      </c>
      <c r="I7" s="13">
        <f>SUMIF(Mercado_Receita!$S$2:$S$921,"44378A4GeraçãoNão se aplicaNão se aplicaNão se aplicaNão se aplicaNão se aplica",Mercado_Receita!$J$2:$J$921)+SUMIF(Mercado_Receita!$S$2:$S$921,"44378A4GeraçãoNão se aplicaNão se aplicaAPENão se aplicaNão se aplica",Mercado_Receita!$J$2:$J$921)</f>
        <v>1280</v>
      </c>
      <c r="J7" s="13">
        <f>SUMIF(Mercado_Receita!$S$2:$S$921,"44409A4GeraçãoNão se aplicaNão se aplicaNão se aplicaNão se aplicaNão se aplica",Mercado_Receita!$J$2:$J$921)+SUMIF(Mercado_Receita!$S$2:$S$921,"44409A4GeraçãoNão se aplicaNão se aplicaAPENão se aplicaNão se aplica",Mercado_Receita!$J$2:$J$921)</f>
        <v>1280</v>
      </c>
      <c r="K7" s="13">
        <f>SUMIF(Mercado_Receita!$S$2:$S$921,"44440A4GeraçãoNão se aplicaNão se aplicaNão se aplicaNão se aplicaNão se aplica",Mercado_Receita!$J$2:$J$921)+SUMIF(Mercado_Receita!$S$2:$S$921,"44440A4GeraçãoNão se aplicaNão se aplicaAPENão se aplicaNão se aplica",Mercado_Receita!$J$2:$J$921)</f>
        <v>1280</v>
      </c>
      <c r="L7" s="13">
        <f>SUMIF(Mercado_Receita!$S$2:$S$921,"44470A4GeraçãoNão se aplicaNão se aplicaNão se aplicaNão se aplicaNão se aplica",Mercado_Receita!$J$2:$J$921)+SUMIF(Mercado_Receita!$S$2:$S$921,"44470A4GeraçãoNão se aplicaNão se aplicaAPENão se aplicaNão se aplica",Mercado_Receita!$J$2:$J$921)</f>
        <v>1280</v>
      </c>
      <c r="M7" s="13">
        <f>SUMIF(Mercado_Receita!$S$2:$S$921,"44501A4GeraçãoNão se aplicaNão se aplicaNão se aplicaNão se aplicaNão se aplica",Mercado_Receita!$J$2:$J$921)+SUMIF(Mercado_Receita!$S$2:$S$921,"44501A4GeraçãoNão se aplicaNão se aplicaAPENão se aplicaNão se aplica",Mercado_Receita!$J$2:$J$921)</f>
        <v>1280</v>
      </c>
      <c r="N7" s="13">
        <f>SUMIF(Mercado_Receita!$S$2:$S$921,"44531A4GeraçãoNão se aplicaNão se aplicaNão se aplicaNão se aplicaNão se aplica",Mercado_Receita!$J$2:$J$921)+SUMIF(Mercado_Receita!$S$2:$S$921,"44531A4GeraçãoNão se aplicaNão se aplicaAPENão se aplicaNão se aplica",Mercado_Receita!$J$2:$J$921)</f>
        <v>1280</v>
      </c>
      <c r="O7" s="13">
        <f>SUMIF(Mercado_Receita!$S$2:$S$921,"44562A4GeraçãoNão se aplicaNão se aplicaNão se aplicaNão se aplicaNão se aplica",Mercado_Receita!$J$2:$J$921)+SUMIF(Mercado_Receita!$S$2:$S$921,"44562A4GeraçãoNão se aplicaNão se aplicaAPENão se aplicaNão se aplica",Mercado_Receita!$J$2:$J$921)</f>
        <v>1280</v>
      </c>
      <c r="P7" s="13">
        <f>SUMIF(Mercado_Receita!$S$2:$S$921,"44593A4GeraçãoNão se aplicaNão se aplicaNão se aplicaNão se aplicaNão se aplica",Mercado_Receita!$J$2:$J$921)+SUMIF(Mercado_Receita!$S$2:$S$921,"44593A4GeraçãoNão se aplicaNão se aplicaAPENão se aplicaNão se aplica",Mercado_Receita!$J$2:$J$921)</f>
        <v>1280</v>
      </c>
      <c r="Q7" s="13">
        <f>SUMIF(Mercado_Receita!$S$2:$S$921,"44621A4GeraçãoNão se aplicaNão se aplicaNão se aplicaNão se aplicaNão se aplica",Mercado_Receita!$J$2:$J$921)+SUMIF(Mercado_Receita!$S$2:$S$921,"44621A4GeraçãoNão se aplicaNão se aplicaAPENão se aplicaNão se aplica",Mercado_Receita!$J$2:$J$921)</f>
        <v>1280</v>
      </c>
      <c r="R7" s="13">
        <f>SUMIF(Mercado_Receita!$S$2:$S$921,"44652A4GeraçãoNão se aplicaNão se aplicaNão se aplicaNão se aplicaNão se aplica",Mercado_Receita!$J$2:$J$921)+SUMIF(Mercado_Receita!$S$2:$S$921,"44652A4GeraçãoNão se aplicaNão se aplicaAPENão se aplicaNão se aplica",Mercado_Receita!$J$2:$J$921)</f>
        <v>1280</v>
      </c>
      <c r="S7" s="13">
        <f>SUMIF(Mercado_Receita!$S$2:$S$921,"44682A4GeraçãoNão se aplicaNão se aplicaNão se aplicaNão se aplicaNão se aplica",Mercado_Receita!$J$2:$J$921)+SUMIF(Mercado_Receita!$S$2:$S$921,"44682A4GeraçãoNão se aplicaNão se aplicaAPENão se aplicaNão se aplica",Mercado_Receita!$J$2:$J$921)</f>
        <v>1280</v>
      </c>
      <c r="T7" s="13">
        <f>SUMIF(Mercado_Receita!$S$2:$S$921,"44713A4GeraçãoNão se aplicaNão se aplicaNão se aplicaNão se aplicaNão se aplica",Mercado_Receita!$J$2:$J$921)+SUMIF(Mercado_Receita!$S$2:$S$921,"44713A4GeraçãoNão se aplicaNão se aplicaAPENão se aplicaNão se aplica",Mercado_Receita!$J$2:$J$921)</f>
        <v>1280</v>
      </c>
      <c r="U7" s="13">
        <f t="shared" si="0"/>
        <v>15360</v>
      </c>
      <c r="V7" s="13"/>
      <c r="W7" s="13"/>
    </row>
    <row r="8" spans="1:30" ht="11.25" customHeight="1" x14ac:dyDescent="0.25">
      <c r="A8" s="117"/>
      <c r="B8" s="116" t="s">
        <v>40</v>
      </c>
      <c r="C8" s="116" t="s">
        <v>25</v>
      </c>
      <c r="D8" s="116" t="s">
        <v>25</v>
      </c>
      <c r="E8" s="116" t="s">
        <v>25</v>
      </c>
      <c r="F8" s="116" t="s">
        <v>25</v>
      </c>
      <c r="G8" s="13" t="s">
        <v>9</v>
      </c>
      <c r="H8" s="13" t="s">
        <v>80</v>
      </c>
      <c r="I8" s="13">
        <f>SUMIF(Mercado_Receita!$S$2:$S$921,"44378A4VerdeNão se aplicaNão se aplicaNão se aplicaNão se aplicaNão se aplica",Mercado_Receita!$J$2:$J$921)+SUMIF(Mercado_Receita!$S$2:$S$921,"44378A4VerdeNão se aplicaNão se aplicaAPENão se aplicaNão se aplica",Mercado_Receita!$J$2:$J$921)</f>
        <v>20855</v>
      </c>
      <c r="J8" s="13">
        <f>SUMIF(Mercado_Receita!$S$2:$S$921,"44409A4VerdeNão se aplicaNão se aplicaNão se aplicaNão se aplicaNão se aplica",Mercado_Receita!$J$2:$J$921)+SUMIF(Mercado_Receita!$S$2:$S$921,"44409A4VerdeNão se aplicaNão se aplicaAPENão se aplicaNão se aplica",Mercado_Receita!$J$2:$J$921)</f>
        <v>21203</v>
      </c>
      <c r="K8" s="13">
        <f>SUMIF(Mercado_Receita!$S$2:$S$921,"44440A4VerdeNão se aplicaNão se aplicaNão se aplicaNão se aplicaNão se aplica",Mercado_Receita!$J$2:$J$921)+SUMIF(Mercado_Receita!$S$2:$S$921,"44440A4VerdeNão se aplicaNão se aplicaAPENão se aplicaNão se aplica",Mercado_Receita!$J$2:$J$921)</f>
        <v>21270</v>
      </c>
      <c r="L8" s="13">
        <f>SUMIF(Mercado_Receita!$S$2:$S$921,"44470A4VerdeNão se aplicaNão se aplicaNão se aplicaNão se aplicaNão se aplica",Mercado_Receita!$J$2:$J$921)+SUMIF(Mercado_Receita!$S$2:$S$921,"44470A4VerdeNão se aplicaNão se aplicaAPENão se aplicaNão se aplica",Mercado_Receita!$J$2:$J$921)</f>
        <v>22374</v>
      </c>
      <c r="M8" s="13">
        <f>SUMIF(Mercado_Receita!$S$2:$S$921,"44501A4VerdeNão se aplicaNão se aplicaNão se aplicaNão se aplicaNão se aplica",Mercado_Receita!$J$2:$J$921)+SUMIF(Mercado_Receita!$S$2:$S$921,"44501A4VerdeNão se aplicaNão se aplicaAPENão se aplicaNão se aplica",Mercado_Receita!$J$2:$J$921)</f>
        <v>25182</v>
      </c>
      <c r="N8" s="13">
        <f>SUMIF(Mercado_Receita!$S$2:$S$921,"44531A4VerdeNão se aplicaNão se aplicaNão se aplicaNão se aplicaNão se aplica",Mercado_Receita!$J$2:$J$921)+SUMIF(Mercado_Receita!$S$2:$S$921,"44531A4VerdeNão se aplicaNão se aplicaAPENão se aplicaNão se aplica",Mercado_Receita!$J$2:$J$921)</f>
        <v>25182</v>
      </c>
      <c r="O8" s="13">
        <f>SUMIF(Mercado_Receita!$S$2:$S$921,"44562A4VerdeNão se aplicaNão se aplicaNão se aplicaNão se aplicaNão se aplica",Mercado_Receita!$J$2:$J$921)+SUMIF(Mercado_Receita!$S$2:$S$921,"44562A4VerdeNão se aplicaNão se aplicaAPENão se aplicaNão se aplica",Mercado_Receita!$J$2:$J$921)</f>
        <v>27979</v>
      </c>
      <c r="P8" s="13">
        <f>SUMIF(Mercado_Receita!$S$2:$S$921,"44593A4VerdeNão se aplicaNão se aplicaNão se aplicaNão se aplicaNão se aplica",Mercado_Receita!$J$2:$J$921)+SUMIF(Mercado_Receita!$S$2:$S$921,"44593A4VerdeNão se aplicaNão se aplicaAPENão se aplicaNão se aplica",Mercado_Receita!$J$2:$J$921)</f>
        <v>26791</v>
      </c>
      <c r="Q8" s="13">
        <f>SUMIF(Mercado_Receita!$S$2:$S$921,"44621A4VerdeNão se aplicaNão se aplicaNão se aplicaNão se aplicaNão se aplica",Mercado_Receita!$J$2:$J$921)+SUMIF(Mercado_Receita!$S$2:$S$921,"44621A4VerdeNão se aplicaNão se aplicaAPENão se aplicaNão se aplica",Mercado_Receita!$J$2:$J$921)</f>
        <v>25064</v>
      </c>
      <c r="R8" s="13">
        <f>SUMIF(Mercado_Receita!$S$2:$S$921,"44652A4VerdeNão se aplicaNão se aplicaNão se aplicaNão se aplicaNão se aplica",Mercado_Receita!$J$2:$J$921)+SUMIF(Mercado_Receita!$S$2:$S$921,"44652A4VerdeNão se aplicaNão se aplicaAPENão se aplicaNão se aplica",Mercado_Receita!$J$2:$J$921)</f>
        <v>24680</v>
      </c>
      <c r="S8" s="13">
        <f>SUMIF(Mercado_Receita!$S$2:$S$921,"44682A4VerdeNão se aplicaNão se aplicaNão se aplicaNão se aplicaNão se aplica",Mercado_Receita!$J$2:$J$921)+SUMIF(Mercado_Receita!$S$2:$S$921,"44682A4VerdeNão se aplicaNão se aplicaAPENão se aplicaNão se aplica",Mercado_Receita!$J$2:$J$921)</f>
        <v>23864</v>
      </c>
      <c r="T8" s="13">
        <f>SUMIF(Mercado_Receita!$S$2:$S$921,"44713A4VerdeNão se aplicaNão se aplicaNão se aplicaNão se aplicaNão se aplica",Mercado_Receita!$J$2:$J$921)+SUMIF(Mercado_Receita!$S$2:$S$921,"44713A4VerdeNão se aplicaNão se aplicaAPENão se aplicaNão se aplica",Mercado_Receita!$J$2:$J$921)</f>
        <v>23864</v>
      </c>
      <c r="U8" s="13">
        <f t="shared" si="0"/>
        <v>288308</v>
      </c>
      <c r="V8" s="13"/>
      <c r="W8" s="13"/>
    </row>
    <row r="9" spans="1:30" ht="11.25" customHeight="1" x14ac:dyDescent="0.25">
      <c r="A9" s="117"/>
      <c r="B9" s="117"/>
      <c r="C9" s="117"/>
      <c r="D9" s="117"/>
      <c r="E9" s="117"/>
      <c r="F9" s="117"/>
      <c r="G9" s="13" t="s">
        <v>83</v>
      </c>
      <c r="H9" s="13" t="s">
        <v>82</v>
      </c>
      <c r="I9" s="13">
        <f>SUMIF(Mercado_Receita!$S$2:$S$921,"44378A4VerdeNão se aplicaNão se aplicaNão se aplicaNão se aplicaPonta",Mercado_Receita!$L$2:$L$921)</f>
        <v>326.37899999999991</v>
      </c>
      <c r="J9" s="13">
        <f>SUMIF(Mercado_Receita!$S$2:$S$921,"44409A4VerdeNão se aplicaNão se aplicaNão se aplicaNão se aplicaPonta",Mercado_Receita!$L$2:$L$921)</f>
        <v>344.72499999999997</v>
      </c>
      <c r="K9" s="13">
        <f>SUMIF(Mercado_Receita!$S$2:$S$921,"44440A4VerdeNão se aplicaNão se aplicaNão se aplicaNão se aplicaPonta",Mercado_Receita!$L$2:$L$921)</f>
        <v>319.88099999999997</v>
      </c>
      <c r="L9" s="13">
        <f>SUMIF(Mercado_Receita!$S$2:$S$921,"44470A4VerdeNão se aplicaNão se aplicaNão se aplicaNão se aplicaPonta",Mercado_Receita!$L$2:$L$921)</f>
        <v>297.93499999999995</v>
      </c>
      <c r="M9" s="13">
        <f>SUMIF(Mercado_Receita!$S$2:$S$921,"44501A4VerdeNão se aplicaNão se aplicaNão se aplicaNão se aplicaPonta",Mercado_Receita!$L$2:$L$921)</f>
        <v>355.61800000000005</v>
      </c>
      <c r="N9" s="13">
        <f>SUMIF(Mercado_Receita!$S$2:$S$921,"44531A4VerdeNão se aplicaNão se aplicaNão se aplicaNão se aplicaPonta",Mercado_Receita!$L$2:$L$921)</f>
        <v>362.18199999999996</v>
      </c>
      <c r="O9" s="13">
        <f>SUMIF(Mercado_Receita!$S$2:$S$921,"44562A4VerdeNão se aplicaNão se aplicaNão se aplicaNão se aplicaPonta",Mercado_Receita!$L$2:$L$921)</f>
        <v>301.28100000000001</v>
      </c>
      <c r="P9" s="13">
        <f>SUMIF(Mercado_Receita!$S$2:$S$921,"44593A4VerdeNão se aplicaNão se aplicaNão se aplicaNão se aplicaPonta",Mercado_Receita!$L$2:$L$921)</f>
        <v>352.22100000000006</v>
      </c>
      <c r="Q9" s="13">
        <f>SUMIF(Mercado_Receita!$S$2:$S$921,"44621A4VerdeNão se aplicaNão se aplicaNão se aplicaNão se aplicaPonta",Mercado_Receita!$L$2:$L$921)</f>
        <v>400.51899999999989</v>
      </c>
      <c r="R9" s="13">
        <f>SUMIF(Mercado_Receita!$S$2:$S$921,"44652A4VerdeNão se aplicaNão se aplicaNão se aplicaNão se aplicaPonta",Mercado_Receita!$L$2:$L$921)</f>
        <v>299.73900000000009</v>
      </c>
      <c r="S9" s="13">
        <f>SUMIF(Mercado_Receita!$S$2:$S$921,"44682A4VerdeNão se aplicaNão se aplicaNão se aplicaNão se aplicaPonta",Mercado_Receita!$L$2:$L$921)</f>
        <v>360.75400000000002</v>
      </c>
      <c r="T9" s="13">
        <f>SUMIF(Mercado_Receita!$S$2:$S$921,"44713A4VerdeNão se aplicaNão se aplicaNão se aplicaNão se aplicaPonta",Mercado_Receita!$L$2:$L$921)</f>
        <v>360.75400000000002</v>
      </c>
      <c r="U9" s="13">
        <f t="shared" si="0"/>
        <v>4081.9879999999994</v>
      </c>
      <c r="V9" s="13"/>
      <c r="W9" s="13"/>
    </row>
    <row r="10" spans="1:30" ht="11.25" customHeight="1" x14ac:dyDescent="0.25">
      <c r="A10" s="117"/>
      <c r="B10" s="117"/>
      <c r="C10" s="117"/>
      <c r="D10" s="117"/>
      <c r="E10" s="117"/>
      <c r="F10" s="117"/>
      <c r="G10" s="13" t="s">
        <v>84</v>
      </c>
      <c r="H10" s="13" t="s">
        <v>82</v>
      </c>
      <c r="I10" s="13">
        <f>SUMIF(Mercado_Receita!$S$2:$S$921,"44378A4VerdeNão se aplicaNão se aplicaNão se aplicaNão se aplicaFora ponta",Mercado_Receita!$L$2:$L$921)</f>
        <v>3461.2249999999999</v>
      </c>
      <c r="J10" s="13">
        <f>SUMIF(Mercado_Receita!$S$2:$S$921,"44409A4VerdeNão se aplicaNão se aplicaNão se aplicaNão se aplicaFora ponta",Mercado_Receita!$L$2:$L$921)</f>
        <v>3636.2979999999998</v>
      </c>
      <c r="K10" s="13">
        <f>SUMIF(Mercado_Receita!$S$2:$S$921,"44440A4VerdeNão se aplicaNão se aplicaNão se aplicaNão se aplicaFora ponta",Mercado_Receita!$L$2:$L$921)</f>
        <v>3480.9519999999998</v>
      </c>
      <c r="L10" s="13">
        <f>SUMIF(Mercado_Receita!$S$2:$S$921,"44470A4VerdeNão se aplicaNão se aplicaNão se aplicaNão se aplicaFora ponta",Mercado_Receita!$L$2:$L$921)</f>
        <v>3583.64</v>
      </c>
      <c r="M10" s="13">
        <f>SUMIF(Mercado_Receita!$S$2:$S$921,"44501A4VerdeNão se aplicaNão se aplicaNão se aplicaNão se aplicaFora ponta",Mercado_Receita!$L$2:$L$921)</f>
        <v>4465.6559999999999</v>
      </c>
      <c r="N10" s="13">
        <f>SUMIF(Mercado_Receita!$S$2:$S$921,"44531A4VerdeNão se aplicaNão se aplicaNão se aplicaNão se aplicaFora ponta",Mercado_Receita!$L$2:$L$921)</f>
        <v>4515.6109999999999</v>
      </c>
      <c r="O10" s="13">
        <f>SUMIF(Mercado_Receita!$S$2:$S$921,"44562A4VerdeNão se aplicaNão se aplicaNão se aplicaNão se aplicaFora ponta",Mercado_Receita!$L$2:$L$921)</f>
        <v>4195.6059999999998</v>
      </c>
      <c r="P10" s="13">
        <f>SUMIF(Mercado_Receita!$S$2:$S$921,"44593A4VerdeNão se aplicaNão se aplicaNão se aplicaNão se aplicaFora ponta",Mercado_Receita!$L$2:$L$921)</f>
        <v>4023.0860000000002</v>
      </c>
      <c r="Q10" s="13">
        <f>SUMIF(Mercado_Receita!$S$2:$S$921,"44621A4VerdeNão se aplicaNão se aplicaNão se aplicaNão se aplicaFora ponta",Mercado_Receita!$L$2:$L$921)</f>
        <v>4147.0159999999987</v>
      </c>
      <c r="R10" s="13">
        <f>SUMIF(Mercado_Receita!$S$2:$S$921,"44652A4VerdeNão se aplicaNão se aplicaNão se aplicaNão se aplicaFora ponta",Mercado_Receita!$L$2:$L$921)</f>
        <v>3727.3270000000002</v>
      </c>
      <c r="S10" s="13">
        <f>SUMIF(Mercado_Receita!$S$2:$S$921,"44682A4VerdeNão se aplicaNão se aplicaNão se aplicaNão se aplicaFora ponta",Mercado_Receita!$L$2:$L$921)</f>
        <v>3869.3139999999994</v>
      </c>
      <c r="T10" s="13">
        <f>SUMIF(Mercado_Receita!$S$2:$S$921,"44713A4VerdeNão se aplicaNão se aplicaNão se aplicaNão se aplicaFora ponta",Mercado_Receita!$L$2:$L$921)</f>
        <v>3869.3139999999994</v>
      </c>
      <c r="U10" s="13">
        <f t="shared" si="0"/>
        <v>46975.044999999991</v>
      </c>
      <c r="V10" s="13"/>
      <c r="W10" s="13"/>
    </row>
    <row r="11" spans="1:30" ht="11.25" customHeight="1" x14ac:dyDescent="0.25">
      <c r="A11" s="117"/>
      <c r="B11" s="117"/>
      <c r="C11" s="117"/>
      <c r="D11" s="117"/>
      <c r="E11" s="116" t="s">
        <v>89</v>
      </c>
      <c r="F11" s="116" t="s">
        <v>25</v>
      </c>
      <c r="G11" s="13" t="s">
        <v>83</v>
      </c>
      <c r="H11" s="13" t="s">
        <v>82</v>
      </c>
      <c r="I11" s="13">
        <f>SUMIF(Mercado_Receita!$S$2:$S$921,"44378A4VerdeNão se aplicaNão se aplicaAPENão se aplicaPonta",Mercado_Receita!$L$2:$L$921)</f>
        <v>0</v>
      </c>
      <c r="J11" s="13">
        <f>SUMIF(Mercado_Receita!$S$2:$S$921,"44409A4VerdeNão se aplicaNão se aplicaAPENão se aplicaPonta",Mercado_Receita!$L$2:$L$921)</f>
        <v>0</v>
      </c>
      <c r="K11" s="13">
        <f>SUMIF(Mercado_Receita!$S$2:$S$921,"44440A4VerdeNão se aplicaNão se aplicaAPENão se aplicaPonta",Mercado_Receita!$L$2:$L$921)</f>
        <v>0</v>
      </c>
      <c r="L11" s="13">
        <f>SUMIF(Mercado_Receita!$S$2:$S$921,"44470A4VerdeNão se aplicaNão se aplicaAPENão se aplicaPonta",Mercado_Receita!$L$2:$L$921)</f>
        <v>0</v>
      </c>
      <c r="M11" s="13">
        <f>SUMIF(Mercado_Receita!$S$2:$S$921,"44501A4VerdeNão se aplicaNão se aplicaAPENão se aplicaPonta",Mercado_Receita!$L$2:$L$921)</f>
        <v>0</v>
      </c>
      <c r="N11" s="13">
        <f>SUMIF(Mercado_Receita!$S$2:$S$921,"44531A4VerdeNão se aplicaNão se aplicaAPENão se aplicaPonta",Mercado_Receita!$L$2:$L$921)</f>
        <v>0</v>
      </c>
      <c r="O11" s="13">
        <f>SUMIF(Mercado_Receita!$S$2:$S$921,"44562A4VerdeNão se aplicaNão se aplicaAPENão se aplicaPonta",Mercado_Receita!$L$2:$L$921)</f>
        <v>0</v>
      </c>
      <c r="P11" s="13">
        <f>SUMIF(Mercado_Receita!$S$2:$S$921,"44593A4VerdeNão se aplicaNão se aplicaAPENão se aplicaPonta",Mercado_Receita!$L$2:$L$921)</f>
        <v>0</v>
      </c>
      <c r="Q11" s="13">
        <f>SUMIF(Mercado_Receita!$S$2:$S$921,"44621A4VerdeNão se aplicaNão se aplicaAPENão se aplicaPonta",Mercado_Receita!$L$2:$L$921)</f>
        <v>0</v>
      </c>
      <c r="R11" s="13">
        <f>SUMIF(Mercado_Receita!$S$2:$S$921,"44652A4VerdeNão se aplicaNão se aplicaAPENão se aplicaPonta",Mercado_Receita!$L$2:$L$921)</f>
        <v>0</v>
      </c>
      <c r="S11" s="13">
        <f>SUMIF(Mercado_Receita!$S$2:$S$921,"44682A4VerdeNão se aplicaNão se aplicaAPENão se aplicaPonta",Mercado_Receita!$L$2:$L$921)</f>
        <v>0</v>
      </c>
      <c r="T11" s="13">
        <f>SUMIF(Mercado_Receita!$S$2:$S$921,"44713A4VerdeNão se aplicaNão se aplicaAPENão se aplicaPonta",Mercado_Receita!$L$2:$L$921)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117"/>
      <c r="B12" s="117"/>
      <c r="C12" s="117"/>
      <c r="D12" s="117"/>
      <c r="E12" s="117"/>
      <c r="F12" s="117"/>
      <c r="G12" s="13" t="s">
        <v>84</v>
      </c>
      <c r="H12" s="13" t="s">
        <v>82</v>
      </c>
      <c r="I12" s="13">
        <f>SUMIF(Mercado_Receita!$S$2:$S$921,"44378A4VerdeNão se aplicaNão se aplicaAPENão se aplicaFora ponta",Mercado_Receita!$L$2:$L$921)</f>
        <v>0</v>
      </c>
      <c r="J12" s="13">
        <f>SUMIF(Mercado_Receita!$S$2:$S$921,"44409A4VerdeNão se aplicaNão se aplicaAPENão se aplicaFora ponta",Mercado_Receita!$L$2:$L$921)</f>
        <v>0</v>
      </c>
      <c r="K12" s="13">
        <f>SUMIF(Mercado_Receita!$S$2:$S$921,"44440A4VerdeNão se aplicaNão se aplicaAPENão se aplicaFora ponta",Mercado_Receita!$L$2:$L$921)</f>
        <v>0</v>
      </c>
      <c r="L12" s="13">
        <f>SUMIF(Mercado_Receita!$S$2:$S$921,"44470A4VerdeNão se aplicaNão se aplicaAPENão se aplicaFora ponta",Mercado_Receita!$L$2:$L$921)</f>
        <v>0</v>
      </c>
      <c r="M12" s="13">
        <f>SUMIF(Mercado_Receita!$S$2:$S$921,"44501A4VerdeNão se aplicaNão se aplicaAPENão se aplicaFora ponta",Mercado_Receita!$L$2:$L$921)</f>
        <v>0</v>
      </c>
      <c r="N12" s="13">
        <f>SUMIF(Mercado_Receita!$S$2:$S$921,"44531A4VerdeNão se aplicaNão se aplicaAPENão se aplicaFora ponta",Mercado_Receita!$L$2:$L$921)</f>
        <v>0</v>
      </c>
      <c r="O12" s="13">
        <f>SUMIF(Mercado_Receita!$S$2:$S$921,"44562A4VerdeNão se aplicaNão se aplicaAPENão se aplicaFora ponta",Mercado_Receita!$L$2:$L$921)</f>
        <v>0</v>
      </c>
      <c r="P12" s="13">
        <f>SUMIF(Mercado_Receita!$S$2:$S$921,"44593A4VerdeNão se aplicaNão se aplicaAPENão se aplicaFora ponta",Mercado_Receita!$L$2:$L$921)</f>
        <v>0</v>
      </c>
      <c r="Q12" s="13">
        <f>SUMIF(Mercado_Receita!$S$2:$S$921,"44621A4VerdeNão se aplicaNão se aplicaAPENão se aplicaFora ponta",Mercado_Receita!$L$2:$L$921)</f>
        <v>0</v>
      </c>
      <c r="R12" s="13">
        <f>SUMIF(Mercado_Receita!$S$2:$S$921,"44652A4VerdeNão se aplicaNão se aplicaAPENão se aplicaFora ponta",Mercado_Receita!$L$2:$L$921)</f>
        <v>0</v>
      </c>
      <c r="S12" s="13">
        <f>SUMIF(Mercado_Receita!$S$2:$S$921,"44682A4VerdeNão se aplicaNão se aplicaAPENão se aplicaFora ponta",Mercado_Receita!$L$2:$L$921)</f>
        <v>0</v>
      </c>
      <c r="T12" s="13">
        <f>SUMIF(Mercado_Receita!$S$2:$S$921,"44713A4VerdeNão se aplicaNão se aplicaAPENão se aplicaFora ponta",Mercado_Receita!$L$2:$L$921)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116" t="s">
        <v>90</v>
      </c>
      <c r="B13" s="116" t="s">
        <v>59</v>
      </c>
      <c r="C13" s="116" t="s">
        <v>25</v>
      </c>
      <c r="D13" s="116" t="s">
        <v>25</v>
      </c>
      <c r="E13" s="12" t="s">
        <v>91</v>
      </c>
      <c r="F13" s="12" t="s">
        <v>25</v>
      </c>
      <c r="G13" s="13" t="s">
        <v>9</v>
      </c>
      <c r="H13" s="13" t="s">
        <v>80</v>
      </c>
      <c r="I13" s="13">
        <f>SUMIF(Mercado_Receita!$S$2:$S$921,"44378BGeraçãoNão se aplicaNão se aplicaTIPO 01Não se aplicaNão se aplica",Mercado_Receita!$J$2:$J$921)+SUMIF(Mercado_Receita!$S$2:$S$921,"44378BGeraçãoNão se aplicaNão se aplicaAPENão se aplicaNão se aplica",Mercado_Receita!$J$2:$J$921)</f>
        <v>0</v>
      </c>
      <c r="J13" s="13">
        <f>SUMIF(Mercado_Receita!$S$2:$S$921,"44409BGeraçãoNão se aplicaNão se aplicaTIPO 01Não se aplicaNão se aplica",Mercado_Receita!$J$2:$J$921)+SUMIF(Mercado_Receita!$S$2:$S$921,"44409BGeraçãoNão se aplicaNão se aplicaAPENão se aplicaNão se aplica",Mercado_Receita!$J$2:$J$921)</f>
        <v>0</v>
      </c>
      <c r="K13" s="13">
        <f>SUMIF(Mercado_Receita!$S$2:$S$921,"44440BGeraçãoNão se aplicaNão se aplicaTIPO 01Não se aplicaNão se aplica",Mercado_Receita!$J$2:$J$921)+SUMIF(Mercado_Receita!$S$2:$S$921,"44440BGeraçãoNão se aplicaNão se aplicaAPENão se aplicaNão se aplica",Mercado_Receita!$J$2:$J$921)</f>
        <v>0</v>
      </c>
      <c r="L13" s="13">
        <f>SUMIF(Mercado_Receita!$S$2:$S$921,"44470BGeraçãoNão se aplicaNão se aplicaTIPO 01Não se aplicaNão se aplica",Mercado_Receita!$J$2:$J$921)+SUMIF(Mercado_Receita!$S$2:$S$921,"44470BGeraçãoNão se aplicaNão se aplicaAPENão se aplicaNão se aplica",Mercado_Receita!$J$2:$J$921)</f>
        <v>0</v>
      </c>
      <c r="M13" s="13">
        <f>SUMIF(Mercado_Receita!$S$2:$S$921,"44501BGeraçãoNão se aplicaNão se aplicaTIPO 01Não se aplicaNão se aplica",Mercado_Receita!$J$2:$J$921)+SUMIF(Mercado_Receita!$S$2:$S$921,"44501BGeraçãoNão se aplicaNão se aplicaAPENão se aplicaNão se aplica",Mercado_Receita!$J$2:$J$921)</f>
        <v>0</v>
      </c>
      <c r="N13" s="13">
        <f>SUMIF(Mercado_Receita!$S$2:$S$921,"44531BGeraçãoNão se aplicaNão se aplicaTIPO 01Não se aplicaNão se aplica",Mercado_Receita!$J$2:$J$921)+SUMIF(Mercado_Receita!$S$2:$S$921,"44531BGeraçãoNão se aplicaNão se aplicaAPENão se aplicaNão se aplica",Mercado_Receita!$J$2:$J$921)</f>
        <v>0</v>
      </c>
      <c r="O13" s="13">
        <f>SUMIF(Mercado_Receita!$S$2:$S$921,"44562BGeraçãoNão se aplicaNão se aplicaTIPO 01Não se aplicaNão se aplica",Mercado_Receita!$J$2:$J$921)+SUMIF(Mercado_Receita!$S$2:$S$921,"44562BGeraçãoNão se aplicaNão se aplicaAPENão se aplicaNão se aplica",Mercado_Receita!$J$2:$J$921)</f>
        <v>0</v>
      </c>
      <c r="P13" s="13">
        <f>SUMIF(Mercado_Receita!$S$2:$S$921,"44593BGeraçãoNão se aplicaNão se aplicaTIPO 01Não se aplicaNão se aplica",Mercado_Receita!$J$2:$J$921)+SUMIF(Mercado_Receita!$S$2:$S$921,"44593BGeraçãoNão se aplicaNão se aplicaAPENão se aplicaNão se aplica",Mercado_Receita!$J$2:$J$921)</f>
        <v>0</v>
      </c>
      <c r="Q13" s="13">
        <f>SUMIF(Mercado_Receita!$S$2:$S$921,"44621BGeraçãoNão se aplicaNão se aplicaTIPO 01Não se aplicaNão se aplica",Mercado_Receita!$J$2:$J$921)+SUMIF(Mercado_Receita!$S$2:$S$921,"44621BGeraçãoNão se aplicaNão se aplicaAPENão se aplicaNão se aplica",Mercado_Receita!$J$2:$J$921)</f>
        <v>0</v>
      </c>
      <c r="R13" s="13">
        <f>SUMIF(Mercado_Receita!$S$2:$S$921,"44652BGeraçãoNão se aplicaNão se aplicaTIPO 01Não se aplicaNão se aplica",Mercado_Receita!$J$2:$J$921)+SUMIF(Mercado_Receita!$S$2:$S$921,"44652BGeraçãoNão se aplicaNão se aplicaAPENão se aplicaNão se aplica",Mercado_Receita!$J$2:$J$921)</f>
        <v>0</v>
      </c>
      <c r="S13" s="13">
        <f>SUMIF(Mercado_Receita!$S$2:$S$921,"44682BGeraçãoNão se aplicaNão se aplicaTIPO 01Não se aplicaNão se aplica",Mercado_Receita!$J$2:$J$921)+SUMIF(Mercado_Receita!$S$2:$S$921,"44682BGeraçãoNão se aplicaNão se aplicaAPENão se aplicaNão se aplica",Mercado_Receita!$J$2:$J$921)</f>
        <v>0</v>
      </c>
      <c r="T13" s="13">
        <f>SUMIF(Mercado_Receita!$S$2:$S$921,"44713BGeraçãoNão se aplicaNão se aplicaTIPO 01Não se aplicaNão se aplica",Mercado_Receita!$J$2:$J$921)+SUMIF(Mercado_Receita!$S$2:$S$921,"44713BGeraçãoNão se aplicaNão se aplicaAPENão se aplicaNão se aplica",Mercado_Receita!$J$2:$J$921)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117"/>
      <c r="B14" s="117"/>
      <c r="C14" s="117"/>
      <c r="D14" s="117"/>
      <c r="E14" s="12" t="s">
        <v>92</v>
      </c>
      <c r="F14" s="12" t="s">
        <v>25</v>
      </c>
      <c r="G14" s="13" t="s">
        <v>9</v>
      </c>
      <c r="H14" s="13" t="s">
        <v>80</v>
      </c>
      <c r="I14" s="13">
        <f>SUMIF(Mercado_Receita!$S$2:$S$921,"44378BGeraçãoNão se aplicaNão se aplicaTIPO 02Não se aplicaNão se aplica",Mercado_Receita!$J$2:$J$921)+SUMIF(Mercado_Receita!$S$2:$S$921,"44378BGeraçãoNão se aplicaNão se aplicaAPENão se aplicaNão se aplica",Mercado_Receita!$J$2:$J$921)</f>
        <v>0</v>
      </c>
      <c r="J14" s="13">
        <f>SUMIF(Mercado_Receita!$S$2:$S$921,"44409BGeraçãoNão se aplicaNão se aplicaTIPO 02Não se aplicaNão se aplica",Mercado_Receita!$J$2:$J$921)+SUMIF(Mercado_Receita!$S$2:$S$921,"44409BGeraçãoNão se aplicaNão se aplicaAPENão se aplicaNão se aplica",Mercado_Receita!$J$2:$J$921)</f>
        <v>0</v>
      </c>
      <c r="K14" s="13">
        <f>SUMIF(Mercado_Receita!$S$2:$S$921,"44440BGeraçãoNão se aplicaNão se aplicaTIPO 02Não se aplicaNão se aplica",Mercado_Receita!$J$2:$J$921)+SUMIF(Mercado_Receita!$S$2:$S$921,"44440BGeraçãoNão se aplicaNão se aplicaAPENão se aplicaNão se aplica",Mercado_Receita!$J$2:$J$921)</f>
        <v>0</v>
      </c>
      <c r="L14" s="13">
        <f>SUMIF(Mercado_Receita!$S$2:$S$921,"44470BGeraçãoNão se aplicaNão se aplicaTIPO 02Não se aplicaNão se aplica",Mercado_Receita!$J$2:$J$921)+SUMIF(Mercado_Receita!$S$2:$S$921,"44470BGeraçãoNão se aplicaNão se aplicaAPENão se aplicaNão se aplica",Mercado_Receita!$J$2:$J$921)</f>
        <v>0</v>
      </c>
      <c r="M14" s="13">
        <f>SUMIF(Mercado_Receita!$S$2:$S$921,"44501BGeraçãoNão se aplicaNão se aplicaTIPO 02Não se aplicaNão se aplica",Mercado_Receita!$J$2:$J$921)+SUMIF(Mercado_Receita!$S$2:$S$921,"44501BGeraçãoNão se aplicaNão se aplicaAPENão se aplicaNão se aplica",Mercado_Receita!$J$2:$J$921)</f>
        <v>0</v>
      </c>
      <c r="N14" s="13">
        <f>SUMIF(Mercado_Receita!$S$2:$S$921,"44531BGeraçãoNão se aplicaNão se aplicaTIPO 02Não se aplicaNão se aplica",Mercado_Receita!$J$2:$J$921)+SUMIF(Mercado_Receita!$S$2:$S$921,"44531BGeraçãoNão se aplicaNão se aplicaAPENão se aplicaNão se aplica",Mercado_Receita!$J$2:$J$921)</f>
        <v>0</v>
      </c>
      <c r="O14" s="13">
        <f>SUMIF(Mercado_Receita!$S$2:$S$921,"44562BGeraçãoNão se aplicaNão se aplicaTIPO 02Não se aplicaNão se aplica",Mercado_Receita!$J$2:$J$921)+SUMIF(Mercado_Receita!$S$2:$S$921,"44562BGeraçãoNão se aplicaNão se aplicaAPENão se aplicaNão se aplica",Mercado_Receita!$J$2:$J$921)</f>
        <v>0</v>
      </c>
      <c r="P14" s="13">
        <f>SUMIF(Mercado_Receita!$S$2:$S$921,"44593BGeraçãoNão se aplicaNão se aplicaTIPO 02Não se aplicaNão se aplica",Mercado_Receita!$J$2:$J$921)+SUMIF(Mercado_Receita!$S$2:$S$921,"44593BGeraçãoNão se aplicaNão se aplicaAPENão se aplicaNão se aplica",Mercado_Receita!$J$2:$J$921)</f>
        <v>0</v>
      </c>
      <c r="Q14" s="13">
        <f>SUMIF(Mercado_Receita!$S$2:$S$921,"44621BGeraçãoNão se aplicaNão se aplicaTIPO 02Não se aplicaNão se aplica",Mercado_Receita!$J$2:$J$921)+SUMIF(Mercado_Receita!$S$2:$S$921,"44621BGeraçãoNão se aplicaNão se aplicaAPENão se aplicaNão se aplica",Mercado_Receita!$J$2:$J$921)</f>
        <v>0</v>
      </c>
      <c r="R14" s="13">
        <f>SUMIF(Mercado_Receita!$S$2:$S$921,"44652BGeraçãoNão se aplicaNão se aplicaTIPO 02Não se aplicaNão se aplica",Mercado_Receita!$J$2:$J$921)+SUMIF(Mercado_Receita!$S$2:$S$921,"44652BGeraçãoNão se aplicaNão se aplicaAPENão se aplicaNão se aplica",Mercado_Receita!$J$2:$J$921)</f>
        <v>0</v>
      </c>
      <c r="S14" s="13">
        <f>SUMIF(Mercado_Receita!$S$2:$S$921,"44682BGeraçãoNão se aplicaNão se aplicaTIPO 02Não se aplicaNão se aplica",Mercado_Receita!$J$2:$J$921)+SUMIF(Mercado_Receita!$S$2:$S$921,"44682BGeraçãoNão se aplicaNão se aplicaAPENão se aplicaNão se aplica",Mercado_Receita!$J$2:$J$921)</f>
        <v>0</v>
      </c>
      <c r="T14" s="13">
        <f>SUMIF(Mercado_Receita!$S$2:$S$921,"44713BGeraçãoNão se aplicaNão se aplicaTIPO 02Não se aplicaNão se aplica",Mercado_Receita!$J$2:$J$921)+SUMIF(Mercado_Receita!$S$2:$S$921,"44713BGeraçãoNão se aplicaNão se aplicaAPENão se aplicaNão se aplica",Mercado_Receita!$J$2:$J$921)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116" t="s">
        <v>22</v>
      </c>
      <c r="B15" s="116" t="s">
        <v>32</v>
      </c>
      <c r="C15" s="116" t="s">
        <v>24</v>
      </c>
      <c r="D15" s="116" t="s">
        <v>24</v>
      </c>
      <c r="E15" s="116" t="s">
        <v>25</v>
      </c>
      <c r="F15" s="116" t="s">
        <v>25</v>
      </c>
      <c r="G15" s="13" t="s">
        <v>83</v>
      </c>
      <c r="H15" s="13" t="s">
        <v>82</v>
      </c>
      <c r="I15" s="13">
        <f>SUMIF(Mercado_Receita!$S$2:$S$921,"44378B1BrancaResidencialResidencialNão se aplicaNão se aplicaPonta",Mercado_Receita!$L$2:$L$921)</f>
        <v>8.3000000000000004E-2</v>
      </c>
      <c r="J15" s="13">
        <f>SUMIF(Mercado_Receita!$S$2:$S$921,"44409B1BrancaResidencialResidencialNão se aplicaNão se aplicaPonta",Mercado_Receita!$L$2:$L$921)</f>
        <v>6.2E-2</v>
      </c>
      <c r="K15" s="13">
        <f>SUMIF(Mercado_Receita!$S$2:$S$921,"44440B1BrancaResidencialResidencialNão se aplicaNão se aplicaPonta",Mercado_Receita!$L$2:$L$921)</f>
        <v>7.3999999999999996E-2</v>
      </c>
      <c r="L15" s="13">
        <f>SUMIF(Mercado_Receita!$S$2:$S$921,"44470B1BrancaResidencialResidencialNão se aplicaNão se aplicaPonta",Mercado_Receita!$L$2:$L$921)</f>
        <v>8.1000000000000003E-2</v>
      </c>
      <c r="M15" s="13">
        <f>SUMIF(Mercado_Receita!$S$2:$S$921,"44501B1BrancaResidencialResidencialNão se aplicaNão se aplicaPonta",Mercado_Receita!$L$2:$L$921)</f>
        <v>9.5000000000000001E-2</v>
      </c>
      <c r="N15" s="13">
        <f>SUMIF(Mercado_Receita!$S$2:$S$921,"44531B1BrancaResidencialResidencialNão se aplicaNão se aplicaPonta",Mercado_Receita!$L$2:$L$921)</f>
        <v>0.10299999999999999</v>
      </c>
      <c r="O15" s="13">
        <f>SUMIF(Mercado_Receita!$S$2:$S$921,"44562B1BrancaResidencialResidencialNão se aplicaNão se aplicaPonta",Mercado_Receita!$L$2:$L$921)</f>
        <v>0.124</v>
      </c>
      <c r="P15" s="13">
        <f>SUMIF(Mercado_Receita!$S$2:$S$921,"44593B1BrancaResidencialResidencialNão se aplicaNão se aplicaPonta",Mercado_Receita!$L$2:$L$921)</f>
        <v>5.8000000000000003E-2</v>
      </c>
      <c r="Q15" s="13">
        <f>SUMIF(Mercado_Receita!$S$2:$S$921,"44621B1BrancaResidencialResidencialNão se aplicaNão se aplicaPonta",Mercado_Receita!$L$2:$L$921)</f>
        <v>0.20499999999999999</v>
      </c>
      <c r="R15" s="13">
        <f>SUMIF(Mercado_Receita!$S$2:$S$921,"44652B1BrancaResidencialResidencialNão se aplicaNão se aplicaPonta",Mercado_Receita!$L$2:$L$921)</f>
        <v>7.1999999999999995E-2</v>
      </c>
      <c r="S15" s="13">
        <f>SUMIF(Mercado_Receita!$S$2:$S$921,"44682B1BrancaResidencialResidencialNão se aplicaNão se aplicaPonta",Mercado_Receita!$L$2:$L$921)</f>
        <v>7.2999999999999995E-2</v>
      </c>
      <c r="T15" s="13">
        <f>SUMIF(Mercado_Receita!$S$2:$S$921,"44713B1BrancaResidencialResidencialNão se aplicaNão se aplicaPonta",Mercado_Receita!$L$2:$L$921)</f>
        <v>7.2999999999999995E-2</v>
      </c>
      <c r="U15" s="13">
        <f t="shared" si="0"/>
        <v>1.103</v>
      </c>
      <c r="V15" s="13"/>
      <c r="W15" s="13"/>
    </row>
    <row r="16" spans="1:30" ht="11.25" customHeight="1" x14ac:dyDescent="0.25">
      <c r="A16" s="117"/>
      <c r="B16" s="117"/>
      <c r="C16" s="117"/>
      <c r="D16" s="117"/>
      <c r="E16" s="117"/>
      <c r="F16" s="117"/>
      <c r="G16" s="13" t="s">
        <v>93</v>
      </c>
      <c r="H16" s="13" t="s">
        <v>82</v>
      </c>
      <c r="I16" s="13">
        <f>SUMIF(Mercado_Receita!$S$2:$S$921,"44378B1BrancaResidencialResidencialNão se aplicaNão se aplicaIntermediário",Mercado_Receita!$L$2:$L$921)</f>
        <v>3.2000000000000001E-2</v>
      </c>
      <c r="J16" s="13">
        <f>SUMIF(Mercado_Receita!$S$2:$S$921,"44409B1BrancaResidencialResidencialNão se aplicaNão se aplicaIntermediário",Mercado_Receita!$L$2:$L$921)</f>
        <v>3.3000000000000002E-2</v>
      </c>
      <c r="K16" s="13">
        <f>SUMIF(Mercado_Receita!$S$2:$S$921,"44440B1BrancaResidencialResidencialNão se aplicaNão se aplicaIntermediário",Mercado_Receita!$L$2:$L$921)</f>
        <v>3.9E-2</v>
      </c>
      <c r="L16" s="13">
        <f>SUMIF(Mercado_Receita!$S$2:$S$921,"44470B1BrancaResidencialResidencialNão se aplicaNão se aplicaIntermediário",Mercado_Receita!$L$2:$L$921)</f>
        <v>3.5999999999999997E-2</v>
      </c>
      <c r="M16" s="13">
        <f>SUMIF(Mercado_Receita!$S$2:$S$921,"44501B1BrancaResidencialResidencialNão se aplicaNão se aplicaIntermediário",Mercado_Receita!$L$2:$L$921)</f>
        <v>5.3999999999999999E-2</v>
      </c>
      <c r="N16" s="13">
        <f>SUMIF(Mercado_Receita!$S$2:$S$921,"44531B1BrancaResidencialResidencialNão se aplicaNão se aplicaIntermediário",Mercado_Receita!$L$2:$L$921)</f>
        <v>0.08</v>
      </c>
      <c r="O16" s="13">
        <f>SUMIF(Mercado_Receita!$S$2:$S$921,"44562B1BrancaResidencialResidencialNão se aplicaNão se aplicaIntermediário",Mercado_Receita!$L$2:$L$921)</f>
        <v>0.1</v>
      </c>
      <c r="P16" s="13">
        <f>SUMIF(Mercado_Receita!$S$2:$S$921,"44593B1BrancaResidencialResidencialNão se aplicaNão se aplicaIntermediário",Mercado_Receita!$L$2:$L$921)</f>
        <v>3.5000000000000003E-2</v>
      </c>
      <c r="Q16" s="13">
        <f>SUMIF(Mercado_Receita!$S$2:$S$921,"44621B1BrancaResidencialResidencialNão se aplicaNão se aplicaIntermediário",Mercado_Receita!$L$2:$L$921)</f>
        <v>0.129</v>
      </c>
      <c r="R16" s="13">
        <f>SUMIF(Mercado_Receita!$S$2:$S$921,"44652B1BrancaResidencialResidencialNão se aplicaNão se aplicaIntermediário",Mercado_Receita!$L$2:$L$921)</f>
        <v>3.4000000000000002E-2</v>
      </c>
      <c r="S16" s="13">
        <f>SUMIF(Mercado_Receita!$S$2:$S$921,"44682B1BrancaResidencialResidencialNão se aplicaNão se aplicaIntermediário",Mercado_Receita!$L$2:$L$921)</f>
        <v>3.7999999999999999E-2</v>
      </c>
      <c r="T16" s="13">
        <f>SUMIF(Mercado_Receita!$S$2:$S$921,"44713B1BrancaResidencialResidencialNão se aplicaNão se aplicaIntermediário",Mercado_Receita!$L$2:$L$921)</f>
        <v>3.7999999999999999E-2</v>
      </c>
      <c r="U16" s="13">
        <f t="shared" si="0"/>
        <v>0.64800000000000013</v>
      </c>
      <c r="V16" s="13"/>
      <c r="W16" s="13"/>
    </row>
    <row r="17" spans="1:23" ht="11.25" customHeight="1" x14ac:dyDescent="0.25">
      <c r="A17" s="117"/>
      <c r="B17" s="117"/>
      <c r="C17" s="117"/>
      <c r="D17" s="117"/>
      <c r="E17" s="117"/>
      <c r="F17" s="117"/>
      <c r="G17" s="13" t="s">
        <v>84</v>
      </c>
      <c r="H17" s="13" t="s">
        <v>82</v>
      </c>
      <c r="I17" s="13">
        <f>SUMIF(Mercado_Receita!$S$2:$S$921,"44378B1BrancaResidencialResidencialNão se aplicaNão se aplicaFora ponta",Mercado_Receita!$L$2:$L$921)</f>
        <v>1.181</v>
      </c>
      <c r="J17" s="13">
        <f>SUMIF(Mercado_Receita!$S$2:$S$921,"44409B1BrancaResidencialResidencialNão se aplicaNão se aplicaFora ponta",Mercado_Receita!$L$2:$L$921)</f>
        <v>2.4350000000000001</v>
      </c>
      <c r="K17" s="13">
        <f>SUMIF(Mercado_Receita!$S$2:$S$921,"44440B1BrancaResidencialResidencialNão se aplicaNão se aplicaFora ponta",Mercado_Receita!$L$2:$L$921)</f>
        <v>0.71899999999999997</v>
      </c>
      <c r="L17" s="13">
        <f>SUMIF(Mercado_Receita!$S$2:$S$921,"44470B1BrancaResidencialResidencialNão se aplicaNão se aplicaFora ponta",Mercado_Receita!$L$2:$L$921)</f>
        <v>0.75900000000000001</v>
      </c>
      <c r="M17" s="13">
        <f>SUMIF(Mercado_Receita!$S$2:$S$921,"44501B1BrancaResidencialResidencialNão se aplicaNão se aplicaFora ponta",Mercado_Receita!$L$2:$L$921)</f>
        <v>0.91500000000000004</v>
      </c>
      <c r="N17" s="13">
        <f>SUMIF(Mercado_Receita!$S$2:$S$921,"44531B1BrancaResidencialResidencialNão se aplicaNão se aplicaFora ponta",Mercado_Receita!$L$2:$L$921)</f>
        <v>1.01</v>
      </c>
      <c r="O17" s="13">
        <f>SUMIF(Mercado_Receita!$S$2:$S$921,"44562B1BrancaResidencialResidencialNão se aplicaNão se aplicaFora ponta",Mercado_Receita!$L$2:$L$921)</f>
        <v>1.4059999999999999</v>
      </c>
      <c r="P17" s="13">
        <f>SUMIF(Mercado_Receita!$S$2:$S$921,"44593B1BrancaResidencialResidencialNão se aplicaNão se aplicaFora ponta",Mercado_Receita!$L$2:$L$921)</f>
        <v>0.307</v>
      </c>
      <c r="Q17" s="13">
        <f>SUMIF(Mercado_Receita!$S$2:$S$921,"44621B1BrancaResidencialResidencialNão se aplicaNão se aplicaFora ponta",Mercado_Receita!$L$2:$L$921)</f>
        <v>0.92500000000000004</v>
      </c>
      <c r="R17" s="13">
        <f>SUMIF(Mercado_Receita!$S$2:$S$921,"44652B1BrancaResidencialResidencialNão se aplicaNão se aplicaFora ponta",Mercado_Receita!$L$2:$L$921)</f>
        <v>0.69899999999999995</v>
      </c>
      <c r="S17" s="13">
        <f>SUMIF(Mercado_Receita!$S$2:$S$921,"44682B1BrancaResidencialResidencialNão se aplicaNão se aplicaFora ponta",Mercado_Receita!$L$2:$L$921)</f>
        <v>0.75600000000000001</v>
      </c>
      <c r="T17" s="13">
        <f>SUMIF(Mercado_Receita!$S$2:$S$921,"44713B1BrancaResidencialResidencialNão se aplicaNão se aplicaFora ponta",Mercado_Receita!$L$2:$L$921)</f>
        <v>0.75600000000000001</v>
      </c>
      <c r="U17" s="13">
        <f t="shared" si="0"/>
        <v>11.868000000000002</v>
      </c>
      <c r="V17" s="13"/>
      <c r="W17" s="13"/>
    </row>
    <row r="18" spans="1:23" ht="11.25" customHeight="1" x14ac:dyDescent="0.25">
      <c r="A18" s="117"/>
      <c r="B18" s="116" t="s">
        <v>23</v>
      </c>
      <c r="C18" s="116" t="s">
        <v>24</v>
      </c>
      <c r="D18" s="12" t="s">
        <v>24</v>
      </c>
      <c r="E18" s="12" t="s">
        <v>25</v>
      </c>
      <c r="F18" s="12" t="s">
        <v>25</v>
      </c>
      <c r="G18" s="13" t="s">
        <v>86</v>
      </c>
      <c r="H18" s="13" t="s">
        <v>82</v>
      </c>
      <c r="I18" s="13">
        <f>SUMIF(Mercado_Receita!$S$2:$S$921,"44378B1ConvencionalResidencialResidencialNão se aplicaNão se aplicaPonta",Mercado_Receita!$L$2:$L$921)+SUMIF(Mercado_Receita!$S$2:$S$921,"44378B1ConvencionalResidencialResidencialNão se aplicaNão se aplicaFora ponta",Mercado_Receita!$L$2:$L$921)+SUMIF(Mercado_Receita!$S$2:$S$921,"44378B1ConvencionalResidencialResidencialNão se aplicaNão se aplicaIntermediário",Mercado_Receita!$L$2:$L$921)+SUMIF(Mercado_Receita!$S$2:$S$921,"44378B1ConvencionalResidencialResidencialNão se aplicaNão se aplicaNão se aplica",Mercado_Receita!$L$2:$L$921)</f>
        <v>5556.1239999999998</v>
      </c>
      <c r="J18" s="13">
        <f>SUMIF(Mercado_Receita!$S$2:$S$921,"44409B1ConvencionalResidencialResidencialNão se aplicaNão se aplicaPonta",Mercado_Receita!$L$2:$L$921)+SUMIF(Mercado_Receita!$S$2:$S$921,"44409B1ConvencionalResidencialResidencialNão se aplicaNão se aplicaFora ponta",Mercado_Receita!$L$2:$L$921)+SUMIF(Mercado_Receita!$S$2:$S$921,"44409B1ConvencionalResidencialResidencialNão se aplicaNão se aplicaIntermediário",Mercado_Receita!$L$2:$L$921)+SUMIF(Mercado_Receita!$S$2:$S$921,"44409B1ConvencionalResidencialResidencialNão se aplicaNão se aplicaNão se aplica",Mercado_Receita!$L$2:$L$921)</f>
        <v>5383.6269999999995</v>
      </c>
      <c r="K18" s="13">
        <f>SUMIF(Mercado_Receita!$S$2:$S$921,"44440B1ConvencionalResidencialResidencialNão se aplicaNão se aplicaPonta",Mercado_Receita!$L$2:$L$921)+SUMIF(Mercado_Receita!$S$2:$S$921,"44440B1ConvencionalResidencialResidencialNão se aplicaNão se aplicaFora ponta",Mercado_Receita!$L$2:$L$921)+SUMIF(Mercado_Receita!$S$2:$S$921,"44440B1ConvencionalResidencialResidencialNão se aplicaNão se aplicaIntermediário",Mercado_Receita!$L$2:$L$921)+SUMIF(Mercado_Receita!$S$2:$S$921,"44440B1ConvencionalResidencialResidencialNão se aplicaNão se aplicaNão se aplica",Mercado_Receita!$L$2:$L$921)</f>
        <v>4996.3909999999996</v>
      </c>
      <c r="L18" s="13">
        <f>SUMIF(Mercado_Receita!$S$2:$S$921,"44470B1ConvencionalResidencialResidencialNão se aplicaNão se aplicaPonta",Mercado_Receita!$L$2:$L$921)+SUMIF(Mercado_Receita!$S$2:$S$921,"44470B1ConvencionalResidencialResidencialNão se aplicaNão se aplicaFora ponta",Mercado_Receita!$L$2:$L$921)+SUMIF(Mercado_Receita!$S$2:$S$921,"44470B1ConvencionalResidencialResidencialNão se aplicaNão se aplicaIntermediário",Mercado_Receita!$L$2:$L$921)+SUMIF(Mercado_Receita!$S$2:$S$921,"44470B1ConvencionalResidencialResidencialNão se aplicaNão se aplicaNão se aplica",Mercado_Receita!$L$2:$L$921)</f>
        <v>4915.9639999999999</v>
      </c>
      <c r="M18" s="13">
        <f>SUMIF(Mercado_Receita!$S$2:$S$921,"44501B1ConvencionalResidencialResidencialNão se aplicaNão se aplicaPonta",Mercado_Receita!$L$2:$L$921)+SUMIF(Mercado_Receita!$S$2:$S$921,"44501B1ConvencionalResidencialResidencialNão se aplicaNão se aplicaFora ponta",Mercado_Receita!$L$2:$L$921)+SUMIF(Mercado_Receita!$S$2:$S$921,"44501B1ConvencionalResidencialResidencialNão se aplicaNão se aplicaIntermediário",Mercado_Receita!$L$2:$L$921)+SUMIF(Mercado_Receita!$S$2:$S$921,"44501B1ConvencionalResidencialResidencialNão se aplicaNão se aplicaNão se aplica",Mercado_Receita!$L$2:$L$921)</f>
        <v>5174.1660000000002</v>
      </c>
      <c r="N18" s="13">
        <f>SUMIF(Mercado_Receita!$S$2:$S$921,"44531B1ConvencionalResidencialResidencialNão se aplicaNão se aplicaPonta",Mercado_Receita!$L$2:$L$921)+SUMIF(Mercado_Receita!$S$2:$S$921,"44531B1ConvencionalResidencialResidencialNão se aplicaNão se aplicaFora ponta",Mercado_Receita!$L$2:$L$921)+SUMIF(Mercado_Receita!$S$2:$S$921,"44531B1ConvencionalResidencialResidencialNão se aplicaNão se aplicaIntermediário",Mercado_Receita!$L$2:$L$921)+SUMIF(Mercado_Receita!$S$2:$S$921,"44531B1ConvencionalResidencialResidencialNão se aplicaNão se aplicaNão se aplica",Mercado_Receita!$L$2:$L$921)</f>
        <v>5206.6930000000002</v>
      </c>
      <c r="O18" s="13">
        <f>SUMIF(Mercado_Receita!$S$2:$S$921,"44562B1ConvencionalResidencialResidencialNão se aplicaNão se aplicaPonta",Mercado_Receita!$L$2:$L$921)+SUMIF(Mercado_Receita!$S$2:$S$921,"44562B1ConvencionalResidencialResidencialNão se aplicaNão se aplicaFora ponta",Mercado_Receita!$L$2:$L$921)+SUMIF(Mercado_Receita!$S$2:$S$921,"44562B1ConvencionalResidencialResidencialNão se aplicaNão se aplicaIntermediário",Mercado_Receita!$L$2:$L$921)+SUMIF(Mercado_Receita!$S$2:$S$921,"44562B1ConvencionalResidencialResidencialNão se aplicaNão se aplicaNão se aplica",Mercado_Receita!$L$2:$L$921)</f>
        <v>6063.5769999999993</v>
      </c>
      <c r="P18" s="13">
        <f>SUMIF(Mercado_Receita!$S$2:$S$921,"44593B1ConvencionalResidencialResidencialNão se aplicaNão se aplicaPonta",Mercado_Receita!$L$2:$L$921)+SUMIF(Mercado_Receita!$S$2:$S$921,"44593B1ConvencionalResidencialResidencialNão se aplicaNão se aplicaFora ponta",Mercado_Receita!$L$2:$L$921)+SUMIF(Mercado_Receita!$S$2:$S$921,"44593B1ConvencionalResidencialResidencialNão se aplicaNão se aplicaIntermediário",Mercado_Receita!$L$2:$L$921)+SUMIF(Mercado_Receita!$S$2:$S$921,"44593B1ConvencionalResidencialResidencialNão se aplicaNão se aplicaNão se aplica",Mercado_Receita!$L$2:$L$921)</f>
        <v>5963.5320000000002</v>
      </c>
      <c r="Q18" s="13">
        <f>SUMIF(Mercado_Receita!$S$2:$S$921,"44621B1ConvencionalResidencialResidencialNão se aplicaNão se aplicaPonta",Mercado_Receita!$L$2:$L$921)+SUMIF(Mercado_Receita!$S$2:$S$921,"44621B1ConvencionalResidencialResidencialNão se aplicaNão se aplicaFora ponta",Mercado_Receita!$L$2:$L$921)+SUMIF(Mercado_Receita!$S$2:$S$921,"44621B1ConvencionalResidencialResidencialNão se aplicaNão se aplicaIntermediário",Mercado_Receita!$L$2:$L$921)+SUMIF(Mercado_Receita!$S$2:$S$921,"44621B1ConvencionalResidencialResidencialNão se aplicaNão se aplicaNão se aplica",Mercado_Receita!$L$2:$L$921)</f>
        <v>5867.851999999999</v>
      </c>
      <c r="R18" s="13">
        <f>SUMIF(Mercado_Receita!$S$2:$S$921,"44652B1ConvencionalResidencialResidencialNão se aplicaNão se aplicaPonta",Mercado_Receita!$L$2:$L$921)+SUMIF(Mercado_Receita!$S$2:$S$921,"44652B1ConvencionalResidencialResidencialNão se aplicaNão se aplicaFora ponta",Mercado_Receita!$L$2:$L$921)+SUMIF(Mercado_Receita!$S$2:$S$921,"44652B1ConvencionalResidencialResidencialNão se aplicaNão se aplicaIntermediário",Mercado_Receita!$L$2:$L$921)+SUMIF(Mercado_Receita!$S$2:$S$921,"44652B1ConvencionalResidencialResidencialNão se aplicaNão se aplicaNão se aplica",Mercado_Receita!$L$2:$L$921)</f>
        <v>4619.0970000000007</v>
      </c>
      <c r="S18" s="13">
        <f>SUMIF(Mercado_Receita!$S$2:$S$921,"44682B1ConvencionalResidencialResidencialNão se aplicaNão se aplicaPonta",Mercado_Receita!$L$2:$L$921)+SUMIF(Mercado_Receita!$S$2:$S$921,"44682B1ConvencionalResidencialResidencialNão se aplicaNão se aplicaFora ponta",Mercado_Receita!$L$2:$L$921)+SUMIF(Mercado_Receita!$S$2:$S$921,"44682B1ConvencionalResidencialResidencialNão se aplicaNão se aplicaIntermediário",Mercado_Receita!$L$2:$L$921)+SUMIF(Mercado_Receita!$S$2:$S$921,"44682B1ConvencionalResidencialResidencialNão se aplicaNão se aplicaNão se aplica",Mercado_Receita!$L$2:$L$921)</f>
        <v>4732.683</v>
      </c>
      <c r="T18" s="13">
        <f>SUMIF(Mercado_Receita!$S$2:$S$921,"44713B1ConvencionalResidencialResidencialNão se aplicaNão se aplicaPonta",Mercado_Receita!$L$2:$L$921)+SUMIF(Mercado_Receita!$S$2:$S$921,"44713B1ConvencionalResidencialResidencialNão se aplicaNão se aplicaFora ponta",Mercado_Receita!$L$2:$L$921)+SUMIF(Mercado_Receita!$S$2:$S$921,"44713B1ConvencionalResidencialResidencialNão se aplicaNão se aplicaIntermediário",Mercado_Receita!$L$2:$L$921)+SUMIF(Mercado_Receita!$S$2:$S$921,"44713B1ConvencionalResidencialResidencialNão se aplicaNão se aplicaNão se aplica",Mercado_Receita!$L$2:$L$921)</f>
        <v>4732.683</v>
      </c>
      <c r="U18" s="13">
        <f t="shared" si="0"/>
        <v>63212.388999999996</v>
      </c>
      <c r="V18" s="13"/>
      <c r="W18" s="13"/>
    </row>
    <row r="19" spans="1:23" ht="11.25" customHeight="1" x14ac:dyDescent="0.25">
      <c r="A19" s="117"/>
      <c r="B19" s="117"/>
      <c r="C19" s="117"/>
      <c r="D19" s="12" t="s">
        <v>28</v>
      </c>
      <c r="E19" s="12" t="s">
        <v>25</v>
      </c>
      <c r="F19" s="12" t="s">
        <v>25</v>
      </c>
      <c r="G19" s="13" t="s">
        <v>86</v>
      </c>
      <c r="H19" s="13" t="s">
        <v>82</v>
      </c>
      <c r="I19" s="13">
        <f>SUMIF(Mercado_Receita!$S$2:$S$921,"44378B1ConvencionalResidencialResidencial baixa renda – faixa 01Não se aplicaNão se aplicaPonta",Mercado_Receita!$L$2:$L$921)+SUMIF(Mercado_Receita!$S$2:$S$921,"44378B1ConvencionalResidencialResidencial baixa renda – faixa 01Não se aplicaNão se aplicaFora ponta",Mercado_Receita!$L$2:$L$921)+SUMIF(Mercado_Receita!$S$2:$S$921,"44378B1ConvencionalResidencialResidencial baixa renda – faixa 01Não se aplicaNão se aplicaIntermediário",Mercado_Receita!$L$2:$L$921)+SUMIF(Mercado_Receita!$S$2:$S$921,"44378B1ConvencionalResidencialResidencial baixa renda – faixa 01Não se aplicaNão se aplicaNão se aplica",Mercado_Receita!$L$2:$L$921)</f>
        <v>20.823</v>
      </c>
      <c r="J19" s="13">
        <f>SUMIF(Mercado_Receita!$S$2:$S$921,"44409B1ConvencionalResidencialResidencial baixa renda – faixa 01Não se aplicaNão se aplicaPonta",Mercado_Receita!$L$2:$L$921)+SUMIF(Mercado_Receita!$S$2:$S$921,"44409B1ConvencionalResidencialResidencial baixa renda – faixa 01Não se aplicaNão se aplicaFora ponta",Mercado_Receita!$L$2:$L$921)+SUMIF(Mercado_Receita!$S$2:$S$921,"44409B1ConvencionalResidencialResidencial baixa renda – faixa 01Não se aplicaNão se aplicaIntermediário",Mercado_Receita!$L$2:$L$921)+SUMIF(Mercado_Receita!$S$2:$S$921,"44409B1ConvencionalResidencialResidencial baixa renda – faixa 01Não se aplicaNão se aplicaNão se aplica",Mercado_Receita!$L$2:$L$921)</f>
        <v>20.88</v>
      </c>
      <c r="K19" s="13">
        <f>SUMIF(Mercado_Receita!$S$2:$S$921,"44440B1ConvencionalResidencialResidencial baixa renda – faixa 01Não se aplicaNão se aplicaPonta",Mercado_Receita!$L$2:$L$921)+SUMIF(Mercado_Receita!$S$2:$S$921,"44440B1ConvencionalResidencialResidencial baixa renda – faixa 01Não se aplicaNão se aplicaFora ponta",Mercado_Receita!$L$2:$L$921)+SUMIF(Mercado_Receita!$S$2:$S$921,"44440B1ConvencionalResidencialResidencial baixa renda – faixa 01Não se aplicaNão se aplicaIntermediário",Mercado_Receita!$L$2:$L$921)+SUMIF(Mercado_Receita!$S$2:$S$921,"44440B1ConvencionalResidencialResidencial baixa renda – faixa 01Não se aplicaNão se aplicaNão se aplica",Mercado_Receita!$L$2:$L$921)</f>
        <v>20.873000000000001</v>
      </c>
      <c r="L19" s="13">
        <f>SUMIF(Mercado_Receita!$S$2:$S$921,"44470B1ConvencionalResidencialResidencial baixa renda – faixa 01Não se aplicaNão se aplicaPonta",Mercado_Receita!$L$2:$L$921)+SUMIF(Mercado_Receita!$S$2:$S$921,"44470B1ConvencionalResidencialResidencial baixa renda – faixa 01Não se aplicaNão se aplicaFora ponta",Mercado_Receita!$L$2:$L$921)+SUMIF(Mercado_Receita!$S$2:$S$921,"44470B1ConvencionalResidencialResidencial baixa renda – faixa 01Não se aplicaNão se aplicaIntermediário",Mercado_Receita!$L$2:$L$921)+SUMIF(Mercado_Receita!$S$2:$S$921,"44470B1ConvencionalResidencialResidencial baixa renda – faixa 01Não se aplicaNão se aplicaNão se aplica",Mercado_Receita!$L$2:$L$921)</f>
        <v>21.12</v>
      </c>
      <c r="M19" s="13">
        <f>SUMIF(Mercado_Receita!$S$2:$S$921,"44501B1ConvencionalResidencialResidencial baixa renda – faixa 01Não se aplicaNão se aplicaPonta",Mercado_Receita!$L$2:$L$921)+SUMIF(Mercado_Receita!$S$2:$S$921,"44501B1ConvencionalResidencialResidencial baixa renda – faixa 01Não se aplicaNão se aplicaFora ponta",Mercado_Receita!$L$2:$L$921)+SUMIF(Mercado_Receita!$S$2:$S$921,"44501B1ConvencionalResidencialResidencial baixa renda – faixa 01Não se aplicaNão se aplicaIntermediário",Mercado_Receita!$L$2:$L$921)+SUMIF(Mercado_Receita!$S$2:$S$921,"44501B1ConvencionalResidencialResidencial baixa renda – faixa 01Não se aplicaNão se aplicaNão se aplica",Mercado_Receita!$L$2:$L$921)</f>
        <v>21.397000000000002</v>
      </c>
      <c r="N19" s="13">
        <f>SUMIF(Mercado_Receita!$S$2:$S$921,"44531B1ConvencionalResidencialResidencial baixa renda – faixa 01Não se aplicaNão se aplicaPonta",Mercado_Receita!$L$2:$L$921)+SUMIF(Mercado_Receita!$S$2:$S$921,"44531B1ConvencionalResidencialResidencial baixa renda – faixa 01Não se aplicaNão se aplicaFora ponta",Mercado_Receita!$L$2:$L$921)+SUMIF(Mercado_Receita!$S$2:$S$921,"44531B1ConvencionalResidencialResidencial baixa renda – faixa 01Não se aplicaNão se aplicaIntermediário",Mercado_Receita!$L$2:$L$921)+SUMIF(Mercado_Receita!$S$2:$S$921,"44531B1ConvencionalResidencialResidencial baixa renda – faixa 01Não se aplicaNão se aplicaNão se aplica",Mercado_Receita!$L$2:$L$921)</f>
        <v>21.346999999999998</v>
      </c>
      <c r="O19" s="13">
        <f>SUMIF(Mercado_Receita!$S$2:$S$921,"44562B1ConvencionalResidencialResidencial baixa renda – faixa 01Não se aplicaNão se aplicaPonta",Mercado_Receita!$L$2:$L$921)+SUMIF(Mercado_Receita!$S$2:$S$921,"44562B1ConvencionalResidencialResidencial baixa renda – faixa 01Não se aplicaNão se aplicaFora ponta",Mercado_Receita!$L$2:$L$921)+SUMIF(Mercado_Receita!$S$2:$S$921,"44562B1ConvencionalResidencialResidencial baixa renda – faixa 01Não se aplicaNão se aplicaIntermediário",Mercado_Receita!$L$2:$L$921)+SUMIF(Mercado_Receita!$S$2:$S$921,"44562B1ConvencionalResidencialResidencial baixa renda – faixa 01Não se aplicaNão se aplicaNão se aplica",Mercado_Receita!$L$2:$L$921)</f>
        <v>21.39</v>
      </c>
      <c r="P19" s="13">
        <f>SUMIF(Mercado_Receita!$S$2:$S$921,"44593B1ConvencionalResidencialResidencial baixa renda – faixa 01Não se aplicaNão se aplicaPonta",Mercado_Receita!$L$2:$L$921)+SUMIF(Mercado_Receita!$S$2:$S$921,"44593B1ConvencionalResidencialResidencial baixa renda – faixa 01Não se aplicaNão se aplicaFora ponta",Mercado_Receita!$L$2:$L$921)+SUMIF(Mercado_Receita!$S$2:$S$921,"44593B1ConvencionalResidencialResidencial baixa renda – faixa 01Não se aplicaNão se aplicaIntermediário",Mercado_Receita!$L$2:$L$921)+SUMIF(Mercado_Receita!$S$2:$S$921,"44593B1ConvencionalResidencialResidencial baixa renda – faixa 01Não se aplicaNão se aplicaNão se aplica",Mercado_Receita!$L$2:$L$921)</f>
        <v>21.423000000000002</v>
      </c>
      <c r="Q19" s="13">
        <f>SUMIF(Mercado_Receita!$S$2:$S$921,"44621B1ConvencionalResidencialResidencial baixa renda – faixa 01Não se aplicaNão se aplicaPonta",Mercado_Receita!$L$2:$L$921)+SUMIF(Mercado_Receita!$S$2:$S$921,"44621B1ConvencionalResidencialResidencial baixa renda – faixa 01Não se aplicaNão se aplicaFora ponta",Mercado_Receita!$L$2:$L$921)+SUMIF(Mercado_Receita!$S$2:$S$921,"44621B1ConvencionalResidencialResidencial baixa renda – faixa 01Não se aplicaNão se aplicaIntermediário",Mercado_Receita!$L$2:$L$921)+SUMIF(Mercado_Receita!$S$2:$S$921,"44621B1ConvencionalResidencialResidencial baixa renda – faixa 01Não se aplicaNão se aplicaNão se aplica",Mercado_Receita!$L$2:$L$921)</f>
        <v>21.84</v>
      </c>
      <c r="R19" s="13">
        <f>SUMIF(Mercado_Receita!$S$2:$S$921,"44652B1ConvencionalResidencialResidencial baixa renda – faixa 01Não se aplicaNão se aplicaPonta",Mercado_Receita!$L$2:$L$921)+SUMIF(Mercado_Receita!$S$2:$S$921,"44652B1ConvencionalResidencialResidencial baixa renda – faixa 01Não se aplicaNão se aplicaFora ponta",Mercado_Receita!$L$2:$L$921)+SUMIF(Mercado_Receita!$S$2:$S$921,"44652B1ConvencionalResidencialResidencial baixa renda – faixa 01Não se aplicaNão se aplicaIntermediário",Mercado_Receita!$L$2:$L$921)+SUMIF(Mercado_Receita!$S$2:$S$921,"44652B1ConvencionalResidencialResidencial baixa renda – faixa 01Não se aplicaNão se aplicaNão se aplica",Mercado_Receita!$L$2:$L$921)</f>
        <v>22.290000000000003</v>
      </c>
      <c r="S19" s="13">
        <f>SUMIF(Mercado_Receita!$S$2:$S$921,"44682B1ConvencionalResidencialResidencial baixa renda – faixa 01Não se aplicaNão se aplicaPonta",Mercado_Receita!$L$2:$L$921)+SUMIF(Mercado_Receita!$S$2:$S$921,"44682B1ConvencionalResidencialResidencial baixa renda – faixa 01Não se aplicaNão se aplicaFora ponta",Mercado_Receita!$L$2:$L$921)+SUMIF(Mercado_Receita!$S$2:$S$921,"44682B1ConvencionalResidencialResidencial baixa renda – faixa 01Não se aplicaNão se aplicaIntermediário",Mercado_Receita!$L$2:$L$921)+SUMIF(Mercado_Receita!$S$2:$S$921,"44682B1ConvencionalResidencialResidencial baixa renda – faixa 01Não se aplicaNão se aplicaNão se aplica",Mercado_Receita!$L$2:$L$921)</f>
        <v>22.372</v>
      </c>
      <c r="T19" s="13">
        <f>SUMIF(Mercado_Receita!$S$2:$S$921,"44713B1ConvencionalResidencialResidencial baixa renda – faixa 01Não se aplicaNão se aplicaPonta",Mercado_Receita!$L$2:$L$921)+SUMIF(Mercado_Receita!$S$2:$S$921,"44713B1ConvencionalResidencialResidencial baixa renda – faixa 01Não se aplicaNão se aplicaFora ponta",Mercado_Receita!$L$2:$L$921)+SUMIF(Mercado_Receita!$S$2:$S$921,"44713B1ConvencionalResidencialResidencial baixa renda – faixa 01Não se aplicaNão se aplicaIntermediário",Mercado_Receita!$L$2:$L$921)+SUMIF(Mercado_Receita!$S$2:$S$921,"44713B1ConvencionalResidencialResidencial baixa renda – faixa 01Não se aplicaNão se aplicaNão se aplica",Mercado_Receita!$L$2:$L$921)</f>
        <v>22.372</v>
      </c>
      <c r="U19" s="13">
        <f t="shared" si="0"/>
        <v>258.12700000000001</v>
      </c>
      <c r="V19" s="13"/>
      <c r="W19" s="13"/>
    </row>
    <row r="20" spans="1:23" ht="11.25" customHeight="1" x14ac:dyDescent="0.25">
      <c r="A20" s="117"/>
      <c r="B20" s="117"/>
      <c r="C20" s="117"/>
      <c r="D20" s="12" t="s">
        <v>29</v>
      </c>
      <c r="E20" s="12" t="s">
        <v>25</v>
      </c>
      <c r="F20" s="12" t="s">
        <v>25</v>
      </c>
      <c r="G20" s="13" t="s">
        <v>86</v>
      </c>
      <c r="H20" s="13" t="s">
        <v>82</v>
      </c>
      <c r="I20" s="13">
        <f>SUMIF(Mercado_Receita!$S$2:$S$921,"44378B1ConvencionalResidencialResidencial baixa renda – faixa 02Não se aplicaNão se aplicaPonta",Mercado_Receita!$L$2:$L$921)+SUMIF(Mercado_Receita!$S$2:$S$921,"44378B1ConvencionalResidencialResidencial baixa renda – faixa 02Não se aplicaNão se aplicaFora ponta",Mercado_Receita!$L$2:$L$921)+SUMIF(Mercado_Receita!$S$2:$S$921,"44378B1ConvencionalResidencialResidencial baixa renda – faixa 02Não se aplicaNão se aplicaIntermediário",Mercado_Receita!$L$2:$L$921)+SUMIF(Mercado_Receita!$S$2:$S$921,"44378B1ConvencionalResidencialResidencial baixa renda – faixa 02Não se aplicaNão se aplicaNão se aplica",Mercado_Receita!$L$2:$L$921)</f>
        <v>42.869</v>
      </c>
      <c r="J20" s="13">
        <f>SUMIF(Mercado_Receita!$S$2:$S$921,"44409B1ConvencionalResidencialResidencial baixa renda – faixa 02Não se aplicaNão se aplicaPonta",Mercado_Receita!$L$2:$L$921)+SUMIF(Mercado_Receita!$S$2:$S$921,"44409B1ConvencionalResidencialResidencial baixa renda – faixa 02Não se aplicaNão se aplicaFora ponta",Mercado_Receita!$L$2:$L$921)+SUMIF(Mercado_Receita!$S$2:$S$921,"44409B1ConvencionalResidencialResidencial baixa renda – faixa 02Não se aplicaNão se aplicaIntermediário",Mercado_Receita!$L$2:$L$921)+SUMIF(Mercado_Receita!$S$2:$S$921,"44409B1ConvencionalResidencialResidencial baixa renda – faixa 02Não se aplicaNão se aplicaNão se aplica",Mercado_Receita!$L$2:$L$921)</f>
        <v>43.503</v>
      </c>
      <c r="K20" s="13">
        <f>SUMIF(Mercado_Receita!$S$2:$S$921,"44440B1ConvencionalResidencialResidencial baixa renda – faixa 02Não se aplicaNão se aplicaPonta",Mercado_Receita!$L$2:$L$921)+SUMIF(Mercado_Receita!$S$2:$S$921,"44440B1ConvencionalResidencialResidencial baixa renda – faixa 02Não se aplicaNão se aplicaFora ponta",Mercado_Receita!$L$2:$L$921)+SUMIF(Mercado_Receita!$S$2:$S$921,"44440B1ConvencionalResidencialResidencial baixa renda – faixa 02Não se aplicaNão se aplicaIntermediário",Mercado_Receita!$L$2:$L$921)+SUMIF(Mercado_Receita!$S$2:$S$921,"44440B1ConvencionalResidencialResidencial baixa renda – faixa 02Não se aplicaNão se aplicaNão se aplica",Mercado_Receita!$L$2:$L$921)</f>
        <v>43.853999999999999</v>
      </c>
      <c r="L20" s="13">
        <f>SUMIF(Mercado_Receita!$S$2:$S$921,"44470B1ConvencionalResidencialResidencial baixa renda – faixa 02Não se aplicaNão se aplicaPonta",Mercado_Receita!$L$2:$L$921)+SUMIF(Mercado_Receita!$S$2:$S$921,"44470B1ConvencionalResidencialResidencial baixa renda – faixa 02Não se aplicaNão se aplicaFora ponta",Mercado_Receita!$L$2:$L$921)+SUMIF(Mercado_Receita!$S$2:$S$921,"44470B1ConvencionalResidencialResidencial baixa renda – faixa 02Não se aplicaNão se aplicaIntermediário",Mercado_Receita!$L$2:$L$921)+SUMIF(Mercado_Receita!$S$2:$S$921,"44470B1ConvencionalResidencialResidencial baixa renda – faixa 02Não se aplicaNão se aplicaNão se aplica",Mercado_Receita!$L$2:$L$921)</f>
        <v>44.758000000000003</v>
      </c>
      <c r="M20" s="13">
        <f>SUMIF(Mercado_Receita!$S$2:$S$921,"44501B1ConvencionalResidencialResidencial baixa renda – faixa 02Não se aplicaNão se aplicaPonta",Mercado_Receita!$L$2:$L$921)+SUMIF(Mercado_Receita!$S$2:$S$921,"44501B1ConvencionalResidencialResidencial baixa renda – faixa 02Não se aplicaNão se aplicaFora ponta",Mercado_Receita!$L$2:$L$921)+SUMIF(Mercado_Receita!$S$2:$S$921,"44501B1ConvencionalResidencialResidencial baixa renda – faixa 02Não se aplicaNão se aplicaIntermediário",Mercado_Receita!$L$2:$L$921)+SUMIF(Mercado_Receita!$S$2:$S$921,"44501B1ConvencionalResidencialResidencial baixa renda – faixa 02Não se aplicaNão se aplicaNão se aplica",Mercado_Receita!$L$2:$L$921)</f>
        <v>45.768000000000001</v>
      </c>
      <c r="N20" s="13">
        <f>SUMIF(Mercado_Receita!$S$2:$S$921,"44531B1ConvencionalResidencialResidencial baixa renda – faixa 02Não se aplicaNão se aplicaPonta",Mercado_Receita!$L$2:$L$921)+SUMIF(Mercado_Receita!$S$2:$S$921,"44531B1ConvencionalResidencialResidencial baixa renda – faixa 02Não se aplicaNão se aplicaFora ponta",Mercado_Receita!$L$2:$L$921)+SUMIF(Mercado_Receita!$S$2:$S$921,"44531B1ConvencionalResidencialResidencial baixa renda – faixa 02Não se aplicaNão se aplicaIntermediário",Mercado_Receita!$L$2:$L$921)+SUMIF(Mercado_Receita!$S$2:$S$921,"44531B1ConvencionalResidencialResidencial baixa renda – faixa 02Não se aplicaNão se aplicaNão se aplica",Mercado_Receita!$L$2:$L$921)</f>
        <v>46.033999999999999</v>
      </c>
      <c r="O20" s="13">
        <f>SUMIF(Mercado_Receita!$S$2:$S$921,"44562B1ConvencionalResidencialResidencial baixa renda – faixa 02Não se aplicaNão se aplicaPonta",Mercado_Receita!$L$2:$L$921)+SUMIF(Mercado_Receita!$S$2:$S$921,"44562B1ConvencionalResidencialResidencial baixa renda – faixa 02Não se aplicaNão se aplicaFora ponta",Mercado_Receita!$L$2:$L$921)+SUMIF(Mercado_Receita!$S$2:$S$921,"44562B1ConvencionalResidencialResidencial baixa renda – faixa 02Não se aplicaNão se aplicaIntermediário",Mercado_Receita!$L$2:$L$921)+SUMIF(Mercado_Receita!$S$2:$S$921,"44562B1ConvencionalResidencialResidencial baixa renda – faixa 02Não se aplicaNão se aplicaNão se aplica",Mercado_Receita!$L$2:$L$921)</f>
        <v>46.927</v>
      </c>
      <c r="P20" s="13">
        <f>SUMIF(Mercado_Receita!$S$2:$S$921,"44593B1ConvencionalResidencialResidencial baixa renda – faixa 02Não se aplicaNão se aplicaPonta",Mercado_Receita!$L$2:$L$921)+SUMIF(Mercado_Receita!$S$2:$S$921,"44593B1ConvencionalResidencialResidencial baixa renda – faixa 02Não se aplicaNão se aplicaFora ponta",Mercado_Receita!$L$2:$L$921)+SUMIF(Mercado_Receita!$S$2:$S$921,"44593B1ConvencionalResidencialResidencial baixa renda – faixa 02Não se aplicaNão se aplicaIntermediário",Mercado_Receita!$L$2:$L$921)+SUMIF(Mercado_Receita!$S$2:$S$921,"44593B1ConvencionalResidencialResidencial baixa renda – faixa 02Não se aplicaNão se aplicaNão se aplica",Mercado_Receita!$L$2:$L$921)</f>
        <v>46.610999999999997</v>
      </c>
      <c r="Q20" s="13">
        <f>SUMIF(Mercado_Receita!$S$2:$S$921,"44621B1ConvencionalResidencialResidencial baixa renda – faixa 02Não se aplicaNão se aplicaPonta",Mercado_Receita!$L$2:$L$921)+SUMIF(Mercado_Receita!$S$2:$S$921,"44621B1ConvencionalResidencialResidencial baixa renda – faixa 02Não se aplicaNão se aplicaFora ponta",Mercado_Receita!$L$2:$L$921)+SUMIF(Mercado_Receita!$S$2:$S$921,"44621B1ConvencionalResidencialResidencial baixa renda – faixa 02Não se aplicaNão se aplicaIntermediário",Mercado_Receita!$L$2:$L$921)+SUMIF(Mercado_Receita!$S$2:$S$921,"44621B1ConvencionalResidencialResidencial baixa renda – faixa 02Não se aplicaNão se aplicaNão se aplica",Mercado_Receita!$L$2:$L$921)</f>
        <v>46.491999999999997</v>
      </c>
      <c r="R20" s="13">
        <f>SUMIF(Mercado_Receita!$S$2:$S$921,"44652B1ConvencionalResidencialResidencial baixa renda – faixa 02Não se aplicaNão se aplicaPonta",Mercado_Receita!$L$2:$L$921)+SUMIF(Mercado_Receita!$S$2:$S$921,"44652B1ConvencionalResidencialResidencial baixa renda – faixa 02Não se aplicaNão se aplicaFora ponta",Mercado_Receita!$L$2:$L$921)+SUMIF(Mercado_Receita!$S$2:$S$921,"44652B1ConvencionalResidencialResidencial baixa renda – faixa 02Não se aplicaNão se aplicaIntermediário",Mercado_Receita!$L$2:$L$921)+SUMIF(Mercado_Receita!$S$2:$S$921,"44652B1ConvencionalResidencialResidencial baixa renda – faixa 02Não se aplicaNão se aplicaNão se aplica",Mercado_Receita!$L$2:$L$921)</f>
        <v>46.753</v>
      </c>
      <c r="S20" s="13">
        <f>SUMIF(Mercado_Receita!$S$2:$S$921,"44682B1ConvencionalResidencialResidencial baixa renda – faixa 02Não se aplicaNão se aplicaPonta",Mercado_Receita!$L$2:$L$921)+SUMIF(Mercado_Receita!$S$2:$S$921,"44682B1ConvencionalResidencialResidencial baixa renda – faixa 02Não se aplicaNão se aplicaFora ponta",Mercado_Receita!$L$2:$L$921)+SUMIF(Mercado_Receita!$S$2:$S$921,"44682B1ConvencionalResidencialResidencial baixa renda – faixa 02Não se aplicaNão se aplicaIntermediário",Mercado_Receita!$L$2:$L$921)+SUMIF(Mercado_Receita!$S$2:$S$921,"44682B1ConvencionalResidencialResidencial baixa renda – faixa 02Não se aplicaNão se aplicaNão se aplica",Mercado_Receita!$L$2:$L$921)</f>
        <v>46.506</v>
      </c>
      <c r="T20" s="13">
        <f>SUMIF(Mercado_Receita!$S$2:$S$921,"44713B1ConvencionalResidencialResidencial baixa renda – faixa 02Não se aplicaNão se aplicaPonta",Mercado_Receita!$L$2:$L$921)+SUMIF(Mercado_Receita!$S$2:$S$921,"44713B1ConvencionalResidencialResidencial baixa renda – faixa 02Não se aplicaNão se aplicaFora ponta",Mercado_Receita!$L$2:$L$921)+SUMIF(Mercado_Receita!$S$2:$S$921,"44713B1ConvencionalResidencialResidencial baixa renda – faixa 02Não se aplicaNão se aplicaIntermediário",Mercado_Receita!$L$2:$L$921)+SUMIF(Mercado_Receita!$S$2:$S$921,"44713B1ConvencionalResidencialResidencial baixa renda – faixa 02Não se aplicaNão se aplicaNão se aplica",Mercado_Receita!$L$2:$L$921)</f>
        <v>46.506</v>
      </c>
      <c r="U20" s="13">
        <f t="shared" si="0"/>
        <v>546.58100000000002</v>
      </c>
      <c r="V20" s="13"/>
      <c r="W20" s="13"/>
    </row>
    <row r="21" spans="1:23" ht="11.25" customHeight="1" x14ac:dyDescent="0.25">
      <c r="A21" s="117"/>
      <c r="B21" s="117"/>
      <c r="C21" s="117"/>
      <c r="D21" s="12" t="s">
        <v>30</v>
      </c>
      <c r="E21" s="12" t="s">
        <v>25</v>
      </c>
      <c r="F21" s="12" t="s">
        <v>25</v>
      </c>
      <c r="G21" s="13" t="s">
        <v>86</v>
      </c>
      <c r="H21" s="13" t="s">
        <v>82</v>
      </c>
      <c r="I21" s="13">
        <f>SUMIF(Mercado_Receita!$S$2:$S$921,"44378B1ConvencionalResidencialResidencial baixa renda – faixa 03Não se aplicaNão se aplicaPonta",Mercado_Receita!$L$2:$L$921)+SUMIF(Mercado_Receita!$S$2:$S$921,"44378B1ConvencionalResidencialResidencial baixa renda – faixa 03Não se aplicaNão se aplicaFora ponta",Mercado_Receita!$L$2:$L$921)+SUMIF(Mercado_Receita!$S$2:$S$921,"44378B1ConvencionalResidencialResidencial baixa renda – faixa 03Não se aplicaNão se aplicaIntermediário",Mercado_Receita!$L$2:$L$921)+SUMIF(Mercado_Receita!$S$2:$S$921,"44378B1ConvencionalResidencialResidencial baixa renda – faixa 03Não se aplicaNão se aplicaNão se aplica",Mercado_Receita!$L$2:$L$921)</f>
        <v>42.231000000000002</v>
      </c>
      <c r="J21" s="13">
        <f>SUMIF(Mercado_Receita!$S$2:$S$921,"44409B1ConvencionalResidencialResidencial baixa renda – faixa 03Não se aplicaNão se aplicaPonta",Mercado_Receita!$L$2:$L$921)+SUMIF(Mercado_Receita!$S$2:$S$921,"44409B1ConvencionalResidencialResidencial baixa renda – faixa 03Não se aplicaNão se aplicaFora ponta",Mercado_Receita!$L$2:$L$921)+SUMIF(Mercado_Receita!$S$2:$S$921,"44409B1ConvencionalResidencialResidencial baixa renda – faixa 03Não se aplicaNão se aplicaIntermediário",Mercado_Receita!$L$2:$L$921)+SUMIF(Mercado_Receita!$S$2:$S$921,"44409B1ConvencionalResidencialResidencial baixa renda – faixa 03Não se aplicaNão se aplicaNão se aplica",Mercado_Receita!$L$2:$L$921)</f>
        <v>43.195999999999998</v>
      </c>
      <c r="K21" s="13">
        <f>SUMIF(Mercado_Receita!$S$2:$S$921,"44440B1ConvencionalResidencialResidencial baixa renda – faixa 03Não se aplicaNão se aplicaPonta",Mercado_Receita!$L$2:$L$921)+SUMIF(Mercado_Receita!$S$2:$S$921,"44440B1ConvencionalResidencialResidencial baixa renda – faixa 03Não se aplicaNão se aplicaFora ponta",Mercado_Receita!$L$2:$L$921)+SUMIF(Mercado_Receita!$S$2:$S$921,"44440B1ConvencionalResidencialResidencial baixa renda – faixa 03Não se aplicaNão se aplicaIntermediário",Mercado_Receita!$L$2:$L$921)+SUMIF(Mercado_Receita!$S$2:$S$921,"44440B1ConvencionalResidencialResidencial baixa renda – faixa 03Não se aplicaNão se aplicaNão se aplica",Mercado_Receita!$L$2:$L$921)</f>
        <v>41.754999999999995</v>
      </c>
      <c r="L21" s="13">
        <f>SUMIF(Mercado_Receita!$S$2:$S$921,"44470B1ConvencionalResidencialResidencial baixa renda – faixa 03Não se aplicaNão se aplicaPonta",Mercado_Receita!$L$2:$L$921)+SUMIF(Mercado_Receita!$S$2:$S$921,"44470B1ConvencionalResidencialResidencial baixa renda – faixa 03Não se aplicaNão se aplicaFora ponta",Mercado_Receita!$L$2:$L$921)+SUMIF(Mercado_Receita!$S$2:$S$921,"44470B1ConvencionalResidencialResidencial baixa renda – faixa 03Não se aplicaNão se aplicaIntermediário",Mercado_Receita!$L$2:$L$921)+SUMIF(Mercado_Receita!$S$2:$S$921,"44470B1ConvencionalResidencialResidencial baixa renda – faixa 03Não se aplicaNão se aplicaNão se aplica",Mercado_Receita!$L$2:$L$921)</f>
        <v>43.228000000000002</v>
      </c>
      <c r="M21" s="13">
        <f>SUMIF(Mercado_Receita!$S$2:$S$921,"44501B1ConvencionalResidencialResidencial baixa renda – faixa 03Não se aplicaNão se aplicaPonta",Mercado_Receita!$L$2:$L$921)+SUMIF(Mercado_Receita!$S$2:$S$921,"44501B1ConvencionalResidencialResidencial baixa renda – faixa 03Não se aplicaNão se aplicaFora ponta",Mercado_Receita!$L$2:$L$921)+SUMIF(Mercado_Receita!$S$2:$S$921,"44501B1ConvencionalResidencialResidencial baixa renda – faixa 03Não se aplicaNão se aplicaIntermediário",Mercado_Receita!$L$2:$L$921)+SUMIF(Mercado_Receita!$S$2:$S$921,"44501B1ConvencionalResidencialResidencial baixa renda – faixa 03Não se aplicaNão se aplicaNão se aplica",Mercado_Receita!$L$2:$L$921)</f>
        <v>45.985999999999997</v>
      </c>
      <c r="N21" s="13">
        <f>SUMIF(Mercado_Receita!$S$2:$S$921,"44531B1ConvencionalResidencialResidencial baixa renda – faixa 03Não se aplicaNão se aplicaPonta",Mercado_Receita!$L$2:$L$921)+SUMIF(Mercado_Receita!$S$2:$S$921,"44531B1ConvencionalResidencialResidencial baixa renda – faixa 03Não se aplicaNão se aplicaFora ponta",Mercado_Receita!$L$2:$L$921)+SUMIF(Mercado_Receita!$S$2:$S$921,"44531B1ConvencionalResidencialResidencial baixa renda – faixa 03Não se aplicaNão se aplicaIntermediário",Mercado_Receita!$L$2:$L$921)+SUMIF(Mercado_Receita!$S$2:$S$921,"44531B1ConvencionalResidencialResidencial baixa renda – faixa 03Não se aplicaNão se aplicaNão se aplica",Mercado_Receita!$L$2:$L$921)</f>
        <v>45.545999999999999</v>
      </c>
      <c r="O21" s="13">
        <f>SUMIF(Mercado_Receita!$S$2:$S$921,"44562B1ConvencionalResidencialResidencial baixa renda – faixa 03Não se aplicaNão se aplicaPonta",Mercado_Receita!$L$2:$L$921)+SUMIF(Mercado_Receita!$S$2:$S$921,"44562B1ConvencionalResidencialResidencial baixa renda – faixa 03Não se aplicaNão se aplicaFora ponta",Mercado_Receita!$L$2:$L$921)+SUMIF(Mercado_Receita!$S$2:$S$921,"44562B1ConvencionalResidencialResidencial baixa renda – faixa 03Não se aplicaNão se aplicaIntermediário",Mercado_Receita!$L$2:$L$921)+SUMIF(Mercado_Receita!$S$2:$S$921,"44562B1ConvencionalResidencialResidencial baixa renda – faixa 03Não se aplicaNão se aplicaNão se aplica",Mercado_Receita!$L$2:$L$921)</f>
        <v>51.369</v>
      </c>
      <c r="P21" s="13">
        <f>SUMIF(Mercado_Receita!$S$2:$S$921,"44593B1ConvencionalResidencialResidencial baixa renda – faixa 03Não se aplicaNão se aplicaPonta",Mercado_Receita!$L$2:$L$921)+SUMIF(Mercado_Receita!$S$2:$S$921,"44593B1ConvencionalResidencialResidencial baixa renda – faixa 03Não se aplicaNão se aplicaFora ponta",Mercado_Receita!$L$2:$L$921)+SUMIF(Mercado_Receita!$S$2:$S$921,"44593B1ConvencionalResidencialResidencial baixa renda – faixa 03Não se aplicaNão se aplicaIntermediário",Mercado_Receita!$L$2:$L$921)+SUMIF(Mercado_Receita!$S$2:$S$921,"44593B1ConvencionalResidencialResidencial baixa renda – faixa 03Não se aplicaNão se aplicaNão se aplica",Mercado_Receita!$L$2:$L$921)</f>
        <v>49.252000000000002</v>
      </c>
      <c r="Q21" s="13">
        <f>SUMIF(Mercado_Receita!$S$2:$S$921,"44621B1ConvencionalResidencialResidencial baixa renda – faixa 03Não se aplicaNão se aplicaPonta",Mercado_Receita!$L$2:$L$921)+SUMIF(Mercado_Receita!$S$2:$S$921,"44621B1ConvencionalResidencialResidencial baixa renda – faixa 03Não se aplicaNão se aplicaFora ponta",Mercado_Receita!$L$2:$L$921)+SUMIF(Mercado_Receita!$S$2:$S$921,"44621B1ConvencionalResidencialResidencial baixa renda – faixa 03Não se aplicaNão se aplicaIntermediário",Mercado_Receita!$L$2:$L$921)+SUMIF(Mercado_Receita!$S$2:$S$921,"44621B1ConvencionalResidencialResidencial baixa renda – faixa 03Não se aplicaNão se aplicaNão se aplica",Mercado_Receita!$L$2:$L$921)</f>
        <v>50.28</v>
      </c>
      <c r="R21" s="13">
        <f>SUMIF(Mercado_Receita!$S$2:$S$921,"44652B1ConvencionalResidencialResidencial baixa renda – faixa 03Não se aplicaNão se aplicaPonta",Mercado_Receita!$L$2:$L$921)+SUMIF(Mercado_Receita!$S$2:$S$921,"44652B1ConvencionalResidencialResidencial baixa renda – faixa 03Não se aplicaNão se aplicaFora ponta",Mercado_Receita!$L$2:$L$921)+SUMIF(Mercado_Receita!$S$2:$S$921,"44652B1ConvencionalResidencialResidencial baixa renda – faixa 03Não se aplicaNão se aplicaIntermediário",Mercado_Receita!$L$2:$L$921)+SUMIF(Mercado_Receita!$S$2:$S$921,"44652B1ConvencionalResidencialResidencial baixa renda – faixa 03Não se aplicaNão se aplicaNão se aplica",Mercado_Receita!$L$2:$L$921)</f>
        <v>41.968000000000004</v>
      </c>
      <c r="S21" s="13">
        <f>SUMIF(Mercado_Receita!$S$2:$S$921,"44682B1ConvencionalResidencialResidencial baixa renda – faixa 03Não se aplicaNão se aplicaPonta",Mercado_Receita!$L$2:$L$921)+SUMIF(Mercado_Receita!$S$2:$S$921,"44682B1ConvencionalResidencialResidencial baixa renda – faixa 03Não se aplicaNão se aplicaFora ponta",Mercado_Receita!$L$2:$L$921)+SUMIF(Mercado_Receita!$S$2:$S$921,"44682B1ConvencionalResidencialResidencial baixa renda – faixa 03Não se aplicaNão se aplicaIntermediário",Mercado_Receita!$L$2:$L$921)+SUMIF(Mercado_Receita!$S$2:$S$921,"44682B1ConvencionalResidencialResidencial baixa renda – faixa 03Não se aplicaNão se aplicaNão se aplica",Mercado_Receita!$L$2:$L$921)</f>
        <v>41.470999999999997</v>
      </c>
      <c r="T21" s="13">
        <f>SUMIF(Mercado_Receita!$S$2:$S$921,"44713B1ConvencionalResidencialResidencial baixa renda – faixa 03Não se aplicaNão se aplicaPonta",Mercado_Receita!$L$2:$L$921)+SUMIF(Mercado_Receita!$S$2:$S$921,"44713B1ConvencionalResidencialResidencial baixa renda – faixa 03Não se aplicaNão se aplicaFora ponta",Mercado_Receita!$L$2:$L$921)+SUMIF(Mercado_Receita!$S$2:$S$921,"44713B1ConvencionalResidencialResidencial baixa renda – faixa 03Não se aplicaNão se aplicaIntermediário",Mercado_Receita!$L$2:$L$921)+SUMIF(Mercado_Receita!$S$2:$S$921,"44713B1ConvencionalResidencialResidencial baixa renda – faixa 03Não se aplicaNão se aplicaNão se aplica",Mercado_Receita!$L$2:$L$921)</f>
        <v>41.470999999999997</v>
      </c>
      <c r="U21" s="13">
        <f t="shared" si="0"/>
        <v>537.75300000000004</v>
      </c>
      <c r="V21" s="13"/>
      <c r="W21" s="13"/>
    </row>
    <row r="22" spans="1:23" ht="11.25" customHeight="1" x14ac:dyDescent="0.25">
      <c r="A22" s="117"/>
      <c r="B22" s="117"/>
      <c r="C22" s="117"/>
      <c r="D22" s="12" t="s">
        <v>31</v>
      </c>
      <c r="E22" s="12" t="s">
        <v>25</v>
      </c>
      <c r="F22" s="12" t="s">
        <v>25</v>
      </c>
      <c r="G22" s="13" t="s">
        <v>86</v>
      </c>
      <c r="H22" s="13" t="s">
        <v>82</v>
      </c>
      <c r="I22" s="13">
        <f>SUMIF(Mercado_Receita!$S$2:$S$921,"44378B1ConvencionalResidencialResidencial baixa renda – faixa 04Não se aplicaNão se aplicaPonta",Mercado_Receita!$L$2:$L$921)+SUMIF(Mercado_Receita!$S$2:$S$921,"44378B1ConvencionalResidencialResidencial baixa renda – faixa 04Não se aplicaNão se aplicaFora ponta",Mercado_Receita!$L$2:$L$921)+SUMIF(Mercado_Receita!$S$2:$S$921,"44378B1ConvencionalResidencialResidencial baixa renda – faixa 04Não se aplicaNão se aplicaIntermediário",Mercado_Receita!$L$2:$L$921)+SUMIF(Mercado_Receita!$S$2:$S$921,"44378B1ConvencionalResidencialResidencial baixa renda – faixa 04Não se aplicaNão se aplicaNão se aplica",Mercado_Receita!$L$2:$L$921)</f>
        <v>16.440000000000001</v>
      </c>
      <c r="J22" s="13">
        <f>SUMIF(Mercado_Receita!$S$2:$S$921,"44409B1ConvencionalResidencialResidencial baixa renda – faixa 04Não se aplicaNão se aplicaPonta",Mercado_Receita!$L$2:$L$921)+SUMIF(Mercado_Receita!$S$2:$S$921,"44409B1ConvencionalResidencialResidencial baixa renda – faixa 04Não se aplicaNão se aplicaFora ponta",Mercado_Receita!$L$2:$L$921)+SUMIF(Mercado_Receita!$S$2:$S$921,"44409B1ConvencionalResidencialResidencial baixa renda – faixa 04Não se aplicaNão se aplicaIntermediário",Mercado_Receita!$L$2:$L$921)+SUMIF(Mercado_Receita!$S$2:$S$921,"44409B1ConvencionalResidencialResidencial baixa renda – faixa 04Não se aplicaNão se aplicaNão se aplica",Mercado_Receita!$L$2:$L$921)</f>
        <v>14.932</v>
      </c>
      <c r="K22" s="13">
        <f>SUMIF(Mercado_Receita!$S$2:$S$921,"44440B1ConvencionalResidencialResidencial baixa renda – faixa 04Não se aplicaNão se aplicaPonta",Mercado_Receita!$L$2:$L$921)+SUMIF(Mercado_Receita!$S$2:$S$921,"44440B1ConvencionalResidencialResidencial baixa renda – faixa 04Não se aplicaNão se aplicaFora ponta",Mercado_Receita!$L$2:$L$921)+SUMIF(Mercado_Receita!$S$2:$S$921,"44440B1ConvencionalResidencialResidencial baixa renda – faixa 04Não se aplicaNão se aplicaIntermediário",Mercado_Receita!$L$2:$L$921)+SUMIF(Mercado_Receita!$S$2:$S$921,"44440B1ConvencionalResidencialResidencial baixa renda – faixa 04Não se aplicaNão se aplicaNão se aplica",Mercado_Receita!$L$2:$L$921)</f>
        <v>12.499000000000001</v>
      </c>
      <c r="L22" s="13">
        <f>SUMIF(Mercado_Receita!$S$2:$S$921,"44470B1ConvencionalResidencialResidencial baixa renda – faixa 04Não se aplicaNão se aplicaPonta",Mercado_Receita!$L$2:$L$921)+SUMIF(Mercado_Receita!$S$2:$S$921,"44470B1ConvencionalResidencialResidencial baixa renda – faixa 04Não se aplicaNão se aplicaFora ponta",Mercado_Receita!$L$2:$L$921)+SUMIF(Mercado_Receita!$S$2:$S$921,"44470B1ConvencionalResidencialResidencial baixa renda – faixa 04Não se aplicaNão se aplicaIntermediário",Mercado_Receita!$L$2:$L$921)+SUMIF(Mercado_Receita!$S$2:$S$921,"44470B1ConvencionalResidencialResidencial baixa renda – faixa 04Não se aplicaNão se aplicaNão se aplica",Mercado_Receita!$L$2:$L$921)</f>
        <v>12.688000000000001</v>
      </c>
      <c r="M22" s="13">
        <f>SUMIF(Mercado_Receita!$S$2:$S$921,"44501B1ConvencionalResidencialResidencial baixa renda – faixa 04Não se aplicaNão se aplicaPonta",Mercado_Receita!$L$2:$L$921)+SUMIF(Mercado_Receita!$S$2:$S$921,"44501B1ConvencionalResidencialResidencial baixa renda – faixa 04Não se aplicaNão se aplicaFora ponta",Mercado_Receita!$L$2:$L$921)+SUMIF(Mercado_Receita!$S$2:$S$921,"44501B1ConvencionalResidencialResidencial baixa renda – faixa 04Não se aplicaNão se aplicaIntermediário",Mercado_Receita!$L$2:$L$921)+SUMIF(Mercado_Receita!$S$2:$S$921,"44501B1ConvencionalResidencialResidencial baixa renda – faixa 04Não se aplicaNão se aplicaNão se aplica",Mercado_Receita!$L$2:$L$921)</f>
        <v>14.66</v>
      </c>
      <c r="N22" s="13">
        <f>SUMIF(Mercado_Receita!$S$2:$S$921,"44531B1ConvencionalResidencialResidencial baixa renda – faixa 04Não se aplicaNão se aplicaPonta",Mercado_Receita!$L$2:$L$921)+SUMIF(Mercado_Receita!$S$2:$S$921,"44531B1ConvencionalResidencialResidencial baixa renda – faixa 04Não se aplicaNão se aplicaFora ponta",Mercado_Receita!$L$2:$L$921)+SUMIF(Mercado_Receita!$S$2:$S$921,"44531B1ConvencionalResidencialResidencial baixa renda – faixa 04Não se aplicaNão se aplicaIntermediário",Mercado_Receita!$L$2:$L$921)+SUMIF(Mercado_Receita!$S$2:$S$921,"44531B1ConvencionalResidencialResidencial baixa renda – faixa 04Não se aplicaNão se aplicaNão se aplica",Mercado_Receita!$L$2:$L$921)</f>
        <v>13.177</v>
      </c>
      <c r="O22" s="13">
        <f>SUMIF(Mercado_Receita!$S$2:$S$921,"44562B1ConvencionalResidencialResidencial baixa renda – faixa 04Não se aplicaNão se aplicaPonta",Mercado_Receita!$L$2:$L$921)+SUMIF(Mercado_Receita!$S$2:$S$921,"44562B1ConvencionalResidencialResidencial baixa renda – faixa 04Não se aplicaNão se aplicaFora ponta",Mercado_Receita!$L$2:$L$921)+SUMIF(Mercado_Receita!$S$2:$S$921,"44562B1ConvencionalResidencialResidencial baixa renda – faixa 04Não se aplicaNão se aplicaIntermediário",Mercado_Receita!$L$2:$L$921)+SUMIF(Mercado_Receita!$S$2:$S$921,"44562B1ConvencionalResidencialResidencial baixa renda – faixa 04Não se aplicaNão se aplicaNão se aplica",Mercado_Receita!$L$2:$L$921)</f>
        <v>20.587</v>
      </c>
      <c r="P22" s="13">
        <f>SUMIF(Mercado_Receita!$S$2:$S$921,"44593B1ConvencionalResidencialResidencial baixa renda – faixa 04Não se aplicaNão se aplicaPonta",Mercado_Receita!$L$2:$L$921)+SUMIF(Mercado_Receita!$S$2:$S$921,"44593B1ConvencionalResidencialResidencial baixa renda – faixa 04Não se aplicaNão se aplicaFora ponta",Mercado_Receita!$L$2:$L$921)+SUMIF(Mercado_Receita!$S$2:$S$921,"44593B1ConvencionalResidencialResidencial baixa renda – faixa 04Não se aplicaNão se aplicaIntermediário",Mercado_Receita!$L$2:$L$921)+SUMIF(Mercado_Receita!$S$2:$S$921,"44593B1ConvencionalResidencialResidencial baixa renda – faixa 04Não se aplicaNão se aplicaNão se aplica",Mercado_Receita!$L$2:$L$921)</f>
        <v>18.47</v>
      </c>
      <c r="Q22" s="13">
        <f>SUMIF(Mercado_Receita!$S$2:$S$921,"44621B1ConvencionalResidencialResidencial baixa renda – faixa 04Não se aplicaNão se aplicaPonta",Mercado_Receita!$L$2:$L$921)+SUMIF(Mercado_Receita!$S$2:$S$921,"44621B1ConvencionalResidencialResidencial baixa renda – faixa 04Não se aplicaNão se aplicaFora ponta",Mercado_Receita!$L$2:$L$921)+SUMIF(Mercado_Receita!$S$2:$S$921,"44621B1ConvencionalResidencialResidencial baixa renda – faixa 04Não se aplicaNão se aplicaIntermediário",Mercado_Receita!$L$2:$L$921)+SUMIF(Mercado_Receita!$S$2:$S$921,"44621B1ConvencionalResidencialResidencial baixa renda – faixa 04Não se aplicaNão se aplicaNão se aplica",Mercado_Receita!$L$2:$L$921)</f>
        <v>21.835000000000001</v>
      </c>
      <c r="R22" s="13">
        <f>SUMIF(Mercado_Receita!$S$2:$S$921,"44652B1ConvencionalResidencialResidencial baixa renda – faixa 04Não se aplicaNão se aplicaPonta",Mercado_Receita!$L$2:$L$921)+SUMIF(Mercado_Receita!$S$2:$S$921,"44652B1ConvencionalResidencialResidencial baixa renda – faixa 04Não se aplicaNão se aplicaFora ponta",Mercado_Receita!$L$2:$L$921)+SUMIF(Mercado_Receita!$S$2:$S$921,"44652B1ConvencionalResidencialResidencial baixa renda – faixa 04Não se aplicaNão se aplicaIntermediário",Mercado_Receita!$L$2:$L$921)+SUMIF(Mercado_Receita!$S$2:$S$921,"44652B1ConvencionalResidencialResidencial baixa renda – faixa 04Não se aplicaNão se aplicaNão se aplica",Mercado_Receita!$L$2:$L$921)</f>
        <v>10.692</v>
      </c>
      <c r="S22" s="13">
        <f>SUMIF(Mercado_Receita!$S$2:$S$921,"44682B1ConvencionalResidencialResidencial baixa renda – faixa 04Não se aplicaNão se aplicaPonta",Mercado_Receita!$L$2:$L$921)+SUMIF(Mercado_Receita!$S$2:$S$921,"44682B1ConvencionalResidencialResidencial baixa renda – faixa 04Não se aplicaNão se aplicaFora ponta",Mercado_Receita!$L$2:$L$921)+SUMIF(Mercado_Receita!$S$2:$S$921,"44682B1ConvencionalResidencialResidencial baixa renda – faixa 04Não se aplicaNão se aplicaIntermediário",Mercado_Receita!$L$2:$L$921)+SUMIF(Mercado_Receita!$S$2:$S$921,"44682B1ConvencionalResidencialResidencial baixa renda – faixa 04Não se aplicaNão se aplicaNão se aplica",Mercado_Receita!$L$2:$L$921)</f>
        <v>12.063000000000001</v>
      </c>
      <c r="T22" s="13">
        <f>SUMIF(Mercado_Receita!$S$2:$S$921,"44713B1ConvencionalResidencialResidencial baixa renda – faixa 04Não se aplicaNão se aplicaPonta",Mercado_Receita!$L$2:$L$921)+SUMIF(Mercado_Receita!$S$2:$S$921,"44713B1ConvencionalResidencialResidencial baixa renda – faixa 04Não se aplicaNão se aplicaFora ponta",Mercado_Receita!$L$2:$L$921)+SUMIF(Mercado_Receita!$S$2:$S$921,"44713B1ConvencionalResidencialResidencial baixa renda – faixa 04Não se aplicaNão se aplicaIntermediário",Mercado_Receita!$L$2:$L$921)+SUMIF(Mercado_Receita!$S$2:$S$921,"44713B1ConvencionalResidencialResidencial baixa renda – faixa 04Não se aplicaNão se aplicaNão se aplica",Mercado_Receita!$L$2:$L$921)</f>
        <v>12.063000000000001</v>
      </c>
      <c r="U22" s="13">
        <f t="shared" si="0"/>
        <v>180.10599999999999</v>
      </c>
      <c r="V22" s="13"/>
      <c r="W22" s="13"/>
    </row>
    <row r="23" spans="1:23" ht="11.25" customHeight="1" x14ac:dyDescent="0.25">
      <c r="A23" s="117"/>
      <c r="B23" s="116" t="s">
        <v>95</v>
      </c>
      <c r="C23" s="116" t="s">
        <v>24</v>
      </c>
      <c r="D23" s="12" t="s">
        <v>24</v>
      </c>
      <c r="E23" s="12" t="s">
        <v>25</v>
      </c>
      <c r="F23" s="12" t="s">
        <v>25</v>
      </c>
      <c r="G23" s="13" t="s">
        <v>86</v>
      </c>
      <c r="H23" s="13" t="s">
        <v>82</v>
      </c>
      <c r="I23" s="13">
        <f>SUMIF(Mercado_Receita!$S$2:$S$921,"44378B1Convencional pré-pagamentoResidencialResidencialNão se aplicaNão se aplicaPonta",Mercado_Receita!$L$2:$L$921)+SUMIF(Mercado_Receita!$S$2:$S$921,"44378B1Convencional pré-pagamentoResidencialResidencialNão se aplicaNão se aplicaFora ponta",Mercado_Receita!$L$2:$L$921)+SUMIF(Mercado_Receita!$S$2:$S$921,"44378B1Convencional pré-pagamentoResidencialResidencialNão se aplicaNão se aplicaIntermediário",Mercado_Receita!$L$2:$L$921)+SUMIF(Mercado_Receita!$S$2:$S$921,"44378B1Convencional pré-pagamentoResidencialResidencialNão se aplicaNão se aplicaNão se aplica",Mercado_Receita!$L$2:$L$921)</f>
        <v>0</v>
      </c>
      <c r="J23" s="13">
        <f>SUMIF(Mercado_Receita!$S$2:$S$921,"44409B1Convencional pré-pagamentoResidencialResidencialNão se aplicaNão se aplicaPonta",Mercado_Receita!$L$2:$L$921)+SUMIF(Mercado_Receita!$S$2:$S$921,"44409B1Convencional pré-pagamentoResidencialResidencialNão se aplicaNão se aplicaFora ponta",Mercado_Receita!$L$2:$L$921)+SUMIF(Mercado_Receita!$S$2:$S$921,"44409B1Convencional pré-pagamentoResidencialResidencialNão se aplicaNão se aplicaIntermediário",Mercado_Receita!$L$2:$L$921)+SUMIF(Mercado_Receita!$S$2:$S$921,"44409B1Convencional pré-pagamentoResidencialResidencialNão se aplicaNão se aplicaNão se aplica",Mercado_Receita!$L$2:$L$921)</f>
        <v>0</v>
      </c>
      <c r="K23" s="13">
        <f>SUMIF(Mercado_Receita!$S$2:$S$921,"44440B1Convencional pré-pagamentoResidencialResidencialNão se aplicaNão se aplicaPonta",Mercado_Receita!$L$2:$L$921)+SUMIF(Mercado_Receita!$S$2:$S$921,"44440B1Convencional pré-pagamentoResidencialResidencialNão se aplicaNão se aplicaFora ponta",Mercado_Receita!$L$2:$L$921)+SUMIF(Mercado_Receita!$S$2:$S$921,"44440B1Convencional pré-pagamentoResidencialResidencialNão se aplicaNão se aplicaIntermediário",Mercado_Receita!$L$2:$L$921)+SUMIF(Mercado_Receita!$S$2:$S$921,"44440B1Convencional pré-pagamentoResidencialResidencialNão se aplicaNão se aplicaNão se aplica",Mercado_Receita!$L$2:$L$921)</f>
        <v>0</v>
      </c>
      <c r="L23" s="13">
        <f>SUMIF(Mercado_Receita!$S$2:$S$921,"44470B1Convencional pré-pagamentoResidencialResidencialNão se aplicaNão se aplicaPonta",Mercado_Receita!$L$2:$L$921)+SUMIF(Mercado_Receita!$S$2:$S$921,"44470B1Convencional pré-pagamentoResidencialResidencialNão se aplicaNão se aplicaFora ponta",Mercado_Receita!$L$2:$L$921)+SUMIF(Mercado_Receita!$S$2:$S$921,"44470B1Convencional pré-pagamentoResidencialResidencialNão se aplicaNão se aplicaIntermediário",Mercado_Receita!$L$2:$L$921)+SUMIF(Mercado_Receita!$S$2:$S$921,"44470B1Convencional pré-pagamentoResidencialResidencialNão se aplicaNão se aplicaNão se aplica",Mercado_Receita!$L$2:$L$921)</f>
        <v>0</v>
      </c>
      <c r="M23" s="13">
        <f>SUMIF(Mercado_Receita!$S$2:$S$921,"44501B1Convencional pré-pagamentoResidencialResidencialNão se aplicaNão se aplicaPonta",Mercado_Receita!$L$2:$L$921)+SUMIF(Mercado_Receita!$S$2:$S$921,"44501B1Convencional pré-pagamentoResidencialResidencialNão se aplicaNão se aplicaFora ponta",Mercado_Receita!$L$2:$L$921)+SUMIF(Mercado_Receita!$S$2:$S$921,"44501B1Convencional pré-pagamentoResidencialResidencialNão se aplicaNão se aplicaIntermediário",Mercado_Receita!$L$2:$L$921)+SUMIF(Mercado_Receita!$S$2:$S$921,"44501B1Convencional pré-pagamentoResidencialResidencialNão se aplicaNão se aplicaNão se aplica",Mercado_Receita!$L$2:$L$921)</f>
        <v>0</v>
      </c>
      <c r="N23" s="13">
        <f>SUMIF(Mercado_Receita!$S$2:$S$921,"44531B1Convencional pré-pagamentoResidencialResidencialNão se aplicaNão se aplicaPonta",Mercado_Receita!$L$2:$L$921)+SUMIF(Mercado_Receita!$S$2:$S$921,"44531B1Convencional pré-pagamentoResidencialResidencialNão se aplicaNão se aplicaFora ponta",Mercado_Receita!$L$2:$L$921)+SUMIF(Mercado_Receita!$S$2:$S$921,"44531B1Convencional pré-pagamentoResidencialResidencialNão se aplicaNão se aplicaIntermediário",Mercado_Receita!$L$2:$L$921)+SUMIF(Mercado_Receita!$S$2:$S$921,"44531B1Convencional pré-pagamentoResidencialResidencialNão se aplicaNão se aplicaNão se aplica",Mercado_Receita!$L$2:$L$921)</f>
        <v>0</v>
      </c>
      <c r="O23" s="13">
        <f>SUMIF(Mercado_Receita!$S$2:$S$921,"44562B1Convencional pré-pagamentoResidencialResidencialNão se aplicaNão se aplicaPonta",Mercado_Receita!$L$2:$L$921)+SUMIF(Mercado_Receita!$S$2:$S$921,"44562B1Convencional pré-pagamentoResidencialResidencialNão se aplicaNão se aplicaFora ponta",Mercado_Receita!$L$2:$L$921)+SUMIF(Mercado_Receita!$S$2:$S$921,"44562B1Convencional pré-pagamentoResidencialResidencialNão se aplicaNão se aplicaIntermediário",Mercado_Receita!$L$2:$L$921)+SUMIF(Mercado_Receita!$S$2:$S$921,"44562B1Convencional pré-pagamentoResidencialResidencialNão se aplicaNão se aplicaNão se aplica",Mercado_Receita!$L$2:$L$921)</f>
        <v>0</v>
      </c>
      <c r="P23" s="13">
        <f>SUMIF(Mercado_Receita!$S$2:$S$921,"44593B1Convencional pré-pagamentoResidencialResidencialNão se aplicaNão se aplicaPonta",Mercado_Receita!$L$2:$L$921)+SUMIF(Mercado_Receita!$S$2:$S$921,"44593B1Convencional pré-pagamentoResidencialResidencialNão se aplicaNão se aplicaFora ponta",Mercado_Receita!$L$2:$L$921)+SUMIF(Mercado_Receita!$S$2:$S$921,"44593B1Convencional pré-pagamentoResidencialResidencialNão se aplicaNão se aplicaIntermediário",Mercado_Receita!$L$2:$L$921)+SUMIF(Mercado_Receita!$S$2:$S$921,"44593B1Convencional pré-pagamentoResidencialResidencialNão se aplicaNão se aplicaNão se aplica",Mercado_Receita!$L$2:$L$921)</f>
        <v>0</v>
      </c>
      <c r="Q23" s="13">
        <f>SUMIF(Mercado_Receita!$S$2:$S$921,"44621B1Convencional pré-pagamentoResidencialResidencialNão se aplicaNão se aplicaPonta",Mercado_Receita!$L$2:$L$921)+SUMIF(Mercado_Receita!$S$2:$S$921,"44621B1Convencional pré-pagamentoResidencialResidencialNão se aplicaNão se aplicaFora ponta",Mercado_Receita!$L$2:$L$921)+SUMIF(Mercado_Receita!$S$2:$S$921,"44621B1Convencional pré-pagamentoResidencialResidencialNão se aplicaNão se aplicaIntermediário",Mercado_Receita!$L$2:$L$921)+SUMIF(Mercado_Receita!$S$2:$S$921,"44621B1Convencional pré-pagamentoResidencialResidencialNão se aplicaNão se aplicaNão se aplica",Mercado_Receita!$L$2:$L$921)</f>
        <v>0</v>
      </c>
      <c r="R23" s="13">
        <f>SUMIF(Mercado_Receita!$S$2:$S$921,"44652B1Convencional pré-pagamentoResidencialResidencialNão se aplicaNão se aplicaPonta",Mercado_Receita!$L$2:$L$921)+SUMIF(Mercado_Receita!$S$2:$S$921,"44652B1Convencional pré-pagamentoResidencialResidencialNão se aplicaNão se aplicaFora ponta",Mercado_Receita!$L$2:$L$921)+SUMIF(Mercado_Receita!$S$2:$S$921,"44652B1Convencional pré-pagamentoResidencialResidencialNão se aplicaNão se aplicaIntermediário",Mercado_Receita!$L$2:$L$921)+SUMIF(Mercado_Receita!$S$2:$S$921,"44652B1Convencional pré-pagamentoResidencialResidencialNão se aplicaNão se aplicaNão se aplica",Mercado_Receita!$L$2:$L$921)</f>
        <v>0</v>
      </c>
      <c r="S23" s="13">
        <f>SUMIF(Mercado_Receita!$S$2:$S$921,"44682B1Convencional pré-pagamentoResidencialResidencialNão se aplicaNão se aplicaPonta",Mercado_Receita!$L$2:$L$921)+SUMIF(Mercado_Receita!$S$2:$S$921,"44682B1Convencional pré-pagamentoResidencialResidencialNão se aplicaNão se aplicaFora ponta",Mercado_Receita!$L$2:$L$921)+SUMIF(Mercado_Receita!$S$2:$S$921,"44682B1Convencional pré-pagamentoResidencialResidencialNão se aplicaNão se aplicaIntermediário",Mercado_Receita!$L$2:$L$921)+SUMIF(Mercado_Receita!$S$2:$S$921,"44682B1Convencional pré-pagamentoResidencialResidencialNão se aplicaNão se aplicaNão se aplica",Mercado_Receita!$L$2:$L$921)</f>
        <v>0</v>
      </c>
      <c r="T23" s="13">
        <f>SUMIF(Mercado_Receita!$S$2:$S$921,"44713B1Convencional pré-pagamentoResidencialResidencialNão se aplicaNão se aplicaPonta",Mercado_Receita!$L$2:$L$921)+SUMIF(Mercado_Receita!$S$2:$S$921,"44713B1Convencional pré-pagamentoResidencialResidencialNão se aplicaNão se aplicaFora ponta",Mercado_Receita!$L$2:$L$921)+SUMIF(Mercado_Receita!$S$2:$S$921,"44713B1Convencional pré-pagamentoResidencialResidencialNão se aplicaNão se aplicaIntermediário",Mercado_Receita!$L$2:$L$921)+SUMIF(Mercado_Receita!$S$2:$S$921,"44713B1Convencional pré-pagamentoResidencialResidencialNão se aplicaNão se aplicaNão se aplica",Mercado_Receita!$L$2:$L$921)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117"/>
      <c r="B24" s="117"/>
      <c r="C24" s="117"/>
      <c r="D24" s="12" t="s">
        <v>28</v>
      </c>
      <c r="E24" s="12" t="s">
        <v>25</v>
      </c>
      <c r="F24" s="12" t="s">
        <v>25</v>
      </c>
      <c r="G24" s="13" t="s">
        <v>86</v>
      </c>
      <c r="H24" s="13" t="s">
        <v>82</v>
      </c>
      <c r="I24" s="13">
        <f>SUMIF(Mercado_Receita!$S$2:$S$921,"44378B1Convencional pré-pagamentoResidencialResidencial baixa renda – faixa 01Não se aplicaNão se aplicaPonta",Mercado_Receita!$L$2:$L$921)+SUMIF(Mercado_Receita!$S$2:$S$921,"44378B1Convencional pré-pagamentoResidencialResidencial baixa renda – faixa 01Não se aplicaNão se aplicaFora ponta",Mercado_Receita!$L$2:$L$921)+SUMIF(Mercado_Receita!$S$2:$S$921,"44378B1Convencional pré-pagamentoResidencialResidencial baixa renda – faixa 01Não se aplicaNão se aplicaIntermediário",Mercado_Receita!$L$2:$L$921)+SUMIF(Mercado_Receita!$S$2:$S$921,"44378B1Convencional pré-pagamentoResidencialResidencial baixa renda – faixa 01Não se aplicaNão se aplicaNão se aplica",Mercado_Receita!$L$2:$L$921)</f>
        <v>0</v>
      </c>
      <c r="J24" s="13">
        <f>SUMIF(Mercado_Receita!$S$2:$S$921,"44409B1Convencional pré-pagamentoResidencialResidencial baixa renda – faixa 01Não se aplicaNão se aplicaPonta",Mercado_Receita!$L$2:$L$921)+SUMIF(Mercado_Receita!$S$2:$S$921,"44409B1Convencional pré-pagamentoResidencialResidencial baixa renda – faixa 01Não se aplicaNão se aplicaFora ponta",Mercado_Receita!$L$2:$L$921)+SUMIF(Mercado_Receita!$S$2:$S$921,"44409B1Convencional pré-pagamentoResidencialResidencial baixa renda – faixa 01Não se aplicaNão se aplicaIntermediário",Mercado_Receita!$L$2:$L$921)+SUMIF(Mercado_Receita!$S$2:$S$921,"44409B1Convencional pré-pagamentoResidencialResidencial baixa renda – faixa 01Não se aplicaNão se aplicaNão se aplica",Mercado_Receita!$L$2:$L$921)</f>
        <v>0</v>
      </c>
      <c r="K24" s="13">
        <f>SUMIF(Mercado_Receita!$S$2:$S$921,"44440B1Convencional pré-pagamentoResidencialResidencial baixa renda – faixa 01Não se aplicaNão se aplicaPonta",Mercado_Receita!$L$2:$L$921)+SUMIF(Mercado_Receita!$S$2:$S$921,"44440B1Convencional pré-pagamentoResidencialResidencial baixa renda – faixa 01Não se aplicaNão se aplicaFora ponta",Mercado_Receita!$L$2:$L$921)+SUMIF(Mercado_Receita!$S$2:$S$921,"44440B1Convencional pré-pagamentoResidencialResidencial baixa renda – faixa 01Não se aplicaNão se aplicaIntermediário",Mercado_Receita!$L$2:$L$921)+SUMIF(Mercado_Receita!$S$2:$S$921,"44440B1Convencional pré-pagamentoResidencialResidencial baixa renda – faixa 01Não se aplicaNão se aplicaNão se aplica",Mercado_Receita!$L$2:$L$921)</f>
        <v>0</v>
      </c>
      <c r="L24" s="13">
        <f>SUMIF(Mercado_Receita!$S$2:$S$921,"44470B1Convencional pré-pagamentoResidencialResidencial baixa renda – faixa 01Não se aplicaNão se aplicaPonta",Mercado_Receita!$L$2:$L$921)+SUMIF(Mercado_Receita!$S$2:$S$921,"44470B1Convencional pré-pagamentoResidencialResidencial baixa renda – faixa 01Não se aplicaNão se aplicaFora ponta",Mercado_Receita!$L$2:$L$921)+SUMIF(Mercado_Receita!$S$2:$S$921,"44470B1Convencional pré-pagamentoResidencialResidencial baixa renda – faixa 01Não se aplicaNão se aplicaIntermediário",Mercado_Receita!$L$2:$L$921)+SUMIF(Mercado_Receita!$S$2:$S$921,"44470B1Convencional pré-pagamentoResidencialResidencial baixa renda – faixa 01Não se aplicaNão se aplicaNão se aplica",Mercado_Receita!$L$2:$L$921)</f>
        <v>0</v>
      </c>
      <c r="M24" s="13">
        <f>SUMIF(Mercado_Receita!$S$2:$S$921,"44501B1Convencional pré-pagamentoResidencialResidencial baixa renda – faixa 01Não se aplicaNão se aplicaPonta",Mercado_Receita!$L$2:$L$921)+SUMIF(Mercado_Receita!$S$2:$S$921,"44501B1Convencional pré-pagamentoResidencialResidencial baixa renda – faixa 01Não se aplicaNão se aplicaFora ponta",Mercado_Receita!$L$2:$L$921)+SUMIF(Mercado_Receita!$S$2:$S$921,"44501B1Convencional pré-pagamentoResidencialResidencial baixa renda – faixa 01Não se aplicaNão se aplicaIntermediário",Mercado_Receita!$L$2:$L$921)+SUMIF(Mercado_Receita!$S$2:$S$921,"44501B1Convencional pré-pagamentoResidencialResidencial baixa renda – faixa 01Não se aplicaNão se aplicaNão se aplica",Mercado_Receita!$L$2:$L$921)</f>
        <v>0</v>
      </c>
      <c r="N24" s="13">
        <f>SUMIF(Mercado_Receita!$S$2:$S$921,"44531B1Convencional pré-pagamentoResidencialResidencial baixa renda – faixa 01Não se aplicaNão se aplicaPonta",Mercado_Receita!$L$2:$L$921)+SUMIF(Mercado_Receita!$S$2:$S$921,"44531B1Convencional pré-pagamentoResidencialResidencial baixa renda – faixa 01Não se aplicaNão se aplicaFora ponta",Mercado_Receita!$L$2:$L$921)+SUMIF(Mercado_Receita!$S$2:$S$921,"44531B1Convencional pré-pagamentoResidencialResidencial baixa renda – faixa 01Não se aplicaNão se aplicaIntermediário",Mercado_Receita!$L$2:$L$921)+SUMIF(Mercado_Receita!$S$2:$S$921,"44531B1Convencional pré-pagamentoResidencialResidencial baixa renda – faixa 01Não se aplicaNão se aplicaNão se aplica",Mercado_Receita!$L$2:$L$921)</f>
        <v>0</v>
      </c>
      <c r="O24" s="13">
        <f>SUMIF(Mercado_Receita!$S$2:$S$921,"44562B1Convencional pré-pagamentoResidencialResidencial baixa renda – faixa 01Não se aplicaNão se aplicaPonta",Mercado_Receita!$L$2:$L$921)+SUMIF(Mercado_Receita!$S$2:$S$921,"44562B1Convencional pré-pagamentoResidencialResidencial baixa renda – faixa 01Não se aplicaNão se aplicaFora ponta",Mercado_Receita!$L$2:$L$921)+SUMIF(Mercado_Receita!$S$2:$S$921,"44562B1Convencional pré-pagamentoResidencialResidencial baixa renda – faixa 01Não se aplicaNão se aplicaIntermediário",Mercado_Receita!$L$2:$L$921)+SUMIF(Mercado_Receita!$S$2:$S$921,"44562B1Convencional pré-pagamentoResidencialResidencial baixa renda – faixa 01Não se aplicaNão se aplicaNão se aplica",Mercado_Receita!$L$2:$L$921)</f>
        <v>0</v>
      </c>
      <c r="P24" s="13">
        <f>SUMIF(Mercado_Receita!$S$2:$S$921,"44593B1Convencional pré-pagamentoResidencialResidencial baixa renda – faixa 01Não se aplicaNão se aplicaPonta",Mercado_Receita!$L$2:$L$921)+SUMIF(Mercado_Receita!$S$2:$S$921,"44593B1Convencional pré-pagamentoResidencialResidencial baixa renda – faixa 01Não se aplicaNão se aplicaFora ponta",Mercado_Receita!$L$2:$L$921)+SUMIF(Mercado_Receita!$S$2:$S$921,"44593B1Convencional pré-pagamentoResidencialResidencial baixa renda – faixa 01Não se aplicaNão se aplicaIntermediário",Mercado_Receita!$L$2:$L$921)+SUMIF(Mercado_Receita!$S$2:$S$921,"44593B1Convencional pré-pagamentoResidencialResidencial baixa renda – faixa 01Não se aplicaNão se aplicaNão se aplica",Mercado_Receita!$L$2:$L$921)</f>
        <v>0</v>
      </c>
      <c r="Q24" s="13">
        <f>SUMIF(Mercado_Receita!$S$2:$S$921,"44621B1Convencional pré-pagamentoResidencialResidencial baixa renda – faixa 01Não se aplicaNão se aplicaPonta",Mercado_Receita!$L$2:$L$921)+SUMIF(Mercado_Receita!$S$2:$S$921,"44621B1Convencional pré-pagamentoResidencialResidencial baixa renda – faixa 01Não se aplicaNão se aplicaFora ponta",Mercado_Receita!$L$2:$L$921)+SUMIF(Mercado_Receita!$S$2:$S$921,"44621B1Convencional pré-pagamentoResidencialResidencial baixa renda – faixa 01Não se aplicaNão se aplicaIntermediário",Mercado_Receita!$L$2:$L$921)+SUMIF(Mercado_Receita!$S$2:$S$921,"44621B1Convencional pré-pagamentoResidencialResidencial baixa renda – faixa 01Não se aplicaNão se aplicaNão se aplica",Mercado_Receita!$L$2:$L$921)</f>
        <v>0</v>
      </c>
      <c r="R24" s="13">
        <f>SUMIF(Mercado_Receita!$S$2:$S$921,"44652B1Convencional pré-pagamentoResidencialResidencial baixa renda – faixa 01Não se aplicaNão se aplicaPonta",Mercado_Receita!$L$2:$L$921)+SUMIF(Mercado_Receita!$S$2:$S$921,"44652B1Convencional pré-pagamentoResidencialResidencial baixa renda – faixa 01Não se aplicaNão se aplicaFora ponta",Mercado_Receita!$L$2:$L$921)+SUMIF(Mercado_Receita!$S$2:$S$921,"44652B1Convencional pré-pagamentoResidencialResidencial baixa renda – faixa 01Não se aplicaNão se aplicaIntermediário",Mercado_Receita!$L$2:$L$921)+SUMIF(Mercado_Receita!$S$2:$S$921,"44652B1Convencional pré-pagamentoResidencialResidencial baixa renda – faixa 01Não se aplicaNão se aplicaNão se aplica",Mercado_Receita!$L$2:$L$921)</f>
        <v>0</v>
      </c>
      <c r="S24" s="13">
        <f>SUMIF(Mercado_Receita!$S$2:$S$921,"44682B1Convencional pré-pagamentoResidencialResidencial baixa renda – faixa 01Não se aplicaNão se aplicaPonta",Mercado_Receita!$L$2:$L$921)+SUMIF(Mercado_Receita!$S$2:$S$921,"44682B1Convencional pré-pagamentoResidencialResidencial baixa renda – faixa 01Não se aplicaNão se aplicaFora ponta",Mercado_Receita!$L$2:$L$921)+SUMIF(Mercado_Receita!$S$2:$S$921,"44682B1Convencional pré-pagamentoResidencialResidencial baixa renda – faixa 01Não se aplicaNão se aplicaIntermediário",Mercado_Receita!$L$2:$L$921)+SUMIF(Mercado_Receita!$S$2:$S$921,"44682B1Convencional pré-pagamentoResidencialResidencial baixa renda – faixa 01Não se aplicaNão se aplicaNão se aplica",Mercado_Receita!$L$2:$L$921)</f>
        <v>0</v>
      </c>
      <c r="T24" s="13">
        <f>SUMIF(Mercado_Receita!$S$2:$S$921,"44713B1Convencional pré-pagamentoResidencialResidencial baixa renda – faixa 01Não se aplicaNão se aplicaPonta",Mercado_Receita!$L$2:$L$921)+SUMIF(Mercado_Receita!$S$2:$S$921,"44713B1Convencional pré-pagamentoResidencialResidencial baixa renda – faixa 01Não se aplicaNão se aplicaFora ponta",Mercado_Receita!$L$2:$L$921)+SUMIF(Mercado_Receita!$S$2:$S$921,"44713B1Convencional pré-pagamentoResidencialResidencial baixa renda – faixa 01Não se aplicaNão se aplicaIntermediário",Mercado_Receita!$L$2:$L$921)+SUMIF(Mercado_Receita!$S$2:$S$921,"44713B1Convencional pré-pagamentoResidencialResidencial baixa renda – faixa 01Não se aplicaNão se aplicaNão se aplica",Mercado_Receita!$L$2:$L$921)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117"/>
      <c r="B25" s="117"/>
      <c r="C25" s="117"/>
      <c r="D25" s="12" t="s">
        <v>29</v>
      </c>
      <c r="E25" s="12" t="s">
        <v>25</v>
      </c>
      <c r="F25" s="12" t="s">
        <v>25</v>
      </c>
      <c r="G25" s="13" t="s">
        <v>86</v>
      </c>
      <c r="H25" s="13" t="s">
        <v>82</v>
      </c>
      <c r="I25" s="13">
        <f>SUMIF(Mercado_Receita!$S$2:$S$921,"44378B1Convencional pré-pagamentoResidencialResidencial baixa renda – faixa 02Não se aplicaNão se aplicaPonta",Mercado_Receita!$L$2:$L$921)+SUMIF(Mercado_Receita!$S$2:$S$921,"44378B1Convencional pré-pagamentoResidencialResidencial baixa renda – faixa 02Não se aplicaNão se aplicaFora ponta",Mercado_Receita!$L$2:$L$921)+SUMIF(Mercado_Receita!$S$2:$S$921,"44378B1Convencional pré-pagamentoResidencialResidencial baixa renda – faixa 02Não se aplicaNão se aplicaIntermediário",Mercado_Receita!$L$2:$L$921)+SUMIF(Mercado_Receita!$S$2:$S$921,"44378B1Convencional pré-pagamentoResidencialResidencial baixa renda – faixa 02Não se aplicaNão se aplicaNão se aplica",Mercado_Receita!$L$2:$L$921)</f>
        <v>0</v>
      </c>
      <c r="J25" s="13">
        <f>SUMIF(Mercado_Receita!$S$2:$S$921,"44409B1Convencional pré-pagamentoResidencialResidencial baixa renda – faixa 02Não se aplicaNão se aplicaPonta",Mercado_Receita!$L$2:$L$921)+SUMIF(Mercado_Receita!$S$2:$S$921,"44409B1Convencional pré-pagamentoResidencialResidencial baixa renda – faixa 02Não se aplicaNão se aplicaFora ponta",Mercado_Receita!$L$2:$L$921)+SUMIF(Mercado_Receita!$S$2:$S$921,"44409B1Convencional pré-pagamentoResidencialResidencial baixa renda – faixa 02Não se aplicaNão se aplicaIntermediário",Mercado_Receita!$L$2:$L$921)+SUMIF(Mercado_Receita!$S$2:$S$921,"44409B1Convencional pré-pagamentoResidencialResidencial baixa renda – faixa 02Não se aplicaNão se aplicaNão se aplica",Mercado_Receita!$L$2:$L$921)</f>
        <v>0</v>
      </c>
      <c r="K25" s="13">
        <f>SUMIF(Mercado_Receita!$S$2:$S$921,"44440B1Convencional pré-pagamentoResidencialResidencial baixa renda – faixa 02Não se aplicaNão se aplicaPonta",Mercado_Receita!$L$2:$L$921)+SUMIF(Mercado_Receita!$S$2:$S$921,"44440B1Convencional pré-pagamentoResidencialResidencial baixa renda – faixa 02Não se aplicaNão se aplicaFora ponta",Mercado_Receita!$L$2:$L$921)+SUMIF(Mercado_Receita!$S$2:$S$921,"44440B1Convencional pré-pagamentoResidencialResidencial baixa renda – faixa 02Não se aplicaNão se aplicaIntermediário",Mercado_Receita!$L$2:$L$921)+SUMIF(Mercado_Receita!$S$2:$S$921,"44440B1Convencional pré-pagamentoResidencialResidencial baixa renda – faixa 02Não se aplicaNão se aplicaNão se aplica",Mercado_Receita!$L$2:$L$921)</f>
        <v>0</v>
      </c>
      <c r="L25" s="13">
        <f>SUMIF(Mercado_Receita!$S$2:$S$921,"44470B1Convencional pré-pagamentoResidencialResidencial baixa renda – faixa 02Não se aplicaNão se aplicaPonta",Mercado_Receita!$L$2:$L$921)+SUMIF(Mercado_Receita!$S$2:$S$921,"44470B1Convencional pré-pagamentoResidencialResidencial baixa renda – faixa 02Não se aplicaNão se aplicaFora ponta",Mercado_Receita!$L$2:$L$921)+SUMIF(Mercado_Receita!$S$2:$S$921,"44470B1Convencional pré-pagamentoResidencialResidencial baixa renda – faixa 02Não se aplicaNão se aplicaIntermediário",Mercado_Receita!$L$2:$L$921)+SUMIF(Mercado_Receita!$S$2:$S$921,"44470B1Convencional pré-pagamentoResidencialResidencial baixa renda – faixa 02Não se aplicaNão se aplicaNão se aplica",Mercado_Receita!$L$2:$L$921)</f>
        <v>0</v>
      </c>
      <c r="M25" s="13">
        <f>SUMIF(Mercado_Receita!$S$2:$S$921,"44501B1Convencional pré-pagamentoResidencialResidencial baixa renda – faixa 02Não se aplicaNão se aplicaPonta",Mercado_Receita!$L$2:$L$921)+SUMIF(Mercado_Receita!$S$2:$S$921,"44501B1Convencional pré-pagamentoResidencialResidencial baixa renda – faixa 02Não se aplicaNão se aplicaFora ponta",Mercado_Receita!$L$2:$L$921)+SUMIF(Mercado_Receita!$S$2:$S$921,"44501B1Convencional pré-pagamentoResidencialResidencial baixa renda – faixa 02Não se aplicaNão se aplicaIntermediário",Mercado_Receita!$L$2:$L$921)+SUMIF(Mercado_Receita!$S$2:$S$921,"44501B1Convencional pré-pagamentoResidencialResidencial baixa renda – faixa 02Não se aplicaNão se aplicaNão se aplica",Mercado_Receita!$L$2:$L$921)</f>
        <v>0</v>
      </c>
      <c r="N25" s="13">
        <f>SUMIF(Mercado_Receita!$S$2:$S$921,"44531B1Convencional pré-pagamentoResidencialResidencial baixa renda – faixa 02Não se aplicaNão se aplicaPonta",Mercado_Receita!$L$2:$L$921)+SUMIF(Mercado_Receita!$S$2:$S$921,"44531B1Convencional pré-pagamentoResidencialResidencial baixa renda – faixa 02Não se aplicaNão se aplicaFora ponta",Mercado_Receita!$L$2:$L$921)+SUMIF(Mercado_Receita!$S$2:$S$921,"44531B1Convencional pré-pagamentoResidencialResidencial baixa renda – faixa 02Não se aplicaNão se aplicaIntermediário",Mercado_Receita!$L$2:$L$921)+SUMIF(Mercado_Receita!$S$2:$S$921,"44531B1Convencional pré-pagamentoResidencialResidencial baixa renda – faixa 02Não se aplicaNão se aplicaNão se aplica",Mercado_Receita!$L$2:$L$921)</f>
        <v>0</v>
      </c>
      <c r="O25" s="13">
        <f>SUMIF(Mercado_Receita!$S$2:$S$921,"44562B1Convencional pré-pagamentoResidencialResidencial baixa renda – faixa 02Não se aplicaNão se aplicaPonta",Mercado_Receita!$L$2:$L$921)+SUMIF(Mercado_Receita!$S$2:$S$921,"44562B1Convencional pré-pagamentoResidencialResidencial baixa renda – faixa 02Não se aplicaNão se aplicaFora ponta",Mercado_Receita!$L$2:$L$921)+SUMIF(Mercado_Receita!$S$2:$S$921,"44562B1Convencional pré-pagamentoResidencialResidencial baixa renda – faixa 02Não se aplicaNão se aplicaIntermediário",Mercado_Receita!$L$2:$L$921)+SUMIF(Mercado_Receita!$S$2:$S$921,"44562B1Convencional pré-pagamentoResidencialResidencial baixa renda – faixa 02Não se aplicaNão se aplicaNão se aplica",Mercado_Receita!$L$2:$L$921)</f>
        <v>0</v>
      </c>
      <c r="P25" s="13">
        <f>SUMIF(Mercado_Receita!$S$2:$S$921,"44593B1Convencional pré-pagamentoResidencialResidencial baixa renda – faixa 02Não se aplicaNão se aplicaPonta",Mercado_Receita!$L$2:$L$921)+SUMIF(Mercado_Receita!$S$2:$S$921,"44593B1Convencional pré-pagamentoResidencialResidencial baixa renda – faixa 02Não se aplicaNão se aplicaFora ponta",Mercado_Receita!$L$2:$L$921)+SUMIF(Mercado_Receita!$S$2:$S$921,"44593B1Convencional pré-pagamentoResidencialResidencial baixa renda – faixa 02Não se aplicaNão se aplicaIntermediário",Mercado_Receita!$L$2:$L$921)+SUMIF(Mercado_Receita!$S$2:$S$921,"44593B1Convencional pré-pagamentoResidencialResidencial baixa renda – faixa 02Não se aplicaNão se aplicaNão se aplica",Mercado_Receita!$L$2:$L$921)</f>
        <v>0</v>
      </c>
      <c r="Q25" s="13">
        <f>SUMIF(Mercado_Receita!$S$2:$S$921,"44621B1Convencional pré-pagamentoResidencialResidencial baixa renda – faixa 02Não se aplicaNão se aplicaPonta",Mercado_Receita!$L$2:$L$921)+SUMIF(Mercado_Receita!$S$2:$S$921,"44621B1Convencional pré-pagamentoResidencialResidencial baixa renda – faixa 02Não se aplicaNão se aplicaFora ponta",Mercado_Receita!$L$2:$L$921)+SUMIF(Mercado_Receita!$S$2:$S$921,"44621B1Convencional pré-pagamentoResidencialResidencial baixa renda – faixa 02Não se aplicaNão se aplicaIntermediário",Mercado_Receita!$L$2:$L$921)+SUMIF(Mercado_Receita!$S$2:$S$921,"44621B1Convencional pré-pagamentoResidencialResidencial baixa renda – faixa 02Não se aplicaNão se aplicaNão se aplica",Mercado_Receita!$L$2:$L$921)</f>
        <v>0</v>
      </c>
      <c r="R25" s="13">
        <f>SUMIF(Mercado_Receita!$S$2:$S$921,"44652B1Convencional pré-pagamentoResidencialResidencial baixa renda – faixa 02Não se aplicaNão se aplicaPonta",Mercado_Receita!$L$2:$L$921)+SUMIF(Mercado_Receita!$S$2:$S$921,"44652B1Convencional pré-pagamentoResidencialResidencial baixa renda – faixa 02Não se aplicaNão se aplicaFora ponta",Mercado_Receita!$L$2:$L$921)+SUMIF(Mercado_Receita!$S$2:$S$921,"44652B1Convencional pré-pagamentoResidencialResidencial baixa renda – faixa 02Não se aplicaNão se aplicaIntermediário",Mercado_Receita!$L$2:$L$921)+SUMIF(Mercado_Receita!$S$2:$S$921,"44652B1Convencional pré-pagamentoResidencialResidencial baixa renda – faixa 02Não se aplicaNão se aplicaNão se aplica",Mercado_Receita!$L$2:$L$921)</f>
        <v>0</v>
      </c>
      <c r="S25" s="13">
        <f>SUMIF(Mercado_Receita!$S$2:$S$921,"44682B1Convencional pré-pagamentoResidencialResidencial baixa renda – faixa 02Não se aplicaNão se aplicaPonta",Mercado_Receita!$L$2:$L$921)+SUMIF(Mercado_Receita!$S$2:$S$921,"44682B1Convencional pré-pagamentoResidencialResidencial baixa renda – faixa 02Não se aplicaNão se aplicaFora ponta",Mercado_Receita!$L$2:$L$921)+SUMIF(Mercado_Receita!$S$2:$S$921,"44682B1Convencional pré-pagamentoResidencialResidencial baixa renda – faixa 02Não se aplicaNão se aplicaIntermediário",Mercado_Receita!$L$2:$L$921)+SUMIF(Mercado_Receita!$S$2:$S$921,"44682B1Convencional pré-pagamentoResidencialResidencial baixa renda – faixa 02Não se aplicaNão se aplicaNão se aplica",Mercado_Receita!$L$2:$L$921)</f>
        <v>0</v>
      </c>
      <c r="T25" s="13">
        <f>SUMIF(Mercado_Receita!$S$2:$S$921,"44713B1Convencional pré-pagamentoResidencialResidencial baixa renda – faixa 02Não se aplicaNão se aplicaPonta",Mercado_Receita!$L$2:$L$921)+SUMIF(Mercado_Receita!$S$2:$S$921,"44713B1Convencional pré-pagamentoResidencialResidencial baixa renda – faixa 02Não se aplicaNão se aplicaFora ponta",Mercado_Receita!$L$2:$L$921)+SUMIF(Mercado_Receita!$S$2:$S$921,"44713B1Convencional pré-pagamentoResidencialResidencial baixa renda – faixa 02Não se aplicaNão se aplicaIntermediário",Mercado_Receita!$L$2:$L$921)+SUMIF(Mercado_Receita!$S$2:$S$921,"44713B1Convencional pré-pagamentoResidencialResidencial baixa renda – faixa 02Não se aplicaNão se aplicaNão se aplica",Mercado_Receita!$L$2:$L$921)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117"/>
      <c r="B26" s="117"/>
      <c r="C26" s="117"/>
      <c r="D26" s="12" t="s">
        <v>30</v>
      </c>
      <c r="E26" s="12" t="s">
        <v>25</v>
      </c>
      <c r="F26" s="12" t="s">
        <v>25</v>
      </c>
      <c r="G26" s="13" t="s">
        <v>86</v>
      </c>
      <c r="H26" s="13" t="s">
        <v>82</v>
      </c>
      <c r="I26" s="13">
        <f>SUMIF(Mercado_Receita!$S$2:$S$921,"44378B1Convencional pré-pagamentoResidencialResidencial baixa renda – faixa 03Não se aplicaNão se aplicaPonta",Mercado_Receita!$L$2:$L$921)+SUMIF(Mercado_Receita!$S$2:$S$921,"44378B1Convencional pré-pagamentoResidencialResidencial baixa renda – faixa 03Não se aplicaNão se aplicaFora ponta",Mercado_Receita!$L$2:$L$921)+SUMIF(Mercado_Receita!$S$2:$S$921,"44378B1Convencional pré-pagamentoResidencialResidencial baixa renda – faixa 03Não se aplicaNão se aplicaIntermediário",Mercado_Receita!$L$2:$L$921)+SUMIF(Mercado_Receita!$S$2:$S$921,"44378B1Convencional pré-pagamentoResidencialResidencial baixa renda – faixa 03Não se aplicaNão se aplicaNão se aplica",Mercado_Receita!$L$2:$L$921)</f>
        <v>0</v>
      </c>
      <c r="J26" s="13">
        <f>SUMIF(Mercado_Receita!$S$2:$S$921,"44409B1Convencional pré-pagamentoResidencialResidencial baixa renda – faixa 03Não se aplicaNão se aplicaPonta",Mercado_Receita!$L$2:$L$921)+SUMIF(Mercado_Receita!$S$2:$S$921,"44409B1Convencional pré-pagamentoResidencialResidencial baixa renda – faixa 03Não se aplicaNão se aplicaFora ponta",Mercado_Receita!$L$2:$L$921)+SUMIF(Mercado_Receita!$S$2:$S$921,"44409B1Convencional pré-pagamentoResidencialResidencial baixa renda – faixa 03Não se aplicaNão se aplicaIntermediário",Mercado_Receita!$L$2:$L$921)+SUMIF(Mercado_Receita!$S$2:$S$921,"44409B1Convencional pré-pagamentoResidencialResidencial baixa renda – faixa 03Não se aplicaNão se aplicaNão se aplica",Mercado_Receita!$L$2:$L$921)</f>
        <v>0</v>
      </c>
      <c r="K26" s="13">
        <f>SUMIF(Mercado_Receita!$S$2:$S$921,"44440B1Convencional pré-pagamentoResidencialResidencial baixa renda – faixa 03Não se aplicaNão se aplicaPonta",Mercado_Receita!$L$2:$L$921)+SUMIF(Mercado_Receita!$S$2:$S$921,"44440B1Convencional pré-pagamentoResidencialResidencial baixa renda – faixa 03Não se aplicaNão se aplicaFora ponta",Mercado_Receita!$L$2:$L$921)+SUMIF(Mercado_Receita!$S$2:$S$921,"44440B1Convencional pré-pagamentoResidencialResidencial baixa renda – faixa 03Não se aplicaNão se aplicaIntermediário",Mercado_Receita!$L$2:$L$921)+SUMIF(Mercado_Receita!$S$2:$S$921,"44440B1Convencional pré-pagamentoResidencialResidencial baixa renda – faixa 03Não se aplicaNão se aplicaNão se aplica",Mercado_Receita!$L$2:$L$921)</f>
        <v>0</v>
      </c>
      <c r="L26" s="13">
        <f>SUMIF(Mercado_Receita!$S$2:$S$921,"44470B1Convencional pré-pagamentoResidencialResidencial baixa renda – faixa 03Não se aplicaNão se aplicaPonta",Mercado_Receita!$L$2:$L$921)+SUMIF(Mercado_Receita!$S$2:$S$921,"44470B1Convencional pré-pagamentoResidencialResidencial baixa renda – faixa 03Não se aplicaNão se aplicaFora ponta",Mercado_Receita!$L$2:$L$921)+SUMIF(Mercado_Receita!$S$2:$S$921,"44470B1Convencional pré-pagamentoResidencialResidencial baixa renda – faixa 03Não se aplicaNão se aplicaIntermediário",Mercado_Receita!$L$2:$L$921)+SUMIF(Mercado_Receita!$S$2:$S$921,"44470B1Convencional pré-pagamentoResidencialResidencial baixa renda – faixa 03Não se aplicaNão se aplicaNão se aplica",Mercado_Receita!$L$2:$L$921)</f>
        <v>0</v>
      </c>
      <c r="M26" s="13">
        <f>SUMIF(Mercado_Receita!$S$2:$S$921,"44501B1Convencional pré-pagamentoResidencialResidencial baixa renda – faixa 03Não se aplicaNão se aplicaPonta",Mercado_Receita!$L$2:$L$921)+SUMIF(Mercado_Receita!$S$2:$S$921,"44501B1Convencional pré-pagamentoResidencialResidencial baixa renda – faixa 03Não se aplicaNão se aplicaFora ponta",Mercado_Receita!$L$2:$L$921)+SUMIF(Mercado_Receita!$S$2:$S$921,"44501B1Convencional pré-pagamentoResidencialResidencial baixa renda – faixa 03Não se aplicaNão se aplicaIntermediário",Mercado_Receita!$L$2:$L$921)+SUMIF(Mercado_Receita!$S$2:$S$921,"44501B1Convencional pré-pagamentoResidencialResidencial baixa renda – faixa 03Não se aplicaNão se aplicaNão se aplica",Mercado_Receita!$L$2:$L$921)</f>
        <v>0</v>
      </c>
      <c r="N26" s="13">
        <f>SUMIF(Mercado_Receita!$S$2:$S$921,"44531B1Convencional pré-pagamentoResidencialResidencial baixa renda – faixa 03Não se aplicaNão se aplicaPonta",Mercado_Receita!$L$2:$L$921)+SUMIF(Mercado_Receita!$S$2:$S$921,"44531B1Convencional pré-pagamentoResidencialResidencial baixa renda – faixa 03Não se aplicaNão se aplicaFora ponta",Mercado_Receita!$L$2:$L$921)+SUMIF(Mercado_Receita!$S$2:$S$921,"44531B1Convencional pré-pagamentoResidencialResidencial baixa renda – faixa 03Não se aplicaNão se aplicaIntermediário",Mercado_Receita!$L$2:$L$921)+SUMIF(Mercado_Receita!$S$2:$S$921,"44531B1Convencional pré-pagamentoResidencialResidencial baixa renda – faixa 03Não se aplicaNão se aplicaNão se aplica",Mercado_Receita!$L$2:$L$921)</f>
        <v>0</v>
      </c>
      <c r="O26" s="13">
        <f>SUMIF(Mercado_Receita!$S$2:$S$921,"44562B1Convencional pré-pagamentoResidencialResidencial baixa renda – faixa 03Não se aplicaNão se aplicaPonta",Mercado_Receita!$L$2:$L$921)+SUMIF(Mercado_Receita!$S$2:$S$921,"44562B1Convencional pré-pagamentoResidencialResidencial baixa renda – faixa 03Não se aplicaNão se aplicaFora ponta",Mercado_Receita!$L$2:$L$921)+SUMIF(Mercado_Receita!$S$2:$S$921,"44562B1Convencional pré-pagamentoResidencialResidencial baixa renda – faixa 03Não se aplicaNão se aplicaIntermediário",Mercado_Receita!$L$2:$L$921)+SUMIF(Mercado_Receita!$S$2:$S$921,"44562B1Convencional pré-pagamentoResidencialResidencial baixa renda – faixa 03Não se aplicaNão se aplicaNão se aplica",Mercado_Receita!$L$2:$L$921)</f>
        <v>0</v>
      </c>
      <c r="P26" s="13">
        <f>SUMIF(Mercado_Receita!$S$2:$S$921,"44593B1Convencional pré-pagamentoResidencialResidencial baixa renda – faixa 03Não se aplicaNão se aplicaPonta",Mercado_Receita!$L$2:$L$921)+SUMIF(Mercado_Receita!$S$2:$S$921,"44593B1Convencional pré-pagamentoResidencialResidencial baixa renda – faixa 03Não se aplicaNão se aplicaFora ponta",Mercado_Receita!$L$2:$L$921)+SUMIF(Mercado_Receita!$S$2:$S$921,"44593B1Convencional pré-pagamentoResidencialResidencial baixa renda – faixa 03Não se aplicaNão se aplicaIntermediário",Mercado_Receita!$L$2:$L$921)+SUMIF(Mercado_Receita!$S$2:$S$921,"44593B1Convencional pré-pagamentoResidencialResidencial baixa renda – faixa 03Não se aplicaNão se aplicaNão se aplica",Mercado_Receita!$L$2:$L$921)</f>
        <v>0</v>
      </c>
      <c r="Q26" s="13">
        <f>SUMIF(Mercado_Receita!$S$2:$S$921,"44621B1Convencional pré-pagamentoResidencialResidencial baixa renda – faixa 03Não se aplicaNão se aplicaPonta",Mercado_Receita!$L$2:$L$921)+SUMIF(Mercado_Receita!$S$2:$S$921,"44621B1Convencional pré-pagamentoResidencialResidencial baixa renda – faixa 03Não se aplicaNão se aplicaFora ponta",Mercado_Receita!$L$2:$L$921)+SUMIF(Mercado_Receita!$S$2:$S$921,"44621B1Convencional pré-pagamentoResidencialResidencial baixa renda – faixa 03Não se aplicaNão se aplicaIntermediário",Mercado_Receita!$L$2:$L$921)+SUMIF(Mercado_Receita!$S$2:$S$921,"44621B1Convencional pré-pagamentoResidencialResidencial baixa renda – faixa 03Não se aplicaNão se aplicaNão se aplica",Mercado_Receita!$L$2:$L$921)</f>
        <v>0</v>
      </c>
      <c r="R26" s="13">
        <f>SUMIF(Mercado_Receita!$S$2:$S$921,"44652B1Convencional pré-pagamentoResidencialResidencial baixa renda – faixa 03Não se aplicaNão se aplicaPonta",Mercado_Receita!$L$2:$L$921)+SUMIF(Mercado_Receita!$S$2:$S$921,"44652B1Convencional pré-pagamentoResidencialResidencial baixa renda – faixa 03Não se aplicaNão se aplicaFora ponta",Mercado_Receita!$L$2:$L$921)+SUMIF(Mercado_Receita!$S$2:$S$921,"44652B1Convencional pré-pagamentoResidencialResidencial baixa renda – faixa 03Não se aplicaNão se aplicaIntermediário",Mercado_Receita!$L$2:$L$921)+SUMIF(Mercado_Receita!$S$2:$S$921,"44652B1Convencional pré-pagamentoResidencialResidencial baixa renda – faixa 03Não se aplicaNão se aplicaNão se aplica",Mercado_Receita!$L$2:$L$921)</f>
        <v>0</v>
      </c>
      <c r="S26" s="13">
        <f>SUMIF(Mercado_Receita!$S$2:$S$921,"44682B1Convencional pré-pagamentoResidencialResidencial baixa renda – faixa 03Não se aplicaNão se aplicaPonta",Mercado_Receita!$L$2:$L$921)+SUMIF(Mercado_Receita!$S$2:$S$921,"44682B1Convencional pré-pagamentoResidencialResidencial baixa renda – faixa 03Não se aplicaNão se aplicaFora ponta",Mercado_Receita!$L$2:$L$921)+SUMIF(Mercado_Receita!$S$2:$S$921,"44682B1Convencional pré-pagamentoResidencialResidencial baixa renda – faixa 03Não se aplicaNão se aplicaIntermediário",Mercado_Receita!$L$2:$L$921)+SUMIF(Mercado_Receita!$S$2:$S$921,"44682B1Convencional pré-pagamentoResidencialResidencial baixa renda – faixa 03Não se aplicaNão se aplicaNão se aplica",Mercado_Receita!$L$2:$L$921)</f>
        <v>0</v>
      </c>
      <c r="T26" s="13">
        <f>SUMIF(Mercado_Receita!$S$2:$S$921,"44713B1Convencional pré-pagamentoResidencialResidencial baixa renda – faixa 03Não se aplicaNão se aplicaPonta",Mercado_Receita!$L$2:$L$921)+SUMIF(Mercado_Receita!$S$2:$S$921,"44713B1Convencional pré-pagamentoResidencialResidencial baixa renda – faixa 03Não se aplicaNão se aplicaFora ponta",Mercado_Receita!$L$2:$L$921)+SUMIF(Mercado_Receita!$S$2:$S$921,"44713B1Convencional pré-pagamentoResidencialResidencial baixa renda – faixa 03Não se aplicaNão se aplicaIntermediário",Mercado_Receita!$L$2:$L$921)+SUMIF(Mercado_Receita!$S$2:$S$921,"44713B1Convencional pré-pagamentoResidencialResidencial baixa renda – faixa 03Não se aplicaNão se aplicaNão se aplica",Mercado_Receita!$L$2:$L$921)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117"/>
      <c r="B27" s="117"/>
      <c r="C27" s="117"/>
      <c r="D27" s="12" t="s">
        <v>31</v>
      </c>
      <c r="E27" s="12" t="s">
        <v>25</v>
      </c>
      <c r="F27" s="12" t="s">
        <v>25</v>
      </c>
      <c r="G27" s="13" t="s">
        <v>86</v>
      </c>
      <c r="H27" s="13" t="s">
        <v>82</v>
      </c>
      <c r="I27" s="13">
        <f>SUMIF(Mercado_Receita!$S$2:$S$921,"44378B1Convencional pré-pagamentoResidencialResidencial baixa renda – faixa 04Não se aplicaNão se aplicaPonta",Mercado_Receita!$L$2:$L$921)+SUMIF(Mercado_Receita!$S$2:$S$921,"44378B1Convencional pré-pagamentoResidencialResidencial baixa renda – faixa 04Não se aplicaNão se aplicaFora ponta",Mercado_Receita!$L$2:$L$921)+SUMIF(Mercado_Receita!$S$2:$S$921,"44378B1Convencional pré-pagamentoResidencialResidencial baixa renda – faixa 04Não se aplicaNão se aplicaIntermediário",Mercado_Receita!$L$2:$L$921)+SUMIF(Mercado_Receita!$S$2:$S$921,"44378B1Convencional pré-pagamentoResidencialResidencial baixa renda – faixa 04Não se aplicaNão se aplicaNão se aplica",Mercado_Receita!$L$2:$L$921)</f>
        <v>0</v>
      </c>
      <c r="J27" s="13">
        <f>SUMIF(Mercado_Receita!$S$2:$S$921,"44409B1Convencional pré-pagamentoResidencialResidencial baixa renda – faixa 04Não se aplicaNão se aplicaPonta",Mercado_Receita!$L$2:$L$921)+SUMIF(Mercado_Receita!$S$2:$S$921,"44409B1Convencional pré-pagamentoResidencialResidencial baixa renda – faixa 04Não se aplicaNão se aplicaFora ponta",Mercado_Receita!$L$2:$L$921)+SUMIF(Mercado_Receita!$S$2:$S$921,"44409B1Convencional pré-pagamentoResidencialResidencial baixa renda – faixa 04Não se aplicaNão se aplicaIntermediário",Mercado_Receita!$L$2:$L$921)+SUMIF(Mercado_Receita!$S$2:$S$921,"44409B1Convencional pré-pagamentoResidencialResidencial baixa renda – faixa 04Não se aplicaNão se aplicaNão se aplica",Mercado_Receita!$L$2:$L$921)</f>
        <v>0</v>
      </c>
      <c r="K27" s="13">
        <f>SUMIF(Mercado_Receita!$S$2:$S$921,"44440B1Convencional pré-pagamentoResidencialResidencial baixa renda – faixa 04Não se aplicaNão se aplicaPonta",Mercado_Receita!$L$2:$L$921)+SUMIF(Mercado_Receita!$S$2:$S$921,"44440B1Convencional pré-pagamentoResidencialResidencial baixa renda – faixa 04Não se aplicaNão se aplicaFora ponta",Mercado_Receita!$L$2:$L$921)+SUMIF(Mercado_Receita!$S$2:$S$921,"44440B1Convencional pré-pagamentoResidencialResidencial baixa renda – faixa 04Não se aplicaNão se aplicaIntermediário",Mercado_Receita!$L$2:$L$921)+SUMIF(Mercado_Receita!$S$2:$S$921,"44440B1Convencional pré-pagamentoResidencialResidencial baixa renda – faixa 04Não se aplicaNão se aplicaNão se aplica",Mercado_Receita!$L$2:$L$921)</f>
        <v>0</v>
      </c>
      <c r="L27" s="13">
        <f>SUMIF(Mercado_Receita!$S$2:$S$921,"44470B1Convencional pré-pagamentoResidencialResidencial baixa renda – faixa 04Não se aplicaNão se aplicaPonta",Mercado_Receita!$L$2:$L$921)+SUMIF(Mercado_Receita!$S$2:$S$921,"44470B1Convencional pré-pagamentoResidencialResidencial baixa renda – faixa 04Não se aplicaNão se aplicaFora ponta",Mercado_Receita!$L$2:$L$921)+SUMIF(Mercado_Receita!$S$2:$S$921,"44470B1Convencional pré-pagamentoResidencialResidencial baixa renda – faixa 04Não se aplicaNão se aplicaIntermediário",Mercado_Receita!$L$2:$L$921)+SUMIF(Mercado_Receita!$S$2:$S$921,"44470B1Convencional pré-pagamentoResidencialResidencial baixa renda – faixa 04Não se aplicaNão se aplicaNão se aplica",Mercado_Receita!$L$2:$L$921)</f>
        <v>0</v>
      </c>
      <c r="M27" s="13">
        <f>SUMIF(Mercado_Receita!$S$2:$S$921,"44501B1Convencional pré-pagamentoResidencialResidencial baixa renda – faixa 04Não se aplicaNão se aplicaPonta",Mercado_Receita!$L$2:$L$921)+SUMIF(Mercado_Receita!$S$2:$S$921,"44501B1Convencional pré-pagamentoResidencialResidencial baixa renda – faixa 04Não se aplicaNão se aplicaFora ponta",Mercado_Receita!$L$2:$L$921)+SUMIF(Mercado_Receita!$S$2:$S$921,"44501B1Convencional pré-pagamentoResidencialResidencial baixa renda – faixa 04Não se aplicaNão se aplicaIntermediário",Mercado_Receita!$L$2:$L$921)+SUMIF(Mercado_Receita!$S$2:$S$921,"44501B1Convencional pré-pagamentoResidencialResidencial baixa renda – faixa 04Não se aplicaNão se aplicaNão se aplica",Mercado_Receita!$L$2:$L$921)</f>
        <v>0</v>
      </c>
      <c r="N27" s="13">
        <f>SUMIF(Mercado_Receita!$S$2:$S$921,"44531B1Convencional pré-pagamentoResidencialResidencial baixa renda – faixa 04Não se aplicaNão se aplicaPonta",Mercado_Receita!$L$2:$L$921)+SUMIF(Mercado_Receita!$S$2:$S$921,"44531B1Convencional pré-pagamentoResidencialResidencial baixa renda – faixa 04Não se aplicaNão se aplicaFora ponta",Mercado_Receita!$L$2:$L$921)+SUMIF(Mercado_Receita!$S$2:$S$921,"44531B1Convencional pré-pagamentoResidencialResidencial baixa renda – faixa 04Não se aplicaNão se aplicaIntermediário",Mercado_Receita!$L$2:$L$921)+SUMIF(Mercado_Receita!$S$2:$S$921,"44531B1Convencional pré-pagamentoResidencialResidencial baixa renda – faixa 04Não se aplicaNão se aplicaNão se aplica",Mercado_Receita!$L$2:$L$921)</f>
        <v>0</v>
      </c>
      <c r="O27" s="13">
        <f>SUMIF(Mercado_Receita!$S$2:$S$921,"44562B1Convencional pré-pagamentoResidencialResidencial baixa renda – faixa 04Não se aplicaNão se aplicaPonta",Mercado_Receita!$L$2:$L$921)+SUMIF(Mercado_Receita!$S$2:$S$921,"44562B1Convencional pré-pagamentoResidencialResidencial baixa renda – faixa 04Não se aplicaNão se aplicaFora ponta",Mercado_Receita!$L$2:$L$921)+SUMIF(Mercado_Receita!$S$2:$S$921,"44562B1Convencional pré-pagamentoResidencialResidencial baixa renda – faixa 04Não se aplicaNão se aplicaIntermediário",Mercado_Receita!$L$2:$L$921)+SUMIF(Mercado_Receita!$S$2:$S$921,"44562B1Convencional pré-pagamentoResidencialResidencial baixa renda – faixa 04Não se aplicaNão se aplicaNão se aplica",Mercado_Receita!$L$2:$L$921)</f>
        <v>0</v>
      </c>
      <c r="P27" s="13">
        <f>SUMIF(Mercado_Receita!$S$2:$S$921,"44593B1Convencional pré-pagamentoResidencialResidencial baixa renda – faixa 04Não se aplicaNão se aplicaPonta",Mercado_Receita!$L$2:$L$921)+SUMIF(Mercado_Receita!$S$2:$S$921,"44593B1Convencional pré-pagamentoResidencialResidencial baixa renda – faixa 04Não se aplicaNão se aplicaFora ponta",Mercado_Receita!$L$2:$L$921)+SUMIF(Mercado_Receita!$S$2:$S$921,"44593B1Convencional pré-pagamentoResidencialResidencial baixa renda – faixa 04Não se aplicaNão se aplicaIntermediário",Mercado_Receita!$L$2:$L$921)+SUMIF(Mercado_Receita!$S$2:$S$921,"44593B1Convencional pré-pagamentoResidencialResidencial baixa renda – faixa 04Não se aplicaNão se aplicaNão se aplica",Mercado_Receita!$L$2:$L$921)</f>
        <v>0</v>
      </c>
      <c r="Q27" s="13">
        <f>SUMIF(Mercado_Receita!$S$2:$S$921,"44621B1Convencional pré-pagamentoResidencialResidencial baixa renda – faixa 04Não se aplicaNão se aplicaPonta",Mercado_Receita!$L$2:$L$921)+SUMIF(Mercado_Receita!$S$2:$S$921,"44621B1Convencional pré-pagamentoResidencialResidencial baixa renda – faixa 04Não se aplicaNão se aplicaFora ponta",Mercado_Receita!$L$2:$L$921)+SUMIF(Mercado_Receita!$S$2:$S$921,"44621B1Convencional pré-pagamentoResidencialResidencial baixa renda – faixa 04Não se aplicaNão se aplicaIntermediário",Mercado_Receita!$L$2:$L$921)+SUMIF(Mercado_Receita!$S$2:$S$921,"44621B1Convencional pré-pagamentoResidencialResidencial baixa renda – faixa 04Não se aplicaNão se aplicaNão se aplica",Mercado_Receita!$L$2:$L$921)</f>
        <v>0</v>
      </c>
      <c r="R27" s="13">
        <f>SUMIF(Mercado_Receita!$S$2:$S$921,"44652B1Convencional pré-pagamentoResidencialResidencial baixa renda – faixa 04Não se aplicaNão se aplicaPonta",Mercado_Receita!$L$2:$L$921)+SUMIF(Mercado_Receita!$S$2:$S$921,"44652B1Convencional pré-pagamentoResidencialResidencial baixa renda – faixa 04Não se aplicaNão se aplicaFora ponta",Mercado_Receita!$L$2:$L$921)+SUMIF(Mercado_Receita!$S$2:$S$921,"44652B1Convencional pré-pagamentoResidencialResidencial baixa renda – faixa 04Não se aplicaNão se aplicaIntermediário",Mercado_Receita!$L$2:$L$921)+SUMIF(Mercado_Receita!$S$2:$S$921,"44652B1Convencional pré-pagamentoResidencialResidencial baixa renda – faixa 04Não se aplicaNão se aplicaNão se aplica",Mercado_Receita!$L$2:$L$921)</f>
        <v>0</v>
      </c>
      <c r="S27" s="13">
        <f>SUMIF(Mercado_Receita!$S$2:$S$921,"44682B1Convencional pré-pagamentoResidencialResidencial baixa renda – faixa 04Não se aplicaNão se aplicaPonta",Mercado_Receita!$L$2:$L$921)+SUMIF(Mercado_Receita!$S$2:$S$921,"44682B1Convencional pré-pagamentoResidencialResidencial baixa renda – faixa 04Não se aplicaNão se aplicaFora ponta",Mercado_Receita!$L$2:$L$921)+SUMIF(Mercado_Receita!$S$2:$S$921,"44682B1Convencional pré-pagamentoResidencialResidencial baixa renda – faixa 04Não se aplicaNão se aplicaIntermediário",Mercado_Receita!$L$2:$L$921)+SUMIF(Mercado_Receita!$S$2:$S$921,"44682B1Convencional pré-pagamentoResidencialResidencial baixa renda – faixa 04Não se aplicaNão se aplicaNão se aplica",Mercado_Receita!$L$2:$L$921)</f>
        <v>0</v>
      </c>
      <c r="T27" s="13">
        <f>SUMIF(Mercado_Receita!$S$2:$S$921,"44713B1Convencional pré-pagamentoResidencialResidencial baixa renda – faixa 04Não se aplicaNão se aplicaPonta",Mercado_Receita!$L$2:$L$921)+SUMIF(Mercado_Receita!$S$2:$S$921,"44713B1Convencional pré-pagamentoResidencialResidencial baixa renda – faixa 04Não se aplicaNão se aplicaFora ponta",Mercado_Receita!$L$2:$L$921)+SUMIF(Mercado_Receita!$S$2:$S$921,"44713B1Convencional pré-pagamentoResidencialResidencial baixa renda – faixa 04Não se aplicaNão se aplicaIntermediário",Mercado_Receita!$L$2:$L$921)+SUMIF(Mercado_Receita!$S$2:$S$921,"44713B1Convencional pré-pagamentoResidencialResidencial baixa renda – faixa 04Não se aplicaNão se aplicaNão se aplica",Mercado_Receita!$L$2:$L$921)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116" t="s">
        <v>42</v>
      </c>
      <c r="B28" s="116" t="s">
        <v>32</v>
      </c>
      <c r="C28" s="116" t="s">
        <v>43</v>
      </c>
      <c r="D28" s="116" t="s">
        <v>25</v>
      </c>
      <c r="E28" s="116" t="s">
        <v>25</v>
      </c>
      <c r="F28" s="116" t="s">
        <v>25</v>
      </c>
      <c r="G28" s="13" t="s">
        <v>83</v>
      </c>
      <c r="H28" s="13" t="s">
        <v>82</v>
      </c>
      <c r="I28" s="13">
        <f>SUMIF(Mercado_Receita!$S$2:$S$921,"44378B2BrancaRuralNão se aplicaNão se aplicaNão se aplicaPonta",Mercado_Receita!$L$2:$L$921)</f>
        <v>0</v>
      </c>
      <c r="J28" s="13">
        <f>SUMIF(Mercado_Receita!$S$2:$S$921,"44409B2BrancaRuralNão se aplicaNão se aplicaNão se aplicaPonta",Mercado_Receita!$L$2:$L$921)</f>
        <v>0</v>
      </c>
      <c r="K28" s="13">
        <f>SUMIF(Mercado_Receita!$S$2:$S$921,"44440B2BrancaRuralNão se aplicaNão se aplicaNão se aplicaPonta",Mercado_Receita!$L$2:$L$921)</f>
        <v>0</v>
      </c>
      <c r="L28" s="13">
        <f>SUMIF(Mercado_Receita!$S$2:$S$921,"44470B2BrancaRuralNão se aplicaNão se aplicaNão se aplicaPonta",Mercado_Receita!$L$2:$L$921)</f>
        <v>0</v>
      </c>
      <c r="M28" s="13">
        <f>SUMIF(Mercado_Receita!$S$2:$S$921,"44501B2BrancaRuralNão se aplicaNão se aplicaNão se aplicaPonta",Mercado_Receita!$L$2:$L$921)</f>
        <v>0</v>
      </c>
      <c r="N28" s="13">
        <f>SUMIF(Mercado_Receita!$S$2:$S$921,"44531B2BrancaRuralNão se aplicaNão se aplicaNão se aplicaPonta",Mercado_Receita!$L$2:$L$921)</f>
        <v>0</v>
      </c>
      <c r="O28" s="13">
        <f>SUMIF(Mercado_Receita!$S$2:$S$921,"44562B2BrancaRuralNão se aplicaNão se aplicaNão se aplicaPonta",Mercado_Receita!$L$2:$L$921)</f>
        <v>0</v>
      </c>
      <c r="P28" s="13">
        <f>SUMIF(Mercado_Receita!$S$2:$S$921,"44593B2BrancaRuralNão se aplicaNão se aplicaNão se aplicaPonta",Mercado_Receita!$L$2:$L$921)</f>
        <v>0</v>
      </c>
      <c r="Q28" s="13">
        <f>SUMIF(Mercado_Receita!$S$2:$S$921,"44621B2BrancaRuralNão se aplicaNão se aplicaNão se aplicaPonta",Mercado_Receita!$L$2:$L$921)</f>
        <v>0</v>
      </c>
      <c r="R28" s="13">
        <f>SUMIF(Mercado_Receita!$S$2:$S$921,"44652B2BrancaRuralNão se aplicaNão se aplicaNão se aplicaPonta",Mercado_Receita!$L$2:$L$921)</f>
        <v>0</v>
      </c>
      <c r="S28" s="13">
        <f>SUMIF(Mercado_Receita!$S$2:$S$921,"44682B2BrancaRuralNão se aplicaNão se aplicaNão se aplicaPonta",Mercado_Receita!$L$2:$L$921)</f>
        <v>0</v>
      </c>
      <c r="T28" s="13">
        <f>SUMIF(Mercado_Receita!$S$2:$S$921,"44713B2BrancaRuralNão se aplicaNão se aplicaNão se aplicaPonta",Mercado_Receita!$L$2:$L$921)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117"/>
      <c r="B29" s="117"/>
      <c r="C29" s="117"/>
      <c r="D29" s="117"/>
      <c r="E29" s="117"/>
      <c r="F29" s="117"/>
      <c r="G29" s="13" t="s">
        <v>93</v>
      </c>
      <c r="H29" s="13" t="s">
        <v>82</v>
      </c>
      <c r="I29" s="13">
        <f>SUMIF(Mercado_Receita!$S$2:$S$921,"44378B2BrancaRuralNão se aplicaNão se aplicaNão se aplicaIntermediário",Mercado_Receita!$L$2:$L$921)</f>
        <v>0</v>
      </c>
      <c r="J29" s="13">
        <f>SUMIF(Mercado_Receita!$S$2:$S$921,"44409B2BrancaRuralNão se aplicaNão se aplicaNão se aplicaIntermediário",Mercado_Receita!$L$2:$L$921)</f>
        <v>0</v>
      </c>
      <c r="K29" s="13">
        <f>SUMIF(Mercado_Receita!$S$2:$S$921,"44440B2BrancaRuralNão se aplicaNão se aplicaNão se aplicaIntermediário",Mercado_Receita!$L$2:$L$921)</f>
        <v>0</v>
      </c>
      <c r="L29" s="13">
        <f>SUMIF(Mercado_Receita!$S$2:$S$921,"44470B2BrancaRuralNão se aplicaNão se aplicaNão se aplicaIntermediário",Mercado_Receita!$L$2:$L$921)</f>
        <v>0</v>
      </c>
      <c r="M29" s="13">
        <f>SUMIF(Mercado_Receita!$S$2:$S$921,"44501B2BrancaRuralNão se aplicaNão se aplicaNão se aplicaIntermediário",Mercado_Receita!$L$2:$L$921)</f>
        <v>0</v>
      </c>
      <c r="N29" s="13">
        <f>SUMIF(Mercado_Receita!$S$2:$S$921,"44531B2BrancaRuralNão se aplicaNão se aplicaNão se aplicaIntermediário",Mercado_Receita!$L$2:$L$921)</f>
        <v>0</v>
      </c>
      <c r="O29" s="13">
        <f>SUMIF(Mercado_Receita!$S$2:$S$921,"44562B2BrancaRuralNão se aplicaNão se aplicaNão se aplicaIntermediário",Mercado_Receita!$L$2:$L$921)</f>
        <v>0</v>
      </c>
      <c r="P29" s="13">
        <f>SUMIF(Mercado_Receita!$S$2:$S$921,"44593B2BrancaRuralNão se aplicaNão se aplicaNão se aplicaIntermediário",Mercado_Receita!$L$2:$L$921)</f>
        <v>0</v>
      </c>
      <c r="Q29" s="13">
        <f>SUMIF(Mercado_Receita!$S$2:$S$921,"44621B2BrancaRuralNão se aplicaNão se aplicaNão se aplicaIntermediário",Mercado_Receita!$L$2:$L$921)</f>
        <v>0</v>
      </c>
      <c r="R29" s="13">
        <f>SUMIF(Mercado_Receita!$S$2:$S$921,"44652B2BrancaRuralNão se aplicaNão se aplicaNão se aplicaIntermediário",Mercado_Receita!$L$2:$L$921)</f>
        <v>0</v>
      </c>
      <c r="S29" s="13">
        <f>SUMIF(Mercado_Receita!$S$2:$S$921,"44682B2BrancaRuralNão se aplicaNão se aplicaNão se aplicaIntermediário",Mercado_Receita!$L$2:$L$921)</f>
        <v>0</v>
      </c>
      <c r="T29" s="13">
        <f>SUMIF(Mercado_Receita!$S$2:$S$921,"44713B2BrancaRuralNão se aplicaNão se aplicaNão se aplicaIntermediário",Mercado_Receita!$L$2:$L$921)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117"/>
      <c r="B30" s="117"/>
      <c r="C30" s="117"/>
      <c r="D30" s="117"/>
      <c r="E30" s="117"/>
      <c r="F30" s="117"/>
      <c r="G30" s="13" t="s">
        <v>84</v>
      </c>
      <c r="H30" s="13" t="s">
        <v>82</v>
      </c>
      <c r="I30" s="13">
        <f>SUMIF(Mercado_Receita!$S$2:$S$921,"44378B2BrancaRuralNão se aplicaNão se aplicaNão se aplicaFora ponta",Mercado_Receita!$L$2:$L$921)</f>
        <v>0</v>
      </c>
      <c r="J30" s="13">
        <f>SUMIF(Mercado_Receita!$S$2:$S$921,"44409B2BrancaRuralNão se aplicaNão se aplicaNão se aplicaFora ponta",Mercado_Receita!$L$2:$L$921)</f>
        <v>0</v>
      </c>
      <c r="K30" s="13">
        <f>SUMIF(Mercado_Receita!$S$2:$S$921,"44440B2BrancaRuralNão se aplicaNão se aplicaNão se aplicaFora ponta",Mercado_Receita!$L$2:$L$921)</f>
        <v>0</v>
      </c>
      <c r="L30" s="13">
        <f>SUMIF(Mercado_Receita!$S$2:$S$921,"44470B2BrancaRuralNão se aplicaNão se aplicaNão se aplicaFora ponta",Mercado_Receita!$L$2:$L$921)</f>
        <v>0</v>
      </c>
      <c r="M30" s="13">
        <f>SUMIF(Mercado_Receita!$S$2:$S$921,"44501B2BrancaRuralNão se aplicaNão se aplicaNão se aplicaFora ponta",Mercado_Receita!$L$2:$L$921)</f>
        <v>0</v>
      </c>
      <c r="N30" s="13">
        <f>SUMIF(Mercado_Receita!$S$2:$S$921,"44531B2BrancaRuralNão se aplicaNão se aplicaNão se aplicaFora ponta",Mercado_Receita!$L$2:$L$921)</f>
        <v>0</v>
      </c>
      <c r="O30" s="13">
        <f>SUMIF(Mercado_Receita!$S$2:$S$921,"44562B2BrancaRuralNão se aplicaNão se aplicaNão se aplicaFora ponta",Mercado_Receita!$L$2:$L$921)</f>
        <v>0</v>
      </c>
      <c r="P30" s="13">
        <f>SUMIF(Mercado_Receita!$S$2:$S$921,"44593B2BrancaRuralNão se aplicaNão se aplicaNão se aplicaFora ponta",Mercado_Receita!$L$2:$L$921)</f>
        <v>0</v>
      </c>
      <c r="Q30" s="13">
        <f>SUMIF(Mercado_Receita!$S$2:$S$921,"44621B2BrancaRuralNão se aplicaNão se aplicaNão se aplicaFora ponta",Mercado_Receita!$L$2:$L$921)</f>
        <v>0</v>
      </c>
      <c r="R30" s="13">
        <f>SUMIF(Mercado_Receita!$S$2:$S$921,"44652B2BrancaRuralNão se aplicaNão se aplicaNão se aplicaFora ponta",Mercado_Receita!$L$2:$L$921)</f>
        <v>0</v>
      </c>
      <c r="S30" s="13">
        <f>SUMIF(Mercado_Receita!$S$2:$S$921,"44682B2BrancaRuralNão se aplicaNão se aplicaNão se aplicaFora ponta",Mercado_Receita!$L$2:$L$921)</f>
        <v>0</v>
      </c>
      <c r="T30" s="13">
        <f>SUMIF(Mercado_Receita!$S$2:$S$921,"44713B2BrancaRuralNão se aplicaNão se aplicaNão se aplicaFora ponta",Mercado_Receita!$L$2:$L$921)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117"/>
      <c r="B31" s="12" t="s">
        <v>23</v>
      </c>
      <c r="C31" s="12" t="s">
        <v>43</v>
      </c>
      <c r="D31" s="12" t="s">
        <v>25</v>
      </c>
      <c r="E31" s="12" t="s">
        <v>25</v>
      </c>
      <c r="F31" s="12" t="s">
        <v>25</v>
      </c>
      <c r="G31" s="13" t="s">
        <v>86</v>
      </c>
      <c r="H31" s="13" t="s">
        <v>82</v>
      </c>
      <c r="I31" s="13">
        <f>SUMIF(Mercado_Receita!$S$2:$S$921,"44378B2ConvencionalRuralNão se aplicaNão se aplicaNão se aplicaPonta",Mercado_Receita!$L$2:$L$921)+SUMIF(Mercado_Receita!$S$2:$S$921,"44378B2ConvencionalRuralNão se aplicaNão se aplicaNão se aplicaFora ponta",Mercado_Receita!$L$2:$L$921)+SUMIF(Mercado_Receita!$S$2:$S$921,"44378B2ConvencionalRuralNão se aplicaNão se aplicaNão se aplicaIntermediário",Mercado_Receita!$L$2:$L$921)+SUMIF(Mercado_Receita!$S$2:$S$921,"44378B2ConvencionalRuralNão se aplicaNão se aplicaNão se aplicaNão se aplica",Mercado_Receita!$L$2:$L$921)</f>
        <v>1475.2919999999999</v>
      </c>
      <c r="J31" s="13">
        <f>SUMIF(Mercado_Receita!$S$2:$S$921,"44409B2ConvencionalRuralNão se aplicaNão se aplicaNão se aplicaPonta",Mercado_Receita!$L$2:$L$921)+SUMIF(Mercado_Receita!$S$2:$S$921,"44409B2ConvencionalRuralNão se aplicaNão se aplicaNão se aplicaFora ponta",Mercado_Receita!$L$2:$L$921)+SUMIF(Mercado_Receita!$S$2:$S$921,"44409B2ConvencionalRuralNão se aplicaNão se aplicaNão se aplicaIntermediário",Mercado_Receita!$L$2:$L$921)+SUMIF(Mercado_Receita!$S$2:$S$921,"44409B2ConvencionalRuralNão se aplicaNão se aplicaNão se aplicaNão se aplica",Mercado_Receita!$L$2:$L$921)</f>
        <v>1519.8659999999998</v>
      </c>
      <c r="K31" s="13">
        <f>SUMIF(Mercado_Receita!$S$2:$S$921,"44440B2ConvencionalRuralNão se aplicaNão se aplicaNão se aplicaPonta",Mercado_Receita!$L$2:$L$921)+SUMIF(Mercado_Receita!$S$2:$S$921,"44440B2ConvencionalRuralNão se aplicaNão se aplicaNão se aplicaFora ponta",Mercado_Receita!$L$2:$L$921)+SUMIF(Mercado_Receita!$S$2:$S$921,"44440B2ConvencionalRuralNão se aplicaNão se aplicaNão se aplicaIntermediário",Mercado_Receita!$L$2:$L$921)+SUMIF(Mercado_Receita!$S$2:$S$921,"44440B2ConvencionalRuralNão se aplicaNão se aplicaNão se aplicaNão se aplica",Mercado_Receita!$L$2:$L$921)</f>
        <v>1561.0910000000001</v>
      </c>
      <c r="L31" s="13">
        <f>SUMIF(Mercado_Receita!$S$2:$S$921,"44470B2ConvencionalRuralNão se aplicaNão se aplicaNão se aplicaPonta",Mercado_Receita!$L$2:$L$921)+SUMIF(Mercado_Receita!$S$2:$S$921,"44470B2ConvencionalRuralNão se aplicaNão se aplicaNão se aplicaFora ponta",Mercado_Receita!$L$2:$L$921)+SUMIF(Mercado_Receita!$S$2:$S$921,"44470B2ConvencionalRuralNão se aplicaNão se aplicaNão se aplicaIntermediário",Mercado_Receita!$L$2:$L$921)+SUMIF(Mercado_Receita!$S$2:$S$921,"44470B2ConvencionalRuralNão se aplicaNão se aplicaNão se aplicaNão se aplica",Mercado_Receita!$L$2:$L$921)</f>
        <v>1559.682</v>
      </c>
      <c r="M31" s="13">
        <f>SUMIF(Mercado_Receita!$S$2:$S$921,"44501B2ConvencionalRuralNão se aplicaNão se aplicaNão se aplicaPonta",Mercado_Receita!$L$2:$L$921)+SUMIF(Mercado_Receita!$S$2:$S$921,"44501B2ConvencionalRuralNão se aplicaNão se aplicaNão se aplicaFora ponta",Mercado_Receita!$L$2:$L$921)+SUMIF(Mercado_Receita!$S$2:$S$921,"44501B2ConvencionalRuralNão se aplicaNão se aplicaNão se aplicaIntermediário",Mercado_Receita!$L$2:$L$921)+SUMIF(Mercado_Receita!$S$2:$S$921,"44501B2ConvencionalRuralNão se aplicaNão se aplicaNão se aplicaNão se aplica",Mercado_Receita!$L$2:$L$921)</f>
        <v>1580.0440000000001</v>
      </c>
      <c r="N31" s="13">
        <f>SUMIF(Mercado_Receita!$S$2:$S$921,"44531B2ConvencionalRuralNão se aplicaNão se aplicaNão se aplicaPonta",Mercado_Receita!$L$2:$L$921)+SUMIF(Mercado_Receita!$S$2:$S$921,"44531B2ConvencionalRuralNão se aplicaNão se aplicaNão se aplicaFora ponta",Mercado_Receita!$L$2:$L$921)+SUMIF(Mercado_Receita!$S$2:$S$921,"44531B2ConvencionalRuralNão se aplicaNão se aplicaNão se aplicaIntermediário",Mercado_Receita!$L$2:$L$921)+SUMIF(Mercado_Receita!$S$2:$S$921,"44531B2ConvencionalRuralNão se aplicaNão se aplicaNão se aplicaNão se aplica",Mercado_Receita!$L$2:$L$921)</f>
        <v>1629.9350000000002</v>
      </c>
      <c r="O31" s="13">
        <f>SUMIF(Mercado_Receita!$S$2:$S$921,"44562B2ConvencionalRuralNão se aplicaNão se aplicaNão se aplicaPonta",Mercado_Receita!$L$2:$L$921)+SUMIF(Mercado_Receita!$S$2:$S$921,"44562B2ConvencionalRuralNão se aplicaNão se aplicaNão se aplicaFora ponta",Mercado_Receita!$L$2:$L$921)+SUMIF(Mercado_Receita!$S$2:$S$921,"44562B2ConvencionalRuralNão se aplicaNão se aplicaNão se aplicaIntermediário",Mercado_Receita!$L$2:$L$921)+SUMIF(Mercado_Receita!$S$2:$S$921,"44562B2ConvencionalRuralNão se aplicaNão se aplicaNão se aplicaNão se aplica",Mercado_Receita!$L$2:$L$921)</f>
        <v>1768.4690000000001</v>
      </c>
      <c r="P31" s="13">
        <f>SUMIF(Mercado_Receita!$S$2:$S$921,"44593B2ConvencionalRuralNão se aplicaNão se aplicaNão se aplicaPonta",Mercado_Receita!$L$2:$L$921)+SUMIF(Mercado_Receita!$S$2:$S$921,"44593B2ConvencionalRuralNão se aplicaNão se aplicaNão se aplicaFora ponta",Mercado_Receita!$L$2:$L$921)+SUMIF(Mercado_Receita!$S$2:$S$921,"44593B2ConvencionalRuralNão se aplicaNão se aplicaNão se aplicaIntermediário",Mercado_Receita!$L$2:$L$921)+SUMIF(Mercado_Receita!$S$2:$S$921,"44593B2ConvencionalRuralNão se aplicaNão se aplicaNão se aplicaNão se aplica",Mercado_Receita!$L$2:$L$921)</f>
        <v>1982.9349999999997</v>
      </c>
      <c r="Q31" s="13">
        <f>SUMIF(Mercado_Receita!$S$2:$S$921,"44621B2ConvencionalRuralNão se aplicaNão se aplicaNão se aplicaPonta",Mercado_Receita!$L$2:$L$921)+SUMIF(Mercado_Receita!$S$2:$S$921,"44621B2ConvencionalRuralNão se aplicaNão se aplicaNão se aplicaFora ponta",Mercado_Receita!$L$2:$L$921)+SUMIF(Mercado_Receita!$S$2:$S$921,"44621B2ConvencionalRuralNão se aplicaNão se aplicaNão se aplicaIntermediário",Mercado_Receita!$L$2:$L$921)+SUMIF(Mercado_Receita!$S$2:$S$921,"44621B2ConvencionalRuralNão se aplicaNão se aplicaNão se aplicaNão se aplica",Mercado_Receita!$L$2:$L$921)</f>
        <v>1396.8130000000001</v>
      </c>
      <c r="R31" s="13">
        <f>SUMIF(Mercado_Receita!$S$2:$S$921,"44652B2ConvencionalRuralNão se aplicaNão se aplicaNão se aplicaPonta",Mercado_Receita!$L$2:$L$921)+SUMIF(Mercado_Receita!$S$2:$S$921,"44652B2ConvencionalRuralNão se aplicaNão se aplicaNão se aplicaFora ponta",Mercado_Receita!$L$2:$L$921)+SUMIF(Mercado_Receita!$S$2:$S$921,"44652B2ConvencionalRuralNão se aplicaNão se aplicaNão se aplicaIntermediário",Mercado_Receita!$L$2:$L$921)+SUMIF(Mercado_Receita!$S$2:$S$921,"44652B2ConvencionalRuralNão se aplicaNão se aplicaNão se aplicaNão se aplica",Mercado_Receita!$L$2:$L$921)</f>
        <v>1432.7160000000001</v>
      </c>
      <c r="S31" s="13">
        <f>SUMIF(Mercado_Receita!$S$2:$S$921,"44682B2ConvencionalRuralNão se aplicaNão se aplicaNão se aplicaPonta",Mercado_Receita!$L$2:$L$921)+SUMIF(Mercado_Receita!$S$2:$S$921,"44682B2ConvencionalRuralNão se aplicaNão se aplicaNão se aplicaFora ponta",Mercado_Receita!$L$2:$L$921)+SUMIF(Mercado_Receita!$S$2:$S$921,"44682B2ConvencionalRuralNão se aplicaNão se aplicaNão se aplicaIntermediário",Mercado_Receita!$L$2:$L$921)+SUMIF(Mercado_Receita!$S$2:$S$921,"44682B2ConvencionalRuralNão se aplicaNão se aplicaNão se aplicaNão se aplica",Mercado_Receita!$L$2:$L$921)</f>
        <v>1410.3049999999998</v>
      </c>
      <c r="T31" s="13">
        <f>SUMIF(Mercado_Receita!$S$2:$S$921,"44713B2ConvencionalRuralNão se aplicaNão se aplicaNão se aplicaPonta",Mercado_Receita!$L$2:$L$921)+SUMIF(Mercado_Receita!$S$2:$S$921,"44713B2ConvencionalRuralNão se aplicaNão se aplicaNão se aplicaFora ponta",Mercado_Receita!$L$2:$L$921)+SUMIF(Mercado_Receita!$S$2:$S$921,"44713B2ConvencionalRuralNão se aplicaNão se aplicaNão se aplicaIntermediário",Mercado_Receita!$L$2:$L$921)+SUMIF(Mercado_Receita!$S$2:$S$921,"44713B2ConvencionalRuralNão se aplicaNão se aplicaNão se aplicaNão se aplica",Mercado_Receita!$L$2:$L$921)</f>
        <v>1410.3049999999998</v>
      </c>
      <c r="U31" s="13">
        <f t="shared" si="0"/>
        <v>18727.453000000001</v>
      </c>
      <c r="V31" s="13"/>
      <c r="W31" s="13"/>
    </row>
    <row r="32" spans="1:23" ht="11.25" customHeight="1" x14ac:dyDescent="0.25">
      <c r="A32" s="117"/>
      <c r="B32" s="116" t="s">
        <v>32</v>
      </c>
      <c r="C32" s="116" t="s">
        <v>43</v>
      </c>
      <c r="D32" s="116" t="s">
        <v>96</v>
      </c>
      <c r="E32" s="116" t="s">
        <v>25</v>
      </c>
      <c r="F32" s="116" t="s">
        <v>25</v>
      </c>
      <c r="G32" s="13" t="s">
        <v>83</v>
      </c>
      <c r="H32" s="13" t="s">
        <v>82</v>
      </c>
      <c r="I32" s="13">
        <f>SUMIF(Mercado_Receita!$S$2:$S$921,"44378B2BrancaRuralCooperativa de eletrificação ruralNão se aplicaNão se aplicaPonta",Mercado_Receita!$L$2:$L$921)</f>
        <v>0</v>
      </c>
      <c r="J32" s="13">
        <f>SUMIF(Mercado_Receita!$S$2:$S$921,"44409B2BrancaRuralCooperativa de eletrificação ruralNão se aplicaNão se aplicaPonta",Mercado_Receita!$L$2:$L$921)</f>
        <v>0</v>
      </c>
      <c r="K32" s="13">
        <f>SUMIF(Mercado_Receita!$S$2:$S$921,"44440B2BrancaRuralCooperativa de eletrificação ruralNão se aplicaNão se aplicaPonta",Mercado_Receita!$L$2:$L$921)</f>
        <v>0</v>
      </c>
      <c r="L32" s="13">
        <f>SUMIF(Mercado_Receita!$S$2:$S$921,"44470B2BrancaRuralCooperativa de eletrificação ruralNão se aplicaNão se aplicaPonta",Mercado_Receita!$L$2:$L$921)</f>
        <v>0</v>
      </c>
      <c r="M32" s="13">
        <f>SUMIF(Mercado_Receita!$S$2:$S$921,"44501B2BrancaRuralCooperativa de eletrificação ruralNão se aplicaNão se aplicaPonta",Mercado_Receita!$L$2:$L$921)</f>
        <v>0</v>
      </c>
      <c r="N32" s="13">
        <f>SUMIF(Mercado_Receita!$S$2:$S$921,"44531B2BrancaRuralCooperativa de eletrificação ruralNão se aplicaNão se aplicaPonta",Mercado_Receita!$L$2:$L$921)</f>
        <v>0</v>
      </c>
      <c r="O32" s="13">
        <f>SUMIF(Mercado_Receita!$S$2:$S$921,"44562B2BrancaRuralCooperativa de eletrificação ruralNão se aplicaNão se aplicaPonta",Mercado_Receita!$L$2:$L$921)</f>
        <v>0</v>
      </c>
      <c r="P32" s="13">
        <f>SUMIF(Mercado_Receita!$S$2:$S$921,"44593B2BrancaRuralCooperativa de eletrificação ruralNão se aplicaNão se aplicaPonta",Mercado_Receita!$L$2:$L$921)</f>
        <v>0</v>
      </c>
      <c r="Q32" s="13">
        <f>SUMIF(Mercado_Receita!$S$2:$S$921,"44621B2BrancaRuralCooperativa de eletrificação ruralNão se aplicaNão se aplicaPonta",Mercado_Receita!$L$2:$L$921)</f>
        <v>0</v>
      </c>
      <c r="R32" s="13">
        <f>SUMIF(Mercado_Receita!$S$2:$S$921,"44652B2BrancaRuralCooperativa de eletrificação ruralNão se aplicaNão se aplicaPonta",Mercado_Receita!$L$2:$L$921)</f>
        <v>0</v>
      </c>
      <c r="S32" s="13">
        <f>SUMIF(Mercado_Receita!$S$2:$S$921,"44682B2BrancaRuralCooperativa de eletrificação ruralNão se aplicaNão se aplicaPonta",Mercado_Receita!$L$2:$L$921)</f>
        <v>0</v>
      </c>
      <c r="T32" s="13">
        <f>SUMIF(Mercado_Receita!$S$2:$S$921,"44713B2BrancaRuralCooperativa de eletrificação ruralNão se aplicaNão se aplicaPonta",Mercado_Receita!$L$2:$L$921)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117"/>
      <c r="B33" s="117"/>
      <c r="C33" s="117"/>
      <c r="D33" s="117"/>
      <c r="E33" s="117"/>
      <c r="F33" s="117"/>
      <c r="G33" s="13" t="s">
        <v>93</v>
      </c>
      <c r="H33" s="13" t="s">
        <v>82</v>
      </c>
      <c r="I33" s="13">
        <f>SUMIF(Mercado_Receita!$S$2:$S$921,"44378B2BrancaRuralCooperativa de eletrificação ruralNão se aplicaNão se aplicaIntermediário",Mercado_Receita!$L$2:$L$921)</f>
        <v>0</v>
      </c>
      <c r="J33" s="13">
        <f>SUMIF(Mercado_Receita!$S$2:$S$921,"44409B2BrancaRuralCooperativa de eletrificação ruralNão se aplicaNão se aplicaIntermediário",Mercado_Receita!$L$2:$L$921)</f>
        <v>0</v>
      </c>
      <c r="K33" s="13">
        <f>SUMIF(Mercado_Receita!$S$2:$S$921,"44440B2BrancaRuralCooperativa de eletrificação ruralNão se aplicaNão se aplicaIntermediário",Mercado_Receita!$L$2:$L$921)</f>
        <v>0</v>
      </c>
      <c r="L33" s="13">
        <f>SUMIF(Mercado_Receita!$S$2:$S$921,"44470B2BrancaRuralCooperativa de eletrificação ruralNão se aplicaNão se aplicaIntermediário",Mercado_Receita!$L$2:$L$921)</f>
        <v>0</v>
      </c>
      <c r="M33" s="13">
        <f>SUMIF(Mercado_Receita!$S$2:$S$921,"44501B2BrancaRuralCooperativa de eletrificação ruralNão se aplicaNão se aplicaIntermediário",Mercado_Receita!$L$2:$L$921)</f>
        <v>0</v>
      </c>
      <c r="N33" s="13">
        <f>SUMIF(Mercado_Receita!$S$2:$S$921,"44531B2BrancaRuralCooperativa de eletrificação ruralNão se aplicaNão se aplicaIntermediário",Mercado_Receita!$L$2:$L$921)</f>
        <v>0</v>
      </c>
      <c r="O33" s="13">
        <f>SUMIF(Mercado_Receita!$S$2:$S$921,"44562B2BrancaRuralCooperativa de eletrificação ruralNão se aplicaNão se aplicaIntermediário",Mercado_Receita!$L$2:$L$921)</f>
        <v>0</v>
      </c>
      <c r="P33" s="13">
        <f>SUMIF(Mercado_Receita!$S$2:$S$921,"44593B2BrancaRuralCooperativa de eletrificação ruralNão se aplicaNão se aplicaIntermediário",Mercado_Receita!$L$2:$L$921)</f>
        <v>0</v>
      </c>
      <c r="Q33" s="13">
        <f>SUMIF(Mercado_Receita!$S$2:$S$921,"44621B2BrancaRuralCooperativa de eletrificação ruralNão se aplicaNão se aplicaIntermediário",Mercado_Receita!$L$2:$L$921)</f>
        <v>0</v>
      </c>
      <c r="R33" s="13">
        <f>SUMIF(Mercado_Receita!$S$2:$S$921,"44652B2BrancaRuralCooperativa de eletrificação ruralNão se aplicaNão se aplicaIntermediário",Mercado_Receita!$L$2:$L$921)</f>
        <v>0</v>
      </c>
      <c r="S33" s="13">
        <f>SUMIF(Mercado_Receita!$S$2:$S$921,"44682B2BrancaRuralCooperativa de eletrificação ruralNão se aplicaNão se aplicaIntermediário",Mercado_Receita!$L$2:$L$921)</f>
        <v>0</v>
      </c>
      <c r="T33" s="13">
        <f>SUMIF(Mercado_Receita!$S$2:$S$921,"44713B2BrancaRuralCooperativa de eletrificação ruralNão se aplicaNão se aplicaIntermediário",Mercado_Receita!$L$2:$L$921)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117"/>
      <c r="B34" s="117"/>
      <c r="C34" s="117"/>
      <c r="D34" s="117"/>
      <c r="E34" s="117"/>
      <c r="F34" s="117"/>
      <c r="G34" s="13" t="s">
        <v>84</v>
      </c>
      <c r="H34" s="13" t="s">
        <v>82</v>
      </c>
      <c r="I34" s="13">
        <f>SUMIF(Mercado_Receita!$S$2:$S$921,"44378B2BrancaRuralCooperativa de eletrificação ruralNão se aplicaNão se aplicaFora ponta",Mercado_Receita!$L$2:$L$921)</f>
        <v>0</v>
      </c>
      <c r="J34" s="13">
        <f>SUMIF(Mercado_Receita!$S$2:$S$921,"44409B2BrancaRuralCooperativa de eletrificação ruralNão se aplicaNão se aplicaFora ponta",Mercado_Receita!$L$2:$L$921)</f>
        <v>0</v>
      </c>
      <c r="K34" s="13">
        <f>SUMIF(Mercado_Receita!$S$2:$S$921,"44440B2BrancaRuralCooperativa de eletrificação ruralNão se aplicaNão se aplicaFora ponta",Mercado_Receita!$L$2:$L$921)</f>
        <v>0</v>
      </c>
      <c r="L34" s="13">
        <f>SUMIF(Mercado_Receita!$S$2:$S$921,"44470B2BrancaRuralCooperativa de eletrificação ruralNão se aplicaNão se aplicaFora ponta",Mercado_Receita!$L$2:$L$921)</f>
        <v>0</v>
      </c>
      <c r="M34" s="13">
        <f>SUMIF(Mercado_Receita!$S$2:$S$921,"44501B2BrancaRuralCooperativa de eletrificação ruralNão se aplicaNão se aplicaFora ponta",Mercado_Receita!$L$2:$L$921)</f>
        <v>0</v>
      </c>
      <c r="N34" s="13">
        <f>SUMIF(Mercado_Receita!$S$2:$S$921,"44531B2BrancaRuralCooperativa de eletrificação ruralNão se aplicaNão se aplicaFora ponta",Mercado_Receita!$L$2:$L$921)</f>
        <v>0</v>
      </c>
      <c r="O34" s="13">
        <f>SUMIF(Mercado_Receita!$S$2:$S$921,"44562B2BrancaRuralCooperativa de eletrificação ruralNão se aplicaNão se aplicaFora ponta",Mercado_Receita!$L$2:$L$921)</f>
        <v>0</v>
      </c>
      <c r="P34" s="13">
        <f>SUMIF(Mercado_Receita!$S$2:$S$921,"44593B2BrancaRuralCooperativa de eletrificação ruralNão se aplicaNão se aplicaFora ponta",Mercado_Receita!$L$2:$L$921)</f>
        <v>0</v>
      </c>
      <c r="Q34" s="13">
        <f>SUMIF(Mercado_Receita!$S$2:$S$921,"44621B2BrancaRuralCooperativa de eletrificação ruralNão se aplicaNão se aplicaFora ponta",Mercado_Receita!$L$2:$L$921)</f>
        <v>0</v>
      </c>
      <c r="R34" s="13">
        <f>SUMIF(Mercado_Receita!$S$2:$S$921,"44652B2BrancaRuralCooperativa de eletrificação ruralNão se aplicaNão se aplicaFora ponta",Mercado_Receita!$L$2:$L$921)</f>
        <v>0</v>
      </c>
      <c r="S34" s="13">
        <f>SUMIF(Mercado_Receita!$S$2:$S$921,"44682B2BrancaRuralCooperativa de eletrificação ruralNão se aplicaNão se aplicaFora ponta",Mercado_Receita!$L$2:$L$921)</f>
        <v>0</v>
      </c>
      <c r="T34" s="13">
        <f>SUMIF(Mercado_Receita!$S$2:$S$921,"44713B2BrancaRuralCooperativa de eletrificação ruralNão se aplicaNão se aplicaFora ponta",Mercado_Receita!$L$2:$L$921)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117"/>
      <c r="B35" s="12" t="s">
        <v>23</v>
      </c>
      <c r="C35" s="12" t="s">
        <v>43</v>
      </c>
      <c r="D35" s="12" t="s">
        <v>96</v>
      </c>
      <c r="E35" s="12" t="s">
        <v>25</v>
      </c>
      <c r="F35" s="12" t="s">
        <v>25</v>
      </c>
      <c r="G35" s="13" t="s">
        <v>86</v>
      </c>
      <c r="H35" s="13" t="s">
        <v>82</v>
      </c>
      <c r="I35" s="13">
        <f>SUMIF(Mercado_Receita!$S$2:$S$921,"44378B2ConvencionalRuralCooperativa de eletrificação ruralNão se aplicaNão se aplicaPonta",Mercado_Receita!$L$2:$L$921)+SUMIF(Mercado_Receita!$S$2:$S$921,"44378B2ConvencionalRuralCooperativa de eletrificação ruralNão se aplicaNão se aplicaFora ponta",Mercado_Receita!$L$2:$L$921)+SUMIF(Mercado_Receita!$S$2:$S$921,"44378B2ConvencionalRuralCooperativa de eletrificação ruralNão se aplicaNão se aplicaIntermediário",Mercado_Receita!$L$2:$L$921)+SUMIF(Mercado_Receita!$S$2:$S$921,"44378B2ConvencionalRuralCooperativa de eletrificação ruralNão se aplicaNão se aplicaNão se aplica",Mercado_Receita!$L$2:$L$921)</f>
        <v>0</v>
      </c>
      <c r="J35" s="13">
        <f>SUMIF(Mercado_Receita!$S$2:$S$921,"44409B2ConvencionalRuralCooperativa de eletrificação ruralNão se aplicaNão se aplicaPonta",Mercado_Receita!$L$2:$L$921)+SUMIF(Mercado_Receita!$S$2:$S$921,"44409B2ConvencionalRuralCooperativa de eletrificação ruralNão se aplicaNão se aplicaFora ponta",Mercado_Receita!$L$2:$L$921)+SUMIF(Mercado_Receita!$S$2:$S$921,"44409B2ConvencionalRuralCooperativa de eletrificação ruralNão se aplicaNão se aplicaIntermediário",Mercado_Receita!$L$2:$L$921)+SUMIF(Mercado_Receita!$S$2:$S$921,"44409B2ConvencionalRuralCooperativa de eletrificação ruralNão se aplicaNão se aplicaNão se aplica",Mercado_Receita!$L$2:$L$921)</f>
        <v>0</v>
      </c>
      <c r="K35" s="13">
        <f>SUMIF(Mercado_Receita!$S$2:$S$921,"44440B2ConvencionalRuralCooperativa de eletrificação ruralNão se aplicaNão se aplicaPonta",Mercado_Receita!$L$2:$L$921)+SUMIF(Mercado_Receita!$S$2:$S$921,"44440B2ConvencionalRuralCooperativa de eletrificação ruralNão se aplicaNão se aplicaFora ponta",Mercado_Receita!$L$2:$L$921)+SUMIF(Mercado_Receita!$S$2:$S$921,"44440B2ConvencionalRuralCooperativa de eletrificação ruralNão se aplicaNão se aplicaIntermediário",Mercado_Receita!$L$2:$L$921)+SUMIF(Mercado_Receita!$S$2:$S$921,"44440B2ConvencionalRuralCooperativa de eletrificação ruralNão se aplicaNão se aplicaNão se aplica",Mercado_Receita!$L$2:$L$921)</f>
        <v>0</v>
      </c>
      <c r="L35" s="13">
        <f>SUMIF(Mercado_Receita!$S$2:$S$921,"44470B2ConvencionalRuralCooperativa de eletrificação ruralNão se aplicaNão se aplicaPonta",Mercado_Receita!$L$2:$L$921)+SUMIF(Mercado_Receita!$S$2:$S$921,"44470B2ConvencionalRuralCooperativa de eletrificação ruralNão se aplicaNão se aplicaFora ponta",Mercado_Receita!$L$2:$L$921)+SUMIF(Mercado_Receita!$S$2:$S$921,"44470B2ConvencionalRuralCooperativa de eletrificação ruralNão se aplicaNão se aplicaIntermediário",Mercado_Receita!$L$2:$L$921)+SUMIF(Mercado_Receita!$S$2:$S$921,"44470B2ConvencionalRuralCooperativa de eletrificação ruralNão se aplicaNão se aplicaNão se aplica",Mercado_Receita!$L$2:$L$921)</f>
        <v>0</v>
      </c>
      <c r="M35" s="13">
        <f>SUMIF(Mercado_Receita!$S$2:$S$921,"44501B2ConvencionalRuralCooperativa de eletrificação ruralNão se aplicaNão se aplicaPonta",Mercado_Receita!$L$2:$L$921)+SUMIF(Mercado_Receita!$S$2:$S$921,"44501B2ConvencionalRuralCooperativa de eletrificação ruralNão se aplicaNão se aplicaFora ponta",Mercado_Receita!$L$2:$L$921)+SUMIF(Mercado_Receita!$S$2:$S$921,"44501B2ConvencionalRuralCooperativa de eletrificação ruralNão se aplicaNão se aplicaIntermediário",Mercado_Receita!$L$2:$L$921)+SUMIF(Mercado_Receita!$S$2:$S$921,"44501B2ConvencionalRuralCooperativa de eletrificação ruralNão se aplicaNão se aplicaNão se aplica",Mercado_Receita!$L$2:$L$921)</f>
        <v>0</v>
      </c>
      <c r="N35" s="13">
        <f>SUMIF(Mercado_Receita!$S$2:$S$921,"44531B2ConvencionalRuralCooperativa de eletrificação ruralNão se aplicaNão se aplicaPonta",Mercado_Receita!$L$2:$L$921)+SUMIF(Mercado_Receita!$S$2:$S$921,"44531B2ConvencionalRuralCooperativa de eletrificação ruralNão se aplicaNão se aplicaFora ponta",Mercado_Receita!$L$2:$L$921)+SUMIF(Mercado_Receita!$S$2:$S$921,"44531B2ConvencionalRuralCooperativa de eletrificação ruralNão se aplicaNão se aplicaIntermediário",Mercado_Receita!$L$2:$L$921)+SUMIF(Mercado_Receita!$S$2:$S$921,"44531B2ConvencionalRuralCooperativa de eletrificação ruralNão se aplicaNão se aplicaNão se aplica",Mercado_Receita!$L$2:$L$921)</f>
        <v>0</v>
      </c>
      <c r="O35" s="13">
        <f>SUMIF(Mercado_Receita!$S$2:$S$921,"44562B2ConvencionalRuralCooperativa de eletrificação ruralNão se aplicaNão se aplicaPonta",Mercado_Receita!$L$2:$L$921)+SUMIF(Mercado_Receita!$S$2:$S$921,"44562B2ConvencionalRuralCooperativa de eletrificação ruralNão se aplicaNão se aplicaFora ponta",Mercado_Receita!$L$2:$L$921)+SUMIF(Mercado_Receita!$S$2:$S$921,"44562B2ConvencionalRuralCooperativa de eletrificação ruralNão se aplicaNão se aplicaIntermediário",Mercado_Receita!$L$2:$L$921)+SUMIF(Mercado_Receita!$S$2:$S$921,"44562B2ConvencionalRuralCooperativa de eletrificação ruralNão se aplicaNão se aplicaNão se aplica",Mercado_Receita!$L$2:$L$921)</f>
        <v>0</v>
      </c>
      <c r="P35" s="13">
        <f>SUMIF(Mercado_Receita!$S$2:$S$921,"44593B2ConvencionalRuralCooperativa de eletrificação ruralNão se aplicaNão se aplicaPonta",Mercado_Receita!$L$2:$L$921)+SUMIF(Mercado_Receita!$S$2:$S$921,"44593B2ConvencionalRuralCooperativa de eletrificação ruralNão se aplicaNão se aplicaFora ponta",Mercado_Receita!$L$2:$L$921)+SUMIF(Mercado_Receita!$S$2:$S$921,"44593B2ConvencionalRuralCooperativa de eletrificação ruralNão se aplicaNão se aplicaIntermediário",Mercado_Receita!$L$2:$L$921)+SUMIF(Mercado_Receita!$S$2:$S$921,"44593B2ConvencionalRuralCooperativa de eletrificação ruralNão se aplicaNão se aplicaNão se aplica",Mercado_Receita!$L$2:$L$921)</f>
        <v>0</v>
      </c>
      <c r="Q35" s="13">
        <f>SUMIF(Mercado_Receita!$S$2:$S$921,"44621B2ConvencionalRuralCooperativa de eletrificação ruralNão se aplicaNão se aplicaPonta",Mercado_Receita!$L$2:$L$921)+SUMIF(Mercado_Receita!$S$2:$S$921,"44621B2ConvencionalRuralCooperativa de eletrificação ruralNão se aplicaNão se aplicaFora ponta",Mercado_Receita!$L$2:$L$921)+SUMIF(Mercado_Receita!$S$2:$S$921,"44621B2ConvencionalRuralCooperativa de eletrificação ruralNão se aplicaNão se aplicaIntermediário",Mercado_Receita!$L$2:$L$921)+SUMIF(Mercado_Receita!$S$2:$S$921,"44621B2ConvencionalRuralCooperativa de eletrificação ruralNão se aplicaNão se aplicaNão se aplica",Mercado_Receita!$L$2:$L$921)</f>
        <v>0</v>
      </c>
      <c r="R35" s="13">
        <f>SUMIF(Mercado_Receita!$S$2:$S$921,"44652B2ConvencionalRuralCooperativa de eletrificação ruralNão se aplicaNão se aplicaPonta",Mercado_Receita!$L$2:$L$921)+SUMIF(Mercado_Receita!$S$2:$S$921,"44652B2ConvencionalRuralCooperativa de eletrificação ruralNão se aplicaNão se aplicaFora ponta",Mercado_Receita!$L$2:$L$921)+SUMIF(Mercado_Receita!$S$2:$S$921,"44652B2ConvencionalRuralCooperativa de eletrificação ruralNão se aplicaNão se aplicaIntermediário",Mercado_Receita!$L$2:$L$921)+SUMIF(Mercado_Receita!$S$2:$S$921,"44652B2ConvencionalRuralCooperativa de eletrificação ruralNão se aplicaNão se aplicaNão se aplica",Mercado_Receita!$L$2:$L$921)</f>
        <v>0</v>
      </c>
      <c r="S35" s="13">
        <f>SUMIF(Mercado_Receita!$S$2:$S$921,"44682B2ConvencionalRuralCooperativa de eletrificação ruralNão se aplicaNão se aplicaPonta",Mercado_Receita!$L$2:$L$921)+SUMIF(Mercado_Receita!$S$2:$S$921,"44682B2ConvencionalRuralCooperativa de eletrificação ruralNão se aplicaNão se aplicaFora ponta",Mercado_Receita!$L$2:$L$921)+SUMIF(Mercado_Receita!$S$2:$S$921,"44682B2ConvencionalRuralCooperativa de eletrificação ruralNão se aplicaNão se aplicaIntermediário",Mercado_Receita!$L$2:$L$921)+SUMIF(Mercado_Receita!$S$2:$S$921,"44682B2ConvencionalRuralCooperativa de eletrificação ruralNão se aplicaNão se aplicaNão se aplica",Mercado_Receita!$L$2:$L$921)</f>
        <v>0</v>
      </c>
      <c r="T35" s="13">
        <f>SUMIF(Mercado_Receita!$S$2:$S$921,"44713B2ConvencionalRuralCooperativa de eletrificação ruralNão se aplicaNão se aplicaPonta",Mercado_Receita!$L$2:$L$921)+SUMIF(Mercado_Receita!$S$2:$S$921,"44713B2ConvencionalRuralCooperativa de eletrificação ruralNão se aplicaNão se aplicaFora ponta",Mercado_Receita!$L$2:$L$921)+SUMIF(Mercado_Receita!$S$2:$S$921,"44713B2ConvencionalRuralCooperativa de eletrificação ruralNão se aplicaNão se aplicaIntermediário",Mercado_Receita!$L$2:$L$921)+SUMIF(Mercado_Receita!$S$2:$S$921,"44713B2ConvencionalRuralCooperativa de eletrificação ruralNão se aplicaNão se aplicaNão se aplica",Mercado_Receita!$L$2:$L$921)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117"/>
      <c r="B36" s="116" t="s">
        <v>32</v>
      </c>
      <c r="C36" s="116" t="s">
        <v>43</v>
      </c>
      <c r="D36" s="116" t="s">
        <v>97</v>
      </c>
      <c r="E36" s="116" t="s">
        <v>25</v>
      </c>
      <c r="F36" s="116" t="s">
        <v>25</v>
      </c>
      <c r="G36" s="13" t="s">
        <v>83</v>
      </c>
      <c r="H36" s="13" t="s">
        <v>82</v>
      </c>
      <c r="I36" s="13">
        <f>SUMIF(Mercado_Receita!$S$2:$S$921,"44378B2BrancaRuralServiço público de irrigação ruralNão se aplicaNão se aplicaPonta",Mercado_Receita!$L$2:$L$921)</f>
        <v>0</v>
      </c>
      <c r="J36" s="13">
        <f>SUMIF(Mercado_Receita!$S$2:$S$921,"44409B2BrancaRuralServiço público de irrigação ruralNão se aplicaNão se aplicaPonta",Mercado_Receita!$L$2:$L$921)</f>
        <v>0</v>
      </c>
      <c r="K36" s="13">
        <f>SUMIF(Mercado_Receita!$S$2:$S$921,"44440B2BrancaRuralServiço público de irrigação ruralNão se aplicaNão se aplicaPonta",Mercado_Receita!$L$2:$L$921)</f>
        <v>0</v>
      </c>
      <c r="L36" s="13">
        <f>SUMIF(Mercado_Receita!$S$2:$S$921,"44470B2BrancaRuralServiço público de irrigação ruralNão se aplicaNão se aplicaPonta",Mercado_Receita!$L$2:$L$921)</f>
        <v>0</v>
      </c>
      <c r="M36" s="13">
        <f>SUMIF(Mercado_Receita!$S$2:$S$921,"44501B2BrancaRuralServiço público de irrigação ruralNão se aplicaNão se aplicaPonta",Mercado_Receita!$L$2:$L$921)</f>
        <v>0</v>
      </c>
      <c r="N36" s="13">
        <f>SUMIF(Mercado_Receita!$S$2:$S$921,"44531B2BrancaRuralServiço público de irrigação ruralNão se aplicaNão se aplicaPonta",Mercado_Receita!$L$2:$L$921)</f>
        <v>0</v>
      </c>
      <c r="O36" s="13">
        <f>SUMIF(Mercado_Receita!$S$2:$S$921,"44562B2BrancaRuralServiço público de irrigação ruralNão se aplicaNão se aplicaPonta",Mercado_Receita!$L$2:$L$921)</f>
        <v>0</v>
      </c>
      <c r="P36" s="13">
        <f>SUMIF(Mercado_Receita!$S$2:$S$921,"44593B2BrancaRuralServiço público de irrigação ruralNão se aplicaNão se aplicaPonta",Mercado_Receita!$L$2:$L$921)</f>
        <v>0</v>
      </c>
      <c r="Q36" s="13">
        <f>SUMIF(Mercado_Receita!$S$2:$S$921,"44621B2BrancaRuralServiço público de irrigação ruralNão se aplicaNão se aplicaPonta",Mercado_Receita!$L$2:$L$921)</f>
        <v>0</v>
      </c>
      <c r="R36" s="13">
        <f>SUMIF(Mercado_Receita!$S$2:$S$921,"44652B2BrancaRuralServiço público de irrigação ruralNão se aplicaNão se aplicaPonta",Mercado_Receita!$L$2:$L$921)</f>
        <v>0</v>
      </c>
      <c r="S36" s="13">
        <f>SUMIF(Mercado_Receita!$S$2:$S$921,"44682B2BrancaRuralServiço público de irrigação ruralNão se aplicaNão se aplicaPonta",Mercado_Receita!$L$2:$L$921)</f>
        <v>0</v>
      </c>
      <c r="T36" s="13">
        <f>SUMIF(Mercado_Receita!$S$2:$S$921,"44713B2BrancaRuralServiço público de irrigação ruralNão se aplicaNão se aplicaPonta",Mercado_Receita!$L$2:$L$921)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117"/>
      <c r="B37" s="117"/>
      <c r="C37" s="117"/>
      <c r="D37" s="117"/>
      <c r="E37" s="117"/>
      <c r="F37" s="117"/>
      <c r="G37" s="13" t="s">
        <v>93</v>
      </c>
      <c r="H37" s="13" t="s">
        <v>82</v>
      </c>
      <c r="I37" s="13">
        <f>SUMIF(Mercado_Receita!$S$2:$S$921,"44378B2BrancaRuralServiço público de irrigação ruralNão se aplicaNão se aplicaIntermediário",Mercado_Receita!$L$2:$L$921)</f>
        <v>0</v>
      </c>
      <c r="J37" s="13">
        <f>SUMIF(Mercado_Receita!$S$2:$S$921,"44409B2BrancaRuralServiço público de irrigação ruralNão se aplicaNão se aplicaIntermediário",Mercado_Receita!$L$2:$L$921)</f>
        <v>0</v>
      </c>
      <c r="K37" s="13">
        <f>SUMIF(Mercado_Receita!$S$2:$S$921,"44440B2BrancaRuralServiço público de irrigação ruralNão se aplicaNão se aplicaIntermediário",Mercado_Receita!$L$2:$L$921)</f>
        <v>0</v>
      </c>
      <c r="L37" s="13">
        <f>SUMIF(Mercado_Receita!$S$2:$S$921,"44470B2BrancaRuralServiço público de irrigação ruralNão se aplicaNão se aplicaIntermediário",Mercado_Receita!$L$2:$L$921)</f>
        <v>0</v>
      </c>
      <c r="M37" s="13">
        <f>SUMIF(Mercado_Receita!$S$2:$S$921,"44501B2BrancaRuralServiço público de irrigação ruralNão se aplicaNão se aplicaIntermediário",Mercado_Receita!$L$2:$L$921)</f>
        <v>0</v>
      </c>
      <c r="N37" s="13">
        <f>SUMIF(Mercado_Receita!$S$2:$S$921,"44531B2BrancaRuralServiço público de irrigação ruralNão se aplicaNão se aplicaIntermediário",Mercado_Receita!$L$2:$L$921)</f>
        <v>0</v>
      </c>
      <c r="O37" s="13">
        <f>SUMIF(Mercado_Receita!$S$2:$S$921,"44562B2BrancaRuralServiço público de irrigação ruralNão se aplicaNão se aplicaIntermediário",Mercado_Receita!$L$2:$L$921)</f>
        <v>0</v>
      </c>
      <c r="P37" s="13">
        <f>SUMIF(Mercado_Receita!$S$2:$S$921,"44593B2BrancaRuralServiço público de irrigação ruralNão se aplicaNão se aplicaIntermediário",Mercado_Receita!$L$2:$L$921)</f>
        <v>0</v>
      </c>
      <c r="Q37" s="13">
        <f>SUMIF(Mercado_Receita!$S$2:$S$921,"44621B2BrancaRuralServiço público de irrigação ruralNão se aplicaNão se aplicaIntermediário",Mercado_Receita!$L$2:$L$921)</f>
        <v>0</v>
      </c>
      <c r="R37" s="13">
        <f>SUMIF(Mercado_Receita!$S$2:$S$921,"44652B2BrancaRuralServiço público de irrigação ruralNão se aplicaNão se aplicaIntermediário",Mercado_Receita!$L$2:$L$921)</f>
        <v>0</v>
      </c>
      <c r="S37" s="13">
        <f>SUMIF(Mercado_Receita!$S$2:$S$921,"44682B2BrancaRuralServiço público de irrigação ruralNão se aplicaNão se aplicaIntermediário",Mercado_Receita!$L$2:$L$921)</f>
        <v>0</v>
      </c>
      <c r="T37" s="13">
        <f>SUMIF(Mercado_Receita!$S$2:$S$921,"44713B2BrancaRuralServiço público de irrigação ruralNão se aplicaNão se aplicaIntermediário",Mercado_Receita!$L$2:$L$921)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117"/>
      <c r="B38" s="117"/>
      <c r="C38" s="117"/>
      <c r="D38" s="117"/>
      <c r="E38" s="117"/>
      <c r="F38" s="117"/>
      <c r="G38" s="13" t="s">
        <v>84</v>
      </c>
      <c r="H38" s="13" t="s">
        <v>82</v>
      </c>
      <c r="I38" s="13">
        <f>SUMIF(Mercado_Receita!$S$2:$S$921,"44378B2BrancaRuralServiço público de irrigação ruralNão se aplicaNão se aplicaFora ponta",Mercado_Receita!$L$2:$L$921)</f>
        <v>0</v>
      </c>
      <c r="J38" s="13">
        <f>SUMIF(Mercado_Receita!$S$2:$S$921,"44409B2BrancaRuralServiço público de irrigação ruralNão se aplicaNão se aplicaFora ponta",Mercado_Receita!$L$2:$L$921)</f>
        <v>0</v>
      </c>
      <c r="K38" s="13">
        <f>SUMIF(Mercado_Receita!$S$2:$S$921,"44440B2BrancaRuralServiço público de irrigação ruralNão se aplicaNão se aplicaFora ponta",Mercado_Receita!$L$2:$L$921)</f>
        <v>0</v>
      </c>
      <c r="L38" s="13">
        <f>SUMIF(Mercado_Receita!$S$2:$S$921,"44470B2BrancaRuralServiço público de irrigação ruralNão se aplicaNão se aplicaFora ponta",Mercado_Receita!$L$2:$L$921)</f>
        <v>0</v>
      </c>
      <c r="M38" s="13">
        <f>SUMIF(Mercado_Receita!$S$2:$S$921,"44501B2BrancaRuralServiço público de irrigação ruralNão se aplicaNão se aplicaFora ponta",Mercado_Receita!$L$2:$L$921)</f>
        <v>0</v>
      </c>
      <c r="N38" s="13">
        <f>SUMIF(Mercado_Receita!$S$2:$S$921,"44531B2BrancaRuralServiço público de irrigação ruralNão se aplicaNão se aplicaFora ponta",Mercado_Receita!$L$2:$L$921)</f>
        <v>0</v>
      </c>
      <c r="O38" s="13">
        <f>SUMIF(Mercado_Receita!$S$2:$S$921,"44562B2BrancaRuralServiço público de irrigação ruralNão se aplicaNão se aplicaFora ponta",Mercado_Receita!$L$2:$L$921)</f>
        <v>0</v>
      </c>
      <c r="P38" s="13">
        <f>SUMIF(Mercado_Receita!$S$2:$S$921,"44593B2BrancaRuralServiço público de irrigação ruralNão se aplicaNão se aplicaFora ponta",Mercado_Receita!$L$2:$L$921)</f>
        <v>0</v>
      </c>
      <c r="Q38" s="13">
        <f>SUMIF(Mercado_Receita!$S$2:$S$921,"44621B2BrancaRuralServiço público de irrigação ruralNão se aplicaNão se aplicaFora ponta",Mercado_Receita!$L$2:$L$921)</f>
        <v>0</v>
      </c>
      <c r="R38" s="13">
        <f>SUMIF(Mercado_Receita!$S$2:$S$921,"44652B2BrancaRuralServiço público de irrigação ruralNão se aplicaNão se aplicaFora ponta",Mercado_Receita!$L$2:$L$921)</f>
        <v>0</v>
      </c>
      <c r="S38" s="13">
        <f>SUMIF(Mercado_Receita!$S$2:$S$921,"44682B2BrancaRuralServiço público de irrigação ruralNão se aplicaNão se aplicaFora ponta",Mercado_Receita!$L$2:$L$921)</f>
        <v>0</v>
      </c>
      <c r="T38" s="13">
        <f>SUMIF(Mercado_Receita!$S$2:$S$921,"44713B2BrancaRuralServiço público de irrigação ruralNão se aplicaNão se aplicaFora ponta",Mercado_Receita!$L$2:$L$921)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117"/>
      <c r="B39" s="12" t="s">
        <v>23</v>
      </c>
      <c r="C39" s="12" t="s">
        <v>43</v>
      </c>
      <c r="D39" s="12" t="s">
        <v>97</v>
      </c>
      <c r="E39" s="12" t="s">
        <v>25</v>
      </c>
      <c r="F39" s="12" t="s">
        <v>25</v>
      </c>
      <c r="G39" s="13" t="s">
        <v>86</v>
      </c>
      <c r="H39" s="13" t="s">
        <v>82</v>
      </c>
      <c r="I39" s="13">
        <f>SUMIF(Mercado_Receita!$S$2:$S$921,"44378B2ConvencionalRuralServiço público de irrigação ruralNão se aplicaNão se aplicaPonta",Mercado_Receita!$L$2:$L$921)+SUMIF(Mercado_Receita!$S$2:$S$921,"44378B2ConvencionalRuralServiço público de irrigação ruralNão se aplicaNão se aplicaFora ponta",Mercado_Receita!$L$2:$L$921)+SUMIF(Mercado_Receita!$S$2:$S$921,"44378B2ConvencionalRuralServiço público de irrigação ruralNão se aplicaNão se aplicaIntermediário",Mercado_Receita!$L$2:$L$921)+SUMIF(Mercado_Receita!$S$2:$S$921,"44378B2ConvencionalRuralServiço público de irrigação ruralNão se aplicaNão se aplicaNão se aplica",Mercado_Receita!$L$2:$L$921)</f>
        <v>0</v>
      </c>
      <c r="J39" s="13">
        <f>SUMIF(Mercado_Receita!$S$2:$S$921,"44409B2ConvencionalRuralServiço público de irrigação ruralNão se aplicaNão se aplicaPonta",Mercado_Receita!$L$2:$L$921)+SUMIF(Mercado_Receita!$S$2:$S$921,"44409B2ConvencionalRuralServiço público de irrigação ruralNão se aplicaNão se aplicaFora ponta",Mercado_Receita!$L$2:$L$921)+SUMIF(Mercado_Receita!$S$2:$S$921,"44409B2ConvencionalRuralServiço público de irrigação ruralNão se aplicaNão se aplicaIntermediário",Mercado_Receita!$L$2:$L$921)+SUMIF(Mercado_Receita!$S$2:$S$921,"44409B2ConvencionalRuralServiço público de irrigação ruralNão se aplicaNão se aplicaNão se aplica",Mercado_Receita!$L$2:$L$921)</f>
        <v>0</v>
      </c>
      <c r="K39" s="13">
        <f>SUMIF(Mercado_Receita!$S$2:$S$921,"44440B2ConvencionalRuralServiço público de irrigação ruralNão se aplicaNão se aplicaPonta",Mercado_Receita!$L$2:$L$921)+SUMIF(Mercado_Receita!$S$2:$S$921,"44440B2ConvencionalRuralServiço público de irrigação ruralNão se aplicaNão se aplicaFora ponta",Mercado_Receita!$L$2:$L$921)+SUMIF(Mercado_Receita!$S$2:$S$921,"44440B2ConvencionalRuralServiço público de irrigação ruralNão se aplicaNão se aplicaIntermediário",Mercado_Receita!$L$2:$L$921)+SUMIF(Mercado_Receita!$S$2:$S$921,"44440B2ConvencionalRuralServiço público de irrigação ruralNão se aplicaNão se aplicaNão se aplica",Mercado_Receita!$L$2:$L$921)</f>
        <v>0</v>
      </c>
      <c r="L39" s="13">
        <f>SUMIF(Mercado_Receita!$S$2:$S$921,"44470B2ConvencionalRuralServiço público de irrigação ruralNão se aplicaNão se aplicaPonta",Mercado_Receita!$L$2:$L$921)+SUMIF(Mercado_Receita!$S$2:$S$921,"44470B2ConvencionalRuralServiço público de irrigação ruralNão se aplicaNão se aplicaFora ponta",Mercado_Receita!$L$2:$L$921)+SUMIF(Mercado_Receita!$S$2:$S$921,"44470B2ConvencionalRuralServiço público de irrigação ruralNão se aplicaNão se aplicaIntermediário",Mercado_Receita!$L$2:$L$921)+SUMIF(Mercado_Receita!$S$2:$S$921,"44470B2ConvencionalRuralServiço público de irrigação ruralNão se aplicaNão se aplicaNão se aplica",Mercado_Receita!$L$2:$L$921)</f>
        <v>0</v>
      </c>
      <c r="M39" s="13">
        <f>SUMIF(Mercado_Receita!$S$2:$S$921,"44501B2ConvencionalRuralServiço público de irrigação ruralNão se aplicaNão se aplicaPonta",Mercado_Receita!$L$2:$L$921)+SUMIF(Mercado_Receita!$S$2:$S$921,"44501B2ConvencionalRuralServiço público de irrigação ruralNão se aplicaNão se aplicaFora ponta",Mercado_Receita!$L$2:$L$921)+SUMIF(Mercado_Receita!$S$2:$S$921,"44501B2ConvencionalRuralServiço público de irrigação ruralNão se aplicaNão se aplicaIntermediário",Mercado_Receita!$L$2:$L$921)+SUMIF(Mercado_Receita!$S$2:$S$921,"44501B2ConvencionalRuralServiço público de irrigação ruralNão se aplicaNão se aplicaNão se aplica",Mercado_Receita!$L$2:$L$921)</f>
        <v>0</v>
      </c>
      <c r="N39" s="13">
        <f>SUMIF(Mercado_Receita!$S$2:$S$921,"44531B2ConvencionalRuralServiço público de irrigação ruralNão se aplicaNão se aplicaPonta",Mercado_Receita!$L$2:$L$921)+SUMIF(Mercado_Receita!$S$2:$S$921,"44531B2ConvencionalRuralServiço público de irrigação ruralNão se aplicaNão se aplicaFora ponta",Mercado_Receita!$L$2:$L$921)+SUMIF(Mercado_Receita!$S$2:$S$921,"44531B2ConvencionalRuralServiço público de irrigação ruralNão se aplicaNão se aplicaIntermediário",Mercado_Receita!$L$2:$L$921)+SUMIF(Mercado_Receita!$S$2:$S$921,"44531B2ConvencionalRuralServiço público de irrigação ruralNão se aplicaNão se aplicaNão se aplica",Mercado_Receita!$L$2:$L$921)</f>
        <v>0</v>
      </c>
      <c r="O39" s="13">
        <f>SUMIF(Mercado_Receita!$S$2:$S$921,"44562B2ConvencionalRuralServiço público de irrigação ruralNão se aplicaNão se aplicaPonta",Mercado_Receita!$L$2:$L$921)+SUMIF(Mercado_Receita!$S$2:$S$921,"44562B2ConvencionalRuralServiço público de irrigação ruralNão se aplicaNão se aplicaFora ponta",Mercado_Receita!$L$2:$L$921)+SUMIF(Mercado_Receita!$S$2:$S$921,"44562B2ConvencionalRuralServiço público de irrigação ruralNão se aplicaNão se aplicaIntermediário",Mercado_Receita!$L$2:$L$921)+SUMIF(Mercado_Receita!$S$2:$S$921,"44562B2ConvencionalRuralServiço público de irrigação ruralNão se aplicaNão se aplicaNão se aplica",Mercado_Receita!$L$2:$L$921)</f>
        <v>0</v>
      </c>
      <c r="P39" s="13">
        <f>SUMIF(Mercado_Receita!$S$2:$S$921,"44593B2ConvencionalRuralServiço público de irrigação ruralNão se aplicaNão se aplicaPonta",Mercado_Receita!$L$2:$L$921)+SUMIF(Mercado_Receita!$S$2:$S$921,"44593B2ConvencionalRuralServiço público de irrigação ruralNão se aplicaNão se aplicaFora ponta",Mercado_Receita!$L$2:$L$921)+SUMIF(Mercado_Receita!$S$2:$S$921,"44593B2ConvencionalRuralServiço público de irrigação ruralNão se aplicaNão se aplicaIntermediário",Mercado_Receita!$L$2:$L$921)+SUMIF(Mercado_Receita!$S$2:$S$921,"44593B2ConvencionalRuralServiço público de irrigação ruralNão se aplicaNão se aplicaNão se aplica",Mercado_Receita!$L$2:$L$921)</f>
        <v>0</v>
      </c>
      <c r="Q39" s="13">
        <f>SUMIF(Mercado_Receita!$S$2:$S$921,"44621B2ConvencionalRuralServiço público de irrigação ruralNão se aplicaNão se aplicaPonta",Mercado_Receita!$L$2:$L$921)+SUMIF(Mercado_Receita!$S$2:$S$921,"44621B2ConvencionalRuralServiço público de irrigação ruralNão se aplicaNão se aplicaFora ponta",Mercado_Receita!$L$2:$L$921)+SUMIF(Mercado_Receita!$S$2:$S$921,"44621B2ConvencionalRuralServiço público de irrigação ruralNão se aplicaNão se aplicaIntermediário",Mercado_Receita!$L$2:$L$921)+SUMIF(Mercado_Receita!$S$2:$S$921,"44621B2ConvencionalRuralServiço público de irrigação ruralNão se aplicaNão se aplicaNão se aplica",Mercado_Receita!$L$2:$L$921)</f>
        <v>0</v>
      </c>
      <c r="R39" s="13">
        <f>SUMIF(Mercado_Receita!$S$2:$S$921,"44652B2ConvencionalRuralServiço público de irrigação ruralNão se aplicaNão se aplicaPonta",Mercado_Receita!$L$2:$L$921)+SUMIF(Mercado_Receita!$S$2:$S$921,"44652B2ConvencionalRuralServiço público de irrigação ruralNão se aplicaNão se aplicaFora ponta",Mercado_Receita!$L$2:$L$921)+SUMIF(Mercado_Receita!$S$2:$S$921,"44652B2ConvencionalRuralServiço público de irrigação ruralNão se aplicaNão se aplicaIntermediário",Mercado_Receita!$L$2:$L$921)+SUMIF(Mercado_Receita!$S$2:$S$921,"44652B2ConvencionalRuralServiço público de irrigação ruralNão se aplicaNão se aplicaNão se aplica",Mercado_Receita!$L$2:$L$921)</f>
        <v>0</v>
      </c>
      <c r="S39" s="13">
        <f>SUMIF(Mercado_Receita!$S$2:$S$921,"44682B2ConvencionalRuralServiço público de irrigação ruralNão se aplicaNão se aplicaPonta",Mercado_Receita!$L$2:$L$921)+SUMIF(Mercado_Receita!$S$2:$S$921,"44682B2ConvencionalRuralServiço público de irrigação ruralNão se aplicaNão se aplicaFora ponta",Mercado_Receita!$L$2:$L$921)+SUMIF(Mercado_Receita!$S$2:$S$921,"44682B2ConvencionalRuralServiço público de irrigação ruralNão se aplicaNão se aplicaIntermediário",Mercado_Receita!$L$2:$L$921)+SUMIF(Mercado_Receita!$S$2:$S$921,"44682B2ConvencionalRuralServiço público de irrigação ruralNão se aplicaNão se aplicaNão se aplica",Mercado_Receita!$L$2:$L$921)</f>
        <v>0</v>
      </c>
      <c r="T39" s="13">
        <f>SUMIF(Mercado_Receita!$S$2:$S$921,"44713B2ConvencionalRuralServiço público de irrigação ruralNão se aplicaNão se aplicaPonta",Mercado_Receita!$L$2:$L$921)+SUMIF(Mercado_Receita!$S$2:$S$921,"44713B2ConvencionalRuralServiço público de irrigação ruralNão se aplicaNão se aplicaFora ponta",Mercado_Receita!$L$2:$L$921)+SUMIF(Mercado_Receita!$S$2:$S$921,"44713B2ConvencionalRuralServiço público de irrigação ruralNão se aplicaNão se aplicaIntermediário",Mercado_Receita!$L$2:$L$921)+SUMIF(Mercado_Receita!$S$2:$S$921,"44713B2ConvencionalRuralServiço público de irrigação ruralNão se aplicaNão se aplicaNão se aplica",Mercado_Receita!$L$2:$L$921)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117"/>
      <c r="B40" s="116" t="s">
        <v>95</v>
      </c>
      <c r="C40" s="116" t="s">
        <v>43</v>
      </c>
      <c r="D40" s="12" t="s">
        <v>25</v>
      </c>
      <c r="E40" s="12" t="s">
        <v>25</v>
      </c>
      <c r="F40" s="12" t="s">
        <v>25</v>
      </c>
      <c r="G40" s="13" t="s">
        <v>86</v>
      </c>
      <c r="H40" s="13" t="s">
        <v>82</v>
      </c>
      <c r="I40" s="13">
        <f>SUMIF(Mercado_Receita!$S$2:$S$921,"44378B2Convencional pré-pagamentoRuralNão se aplicaNão se aplicaNão se aplicaPonta",Mercado_Receita!$L$2:$L$921)+SUMIF(Mercado_Receita!$S$2:$S$921,"44378B2Convencional pré-pagamentoRuralNão se aplicaNão se aplicaNão se aplicaFora ponta",Mercado_Receita!$L$2:$L$921)+SUMIF(Mercado_Receita!$S$2:$S$921,"44378B2Convencional pré-pagamentoRuralNão se aplicaNão se aplicaNão se aplicaIntermediário",Mercado_Receita!$L$2:$L$921)+SUMIF(Mercado_Receita!$S$2:$S$921,"44378B2Convencional pré-pagamentoRuralNão se aplicaNão se aplicaNão se aplicaNão se aplica",Mercado_Receita!$L$2:$L$921)</f>
        <v>0</v>
      </c>
      <c r="J40" s="13">
        <f>SUMIF(Mercado_Receita!$S$2:$S$921,"44409B2Convencional pré-pagamentoRuralNão se aplicaNão se aplicaNão se aplicaPonta",Mercado_Receita!$L$2:$L$921)+SUMIF(Mercado_Receita!$S$2:$S$921,"44409B2Convencional pré-pagamentoRuralNão se aplicaNão se aplicaNão se aplicaFora ponta",Mercado_Receita!$L$2:$L$921)+SUMIF(Mercado_Receita!$S$2:$S$921,"44409B2Convencional pré-pagamentoRuralNão se aplicaNão se aplicaNão se aplicaIntermediário",Mercado_Receita!$L$2:$L$921)+SUMIF(Mercado_Receita!$S$2:$S$921,"44409B2Convencional pré-pagamentoRuralNão se aplicaNão se aplicaNão se aplicaNão se aplica",Mercado_Receita!$L$2:$L$921)</f>
        <v>0</v>
      </c>
      <c r="K40" s="13">
        <f>SUMIF(Mercado_Receita!$S$2:$S$921,"44440B2Convencional pré-pagamentoRuralNão se aplicaNão se aplicaNão se aplicaPonta",Mercado_Receita!$L$2:$L$921)+SUMIF(Mercado_Receita!$S$2:$S$921,"44440B2Convencional pré-pagamentoRuralNão se aplicaNão se aplicaNão se aplicaFora ponta",Mercado_Receita!$L$2:$L$921)+SUMIF(Mercado_Receita!$S$2:$S$921,"44440B2Convencional pré-pagamentoRuralNão se aplicaNão se aplicaNão se aplicaIntermediário",Mercado_Receita!$L$2:$L$921)+SUMIF(Mercado_Receita!$S$2:$S$921,"44440B2Convencional pré-pagamentoRuralNão se aplicaNão se aplicaNão se aplicaNão se aplica",Mercado_Receita!$L$2:$L$921)</f>
        <v>0</v>
      </c>
      <c r="L40" s="13">
        <f>SUMIF(Mercado_Receita!$S$2:$S$921,"44470B2Convencional pré-pagamentoRuralNão se aplicaNão se aplicaNão se aplicaPonta",Mercado_Receita!$L$2:$L$921)+SUMIF(Mercado_Receita!$S$2:$S$921,"44470B2Convencional pré-pagamentoRuralNão se aplicaNão se aplicaNão se aplicaFora ponta",Mercado_Receita!$L$2:$L$921)+SUMIF(Mercado_Receita!$S$2:$S$921,"44470B2Convencional pré-pagamentoRuralNão se aplicaNão se aplicaNão se aplicaIntermediário",Mercado_Receita!$L$2:$L$921)+SUMIF(Mercado_Receita!$S$2:$S$921,"44470B2Convencional pré-pagamentoRuralNão se aplicaNão se aplicaNão se aplicaNão se aplica",Mercado_Receita!$L$2:$L$921)</f>
        <v>0</v>
      </c>
      <c r="M40" s="13">
        <f>SUMIF(Mercado_Receita!$S$2:$S$921,"44501B2Convencional pré-pagamentoRuralNão se aplicaNão se aplicaNão se aplicaPonta",Mercado_Receita!$L$2:$L$921)+SUMIF(Mercado_Receita!$S$2:$S$921,"44501B2Convencional pré-pagamentoRuralNão se aplicaNão se aplicaNão se aplicaFora ponta",Mercado_Receita!$L$2:$L$921)+SUMIF(Mercado_Receita!$S$2:$S$921,"44501B2Convencional pré-pagamentoRuralNão se aplicaNão se aplicaNão se aplicaIntermediário",Mercado_Receita!$L$2:$L$921)+SUMIF(Mercado_Receita!$S$2:$S$921,"44501B2Convencional pré-pagamentoRuralNão se aplicaNão se aplicaNão se aplicaNão se aplica",Mercado_Receita!$L$2:$L$921)</f>
        <v>0</v>
      </c>
      <c r="N40" s="13">
        <f>SUMIF(Mercado_Receita!$S$2:$S$921,"44531B2Convencional pré-pagamentoRuralNão se aplicaNão se aplicaNão se aplicaPonta",Mercado_Receita!$L$2:$L$921)+SUMIF(Mercado_Receita!$S$2:$S$921,"44531B2Convencional pré-pagamentoRuralNão se aplicaNão se aplicaNão se aplicaFora ponta",Mercado_Receita!$L$2:$L$921)+SUMIF(Mercado_Receita!$S$2:$S$921,"44531B2Convencional pré-pagamentoRuralNão se aplicaNão se aplicaNão se aplicaIntermediário",Mercado_Receita!$L$2:$L$921)+SUMIF(Mercado_Receita!$S$2:$S$921,"44531B2Convencional pré-pagamentoRuralNão se aplicaNão se aplicaNão se aplicaNão se aplica",Mercado_Receita!$L$2:$L$921)</f>
        <v>0</v>
      </c>
      <c r="O40" s="13">
        <f>SUMIF(Mercado_Receita!$S$2:$S$921,"44562B2Convencional pré-pagamentoRuralNão se aplicaNão se aplicaNão se aplicaPonta",Mercado_Receita!$L$2:$L$921)+SUMIF(Mercado_Receita!$S$2:$S$921,"44562B2Convencional pré-pagamentoRuralNão se aplicaNão se aplicaNão se aplicaFora ponta",Mercado_Receita!$L$2:$L$921)+SUMIF(Mercado_Receita!$S$2:$S$921,"44562B2Convencional pré-pagamentoRuralNão se aplicaNão se aplicaNão se aplicaIntermediário",Mercado_Receita!$L$2:$L$921)+SUMIF(Mercado_Receita!$S$2:$S$921,"44562B2Convencional pré-pagamentoRuralNão se aplicaNão se aplicaNão se aplicaNão se aplica",Mercado_Receita!$L$2:$L$921)</f>
        <v>0</v>
      </c>
      <c r="P40" s="13">
        <f>SUMIF(Mercado_Receita!$S$2:$S$921,"44593B2Convencional pré-pagamentoRuralNão se aplicaNão se aplicaNão se aplicaPonta",Mercado_Receita!$L$2:$L$921)+SUMIF(Mercado_Receita!$S$2:$S$921,"44593B2Convencional pré-pagamentoRuralNão se aplicaNão se aplicaNão se aplicaFora ponta",Mercado_Receita!$L$2:$L$921)+SUMIF(Mercado_Receita!$S$2:$S$921,"44593B2Convencional pré-pagamentoRuralNão se aplicaNão se aplicaNão se aplicaIntermediário",Mercado_Receita!$L$2:$L$921)+SUMIF(Mercado_Receita!$S$2:$S$921,"44593B2Convencional pré-pagamentoRuralNão se aplicaNão se aplicaNão se aplicaNão se aplica",Mercado_Receita!$L$2:$L$921)</f>
        <v>0</v>
      </c>
      <c r="Q40" s="13">
        <f>SUMIF(Mercado_Receita!$S$2:$S$921,"44621B2Convencional pré-pagamentoRuralNão se aplicaNão se aplicaNão se aplicaPonta",Mercado_Receita!$L$2:$L$921)+SUMIF(Mercado_Receita!$S$2:$S$921,"44621B2Convencional pré-pagamentoRuralNão se aplicaNão se aplicaNão se aplicaFora ponta",Mercado_Receita!$L$2:$L$921)+SUMIF(Mercado_Receita!$S$2:$S$921,"44621B2Convencional pré-pagamentoRuralNão se aplicaNão se aplicaNão se aplicaIntermediário",Mercado_Receita!$L$2:$L$921)+SUMIF(Mercado_Receita!$S$2:$S$921,"44621B2Convencional pré-pagamentoRuralNão se aplicaNão se aplicaNão se aplicaNão se aplica",Mercado_Receita!$L$2:$L$921)</f>
        <v>0</v>
      </c>
      <c r="R40" s="13">
        <f>SUMIF(Mercado_Receita!$S$2:$S$921,"44652B2Convencional pré-pagamentoRuralNão se aplicaNão se aplicaNão se aplicaPonta",Mercado_Receita!$L$2:$L$921)+SUMIF(Mercado_Receita!$S$2:$S$921,"44652B2Convencional pré-pagamentoRuralNão se aplicaNão se aplicaNão se aplicaFora ponta",Mercado_Receita!$L$2:$L$921)+SUMIF(Mercado_Receita!$S$2:$S$921,"44652B2Convencional pré-pagamentoRuralNão se aplicaNão se aplicaNão se aplicaIntermediário",Mercado_Receita!$L$2:$L$921)+SUMIF(Mercado_Receita!$S$2:$S$921,"44652B2Convencional pré-pagamentoRuralNão se aplicaNão se aplicaNão se aplicaNão se aplica",Mercado_Receita!$L$2:$L$921)</f>
        <v>0</v>
      </c>
      <c r="S40" s="13">
        <f>SUMIF(Mercado_Receita!$S$2:$S$921,"44682B2Convencional pré-pagamentoRuralNão se aplicaNão se aplicaNão se aplicaPonta",Mercado_Receita!$L$2:$L$921)+SUMIF(Mercado_Receita!$S$2:$S$921,"44682B2Convencional pré-pagamentoRuralNão se aplicaNão se aplicaNão se aplicaFora ponta",Mercado_Receita!$L$2:$L$921)+SUMIF(Mercado_Receita!$S$2:$S$921,"44682B2Convencional pré-pagamentoRuralNão se aplicaNão se aplicaNão se aplicaIntermediário",Mercado_Receita!$L$2:$L$921)+SUMIF(Mercado_Receita!$S$2:$S$921,"44682B2Convencional pré-pagamentoRuralNão se aplicaNão se aplicaNão se aplicaNão se aplica",Mercado_Receita!$L$2:$L$921)</f>
        <v>0</v>
      </c>
      <c r="T40" s="13">
        <f>SUMIF(Mercado_Receita!$S$2:$S$921,"44713B2Convencional pré-pagamentoRuralNão se aplicaNão se aplicaNão se aplicaPonta",Mercado_Receita!$L$2:$L$921)+SUMIF(Mercado_Receita!$S$2:$S$921,"44713B2Convencional pré-pagamentoRuralNão se aplicaNão se aplicaNão se aplicaFora ponta",Mercado_Receita!$L$2:$L$921)+SUMIF(Mercado_Receita!$S$2:$S$921,"44713B2Convencional pré-pagamentoRuralNão se aplicaNão se aplicaNão se aplicaIntermediário",Mercado_Receita!$L$2:$L$921)+SUMIF(Mercado_Receita!$S$2:$S$921,"44713B2Convencional pré-pagamentoRuralNão se aplicaNão se aplicaNão se aplicaNão se aplica",Mercado_Receita!$L$2:$L$921)</f>
        <v>0</v>
      </c>
      <c r="U40" s="13">
        <f t="shared" si="0"/>
        <v>0</v>
      </c>
      <c r="V40" s="13"/>
      <c r="W40" s="13"/>
    </row>
    <row r="41" spans="1:23" ht="11.25" customHeight="1" x14ac:dyDescent="0.25">
      <c r="A41" s="117"/>
      <c r="B41" s="117"/>
      <c r="C41" s="117"/>
      <c r="D41" s="12" t="s">
        <v>96</v>
      </c>
      <c r="E41" s="12" t="s">
        <v>25</v>
      </c>
      <c r="F41" s="12" t="s">
        <v>25</v>
      </c>
      <c r="G41" s="13" t="s">
        <v>86</v>
      </c>
      <c r="H41" s="13" t="s">
        <v>82</v>
      </c>
      <c r="I41" s="13">
        <f>SUMIF(Mercado_Receita!$S$2:$S$921,"44378B2Convencional pré-pagamentoRuralCooperativa de eletrificação ruralNão se aplicaNão se aplicaPonta",Mercado_Receita!$L$2:$L$921)+SUMIF(Mercado_Receita!$S$2:$S$921,"44378B2Convencional pré-pagamentoRuralCooperativa de eletrificação ruralNão se aplicaNão se aplicaFora ponta",Mercado_Receita!$L$2:$L$921)+SUMIF(Mercado_Receita!$S$2:$S$921,"44378B2Convencional pré-pagamentoRuralCooperativa de eletrificação ruralNão se aplicaNão se aplicaIntermediário",Mercado_Receita!$L$2:$L$921)+SUMIF(Mercado_Receita!$S$2:$S$921,"44378B2Convencional pré-pagamentoRuralCooperativa de eletrificação ruralNão se aplicaNão se aplicaNão se aplica",Mercado_Receita!$L$2:$L$921)</f>
        <v>0</v>
      </c>
      <c r="J41" s="13">
        <f>SUMIF(Mercado_Receita!$S$2:$S$921,"44409B2Convencional pré-pagamentoRuralCooperativa de eletrificação ruralNão se aplicaNão se aplicaPonta",Mercado_Receita!$L$2:$L$921)+SUMIF(Mercado_Receita!$S$2:$S$921,"44409B2Convencional pré-pagamentoRuralCooperativa de eletrificação ruralNão se aplicaNão se aplicaFora ponta",Mercado_Receita!$L$2:$L$921)+SUMIF(Mercado_Receita!$S$2:$S$921,"44409B2Convencional pré-pagamentoRuralCooperativa de eletrificação ruralNão se aplicaNão se aplicaIntermediário",Mercado_Receita!$L$2:$L$921)+SUMIF(Mercado_Receita!$S$2:$S$921,"44409B2Convencional pré-pagamentoRuralCooperativa de eletrificação ruralNão se aplicaNão se aplicaNão se aplica",Mercado_Receita!$L$2:$L$921)</f>
        <v>0</v>
      </c>
      <c r="K41" s="13">
        <f>SUMIF(Mercado_Receita!$S$2:$S$921,"44440B2Convencional pré-pagamentoRuralCooperativa de eletrificação ruralNão se aplicaNão se aplicaPonta",Mercado_Receita!$L$2:$L$921)+SUMIF(Mercado_Receita!$S$2:$S$921,"44440B2Convencional pré-pagamentoRuralCooperativa de eletrificação ruralNão se aplicaNão se aplicaFora ponta",Mercado_Receita!$L$2:$L$921)+SUMIF(Mercado_Receita!$S$2:$S$921,"44440B2Convencional pré-pagamentoRuralCooperativa de eletrificação ruralNão se aplicaNão se aplicaIntermediário",Mercado_Receita!$L$2:$L$921)+SUMIF(Mercado_Receita!$S$2:$S$921,"44440B2Convencional pré-pagamentoRuralCooperativa de eletrificação ruralNão se aplicaNão se aplicaNão se aplica",Mercado_Receita!$L$2:$L$921)</f>
        <v>0</v>
      </c>
      <c r="L41" s="13">
        <f>SUMIF(Mercado_Receita!$S$2:$S$921,"44470B2Convencional pré-pagamentoRuralCooperativa de eletrificação ruralNão se aplicaNão se aplicaPonta",Mercado_Receita!$L$2:$L$921)+SUMIF(Mercado_Receita!$S$2:$S$921,"44470B2Convencional pré-pagamentoRuralCooperativa de eletrificação ruralNão se aplicaNão se aplicaFora ponta",Mercado_Receita!$L$2:$L$921)+SUMIF(Mercado_Receita!$S$2:$S$921,"44470B2Convencional pré-pagamentoRuralCooperativa de eletrificação ruralNão se aplicaNão se aplicaIntermediário",Mercado_Receita!$L$2:$L$921)+SUMIF(Mercado_Receita!$S$2:$S$921,"44470B2Convencional pré-pagamentoRuralCooperativa de eletrificação ruralNão se aplicaNão se aplicaNão se aplica",Mercado_Receita!$L$2:$L$921)</f>
        <v>0</v>
      </c>
      <c r="M41" s="13">
        <f>SUMIF(Mercado_Receita!$S$2:$S$921,"44501B2Convencional pré-pagamentoRuralCooperativa de eletrificação ruralNão se aplicaNão se aplicaPonta",Mercado_Receita!$L$2:$L$921)+SUMIF(Mercado_Receita!$S$2:$S$921,"44501B2Convencional pré-pagamentoRuralCooperativa de eletrificação ruralNão se aplicaNão se aplicaFora ponta",Mercado_Receita!$L$2:$L$921)+SUMIF(Mercado_Receita!$S$2:$S$921,"44501B2Convencional pré-pagamentoRuralCooperativa de eletrificação ruralNão se aplicaNão se aplicaIntermediário",Mercado_Receita!$L$2:$L$921)+SUMIF(Mercado_Receita!$S$2:$S$921,"44501B2Convencional pré-pagamentoRuralCooperativa de eletrificação ruralNão se aplicaNão se aplicaNão se aplica",Mercado_Receita!$L$2:$L$921)</f>
        <v>0</v>
      </c>
      <c r="N41" s="13">
        <f>SUMIF(Mercado_Receita!$S$2:$S$921,"44531B2Convencional pré-pagamentoRuralCooperativa de eletrificação ruralNão se aplicaNão se aplicaPonta",Mercado_Receita!$L$2:$L$921)+SUMIF(Mercado_Receita!$S$2:$S$921,"44531B2Convencional pré-pagamentoRuralCooperativa de eletrificação ruralNão se aplicaNão se aplicaFora ponta",Mercado_Receita!$L$2:$L$921)+SUMIF(Mercado_Receita!$S$2:$S$921,"44531B2Convencional pré-pagamentoRuralCooperativa de eletrificação ruralNão se aplicaNão se aplicaIntermediário",Mercado_Receita!$L$2:$L$921)+SUMIF(Mercado_Receita!$S$2:$S$921,"44531B2Convencional pré-pagamentoRuralCooperativa de eletrificação ruralNão se aplicaNão se aplicaNão se aplica",Mercado_Receita!$L$2:$L$921)</f>
        <v>0</v>
      </c>
      <c r="O41" s="13">
        <f>SUMIF(Mercado_Receita!$S$2:$S$921,"44562B2Convencional pré-pagamentoRuralCooperativa de eletrificação ruralNão se aplicaNão se aplicaPonta",Mercado_Receita!$L$2:$L$921)+SUMIF(Mercado_Receita!$S$2:$S$921,"44562B2Convencional pré-pagamentoRuralCooperativa de eletrificação ruralNão se aplicaNão se aplicaFora ponta",Mercado_Receita!$L$2:$L$921)+SUMIF(Mercado_Receita!$S$2:$S$921,"44562B2Convencional pré-pagamentoRuralCooperativa de eletrificação ruralNão se aplicaNão se aplicaIntermediário",Mercado_Receita!$L$2:$L$921)+SUMIF(Mercado_Receita!$S$2:$S$921,"44562B2Convencional pré-pagamentoRuralCooperativa de eletrificação ruralNão se aplicaNão se aplicaNão se aplica",Mercado_Receita!$L$2:$L$921)</f>
        <v>0</v>
      </c>
      <c r="P41" s="13">
        <f>SUMIF(Mercado_Receita!$S$2:$S$921,"44593B2Convencional pré-pagamentoRuralCooperativa de eletrificação ruralNão se aplicaNão se aplicaPonta",Mercado_Receita!$L$2:$L$921)+SUMIF(Mercado_Receita!$S$2:$S$921,"44593B2Convencional pré-pagamentoRuralCooperativa de eletrificação ruralNão se aplicaNão se aplicaFora ponta",Mercado_Receita!$L$2:$L$921)+SUMIF(Mercado_Receita!$S$2:$S$921,"44593B2Convencional pré-pagamentoRuralCooperativa de eletrificação ruralNão se aplicaNão se aplicaIntermediário",Mercado_Receita!$L$2:$L$921)+SUMIF(Mercado_Receita!$S$2:$S$921,"44593B2Convencional pré-pagamentoRuralCooperativa de eletrificação ruralNão se aplicaNão se aplicaNão se aplica",Mercado_Receita!$L$2:$L$921)</f>
        <v>0</v>
      </c>
      <c r="Q41" s="13">
        <f>SUMIF(Mercado_Receita!$S$2:$S$921,"44621B2Convencional pré-pagamentoRuralCooperativa de eletrificação ruralNão se aplicaNão se aplicaPonta",Mercado_Receita!$L$2:$L$921)+SUMIF(Mercado_Receita!$S$2:$S$921,"44621B2Convencional pré-pagamentoRuralCooperativa de eletrificação ruralNão se aplicaNão se aplicaFora ponta",Mercado_Receita!$L$2:$L$921)+SUMIF(Mercado_Receita!$S$2:$S$921,"44621B2Convencional pré-pagamentoRuralCooperativa de eletrificação ruralNão se aplicaNão se aplicaIntermediário",Mercado_Receita!$L$2:$L$921)+SUMIF(Mercado_Receita!$S$2:$S$921,"44621B2Convencional pré-pagamentoRuralCooperativa de eletrificação ruralNão se aplicaNão se aplicaNão se aplica",Mercado_Receita!$L$2:$L$921)</f>
        <v>0</v>
      </c>
      <c r="R41" s="13">
        <f>SUMIF(Mercado_Receita!$S$2:$S$921,"44652B2Convencional pré-pagamentoRuralCooperativa de eletrificação ruralNão se aplicaNão se aplicaPonta",Mercado_Receita!$L$2:$L$921)+SUMIF(Mercado_Receita!$S$2:$S$921,"44652B2Convencional pré-pagamentoRuralCooperativa de eletrificação ruralNão se aplicaNão se aplicaFora ponta",Mercado_Receita!$L$2:$L$921)+SUMIF(Mercado_Receita!$S$2:$S$921,"44652B2Convencional pré-pagamentoRuralCooperativa de eletrificação ruralNão se aplicaNão se aplicaIntermediário",Mercado_Receita!$L$2:$L$921)+SUMIF(Mercado_Receita!$S$2:$S$921,"44652B2Convencional pré-pagamentoRuralCooperativa de eletrificação ruralNão se aplicaNão se aplicaNão se aplica",Mercado_Receita!$L$2:$L$921)</f>
        <v>0</v>
      </c>
      <c r="S41" s="13">
        <f>SUMIF(Mercado_Receita!$S$2:$S$921,"44682B2Convencional pré-pagamentoRuralCooperativa de eletrificação ruralNão se aplicaNão se aplicaPonta",Mercado_Receita!$L$2:$L$921)+SUMIF(Mercado_Receita!$S$2:$S$921,"44682B2Convencional pré-pagamentoRuralCooperativa de eletrificação ruralNão se aplicaNão se aplicaFora ponta",Mercado_Receita!$L$2:$L$921)+SUMIF(Mercado_Receita!$S$2:$S$921,"44682B2Convencional pré-pagamentoRuralCooperativa de eletrificação ruralNão se aplicaNão se aplicaIntermediário",Mercado_Receita!$L$2:$L$921)+SUMIF(Mercado_Receita!$S$2:$S$921,"44682B2Convencional pré-pagamentoRuralCooperativa de eletrificação ruralNão se aplicaNão se aplicaNão se aplica",Mercado_Receita!$L$2:$L$921)</f>
        <v>0</v>
      </c>
      <c r="T41" s="13">
        <f>SUMIF(Mercado_Receita!$S$2:$S$921,"44713B2Convencional pré-pagamentoRuralCooperativa de eletrificação ruralNão se aplicaNão se aplicaPonta",Mercado_Receita!$L$2:$L$921)+SUMIF(Mercado_Receita!$S$2:$S$921,"44713B2Convencional pré-pagamentoRuralCooperativa de eletrificação ruralNão se aplicaNão se aplicaFora ponta",Mercado_Receita!$L$2:$L$921)+SUMIF(Mercado_Receita!$S$2:$S$921,"44713B2Convencional pré-pagamentoRuralCooperativa de eletrificação ruralNão se aplicaNão se aplicaIntermediário",Mercado_Receita!$L$2:$L$921)+SUMIF(Mercado_Receita!$S$2:$S$921,"44713B2Convencional pré-pagamentoRuralCooperativa de eletrificação ruralNão se aplicaNão se aplicaNão se aplica",Mercado_Receita!$L$2:$L$921)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117"/>
      <c r="B42" s="117"/>
      <c r="C42" s="117"/>
      <c r="D42" s="12" t="s">
        <v>97</v>
      </c>
      <c r="E42" s="12" t="s">
        <v>25</v>
      </c>
      <c r="F42" s="12" t="s">
        <v>25</v>
      </c>
      <c r="G42" s="13" t="s">
        <v>86</v>
      </c>
      <c r="H42" s="13" t="s">
        <v>82</v>
      </c>
      <c r="I42" s="13">
        <f>SUMIF(Mercado_Receita!$S$2:$S$921,"44378B2Convencional pré-pagamentoRuralServiço público de irrigação ruralNão se aplicaNão se aplicaPonta",Mercado_Receita!$L$2:$L$921)+SUMIF(Mercado_Receita!$S$2:$S$921,"44378B2Convencional pré-pagamentoRuralServiço público de irrigação ruralNão se aplicaNão se aplicaFora ponta",Mercado_Receita!$L$2:$L$921)+SUMIF(Mercado_Receita!$S$2:$S$921,"44378B2Convencional pré-pagamentoRuralServiço público de irrigação ruralNão se aplicaNão se aplicaIntermediário",Mercado_Receita!$L$2:$L$921)+SUMIF(Mercado_Receita!$S$2:$S$921,"44378B2Convencional pré-pagamentoRuralServiço público de irrigação ruralNão se aplicaNão se aplicaNão se aplica",Mercado_Receita!$L$2:$L$921)</f>
        <v>0</v>
      </c>
      <c r="J42" s="13">
        <f>SUMIF(Mercado_Receita!$S$2:$S$921,"44409B2Convencional pré-pagamentoRuralServiço público de irrigação ruralNão se aplicaNão se aplicaPonta",Mercado_Receita!$L$2:$L$921)+SUMIF(Mercado_Receita!$S$2:$S$921,"44409B2Convencional pré-pagamentoRuralServiço público de irrigação ruralNão se aplicaNão se aplicaFora ponta",Mercado_Receita!$L$2:$L$921)+SUMIF(Mercado_Receita!$S$2:$S$921,"44409B2Convencional pré-pagamentoRuralServiço público de irrigação ruralNão se aplicaNão se aplicaIntermediário",Mercado_Receita!$L$2:$L$921)+SUMIF(Mercado_Receita!$S$2:$S$921,"44409B2Convencional pré-pagamentoRuralServiço público de irrigação ruralNão se aplicaNão se aplicaNão se aplica",Mercado_Receita!$L$2:$L$921)</f>
        <v>0</v>
      </c>
      <c r="K42" s="13">
        <f>SUMIF(Mercado_Receita!$S$2:$S$921,"44440B2Convencional pré-pagamentoRuralServiço público de irrigação ruralNão se aplicaNão se aplicaPonta",Mercado_Receita!$L$2:$L$921)+SUMIF(Mercado_Receita!$S$2:$S$921,"44440B2Convencional pré-pagamentoRuralServiço público de irrigação ruralNão se aplicaNão se aplicaFora ponta",Mercado_Receita!$L$2:$L$921)+SUMIF(Mercado_Receita!$S$2:$S$921,"44440B2Convencional pré-pagamentoRuralServiço público de irrigação ruralNão se aplicaNão se aplicaIntermediário",Mercado_Receita!$L$2:$L$921)+SUMIF(Mercado_Receita!$S$2:$S$921,"44440B2Convencional pré-pagamentoRuralServiço público de irrigação ruralNão se aplicaNão se aplicaNão se aplica",Mercado_Receita!$L$2:$L$921)</f>
        <v>0</v>
      </c>
      <c r="L42" s="13">
        <f>SUMIF(Mercado_Receita!$S$2:$S$921,"44470B2Convencional pré-pagamentoRuralServiço público de irrigação ruralNão se aplicaNão se aplicaPonta",Mercado_Receita!$L$2:$L$921)+SUMIF(Mercado_Receita!$S$2:$S$921,"44470B2Convencional pré-pagamentoRuralServiço público de irrigação ruralNão se aplicaNão se aplicaFora ponta",Mercado_Receita!$L$2:$L$921)+SUMIF(Mercado_Receita!$S$2:$S$921,"44470B2Convencional pré-pagamentoRuralServiço público de irrigação ruralNão se aplicaNão se aplicaIntermediário",Mercado_Receita!$L$2:$L$921)+SUMIF(Mercado_Receita!$S$2:$S$921,"44470B2Convencional pré-pagamentoRuralServiço público de irrigação ruralNão se aplicaNão se aplicaNão se aplica",Mercado_Receita!$L$2:$L$921)</f>
        <v>0</v>
      </c>
      <c r="M42" s="13">
        <f>SUMIF(Mercado_Receita!$S$2:$S$921,"44501B2Convencional pré-pagamentoRuralServiço público de irrigação ruralNão se aplicaNão se aplicaPonta",Mercado_Receita!$L$2:$L$921)+SUMIF(Mercado_Receita!$S$2:$S$921,"44501B2Convencional pré-pagamentoRuralServiço público de irrigação ruralNão se aplicaNão se aplicaFora ponta",Mercado_Receita!$L$2:$L$921)+SUMIF(Mercado_Receita!$S$2:$S$921,"44501B2Convencional pré-pagamentoRuralServiço público de irrigação ruralNão se aplicaNão se aplicaIntermediário",Mercado_Receita!$L$2:$L$921)+SUMIF(Mercado_Receita!$S$2:$S$921,"44501B2Convencional pré-pagamentoRuralServiço público de irrigação ruralNão se aplicaNão se aplicaNão se aplica",Mercado_Receita!$L$2:$L$921)</f>
        <v>0</v>
      </c>
      <c r="N42" s="13">
        <f>SUMIF(Mercado_Receita!$S$2:$S$921,"44531B2Convencional pré-pagamentoRuralServiço público de irrigação ruralNão se aplicaNão se aplicaPonta",Mercado_Receita!$L$2:$L$921)+SUMIF(Mercado_Receita!$S$2:$S$921,"44531B2Convencional pré-pagamentoRuralServiço público de irrigação ruralNão se aplicaNão se aplicaFora ponta",Mercado_Receita!$L$2:$L$921)+SUMIF(Mercado_Receita!$S$2:$S$921,"44531B2Convencional pré-pagamentoRuralServiço público de irrigação ruralNão se aplicaNão se aplicaIntermediário",Mercado_Receita!$L$2:$L$921)+SUMIF(Mercado_Receita!$S$2:$S$921,"44531B2Convencional pré-pagamentoRuralServiço público de irrigação ruralNão se aplicaNão se aplicaNão se aplica",Mercado_Receita!$L$2:$L$921)</f>
        <v>0</v>
      </c>
      <c r="O42" s="13">
        <f>SUMIF(Mercado_Receita!$S$2:$S$921,"44562B2Convencional pré-pagamentoRuralServiço público de irrigação ruralNão se aplicaNão se aplicaPonta",Mercado_Receita!$L$2:$L$921)+SUMIF(Mercado_Receita!$S$2:$S$921,"44562B2Convencional pré-pagamentoRuralServiço público de irrigação ruralNão se aplicaNão se aplicaFora ponta",Mercado_Receita!$L$2:$L$921)+SUMIF(Mercado_Receita!$S$2:$S$921,"44562B2Convencional pré-pagamentoRuralServiço público de irrigação ruralNão se aplicaNão se aplicaIntermediário",Mercado_Receita!$L$2:$L$921)+SUMIF(Mercado_Receita!$S$2:$S$921,"44562B2Convencional pré-pagamentoRuralServiço público de irrigação ruralNão se aplicaNão se aplicaNão se aplica",Mercado_Receita!$L$2:$L$921)</f>
        <v>0</v>
      </c>
      <c r="P42" s="13">
        <f>SUMIF(Mercado_Receita!$S$2:$S$921,"44593B2Convencional pré-pagamentoRuralServiço público de irrigação ruralNão se aplicaNão se aplicaPonta",Mercado_Receita!$L$2:$L$921)+SUMIF(Mercado_Receita!$S$2:$S$921,"44593B2Convencional pré-pagamentoRuralServiço público de irrigação ruralNão se aplicaNão se aplicaFora ponta",Mercado_Receita!$L$2:$L$921)+SUMIF(Mercado_Receita!$S$2:$S$921,"44593B2Convencional pré-pagamentoRuralServiço público de irrigação ruralNão se aplicaNão se aplicaIntermediário",Mercado_Receita!$L$2:$L$921)+SUMIF(Mercado_Receita!$S$2:$S$921,"44593B2Convencional pré-pagamentoRuralServiço público de irrigação ruralNão se aplicaNão se aplicaNão se aplica",Mercado_Receita!$L$2:$L$921)</f>
        <v>0</v>
      </c>
      <c r="Q42" s="13">
        <f>SUMIF(Mercado_Receita!$S$2:$S$921,"44621B2Convencional pré-pagamentoRuralServiço público de irrigação ruralNão se aplicaNão se aplicaPonta",Mercado_Receita!$L$2:$L$921)+SUMIF(Mercado_Receita!$S$2:$S$921,"44621B2Convencional pré-pagamentoRuralServiço público de irrigação ruralNão se aplicaNão se aplicaFora ponta",Mercado_Receita!$L$2:$L$921)+SUMIF(Mercado_Receita!$S$2:$S$921,"44621B2Convencional pré-pagamentoRuralServiço público de irrigação ruralNão se aplicaNão se aplicaIntermediário",Mercado_Receita!$L$2:$L$921)+SUMIF(Mercado_Receita!$S$2:$S$921,"44621B2Convencional pré-pagamentoRuralServiço público de irrigação ruralNão se aplicaNão se aplicaNão se aplica",Mercado_Receita!$L$2:$L$921)</f>
        <v>0</v>
      </c>
      <c r="R42" s="13">
        <f>SUMIF(Mercado_Receita!$S$2:$S$921,"44652B2Convencional pré-pagamentoRuralServiço público de irrigação ruralNão se aplicaNão se aplicaPonta",Mercado_Receita!$L$2:$L$921)+SUMIF(Mercado_Receita!$S$2:$S$921,"44652B2Convencional pré-pagamentoRuralServiço público de irrigação ruralNão se aplicaNão se aplicaFora ponta",Mercado_Receita!$L$2:$L$921)+SUMIF(Mercado_Receita!$S$2:$S$921,"44652B2Convencional pré-pagamentoRuralServiço público de irrigação ruralNão se aplicaNão se aplicaIntermediário",Mercado_Receita!$L$2:$L$921)+SUMIF(Mercado_Receita!$S$2:$S$921,"44652B2Convencional pré-pagamentoRuralServiço público de irrigação ruralNão se aplicaNão se aplicaNão se aplica",Mercado_Receita!$L$2:$L$921)</f>
        <v>0</v>
      </c>
      <c r="S42" s="13">
        <f>SUMIF(Mercado_Receita!$S$2:$S$921,"44682B2Convencional pré-pagamentoRuralServiço público de irrigação ruralNão se aplicaNão se aplicaPonta",Mercado_Receita!$L$2:$L$921)+SUMIF(Mercado_Receita!$S$2:$S$921,"44682B2Convencional pré-pagamentoRuralServiço público de irrigação ruralNão se aplicaNão se aplicaFora ponta",Mercado_Receita!$L$2:$L$921)+SUMIF(Mercado_Receita!$S$2:$S$921,"44682B2Convencional pré-pagamentoRuralServiço público de irrigação ruralNão se aplicaNão se aplicaIntermediário",Mercado_Receita!$L$2:$L$921)+SUMIF(Mercado_Receita!$S$2:$S$921,"44682B2Convencional pré-pagamentoRuralServiço público de irrigação ruralNão se aplicaNão se aplicaNão se aplica",Mercado_Receita!$L$2:$L$921)</f>
        <v>0</v>
      </c>
      <c r="T42" s="13">
        <f>SUMIF(Mercado_Receita!$S$2:$S$921,"44713B2Convencional pré-pagamentoRuralServiço público de irrigação ruralNão se aplicaNão se aplicaPonta",Mercado_Receita!$L$2:$L$921)+SUMIF(Mercado_Receita!$S$2:$S$921,"44713B2Convencional pré-pagamentoRuralServiço público de irrigação ruralNão se aplicaNão se aplicaFora ponta",Mercado_Receita!$L$2:$L$921)+SUMIF(Mercado_Receita!$S$2:$S$921,"44713B2Convencional pré-pagamentoRuralServiço público de irrigação ruralNão se aplicaNão se aplicaIntermediário",Mercado_Receita!$L$2:$L$921)+SUMIF(Mercado_Receita!$S$2:$S$921,"44713B2Convencional pré-pagamentoRuralServiço público de irrigação ruralNão se aplicaNão se aplicaNão se aplica",Mercado_Receita!$L$2:$L$921)</f>
        <v>0</v>
      </c>
      <c r="U42" s="13">
        <f t="shared" si="0"/>
        <v>0</v>
      </c>
      <c r="V42" s="13"/>
      <c r="W42" s="13"/>
    </row>
    <row r="43" spans="1:23" ht="11.25" customHeight="1" x14ac:dyDescent="0.25">
      <c r="A43" s="116" t="s">
        <v>36</v>
      </c>
      <c r="B43" s="116" t="s">
        <v>32</v>
      </c>
      <c r="C43" s="116" t="s">
        <v>25</v>
      </c>
      <c r="D43" s="116" t="s">
        <v>25</v>
      </c>
      <c r="E43" s="116" t="s">
        <v>25</v>
      </c>
      <c r="F43" s="116" t="s">
        <v>25</v>
      </c>
      <c r="G43" s="13" t="s">
        <v>83</v>
      </c>
      <c r="H43" s="13" t="s">
        <v>82</v>
      </c>
      <c r="I43" s="13">
        <f>SUMIF(Mercado_Receita!$S$2:$S$921,"44378B3BrancaNão se aplicaNão se aplicaNão se aplicaNão se aplicaPonta",Mercado_Receita!$L$2:$L$921)</f>
        <v>1.661</v>
      </c>
      <c r="J43" s="13">
        <f>SUMIF(Mercado_Receita!$S$2:$S$921,"44409B3BrancaNão se aplicaNão se aplicaNão se aplicaNão se aplicaPonta",Mercado_Receita!$L$2:$L$921)</f>
        <v>1.4</v>
      </c>
      <c r="K43" s="13">
        <f>SUMIF(Mercado_Receita!$S$2:$S$921,"44440B3BrancaNão se aplicaNão se aplicaNão se aplicaNão se aplicaPonta",Mercado_Receita!$L$2:$L$921)</f>
        <v>1.401</v>
      </c>
      <c r="L43" s="13">
        <f>SUMIF(Mercado_Receita!$S$2:$S$921,"44470B3BrancaNão se aplicaNão se aplicaNão se aplicaNão se aplicaPonta",Mercado_Receita!$L$2:$L$921)</f>
        <v>1.506</v>
      </c>
      <c r="M43" s="13">
        <f>SUMIF(Mercado_Receita!$S$2:$S$921,"44501B3BrancaNão se aplicaNão se aplicaNão se aplicaNão se aplicaPonta",Mercado_Receita!$L$2:$L$921)</f>
        <v>1.865</v>
      </c>
      <c r="N43" s="13">
        <f>SUMIF(Mercado_Receita!$S$2:$S$921,"44531B3BrancaNão se aplicaNão se aplicaNão se aplicaNão se aplicaPonta",Mercado_Receita!$L$2:$L$921)</f>
        <v>1.996</v>
      </c>
      <c r="O43" s="13">
        <f>SUMIF(Mercado_Receita!$S$2:$S$921,"44562B3BrancaNão se aplicaNão se aplicaNão se aplicaNão se aplicaPonta",Mercado_Receita!$L$2:$L$921)</f>
        <v>2.5379999999999998</v>
      </c>
      <c r="P43" s="13">
        <f>SUMIF(Mercado_Receita!$S$2:$S$921,"44593B3BrancaNão se aplicaNão se aplicaNão se aplicaNão se aplicaPonta",Mercado_Receita!$L$2:$L$921)</f>
        <v>1.871</v>
      </c>
      <c r="Q43" s="13">
        <f>SUMIF(Mercado_Receita!$S$2:$S$921,"44621B3BrancaNão se aplicaNão se aplicaNão se aplicaNão se aplicaPonta",Mercado_Receita!$L$2:$L$921)</f>
        <v>1.47</v>
      </c>
      <c r="R43" s="13">
        <f>SUMIF(Mercado_Receita!$S$2:$S$921,"44652B3BrancaNão se aplicaNão se aplicaNão se aplicaNão se aplicaPonta",Mercado_Receita!$L$2:$L$921)</f>
        <v>1.9059999999999999</v>
      </c>
      <c r="S43" s="13">
        <f>SUMIF(Mercado_Receita!$S$2:$S$921,"44682B3BrancaNão se aplicaNão se aplicaNão se aplicaNão se aplicaPonta",Mercado_Receita!$L$2:$L$921)</f>
        <v>1.429</v>
      </c>
      <c r="T43" s="13">
        <f>SUMIF(Mercado_Receita!$S$2:$S$921,"44713B3BrancaNão se aplicaNão se aplicaNão se aplicaNão se aplicaPonta",Mercado_Receita!$L$2:$L$921)</f>
        <v>1.429</v>
      </c>
      <c r="U43" s="13">
        <f t="shared" si="0"/>
        <v>20.471999999999998</v>
      </c>
      <c r="V43" s="13"/>
      <c r="W43" s="13"/>
    </row>
    <row r="44" spans="1:23" ht="11.25" customHeight="1" x14ac:dyDescent="0.25">
      <c r="A44" s="117"/>
      <c r="B44" s="117"/>
      <c r="C44" s="117"/>
      <c r="D44" s="117"/>
      <c r="E44" s="117"/>
      <c r="F44" s="117"/>
      <c r="G44" s="13" t="s">
        <v>93</v>
      </c>
      <c r="H44" s="13" t="s">
        <v>82</v>
      </c>
      <c r="I44" s="13">
        <f>SUMIF(Mercado_Receita!$S$2:$S$921,"44378B3BrancaNão se aplicaNão se aplicaNão se aplicaNão se aplicaIntermediário",Mercado_Receita!$L$2:$L$921)</f>
        <v>1.2869999999999999</v>
      </c>
      <c r="J44" s="13">
        <f>SUMIF(Mercado_Receita!$S$2:$S$921,"44409B3BrancaNão se aplicaNão se aplicaNão se aplicaNão se aplicaIntermediário",Mercado_Receita!$L$2:$L$921)</f>
        <v>1.155</v>
      </c>
      <c r="K44" s="13">
        <f>SUMIF(Mercado_Receita!$S$2:$S$921,"44440B3BrancaNão se aplicaNão se aplicaNão se aplicaNão se aplicaIntermediário",Mercado_Receita!$L$2:$L$921)</f>
        <v>1.115</v>
      </c>
      <c r="L44" s="13">
        <f>SUMIF(Mercado_Receita!$S$2:$S$921,"44470B3BrancaNão se aplicaNão se aplicaNão se aplicaNão se aplicaIntermediário",Mercado_Receita!$L$2:$L$921)</f>
        <v>1.157</v>
      </c>
      <c r="M44" s="13">
        <f>SUMIF(Mercado_Receita!$S$2:$S$921,"44501B3BrancaNão se aplicaNão se aplicaNão se aplicaNão se aplicaIntermediário",Mercado_Receita!$L$2:$L$921)</f>
        <v>1.415</v>
      </c>
      <c r="N44" s="13">
        <f>SUMIF(Mercado_Receita!$S$2:$S$921,"44531B3BrancaNão se aplicaNão se aplicaNão se aplicaNão se aplicaIntermediário",Mercado_Receita!$L$2:$L$921)</f>
        <v>1.536</v>
      </c>
      <c r="O44" s="13">
        <f>SUMIF(Mercado_Receita!$S$2:$S$921,"44562B3BrancaNão se aplicaNão se aplicaNão se aplicaNão se aplicaIntermediário",Mercado_Receita!$L$2:$L$921)</f>
        <v>2.0840000000000001</v>
      </c>
      <c r="P44" s="13">
        <f>SUMIF(Mercado_Receita!$S$2:$S$921,"44593B3BrancaNão se aplicaNão se aplicaNão se aplicaNão se aplicaIntermediário",Mercado_Receita!$L$2:$L$921)</f>
        <v>1.64</v>
      </c>
      <c r="Q44" s="13">
        <f>SUMIF(Mercado_Receita!$S$2:$S$921,"44621B3BrancaNão se aplicaNão se aplicaNão se aplicaNão se aplicaIntermediário",Mercado_Receita!$L$2:$L$921)</f>
        <v>1.492</v>
      </c>
      <c r="R44" s="13">
        <f>SUMIF(Mercado_Receita!$S$2:$S$921,"44652B3BrancaNão se aplicaNão se aplicaNão se aplicaNão se aplicaIntermediário",Mercado_Receita!$L$2:$L$921)</f>
        <v>1.5289999999999999</v>
      </c>
      <c r="S44" s="13">
        <f>SUMIF(Mercado_Receita!$S$2:$S$921,"44682B3BrancaNão se aplicaNão se aplicaNão se aplicaNão se aplicaIntermediário",Mercado_Receita!$L$2:$L$921)</f>
        <v>1.139</v>
      </c>
      <c r="T44" s="13">
        <f>SUMIF(Mercado_Receita!$S$2:$S$921,"44713B3BrancaNão se aplicaNão se aplicaNão se aplicaNão se aplicaIntermediário",Mercado_Receita!$L$2:$L$921)</f>
        <v>1.139</v>
      </c>
      <c r="U44" s="13">
        <f t="shared" si="0"/>
        <v>16.687999999999999</v>
      </c>
      <c r="V44" s="13"/>
      <c r="W44" s="13"/>
    </row>
    <row r="45" spans="1:23" ht="11.25" customHeight="1" x14ac:dyDescent="0.25">
      <c r="A45" s="117"/>
      <c r="B45" s="117"/>
      <c r="C45" s="117"/>
      <c r="D45" s="117"/>
      <c r="E45" s="117"/>
      <c r="F45" s="117"/>
      <c r="G45" s="13" t="s">
        <v>84</v>
      </c>
      <c r="H45" s="13" t="s">
        <v>82</v>
      </c>
      <c r="I45" s="13">
        <f>SUMIF(Mercado_Receita!$S$2:$S$921,"44378B3BrancaNão se aplicaNão se aplicaNão se aplicaNão se aplicaFora ponta",Mercado_Receita!$L$2:$L$921)</f>
        <v>19.925000000000001</v>
      </c>
      <c r="J45" s="13">
        <f>SUMIF(Mercado_Receita!$S$2:$S$921,"44409B3BrancaNão se aplicaNão se aplicaNão se aplicaNão se aplicaFora ponta",Mercado_Receita!$L$2:$L$921)</f>
        <v>17.105</v>
      </c>
      <c r="K45" s="13">
        <f>SUMIF(Mercado_Receita!$S$2:$S$921,"44440B3BrancaNão se aplicaNão se aplicaNão se aplicaNão se aplicaFora ponta",Mercado_Receita!$L$2:$L$921)</f>
        <v>16.241</v>
      </c>
      <c r="L45" s="13">
        <f>SUMIF(Mercado_Receita!$S$2:$S$921,"44470B3BrancaNão se aplicaNão se aplicaNão se aplicaNão se aplicaFora ponta",Mercado_Receita!$L$2:$L$921)</f>
        <v>16.625</v>
      </c>
      <c r="M45" s="13">
        <f>SUMIF(Mercado_Receita!$S$2:$S$921,"44501B3BrancaNão se aplicaNão se aplicaNão se aplicaNão se aplicaFora ponta",Mercado_Receita!$L$2:$L$921)</f>
        <v>18.853000000000002</v>
      </c>
      <c r="N45" s="13">
        <f>SUMIF(Mercado_Receita!$S$2:$S$921,"44531B3BrancaNão se aplicaNão se aplicaNão se aplicaNão se aplicaFora ponta",Mercado_Receita!$L$2:$L$921)</f>
        <v>18.457999999999998</v>
      </c>
      <c r="O45" s="13">
        <f>SUMIF(Mercado_Receita!$S$2:$S$921,"44562B3BrancaNão se aplicaNão se aplicaNão se aplicaNão se aplicaFora ponta",Mercado_Receita!$L$2:$L$921)</f>
        <v>25.123999999999999</v>
      </c>
      <c r="P45" s="13">
        <f>SUMIF(Mercado_Receita!$S$2:$S$921,"44593B3BrancaNão se aplicaNão se aplicaNão se aplicaNão se aplicaFora ponta",Mercado_Receita!$L$2:$L$921)</f>
        <v>17.977</v>
      </c>
      <c r="Q45" s="13">
        <f>SUMIF(Mercado_Receita!$S$2:$S$921,"44621B3BrancaNão se aplicaNão se aplicaNão se aplicaNão se aplicaFora ponta",Mercado_Receita!$L$2:$L$921)</f>
        <v>13.593999999999999</v>
      </c>
      <c r="R45" s="13">
        <f>SUMIF(Mercado_Receita!$S$2:$S$921,"44652B3BrancaNão se aplicaNão se aplicaNão se aplicaNão se aplicaFora ponta",Mercado_Receita!$L$2:$L$921)</f>
        <v>21.498999999999999</v>
      </c>
      <c r="S45" s="13">
        <f>SUMIF(Mercado_Receita!$S$2:$S$921,"44682B3BrancaNão se aplicaNão se aplicaNão se aplicaNão se aplicaFora ponta",Mercado_Receita!$L$2:$L$921)</f>
        <v>15.483000000000001</v>
      </c>
      <c r="T45" s="13">
        <f>SUMIF(Mercado_Receita!$S$2:$S$921,"44713B3BrancaNão se aplicaNão se aplicaNão se aplicaNão se aplicaFora ponta",Mercado_Receita!$L$2:$L$921)</f>
        <v>15.483000000000001</v>
      </c>
      <c r="U45" s="13">
        <f t="shared" si="0"/>
        <v>216.36699999999999</v>
      </c>
      <c r="V45" s="13"/>
      <c r="W45" s="13"/>
    </row>
    <row r="46" spans="1:23" ht="11.25" customHeight="1" x14ac:dyDescent="0.25">
      <c r="A46" s="117"/>
      <c r="B46" s="12" t="s">
        <v>23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86</v>
      </c>
      <c r="H46" s="13" t="s">
        <v>82</v>
      </c>
      <c r="I46" s="13">
        <f>SUMIF(Mercado_Receita!$S$2:$S$921,"44378B3ConvencionalNão se aplicaNão se aplicaNão se aplicaNão se aplicaPonta",Mercado_Receita!$L$2:$L$921)+SUMIF(Mercado_Receita!$S$2:$S$921,"44378B3ConvencionalNão se aplicaNão se aplicaNão se aplicaNão se aplicaFora ponta",Mercado_Receita!$L$2:$L$921)+SUMIF(Mercado_Receita!$S$2:$S$921,"44378B3ConvencionalNão se aplicaNão se aplicaNão se aplicaNão se aplicaIntermediário",Mercado_Receita!$L$2:$L$921)+SUMIF(Mercado_Receita!$S$2:$S$921,"44378B3ConvencionalNão se aplicaNão se aplicaNão se aplicaNão se aplicaNão se aplica",Mercado_Receita!$L$2:$L$921)</f>
        <v>1981.279</v>
      </c>
      <c r="J46" s="13">
        <f>SUMIF(Mercado_Receita!$S$2:$S$921,"44409B3ConvencionalNão se aplicaNão se aplicaNão se aplicaNão se aplicaPonta",Mercado_Receita!$L$2:$L$921)+SUMIF(Mercado_Receita!$S$2:$S$921,"44409B3ConvencionalNão se aplicaNão se aplicaNão se aplicaNão se aplicaFora ponta",Mercado_Receita!$L$2:$L$921)+SUMIF(Mercado_Receita!$S$2:$S$921,"44409B3ConvencionalNão se aplicaNão se aplicaNão se aplicaNão se aplicaIntermediário",Mercado_Receita!$L$2:$L$921)+SUMIF(Mercado_Receita!$S$2:$S$921,"44409B3ConvencionalNão se aplicaNão se aplicaNão se aplicaNão se aplicaNão se aplica",Mercado_Receita!$L$2:$L$921)</f>
        <v>2075.6030000000001</v>
      </c>
      <c r="K46" s="13">
        <f>SUMIF(Mercado_Receita!$S$2:$S$921,"44440B3ConvencionalNão se aplicaNão se aplicaNão se aplicaNão se aplicaPonta",Mercado_Receita!$L$2:$L$921)+SUMIF(Mercado_Receita!$S$2:$S$921,"44440B3ConvencionalNão se aplicaNão se aplicaNão se aplicaNão se aplicaFora ponta",Mercado_Receita!$L$2:$L$921)+SUMIF(Mercado_Receita!$S$2:$S$921,"44440B3ConvencionalNão se aplicaNão se aplicaNão se aplicaNão se aplicaIntermediário",Mercado_Receita!$L$2:$L$921)+SUMIF(Mercado_Receita!$S$2:$S$921,"44440B3ConvencionalNão se aplicaNão se aplicaNão se aplicaNão se aplicaNão se aplica",Mercado_Receita!$L$2:$L$921)</f>
        <v>2006.865</v>
      </c>
      <c r="L46" s="13">
        <f>SUMIF(Mercado_Receita!$S$2:$S$921,"44470B3ConvencionalNão se aplicaNão se aplicaNão se aplicaNão se aplicaPonta",Mercado_Receita!$L$2:$L$921)+SUMIF(Mercado_Receita!$S$2:$S$921,"44470B3ConvencionalNão se aplicaNão se aplicaNão se aplicaNão se aplicaFora ponta",Mercado_Receita!$L$2:$L$921)+SUMIF(Mercado_Receita!$S$2:$S$921,"44470B3ConvencionalNão se aplicaNão se aplicaNão se aplicaNão se aplicaIntermediário",Mercado_Receita!$L$2:$L$921)+SUMIF(Mercado_Receita!$S$2:$S$921,"44470B3ConvencionalNão se aplicaNão se aplicaNão se aplicaNão se aplicaNão se aplica",Mercado_Receita!$L$2:$L$921)</f>
        <v>2015.568</v>
      </c>
      <c r="M46" s="13">
        <f>SUMIF(Mercado_Receita!$S$2:$S$921,"44501B3ConvencionalNão se aplicaNão se aplicaNão se aplicaNão se aplicaPonta",Mercado_Receita!$L$2:$L$921)+SUMIF(Mercado_Receita!$S$2:$S$921,"44501B3ConvencionalNão se aplicaNão se aplicaNão se aplicaNão se aplicaFora ponta",Mercado_Receita!$L$2:$L$921)+SUMIF(Mercado_Receita!$S$2:$S$921,"44501B3ConvencionalNão se aplicaNão se aplicaNão se aplicaNão se aplicaIntermediário",Mercado_Receita!$L$2:$L$921)+SUMIF(Mercado_Receita!$S$2:$S$921,"44501B3ConvencionalNão se aplicaNão se aplicaNão se aplicaNão se aplicaNão se aplica",Mercado_Receita!$L$2:$L$921)</f>
        <v>2179.0060000000003</v>
      </c>
      <c r="N46" s="13">
        <f>SUMIF(Mercado_Receita!$S$2:$S$921,"44531B3ConvencionalNão se aplicaNão se aplicaNão se aplicaNão se aplicaPonta",Mercado_Receita!$L$2:$L$921)+SUMIF(Mercado_Receita!$S$2:$S$921,"44531B3ConvencionalNão se aplicaNão se aplicaNão se aplicaNão se aplicaFora ponta",Mercado_Receita!$L$2:$L$921)+SUMIF(Mercado_Receita!$S$2:$S$921,"44531B3ConvencionalNão se aplicaNão se aplicaNão se aplicaNão se aplicaIntermediário",Mercado_Receita!$L$2:$L$921)+SUMIF(Mercado_Receita!$S$2:$S$921,"44531B3ConvencionalNão se aplicaNão se aplicaNão se aplicaNão se aplicaNão se aplica",Mercado_Receita!$L$2:$L$921)</f>
        <v>2417.3590000000004</v>
      </c>
      <c r="O46" s="13">
        <f>SUMIF(Mercado_Receita!$S$2:$S$921,"44562B3ConvencionalNão se aplicaNão se aplicaNão se aplicaNão se aplicaPonta",Mercado_Receita!$L$2:$L$921)+SUMIF(Mercado_Receita!$S$2:$S$921,"44562B3ConvencionalNão se aplicaNão se aplicaNão se aplicaNão se aplicaFora ponta",Mercado_Receita!$L$2:$L$921)+SUMIF(Mercado_Receita!$S$2:$S$921,"44562B3ConvencionalNão se aplicaNão se aplicaNão se aplicaNão se aplicaIntermediário",Mercado_Receita!$L$2:$L$921)+SUMIF(Mercado_Receita!$S$2:$S$921,"44562B3ConvencionalNão se aplicaNão se aplicaNão se aplicaNão se aplicaNão se aplica",Mercado_Receita!$L$2:$L$921)</f>
        <v>2558.9009999999998</v>
      </c>
      <c r="P46" s="13">
        <f>SUMIF(Mercado_Receita!$S$2:$S$921,"44593B3ConvencionalNão se aplicaNão se aplicaNão se aplicaNão se aplicaPonta",Mercado_Receita!$L$2:$L$921)+SUMIF(Mercado_Receita!$S$2:$S$921,"44593B3ConvencionalNão se aplicaNão se aplicaNão se aplicaNão se aplicaFora ponta",Mercado_Receita!$L$2:$L$921)+SUMIF(Mercado_Receita!$S$2:$S$921,"44593B3ConvencionalNão se aplicaNão se aplicaNão se aplicaNão se aplicaIntermediário",Mercado_Receita!$L$2:$L$921)+SUMIF(Mercado_Receita!$S$2:$S$921,"44593B3ConvencionalNão se aplicaNão se aplicaNão se aplicaNão se aplicaNão se aplica",Mercado_Receita!$L$2:$L$921)</f>
        <v>2428.741</v>
      </c>
      <c r="Q46" s="13">
        <f>SUMIF(Mercado_Receita!$S$2:$S$921,"44621B3ConvencionalNão se aplicaNão se aplicaNão se aplicaNão se aplicaPonta",Mercado_Receita!$L$2:$L$921)+SUMIF(Mercado_Receita!$S$2:$S$921,"44621B3ConvencionalNão se aplicaNão se aplicaNão se aplicaNão se aplicaFora ponta",Mercado_Receita!$L$2:$L$921)+SUMIF(Mercado_Receita!$S$2:$S$921,"44621B3ConvencionalNão se aplicaNão se aplicaNão se aplicaNão se aplicaIntermediário",Mercado_Receita!$L$2:$L$921)+SUMIF(Mercado_Receita!$S$2:$S$921,"44621B3ConvencionalNão se aplicaNão se aplicaNão se aplicaNão se aplicaNão se aplica",Mercado_Receita!$L$2:$L$921)</f>
        <v>2639.1510000000003</v>
      </c>
      <c r="R46" s="13">
        <f>SUMIF(Mercado_Receita!$S$2:$S$921,"44652B3ConvencionalNão se aplicaNão se aplicaNão se aplicaNão se aplicaPonta",Mercado_Receita!$L$2:$L$921)+SUMIF(Mercado_Receita!$S$2:$S$921,"44652B3ConvencionalNão se aplicaNão se aplicaNão se aplicaNão se aplicaFora ponta",Mercado_Receita!$L$2:$L$921)+SUMIF(Mercado_Receita!$S$2:$S$921,"44652B3ConvencionalNão se aplicaNão se aplicaNão se aplicaNão se aplicaIntermediário",Mercado_Receita!$L$2:$L$921)+SUMIF(Mercado_Receita!$S$2:$S$921,"44652B3ConvencionalNão se aplicaNão se aplicaNão se aplicaNão se aplicaNão se aplica",Mercado_Receita!$L$2:$L$921)</f>
        <v>2070.41</v>
      </c>
      <c r="S46" s="13">
        <f>SUMIF(Mercado_Receita!$S$2:$S$921,"44682B3ConvencionalNão se aplicaNão se aplicaNão se aplicaNão se aplicaPonta",Mercado_Receita!$L$2:$L$921)+SUMIF(Mercado_Receita!$S$2:$S$921,"44682B3ConvencionalNão se aplicaNão se aplicaNão se aplicaNão se aplicaFora ponta",Mercado_Receita!$L$2:$L$921)+SUMIF(Mercado_Receita!$S$2:$S$921,"44682B3ConvencionalNão se aplicaNão se aplicaNão se aplicaNão se aplicaIntermediário",Mercado_Receita!$L$2:$L$921)+SUMIF(Mercado_Receita!$S$2:$S$921,"44682B3ConvencionalNão se aplicaNão se aplicaNão se aplicaNão se aplicaNão se aplica",Mercado_Receita!$L$2:$L$921)</f>
        <v>1876.3249999999998</v>
      </c>
      <c r="T46" s="13">
        <f>SUMIF(Mercado_Receita!$S$2:$S$921,"44713B3ConvencionalNão se aplicaNão se aplicaNão se aplicaNão se aplicaPonta",Mercado_Receita!$L$2:$L$921)+SUMIF(Mercado_Receita!$S$2:$S$921,"44713B3ConvencionalNão se aplicaNão se aplicaNão se aplicaNão se aplicaFora ponta",Mercado_Receita!$L$2:$L$921)+SUMIF(Mercado_Receita!$S$2:$S$921,"44713B3ConvencionalNão se aplicaNão se aplicaNão se aplicaNão se aplicaIntermediário",Mercado_Receita!$L$2:$L$921)+SUMIF(Mercado_Receita!$S$2:$S$921,"44713B3ConvencionalNão se aplicaNão se aplicaNão se aplicaNão se aplicaNão se aplica",Mercado_Receita!$L$2:$L$921)</f>
        <v>1876.3249999999998</v>
      </c>
      <c r="U46" s="13">
        <f t="shared" si="0"/>
        <v>26125.533000000003</v>
      </c>
      <c r="V46" s="13"/>
      <c r="W46" s="13"/>
    </row>
    <row r="47" spans="1:23" ht="11.25" customHeight="1" x14ac:dyDescent="0.25">
      <c r="A47" s="117"/>
      <c r="B47" s="12" t="s">
        <v>95</v>
      </c>
      <c r="C47" s="12" t="s">
        <v>25</v>
      </c>
      <c r="D47" s="12" t="s">
        <v>25</v>
      </c>
      <c r="E47" s="12" t="s">
        <v>25</v>
      </c>
      <c r="F47" s="12" t="s">
        <v>25</v>
      </c>
      <c r="G47" s="13" t="s">
        <v>86</v>
      </c>
      <c r="H47" s="13" t="s">
        <v>82</v>
      </c>
      <c r="I47" s="13">
        <f>SUMIF(Mercado_Receita!$S$2:$S$921,"44378B3Convencional pré-pagamentoNão se aplicaNão se aplicaNão se aplicaNão se aplicaPonta",Mercado_Receita!$L$2:$L$921)+SUMIF(Mercado_Receita!$S$2:$S$921,"44378B3Convencional pré-pagamentoNão se aplicaNão se aplicaNão se aplicaNão se aplicaFora ponta",Mercado_Receita!$L$2:$L$921)+SUMIF(Mercado_Receita!$S$2:$S$921,"44378B3Convencional pré-pagamentoNão se aplicaNão se aplicaNão se aplicaNão se aplicaIntermediário",Mercado_Receita!$L$2:$L$921)+SUMIF(Mercado_Receita!$S$2:$S$921,"44378B3Convencional pré-pagamentoNão se aplicaNão se aplicaNão se aplicaNão se aplicaNão se aplica",Mercado_Receita!$L$2:$L$921)</f>
        <v>0</v>
      </c>
      <c r="J47" s="13">
        <f>SUMIF(Mercado_Receita!$S$2:$S$921,"44409B3Convencional pré-pagamentoNão se aplicaNão se aplicaNão se aplicaNão se aplicaPonta",Mercado_Receita!$L$2:$L$921)+SUMIF(Mercado_Receita!$S$2:$S$921,"44409B3Convencional pré-pagamentoNão se aplicaNão se aplicaNão se aplicaNão se aplicaFora ponta",Mercado_Receita!$L$2:$L$921)+SUMIF(Mercado_Receita!$S$2:$S$921,"44409B3Convencional pré-pagamentoNão se aplicaNão se aplicaNão se aplicaNão se aplicaIntermediário",Mercado_Receita!$L$2:$L$921)+SUMIF(Mercado_Receita!$S$2:$S$921,"44409B3Convencional pré-pagamentoNão se aplicaNão se aplicaNão se aplicaNão se aplicaNão se aplica",Mercado_Receita!$L$2:$L$921)</f>
        <v>0</v>
      </c>
      <c r="K47" s="13">
        <f>SUMIF(Mercado_Receita!$S$2:$S$921,"44440B3Convencional pré-pagamentoNão se aplicaNão se aplicaNão se aplicaNão se aplicaPonta",Mercado_Receita!$L$2:$L$921)+SUMIF(Mercado_Receita!$S$2:$S$921,"44440B3Convencional pré-pagamentoNão se aplicaNão se aplicaNão se aplicaNão se aplicaFora ponta",Mercado_Receita!$L$2:$L$921)+SUMIF(Mercado_Receita!$S$2:$S$921,"44440B3Convencional pré-pagamentoNão se aplicaNão se aplicaNão se aplicaNão se aplicaIntermediário",Mercado_Receita!$L$2:$L$921)+SUMIF(Mercado_Receita!$S$2:$S$921,"44440B3Convencional pré-pagamentoNão se aplicaNão se aplicaNão se aplicaNão se aplicaNão se aplica",Mercado_Receita!$L$2:$L$921)</f>
        <v>0</v>
      </c>
      <c r="L47" s="13">
        <f>SUMIF(Mercado_Receita!$S$2:$S$921,"44470B3Convencional pré-pagamentoNão se aplicaNão se aplicaNão se aplicaNão se aplicaPonta",Mercado_Receita!$L$2:$L$921)+SUMIF(Mercado_Receita!$S$2:$S$921,"44470B3Convencional pré-pagamentoNão se aplicaNão se aplicaNão se aplicaNão se aplicaFora ponta",Mercado_Receita!$L$2:$L$921)+SUMIF(Mercado_Receita!$S$2:$S$921,"44470B3Convencional pré-pagamentoNão se aplicaNão se aplicaNão se aplicaNão se aplicaIntermediário",Mercado_Receita!$L$2:$L$921)+SUMIF(Mercado_Receita!$S$2:$S$921,"44470B3Convencional pré-pagamentoNão se aplicaNão se aplicaNão se aplicaNão se aplicaNão se aplica",Mercado_Receita!$L$2:$L$921)</f>
        <v>0</v>
      </c>
      <c r="M47" s="13">
        <f>SUMIF(Mercado_Receita!$S$2:$S$921,"44501B3Convencional pré-pagamentoNão se aplicaNão se aplicaNão se aplicaNão se aplicaPonta",Mercado_Receita!$L$2:$L$921)+SUMIF(Mercado_Receita!$S$2:$S$921,"44501B3Convencional pré-pagamentoNão se aplicaNão se aplicaNão se aplicaNão se aplicaFora ponta",Mercado_Receita!$L$2:$L$921)+SUMIF(Mercado_Receita!$S$2:$S$921,"44501B3Convencional pré-pagamentoNão se aplicaNão se aplicaNão se aplicaNão se aplicaIntermediário",Mercado_Receita!$L$2:$L$921)+SUMIF(Mercado_Receita!$S$2:$S$921,"44501B3Convencional pré-pagamentoNão se aplicaNão se aplicaNão se aplicaNão se aplicaNão se aplica",Mercado_Receita!$L$2:$L$921)</f>
        <v>0</v>
      </c>
      <c r="N47" s="13">
        <f>SUMIF(Mercado_Receita!$S$2:$S$921,"44531B3Convencional pré-pagamentoNão se aplicaNão se aplicaNão se aplicaNão se aplicaPonta",Mercado_Receita!$L$2:$L$921)+SUMIF(Mercado_Receita!$S$2:$S$921,"44531B3Convencional pré-pagamentoNão se aplicaNão se aplicaNão se aplicaNão se aplicaFora ponta",Mercado_Receita!$L$2:$L$921)+SUMIF(Mercado_Receita!$S$2:$S$921,"44531B3Convencional pré-pagamentoNão se aplicaNão se aplicaNão se aplicaNão se aplicaIntermediário",Mercado_Receita!$L$2:$L$921)+SUMIF(Mercado_Receita!$S$2:$S$921,"44531B3Convencional pré-pagamentoNão se aplicaNão se aplicaNão se aplicaNão se aplicaNão se aplica",Mercado_Receita!$L$2:$L$921)</f>
        <v>0</v>
      </c>
      <c r="O47" s="13">
        <f>SUMIF(Mercado_Receita!$S$2:$S$921,"44562B3Convencional pré-pagamentoNão se aplicaNão se aplicaNão se aplicaNão se aplicaPonta",Mercado_Receita!$L$2:$L$921)+SUMIF(Mercado_Receita!$S$2:$S$921,"44562B3Convencional pré-pagamentoNão se aplicaNão se aplicaNão se aplicaNão se aplicaFora ponta",Mercado_Receita!$L$2:$L$921)+SUMIF(Mercado_Receita!$S$2:$S$921,"44562B3Convencional pré-pagamentoNão se aplicaNão se aplicaNão se aplicaNão se aplicaIntermediário",Mercado_Receita!$L$2:$L$921)+SUMIF(Mercado_Receita!$S$2:$S$921,"44562B3Convencional pré-pagamentoNão se aplicaNão se aplicaNão se aplicaNão se aplicaNão se aplica",Mercado_Receita!$L$2:$L$921)</f>
        <v>0</v>
      </c>
      <c r="P47" s="13">
        <f>SUMIF(Mercado_Receita!$S$2:$S$921,"44593B3Convencional pré-pagamentoNão se aplicaNão se aplicaNão se aplicaNão se aplicaPonta",Mercado_Receita!$L$2:$L$921)+SUMIF(Mercado_Receita!$S$2:$S$921,"44593B3Convencional pré-pagamentoNão se aplicaNão se aplicaNão se aplicaNão se aplicaFora ponta",Mercado_Receita!$L$2:$L$921)+SUMIF(Mercado_Receita!$S$2:$S$921,"44593B3Convencional pré-pagamentoNão se aplicaNão se aplicaNão se aplicaNão se aplicaIntermediário",Mercado_Receita!$L$2:$L$921)+SUMIF(Mercado_Receita!$S$2:$S$921,"44593B3Convencional pré-pagamentoNão se aplicaNão se aplicaNão se aplicaNão se aplicaNão se aplica",Mercado_Receita!$L$2:$L$921)</f>
        <v>0</v>
      </c>
      <c r="Q47" s="13">
        <f>SUMIF(Mercado_Receita!$S$2:$S$921,"44621B3Convencional pré-pagamentoNão se aplicaNão se aplicaNão se aplicaNão se aplicaPonta",Mercado_Receita!$L$2:$L$921)+SUMIF(Mercado_Receita!$S$2:$S$921,"44621B3Convencional pré-pagamentoNão se aplicaNão se aplicaNão se aplicaNão se aplicaFora ponta",Mercado_Receita!$L$2:$L$921)+SUMIF(Mercado_Receita!$S$2:$S$921,"44621B3Convencional pré-pagamentoNão se aplicaNão se aplicaNão se aplicaNão se aplicaIntermediário",Mercado_Receita!$L$2:$L$921)+SUMIF(Mercado_Receita!$S$2:$S$921,"44621B3Convencional pré-pagamentoNão se aplicaNão se aplicaNão se aplicaNão se aplicaNão se aplica",Mercado_Receita!$L$2:$L$921)</f>
        <v>0</v>
      </c>
      <c r="R47" s="13">
        <f>SUMIF(Mercado_Receita!$S$2:$S$921,"44652B3Convencional pré-pagamentoNão se aplicaNão se aplicaNão se aplicaNão se aplicaPonta",Mercado_Receita!$L$2:$L$921)+SUMIF(Mercado_Receita!$S$2:$S$921,"44652B3Convencional pré-pagamentoNão se aplicaNão se aplicaNão se aplicaNão se aplicaFora ponta",Mercado_Receita!$L$2:$L$921)+SUMIF(Mercado_Receita!$S$2:$S$921,"44652B3Convencional pré-pagamentoNão se aplicaNão se aplicaNão se aplicaNão se aplicaIntermediário",Mercado_Receita!$L$2:$L$921)+SUMIF(Mercado_Receita!$S$2:$S$921,"44652B3Convencional pré-pagamentoNão se aplicaNão se aplicaNão se aplicaNão se aplicaNão se aplica",Mercado_Receita!$L$2:$L$921)</f>
        <v>0</v>
      </c>
      <c r="S47" s="13">
        <f>SUMIF(Mercado_Receita!$S$2:$S$921,"44682B3Convencional pré-pagamentoNão se aplicaNão se aplicaNão se aplicaNão se aplicaPonta",Mercado_Receita!$L$2:$L$921)+SUMIF(Mercado_Receita!$S$2:$S$921,"44682B3Convencional pré-pagamentoNão se aplicaNão se aplicaNão se aplicaNão se aplicaFora ponta",Mercado_Receita!$L$2:$L$921)+SUMIF(Mercado_Receita!$S$2:$S$921,"44682B3Convencional pré-pagamentoNão se aplicaNão se aplicaNão se aplicaNão se aplicaIntermediário",Mercado_Receita!$L$2:$L$921)+SUMIF(Mercado_Receita!$S$2:$S$921,"44682B3Convencional pré-pagamentoNão se aplicaNão se aplicaNão se aplicaNão se aplicaNão se aplica",Mercado_Receita!$L$2:$L$921)</f>
        <v>0</v>
      </c>
      <c r="T47" s="13">
        <f>SUMIF(Mercado_Receita!$S$2:$S$921,"44713B3Convencional pré-pagamentoNão se aplicaNão se aplicaNão se aplicaNão se aplicaPonta",Mercado_Receita!$L$2:$L$921)+SUMIF(Mercado_Receita!$S$2:$S$921,"44713B3Convencional pré-pagamentoNão se aplicaNão se aplicaNão se aplicaNão se aplicaFora ponta",Mercado_Receita!$L$2:$L$921)+SUMIF(Mercado_Receita!$S$2:$S$921,"44713B3Convencional pré-pagamentoNão se aplicaNão se aplicaNão se aplicaNão se aplicaIntermediário",Mercado_Receita!$L$2:$L$921)+SUMIF(Mercado_Receita!$S$2:$S$921,"44713B3Convencional pré-pagamentoNão se aplicaNão se aplicaNão se aplicaNão se aplicaNão se aplica",Mercado_Receita!$L$2:$L$921)</f>
        <v>0</v>
      </c>
      <c r="U47" s="13">
        <f t="shared" si="0"/>
        <v>0</v>
      </c>
      <c r="V47" s="13"/>
      <c r="W47" s="13"/>
    </row>
    <row r="48" spans="1:23" ht="11.25" customHeight="1" x14ac:dyDescent="0.25">
      <c r="A48" s="116" t="s">
        <v>45</v>
      </c>
      <c r="B48" s="116" t="s">
        <v>23</v>
      </c>
      <c r="C48" s="116" t="s">
        <v>46</v>
      </c>
      <c r="D48" s="12" t="s">
        <v>47</v>
      </c>
      <c r="E48" s="12" t="s">
        <v>25</v>
      </c>
      <c r="F48" s="12" t="s">
        <v>25</v>
      </c>
      <c r="G48" s="13" t="s">
        <v>86</v>
      </c>
      <c r="H48" s="13" t="s">
        <v>82</v>
      </c>
      <c r="I48" s="13">
        <f>SUMIF(Mercado_Receita!$S$2:$S$921,"44378B4ConvencionalIluminação públicaIluminação pública – B4aNão se aplicaNão se aplicaPonta",Mercado_Receita!$L$2:$L$921)+SUMIF(Mercado_Receita!$S$2:$S$921,"44378B4ConvencionalIluminação públicaIluminação pública – B4aNão se aplicaNão se aplicaFora ponta",Mercado_Receita!$L$2:$L$921)+SUMIF(Mercado_Receita!$S$2:$S$921,"44378B4ConvencionalIluminação públicaIluminação pública – B4aNão se aplicaNão se aplicaIntermediário",Mercado_Receita!$L$2:$L$921)+SUMIF(Mercado_Receita!$S$2:$S$921,"44378B4ConvencionalIluminação públicaIluminação pública – B4aNão se aplicaNão se aplicaNão se aplica",Mercado_Receita!$L$2:$L$921)</f>
        <v>471.03500000000003</v>
      </c>
      <c r="J48" s="13">
        <f>SUMIF(Mercado_Receita!$S$2:$S$921,"44409B4ConvencionalIluminação públicaIluminação pública – B4aNão se aplicaNão se aplicaPonta",Mercado_Receita!$L$2:$L$921)+SUMIF(Mercado_Receita!$S$2:$S$921,"44409B4ConvencionalIluminação públicaIluminação pública – B4aNão se aplicaNão se aplicaFora ponta",Mercado_Receita!$L$2:$L$921)+SUMIF(Mercado_Receita!$S$2:$S$921,"44409B4ConvencionalIluminação públicaIluminação pública – B4aNão se aplicaNão se aplicaIntermediário",Mercado_Receita!$L$2:$L$921)+SUMIF(Mercado_Receita!$S$2:$S$921,"44409B4ConvencionalIluminação públicaIluminação pública – B4aNão se aplicaNão se aplicaNão se aplica",Mercado_Receita!$L$2:$L$921)</f>
        <v>462.63900000000001</v>
      </c>
      <c r="K48" s="13">
        <f>SUMIF(Mercado_Receita!$S$2:$S$921,"44440B4ConvencionalIluminação públicaIluminação pública – B4aNão se aplicaNão se aplicaPonta",Mercado_Receita!$L$2:$L$921)+SUMIF(Mercado_Receita!$S$2:$S$921,"44440B4ConvencionalIluminação públicaIluminação pública – B4aNão se aplicaNão se aplicaFora ponta",Mercado_Receita!$L$2:$L$921)+SUMIF(Mercado_Receita!$S$2:$S$921,"44440B4ConvencionalIluminação públicaIluminação pública – B4aNão se aplicaNão se aplicaIntermediário",Mercado_Receita!$L$2:$L$921)+SUMIF(Mercado_Receita!$S$2:$S$921,"44440B4ConvencionalIluminação públicaIluminação pública – B4aNão se aplicaNão se aplicaNão se aplica",Mercado_Receita!$L$2:$L$921)</f>
        <v>447.71600000000001</v>
      </c>
      <c r="L48" s="13">
        <f>SUMIF(Mercado_Receita!$S$2:$S$921,"44470B4ConvencionalIluminação públicaIluminação pública – B4aNão se aplicaNão se aplicaPonta",Mercado_Receita!$L$2:$L$921)+SUMIF(Mercado_Receita!$S$2:$S$921,"44470B4ConvencionalIluminação públicaIluminação pública – B4aNão se aplicaNão se aplicaFora ponta",Mercado_Receita!$L$2:$L$921)+SUMIF(Mercado_Receita!$S$2:$S$921,"44470B4ConvencionalIluminação públicaIluminação pública – B4aNão se aplicaNão se aplicaIntermediário",Mercado_Receita!$L$2:$L$921)+SUMIF(Mercado_Receita!$S$2:$S$921,"44470B4ConvencionalIluminação públicaIluminação pública – B4aNão se aplicaNão se aplicaNão se aplica",Mercado_Receita!$L$2:$L$921)</f>
        <v>462.63900000000001</v>
      </c>
      <c r="M48" s="13">
        <f>SUMIF(Mercado_Receita!$S$2:$S$921,"44501B4ConvencionalIluminação públicaIluminação pública – B4aNão se aplicaNão se aplicaPonta",Mercado_Receita!$L$2:$L$921)+SUMIF(Mercado_Receita!$S$2:$S$921,"44501B4ConvencionalIluminação públicaIluminação pública – B4aNão se aplicaNão se aplicaFora ponta",Mercado_Receita!$L$2:$L$921)+SUMIF(Mercado_Receita!$S$2:$S$921,"44501B4ConvencionalIluminação públicaIluminação pública – B4aNão se aplicaNão se aplicaIntermediário",Mercado_Receita!$L$2:$L$921)+SUMIF(Mercado_Receita!$S$2:$S$921,"44501B4ConvencionalIluminação públicaIluminação pública – B4aNão se aplicaNão se aplicaNão se aplica",Mercado_Receita!$L$2:$L$921)</f>
        <v>448.31</v>
      </c>
      <c r="N48" s="13">
        <f>SUMIF(Mercado_Receita!$S$2:$S$921,"44531B4ConvencionalIluminação públicaIluminação pública – B4aNão se aplicaNão se aplicaPonta",Mercado_Receita!$L$2:$L$921)+SUMIF(Mercado_Receita!$S$2:$S$921,"44531B4ConvencionalIluminação públicaIluminação pública – B4aNão se aplicaNão se aplicaFora ponta",Mercado_Receita!$L$2:$L$921)+SUMIF(Mercado_Receita!$S$2:$S$921,"44531B4ConvencionalIluminação públicaIluminação pública – B4aNão se aplicaNão se aplicaIntermediário",Mercado_Receita!$L$2:$L$921)+SUMIF(Mercado_Receita!$S$2:$S$921,"44531B4ConvencionalIluminação públicaIluminação pública – B4aNão se aplicaNão se aplicaNão se aplica",Mercado_Receita!$L$2:$L$921)</f>
        <v>463.16500000000002</v>
      </c>
      <c r="O48" s="13">
        <f>SUMIF(Mercado_Receita!$S$2:$S$921,"44562B4ConvencionalIluminação públicaIluminação pública – B4aNão se aplicaNão se aplicaPonta",Mercado_Receita!$L$2:$L$921)+SUMIF(Mercado_Receita!$S$2:$S$921,"44562B4ConvencionalIluminação públicaIluminação pública – B4aNão se aplicaNão se aplicaFora ponta",Mercado_Receita!$L$2:$L$921)+SUMIF(Mercado_Receita!$S$2:$S$921,"44562B4ConvencionalIluminação públicaIluminação pública – B4aNão se aplicaNão se aplicaIntermediário",Mercado_Receita!$L$2:$L$921)+SUMIF(Mercado_Receita!$S$2:$S$921,"44562B4ConvencionalIluminação públicaIluminação pública – B4aNão se aplicaNão se aplicaNão se aplica",Mercado_Receita!$L$2:$L$921)</f>
        <v>463.16500000000002</v>
      </c>
      <c r="P48" s="13">
        <f>SUMIF(Mercado_Receita!$S$2:$S$921,"44593B4ConvencionalIluminação públicaIluminação pública – B4aNão se aplicaNão se aplicaPonta",Mercado_Receita!$L$2:$L$921)+SUMIF(Mercado_Receita!$S$2:$S$921,"44593B4ConvencionalIluminação públicaIluminação pública – B4aNão se aplicaNão se aplicaFora ponta",Mercado_Receita!$L$2:$L$921)+SUMIF(Mercado_Receita!$S$2:$S$921,"44593B4ConvencionalIluminação públicaIluminação pública – B4aNão se aplicaNão se aplicaIntermediário",Mercado_Receita!$L$2:$L$921)+SUMIF(Mercado_Receita!$S$2:$S$921,"44593B4ConvencionalIluminação públicaIluminação pública – B4aNão se aplicaNão se aplicaNão se aplica",Mercado_Receita!$L$2:$L$921)</f>
        <v>418.34300000000002</v>
      </c>
      <c r="Q48" s="13">
        <f>SUMIF(Mercado_Receita!$S$2:$S$921,"44621B4ConvencionalIluminação públicaIluminação pública – B4aNão se aplicaNão se aplicaPonta",Mercado_Receita!$L$2:$L$921)+SUMIF(Mercado_Receita!$S$2:$S$921,"44621B4ConvencionalIluminação públicaIluminação pública – B4aNão se aplicaNão se aplicaFora ponta",Mercado_Receita!$L$2:$L$921)+SUMIF(Mercado_Receita!$S$2:$S$921,"44621B4ConvencionalIluminação públicaIluminação pública – B4aNão se aplicaNão se aplicaIntermediário",Mercado_Receita!$L$2:$L$921)+SUMIF(Mercado_Receita!$S$2:$S$921,"44621B4ConvencionalIluminação públicaIluminação pública – B4aNão se aplicaNão se aplicaNão se aplica",Mercado_Receita!$L$2:$L$921)</f>
        <v>463.16500000000002</v>
      </c>
      <c r="R48" s="13">
        <f>SUMIF(Mercado_Receita!$S$2:$S$921,"44652B4ConvencionalIluminação públicaIluminação pública – B4aNão se aplicaNão se aplicaPonta",Mercado_Receita!$L$2:$L$921)+SUMIF(Mercado_Receita!$S$2:$S$921,"44652B4ConvencionalIluminação públicaIluminação pública – B4aNão se aplicaNão se aplicaFora ponta",Mercado_Receita!$L$2:$L$921)+SUMIF(Mercado_Receita!$S$2:$S$921,"44652B4ConvencionalIluminação públicaIluminação pública – B4aNão se aplicaNão se aplicaIntermediário",Mercado_Receita!$L$2:$L$921)+SUMIF(Mercado_Receita!$S$2:$S$921,"44652B4ConvencionalIluminação públicaIluminação pública – B4aNão se aplicaNão se aplicaNão se aplica",Mercado_Receita!$L$2:$L$921)</f>
        <v>448.22500000000002</v>
      </c>
      <c r="S48" s="13">
        <f>SUMIF(Mercado_Receita!$S$2:$S$921,"44682B4ConvencionalIluminação públicaIluminação pública – B4aNão se aplicaNão se aplicaPonta",Mercado_Receita!$L$2:$L$921)+SUMIF(Mercado_Receita!$S$2:$S$921,"44682B4ConvencionalIluminação públicaIluminação pública – B4aNão se aplicaNão se aplicaFora ponta",Mercado_Receita!$L$2:$L$921)+SUMIF(Mercado_Receita!$S$2:$S$921,"44682B4ConvencionalIluminação públicaIluminação pública – B4aNão se aplicaNão se aplicaIntermediário",Mercado_Receita!$L$2:$L$921)+SUMIF(Mercado_Receita!$S$2:$S$921,"44682B4ConvencionalIluminação públicaIluminação pública – B4aNão se aplicaNão se aplicaNão se aplica",Mercado_Receita!$L$2:$L$921)</f>
        <v>463.16500000000002</v>
      </c>
      <c r="T48" s="13">
        <f>SUMIF(Mercado_Receita!$S$2:$S$921,"44713B4ConvencionalIluminação públicaIluminação pública – B4aNão se aplicaNão se aplicaPonta",Mercado_Receita!$L$2:$L$921)+SUMIF(Mercado_Receita!$S$2:$S$921,"44713B4ConvencionalIluminação públicaIluminação pública – B4aNão se aplicaNão se aplicaFora ponta",Mercado_Receita!$L$2:$L$921)+SUMIF(Mercado_Receita!$S$2:$S$921,"44713B4ConvencionalIluminação públicaIluminação pública – B4aNão se aplicaNão se aplicaIntermediário",Mercado_Receita!$L$2:$L$921)+SUMIF(Mercado_Receita!$S$2:$S$921,"44713B4ConvencionalIluminação públicaIluminação pública – B4aNão se aplicaNão se aplicaNão se aplica",Mercado_Receita!$L$2:$L$921)</f>
        <v>463.16500000000002</v>
      </c>
      <c r="U48" s="13">
        <f t="shared" si="0"/>
        <v>5474.732</v>
      </c>
      <c r="V48" s="13"/>
      <c r="W48" s="13"/>
    </row>
    <row r="49" spans="1:23" ht="11.25" customHeight="1" x14ac:dyDescent="0.25">
      <c r="A49" s="117"/>
      <c r="B49" s="117"/>
      <c r="C49" s="117"/>
      <c r="D49" s="13" t="s">
        <v>98</v>
      </c>
      <c r="E49" s="13" t="s">
        <v>25</v>
      </c>
      <c r="F49" s="13" t="s">
        <v>25</v>
      </c>
      <c r="G49" s="13" t="s">
        <v>86</v>
      </c>
      <c r="H49" s="13" t="s">
        <v>82</v>
      </c>
      <c r="I49" s="13">
        <f>SUMIF(Mercado_Receita!$S$2:$S$921,"44378B4ConvencionalIluminação públicaIluminação pública – B4bNão se aplicaNão se aplicaPonta",Mercado_Receita!$L$2:$L$921)+SUMIF(Mercado_Receita!$S$2:$S$921,"44378B4ConvencionalIluminação públicaIluminação pública – B4bNão se aplicaNão se aplicaFora ponta",Mercado_Receita!$L$2:$L$921)+SUMIF(Mercado_Receita!$S$2:$S$921,"44378B4ConvencionalIluminação públicaIluminação pública – B4bNão se aplicaNão se aplicaIntermediário",Mercado_Receita!$L$2:$L$921)+SUMIF(Mercado_Receita!$S$2:$S$921,"44378B4ConvencionalIluminação públicaIluminação pública – B4bNão se aplicaNão se aplicaNão se aplica",Mercado_Receita!$L$2:$L$921)</f>
        <v>0</v>
      </c>
      <c r="J49" s="13">
        <f>SUMIF(Mercado_Receita!$S$2:$S$921,"44409B4ConvencionalIluminação públicaIluminação pública – B4bNão se aplicaNão se aplicaPonta",Mercado_Receita!$L$2:$L$921)+SUMIF(Mercado_Receita!$S$2:$S$921,"44409B4ConvencionalIluminação públicaIluminação pública – B4bNão se aplicaNão se aplicaFora ponta",Mercado_Receita!$L$2:$L$921)+SUMIF(Mercado_Receita!$S$2:$S$921,"44409B4ConvencionalIluminação públicaIluminação pública – B4bNão se aplicaNão se aplicaIntermediário",Mercado_Receita!$L$2:$L$921)+SUMIF(Mercado_Receita!$S$2:$S$921,"44409B4ConvencionalIluminação públicaIluminação pública – B4bNão se aplicaNão se aplicaNão se aplica",Mercado_Receita!$L$2:$L$921)</f>
        <v>0</v>
      </c>
      <c r="K49" s="13">
        <f>SUMIF(Mercado_Receita!$S$2:$S$921,"44440B4ConvencionalIluminação públicaIluminação pública – B4bNão se aplicaNão se aplicaPonta",Mercado_Receita!$L$2:$L$921)+SUMIF(Mercado_Receita!$S$2:$S$921,"44440B4ConvencionalIluminação públicaIluminação pública – B4bNão se aplicaNão se aplicaFora ponta",Mercado_Receita!$L$2:$L$921)+SUMIF(Mercado_Receita!$S$2:$S$921,"44440B4ConvencionalIluminação públicaIluminação pública – B4bNão se aplicaNão se aplicaIntermediário",Mercado_Receita!$L$2:$L$921)+SUMIF(Mercado_Receita!$S$2:$S$921,"44440B4ConvencionalIluminação públicaIluminação pública – B4bNão se aplicaNão se aplicaNão se aplica",Mercado_Receita!$L$2:$L$921)</f>
        <v>0</v>
      </c>
      <c r="L49" s="13">
        <f>SUMIF(Mercado_Receita!$S$2:$S$921,"44470B4ConvencionalIluminação públicaIluminação pública – B4bNão se aplicaNão se aplicaPonta",Mercado_Receita!$L$2:$L$921)+SUMIF(Mercado_Receita!$S$2:$S$921,"44470B4ConvencionalIluminação públicaIluminação pública – B4bNão se aplicaNão se aplicaFora ponta",Mercado_Receita!$L$2:$L$921)+SUMIF(Mercado_Receita!$S$2:$S$921,"44470B4ConvencionalIluminação públicaIluminação pública – B4bNão se aplicaNão se aplicaIntermediário",Mercado_Receita!$L$2:$L$921)+SUMIF(Mercado_Receita!$S$2:$S$921,"44470B4ConvencionalIluminação públicaIluminação pública – B4bNão se aplicaNão se aplicaNão se aplica",Mercado_Receita!$L$2:$L$921)</f>
        <v>0</v>
      </c>
      <c r="M49" s="13">
        <f>SUMIF(Mercado_Receita!$S$2:$S$921,"44501B4ConvencionalIluminação públicaIluminação pública – B4bNão se aplicaNão se aplicaPonta",Mercado_Receita!$L$2:$L$921)+SUMIF(Mercado_Receita!$S$2:$S$921,"44501B4ConvencionalIluminação públicaIluminação pública – B4bNão se aplicaNão se aplicaFora ponta",Mercado_Receita!$L$2:$L$921)+SUMIF(Mercado_Receita!$S$2:$S$921,"44501B4ConvencionalIluminação públicaIluminação pública – B4bNão se aplicaNão se aplicaIntermediário",Mercado_Receita!$L$2:$L$921)+SUMIF(Mercado_Receita!$S$2:$S$921,"44501B4ConvencionalIluminação públicaIluminação pública – B4bNão se aplicaNão se aplicaNão se aplica",Mercado_Receita!$L$2:$L$921)</f>
        <v>0</v>
      </c>
      <c r="N49" s="13">
        <f>SUMIF(Mercado_Receita!$S$2:$S$921,"44531B4ConvencionalIluminação públicaIluminação pública – B4bNão se aplicaNão se aplicaPonta",Mercado_Receita!$L$2:$L$921)+SUMIF(Mercado_Receita!$S$2:$S$921,"44531B4ConvencionalIluminação públicaIluminação pública – B4bNão se aplicaNão se aplicaFora ponta",Mercado_Receita!$L$2:$L$921)+SUMIF(Mercado_Receita!$S$2:$S$921,"44531B4ConvencionalIluminação públicaIluminação pública – B4bNão se aplicaNão se aplicaIntermediário",Mercado_Receita!$L$2:$L$921)+SUMIF(Mercado_Receita!$S$2:$S$921,"44531B4ConvencionalIluminação públicaIluminação pública – B4bNão se aplicaNão se aplicaNão se aplica",Mercado_Receita!$L$2:$L$921)</f>
        <v>0</v>
      </c>
      <c r="O49" s="13">
        <f>SUMIF(Mercado_Receita!$S$2:$S$921,"44562B4ConvencionalIluminação públicaIluminação pública – B4bNão se aplicaNão se aplicaPonta",Mercado_Receita!$L$2:$L$921)+SUMIF(Mercado_Receita!$S$2:$S$921,"44562B4ConvencionalIluminação públicaIluminação pública – B4bNão se aplicaNão se aplicaFora ponta",Mercado_Receita!$L$2:$L$921)+SUMIF(Mercado_Receita!$S$2:$S$921,"44562B4ConvencionalIluminação públicaIluminação pública – B4bNão se aplicaNão se aplicaIntermediário",Mercado_Receita!$L$2:$L$921)+SUMIF(Mercado_Receita!$S$2:$S$921,"44562B4ConvencionalIluminação públicaIluminação pública – B4bNão se aplicaNão se aplicaNão se aplica",Mercado_Receita!$L$2:$L$921)</f>
        <v>0</v>
      </c>
      <c r="P49" s="13">
        <f>SUMIF(Mercado_Receita!$S$2:$S$921,"44593B4ConvencionalIluminação públicaIluminação pública – B4bNão se aplicaNão se aplicaPonta",Mercado_Receita!$L$2:$L$921)+SUMIF(Mercado_Receita!$S$2:$S$921,"44593B4ConvencionalIluminação públicaIluminação pública – B4bNão se aplicaNão se aplicaFora ponta",Mercado_Receita!$L$2:$L$921)+SUMIF(Mercado_Receita!$S$2:$S$921,"44593B4ConvencionalIluminação públicaIluminação pública – B4bNão se aplicaNão se aplicaIntermediário",Mercado_Receita!$L$2:$L$921)+SUMIF(Mercado_Receita!$S$2:$S$921,"44593B4ConvencionalIluminação públicaIluminação pública – B4bNão se aplicaNão se aplicaNão se aplica",Mercado_Receita!$L$2:$L$921)</f>
        <v>0</v>
      </c>
      <c r="Q49" s="13">
        <f>SUMIF(Mercado_Receita!$S$2:$S$921,"44621B4ConvencionalIluminação públicaIluminação pública – B4bNão se aplicaNão se aplicaPonta",Mercado_Receita!$L$2:$L$921)+SUMIF(Mercado_Receita!$S$2:$S$921,"44621B4ConvencionalIluminação públicaIluminação pública – B4bNão se aplicaNão se aplicaFora ponta",Mercado_Receita!$L$2:$L$921)+SUMIF(Mercado_Receita!$S$2:$S$921,"44621B4ConvencionalIluminação públicaIluminação pública – B4bNão se aplicaNão se aplicaIntermediário",Mercado_Receita!$L$2:$L$921)+SUMIF(Mercado_Receita!$S$2:$S$921,"44621B4ConvencionalIluminação públicaIluminação pública – B4bNão se aplicaNão se aplicaNão se aplica",Mercado_Receita!$L$2:$L$921)</f>
        <v>0</v>
      </c>
      <c r="R49" s="13">
        <f>SUMIF(Mercado_Receita!$S$2:$S$921,"44652B4ConvencionalIluminação públicaIluminação pública – B4bNão se aplicaNão se aplicaPonta",Mercado_Receita!$L$2:$L$921)+SUMIF(Mercado_Receita!$S$2:$S$921,"44652B4ConvencionalIluminação públicaIluminação pública – B4bNão se aplicaNão se aplicaFora ponta",Mercado_Receita!$L$2:$L$921)+SUMIF(Mercado_Receita!$S$2:$S$921,"44652B4ConvencionalIluminação públicaIluminação pública – B4bNão se aplicaNão se aplicaIntermediário",Mercado_Receita!$L$2:$L$921)+SUMIF(Mercado_Receita!$S$2:$S$921,"44652B4ConvencionalIluminação públicaIluminação pública – B4bNão se aplicaNão se aplicaNão se aplica",Mercado_Receita!$L$2:$L$921)</f>
        <v>0</v>
      </c>
      <c r="S49" s="13">
        <f>SUMIF(Mercado_Receita!$S$2:$S$921,"44682B4ConvencionalIluminação públicaIluminação pública – B4bNão se aplicaNão se aplicaPonta",Mercado_Receita!$L$2:$L$921)+SUMIF(Mercado_Receita!$S$2:$S$921,"44682B4ConvencionalIluminação públicaIluminação pública – B4bNão se aplicaNão se aplicaFora ponta",Mercado_Receita!$L$2:$L$921)+SUMIF(Mercado_Receita!$S$2:$S$921,"44682B4ConvencionalIluminação públicaIluminação pública – B4bNão se aplicaNão se aplicaIntermediário",Mercado_Receita!$L$2:$L$921)+SUMIF(Mercado_Receita!$S$2:$S$921,"44682B4ConvencionalIluminação públicaIluminação pública – B4bNão se aplicaNão se aplicaNão se aplica",Mercado_Receita!$L$2:$L$921)</f>
        <v>0</v>
      </c>
      <c r="T49" s="13">
        <f>SUMIF(Mercado_Receita!$S$2:$S$921,"44713B4ConvencionalIluminação públicaIluminação pública – B4bNão se aplicaNão se aplicaPonta",Mercado_Receita!$L$2:$L$921)+SUMIF(Mercado_Receita!$S$2:$S$921,"44713B4ConvencionalIluminação públicaIluminação pública – B4bNão se aplicaNão se aplicaFora ponta",Mercado_Receita!$L$2:$L$921)+SUMIF(Mercado_Receita!$S$2:$S$921,"44713B4ConvencionalIluminação públicaIluminação pública – B4bNão se aplicaNão se aplicaIntermediário",Mercado_Receita!$L$2:$L$921)+SUMIF(Mercado_Receita!$S$2:$S$921,"44713B4ConvencionalIluminação públicaIluminação pública – B4bNão se aplicaNão se aplicaNão se aplica",Mercado_Receita!$L$2:$L$921)</f>
        <v>0</v>
      </c>
      <c r="U49" s="13">
        <f t="shared" si="0"/>
        <v>0</v>
      </c>
      <c r="V49" s="13"/>
      <c r="W49" s="13"/>
    </row>
    <row r="50" spans="1:23" ht="11.25" customHeight="1" x14ac:dyDescent="0.25">
      <c r="A50" s="118" t="s">
        <v>561</v>
      </c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3"/>
      <c r="W50" s="13"/>
    </row>
  </sheetData>
  <mergeCells count="55">
    <mergeCell ref="A48:A49"/>
    <mergeCell ref="B48:B49"/>
    <mergeCell ref="C48:C49"/>
    <mergeCell ref="A50:U50"/>
    <mergeCell ref="C40:C42"/>
    <mergeCell ref="B40:B42"/>
    <mergeCell ref="A28:A42"/>
    <mergeCell ref="F43:F45"/>
    <mergeCell ref="E43:E45"/>
    <mergeCell ref="D43:D45"/>
    <mergeCell ref="C43:C45"/>
    <mergeCell ref="B43:B45"/>
    <mergeCell ref="A43:A47"/>
    <mergeCell ref="F32:F34"/>
    <mergeCell ref="E32:E34"/>
    <mergeCell ref="D32:D34"/>
    <mergeCell ref="C32:C34"/>
    <mergeCell ref="B32:B34"/>
    <mergeCell ref="F36:F38"/>
    <mergeCell ref="E36:E38"/>
    <mergeCell ref="D36:D38"/>
    <mergeCell ref="C36:C38"/>
    <mergeCell ref="B36:B38"/>
    <mergeCell ref="C18:C22"/>
    <mergeCell ref="B18:B22"/>
    <mergeCell ref="C23:C27"/>
    <mergeCell ref="B23:B27"/>
    <mergeCell ref="A15:A27"/>
    <mergeCell ref="F28:F30"/>
    <mergeCell ref="E28:E30"/>
    <mergeCell ref="D28:D30"/>
    <mergeCell ref="C28:C30"/>
    <mergeCell ref="B28:B30"/>
    <mergeCell ref="D13:D14"/>
    <mergeCell ref="C13:C14"/>
    <mergeCell ref="B13:B14"/>
    <mergeCell ref="A13:A14"/>
    <mergeCell ref="F15:F17"/>
    <mergeCell ref="E15:E17"/>
    <mergeCell ref="D15:D17"/>
    <mergeCell ref="C15:C17"/>
    <mergeCell ref="B15:B17"/>
    <mergeCell ref="A3:A12"/>
    <mergeCell ref="F3:F5"/>
    <mergeCell ref="E3:E5"/>
    <mergeCell ref="D3:D6"/>
    <mergeCell ref="C3:C6"/>
    <mergeCell ref="B3:B6"/>
    <mergeCell ref="F8:F10"/>
    <mergeCell ref="E8:E10"/>
    <mergeCell ref="F11:F12"/>
    <mergeCell ref="E11:E12"/>
    <mergeCell ref="D8:D12"/>
    <mergeCell ref="C8:C12"/>
    <mergeCell ref="B8:B1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3E9EA-6AD8-4F21-99B5-0D7C1425069A}">
  <dimension ref="A1:AD40"/>
  <sheetViews>
    <sheetView showGridLines="0" workbookViewId="0">
      <selection sqref="A1:W4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71</v>
      </c>
      <c r="B1" s="10" t="s">
        <v>72</v>
      </c>
      <c r="C1" s="10" t="s">
        <v>73</v>
      </c>
      <c r="D1" s="10" t="s">
        <v>74</v>
      </c>
      <c r="E1" s="10" t="s">
        <v>75</v>
      </c>
      <c r="F1" s="10" t="s">
        <v>76</v>
      </c>
      <c r="G1" s="10" t="s">
        <v>77</v>
      </c>
      <c r="H1" s="10" t="s">
        <v>78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79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6" t="s">
        <v>38</v>
      </c>
      <c r="B2" s="116" t="s">
        <v>81</v>
      </c>
      <c r="C2" s="116" t="s">
        <v>25</v>
      </c>
      <c r="D2" s="116" t="s">
        <v>25</v>
      </c>
      <c r="E2" s="116" t="s">
        <v>25</v>
      </c>
      <c r="F2" s="116" t="s">
        <v>25</v>
      </c>
      <c r="G2" s="13" t="s">
        <v>83</v>
      </c>
      <c r="H2" s="13" t="s">
        <v>82</v>
      </c>
      <c r="I2" s="13">
        <f>SUMIF(Mercado_Receita!$T$2:$T$921,"44378A4Energia horáriaNão se aplicaNão se aplicaNão se aplicaNão se aplicaPonta",Mercado_Receita!$N$2:$N$921)</f>
        <v>148.709</v>
      </c>
      <c r="J2" s="13">
        <f>SUMIF(Mercado_Receita!$T$2:$T$921,"44409A4Energia horáriaNão se aplicaNão se aplicaNão se aplicaNão se aplicaPonta",Mercado_Receita!$N$2:$N$921)</f>
        <v>164.74</v>
      </c>
      <c r="K2" s="13">
        <f>SUMIF(Mercado_Receita!$T$2:$T$921,"44440A4Energia horáriaNão se aplicaNão se aplicaNão se aplicaNão se aplicaPonta",Mercado_Receita!$N$2:$N$921)</f>
        <v>152.67600000000002</v>
      </c>
      <c r="L2" s="13">
        <f>SUMIF(Mercado_Receita!$T$2:$T$921,"44470A4Energia horáriaNão se aplicaNão se aplicaNão se aplicaNão se aplicaPonta",Mercado_Receita!$N$2:$N$921)</f>
        <v>150.94100000000003</v>
      </c>
      <c r="M2" s="13">
        <f>SUMIF(Mercado_Receita!$T$2:$T$921,"44501A4Energia horáriaNão se aplicaNão se aplicaNão se aplicaNão se aplicaPonta",Mercado_Receita!$N$2:$N$921)</f>
        <v>179.73500000000004</v>
      </c>
      <c r="N2" s="13">
        <f>SUMIF(Mercado_Receita!$T$2:$T$921,"44531A4Energia horáriaNão se aplicaNão se aplicaNão se aplicaNão se aplicaPonta",Mercado_Receita!$N$2:$N$921)</f>
        <v>193.869</v>
      </c>
      <c r="O2" s="13">
        <f>SUMIF(Mercado_Receita!$T$2:$T$921,"44562A4Energia horáriaNão se aplicaNão se aplicaNão se aplicaNão se aplicaPonta",Mercado_Receita!$N$2:$N$921)</f>
        <v>183.06899999999999</v>
      </c>
      <c r="P2" s="13">
        <f>SUMIF(Mercado_Receita!$T$2:$T$921,"44593A4Energia horáriaNão se aplicaNão se aplicaNão se aplicaNão se aplicaPonta",Mercado_Receita!$N$2:$N$921)</f>
        <v>168.066</v>
      </c>
      <c r="Q2" s="13">
        <f>SUMIF(Mercado_Receita!$T$2:$T$921,"44621A4Energia horáriaNão se aplicaNão se aplicaNão se aplicaNão se aplicaPonta",Mercado_Receita!$N$2:$N$921)</f>
        <v>180.74299999999999</v>
      </c>
      <c r="R2" s="13">
        <f>SUMIF(Mercado_Receita!$T$2:$T$921,"44652A4Energia horáriaNão se aplicaNão se aplicaNão se aplicaNão se aplicaPonta",Mercado_Receita!$N$2:$N$921)</f>
        <v>163.28799999999998</v>
      </c>
      <c r="S2" s="13">
        <f>SUMIF(Mercado_Receita!$T$2:$T$921,"44682A4Energia horáriaNão se aplicaNão se aplicaNão se aplicaNão se aplicaPonta",Mercado_Receita!$N$2:$N$921)</f>
        <v>159.58600000000001</v>
      </c>
      <c r="T2" s="13">
        <f>SUMIF(Mercado_Receita!$T$2:$T$921,"44713A4Energia horáriaNão se aplicaNão se aplicaNão se aplicaNão se aplicaPonta",Mercado_Receita!$N$2:$N$921)</f>
        <v>159.58600000000001</v>
      </c>
      <c r="U2" s="13">
        <f t="shared" ref="U2:U39" si="0">SUM(I2:T2)</f>
        <v>2005.008</v>
      </c>
      <c r="V2" s="13"/>
      <c r="W2" s="13"/>
    </row>
    <row r="3" spans="1:30" ht="11.25" customHeight="1" x14ac:dyDescent="0.25">
      <c r="A3" s="117"/>
      <c r="B3" s="117"/>
      <c r="C3" s="117"/>
      <c r="D3" s="117"/>
      <c r="E3" s="117"/>
      <c r="F3" s="117"/>
      <c r="G3" s="13" t="s">
        <v>84</v>
      </c>
      <c r="H3" s="13" t="s">
        <v>82</v>
      </c>
      <c r="I3" s="13">
        <f>SUMIF(Mercado_Receita!$T$2:$T$921,"44378A4Energia horáriaNão se aplicaNão se aplicaNão se aplicaNão se aplicaFora ponta",Mercado_Receita!$N$2:$N$921)</f>
        <v>1971.125</v>
      </c>
      <c r="J3" s="13">
        <f>SUMIF(Mercado_Receita!$T$2:$T$921,"44409A4Energia horáriaNão se aplicaNão se aplicaNão se aplicaNão se aplicaFora ponta",Mercado_Receita!$N$2:$N$921)</f>
        <v>2090.2359999999999</v>
      </c>
      <c r="K3" s="13">
        <f>SUMIF(Mercado_Receita!$T$2:$T$921,"44440A4Energia horáriaNão se aplicaNão se aplicaNão se aplicaNão se aplicaFora ponta",Mercado_Receita!$N$2:$N$921)</f>
        <v>2021.299</v>
      </c>
      <c r="L3" s="13">
        <f>SUMIF(Mercado_Receita!$T$2:$T$921,"44470A4Energia horáriaNão se aplicaNão se aplicaNão se aplicaNão se aplicaFora ponta",Mercado_Receita!$N$2:$N$921)</f>
        <v>2112.7279999999996</v>
      </c>
      <c r="M3" s="13">
        <f>SUMIF(Mercado_Receita!$T$2:$T$921,"44501A4Energia horáriaNão se aplicaNão se aplicaNão se aplicaNão se aplicaFora ponta",Mercado_Receita!$N$2:$N$921)</f>
        <v>2957.7900000000004</v>
      </c>
      <c r="N3" s="13">
        <f>SUMIF(Mercado_Receita!$T$2:$T$921,"44531A4Energia horáriaNão se aplicaNão se aplicaNão se aplicaNão se aplicaFora ponta",Mercado_Receita!$N$2:$N$921)</f>
        <v>3131.5370000000003</v>
      </c>
      <c r="O3" s="13">
        <f>SUMIF(Mercado_Receita!$T$2:$T$921,"44562A4Energia horáriaNão se aplicaNão se aplicaNão se aplicaNão se aplicaFora ponta",Mercado_Receita!$N$2:$N$921)</f>
        <v>2954.6410000000001</v>
      </c>
      <c r="P3" s="13">
        <f>SUMIF(Mercado_Receita!$T$2:$T$921,"44593A4Energia horáriaNão se aplicaNão se aplicaNão se aplicaNão se aplicaFora ponta",Mercado_Receita!$N$2:$N$921)</f>
        <v>2457.5650000000001</v>
      </c>
      <c r="Q3" s="13">
        <f>SUMIF(Mercado_Receita!$T$2:$T$921,"44621A4Energia horáriaNão se aplicaNão se aplicaNão se aplicaNão se aplicaFora ponta",Mercado_Receita!$N$2:$N$921)</f>
        <v>2264.5949999999998</v>
      </c>
      <c r="R3" s="13">
        <f>SUMIF(Mercado_Receita!$T$2:$T$921,"44652A4Energia horáriaNão se aplicaNão se aplicaNão se aplicaNão se aplicaFora ponta",Mercado_Receita!$N$2:$N$921)</f>
        <v>2231.1080000000006</v>
      </c>
      <c r="S3" s="13">
        <f>SUMIF(Mercado_Receita!$T$2:$T$921,"44682A4Energia horáriaNão se aplicaNão se aplicaNão se aplicaNão se aplicaFora ponta",Mercado_Receita!$N$2:$N$921)</f>
        <v>2154.1719999999996</v>
      </c>
      <c r="T3" s="13">
        <f>SUMIF(Mercado_Receita!$T$2:$T$921,"44713A4Energia horáriaNão se aplicaNão se aplicaNão se aplicaNão se aplicaFora ponta",Mercado_Receita!$N$2:$N$921)</f>
        <v>2154.1719999999996</v>
      </c>
      <c r="U3" s="13">
        <f t="shared" si="0"/>
        <v>28500.967999999997</v>
      </c>
      <c r="V3" s="13"/>
      <c r="W3" s="13"/>
    </row>
    <row r="4" spans="1:30" ht="11.25" customHeight="1" x14ac:dyDescent="0.25">
      <c r="A4" s="117"/>
      <c r="B4" s="12" t="s">
        <v>85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86</v>
      </c>
      <c r="H4" s="13" t="s">
        <v>82</v>
      </c>
      <c r="I4" s="13">
        <f>SUMIF(Mercado_Receita!$T$2:$T$921,"44378A4Energia convencionalNão se aplicaNão se aplicaNão se aplicaNão se aplicaNão se aplica",Mercado_Receita!$N$2:$N$921)</f>
        <v>0</v>
      </c>
      <c r="J4" s="13">
        <f>SUMIF(Mercado_Receita!$T$2:$T$921,"44409A4Energia convencionalNão se aplicaNão se aplicaNão se aplicaNão se aplicaNão se aplica",Mercado_Receita!$N$2:$N$921)</f>
        <v>0</v>
      </c>
      <c r="K4" s="13">
        <f>SUMIF(Mercado_Receita!$T$2:$T$921,"44440A4Energia convencionalNão se aplicaNão se aplicaNão se aplicaNão se aplicaNão se aplica",Mercado_Receita!$N$2:$N$921)</f>
        <v>0</v>
      </c>
      <c r="L4" s="13">
        <f>SUMIF(Mercado_Receita!$T$2:$T$921,"44470A4Energia convencionalNão se aplicaNão se aplicaNão se aplicaNão se aplicaNão se aplica",Mercado_Receita!$N$2:$N$921)</f>
        <v>0</v>
      </c>
      <c r="M4" s="13">
        <f>SUMIF(Mercado_Receita!$T$2:$T$921,"44501A4Energia convencionalNão se aplicaNão se aplicaNão se aplicaNão se aplicaNão se aplica",Mercado_Receita!$N$2:$N$921)</f>
        <v>0</v>
      </c>
      <c r="N4" s="13">
        <f>SUMIF(Mercado_Receita!$T$2:$T$921,"44531A4Energia convencionalNão se aplicaNão se aplicaNão se aplicaNão se aplicaNão se aplica",Mercado_Receita!$N$2:$N$921)</f>
        <v>0</v>
      </c>
      <c r="O4" s="13">
        <f>SUMIF(Mercado_Receita!$T$2:$T$921,"44562A4Energia convencionalNão se aplicaNão se aplicaNão se aplicaNão se aplicaNão se aplica",Mercado_Receita!$N$2:$N$921)</f>
        <v>0</v>
      </c>
      <c r="P4" s="13">
        <f>SUMIF(Mercado_Receita!$T$2:$T$921,"44593A4Energia convencionalNão se aplicaNão se aplicaNão se aplicaNão se aplicaNão se aplica",Mercado_Receita!$N$2:$N$921)</f>
        <v>0</v>
      </c>
      <c r="Q4" s="13">
        <f>SUMIF(Mercado_Receita!$T$2:$T$921,"44621A4Energia convencionalNão se aplicaNão se aplicaNão se aplicaNão se aplicaNão se aplica",Mercado_Receita!$N$2:$N$921)</f>
        <v>0</v>
      </c>
      <c r="R4" s="13">
        <f>SUMIF(Mercado_Receita!$T$2:$T$921,"44652A4Energia convencionalNão se aplicaNão se aplicaNão se aplicaNão se aplicaNão se aplica",Mercado_Receita!$N$2:$N$921)</f>
        <v>0</v>
      </c>
      <c r="S4" s="13">
        <f>SUMIF(Mercado_Receita!$T$2:$T$921,"44682A4Energia convencionalNão se aplicaNão se aplicaNão se aplicaNão se aplicaNão se aplica",Mercado_Receita!$N$2:$N$921)</f>
        <v>0</v>
      </c>
      <c r="T4" s="13">
        <f>SUMIF(Mercado_Receita!$T$2:$T$921,"44713A4Energia convencionalNão se aplicaNão se aplicaNão se aplicaNão se aplicaNão se aplica",Mercado_Receita!$N$2:$N$921)</f>
        <v>0</v>
      </c>
      <c r="U4" s="13">
        <f t="shared" si="0"/>
        <v>0</v>
      </c>
      <c r="V4" s="13"/>
      <c r="W4" s="13"/>
    </row>
    <row r="5" spans="1:30" ht="11.25" customHeight="1" x14ac:dyDescent="0.25">
      <c r="A5" s="116" t="s">
        <v>22</v>
      </c>
      <c r="B5" s="116" t="s">
        <v>81</v>
      </c>
      <c r="C5" s="116" t="s">
        <v>24</v>
      </c>
      <c r="D5" s="116" t="s">
        <v>24</v>
      </c>
      <c r="E5" s="116" t="s">
        <v>25</v>
      </c>
      <c r="F5" s="116" t="s">
        <v>25</v>
      </c>
      <c r="G5" s="13" t="s">
        <v>83</v>
      </c>
      <c r="H5" s="13" t="s">
        <v>82</v>
      </c>
      <c r="I5" s="13">
        <f>SUMIF(Mercado_Receita!$T$2:$T$921,"44378B1Energia horáriaResidencialResidencialNão se aplicaNão se aplicaPonta",Mercado_Receita!$N$2:$N$921)</f>
        <v>8.3000000000000004E-2</v>
      </c>
      <c r="J5" s="13">
        <f>SUMIF(Mercado_Receita!$T$2:$T$921,"44409B1Energia horáriaResidencialResidencialNão se aplicaNão se aplicaPonta",Mercado_Receita!$N$2:$N$921)</f>
        <v>6.2E-2</v>
      </c>
      <c r="K5" s="13">
        <f>SUMIF(Mercado_Receita!$T$2:$T$921,"44440B1Energia horáriaResidencialResidencialNão se aplicaNão se aplicaPonta",Mercado_Receita!$N$2:$N$921)</f>
        <v>7.3999999999999996E-2</v>
      </c>
      <c r="L5" s="13">
        <f>SUMIF(Mercado_Receita!$T$2:$T$921,"44470B1Energia horáriaResidencialResidencialNão se aplicaNão se aplicaPonta",Mercado_Receita!$N$2:$N$921)</f>
        <v>8.1000000000000003E-2</v>
      </c>
      <c r="M5" s="13">
        <f>SUMIF(Mercado_Receita!$T$2:$T$921,"44501B1Energia horáriaResidencialResidencialNão se aplicaNão se aplicaPonta",Mercado_Receita!$N$2:$N$921)</f>
        <v>9.5000000000000001E-2</v>
      </c>
      <c r="N5" s="13">
        <f>SUMIF(Mercado_Receita!$T$2:$T$921,"44531B1Energia horáriaResidencialResidencialNão se aplicaNão se aplicaPonta",Mercado_Receita!$N$2:$N$921)</f>
        <v>0.10299999999999999</v>
      </c>
      <c r="O5" s="13">
        <f>SUMIF(Mercado_Receita!$T$2:$T$921,"44562B1Energia horáriaResidencialResidencialNão se aplicaNão se aplicaPonta",Mercado_Receita!$N$2:$N$921)</f>
        <v>0.124</v>
      </c>
      <c r="P5" s="13">
        <f>SUMIF(Mercado_Receita!$T$2:$T$921,"44593B1Energia horáriaResidencialResidencialNão se aplicaNão se aplicaPonta",Mercado_Receita!$N$2:$N$921)</f>
        <v>5.8000000000000003E-2</v>
      </c>
      <c r="Q5" s="13">
        <f>SUMIF(Mercado_Receita!$T$2:$T$921,"44621B1Energia horáriaResidencialResidencialNão se aplicaNão se aplicaPonta",Mercado_Receita!$N$2:$N$921)</f>
        <v>0.20499999999999999</v>
      </c>
      <c r="R5" s="13">
        <f>SUMIF(Mercado_Receita!$T$2:$T$921,"44652B1Energia horáriaResidencialResidencialNão se aplicaNão se aplicaPonta",Mercado_Receita!$N$2:$N$921)</f>
        <v>7.1999999999999995E-2</v>
      </c>
      <c r="S5" s="13">
        <f>SUMIF(Mercado_Receita!$T$2:$T$921,"44682B1Energia horáriaResidencialResidencialNão se aplicaNão se aplicaPonta",Mercado_Receita!$N$2:$N$921)</f>
        <v>7.2999999999999995E-2</v>
      </c>
      <c r="T5" s="13">
        <f>SUMIF(Mercado_Receita!$T$2:$T$921,"44713B1Energia horáriaResidencialResidencialNão se aplicaNão se aplicaPonta",Mercado_Receita!$N$2:$N$921)</f>
        <v>7.2999999999999995E-2</v>
      </c>
      <c r="U5" s="13">
        <f t="shared" si="0"/>
        <v>1.103</v>
      </c>
      <c r="V5" s="13"/>
      <c r="W5" s="13"/>
    </row>
    <row r="6" spans="1:30" ht="11.25" customHeight="1" x14ac:dyDescent="0.25">
      <c r="A6" s="117"/>
      <c r="B6" s="117"/>
      <c r="C6" s="117"/>
      <c r="D6" s="117"/>
      <c r="E6" s="117"/>
      <c r="F6" s="117"/>
      <c r="G6" s="13" t="s">
        <v>93</v>
      </c>
      <c r="H6" s="13" t="s">
        <v>82</v>
      </c>
      <c r="I6" s="13">
        <f>SUMIF(Mercado_Receita!$T$2:$T$921,"44378B1Energia horáriaResidencialResidencialNão se aplicaNão se aplicaIntermediário",Mercado_Receita!$N$2:$N$921)</f>
        <v>3.2000000000000001E-2</v>
      </c>
      <c r="J6" s="13">
        <f>SUMIF(Mercado_Receita!$T$2:$T$921,"44409B1Energia horáriaResidencialResidencialNão se aplicaNão se aplicaIntermediário",Mercado_Receita!$N$2:$N$921)</f>
        <v>3.3000000000000002E-2</v>
      </c>
      <c r="K6" s="13">
        <f>SUMIF(Mercado_Receita!$T$2:$T$921,"44440B1Energia horáriaResidencialResidencialNão se aplicaNão se aplicaIntermediário",Mercado_Receita!$N$2:$N$921)</f>
        <v>3.9E-2</v>
      </c>
      <c r="L6" s="13">
        <f>SUMIF(Mercado_Receita!$T$2:$T$921,"44470B1Energia horáriaResidencialResidencialNão se aplicaNão se aplicaIntermediário",Mercado_Receita!$N$2:$N$921)</f>
        <v>3.5999999999999997E-2</v>
      </c>
      <c r="M6" s="13">
        <f>SUMIF(Mercado_Receita!$T$2:$T$921,"44501B1Energia horáriaResidencialResidencialNão se aplicaNão se aplicaIntermediário",Mercado_Receita!$N$2:$N$921)</f>
        <v>5.3999999999999999E-2</v>
      </c>
      <c r="N6" s="13">
        <f>SUMIF(Mercado_Receita!$T$2:$T$921,"44531B1Energia horáriaResidencialResidencialNão se aplicaNão se aplicaIntermediário",Mercado_Receita!$N$2:$N$921)</f>
        <v>0.08</v>
      </c>
      <c r="O6" s="13">
        <f>SUMIF(Mercado_Receita!$T$2:$T$921,"44562B1Energia horáriaResidencialResidencialNão se aplicaNão se aplicaIntermediário",Mercado_Receita!$N$2:$N$921)</f>
        <v>0.1</v>
      </c>
      <c r="P6" s="13">
        <f>SUMIF(Mercado_Receita!$T$2:$T$921,"44593B1Energia horáriaResidencialResidencialNão se aplicaNão se aplicaIntermediário",Mercado_Receita!$N$2:$N$921)</f>
        <v>3.5000000000000003E-2</v>
      </c>
      <c r="Q6" s="13">
        <f>SUMIF(Mercado_Receita!$T$2:$T$921,"44621B1Energia horáriaResidencialResidencialNão se aplicaNão se aplicaIntermediário",Mercado_Receita!$N$2:$N$921)</f>
        <v>0.129</v>
      </c>
      <c r="R6" s="13">
        <f>SUMIF(Mercado_Receita!$T$2:$T$921,"44652B1Energia horáriaResidencialResidencialNão se aplicaNão se aplicaIntermediário",Mercado_Receita!$N$2:$N$921)</f>
        <v>3.4000000000000002E-2</v>
      </c>
      <c r="S6" s="13">
        <f>SUMIF(Mercado_Receita!$T$2:$T$921,"44682B1Energia horáriaResidencialResidencialNão se aplicaNão se aplicaIntermediário",Mercado_Receita!$N$2:$N$921)</f>
        <v>3.7999999999999999E-2</v>
      </c>
      <c r="T6" s="13">
        <f>SUMIF(Mercado_Receita!$T$2:$T$921,"44713B1Energia horáriaResidencialResidencialNão se aplicaNão se aplicaIntermediário",Mercado_Receita!$N$2:$N$921)</f>
        <v>3.7999999999999999E-2</v>
      </c>
      <c r="U6" s="13">
        <f t="shared" si="0"/>
        <v>0.64800000000000013</v>
      </c>
      <c r="V6" s="13"/>
      <c r="W6" s="13"/>
    </row>
    <row r="7" spans="1:30" ht="11.25" customHeight="1" x14ac:dyDescent="0.25">
      <c r="A7" s="117"/>
      <c r="B7" s="117"/>
      <c r="C7" s="117"/>
      <c r="D7" s="117"/>
      <c r="E7" s="117"/>
      <c r="F7" s="117"/>
      <c r="G7" s="13" t="s">
        <v>84</v>
      </c>
      <c r="H7" s="13" t="s">
        <v>82</v>
      </c>
      <c r="I7" s="13">
        <f>SUMIF(Mercado_Receita!$T$2:$T$921,"44378B1Energia horáriaResidencialResidencialNão se aplicaNão se aplicaFora ponta",Mercado_Receita!$N$2:$N$921)</f>
        <v>1.181</v>
      </c>
      <c r="J7" s="13">
        <f>SUMIF(Mercado_Receita!$T$2:$T$921,"44409B1Energia horáriaResidencialResidencialNão se aplicaNão se aplicaFora ponta",Mercado_Receita!$N$2:$N$921)</f>
        <v>2.4350000000000001</v>
      </c>
      <c r="K7" s="13">
        <f>SUMIF(Mercado_Receita!$T$2:$T$921,"44440B1Energia horáriaResidencialResidencialNão se aplicaNão se aplicaFora ponta",Mercado_Receita!$N$2:$N$921)</f>
        <v>0.71899999999999997</v>
      </c>
      <c r="L7" s="13">
        <f>SUMIF(Mercado_Receita!$T$2:$T$921,"44470B1Energia horáriaResidencialResidencialNão se aplicaNão se aplicaFora ponta",Mercado_Receita!$N$2:$N$921)</f>
        <v>0.75900000000000001</v>
      </c>
      <c r="M7" s="13">
        <f>SUMIF(Mercado_Receita!$T$2:$T$921,"44501B1Energia horáriaResidencialResidencialNão se aplicaNão se aplicaFora ponta",Mercado_Receita!$N$2:$N$921)</f>
        <v>0.91500000000000004</v>
      </c>
      <c r="N7" s="13">
        <f>SUMIF(Mercado_Receita!$T$2:$T$921,"44531B1Energia horáriaResidencialResidencialNão se aplicaNão se aplicaFora ponta",Mercado_Receita!$N$2:$N$921)</f>
        <v>1.01</v>
      </c>
      <c r="O7" s="13">
        <f>SUMIF(Mercado_Receita!$T$2:$T$921,"44562B1Energia horáriaResidencialResidencialNão se aplicaNão se aplicaFora ponta",Mercado_Receita!$N$2:$N$921)</f>
        <v>1.4059999999999999</v>
      </c>
      <c r="P7" s="13">
        <f>SUMIF(Mercado_Receita!$T$2:$T$921,"44593B1Energia horáriaResidencialResidencialNão se aplicaNão se aplicaFora ponta",Mercado_Receita!$N$2:$N$921)</f>
        <v>0.307</v>
      </c>
      <c r="Q7" s="13">
        <f>SUMIF(Mercado_Receita!$T$2:$T$921,"44621B1Energia horáriaResidencialResidencialNão se aplicaNão se aplicaFora ponta",Mercado_Receita!$N$2:$N$921)</f>
        <v>0.92500000000000004</v>
      </c>
      <c r="R7" s="13">
        <f>SUMIF(Mercado_Receita!$T$2:$T$921,"44652B1Energia horáriaResidencialResidencialNão se aplicaNão se aplicaFora ponta",Mercado_Receita!$N$2:$N$921)</f>
        <v>0.69899999999999995</v>
      </c>
      <c r="S7" s="13">
        <f>SUMIF(Mercado_Receita!$T$2:$T$921,"44682B1Energia horáriaResidencialResidencialNão se aplicaNão se aplicaFora ponta",Mercado_Receita!$N$2:$N$921)</f>
        <v>0.75600000000000001</v>
      </c>
      <c r="T7" s="13">
        <f>SUMIF(Mercado_Receita!$T$2:$T$921,"44713B1Energia horáriaResidencialResidencialNão se aplicaNão se aplicaFora ponta",Mercado_Receita!$N$2:$N$921)</f>
        <v>0.75600000000000001</v>
      </c>
      <c r="U7" s="13">
        <f t="shared" si="0"/>
        <v>11.868000000000002</v>
      </c>
      <c r="V7" s="13"/>
      <c r="W7" s="13"/>
    </row>
    <row r="8" spans="1:30" ht="11.25" customHeight="1" x14ac:dyDescent="0.25">
      <c r="A8" s="117"/>
      <c r="B8" s="116" t="s">
        <v>85</v>
      </c>
      <c r="C8" s="116" t="s">
        <v>24</v>
      </c>
      <c r="D8" s="12" t="s">
        <v>24</v>
      </c>
      <c r="E8" s="12" t="s">
        <v>25</v>
      </c>
      <c r="F8" s="12" t="s">
        <v>25</v>
      </c>
      <c r="G8" s="13" t="s">
        <v>86</v>
      </c>
      <c r="H8" s="13" t="s">
        <v>82</v>
      </c>
      <c r="I8" s="13">
        <f>SUMIF(Mercado_Receita!$T$2:$T$921,"44378B1Energia convencionalResidencialResidencialNão se aplicaNão se aplicaNão se aplica",Mercado_Receita!$N$2:$N$921)</f>
        <v>5556.1239999999998</v>
      </c>
      <c r="J8" s="13">
        <f>SUMIF(Mercado_Receita!$T$2:$T$921,"44409B1Energia convencionalResidencialResidencialNão se aplicaNão se aplicaNão se aplica",Mercado_Receita!$N$2:$N$921)</f>
        <v>5383.6269999999995</v>
      </c>
      <c r="K8" s="13">
        <f>SUMIF(Mercado_Receita!$T$2:$T$921,"44440B1Energia convencionalResidencialResidencialNão se aplicaNão se aplicaNão se aplica",Mercado_Receita!$N$2:$N$921)</f>
        <v>4996.3909999999996</v>
      </c>
      <c r="L8" s="13">
        <f>SUMIF(Mercado_Receita!$T$2:$T$921,"44470B1Energia convencionalResidencialResidencialNão se aplicaNão se aplicaNão se aplica",Mercado_Receita!$N$2:$N$921)</f>
        <v>4915.9639999999999</v>
      </c>
      <c r="M8" s="13">
        <f>SUMIF(Mercado_Receita!$T$2:$T$921,"44501B1Energia convencionalResidencialResidencialNão se aplicaNão se aplicaNão se aplica",Mercado_Receita!$N$2:$N$921)</f>
        <v>5174.1660000000002</v>
      </c>
      <c r="N8" s="13">
        <f>SUMIF(Mercado_Receita!$T$2:$T$921,"44531B1Energia convencionalResidencialResidencialNão se aplicaNão se aplicaNão se aplica",Mercado_Receita!$N$2:$N$921)</f>
        <v>5206.6930000000002</v>
      </c>
      <c r="O8" s="13">
        <f>SUMIF(Mercado_Receita!$T$2:$T$921,"44562B1Energia convencionalResidencialResidencialNão se aplicaNão se aplicaNão se aplica",Mercado_Receita!$N$2:$N$921)</f>
        <v>6063.5769999999993</v>
      </c>
      <c r="P8" s="13">
        <f>SUMIF(Mercado_Receita!$T$2:$T$921,"44593B1Energia convencionalResidencialResidencialNão se aplicaNão se aplicaNão se aplica",Mercado_Receita!$N$2:$N$921)</f>
        <v>5963.5320000000002</v>
      </c>
      <c r="Q8" s="13">
        <f>SUMIF(Mercado_Receita!$T$2:$T$921,"44621B1Energia convencionalResidencialResidencialNão se aplicaNão se aplicaNão se aplica",Mercado_Receita!$N$2:$N$921)</f>
        <v>5867.851999999999</v>
      </c>
      <c r="R8" s="13">
        <f>SUMIF(Mercado_Receita!$T$2:$T$921,"44652B1Energia convencionalResidencialResidencialNão se aplicaNão se aplicaNão se aplica",Mercado_Receita!$N$2:$N$921)</f>
        <v>4619.0970000000007</v>
      </c>
      <c r="S8" s="13">
        <f>SUMIF(Mercado_Receita!$T$2:$T$921,"44682B1Energia convencionalResidencialResidencialNão se aplicaNão se aplicaNão se aplica",Mercado_Receita!$N$2:$N$921)</f>
        <v>4732.683</v>
      </c>
      <c r="T8" s="13">
        <f>SUMIF(Mercado_Receita!$T$2:$T$921,"44713B1Energia convencionalResidencialResidencialNão se aplicaNão se aplicaNão se aplica",Mercado_Receita!$N$2:$N$921)</f>
        <v>4732.683</v>
      </c>
      <c r="U8" s="13">
        <f t="shared" si="0"/>
        <v>63212.388999999996</v>
      </c>
      <c r="V8" s="13"/>
      <c r="W8" s="13"/>
    </row>
    <row r="9" spans="1:30" ht="11.25" customHeight="1" x14ac:dyDescent="0.25">
      <c r="A9" s="117"/>
      <c r="B9" s="117"/>
      <c r="C9" s="117"/>
      <c r="D9" s="12" t="s">
        <v>28</v>
      </c>
      <c r="E9" s="12" t="s">
        <v>25</v>
      </c>
      <c r="F9" s="12" t="s">
        <v>25</v>
      </c>
      <c r="G9" s="13" t="s">
        <v>86</v>
      </c>
      <c r="H9" s="13" t="s">
        <v>82</v>
      </c>
      <c r="I9" s="13">
        <f>SUMIF(Mercado_Receita!$T$2:$T$921,"44378B1Energia convencionalResidencialResidencial baixa renda – faixa 01Não se aplicaNão se aplicaNão se aplica",Mercado_Receita!$N$2:$N$921)</f>
        <v>20.823</v>
      </c>
      <c r="J9" s="13">
        <f>SUMIF(Mercado_Receita!$T$2:$T$921,"44409B1Energia convencionalResidencialResidencial baixa renda – faixa 01Não se aplicaNão se aplicaNão se aplica",Mercado_Receita!$N$2:$N$921)</f>
        <v>20.88</v>
      </c>
      <c r="K9" s="13">
        <f>SUMIF(Mercado_Receita!$T$2:$T$921,"44440B1Energia convencionalResidencialResidencial baixa renda – faixa 01Não se aplicaNão se aplicaNão se aplica",Mercado_Receita!$N$2:$N$921)</f>
        <v>20.873000000000001</v>
      </c>
      <c r="L9" s="13">
        <f>SUMIF(Mercado_Receita!$T$2:$T$921,"44470B1Energia convencionalResidencialResidencial baixa renda – faixa 01Não se aplicaNão se aplicaNão se aplica",Mercado_Receita!$N$2:$N$921)</f>
        <v>21.12</v>
      </c>
      <c r="M9" s="13">
        <f>SUMIF(Mercado_Receita!$T$2:$T$921,"44501B1Energia convencionalResidencialResidencial baixa renda – faixa 01Não se aplicaNão se aplicaNão se aplica",Mercado_Receita!$N$2:$N$921)</f>
        <v>21.397000000000002</v>
      </c>
      <c r="N9" s="13">
        <f>SUMIF(Mercado_Receita!$T$2:$T$921,"44531B1Energia convencionalResidencialResidencial baixa renda – faixa 01Não se aplicaNão se aplicaNão se aplica",Mercado_Receita!$N$2:$N$921)</f>
        <v>21.346999999999998</v>
      </c>
      <c r="O9" s="13">
        <f>SUMIF(Mercado_Receita!$T$2:$T$921,"44562B1Energia convencionalResidencialResidencial baixa renda – faixa 01Não se aplicaNão se aplicaNão se aplica",Mercado_Receita!$N$2:$N$921)</f>
        <v>21.39</v>
      </c>
      <c r="P9" s="13">
        <f>SUMIF(Mercado_Receita!$T$2:$T$921,"44593B1Energia convencionalResidencialResidencial baixa renda – faixa 01Não se aplicaNão se aplicaNão se aplica",Mercado_Receita!$N$2:$N$921)</f>
        <v>21.423000000000002</v>
      </c>
      <c r="Q9" s="13">
        <f>SUMIF(Mercado_Receita!$T$2:$T$921,"44621B1Energia convencionalResidencialResidencial baixa renda – faixa 01Não se aplicaNão se aplicaNão se aplica",Mercado_Receita!$N$2:$N$921)</f>
        <v>21.84</v>
      </c>
      <c r="R9" s="13">
        <f>SUMIF(Mercado_Receita!$T$2:$T$921,"44652B1Energia convencionalResidencialResidencial baixa renda – faixa 01Não se aplicaNão se aplicaNão se aplica",Mercado_Receita!$N$2:$N$921)</f>
        <v>22.290000000000003</v>
      </c>
      <c r="S9" s="13">
        <f>SUMIF(Mercado_Receita!$T$2:$T$921,"44682B1Energia convencionalResidencialResidencial baixa renda – faixa 01Não se aplicaNão se aplicaNão se aplica",Mercado_Receita!$N$2:$N$921)</f>
        <v>22.372</v>
      </c>
      <c r="T9" s="13">
        <f>SUMIF(Mercado_Receita!$T$2:$T$921,"44713B1Energia convencionalResidencialResidencial baixa renda – faixa 01Não se aplicaNão se aplicaNão se aplica",Mercado_Receita!$N$2:$N$921)</f>
        <v>22.372</v>
      </c>
      <c r="U9" s="13">
        <f t="shared" si="0"/>
        <v>258.12700000000001</v>
      </c>
      <c r="V9" s="13"/>
      <c r="W9" s="13"/>
    </row>
    <row r="10" spans="1:30" ht="11.25" customHeight="1" x14ac:dyDescent="0.25">
      <c r="A10" s="117"/>
      <c r="B10" s="117"/>
      <c r="C10" s="117"/>
      <c r="D10" s="12" t="s">
        <v>29</v>
      </c>
      <c r="E10" s="12" t="s">
        <v>25</v>
      </c>
      <c r="F10" s="12" t="s">
        <v>25</v>
      </c>
      <c r="G10" s="13" t="s">
        <v>86</v>
      </c>
      <c r="H10" s="13" t="s">
        <v>82</v>
      </c>
      <c r="I10" s="13">
        <f>SUMIF(Mercado_Receita!$T$2:$T$921,"44378B1Energia convencionalResidencialResidencial baixa renda – faixa 02Não se aplicaNão se aplicaNão se aplica",Mercado_Receita!$N$2:$N$921)</f>
        <v>42.869</v>
      </c>
      <c r="J10" s="13">
        <f>SUMIF(Mercado_Receita!$T$2:$T$921,"44409B1Energia convencionalResidencialResidencial baixa renda – faixa 02Não se aplicaNão se aplicaNão se aplica",Mercado_Receita!$N$2:$N$921)</f>
        <v>43.503</v>
      </c>
      <c r="K10" s="13">
        <f>SUMIF(Mercado_Receita!$T$2:$T$921,"44440B1Energia convencionalResidencialResidencial baixa renda – faixa 02Não se aplicaNão se aplicaNão se aplica",Mercado_Receita!$N$2:$N$921)</f>
        <v>43.853999999999999</v>
      </c>
      <c r="L10" s="13">
        <f>SUMIF(Mercado_Receita!$T$2:$T$921,"44470B1Energia convencionalResidencialResidencial baixa renda – faixa 02Não se aplicaNão se aplicaNão se aplica",Mercado_Receita!$N$2:$N$921)</f>
        <v>44.758000000000003</v>
      </c>
      <c r="M10" s="13">
        <f>SUMIF(Mercado_Receita!$T$2:$T$921,"44501B1Energia convencionalResidencialResidencial baixa renda – faixa 02Não se aplicaNão se aplicaNão se aplica",Mercado_Receita!$N$2:$N$921)</f>
        <v>45.768000000000001</v>
      </c>
      <c r="N10" s="13">
        <f>SUMIF(Mercado_Receita!$T$2:$T$921,"44531B1Energia convencionalResidencialResidencial baixa renda – faixa 02Não se aplicaNão se aplicaNão se aplica",Mercado_Receita!$N$2:$N$921)</f>
        <v>46.033999999999999</v>
      </c>
      <c r="O10" s="13">
        <f>SUMIF(Mercado_Receita!$T$2:$T$921,"44562B1Energia convencionalResidencialResidencial baixa renda – faixa 02Não se aplicaNão se aplicaNão se aplica",Mercado_Receita!$N$2:$N$921)</f>
        <v>46.927</v>
      </c>
      <c r="P10" s="13">
        <f>SUMIF(Mercado_Receita!$T$2:$T$921,"44593B1Energia convencionalResidencialResidencial baixa renda – faixa 02Não se aplicaNão se aplicaNão se aplica",Mercado_Receita!$N$2:$N$921)</f>
        <v>46.610999999999997</v>
      </c>
      <c r="Q10" s="13">
        <f>SUMIF(Mercado_Receita!$T$2:$T$921,"44621B1Energia convencionalResidencialResidencial baixa renda – faixa 02Não se aplicaNão se aplicaNão se aplica",Mercado_Receita!$N$2:$N$921)</f>
        <v>46.491999999999997</v>
      </c>
      <c r="R10" s="13">
        <f>SUMIF(Mercado_Receita!$T$2:$T$921,"44652B1Energia convencionalResidencialResidencial baixa renda – faixa 02Não se aplicaNão se aplicaNão se aplica",Mercado_Receita!$N$2:$N$921)</f>
        <v>46.753</v>
      </c>
      <c r="S10" s="13">
        <f>SUMIF(Mercado_Receita!$T$2:$T$921,"44682B1Energia convencionalResidencialResidencial baixa renda – faixa 02Não se aplicaNão se aplicaNão se aplica",Mercado_Receita!$N$2:$N$921)</f>
        <v>46.506</v>
      </c>
      <c r="T10" s="13">
        <f>SUMIF(Mercado_Receita!$T$2:$T$921,"44713B1Energia convencionalResidencialResidencial baixa renda – faixa 02Não se aplicaNão se aplicaNão se aplica",Mercado_Receita!$N$2:$N$921)</f>
        <v>46.506</v>
      </c>
      <c r="U10" s="13">
        <f t="shared" si="0"/>
        <v>546.58100000000002</v>
      </c>
      <c r="V10" s="13"/>
      <c r="W10" s="13"/>
    </row>
    <row r="11" spans="1:30" ht="11.25" customHeight="1" x14ac:dyDescent="0.25">
      <c r="A11" s="117"/>
      <c r="B11" s="117"/>
      <c r="C11" s="117"/>
      <c r="D11" s="12" t="s">
        <v>30</v>
      </c>
      <c r="E11" s="12" t="s">
        <v>25</v>
      </c>
      <c r="F11" s="12" t="s">
        <v>25</v>
      </c>
      <c r="G11" s="13" t="s">
        <v>86</v>
      </c>
      <c r="H11" s="13" t="s">
        <v>82</v>
      </c>
      <c r="I11" s="13">
        <f>SUMIF(Mercado_Receita!$T$2:$T$921,"44378B1Energia convencionalResidencialResidencial baixa renda – faixa 03Não se aplicaNão se aplicaNão se aplica",Mercado_Receita!$N$2:$N$921)</f>
        <v>42.231000000000002</v>
      </c>
      <c r="J11" s="13">
        <f>SUMIF(Mercado_Receita!$T$2:$T$921,"44409B1Energia convencionalResidencialResidencial baixa renda – faixa 03Não se aplicaNão se aplicaNão se aplica",Mercado_Receita!$N$2:$N$921)</f>
        <v>43.195999999999998</v>
      </c>
      <c r="K11" s="13">
        <f>SUMIF(Mercado_Receita!$T$2:$T$921,"44440B1Energia convencionalResidencialResidencial baixa renda – faixa 03Não se aplicaNão se aplicaNão se aplica",Mercado_Receita!$N$2:$N$921)</f>
        <v>41.754999999999995</v>
      </c>
      <c r="L11" s="13">
        <f>SUMIF(Mercado_Receita!$T$2:$T$921,"44470B1Energia convencionalResidencialResidencial baixa renda – faixa 03Não se aplicaNão se aplicaNão se aplica",Mercado_Receita!$N$2:$N$921)</f>
        <v>43.228000000000002</v>
      </c>
      <c r="M11" s="13">
        <f>SUMIF(Mercado_Receita!$T$2:$T$921,"44501B1Energia convencionalResidencialResidencial baixa renda – faixa 03Não se aplicaNão se aplicaNão se aplica",Mercado_Receita!$N$2:$N$921)</f>
        <v>45.985999999999997</v>
      </c>
      <c r="N11" s="13">
        <f>SUMIF(Mercado_Receita!$T$2:$T$921,"44531B1Energia convencionalResidencialResidencial baixa renda – faixa 03Não se aplicaNão se aplicaNão se aplica",Mercado_Receita!$N$2:$N$921)</f>
        <v>45.545999999999999</v>
      </c>
      <c r="O11" s="13">
        <f>SUMIF(Mercado_Receita!$T$2:$T$921,"44562B1Energia convencionalResidencialResidencial baixa renda – faixa 03Não se aplicaNão se aplicaNão se aplica",Mercado_Receita!$N$2:$N$921)</f>
        <v>51.369</v>
      </c>
      <c r="P11" s="13">
        <f>SUMIF(Mercado_Receita!$T$2:$T$921,"44593B1Energia convencionalResidencialResidencial baixa renda – faixa 03Não se aplicaNão se aplicaNão se aplica",Mercado_Receita!$N$2:$N$921)</f>
        <v>49.252000000000002</v>
      </c>
      <c r="Q11" s="13">
        <f>SUMIF(Mercado_Receita!$T$2:$T$921,"44621B1Energia convencionalResidencialResidencial baixa renda – faixa 03Não se aplicaNão se aplicaNão se aplica",Mercado_Receita!$N$2:$N$921)</f>
        <v>50.28</v>
      </c>
      <c r="R11" s="13">
        <f>SUMIF(Mercado_Receita!$T$2:$T$921,"44652B1Energia convencionalResidencialResidencial baixa renda – faixa 03Não se aplicaNão se aplicaNão se aplica",Mercado_Receita!$N$2:$N$921)</f>
        <v>41.968000000000004</v>
      </c>
      <c r="S11" s="13">
        <f>SUMIF(Mercado_Receita!$T$2:$T$921,"44682B1Energia convencionalResidencialResidencial baixa renda – faixa 03Não se aplicaNão se aplicaNão se aplica",Mercado_Receita!$N$2:$N$921)</f>
        <v>41.470999999999997</v>
      </c>
      <c r="T11" s="13">
        <f>SUMIF(Mercado_Receita!$T$2:$T$921,"44713B1Energia convencionalResidencialResidencial baixa renda – faixa 03Não se aplicaNão se aplicaNão se aplica",Mercado_Receita!$N$2:$N$921)</f>
        <v>41.470999999999997</v>
      </c>
      <c r="U11" s="13">
        <f t="shared" si="0"/>
        <v>537.75300000000004</v>
      </c>
      <c r="V11" s="13"/>
      <c r="W11" s="13"/>
    </row>
    <row r="12" spans="1:30" ht="11.25" customHeight="1" x14ac:dyDescent="0.25">
      <c r="A12" s="117"/>
      <c r="B12" s="117"/>
      <c r="C12" s="117"/>
      <c r="D12" s="12" t="s">
        <v>31</v>
      </c>
      <c r="E12" s="12" t="s">
        <v>25</v>
      </c>
      <c r="F12" s="12" t="s">
        <v>25</v>
      </c>
      <c r="G12" s="13" t="s">
        <v>86</v>
      </c>
      <c r="H12" s="13" t="s">
        <v>82</v>
      </c>
      <c r="I12" s="13">
        <f>SUMIF(Mercado_Receita!$T$2:$T$921,"44378B1Energia convencionalResidencialResidencial baixa renda – faixa 04Não se aplicaNão se aplicaNão se aplica",Mercado_Receita!$N$2:$N$921)</f>
        <v>16.440000000000001</v>
      </c>
      <c r="J12" s="13">
        <f>SUMIF(Mercado_Receita!$T$2:$T$921,"44409B1Energia convencionalResidencialResidencial baixa renda – faixa 04Não se aplicaNão se aplicaNão se aplica",Mercado_Receita!$N$2:$N$921)</f>
        <v>14.932</v>
      </c>
      <c r="K12" s="13">
        <f>SUMIF(Mercado_Receita!$T$2:$T$921,"44440B1Energia convencionalResidencialResidencial baixa renda – faixa 04Não se aplicaNão se aplicaNão se aplica",Mercado_Receita!$N$2:$N$921)</f>
        <v>12.499000000000001</v>
      </c>
      <c r="L12" s="13">
        <f>SUMIF(Mercado_Receita!$T$2:$T$921,"44470B1Energia convencionalResidencialResidencial baixa renda – faixa 04Não se aplicaNão se aplicaNão se aplica",Mercado_Receita!$N$2:$N$921)</f>
        <v>12.688000000000001</v>
      </c>
      <c r="M12" s="13">
        <f>SUMIF(Mercado_Receita!$T$2:$T$921,"44501B1Energia convencionalResidencialResidencial baixa renda – faixa 04Não se aplicaNão se aplicaNão se aplica",Mercado_Receita!$N$2:$N$921)</f>
        <v>14.66</v>
      </c>
      <c r="N12" s="13">
        <f>SUMIF(Mercado_Receita!$T$2:$T$921,"44531B1Energia convencionalResidencialResidencial baixa renda – faixa 04Não se aplicaNão se aplicaNão se aplica",Mercado_Receita!$N$2:$N$921)</f>
        <v>13.177</v>
      </c>
      <c r="O12" s="13">
        <f>SUMIF(Mercado_Receita!$T$2:$T$921,"44562B1Energia convencionalResidencialResidencial baixa renda – faixa 04Não se aplicaNão se aplicaNão se aplica",Mercado_Receita!$N$2:$N$921)</f>
        <v>20.587</v>
      </c>
      <c r="P12" s="13">
        <f>SUMIF(Mercado_Receita!$T$2:$T$921,"44593B1Energia convencionalResidencialResidencial baixa renda – faixa 04Não se aplicaNão se aplicaNão se aplica",Mercado_Receita!$N$2:$N$921)</f>
        <v>18.47</v>
      </c>
      <c r="Q12" s="13">
        <f>SUMIF(Mercado_Receita!$T$2:$T$921,"44621B1Energia convencionalResidencialResidencial baixa renda – faixa 04Não se aplicaNão se aplicaNão se aplica",Mercado_Receita!$N$2:$N$921)</f>
        <v>21.835000000000001</v>
      </c>
      <c r="R12" s="13">
        <f>SUMIF(Mercado_Receita!$T$2:$T$921,"44652B1Energia convencionalResidencialResidencial baixa renda – faixa 04Não se aplicaNão se aplicaNão se aplica",Mercado_Receita!$N$2:$N$921)</f>
        <v>10.692</v>
      </c>
      <c r="S12" s="13">
        <f>SUMIF(Mercado_Receita!$T$2:$T$921,"44682B1Energia convencionalResidencialResidencial baixa renda – faixa 04Não se aplicaNão se aplicaNão se aplica",Mercado_Receita!$N$2:$N$921)</f>
        <v>12.063000000000001</v>
      </c>
      <c r="T12" s="13">
        <f>SUMIF(Mercado_Receita!$T$2:$T$921,"44713B1Energia convencionalResidencialResidencial baixa renda – faixa 04Não se aplicaNão se aplicaNão se aplica",Mercado_Receita!$N$2:$N$921)</f>
        <v>12.063000000000001</v>
      </c>
      <c r="U12" s="13">
        <f t="shared" si="0"/>
        <v>180.10599999999999</v>
      </c>
      <c r="V12" s="13"/>
      <c r="W12" s="13"/>
    </row>
    <row r="13" spans="1:30" ht="11.25" customHeight="1" x14ac:dyDescent="0.25">
      <c r="A13" s="117"/>
      <c r="B13" s="116" t="s">
        <v>94</v>
      </c>
      <c r="C13" s="116" t="s">
        <v>24</v>
      </c>
      <c r="D13" s="12" t="s">
        <v>24</v>
      </c>
      <c r="E13" s="12" t="s">
        <v>25</v>
      </c>
      <c r="F13" s="12" t="s">
        <v>25</v>
      </c>
      <c r="G13" s="13" t="s">
        <v>86</v>
      </c>
      <c r="H13" s="13" t="s">
        <v>82</v>
      </c>
      <c r="I13" s="13">
        <f>SUMIF(Mercado_Receita!$T$2:$T$921,"44378B1Energia convencional pré-pagamentoResidencialResidencialNão se aplicaNão se aplicaNão se aplica",Mercado_Receita!$N$2:$N$921)</f>
        <v>0</v>
      </c>
      <c r="J13" s="13">
        <f>SUMIF(Mercado_Receita!$T$2:$T$921,"44409B1Energia convencional pré-pagamentoResidencialResidencialNão se aplicaNão se aplicaNão se aplica",Mercado_Receita!$N$2:$N$921)</f>
        <v>0</v>
      </c>
      <c r="K13" s="13">
        <f>SUMIF(Mercado_Receita!$T$2:$T$921,"44440B1Energia convencional pré-pagamentoResidencialResidencialNão se aplicaNão se aplicaNão se aplica",Mercado_Receita!$N$2:$N$921)</f>
        <v>0</v>
      </c>
      <c r="L13" s="13">
        <f>SUMIF(Mercado_Receita!$T$2:$T$921,"44470B1Energia convencional pré-pagamentoResidencialResidencialNão se aplicaNão se aplicaNão se aplica",Mercado_Receita!$N$2:$N$921)</f>
        <v>0</v>
      </c>
      <c r="M13" s="13">
        <f>SUMIF(Mercado_Receita!$T$2:$T$921,"44501B1Energia convencional pré-pagamentoResidencialResidencialNão se aplicaNão se aplicaNão se aplica",Mercado_Receita!$N$2:$N$921)</f>
        <v>0</v>
      </c>
      <c r="N13" s="13">
        <f>SUMIF(Mercado_Receita!$T$2:$T$921,"44531B1Energia convencional pré-pagamentoResidencialResidencialNão se aplicaNão se aplicaNão se aplica",Mercado_Receita!$N$2:$N$921)</f>
        <v>0</v>
      </c>
      <c r="O13" s="13">
        <f>SUMIF(Mercado_Receita!$T$2:$T$921,"44562B1Energia convencional pré-pagamentoResidencialResidencialNão se aplicaNão se aplicaNão se aplica",Mercado_Receita!$N$2:$N$921)</f>
        <v>0</v>
      </c>
      <c r="P13" s="13">
        <f>SUMIF(Mercado_Receita!$T$2:$T$921,"44593B1Energia convencional pré-pagamentoResidencialResidencialNão se aplicaNão se aplicaNão se aplica",Mercado_Receita!$N$2:$N$921)</f>
        <v>0</v>
      </c>
      <c r="Q13" s="13">
        <f>SUMIF(Mercado_Receita!$T$2:$T$921,"44621B1Energia convencional pré-pagamentoResidencialResidencialNão se aplicaNão se aplicaNão se aplica",Mercado_Receita!$N$2:$N$921)</f>
        <v>0</v>
      </c>
      <c r="R13" s="13">
        <f>SUMIF(Mercado_Receita!$T$2:$T$921,"44652B1Energia convencional pré-pagamentoResidencialResidencialNão se aplicaNão se aplicaNão se aplica",Mercado_Receita!$N$2:$N$921)</f>
        <v>0</v>
      </c>
      <c r="S13" s="13">
        <f>SUMIF(Mercado_Receita!$T$2:$T$921,"44682B1Energia convencional pré-pagamentoResidencialResidencialNão se aplicaNão se aplicaNão se aplica",Mercado_Receita!$N$2:$N$921)</f>
        <v>0</v>
      </c>
      <c r="T13" s="13">
        <f>SUMIF(Mercado_Receita!$T$2:$T$921,"44713B1Energia convencional pré-pagamentoResidencialResidencialNão se aplicaNão se aplicaNão se aplica",Mercado_Receita!$N$2:$N$921)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117"/>
      <c r="B14" s="117"/>
      <c r="C14" s="117"/>
      <c r="D14" s="12" t="s">
        <v>28</v>
      </c>
      <c r="E14" s="12" t="s">
        <v>25</v>
      </c>
      <c r="F14" s="12" t="s">
        <v>25</v>
      </c>
      <c r="G14" s="13" t="s">
        <v>86</v>
      </c>
      <c r="H14" s="13" t="s">
        <v>82</v>
      </c>
      <c r="I14" s="13">
        <f>SUMIF(Mercado_Receita!$T$2:$T$921,"44378B1Energia convencional pré-pagamentoResidencialResidencial baixa renda – faixa 01Não se aplicaNão se aplicaNão se aplica",Mercado_Receita!$N$2:$N$921)</f>
        <v>0</v>
      </c>
      <c r="J14" s="13">
        <f>SUMIF(Mercado_Receita!$T$2:$T$921,"44409B1Energia convencional pré-pagamentoResidencialResidencial baixa renda – faixa 01Não se aplicaNão se aplicaNão se aplica",Mercado_Receita!$N$2:$N$921)</f>
        <v>0</v>
      </c>
      <c r="K14" s="13">
        <f>SUMIF(Mercado_Receita!$T$2:$T$921,"44440B1Energia convencional pré-pagamentoResidencialResidencial baixa renda – faixa 01Não se aplicaNão se aplicaNão se aplica",Mercado_Receita!$N$2:$N$921)</f>
        <v>0</v>
      </c>
      <c r="L14" s="13">
        <f>SUMIF(Mercado_Receita!$T$2:$T$921,"44470B1Energia convencional pré-pagamentoResidencialResidencial baixa renda – faixa 01Não se aplicaNão se aplicaNão se aplica",Mercado_Receita!$N$2:$N$921)</f>
        <v>0</v>
      </c>
      <c r="M14" s="13">
        <f>SUMIF(Mercado_Receita!$T$2:$T$921,"44501B1Energia convencional pré-pagamentoResidencialResidencial baixa renda – faixa 01Não se aplicaNão se aplicaNão se aplica",Mercado_Receita!$N$2:$N$921)</f>
        <v>0</v>
      </c>
      <c r="N14" s="13">
        <f>SUMIF(Mercado_Receita!$T$2:$T$921,"44531B1Energia convencional pré-pagamentoResidencialResidencial baixa renda – faixa 01Não se aplicaNão se aplicaNão se aplica",Mercado_Receita!$N$2:$N$921)</f>
        <v>0</v>
      </c>
      <c r="O14" s="13">
        <f>SUMIF(Mercado_Receita!$T$2:$T$921,"44562B1Energia convencional pré-pagamentoResidencialResidencial baixa renda – faixa 01Não se aplicaNão se aplicaNão se aplica",Mercado_Receita!$N$2:$N$921)</f>
        <v>0</v>
      </c>
      <c r="P14" s="13">
        <f>SUMIF(Mercado_Receita!$T$2:$T$921,"44593B1Energia convencional pré-pagamentoResidencialResidencial baixa renda – faixa 01Não se aplicaNão se aplicaNão se aplica",Mercado_Receita!$N$2:$N$921)</f>
        <v>0</v>
      </c>
      <c r="Q14" s="13">
        <f>SUMIF(Mercado_Receita!$T$2:$T$921,"44621B1Energia convencional pré-pagamentoResidencialResidencial baixa renda – faixa 01Não se aplicaNão se aplicaNão se aplica",Mercado_Receita!$N$2:$N$921)</f>
        <v>0</v>
      </c>
      <c r="R14" s="13">
        <f>SUMIF(Mercado_Receita!$T$2:$T$921,"44652B1Energia convencional pré-pagamentoResidencialResidencial baixa renda – faixa 01Não se aplicaNão se aplicaNão se aplica",Mercado_Receita!$N$2:$N$921)</f>
        <v>0</v>
      </c>
      <c r="S14" s="13">
        <f>SUMIF(Mercado_Receita!$T$2:$T$921,"44682B1Energia convencional pré-pagamentoResidencialResidencial baixa renda – faixa 01Não se aplicaNão se aplicaNão se aplica",Mercado_Receita!$N$2:$N$921)</f>
        <v>0</v>
      </c>
      <c r="T14" s="13">
        <f>SUMIF(Mercado_Receita!$T$2:$T$921,"44713B1Energia convencional pré-pagamentoResidencialResidencial baixa renda – faixa 01Não se aplicaNão se aplicaNão se aplica",Mercado_Receita!$N$2:$N$921)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117"/>
      <c r="B15" s="117"/>
      <c r="C15" s="117"/>
      <c r="D15" s="12" t="s">
        <v>29</v>
      </c>
      <c r="E15" s="12" t="s">
        <v>25</v>
      </c>
      <c r="F15" s="12" t="s">
        <v>25</v>
      </c>
      <c r="G15" s="13" t="s">
        <v>86</v>
      </c>
      <c r="H15" s="13" t="s">
        <v>82</v>
      </c>
      <c r="I15" s="13">
        <f>SUMIF(Mercado_Receita!$T$2:$T$921,"44378B1Energia convencional pré-pagamentoResidencialResidencial baixa renda – faixa 02Não se aplicaNão se aplicaNão se aplica",Mercado_Receita!$N$2:$N$921)</f>
        <v>0</v>
      </c>
      <c r="J15" s="13">
        <f>SUMIF(Mercado_Receita!$T$2:$T$921,"44409B1Energia convencional pré-pagamentoResidencialResidencial baixa renda – faixa 02Não se aplicaNão se aplicaNão se aplica",Mercado_Receita!$N$2:$N$921)</f>
        <v>0</v>
      </c>
      <c r="K15" s="13">
        <f>SUMIF(Mercado_Receita!$T$2:$T$921,"44440B1Energia convencional pré-pagamentoResidencialResidencial baixa renda – faixa 02Não se aplicaNão se aplicaNão se aplica",Mercado_Receita!$N$2:$N$921)</f>
        <v>0</v>
      </c>
      <c r="L15" s="13">
        <f>SUMIF(Mercado_Receita!$T$2:$T$921,"44470B1Energia convencional pré-pagamentoResidencialResidencial baixa renda – faixa 02Não se aplicaNão se aplicaNão se aplica",Mercado_Receita!$N$2:$N$921)</f>
        <v>0</v>
      </c>
      <c r="M15" s="13">
        <f>SUMIF(Mercado_Receita!$T$2:$T$921,"44501B1Energia convencional pré-pagamentoResidencialResidencial baixa renda – faixa 02Não se aplicaNão se aplicaNão se aplica",Mercado_Receita!$N$2:$N$921)</f>
        <v>0</v>
      </c>
      <c r="N15" s="13">
        <f>SUMIF(Mercado_Receita!$T$2:$T$921,"44531B1Energia convencional pré-pagamentoResidencialResidencial baixa renda – faixa 02Não se aplicaNão se aplicaNão se aplica",Mercado_Receita!$N$2:$N$921)</f>
        <v>0</v>
      </c>
      <c r="O15" s="13">
        <f>SUMIF(Mercado_Receita!$T$2:$T$921,"44562B1Energia convencional pré-pagamentoResidencialResidencial baixa renda – faixa 02Não se aplicaNão se aplicaNão se aplica",Mercado_Receita!$N$2:$N$921)</f>
        <v>0</v>
      </c>
      <c r="P15" s="13">
        <f>SUMIF(Mercado_Receita!$T$2:$T$921,"44593B1Energia convencional pré-pagamentoResidencialResidencial baixa renda – faixa 02Não se aplicaNão se aplicaNão se aplica",Mercado_Receita!$N$2:$N$921)</f>
        <v>0</v>
      </c>
      <c r="Q15" s="13">
        <f>SUMIF(Mercado_Receita!$T$2:$T$921,"44621B1Energia convencional pré-pagamentoResidencialResidencial baixa renda – faixa 02Não se aplicaNão se aplicaNão se aplica",Mercado_Receita!$N$2:$N$921)</f>
        <v>0</v>
      </c>
      <c r="R15" s="13">
        <f>SUMIF(Mercado_Receita!$T$2:$T$921,"44652B1Energia convencional pré-pagamentoResidencialResidencial baixa renda – faixa 02Não se aplicaNão se aplicaNão se aplica",Mercado_Receita!$N$2:$N$921)</f>
        <v>0</v>
      </c>
      <c r="S15" s="13">
        <f>SUMIF(Mercado_Receita!$T$2:$T$921,"44682B1Energia convencional pré-pagamentoResidencialResidencial baixa renda – faixa 02Não se aplicaNão se aplicaNão se aplica",Mercado_Receita!$N$2:$N$921)</f>
        <v>0</v>
      </c>
      <c r="T15" s="13">
        <f>SUMIF(Mercado_Receita!$T$2:$T$921,"44713B1Energia convencional pré-pagamentoResidencialResidencial baixa renda – faixa 02Não se aplicaNão se aplicaNão se aplica",Mercado_Receita!$N$2:$N$921)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117"/>
      <c r="B16" s="117"/>
      <c r="C16" s="117"/>
      <c r="D16" s="12" t="s">
        <v>30</v>
      </c>
      <c r="E16" s="12" t="s">
        <v>25</v>
      </c>
      <c r="F16" s="12" t="s">
        <v>25</v>
      </c>
      <c r="G16" s="13" t="s">
        <v>86</v>
      </c>
      <c r="H16" s="13" t="s">
        <v>82</v>
      </c>
      <c r="I16" s="13">
        <f>SUMIF(Mercado_Receita!$T$2:$T$921,"44378B1Energia convencional pré-pagamentoResidencialResidencial baixa renda – faixa 03Não se aplicaNão se aplicaNão se aplica",Mercado_Receita!$N$2:$N$921)</f>
        <v>0</v>
      </c>
      <c r="J16" s="13">
        <f>SUMIF(Mercado_Receita!$T$2:$T$921,"44409B1Energia convencional pré-pagamentoResidencialResidencial baixa renda – faixa 03Não se aplicaNão se aplicaNão se aplica",Mercado_Receita!$N$2:$N$921)</f>
        <v>0</v>
      </c>
      <c r="K16" s="13">
        <f>SUMIF(Mercado_Receita!$T$2:$T$921,"44440B1Energia convencional pré-pagamentoResidencialResidencial baixa renda – faixa 03Não se aplicaNão se aplicaNão se aplica",Mercado_Receita!$N$2:$N$921)</f>
        <v>0</v>
      </c>
      <c r="L16" s="13">
        <f>SUMIF(Mercado_Receita!$T$2:$T$921,"44470B1Energia convencional pré-pagamentoResidencialResidencial baixa renda – faixa 03Não se aplicaNão se aplicaNão se aplica",Mercado_Receita!$N$2:$N$921)</f>
        <v>0</v>
      </c>
      <c r="M16" s="13">
        <f>SUMIF(Mercado_Receita!$T$2:$T$921,"44501B1Energia convencional pré-pagamentoResidencialResidencial baixa renda – faixa 03Não se aplicaNão se aplicaNão se aplica",Mercado_Receita!$N$2:$N$921)</f>
        <v>0</v>
      </c>
      <c r="N16" s="13">
        <f>SUMIF(Mercado_Receita!$T$2:$T$921,"44531B1Energia convencional pré-pagamentoResidencialResidencial baixa renda – faixa 03Não se aplicaNão se aplicaNão se aplica",Mercado_Receita!$N$2:$N$921)</f>
        <v>0</v>
      </c>
      <c r="O16" s="13">
        <f>SUMIF(Mercado_Receita!$T$2:$T$921,"44562B1Energia convencional pré-pagamentoResidencialResidencial baixa renda – faixa 03Não se aplicaNão se aplicaNão se aplica",Mercado_Receita!$N$2:$N$921)</f>
        <v>0</v>
      </c>
      <c r="P16" s="13">
        <f>SUMIF(Mercado_Receita!$T$2:$T$921,"44593B1Energia convencional pré-pagamentoResidencialResidencial baixa renda – faixa 03Não se aplicaNão se aplicaNão se aplica",Mercado_Receita!$N$2:$N$921)</f>
        <v>0</v>
      </c>
      <c r="Q16" s="13">
        <f>SUMIF(Mercado_Receita!$T$2:$T$921,"44621B1Energia convencional pré-pagamentoResidencialResidencial baixa renda – faixa 03Não se aplicaNão se aplicaNão se aplica",Mercado_Receita!$N$2:$N$921)</f>
        <v>0</v>
      </c>
      <c r="R16" s="13">
        <f>SUMIF(Mercado_Receita!$T$2:$T$921,"44652B1Energia convencional pré-pagamentoResidencialResidencial baixa renda – faixa 03Não se aplicaNão se aplicaNão se aplica",Mercado_Receita!$N$2:$N$921)</f>
        <v>0</v>
      </c>
      <c r="S16" s="13">
        <f>SUMIF(Mercado_Receita!$T$2:$T$921,"44682B1Energia convencional pré-pagamentoResidencialResidencial baixa renda – faixa 03Não se aplicaNão se aplicaNão se aplica",Mercado_Receita!$N$2:$N$921)</f>
        <v>0</v>
      </c>
      <c r="T16" s="13">
        <f>SUMIF(Mercado_Receita!$T$2:$T$921,"44713B1Energia convencional pré-pagamentoResidencialResidencial baixa renda – faixa 03Não se aplicaNão se aplicaNão se aplica",Mercado_Receita!$N$2:$N$921)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117"/>
      <c r="B17" s="117"/>
      <c r="C17" s="117"/>
      <c r="D17" s="12" t="s">
        <v>31</v>
      </c>
      <c r="E17" s="12" t="s">
        <v>25</v>
      </c>
      <c r="F17" s="12" t="s">
        <v>25</v>
      </c>
      <c r="G17" s="13" t="s">
        <v>86</v>
      </c>
      <c r="H17" s="13" t="s">
        <v>82</v>
      </c>
      <c r="I17" s="13">
        <f>SUMIF(Mercado_Receita!$T$2:$T$921,"44378B1Energia convencional pré-pagamentoResidencialResidencial baixa renda – faixa 04Não se aplicaNão se aplicaNão se aplica",Mercado_Receita!$N$2:$N$921)</f>
        <v>0</v>
      </c>
      <c r="J17" s="13">
        <f>SUMIF(Mercado_Receita!$T$2:$T$921,"44409B1Energia convencional pré-pagamentoResidencialResidencial baixa renda – faixa 04Não se aplicaNão se aplicaNão se aplica",Mercado_Receita!$N$2:$N$921)</f>
        <v>0</v>
      </c>
      <c r="K17" s="13">
        <f>SUMIF(Mercado_Receita!$T$2:$T$921,"44440B1Energia convencional pré-pagamentoResidencialResidencial baixa renda – faixa 04Não se aplicaNão se aplicaNão se aplica",Mercado_Receita!$N$2:$N$921)</f>
        <v>0</v>
      </c>
      <c r="L17" s="13">
        <f>SUMIF(Mercado_Receita!$T$2:$T$921,"44470B1Energia convencional pré-pagamentoResidencialResidencial baixa renda – faixa 04Não se aplicaNão se aplicaNão se aplica",Mercado_Receita!$N$2:$N$921)</f>
        <v>0</v>
      </c>
      <c r="M17" s="13">
        <f>SUMIF(Mercado_Receita!$T$2:$T$921,"44501B1Energia convencional pré-pagamentoResidencialResidencial baixa renda – faixa 04Não se aplicaNão se aplicaNão se aplica",Mercado_Receita!$N$2:$N$921)</f>
        <v>0</v>
      </c>
      <c r="N17" s="13">
        <f>SUMIF(Mercado_Receita!$T$2:$T$921,"44531B1Energia convencional pré-pagamentoResidencialResidencial baixa renda – faixa 04Não se aplicaNão se aplicaNão se aplica",Mercado_Receita!$N$2:$N$921)</f>
        <v>0</v>
      </c>
      <c r="O17" s="13">
        <f>SUMIF(Mercado_Receita!$T$2:$T$921,"44562B1Energia convencional pré-pagamentoResidencialResidencial baixa renda – faixa 04Não se aplicaNão se aplicaNão se aplica",Mercado_Receita!$N$2:$N$921)</f>
        <v>0</v>
      </c>
      <c r="P17" s="13">
        <f>SUMIF(Mercado_Receita!$T$2:$T$921,"44593B1Energia convencional pré-pagamentoResidencialResidencial baixa renda – faixa 04Não se aplicaNão se aplicaNão se aplica",Mercado_Receita!$N$2:$N$921)</f>
        <v>0</v>
      </c>
      <c r="Q17" s="13">
        <f>SUMIF(Mercado_Receita!$T$2:$T$921,"44621B1Energia convencional pré-pagamentoResidencialResidencial baixa renda – faixa 04Não se aplicaNão se aplicaNão se aplica",Mercado_Receita!$N$2:$N$921)</f>
        <v>0</v>
      </c>
      <c r="R17" s="13">
        <f>SUMIF(Mercado_Receita!$T$2:$T$921,"44652B1Energia convencional pré-pagamentoResidencialResidencial baixa renda – faixa 04Não se aplicaNão se aplicaNão se aplica",Mercado_Receita!$N$2:$N$921)</f>
        <v>0</v>
      </c>
      <c r="S17" s="13">
        <f>SUMIF(Mercado_Receita!$T$2:$T$921,"44682B1Energia convencional pré-pagamentoResidencialResidencial baixa renda – faixa 04Não se aplicaNão se aplicaNão se aplica",Mercado_Receita!$N$2:$N$921)</f>
        <v>0</v>
      </c>
      <c r="T17" s="13">
        <f>SUMIF(Mercado_Receita!$T$2:$T$921,"44713B1Energia convencional pré-pagamentoResidencialResidencial baixa renda – faixa 04Não se aplicaNão se aplicaNão se aplica",Mercado_Receita!$N$2:$N$921)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116" t="s">
        <v>42</v>
      </c>
      <c r="B18" s="116" t="s">
        <v>81</v>
      </c>
      <c r="C18" s="116" t="s">
        <v>43</v>
      </c>
      <c r="D18" s="116" t="s">
        <v>25</v>
      </c>
      <c r="E18" s="116" t="s">
        <v>25</v>
      </c>
      <c r="F18" s="116" t="s">
        <v>25</v>
      </c>
      <c r="G18" s="13" t="s">
        <v>83</v>
      </c>
      <c r="H18" s="13" t="s">
        <v>82</v>
      </c>
      <c r="I18" s="13">
        <f>SUMIF(Mercado_Receita!$T$2:$T$921,"44378B2Energia horáriaRuralNão se aplicaNão se aplicaNão se aplicaPonta",Mercado_Receita!$N$2:$N$921)</f>
        <v>0</v>
      </c>
      <c r="J18" s="13">
        <f>SUMIF(Mercado_Receita!$T$2:$T$921,"44409B2Energia horáriaRuralNão se aplicaNão se aplicaNão se aplicaPonta",Mercado_Receita!$N$2:$N$921)</f>
        <v>0</v>
      </c>
      <c r="K18" s="13">
        <f>SUMIF(Mercado_Receita!$T$2:$T$921,"44440B2Energia horáriaRuralNão se aplicaNão se aplicaNão se aplicaPonta",Mercado_Receita!$N$2:$N$921)</f>
        <v>0</v>
      </c>
      <c r="L18" s="13">
        <f>SUMIF(Mercado_Receita!$T$2:$T$921,"44470B2Energia horáriaRuralNão se aplicaNão se aplicaNão se aplicaPonta",Mercado_Receita!$N$2:$N$921)</f>
        <v>0</v>
      </c>
      <c r="M18" s="13">
        <f>SUMIF(Mercado_Receita!$T$2:$T$921,"44501B2Energia horáriaRuralNão se aplicaNão se aplicaNão se aplicaPonta",Mercado_Receita!$N$2:$N$921)</f>
        <v>0</v>
      </c>
      <c r="N18" s="13">
        <f>SUMIF(Mercado_Receita!$T$2:$T$921,"44531B2Energia horáriaRuralNão se aplicaNão se aplicaNão se aplicaPonta",Mercado_Receita!$N$2:$N$921)</f>
        <v>0</v>
      </c>
      <c r="O18" s="13">
        <f>SUMIF(Mercado_Receita!$T$2:$T$921,"44562B2Energia horáriaRuralNão se aplicaNão se aplicaNão se aplicaPonta",Mercado_Receita!$N$2:$N$921)</f>
        <v>0</v>
      </c>
      <c r="P18" s="13">
        <f>SUMIF(Mercado_Receita!$T$2:$T$921,"44593B2Energia horáriaRuralNão se aplicaNão se aplicaNão se aplicaPonta",Mercado_Receita!$N$2:$N$921)</f>
        <v>0</v>
      </c>
      <c r="Q18" s="13">
        <f>SUMIF(Mercado_Receita!$T$2:$T$921,"44621B2Energia horáriaRuralNão se aplicaNão se aplicaNão se aplicaPonta",Mercado_Receita!$N$2:$N$921)</f>
        <v>0</v>
      </c>
      <c r="R18" s="13">
        <f>SUMIF(Mercado_Receita!$T$2:$T$921,"44652B2Energia horáriaRuralNão se aplicaNão se aplicaNão se aplicaPonta",Mercado_Receita!$N$2:$N$921)</f>
        <v>0</v>
      </c>
      <c r="S18" s="13">
        <f>SUMIF(Mercado_Receita!$T$2:$T$921,"44682B2Energia horáriaRuralNão se aplicaNão se aplicaNão se aplicaPonta",Mercado_Receita!$N$2:$N$921)</f>
        <v>0</v>
      </c>
      <c r="T18" s="13">
        <f>SUMIF(Mercado_Receita!$T$2:$T$921,"44713B2Energia horáriaRuralNão se aplicaNão se aplicaNão se aplicaPonta",Mercado_Receita!$N$2:$N$921)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117"/>
      <c r="B19" s="117"/>
      <c r="C19" s="117"/>
      <c r="D19" s="117"/>
      <c r="E19" s="117"/>
      <c r="F19" s="117"/>
      <c r="G19" s="13" t="s">
        <v>93</v>
      </c>
      <c r="H19" s="13" t="s">
        <v>82</v>
      </c>
      <c r="I19" s="13">
        <f>SUMIF(Mercado_Receita!$T$2:$T$921,"44378B2Energia horáriaRuralNão se aplicaNão se aplicaNão se aplicaIntermediário",Mercado_Receita!$N$2:$N$921)</f>
        <v>0</v>
      </c>
      <c r="J19" s="13">
        <f>SUMIF(Mercado_Receita!$T$2:$T$921,"44409B2Energia horáriaRuralNão se aplicaNão se aplicaNão se aplicaIntermediário",Mercado_Receita!$N$2:$N$921)</f>
        <v>0</v>
      </c>
      <c r="K19" s="13">
        <f>SUMIF(Mercado_Receita!$T$2:$T$921,"44440B2Energia horáriaRuralNão se aplicaNão se aplicaNão se aplicaIntermediário",Mercado_Receita!$N$2:$N$921)</f>
        <v>0</v>
      </c>
      <c r="L19" s="13">
        <f>SUMIF(Mercado_Receita!$T$2:$T$921,"44470B2Energia horáriaRuralNão se aplicaNão se aplicaNão se aplicaIntermediário",Mercado_Receita!$N$2:$N$921)</f>
        <v>0</v>
      </c>
      <c r="M19" s="13">
        <f>SUMIF(Mercado_Receita!$T$2:$T$921,"44501B2Energia horáriaRuralNão se aplicaNão se aplicaNão se aplicaIntermediário",Mercado_Receita!$N$2:$N$921)</f>
        <v>0</v>
      </c>
      <c r="N19" s="13">
        <f>SUMIF(Mercado_Receita!$T$2:$T$921,"44531B2Energia horáriaRuralNão se aplicaNão se aplicaNão se aplicaIntermediário",Mercado_Receita!$N$2:$N$921)</f>
        <v>0</v>
      </c>
      <c r="O19" s="13">
        <f>SUMIF(Mercado_Receita!$T$2:$T$921,"44562B2Energia horáriaRuralNão se aplicaNão se aplicaNão se aplicaIntermediário",Mercado_Receita!$N$2:$N$921)</f>
        <v>0</v>
      </c>
      <c r="P19" s="13">
        <f>SUMIF(Mercado_Receita!$T$2:$T$921,"44593B2Energia horáriaRuralNão se aplicaNão se aplicaNão se aplicaIntermediário",Mercado_Receita!$N$2:$N$921)</f>
        <v>0</v>
      </c>
      <c r="Q19" s="13">
        <f>SUMIF(Mercado_Receita!$T$2:$T$921,"44621B2Energia horáriaRuralNão se aplicaNão se aplicaNão se aplicaIntermediário",Mercado_Receita!$N$2:$N$921)</f>
        <v>0</v>
      </c>
      <c r="R19" s="13">
        <f>SUMIF(Mercado_Receita!$T$2:$T$921,"44652B2Energia horáriaRuralNão se aplicaNão se aplicaNão se aplicaIntermediário",Mercado_Receita!$N$2:$N$921)</f>
        <v>0</v>
      </c>
      <c r="S19" s="13">
        <f>SUMIF(Mercado_Receita!$T$2:$T$921,"44682B2Energia horáriaRuralNão se aplicaNão se aplicaNão se aplicaIntermediário",Mercado_Receita!$N$2:$N$921)</f>
        <v>0</v>
      </c>
      <c r="T19" s="13">
        <f>SUMIF(Mercado_Receita!$T$2:$T$921,"44713B2Energia horáriaRuralNão se aplicaNão se aplicaNão se aplicaIntermediário",Mercado_Receita!$N$2:$N$921)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117"/>
      <c r="B20" s="117"/>
      <c r="C20" s="117"/>
      <c r="D20" s="117"/>
      <c r="E20" s="117"/>
      <c r="F20" s="117"/>
      <c r="G20" s="13" t="s">
        <v>84</v>
      </c>
      <c r="H20" s="13" t="s">
        <v>82</v>
      </c>
      <c r="I20" s="13">
        <f>SUMIF(Mercado_Receita!$T$2:$T$921,"44378B2Energia horáriaRuralNão se aplicaNão se aplicaNão se aplicaFora ponta",Mercado_Receita!$N$2:$N$921)</f>
        <v>0</v>
      </c>
      <c r="J20" s="13">
        <f>SUMIF(Mercado_Receita!$T$2:$T$921,"44409B2Energia horáriaRuralNão se aplicaNão se aplicaNão se aplicaFora ponta",Mercado_Receita!$N$2:$N$921)</f>
        <v>0</v>
      </c>
      <c r="K20" s="13">
        <f>SUMIF(Mercado_Receita!$T$2:$T$921,"44440B2Energia horáriaRuralNão se aplicaNão se aplicaNão se aplicaFora ponta",Mercado_Receita!$N$2:$N$921)</f>
        <v>0</v>
      </c>
      <c r="L20" s="13">
        <f>SUMIF(Mercado_Receita!$T$2:$T$921,"44470B2Energia horáriaRuralNão se aplicaNão se aplicaNão se aplicaFora ponta",Mercado_Receita!$N$2:$N$921)</f>
        <v>0</v>
      </c>
      <c r="M20" s="13">
        <f>SUMIF(Mercado_Receita!$T$2:$T$921,"44501B2Energia horáriaRuralNão se aplicaNão se aplicaNão se aplicaFora ponta",Mercado_Receita!$N$2:$N$921)</f>
        <v>0</v>
      </c>
      <c r="N20" s="13">
        <f>SUMIF(Mercado_Receita!$T$2:$T$921,"44531B2Energia horáriaRuralNão se aplicaNão se aplicaNão se aplicaFora ponta",Mercado_Receita!$N$2:$N$921)</f>
        <v>0</v>
      </c>
      <c r="O20" s="13">
        <f>SUMIF(Mercado_Receita!$T$2:$T$921,"44562B2Energia horáriaRuralNão se aplicaNão se aplicaNão se aplicaFora ponta",Mercado_Receita!$N$2:$N$921)</f>
        <v>0</v>
      </c>
      <c r="P20" s="13">
        <f>SUMIF(Mercado_Receita!$T$2:$T$921,"44593B2Energia horáriaRuralNão se aplicaNão se aplicaNão se aplicaFora ponta",Mercado_Receita!$N$2:$N$921)</f>
        <v>0</v>
      </c>
      <c r="Q20" s="13">
        <f>SUMIF(Mercado_Receita!$T$2:$T$921,"44621B2Energia horáriaRuralNão se aplicaNão se aplicaNão se aplicaFora ponta",Mercado_Receita!$N$2:$N$921)</f>
        <v>0</v>
      </c>
      <c r="R20" s="13">
        <f>SUMIF(Mercado_Receita!$T$2:$T$921,"44652B2Energia horáriaRuralNão se aplicaNão se aplicaNão se aplicaFora ponta",Mercado_Receita!$N$2:$N$921)</f>
        <v>0</v>
      </c>
      <c r="S20" s="13">
        <f>SUMIF(Mercado_Receita!$T$2:$T$921,"44682B2Energia horáriaRuralNão se aplicaNão se aplicaNão se aplicaFora ponta",Mercado_Receita!$N$2:$N$921)</f>
        <v>0</v>
      </c>
      <c r="T20" s="13">
        <f>SUMIF(Mercado_Receita!$T$2:$T$921,"44713B2Energia horáriaRuralNão se aplicaNão se aplicaNão se aplicaFora ponta",Mercado_Receita!$N$2:$N$921)</f>
        <v>0</v>
      </c>
      <c r="U20" s="13">
        <f t="shared" si="0"/>
        <v>0</v>
      </c>
      <c r="V20" s="13"/>
      <c r="W20" s="13"/>
    </row>
    <row r="21" spans="1:23" ht="11.25" customHeight="1" x14ac:dyDescent="0.25">
      <c r="A21" s="117"/>
      <c r="B21" s="12" t="s">
        <v>85</v>
      </c>
      <c r="C21" s="12" t="s">
        <v>43</v>
      </c>
      <c r="D21" s="12" t="s">
        <v>25</v>
      </c>
      <c r="E21" s="12" t="s">
        <v>25</v>
      </c>
      <c r="F21" s="12" t="s">
        <v>25</v>
      </c>
      <c r="G21" s="13" t="s">
        <v>86</v>
      </c>
      <c r="H21" s="13" t="s">
        <v>82</v>
      </c>
      <c r="I21" s="13">
        <f>SUMIF(Mercado_Receita!$T$2:$T$921,"44378B2Energia convencionalRuralNão se aplicaNão se aplicaNão se aplicaNão se aplica",Mercado_Receita!$N$2:$N$921)</f>
        <v>1475.2919999999999</v>
      </c>
      <c r="J21" s="13">
        <f>SUMIF(Mercado_Receita!$T$2:$T$921,"44409B2Energia convencionalRuralNão se aplicaNão se aplicaNão se aplicaNão se aplica",Mercado_Receita!$N$2:$N$921)</f>
        <v>1519.8659999999998</v>
      </c>
      <c r="K21" s="13">
        <f>SUMIF(Mercado_Receita!$T$2:$T$921,"44440B2Energia convencionalRuralNão se aplicaNão se aplicaNão se aplicaNão se aplica",Mercado_Receita!$N$2:$N$921)</f>
        <v>1561.0910000000001</v>
      </c>
      <c r="L21" s="13">
        <f>SUMIF(Mercado_Receita!$T$2:$T$921,"44470B2Energia convencionalRuralNão se aplicaNão se aplicaNão se aplicaNão se aplica",Mercado_Receita!$N$2:$N$921)</f>
        <v>1559.682</v>
      </c>
      <c r="M21" s="13">
        <f>SUMIF(Mercado_Receita!$T$2:$T$921,"44501B2Energia convencionalRuralNão se aplicaNão se aplicaNão se aplicaNão se aplica",Mercado_Receita!$N$2:$N$921)</f>
        <v>1580.0440000000001</v>
      </c>
      <c r="N21" s="13">
        <f>SUMIF(Mercado_Receita!$T$2:$T$921,"44531B2Energia convencionalRuralNão se aplicaNão se aplicaNão se aplicaNão se aplica",Mercado_Receita!$N$2:$N$921)</f>
        <v>1629.9350000000002</v>
      </c>
      <c r="O21" s="13">
        <f>SUMIF(Mercado_Receita!$T$2:$T$921,"44562B2Energia convencionalRuralNão se aplicaNão se aplicaNão se aplicaNão se aplica",Mercado_Receita!$N$2:$N$921)</f>
        <v>1768.4690000000001</v>
      </c>
      <c r="P21" s="13">
        <f>SUMIF(Mercado_Receita!$T$2:$T$921,"44593B2Energia convencionalRuralNão se aplicaNão se aplicaNão se aplicaNão se aplica",Mercado_Receita!$N$2:$N$921)</f>
        <v>1982.9349999999997</v>
      </c>
      <c r="Q21" s="13">
        <f>SUMIF(Mercado_Receita!$T$2:$T$921,"44621B2Energia convencionalRuralNão se aplicaNão se aplicaNão se aplicaNão se aplica",Mercado_Receita!$N$2:$N$921)</f>
        <v>1396.8130000000001</v>
      </c>
      <c r="R21" s="13">
        <f>SUMIF(Mercado_Receita!$T$2:$T$921,"44652B2Energia convencionalRuralNão se aplicaNão se aplicaNão se aplicaNão se aplica",Mercado_Receita!$N$2:$N$921)</f>
        <v>1432.7160000000001</v>
      </c>
      <c r="S21" s="13">
        <f>SUMIF(Mercado_Receita!$T$2:$T$921,"44682B2Energia convencionalRuralNão se aplicaNão se aplicaNão se aplicaNão se aplica",Mercado_Receita!$N$2:$N$921)</f>
        <v>1410.3049999999998</v>
      </c>
      <c r="T21" s="13">
        <f>SUMIF(Mercado_Receita!$T$2:$T$921,"44713B2Energia convencionalRuralNão se aplicaNão se aplicaNão se aplicaNão se aplica",Mercado_Receita!$N$2:$N$921)</f>
        <v>1410.3049999999998</v>
      </c>
      <c r="U21" s="13">
        <f t="shared" si="0"/>
        <v>18727.453000000001</v>
      </c>
      <c r="V21" s="13"/>
      <c r="W21" s="13"/>
    </row>
    <row r="22" spans="1:23" ht="11.25" customHeight="1" x14ac:dyDescent="0.25">
      <c r="A22" s="117"/>
      <c r="B22" s="116" t="s">
        <v>81</v>
      </c>
      <c r="C22" s="116" t="s">
        <v>43</v>
      </c>
      <c r="D22" s="116" t="s">
        <v>96</v>
      </c>
      <c r="E22" s="116" t="s">
        <v>25</v>
      </c>
      <c r="F22" s="116" t="s">
        <v>25</v>
      </c>
      <c r="G22" s="13" t="s">
        <v>83</v>
      </c>
      <c r="H22" s="13" t="s">
        <v>82</v>
      </c>
      <c r="I22" s="13">
        <f>SUMIF(Mercado_Receita!$T$2:$T$921,"44378B2Energia horáriaRuralCooperativa de eletrificação ruralNão se aplicaNão se aplicaPonta",Mercado_Receita!$N$2:$N$921)</f>
        <v>0</v>
      </c>
      <c r="J22" s="13">
        <f>SUMIF(Mercado_Receita!$T$2:$T$921,"44409B2Energia horáriaRuralCooperativa de eletrificação ruralNão se aplicaNão se aplicaPonta",Mercado_Receita!$N$2:$N$921)</f>
        <v>0</v>
      </c>
      <c r="K22" s="13">
        <f>SUMIF(Mercado_Receita!$T$2:$T$921,"44440B2Energia horáriaRuralCooperativa de eletrificação ruralNão se aplicaNão se aplicaPonta",Mercado_Receita!$N$2:$N$921)</f>
        <v>0</v>
      </c>
      <c r="L22" s="13">
        <f>SUMIF(Mercado_Receita!$T$2:$T$921,"44470B2Energia horáriaRuralCooperativa de eletrificação ruralNão se aplicaNão se aplicaPonta",Mercado_Receita!$N$2:$N$921)</f>
        <v>0</v>
      </c>
      <c r="M22" s="13">
        <f>SUMIF(Mercado_Receita!$T$2:$T$921,"44501B2Energia horáriaRuralCooperativa de eletrificação ruralNão se aplicaNão se aplicaPonta",Mercado_Receita!$N$2:$N$921)</f>
        <v>0</v>
      </c>
      <c r="N22" s="13">
        <f>SUMIF(Mercado_Receita!$T$2:$T$921,"44531B2Energia horáriaRuralCooperativa de eletrificação ruralNão se aplicaNão se aplicaPonta",Mercado_Receita!$N$2:$N$921)</f>
        <v>0</v>
      </c>
      <c r="O22" s="13">
        <f>SUMIF(Mercado_Receita!$T$2:$T$921,"44562B2Energia horáriaRuralCooperativa de eletrificação ruralNão se aplicaNão se aplicaPonta",Mercado_Receita!$N$2:$N$921)</f>
        <v>0</v>
      </c>
      <c r="P22" s="13">
        <f>SUMIF(Mercado_Receita!$T$2:$T$921,"44593B2Energia horáriaRuralCooperativa de eletrificação ruralNão se aplicaNão se aplicaPonta",Mercado_Receita!$N$2:$N$921)</f>
        <v>0</v>
      </c>
      <c r="Q22" s="13">
        <f>SUMIF(Mercado_Receita!$T$2:$T$921,"44621B2Energia horáriaRuralCooperativa de eletrificação ruralNão se aplicaNão se aplicaPonta",Mercado_Receita!$N$2:$N$921)</f>
        <v>0</v>
      </c>
      <c r="R22" s="13">
        <f>SUMIF(Mercado_Receita!$T$2:$T$921,"44652B2Energia horáriaRuralCooperativa de eletrificação ruralNão se aplicaNão se aplicaPonta",Mercado_Receita!$N$2:$N$921)</f>
        <v>0</v>
      </c>
      <c r="S22" s="13">
        <f>SUMIF(Mercado_Receita!$T$2:$T$921,"44682B2Energia horáriaRuralCooperativa de eletrificação ruralNão se aplicaNão se aplicaPonta",Mercado_Receita!$N$2:$N$921)</f>
        <v>0</v>
      </c>
      <c r="T22" s="13">
        <f>SUMIF(Mercado_Receita!$T$2:$T$921,"44713B2Energia horáriaRuralCooperativa de eletrificação ruralNão se aplicaNão se aplicaPonta",Mercado_Receita!$N$2:$N$921)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117"/>
      <c r="B23" s="117"/>
      <c r="C23" s="117"/>
      <c r="D23" s="117"/>
      <c r="E23" s="117"/>
      <c r="F23" s="117"/>
      <c r="G23" s="13" t="s">
        <v>93</v>
      </c>
      <c r="H23" s="13" t="s">
        <v>82</v>
      </c>
      <c r="I23" s="13">
        <f>SUMIF(Mercado_Receita!$T$2:$T$921,"44378B2Energia horáriaRuralCooperativa de eletrificação ruralNão se aplicaNão se aplicaIntermediário",Mercado_Receita!$N$2:$N$921)</f>
        <v>0</v>
      </c>
      <c r="J23" s="13">
        <f>SUMIF(Mercado_Receita!$T$2:$T$921,"44409B2Energia horáriaRuralCooperativa de eletrificação ruralNão se aplicaNão se aplicaIntermediário",Mercado_Receita!$N$2:$N$921)</f>
        <v>0</v>
      </c>
      <c r="K23" s="13">
        <f>SUMIF(Mercado_Receita!$T$2:$T$921,"44440B2Energia horáriaRuralCooperativa de eletrificação ruralNão se aplicaNão se aplicaIntermediário",Mercado_Receita!$N$2:$N$921)</f>
        <v>0</v>
      </c>
      <c r="L23" s="13">
        <f>SUMIF(Mercado_Receita!$T$2:$T$921,"44470B2Energia horáriaRuralCooperativa de eletrificação ruralNão se aplicaNão se aplicaIntermediário",Mercado_Receita!$N$2:$N$921)</f>
        <v>0</v>
      </c>
      <c r="M23" s="13">
        <f>SUMIF(Mercado_Receita!$T$2:$T$921,"44501B2Energia horáriaRuralCooperativa de eletrificação ruralNão se aplicaNão se aplicaIntermediário",Mercado_Receita!$N$2:$N$921)</f>
        <v>0</v>
      </c>
      <c r="N23" s="13">
        <f>SUMIF(Mercado_Receita!$T$2:$T$921,"44531B2Energia horáriaRuralCooperativa de eletrificação ruralNão se aplicaNão se aplicaIntermediário",Mercado_Receita!$N$2:$N$921)</f>
        <v>0</v>
      </c>
      <c r="O23" s="13">
        <f>SUMIF(Mercado_Receita!$T$2:$T$921,"44562B2Energia horáriaRuralCooperativa de eletrificação ruralNão se aplicaNão se aplicaIntermediário",Mercado_Receita!$N$2:$N$921)</f>
        <v>0</v>
      </c>
      <c r="P23" s="13">
        <f>SUMIF(Mercado_Receita!$T$2:$T$921,"44593B2Energia horáriaRuralCooperativa de eletrificação ruralNão se aplicaNão se aplicaIntermediário",Mercado_Receita!$N$2:$N$921)</f>
        <v>0</v>
      </c>
      <c r="Q23" s="13">
        <f>SUMIF(Mercado_Receita!$T$2:$T$921,"44621B2Energia horáriaRuralCooperativa de eletrificação ruralNão se aplicaNão se aplicaIntermediário",Mercado_Receita!$N$2:$N$921)</f>
        <v>0</v>
      </c>
      <c r="R23" s="13">
        <f>SUMIF(Mercado_Receita!$T$2:$T$921,"44652B2Energia horáriaRuralCooperativa de eletrificação ruralNão se aplicaNão se aplicaIntermediário",Mercado_Receita!$N$2:$N$921)</f>
        <v>0</v>
      </c>
      <c r="S23" s="13">
        <f>SUMIF(Mercado_Receita!$T$2:$T$921,"44682B2Energia horáriaRuralCooperativa de eletrificação ruralNão se aplicaNão se aplicaIntermediário",Mercado_Receita!$N$2:$N$921)</f>
        <v>0</v>
      </c>
      <c r="T23" s="13">
        <f>SUMIF(Mercado_Receita!$T$2:$T$921,"44713B2Energia horáriaRuralCooperativa de eletrificação ruralNão se aplicaNão se aplicaIntermediário",Mercado_Receita!$N$2:$N$921)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117"/>
      <c r="B24" s="117"/>
      <c r="C24" s="117"/>
      <c r="D24" s="117"/>
      <c r="E24" s="117"/>
      <c r="F24" s="117"/>
      <c r="G24" s="13" t="s">
        <v>84</v>
      </c>
      <c r="H24" s="13" t="s">
        <v>82</v>
      </c>
      <c r="I24" s="13">
        <f>SUMIF(Mercado_Receita!$T$2:$T$921,"44378B2Energia horáriaRuralCooperativa de eletrificação ruralNão se aplicaNão se aplicaFora ponta",Mercado_Receita!$N$2:$N$921)</f>
        <v>0</v>
      </c>
      <c r="J24" s="13">
        <f>SUMIF(Mercado_Receita!$T$2:$T$921,"44409B2Energia horáriaRuralCooperativa de eletrificação ruralNão se aplicaNão se aplicaFora ponta",Mercado_Receita!$N$2:$N$921)</f>
        <v>0</v>
      </c>
      <c r="K24" s="13">
        <f>SUMIF(Mercado_Receita!$T$2:$T$921,"44440B2Energia horáriaRuralCooperativa de eletrificação ruralNão se aplicaNão se aplicaFora ponta",Mercado_Receita!$N$2:$N$921)</f>
        <v>0</v>
      </c>
      <c r="L24" s="13">
        <f>SUMIF(Mercado_Receita!$T$2:$T$921,"44470B2Energia horáriaRuralCooperativa de eletrificação ruralNão se aplicaNão se aplicaFora ponta",Mercado_Receita!$N$2:$N$921)</f>
        <v>0</v>
      </c>
      <c r="M24" s="13">
        <f>SUMIF(Mercado_Receita!$T$2:$T$921,"44501B2Energia horáriaRuralCooperativa de eletrificação ruralNão se aplicaNão se aplicaFora ponta",Mercado_Receita!$N$2:$N$921)</f>
        <v>0</v>
      </c>
      <c r="N24" s="13">
        <f>SUMIF(Mercado_Receita!$T$2:$T$921,"44531B2Energia horáriaRuralCooperativa de eletrificação ruralNão se aplicaNão se aplicaFora ponta",Mercado_Receita!$N$2:$N$921)</f>
        <v>0</v>
      </c>
      <c r="O24" s="13">
        <f>SUMIF(Mercado_Receita!$T$2:$T$921,"44562B2Energia horáriaRuralCooperativa de eletrificação ruralNão se aplicaNão se aplicaFora ponta",Mercado_Receita!$N$2:$N$921)</f>
        <v>0</v>
      </c>
      <c r="P24" s="13">
        <f>SUMIF(Mercado_Receita!$T$2:$T$921,"44593B2Energia horáriaRuralCooperativa de eletrificação ruralNão se aplicaNão se aplicaFora ponta",Mercado_Receita!$N$2:$N$921)</f>
        <v>0</v>
      </c>
      <c r="Q24" s="13">
        <f>SUMIF(Mercado_Receita!$T$2:$T$921,"44621B2Energia horáriaRuralCooperativa de eletrificação ruralNão se aplicaNão se aplicaFora ponta",Mercado_Receita!$N$2:$N$921)</f>
        <v>0</v>
      </c>
      <c r="R24" s="13">
        <f>SUMIF(Mercado_Receita!$T$2:$T$921,"44652B2Energia horáriaRuralCooperativa de eletrificação ruralNão se aplicaNão se aplicaFora ponta",Mercado_Receita!$N$2:$N$921)</f>
        <v>0</v>
      </c>
      <c r="S24" s="13">
        <f>SUMIF(Mercado_Receita!$T$2:$T$921,"44682B2Energia horáriaRuralCooperativa de eletrificação ruralNão se aplicaNão se aplicaFora ponta",Mercado_Receita!$N$2:$N$921)</f>
        <v>0</v>
      </c>
      <c r="T24" s="13">
        <f>SUMIF(Mercado_Receita!$T$2:$T$921,"44713B2Energia horáriaRuralCooperativa de eletrificação ruralNão se aplicaNão se aplicaFora ponta",Mercado_Receita!$N$2:$N$921)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117"/>
      <c r="B25" s="12" t="s">
        <v>85</v>
      </c>
      <c r="C25" s="12" t="s">
        <v>43</v>
      </c>
      <c r="D25" s="12" t="s">
        <v>96</v>
      </c>
      <c r="E25" s="12" t="s">
        <v>25</v>
      </c>
      <c r="F25" s="12" t="s">
        <v>25</v>
      </c>
      <c r="G25" s="13" t="s">
        <v>86</v>
      </c>
      <c r="H25" s="13" t="s">
        <v>82</v>
      </c>
      <c r="I25" s="13">
        <f>SUMIF(Mercado_Receita!$T$2:$T$921,"44378B2Energia convencionalRuralCooperativa de eletrificação ruralNão se aplicaNão se aplicaNão se aplica",Mercado_Receita!$N$2:$N$921)</f>
        <v>0</v>
      </c>
      <c r="J25" s="13">
        <f>SUMIF(Mercado_Receita!$T$2:$T$921,"44409B2Energia convencionalRuralCooperativa de eletrificação ruralNão se aplicaNão se aplicaNão se aplica",Mercado_Receita!$N$2:$N$921)</f>
        <v>0</v>
      </c>
      <c r="K25" s="13">
        <f>SUMIF(Mercado_Receita!$T$2:$T$921,"44440B2Energia convencionalRuralCooperativa de eletrificação ruralNão se aplicaNão se aplicaNão se aplica",Mercado_Receita!$N$2:$N$921)</f>
        <v>0</v>
      </c>
      <c r="L25" s="13">
        <f>SUMIF(Mercado_Receita!$T$2:$T$921,"44470B2Energia convencionalRuralCooperativa de eletrificação ruralNão se aplicaNão se aplicaNão se aplica",Mercado_Receita!$N$2:$N$921)</f>
        <v>0</v>
      </c>
      <c r="M25" s="13">
        <f>SUMIF(Mercado_Receita!$T$2:$T$921,"44501B2Energia convencionalRuralCooperativa de eletrificação ruralNão se aplicaNão se aplicaNão se aplica",Mercado_Receita!$N$2:$N$921)</f>
        <v>0</v>
      </c>
      <c r="N25" s="13">
        <f>SUMIF(Mercado_Receita!$T$2:$T$921,"44531B2Energia convencionalRuralCooperativa de eletrificação ruralNão se aplicaNão se aplicaNão se aplica",Mercado_Receita!$N$2:$N$921)</f>
        <v>0</v>
      </c>
      <c r="O25" s="13">
        <f>SUMIF(Mercado_Receita!$T$2:$T$921,"44562B2Energia convencionalRuralCooperativa de eletrificação ruralNão se aplicaNão se aplicaNão se aplica",Mercado_Receita!$N$2:$N$921)</f>
        <v>0</v>
      </c>
      <c r="P25" s="13">
        <f>SUMIF(Mercado_Receita!$T$2:$T$921,"44593B2Energia convencionalRuralCooperativa de eletrificação ruralNão se aplicaNão se aplicaNão se aplica",Mercado_Receita!$N$2:$N$921)</f>
        <v>0</v>
      </c>
      <c r="Q25" s="13">
        <f>SUMIF(Mercado_Receita!$T$2:$T$921,"44621B2Energia convencionalRuralCooperativa de eletrificação ruralNão se aplicaNão se aplicaNão se aplica",Mercado_Receita!$N$2:$N$921)</f>
        <v>0</v>
      </c>
      <c r="R25" s="13">
        <f>SUMIF(Mercado_Receita!$T$2:$T$921,"44652B2Energia convencionalRuralCooperativa de eletrificação ruralNão se aplicaNão se aplicaNão se aplica",Mercado_Receita!$N$2:$N$921)</f>
        <v>0</v>
      </c>
      <c r="S25" s="13">
        <f>SUMIF(Mercado_Receita!$T$2:$T$921,"44682B2Energia convencionalRuralCooperativa de eletrificação ruralNão se aplicaNão se aplicaNão se aplica",Mercado_Receita!$N$2:$N$921)</f>
        <v>0</v>
      </c>
      <c r="T25" s="13">
        <f>SUMIF(Mercado_Receita!$T$2:$T$921,"44713B2Energia convencionalRuralCooperativa de eletrificação ruralNão se aplicaNão se aplicaNão se aplica",Mercado_Receita!$N$2:$N$921)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117"/>
      <c r="B26" s="116" t="s">
        <v>81</v>
      </c>
      <c r="C26" s="116" t="s">
        <v>43</v>
      </c>
      <c r="D26" s="116" t="s">
        <v>97</v>
      </c>
      <c r="E26" s="116" t="s">
        <v>25</v>
      </c>
      <c r="F26" s="116" t="s">
        <v>25</v>
      </c>
      <c r="G26" s="13" t="s">
        <v>83</v>
      </c>
      <c r="H26" s="13" t="s">
        <v>82</v>
      </c>
      <c r="I26" s="13">
        <f>SUMIF(Mercado_Receita!$T$2:$T$921,"44378B2Energia horáriaRuralServiço público de irrigação ruralNão se aplicaNão se aplicaPonta",Mercado_Receita!$N$2:$N$921)</f>
        <v>0</v>
      </c>
      <c r="J26" s="13">
        <f>SUMIF(Mercado_Receita!$T$2:$T$921,"44409B2Energia horáriaRuralServiço público de irrigação ruralNão se aplicaNão se aplicaPonta",Mercado_Receita!$N$2:$N$921)</f>
        <v>0</v>
      </c>
      <c r="K26" s="13">
        <f>SUMIF(Mercado_Receita!$T$2:$T$921,"44440B2Energia horáriaRuralServiço público de irrigação ruralNão se aplicaNão se aplicaPonta",Mercado_Receita!$N$2:$N$921)</f>
        <v>0</v>
      </c>
      <c r="L26" s="13">
        <f>SUMIF(Mercado_Receita!$T$2:$T$921,"44470B2Energia horáriaRuralServiço público de irrigação ruralNão se aplicaNão se aplicaPonta",Mercado_Receita!$N$2:$N$921)</f>
        <v>0</v>
      </c>
      <c r="M26" s="13">
        <f>SUMIF(Mercado_Receita!$T$2:$T$921,"44501B2Energia horáriaRuralServiço público de irrigação ruralNão se aplicaNão se aplicaPonta",Mercado_Receita!$N$2:$N$921)</f>
        <v>0</v>
      </c>
      <c r="N26" s="13">
        <f>SUMIF(Mercado_Receita!$T$2:$T$921,"44531B2Energia horáriaRuralServiço público de irrigação ruralNão se aplicaNão se aplicaPonta",Mercado_Receita!$N$2:$N$921)</f>
        <v>0</v>
      </c>
      <c r="O26" s="13">
        <f>SUMIF(Mercado_Receita!$T$2:$T$921,"44562B2Energia horáriaRuralServiço público de irrigação ruralNão se aplicaNão se aplicaPonta",Mercado_Receita!$N$2:$N$921)</f>
        <v>0</v>
      </c>
      <c r="P26" s="13">
        <f>SUMIF(Mercado_Receita!$T$2:$T$921,"44593B2Energia horáriaRuralServiço público de irrigação ruralNão se aplicaNão se aplicaPonta",Mercado_Receita!$N$2:$N$921)</f>
        <v>0</v>
      </c>
      <c r="Q26" s="13">
        <f>SUMIF(Mercado_Receita!$T$2:$T$921,"44621B2Energia horáriaRuralServiço público de irrigação ruralNão se aplicaNão se aplicaPonta",Mercado_Receita!$N$2:$N$921)</f>
        <v>0</v>
      </c>
      <c r="R26" s="13">
        <f>SUMIF(Mercado_Receita!$T$2:$T$921,"44652B2Energia horáriaRuralServiço público de irrigação ruralNão se aplicaNão se aplicaPonta",Mercado_Receita!$N$2:$N$921)</f>
        <v>0</v>
      </c>
      <c r="S26" s="13">
        <f>SUMIF(Mercado_Receita!$T$2:$T$921,"44682B2Energia horáriaRuralServiço público de irrigação ruralNão se aplicaNão se aplicaPonta",Mercado_Receita!$N$2:$N$921)</f>
        <v>0</v>
      </c>
      <c r="T26" s="13">
        <f>SUMIF(Mercado_Receita!$T$2:$T$921,"44713B2Energia horáriaRuralServiço público de irrigação ruralNão se aplicaNão se aplicaPonta",Mercado_Receita!$N$2:$N$921)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117"/>
      <c r="B27" s="117"/>
      <c r="C27" s="117"/>
      <c r="D27" s="117"/>
      <c r="E27" s="117"/>
      <c r="F27" s="117"/>
      <c r="G27" s="13" t="s">
        <v>93</v>
      </c>
      <c r="H27" s="13" t="s">
        <v>82</v>
      </c>
      <c r="I27" s="13">
        <f>SUMIF(Mercado_Receita!$T$2:$T$921,"44378B2Energia horáriaRuralServiço público de irrigação ruralNão se aplicaNão se aplicaIntermediário",Mercado_Receita!$N$2:$N$921)</f>
        <v>0</v>
      </c>
      <c r="J27" s="13">
        <f>SUMIF(Mercado_Receita!$T$2:$T$921,"44409B2Energia horáriaRuralServiço público de irrigação ruralNão se aplicaNão se aplicaIntermediário",Mercado_Receita!$N$2:$N$921)</f>
        <v>0</v>
      </c>
      <c r="K27" s="13">
        <f>SUMIF(Mercado_Receita!$T$2:$T$921,"44440B2Energia horáriaRuralServiço público de irrigação ruralNão se aplicaNão se aplicaIntermediário",Mercado_Receita!$N$2:$N$921)</f>
        <v>0</v>
      </c>
      <c r="L27" s="13">
        <f>SUMIF(Mercado_Receita!$T$2:$T$921,"44470B2Energia horáriaRuralServiço público de irrigação ruralNão se aplicaNão se aplicaIntermediário",Mercado_Receita!$N$2:$N$921)</f>
        <v>0</v>
      </c>
      <c r="M27" s="13">
        <f>SUMIF(Mercado_Receita!$T$2:$T$921,"44501B2Energia horáriaRuralServiço público de irrigação ruralNão se aplicaNão se aplicaIntermediário",Mercado_Receita!$N$2:$N$921)</f>
        <v>0</v>
      </c>
      <c r="N27" s="13">
        <f>SUMIF(Mercado_Receita!$T$2:$T$921,"44531B2Energia horáriaRuralServiço público de irrigação ruralNão se aplicaNão se aplicaIntermediário",Mercado_Receita!$N$2:$N$921)</f>
        <v>0</v>
      </c>
      <c r="O27" s="13">
        <f>SUMIF(Mercado_Receita!$T$2:$T$921,"44562B2Energia horáriaRuralServiço público de irrigação ruralNão se aplicaNão se aplicaIntermediário",Mercado_Receita!$N$2:$N$921)</f>
        <v>0</v>
      </c>
      <c r="P27" s="13">
        <f>SUMIF(Mercado_Receita!$T$2:$T$921,"44593B2Energia horáriaRuralServiço público de irrigação ruralNão se aplicaNão se aplicaIntermediário",Mercado_Receita!$N$2:$N$921)</f>
        <v>0</v>
      </c>
      <c r="Q27" s="13">
        <f>SUMIF(Mercado_Receita!$T$2:$T$921,"44621B2Energia horáriaRuralServiço público de irrigação ruralNão se aplicaNão se aplicaIntermediário",Mercado_Receita!$N$2:$N$921)</f>
        <v>0</v>
      </c>
      <c r="R27" s="13">
        <f>SUMIF(Mercado_Receita!$T$2:$T$921,"44652B2Energia horáriaRuralServiço público de irrigação ruralNão se aplicaNão se aplicaIntermediário",Mercado_Receita!$N$2:$N$921)</f>
        <v>0</v>
      </c>
      <c r="S27" s="13">
        <f>SUMIF(Mercado_Receita!$T$2:$T$921,"44682B2Energia horáriaRuralServiço público de irrigação ruralNão se aplicaNão se aplicaIntermediário",Mercado_Receita!$N$2:$N$921)</f>
        <v>0</v>
      </c>
      <c r="T27" s="13">
        <f>SUMIF(Mercado_Receita!$T$2:$T$921,"44713B2Energia horáriaRuralServiço público de irrigação ruralNão se aplicaNão se aplicaIntermediário",Mercado_Receita!$N$2:$N$921)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117"/>
      <c r="B28" s="117"/>
      <c r="C28" s="117"/>
      <c r="D28" s="117"/>
      <c r="E28" s="117"/>
      <c r="F28" s="117"/>
      <c r="G28" s="13" t="s">
        <v>84</v>
      </c>
      <c r="H28" s="13" t="s">
        <v>82</v>
      </c>
      <c r="I28" s="13">
        <f>SUMIF(Mercado_Receita!$T$2:$T$921,"44378B2Energia horáriaRuralServiço público de irrigação ruralNão se aplicaNão se aplicaFora ponta",Mercado_Receita!$N$2:$N$921)</f>
        <v>0</v>
      </c>
      <c r="J28" s="13">
        <f>SUMIF(Mercado_Receita!$T$2:$T$921,"44409B2Energia horáriaRuralServiço público de irrigação ruralNão se aplicaNão se aplicaFora ponta",Mercado_Receita!$N$2:$N$921)</f>
        <v>0</v>
      </c>
      <c r="K28" s="13">
        <f>SUMIF(Mercado_Receita!$T$2:$T$921,"44440B2Energia horáriaRuralServiço público de irrigação ruralNão se aplicaNão se aplicaFora ponta",Mercado_Receita!$N$2:$N$921)</f>
        <v>0</v>
      </c>
      <c r="L28" s="13">
        <f>SUMIF(Mercado_Receita!$T$2:$T$921,"44470B2Energia horáriaRuralServiço público de irrigação ruralNão se aplicaNão se aplicaFora ponta",Mercado_Receita!$N$2:$N$921)</f>
        <v>0</v>
      </c>
      <c r="M28" s="13">
        <f>SUMIF(Mercado_Receita!$T$2:$T$921,"44501B2Energia horáriaRuralServiço público de irrigação ruralNão se aplicaNão se aplicaFora ponta",Mercado_Receita!$N$2:$N$921)</f>
        <v>0</v>
      </c>
      <c r="N28" s="13">
        <f>SUMIF(Mercado_Receita!$T$2:$T$921,"44531B2Energia horáriaRuralServiço público de irrigação ruralNão se aplicaNão se aplicaFora ponta",Mercado_Receita!$N$2:$N$921)</f>
        <v>0</v>
      </c>
      <c r="O28" s="13">
        <f>SUMIF(Mercado_Receita!$T$2:$T$921,"44562B2Energia horáriaRuralServiço público de irrigação ruralNão se aplicaNão se aplicaFora ponta",Mercado_Receita!$N$2:$N$921)</f>
        <v>0</v>
      </c>
      <c r="P28" s="13">
        <f>SUMIF(Mercado_Receita!$T$2:$T$921,"44593B2Energia horáriaRuralServiço público de irrigação ruralNão se aplicaNão se aplicaFora ponta",Mercado_Receita!$N$2:$N$921)</f>
        <v>0</v>
      </c>
      <c r="Q28" s="13">
        <f>SUMIF(Mercado_Receita!$T$2:$T$921,"44621B2Energia horáriaRuralServiço público de irrigação ruralNão se aplicaNão se aplicaFora ponta",Mercado_Receita!$N$2:$N$921)</f>
        <v>0</v>
      </c>
      <c r="R28" s="13">
        <f>SUMIF(Mercado_Receita!$T$2:$T$921,"44652B2Energia horáriaRuralServiço público de irrigação ruralNão se aplicaNão se aplicaFora ponta",Mercado_Receita!$N$2:$N$921)</f>
        <v>0</v>
      </c>
      <c r="S28" s="13">
        <f>SUMIF(Mercado_Receita!$T$2:$T$921,"44682B2Energia horáriaRuralServiço público de irrigação ruralNão se aplicaNão se aplicaFora ponta",Mercado_Receita!$N$2:$N$921)</f>
        <v>0</v>
      </c>
      <c r="T28" s="13">
        <f>SUMIF(Mercado_Receita!$T$2:$T$921,"44713B2Energia horáriaRuralServiço público de irrigação ruralNão se aplicaNão se aplicaFora ponta",Mercado_Receita!$N$2:$N$921)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117"/>
      <c r="B29" s="12" t="s">
        <v>85</v>
      </c>
      <c r="C29" s="12" t="s">
        <v>43</v>
      </c>
      <c r="D29" s="12" t="s">
        <v>97</v>
      </c>
      <c r="E29" s="12" t="s">
        <v>25</v>
      </c>
      <c r="F29" s="12" t="s">
        <v>25</v>
      </c>
      <c r="G29" s="13" t="s">
        <v>86</v>
      </c>
      <c r="H29" s="13" t="s">
        <v>82</v>
      </c>
      <c r="I29" s="13">
        <f>SUMIF(Mercado_Receita!$T$2:$T$921,"44378B2Energia convencionalRuralServiço público de irrigação ruralNão se aplicaNão se aplicaNão se aplica",Mercado_Receita!$N$2:$N$921)</f>
        <v>0</v>
      </c>
      <c r="J29" s="13">
        <f>SUMIF(Mercado_Receita!$T$2:$T$921,"44409B2Energia convencionalRuralServiço público de irrigação ruralNão se aplicaNão se aplicaNão se aplica",Mercado_Receita!$N$2:$N$921)</f>
        <v>0</v>
      </c>
      <c r="K29" s="13">
        <f>SUMIF(Mercado_Receita!$T$2:$T$921,"44440B2Energia convencionalRuralServiço público de irrigação ruralNão se aplicaNão se aplicaNão se aplica",Mercado_Receita!$N$2:$N$921)</f>
        <v>0</v>
      </c>
      <c r="L29" s="13">
        <f>SUMIF(Mercado_Receita!$T$2:$T$921,"44470B2Energia convencionalRuralServiço público de irrigação ruralNão se aplicaNão se aplicaNão se aplica",Mercado_Receita!$N$2:$N$921)</f>
        <v>0</v>
      </c>
      <c r="M29" s="13">
        <f>SUMIF(Mercado_Receita!$T$2:$T$921,"44501B2Energia convencionalRuralServiço público de irrigação ruralNão se aplicaNão se aplicaNão se aplica",Mercado_Receita!$N$2:$N$921)</f>
        <v>0</v>
      </c>
      <c r="N29" s="13">
        <f>SUMIF(Mercado_Receita!$T$2:$T$921,"44531B2Energia convencionalRuralServiço público de irrigação ruralNão se aplicaNão se aplicaNão se aplica",Mercado_Receita!$N$2:$N$921)</f>
        <v>0</v>
      </c>
      <c r="O29" s="13">
        <f>SUMIF(Mercado_Receita!$T$2:$T$921,"44562B2Energia convencionalRuralServiço público de irrigação ruralNão se aplicaNão se aplicaNão se aplica",Mercado_Receita!$N$2:$N$921)</f>
        <v>0</v>
      </c>
      <c r="P29" s="13">
        <f>SUMIF(Mercado_Receita!$T$2:$T$921,"44593B2Energia convencionalRuralServiço público de irrigação ruralNão se aplicaNão se aplicaNão se aplica",Mercado_Receita!$N$2:$N$921)</f>
        <v>0</v>
      </c>
      <c r="Q29" s="13">
        <f>SUMIF(Mercado_Receita!$T$2:$T$921,"44621B2Energia convencionalRuralServiço público de irrigação ruralNão se aplicaNão se aplicaNão se aplica",Mercado_Receita!$N$2:$N$921)</f>
        <v>0</v>
      </c>
      <c r="R29" s="13">
        <f>SUMIF(Mercado_Receita!$T$2:$T$921,"44652B2Energia convencionalRuralServiço público de irrigação ruralNão se aplicaNão se aplicaNão se aplica",Mercado_Receita!$N$2:$N$921)</f>
        <v>0</v>
      </c>
      <c r="S29" s="13">
        <f>SUMIF(Mercado_Receita!$T$2:$T$921,"44682B2Energia convencionalRuralServiço público de irrigação ruralNão se aplicaNão se aplicaNão se aplica",Mercado_Receita!$N$2:$N$921)</f>
        <v>0</v>
      </c>
      <c r="T29" s="13">
        <f>SUMIF(Mercado_Receita!$T$2:$T$921,"44713B2Energia convencionalRuralServiço público de irrigação ruralNão se aplicaNão se aplicaNão se aplica",Mercado_Receita!$N$2:$N$921)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117"/>
      <c r="B30" s="116" t="s">
        <v>94</v>
      </c>
      <c r="C30" s="116" t="s">
        <v>43</v>
      </c>
      <c r="D30" s="12" t="s">
        <v>25</v>
      </c>
      <c r="E30" s="12" t="s">
        <v>25</v>
      </c>
      <c r="F30" s="12" t="s">
        <v>25</v>
      </c>
      <c r="G30" s="13" t="s">
        <v>86</v>
      </c>
      <c r="H30" s="13" t="s">
        <v>82</v>
      </c>
      <c r="I30" s="13">
        <f>SUMIF(Mercado_Receita!$T$2:$T$921,"44378B2Energia convencional pré-pagamentoRuralNão se aplicaNão se aplicaNão se aplicaNão se aplica",Mercado_Receita!$N$2:$N$921)</f>
        <v>0</v>
      </c>
      <c r="J30" s="13">
        <f>SUMIF(Mercado_Receita!$T$2:$T$921,"44409B2Energia convencional pré-pagamentoRuralNão se aplicaNão se aplicaNão se aplicaNão se aplica",Mercado_Receita!$N$2:$N$921)</f>
        <v>0</v>
      </c>
      <c r="K30" s="13">
        <f>SUMIF(Mercado_Receita!$T$2:$T$921,"44440B2Energia convencional pré-pagamentoRuralNão se aplicaNão se aplicaNão se aplicaNão se aplica",Mercado_Receita!$N$2:$N$921)</f>
        <v>0</v>
      </c>
      <c r="L30" s="13">
        <f>SUMIF(Mercado_Receita!$T$2:$T$921,"44470B2Energia convencional pré-pagamentoRuralNão se aplicaNão se aplicaNão se aplicaNão se aplica",Mercado_Receita!$N$2:$N$921)</f>
        <v>0</v>
      </c>
      <c r="M30" s="13">
        <f>SUMIF(Mercado_Receita!$T$2:$T$921,"44501B2Energia convencional pré-pagamentoRuralNão se aplicaNão se aplicaNão se aplicaNão se aplica",Mercado_Receita!$N$2:$N$921)</f>
        <v>0</v>
      </c>
      <c r="N30" s="13">
        <f>SUMIF(Mercado_Receita!$T$2:$T$921,"44531B2Energia convencional pré-pagamentoRuralNão se aplicaNão se aplicaNão se aplicaNão se aplica",Mercado_Receita!$N$2:$N$921)</f>
        <v>0</v>
      </c>
      <c r="O30" s="13">
        <f>SUMIF(Mercado_Receita!$T$2:$T$921,"44562B2Energia convencional pré-pagamentoRuralNão se aplicaNão se aplicaNão se aplicaNão se aplica",Mercado_Receita!$N$2:$N$921)</f>
        <v>0</v>
      </c>
      <c r="P30" s="13">
        <f>SUMIF(Mercado_Receita!$T$2:$T$921,"44593B2Energia convencional pré-pagamentoRuralNão se aplicaNão se aplicaNão se aplicaNão se aplica",Mercado_Receita!$N$2:$N$921)</f>
        <v>0</v>
      </c>
      <c r="Q30" s="13">
        <f>SUMIF(Mercado_Receita!$T$2:$T$921,"44621B2Energia convencional pré-pagamentoRuralNão se aplicaNão se aplicaNão se aplicaNão se aplica",Mercado_Receita!$N$2:$N$921)</f>
        <v>0</v>
      </c>
      <c r="R30" s="13">
        <f>SUMIF(Mercado_Receita!$T$2:$T$921,"44652B2Energia convencional pré-pagamentoRuralNão se aplicaNão se aplicaNão se aplicaNão se aplica",Mercado_Receita!$N$2:$N$921)</f>
        <v>0</v>
      </c>
      <c r="S30" s="13">
        <f>SUMIF(Mercado_Receita!$T$2:$T$921,"44682B2Energia convencional pré-pagamentoRuralNão se aplicaNão se aplicaNão se aplicaNão se aplica",Mercado_Receita!$N$2:$N$921)</f>
        <v>0</v>
      </c>
      <c r="T30" s="13">
        <f>SUMIF(Mercado_Receita!$T$2:$T$921,"44713B2Energia convencional pré-pagamentoRuralNão se aplicaNão se aplicaNão se aplicaNão se aplica",Mercado_Receita!$N$2:$N$921)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117"/>
      <c r="B31" s="117"/>
      <c r="C31" s="117"/>
      <c r="D31" s="12" t="s">
        <v>96</v>
      </c>
      <c r="E31" s="12" t="s">
        <v>25</v>
      </c>
      <c r="F31" s="12" t="s">
        <v>25</v>
      </c>
      <c r="G31" s="13" t="s">
        <v>86</v>
      </c>
      <c r="H31" s="13" t="s">
        <v>82</v>
      </c>
      <c r="I31" s="13">
        <f>SUMIF(Mercado_Receita!$T$2:$T$921,"44378B2Energia convencional pré-pagamentoRuralCooperativa de eletrificação ruralNão se aplicaNão se aplicaNão se aplica",Mercado_Receita!$N$2:$N$921)</f>
        <v>0</v>
      </c>
      <c r="J31" s="13">
        <f>SUMIF(Mercado_Receita!$T$2:$T$921,"44409B2Energia convencional pré-pagamentoRuralCooperativa de eletrificação ruralNão se aplicaNão se aplicaNão se aplica",Mercado_Receita!$N$2:$N$921)</f>
        <v>0</v>
      </c>
      <c r="K31" s="13">
        <f>SUMIF(Mercado_Receita!$T$2:$T$921,"44440B2Energia convencional pré-pagamentoRuralCooperativa de eletrificação ruralNão se aplicaNão se aplicaNão se aplica",Mercado_Receita!$N$2:$N$921)</f>
        <v>0</v>
      </c>
      <c r="L31" s="13">
        <f>SUMIF(Mercado_Receita!$T$2:$T$921,"44470B2Energia convencional pré-pagamentoRuralCooperativa de eletrificação ruralNão se aplicaNão se aplicaNão se aplica",Mercado_Receita!$N$2:$N$921)</f>
        <v>0</v>
      </c>
      <c r="M31" s="13">
        <f>SUMIF(Mercado_Receita!$T$2:$T$921,"44501B2Energia convencional pré-pagamentoRuralCooperativa de eletrificação ruralNão se aplicaNão se aplicaNão se aplica",Mercado_Receita!$N$2:$N$921)</f>
        <v>0</v>
      </c>
      <c r="N31" s="13">
        <f>SUMIF(Mercado_Receita!$T$2:$T$921,"44531B2Energia convencional pré-pagamentoRuralCooperativa de eletrificação ruralNão se aplicaNão se aplicaNão se aplica",Mercado_Receita!$N$2:$N$921)</f>
        <v>0</v>
      </c>
      <c r="O31" s="13">
        <f>SUMIF(Mercado_Receita!$T$2:$T$921,"44562B2Energia convencional pré-pagamentoRuralCooperativa de eletrificação ruralNão se aplicaNão se aplicaNão se aplica",Mercado_Receita!$N$2:$N$921)</f>
        <v>0</v>
      </c>
      <c r="P31" s="13">
        <f>SUMIF(Mercado_Receita!$T$2:$T$921,"44593B2Energia convencional pré-pagamentoRuralCooperativa de eletrificação ruralNão se aplicaNão se aplicaNão se aplica",Mercado_Receita!$N$2:$N$921)</f>
        <v>0</v>
      </c>
      <c r="Q31" s="13">
        <f>SUMIF(Mercado_Receita!$T$2:$T$921,"44621B2Energia convencional pré-pagamentoRuralCooperativa de eletrificação ruralNão se aplicaNão se aplicaNão se aplica",Mercado_Receita!$N$2:$N$921)</f>
        <v>0</v>
      </c>
      <c r="R31" s="13">
        <f>SUMIF(Mercado_Receita!$T$2:$T$921,"44652B2Energia convencional pré-pagamentoRuralCooperativa de eletrificação ruralNão se aplicaNão se aplicaNão se aplica",Mercado_Receita!$N$2:$N$921)</f>
        <v>0</v>
      </c>
      <c r="S31" s="13">
        <f>SUMIF(Mercado_Receita!$T$2:$T$921,"44682B2Energia convencional pré-pagamentoRuralCooperativa de eletrificação ruralNão se aplicaNão se aplicaNão se aplica",Mercado_Receita!$N$2:$N$921)</f>
        <v>0</v>
      </c>
      <c r="T31" s="13">
        <f>SUMIF(Mercado_Receita!$T$2:$T$921,"44713B2Energia convencional pré-pagamentoRuralCooperativa de eletrificação ruralNão se aplicaNão se aplicaNão se aplica",Mercado_Receita!$N$2:$N$921)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117"/>
      <c r="B32" s="117"/>
      <c r="C32" s="117"/>
      <c r="D32" s="12" t="s">
        <v>97</v>
      </c>
      <c r="E32" s="12" t="s">
        <v>25</v>
      </c>
      <c r="F32" s="12" t="s">
        <v>25</v>
      </c>
      <c r="G32" s="13" t="s">
        <v>86</v>
      </c>
      <c r="H32" s="13" t="s">
        <v>82</v>
      </c>
      <c r="I32" s="13">
        <f>SUMIF(Mercado_Receita!$T$2:$T$921,"44378B2Energia convencional pré-pagamentoRuralServiço público de irrigação ruralNão se aplicaNão se aplicaNão se aplica",Mercado_Receita!$N$2:$N$921)</f>
        <v>0</v>
      </c>
      <c r="J32" s="13">
        <f>SUMIF(Mercado_Receita!$T$2:$T$921,"44409B2Energia convencional pré-pagamentoRuralServiço público de irrigação ruralNão se aplicaNão se aplicaNão se aplica",Mercado_Receita!$N$2:$N$921)</f>
        <v>0</v>
      </c>
      <c r="K32" s="13">
        <f>SUMIF(Mercado_Receita!$T$2:$T$921,"44440B2Energia convencional pré-pagamentoRuralServiço público de irrigação ruralNão se aplicaNão se aplicaNão se aplica",Mercado_Receita!$N$2:$N$921)</f>
        <v>0</v>
      </c>
      <c r="L32" s="13">
        <f>SUMIF(Mercado_Receita!$T$2:$T$921,"44470B2Energia convencional pré-pagamentoRuralServiço público de irrigação ruralNão se aplicaNão se aplicaNão se aplica",Mercado_Receita!$N$2:$N$921)</f>
        <v>0</v>
      </c>
      <c r="M32" s="13">
        <f>SUMIF(Mercado_Receita!$T$2:$T$921,"44501B2Energia convencional pré-pagamentoRuralServiço público de irrigação ruralNão se aplicaNão se aplicaNão se aplica",Mercado_Receita!$N$2:$N$921)</f>
        <v>0</v>
      </c>
      <c r="N32" s="13">
        <f>SUMIF(Mercado_Receita!$T$2:$T$921,"44531B2Energia convencional pré-pagamentoRuralServiço público de irrigação ruralNão se aplicaNão se aplicaNão se aplica",Mercado_Receita!$N$2:$N$921)</f>
        <v>0</v>
      </c>
      <c r="O32" s="13">
        <f>SUMIF(Mercado_Receita!$T$2:$T$921,"44562B2Energia convencional pré-pagamentoRuralServiço público de irrigação ruralNão se aplicaNão se aplicaNão se aplica",Mercado_Receita!$N$2:$N$921)</f>
        <v>0</v>
      </c>
      <c r="P32" s="13">
        <f>SUMIF(Mercado_Receita!$T$2:$T$921,"44593B2Energia convencional pré-pagamentoRuralServiço público de irrigação ruralNão se aplicaNão se aplicaNão se aplica",Mercado_Receita!$N$2:$N$921)</f>
        <v>0</v>
      </c>
      <c r="Q32" s="13">
        <f>SUMIF(Mercado_Receita!$T$2:$T$921,"44621B2Energia convencional pré-pagamentoRuralServiço público de irrigação ruralNão se aplicaNão se aplicaNão se aplica",Mercado_Receita!$N$2:$N$921)</f>
        <v>0</v>
      </c>
      <c r="R32" s="13">
        <f>SUMIF(Mercado_Receita!$T$2:$T$921,"44652B2Energia convencional pré-pagamentoRuralServiço público de irrigação ruralNão se aplicaNão se aplicaNão se aplica",Mercado_Receita!$N$2:$N$921)</f>
        <v>0</v>
      </c>
      <c r="S32" s="13">
        <f>SUMIF(Mercado_Receita!$T$2:$T$921,"44682B2Energia convencional pré-pagamentoRuralServiço público de irrigação ruralNão se aplicaNão se aplicaNão se aplica",Mercado_Receita!$N$2:$N$921)</f>
        <v>0</v>
      </c>
      <c r="T32" s="13">
        <f>SUMIF(Mercado_Receita!$T$2:$T$921,"44713B2Energia convencional pré-pagamentoRuralServiço público de irrigação ruralNão se aplicaNão se aplicaNão se aplica",Mercado_Receita!$N$2:$N$921)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116" t="s">
        <v>36</v>
      </c>
      <c r="B33" s="116" t="s">
        <v>81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13" t="s">
        <v>83</v>
      </c>
      <c r="H33" s="13" t="s">
        <v>82</v>
      </c>
      <c r="I33" s="13">
        <f>SUMIF(Mercado_Receita!$T$2:$T$921,"44378B3Energia horáriaNão se aplicaNão se aplicaNão se aplicaNão se aplicaPonta",Mercado_Receita!$N$2:$N$921)</f>
        <v>1.661</v>
      </c>
      <c r="J33" s="13">
        <f>SUMIF(Mercado_Receita!$T$2:$T$921,"44409B3Energia horáriaNão se aplicaNão se aplicaNão se aplicaNão se aplicaPonta",Mercado_Receita!$N$2:$N$921)</f>
        <v>1.4</v>
      </c>
      <c r="K33" s="13">
        <f>SUMIF(Mercado_Receita!$T$2:$T$921,"44440B3Energia horáriaNão se aplicaNão se aplicaNão se aplicaNão se aplicaPonta",Mercado_Receita!$N$2:$N$921)</f>
        <v>1.401</v>
      </c>
      <c r="L33" s="13">
        <f>SUMIF(Mercado_Receita!$T$2:$T$921,"44470B3Energia horáriaNão se aplicaNão se aplicaNão se aplicaNão se aplicaPonta",Mercado_Receita!$N$2:$N$921)</f>
        <v>1.506</v>
      </c>
      <c r="M33" s="13">
        <f>SUMIF(Mercado_Receita!$T$2:$T$921,"44501B3Energia horáriaNão se aplicaNão se aplicaNão se aplicaNão se aplicaPonta",Mercado_Receita!$N$2:$N$921)</f>
        <v>1.865</v>
      </c>
      <c r="N33" s="13">
        <f>SUMIF(Mercado_Receita!$T$2:$T$921,"44531B3Energia horáriaNão se aplicaNão se aplicaNão se aplicaNão se aplicaPonta",Mercado_Receita!$N$2:$N$921)</f>
        <v>1.996</v>
      </c>
      <c r="O33" s="13">
        <f>SUMIF(Mercado_Receita!$T$2:$T$921,"44562B3Energia horáriaNão se aplicaNão se aplicaNão se aplicaNão se aplicaPonta",Mercado_Receita!$N$2:$N$921)</f>
        <v>2.5379999999999998</v>
      </c>
      <c r="P33" s="13">
        <f>SUMIF(Mercado_Receita!$T$2:$T$921,"44593B3Energia horáriaNão se aplicaNão se aplicaNão se aplicaNão se aplicaPonta",Mercado_Receita!$N$2:$N$921)</f>
        <v>1.871</v>
      </c>
      <c r="Q33" s="13">
        <f>SUMIF(Mercado_Receita!$T$2:$T$921,"44621B3Energia horáriaNão se aplicaNão se aplicaNão se aplicaNão se aplicaPonta",Mercado_Receita!$N$2:$N$921)</f>
        <v>1.47</v>
      </c>
      <c r="R33" s="13">
        <f>SUMIF(Mercado_Receita!$T$2:$T$921,"44652B3Energia horáriaNão se aplicaNão se aplicaNão se aplicaNão se aplicaPonta",Mercado_Receita!$N$2:$N$921)</f>
        <v>1.9059999999999999</v>
      </c>
      <c r="S33" s="13">
        <f>SUMIF(Mercado_Receita!$T$2:$T$921,"44682B3Energia horáriaNão se aplicaNão se aplicaNão se aplicaNão se aplicaPonta",Mercado_Receita!$N$2:$N$921)</f>
        <v>1.429</v>
      </c>
      <c r="T33" s="13">
        <f>SUMIF(Mercado_Receita!$T$2:$T$921,"44713B3Energia horáriaNão se aplicaNão se aplicaNão se aplicaNão se aplicaPonta",Mercado_Receita!$N$2:$N$921)</f>
        <v>1.429</v>
      </c>
      <c r="U33" s="13">
        <f t="shared" si="0"/>
        <v>20.471999999999998</v>
      </c>
      <c r="V33" s="13"/>
      <c r="W33" s="13"/>
    </row>
    <row r="34" spans="1:23" ht="11.25" customHeight="1" x14ac:dyDescent="0.25">
      <c r="A34" s="117"/>
      <c r="B34" s="117"/>
      <c r="C34" s="117"/>
      <c r="D34" s="117"/>
      <c r="E34" s="117"/>
      <c r="F34" s="117"/>
      <c r="G34" s="13" t="s">
        <v>93</v>
      </c>
      <c r="H34" s="13" t="s">
        <v>82</v>
      </c>
      <c r="I34" s="13">
        <f>SUMIF(Mercado_Receita!$T$2:$T$921,"44378B3Energia horáriaNão se aplicaNão se aplicaNão se aplicaNão se aplicaIntermediário",Mercado_Receita!$N$2:$N$921)</f>
        <v>1.2869999999999999</v>
      </c>
      <c r="J34" s="13">
        <f>SUMIF(Mercado_Receita!$T$2:$T$921,"44409B3Energia horáriaNão se aplicaNão se aplicaNão se aplicaNão se aplicaIntermediário",Mercado_Receita!$N$2:$N$921)</f>
        <v>1.155</v>
      </c>
      <c r="K34" s="13">
        <f>SUMIF(Mercado_Receita!$T$2:$T$921,"44440B3Energia horáriaNão se aplicaNão se aplicaNão se aplicaNão se aplicaIntermediário",Mercado_Receita!$N$2:$N$921)</f>
        <v>1.115</v>
      </c>
      <c r="L34" s="13">
        <f>SUMIF(Mercado_Receita!$T$2:$T$921,"44470B3Energia horáriaNão se aplicaNão se aplicaNão se aplicaNão se aplicaIntermediário",Mercado_Receita!$N$2:$N$921)</f>
        <v>1.157</v>
      </c>
      <c r="M34" s="13">
        <f>SUMIF(Mercado_Receita!$T$2:$T$921,"44501B3Energia horáriaNão se aplicaNão se aplicaNão se aplicaNão se aplicaIntermediário",Mercado_Receita!$N$2:$N$921)</f>
        <v>1.415</v>
      </c>
      <c r="N34" s="13">
        <f>SUMIF(Mercado_Receita!$T$2:$T$921,"44531B3Energia horáriaNão se aplicaNão se aplicaNão se aplicaNão se aplicaIntermediário",Mercado_Receita!$N$2:$N$921)</f>
        <v>1.536</v>
      </c>
      <c r="O34" s="13">
        <f>SUMIF(Mercado_Receita!$T$2:$T$921,"44562B3Energia horáriaNão se aplicaNão se aplicaNão se aplicaNão se aplicaIntermediário",Mercado_Receita!$N$2:$N$921)</f>
        <v>2.0840000000000001</v>
      </c>
      <c r="P34" s="13">
        <f>SUMIF(Mercado_Receita!$T$2:$T$921,"44593B3Energia horáriaNão se aplicaNão se aplicaNão se aplicaNão se aplicaIntermediário",Mercado_Receita!$N$2:$N$921)</f>
        <v>1.64</v>
      </c>
      <c r="Q34" s="13">
        <f>SUMIF(Mercado_Receita!$T$2:$T$921,"44621B3Energia horáriaNão se aplicaNão se aplicaNão se aplicaNão se aplicaIntermediário",Mercado_Receita!$N$2:$N$921)</f>
        <v>1.492</v>
      </c>
      <c r="R34" s="13">
        <f>SUMIF(Mercado_Receita!$T$2:$T$921,"44652B3Energia horáriaNão se aplicaNão se aplicaNão se aplicaNão se aplicaIntermediário",Mercado_Receita!$N$2:$N$921)</f>
        <v>1.5289999999999999</v>
      </c>
      <c r="S34" s="13">
        <f>SUMIF(Mercado_Receita!$T$2:$T$921,"44682B3Energia horáriaNão se aplicaNão se aplicaNão se aplicaNão se aplicaIntermediário",Mercado_Receita!$N$2:$N$921)</f>
        <v>1.139</v>
      </c>
      <c r="T34" s="13">
        <f>SUMIF(Mercado_Receita!$T$2:$T$921,"44713B3Energia horáriaNão se aplicaNão se aplicaNão se aplicaNão se aplicaIntermediário",Mercado_Receita!$N$2:$N$921)</f>
        <v>1.139</v>
      </c>
      <c r="U34" s="13">
        <f t="shared" si="0"/>
        <v>16.687999999999999</v>
      </c>
      <c r="V34" s="13"/>
      <c r="W34" s="13"/>
    </row>
    <row r="35" spans="1:23" ht="11.25" customHeight="1" x14ac:dyDescent="0.25">
      <c r="A35" s="117"/>
      <c r="B35" s="117"/>
      <c r="C35" s="117"/>
      <c r="D35" s="117"/>
      <c r="E35" s="117"/>
      <c r="F35" s="117"/>
      <c r="G35" s="13" t="s">
        <v>84</v>
      </c>
      <c r="H35" s="13" t="s">
        <v>82</v>
      </c>
      <c r="I35" s="13">
        <f>SUMIF(Mercado_Receita!$T$2:$T$921,"44378B3Energia horáriaNão se aplicaNão se aplicaNão se aplicaNão se aplicaFora ponta",Mercado_Receita!$N$2:$N$921)</f>
        <v>19.925000000000001</v>
      </c>
      <c r="J35" s="13">
        <f>SUMIF(Mercado_Receita!$T$2:$T$921,"44409B3Energia horáriaNão se aplicaNão se aplicaNão se aplicaNão se aplicaFora ponta",Mercado_Receita!$N$2:$N$921)</f>
        <v>17.105</v>
      </c>
      <c r="K35" s="13">
        <f>SUMIF(Mercado_Receita!$T$2:$T$921,"44440B3Energia horáriaNão se aplicaNão se aplicaNão se aplicaNão se aplicaFora ponta",Mercado_Receita!$N$2:$N$921)</f>
        <v>16.241</v>
      </c>
      <c r="L35" s="13">
        <f>SUMIF(Mercado_Receita!$T$2:$T$921,"44470B3Energia horáriaNão se aplicaNão se aplicaNão se aplicaNão se aplicaFora ponta",Mercado_Receita!$N$2:$N$921)</f>
        <v>16.625</v>
      </c>
      <c r="M35" s="13">
        <f>SUMIF(Mercado_Receita!$T$2:$T$921,"44501B3Energia horáriaNão se aplicaNão se aplicaNão se aplicaNão se aplicaFora ponta",Mercado_Receita!$N$2:$N$921)</f>
        <v>18.853000000000002</v>
      </c>
      <c r="N35" s="13">
        <f>SUMIF(Mercado_Receita!$T$2:$T$921,"44531B3Energia horáriaNão se aplicaNão se aplicaNão se aplicaNão se aplicaFora ponta",Mercado_Receita!$N$2:$N$921)</f>
        <v>18.457999999999998</v>
      </c>
      <c r="O35" s="13">
        <f>SUMIF(Mercado_Receita!$T$2:$T$921,"44562B3Energia horáriaNão se aplicaNão se aplicaNão se aplicaNão se aplicaFora ponta",Mercado_Receita!$N$2:$N$921)</f>
        <v>25.123999999999999</v>
      </c>
      <c r="P35" s="13">
        <f>SUMIF(Mercado_Receita!$T$2:$T$921,"44593B3Energia horáriaNão se aplicaNão se aplicaNão se aplicaNão se aplicaFora ponta",Mercado_Receita!$N$2:$N$921)</f>
        <v>17.977</v>
      </c>
      <c r="Q35" s="13">
        <f>SUMIF(Mercado_Receita!$T$2:$T$921,"44621B3Energia horáriaNão se aplicaNão se aplicaNão se aplicaNão se aplicaFora ponta",Mercado_Receita!$N$2:$N$921)</f>
        <v>13.593999999999999</v>
      </c>
      <c r="R35" s="13">
        <f>SUMIF(Mercado_Receita!$T$2:$T$921,"44652B3Energia horáriaNão se aplicaNão se aplicaNão se aplicaNão se aplicaFora ponta",Mercado_Receita!$N$2:$N$921)</f>
        <v>21.498999999999999</v>
      </c>
      <c r="S35" s="13">
        <f>SUMIF(Mercado_Receita!$T$2:$T$921,"44682B3Energia horáriaNão se aplicaNão se aplicaNão se aplicaNão se aplicaFora ponta",Mercado_Receita!$N$2:$N$921)</f>
        <v>15.483000000000001</v>
      </c>
      <c r="T35" s="13">
        <f>SUMIF(Mercado_Receita!$T$2:$T$921,"44713B3Energia horáriaNão se aplicaNão se aplicaNão se aplicaNão se aplicaFora ponta",Mercado_Receita!$N$2:$N$921)</f>
        <v>15.483000000000001</v>
      </c>
      <c r="U35" s="13">
        <f t="shared" si="0"/>
        <v>216.36699999999999</v>
      </c>
      <c r="V35" s="13"/>
      <c r="W35" s="13"/>
    </row>
    <row r="36" spans="1:23" ht="11.25" customHeight="1" x14ac:dyDescent="0.25">
      <c r="A36" s="117"/>
      <c r="B36" s="12" t="s">
        <v>85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86</v>
      </c>
      <c r="H36" s="13" t="s">
        <v>82</v>
      </c>
      <c r="I36" s="13">
        <f>SUMIF(Mercado_Receita!$T$2:$T$921,"44378B3Energia convencionalNão se aplicaNão se aplicaNão se aplicaNão se aplicaNão se aplica",Mercado_Receita!$N$2:$N$921)</f>
        <v>1981.279</v>
      </c>
      <c r="J36" s="13">
        <f>SUMIF(Mercado_Receita!$T$2:$T$921,"44409B3Energia convencionalNão se aplicaNão se aplicaNão se aplicaNão se aplicaNão se aplica",Mercado_Receita!$N$2:$N$921)</f>
        <v>2075.6030000000001</v>
      </c>
      <c r="K36" s="13">
        <f>SUMIF(Mercado_Receita!$T$2:$T$921,"44440B3Energia convencionalNão se aplicaNão se aplicaNão se aplicaNão se aplicaNão se aplica",Mercado_Receita!$N$2:$N$921)</f>
        <v>2006.865</v>
      </c>
      <c r="L36" s="13">
        <f>SUMIF(Mercado_Receita!$T$2:$T$921,"44470B3Energia convencionalNão se aplicaNão se aplicaNão se aplicaNão se aplicaNão se aplica",Mercado_Receita!$N$2:$N$921)</f>
        <v>2015.568</v>
      </c>
      <c r="M36" s="13">
        <f>SUMIF(Mercado_Receita!$T$2:$T$921,"44501B3Energia convencionalNão se aplicaNão se aplicaNão se aplicaNão se aplicaNão se aplica",Mercado_Receita!$N$2:$N$921)</f>
        <v>2179.0060000000003</v>
      </c>
      <c r="N36" s="13">
        <f>SUMIF(Mercado_Receita!$T$2:$T$921,"44531B3Energia convencionalNão se aplicaNão se aplicaNão se aplicaNão se aplicaNão se aplica",Mercado_Receita!$N$2:$N$921)</f>
        <v>2417.3590000000004</v>
      </c>
      <c r="O36" s="13">
        <f>SUMIF(Mercado_Receita!$T$2:$T$921,"44562B3Energia convencionalNão se aplicaNão se aplicaNão se aplicaNão se aplicaNão se aplica",Mercado_Receita!$N$2:$N$921)</f>
        <v>2558.9009999999998</v>
      </c>
      <c r="P36" s="13">
        <f>SUMIF(Mercado_Receita!$T$2:$T$921,"44593B3Energia convencionalNão se aplicaNão se aplicaNão se aplicaNão se aplicaNão se aplica",Mercado_Receita!$N$2:$N$921)</f>
        <v>2428.741</v>
      </c>
      <c r="Q36" s="13">
        <f>SUMIF(Mercado_Receita!$T$2:$T$921,"44621B3Energia convencionalNão se aplicaNão se aplicaNão se aplicaNão se aplicaNão se aplica",Mercado_Receita!$N$2:$N$921)</f>
        <v>2639.1510000000003</v>
      </c>
      <c r="R36" s="13">
        <f>SUMIF(Mercado_Receita!$T$2:$T$921,"44652B3Energia convencionalNão se aplicaNão se aplicaNão se aplicaNão se aplicaNão se aplica",Mercado_Receita!$N$2:$N$921)</f>
        <v>2070.41</v>
      </c>
      <c r="S36" s="13">
        <f>SUMIF(Mercado_Receita!$T$2:$T$921,"44682B3Energia convencionalNão se aplicaNão se aplicaNão se aplicaNão se aplicaNão se aplica",Mercado_Receita!$N$2:$N$921)</f>
        <v>1876.3249999999998</v>
      </c>
      <c r="T36" s="13">
        <f>SUMIF(Mercado_Receita!$T$2:$T$921,"44713B3Energia convencionalNão se aplicaNão se aplicaNão se aplicaNão se aplicaNão se aplica",Mercado_Receita!$N$2:$N$921)</f>
        <v>1876.3249999999998</v>
      </c>
      <c r="U36" s="13">
        <f t="shared" si="0"/>
        <v>26125.533000000003</v>
      </c>
      <c r="V36" s="13"/>
      <c r="W36" s="13"/>
    </row>
    <row r="37" spans="1:23" ht="11.25" customHeight="1" x14ac:dyDescent="0.25">
      <c r="A37" s="117"/>
      <c r="B37" s="12" t="s">
        <v>94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86</v>
      </c>
      <c r="H37" s="13" t="s">
        <v>82</v>
      </c>
      <c r="I37" s="13">
        <f>SUMIF(Mercado_Receita!$T$2:$T$921,"44378B3Energia convencional pré-pagamentoNão se aplicaNão se aplicaNão se aplicaNão se aplicaNão se aplica",Mercado_Receita!$N$2:$N$921)</f>
        <v>0</v>
      </c>
      <c r="J37" s="13">
        <f>SUMIF(Mercado_Receita!$T$2:$T$921,"44409B3Energia convencional pré-pagamentoNão se aplicaNão se aplicaNão se aplicaNão se aplicaNão se aplica",Mercado_Receita!$N$2:$N$921)</f>
        <v>0</v>
      </c>
      <c r="K37" s="13">
        <f>SUMIF(Mercado_Receita!$T$2:$T$921,"44440B3Energia convencional pré-pagamentoNão se aplicaNão se aplicaNão se aplicaNão se aplicaNão se aplica",Mercado_Receita!$N$2:$N$921)</f>
        <v>0</v>
      </c>
      <c r="L37" s="13">
        <f>SUMIF(Mercado_Receita!$T$2:$T$921,"44470B3Energia convencional pré-pagamentoNão se aplicaNão se aplicaNão se aplicaNão se aplicaNão se aplica",Mercado_Receita!$N$2:$N$921)</f>
        <v>0</v>
      </c>
      <c r="M37" s="13">
        <f>SUMIF(Mercado_Receita!$T$2:$T$921,"44501B3Energia convencional pré-pagamentoNão se aplicaNão se aplicaNão se aplicaNão se aplicaNão se aplica",Mercado_Receita!$N$2:$N$921)</f>
        <v>0</v>
      </c>
      <c r="N37" s="13">
        <f>SUMIF(Mercado_Receita!$T$2:$T$921,"44531B3Energia convencional pré-pagamentoNão se aplicaNão se aplicaNão se aplicaNão se aplicaNão se aplica",Mercado_Receita!$N$2:$N$921)</f>
        <v>0</v>
      </c>
      <c r="O37" s="13">
        <f>SUMIF(Mercado_Receita!$T$2:$T$921,"44562B3Energia convencional pré-pagamentoNão se aplicaNão se aplicaNão se aplicaNão se aplicaNão se aplica",Mercado_Receita!$N$2:$N$921)</f>
        <v>0</v>
      </c>
      <c r="P37" s="13">
        <f>SUMIF(Mercado_Receita!$T$2:$T$921,"44593B3Energia convencional pré-pagamentoNão se aplicaNão se aplicaNão se aplicaNão se aplicaNão se aplica",Mercado_Receita!$N$2:$N$921)</f>
        <v>0</v>
      </c>
      <c r="Q37" s="13">
        <f>SUMIF(Mercado_Receita!$T$2:$T$921,"44621B3Energia convencional pré-pagamentoNão se aplicaNão se aplicaNão se aplicaNão se aplicaNão se aplica",Mercado_Receita!$N$2:$N$921)</f>
        <v>0</v>
      </c>
      <c r="R37" s="13">
        <f>SUMIF(Mercado_Receita!$T$2:$T$921,"44652B3Energia convencional pré-pagamentoNão se aplicaNão se aplicaNão se aplicaNão se aplicaNão se aplica",Mercado_Receita!$N$2:$N$921)</f>
        <v>0</v>
      </c>
      <c r="S37" s="13">
        <f>SUMIF(Mercado_Receita!$T$2:$T$921,"44682B3Energia convencional pré-pagamentoNão se aplicaNão se aplicaNão se aplicaNão se aplicaNão se aplica",Mercado_Receita!$N$2:$N$921)</f>
        <v>0</v>
      </c>
      <c r="T37" s="13">
        <f>SUMIF(Mercado_Receita!$T$2:$T$921,"44713B3Energia convencional pré-pagamentoNão se aplicaNão se aplicaNão se aplicaNão se aplicaNão se aplica",Mercado_Receita!$N$2:$N$921)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116" t="s">
        <v>45</v>
      </c>
      <c r="B38" s="116" t="s">
        <v>85</v>
      </c>
      <c r="C38" s="116" t="s">
        <v>46</v>
      </c>
      <c r="D38" s="12" t="s">
        <v>47</v>
      </c>
      <c r="E38" s="12" t="s">
        <v>25</v>
      </c>
      <c r="F38" s="12" t="s">
        <v>25</v>
      </c>
      <c r="G38" s="13" t="s">
        <v>86</v>
      </c>
      <c r="H38" s="13" t="s">
        <v>82</v>
      </c>
      <c r="I38" s="13">
        <f>SUMIF(Mercado_Receita!$T$2:$T$921,"44378B4Energia convencionalIluminação públicaIluminação pública – B4aNão se aplicaNão se aplicaNão se aplica",Mercado_Receita!$N$2:$N$921)</f>
        <v>471.03500000000003</v>
      </c>
      <c r="J38" s="13">
        <f>SUMIF(Mercado_Receita!$T$2:$T$921,"44409B4Energia convencionalIluminação públicaIluminação pública – B4aNão se aplicaNão se aplicaNão se aplica",Mercado_Receita!$N$2:$N$921)</f>
        <v>462.63900000000001</v>
      </c>
      <c r="K38" s="13">
        <f>SUMIF(Mercado_Receita!$T$2:$T$921,"44440B4Energia convencionalIluminação públicaIluminação pública – B4aNão se aplicaNão se aplicaNão se aplica",Mercado_Receita!$N$2:$N$921)</f>
        <v>447.71600000000001</v>
      </c>
      <c r="L38" s="13">
        <f>SUMIF(Mercado_Receita!$T$2:$T$921,"44470B4Energia convencionalIluminação públicaIluminação pública – B4aNão se aplicaNão se aplicaNão se aplica",Mercado_Receita!$N$2:$N$921)</f>
        <v>462.63900000000001</v>
      </c>
      <c r="M38" s="13">
        <f>SUMIF(Mercado_Receita!$T$2:$T$921,"44501B4Energia convencionalIluminação públicaIluminação pública – B4aNão se aplicaNão se aplicaNão se aplica",Mercado_Receita!$N$2:$N$921)</f>
        <v>448.31</v>
      </c>
      <c r="N38" s="13">
        <f>SUMIF(Mercado_Receita!$T$2:$T$921,"44531B4Energia convencionalIluminação públicaIluminação pública – B4aNão se aplicaNão se aplicaNão se aplica",Mercado_Receita!$N$2:$N$921)</f>
        <v>463.16500000000002</v>
      </c>
      <c r="O38" s="13">
        <f>SUMIF(Mercado_Receita!$T$2:$T$921,"44562B4Energia convencionalIluminação públicaIluminação pública – B4aNão se aplicaNão se aplicaNão se aplica",Mercado_Receita!$N$2:$N$921)</f>
        <v>463.16500000000002</v>
      </c>
      <c r="P38" s="13">
        <f>SUMIF(Mercado_Receita!$T$2:$T$921,"44593B4Energia convencionalIluminação públicaIluminação pública – B4aNão se aplicaNão se aplicaNão se aplica",Mercado_Receita!$N$2:$N$921)</f>
        <v>418.34300000000002</v>
      </c>
      <c r="Q38" s="13">
        <f>SUMIF(Mercado_Receita!$T$2:$T$921,"44621B4Energia convencionalIluminação públicaIluminação pública – B4aNão se aplicaNão se aplicaNão se aplica",Mercado_Receita!$N$2:$N$921)</f>
        <v>463.16500000000002</v>
      </c>
      <c r="R38" s="13">
        <f>SUMIF(Mercado_Receita!$T$2:$T$921,"44652B4Energia convencionalIluminação públicaIluminação pública – B4aNão se aplicaNão se aplicaNão se aplica",Mercado_Receita!$N$2:$N$921)</f>
        <v>448.22500000000002</v>
      </c>
      <c r="S38" s="13">
        <f>SUMIF(Mercado_Receita!$T$2:$T$921,"44682B4Energia convencionalIluminação públicaIluminação pública – B4aNão se aplicaNão se aplicaNão se aplica",Mercado_Receita!$N$2:$N$921)</f>
        <v>463.16500000000002</v>
      </c>
      <c r="T38" s="13">
        <f>SUMIF(Mercado_Receita!$T$2:$T$921,"44713B4Energia convencionalIluminação públicaIluminação pública – B4aNão se aplicaNão se aplicaNão se aplica",Mercado_Receita!$N$2:$N$921)</f>
        <v>463.16500000000002</v>
      </c>
      <c r="U38" s="13">
        <f t="shared" si="0"/>
        <v>5474.732</v>
      </c>
      <c r="V38" s="13"/>
      <c r="W38" s="13"/>
    </row>
    <row r="39" spans="1:23" ht="11.25" customHeight="1" x14ac:dyDescent="0.25">
      <c r="A39" s="117"/>
      <c r="B39" s="117"/>
      <c r="C39" s="117"/>
      <c r="D39" s="13" t="s">
        <v>98</v>
      </c>
      <c r="E39" s="13" t="s">
        <v>25</v>
      </c>
      <c r="F39" s="13" t="s">
        <v>25</v>
      </c>
      <c r="G39" s="13" t="s">
        <v>86</v>
      </c>
      <c r="H39" s="13" t="s">
        <v>82</v>
      </c>
      <c r="I39" s="13">
        <f>SUMIF(Mercado_Receita!$T$2:$T$921,"44378B4Energia convencionalIluminação públicaIluminação pública – B4bNão se aplicaNão se aplicaNão se aplica",Mercado_Receita!$N$2:$N$921)</f>
        <v>0</v>
      </c>
      <c r="J39" s="13">
        <f>SUMIF(Mercado_Receita!$T$2:$T$921,"44409B4Energia convencionalIluminação públicaIluminação pública – B4bNão se aplicaNão se aplicaNão se aplica",Mercado_Receita!$N$2:$N$921)</f>
        <v>0</v>
      </c>
      <c r="K39" s="13">
        <f>SUMIF(Mercado_Receita!$T$2:$T$921,"44440B4Energia convencionalIluminação públicaIluminação pública – B4bNão se aplicaNão se aplicaNão se aplica",Mercado_Receita!$N$2:$N$921)</f>
        <v>0</v>
      </c>
      <c r="L39" s="13">
        <f>SUMIF(Mercado_Receita!$T$2:$T$921,"44470B4Energia convencionalIluminação públicaIluminação pública – B4bNão se aplicaNão se aplicaNão se aplica",Mercado_Receita!$N$2:$N$921)</f>
        <v>0</v>
      </c>
      <c r="M39" s="13">
        <f>SUMIF(Mercado_Receita!$T$2:$T$921,"44501B4Energia convencionalIluminação públicaIluminação pública – B4bNão se aplicaNão se aplicaNão se aplica",Mercado_Receita!$N$2:$N$921)</f>
        <v>0</v>
      </c>
      <c r="N39" s="13">
        <f>SUMIF(Mercado_Receita!$T$2:$T$921,"44531B4Energia convencionalIluminação públicaIluminação pública – B4bNão se aplicaNão se aplicaNão se aplica",Mercado_Receita!$N$2:$N$921)</f>
        <v>0</v>
      </c>
      <c r="O39" s="13">
        <f>SUMIF(Mercado_Receita!$T$2:$T$921,"44562B4Energia convencionalIluminação públicaIluminação pública – B4bNão se aplicaNão se aplicaNão se aplica",Mercado_Receita!$N$2:$N$921)</f>
        <v>0</v>
      </c>
      <c r="P39" s="13">
        <f>SUMIF(Mercado_Receita!$T$2:$T$921,"44593B4Energia convencionalIluminação públicaIluminação pública – B4bNão se aplicaNão se aplicaNão se aplica",Mercado_Receita!$N$2:$N$921)</f>
        <v>0</v>
      </c>
      <c r="Q39" s="13">
        <f>SUMIF(Mercado_Receita!$T$2:$T$921,"44621B4Energia convencionalIluminação públicaIluminação pública – B4bNão se aplicaNão se aplicaNão se aplica",Mercado_Receita!$N$2:$N$921)</f>
        <v>0</v>
      </c>
      <c r="R39" s="13">
        <f>SUMIF(Mercado_Receita!$T$2:$T$921,"44652B4Energia convencionalIluminação públicaIluminação pública – B4bNão se aplicaNão se aplicaNão se aplica",Mercado_Receita!$N$2:$N$921)</f>
        <v>0</v>
      </c>
      <c r="S39" s="13">
        <f>SUMIF(Mercado_Receita!$T$2:$T$921,"44682B4Energia convencionalIluminação públicaIluminação pública – B4bNão se aplicaNão se aplicaNão se aplica",Mercado_Receita!$N$2:$N$921)</f>
        <v>0</v>
      </c>
      <c r="T39" s="13">
        <f>SUMIF(Mercado_Receita!$T$2:$T$921,"44713B4Energia convencionalIluminação públicaIluminação pública – B4bNão se aplicaNão se aplicaNão se aplica",Mercado_Receita!$N$2:$N$921)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118" t="s">
        <v>561</v>
      </c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3"/>
      <c r="W40" s="13"/>
    </row>
  </sheetData>
  <mergeCells count="44">
    <mergeCell ref="A2:A4"/>
    <mergeCell ref="F2:F3"/>
    <mergeCell ref="E2:E3"/>
    <mergeCell ref="D2:D3"/>
    <mergeCell ref="C2:C3"/>
    <mergeCell ref="B2:B3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C22:C24"/>
    <mergeCell ref="B22:B24"/>
    <mergeCell ref="F26:F28"/>
    <mergeCell ref="E26:E28"/>
    <mergeCell ref="D26:D28"/>
    <mergeCell ref="C26:C28"/>
    <mergeCell ref="B26:B28"/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F317-3E1C-499C-B2BF-5AF22F26C952}">
  <dimension ref="A1:AD200"/>
  <sheetViews>
    <sheetView showGridLines="0" topLeftCell="I1" zoomScale="115" zoomScaleNormal="115" workbookViewId="0">
      <selection activeCell="Q28" sqref="Q28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0" style="14" bestFit="1" customWidth="1"/>
    <col min="7" max="7" width="11.42578125" style="14" bestFit="1" customWidth="1"/>
    <col min="8" max="11" width="9.140625" style="14"/>
    <col min="12" max="12" width="34.140625" style="14" bestFit="1" customWidth="1"/>
    <col min="13" max="13" width="10.85546875" style="14" bestFit="1" customWidth="1"/>
    <col min="14" max="14" width="36.28515625" style="14" bestFit="1" customWidth="1"/>
    <col min="15" max="15" width="30.7109375" style="14" customWidth="1"/>
    <col min="16" max="16" width="4" style="14" bestFit="1" customWidth="1"/>
    <col min="17" max="21" width="11.7109375" style="14" customWidth="1"/>
    <col min="22" max="22" width="13.5703125" style="14" bestFit="1" customWidth="1"/>
    <col min="23" max="23" width="5.7109375" style="14" bestFit="1" customWidth="1"/>
    <col min="24" max="24" width="48.85546875" style="14" customWidth="1"/>
    <col min="25" max="26" width="9.7109375" style="14" customWidth="1"/>
    <col min="27" max="27" width="5.7109375" style="14" bestFit="1" customWidth="1"/>
    <col min="28" max="30" width="9.7109375" style="14" customWidth="1"/>
    <col min="31" max="16384" width="9.140625" style="14"/>
  </cols>
  <sheetData>
    <row r="1" spans="1:30" ht="12" customHeight="1" x14ac:dyDescent="0.2">
      <c r="A1" s="69" t="s">
        <v>601</v>
      </c>
      <c r="B1" s="69" t="s">
        <v>602</v>
      </c>
      <c r="C1" s="69" t="s">
        <v>603</v>
      </c>
      <c r="D1" s="69" t="s">
        <v>604</v>
      </c>
      <c r="E1" s="69" t="s">
        <v>605</v>
      </c>
      <c r="F1" s="69" t="s">
        <v>606</v>
      </c>
      <c r="G1" s="7"/>
      <c r="H1" s="7"/>
      <c r="I1" s="7"/>
      <c r="J1" s="7"/>
      <c r="K1" s="7"/>
      <c r="L1" s="125" t="s">
        <v>607</v>
      </c>
      <c r="M1" s="130"/>
      <c r="N1" s="7"/>
      <c r="O1" s="125" t="s">
        <v>1273</v>
      </c>
      <c r="P1" s="126"/>
      <c r="Q1" s="126"/>
      <c r="R1" s="126"/>
      <c r="S1" s="126"/>
      <c r="T1" s="126"/>
      <c r="U1" s="126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0" t="s">
        <v>562</v>
      </c>
      <c r="B2" s="120" t="s">
        <v>563</v>
      </c>
      <c r="C2" s="68" t="s">
        <v>648</v>
      </c>
      <c r="D2" s="53">
        <v>1142573.8820889951</v>
      </c>
      <c r="E2" s="53">
        <v>-78044.863489655312</v>
      </c>
      <c r="F2" s="53">
        <v>74952.677252192239</v>
      </c>
      <c r="G2" s="15"/>
      <c r="H2" s="15"/>
      <c r="I2" s="15"/>
      <c r="J2" s="15"/>
      <c r="K2" s="15"/>
      <c r="L2" s="53" t="s">
        <v>608</v>
      </c>
      <c r="M2" s="70">
        <v>0.10894285182730767</v>
      </c>
      <c r="N2" s="15"/>
      <c r="O2" s="84" t="s">
        <v>675</v>
      </c>
      <c r="P2" s="84" t="s">
        <v>62</v>
      </c>
      <c r="Q2" s="84" t="s">
        <v>676</v>
      </c>
      <c r="R2" s="84" t="s">
        <v>38</v>
      </c>
      <c r="S2" s="84" t="s">
        <v>677</v>
      </c>
      <c r="T2" s="84" t="s">
        <v>90</v>
      </c>
      <c r="U2" s="84"/>
      <c r="V2" s="15"/>
      <c r="W2" s="15"/>
      <c r="X2" s="53" t="s">
        <v>1263</v>
      </c>
      <c r="Y2" s="15"/>
      <c r="Z2" s="15"/>
      <c r="AA2" s="15" t="s">
        <v>683</v>
      </c>
      <c r="AB2" s="15"/>
      <c r="AC2" s="15"/>
      <c r="AD2" s="15"/>
    </row>
    <row r="3" spans="1:30" ht="12" customHeight="1" x14ac:dyDescent="0.2">
      <c r="A3" s="121"/>
      <c r="B3" s="121"/>
      <c r="C3" s="68" t="s">
        <v>564</v>
      </c>
      <c r="D3" s="53">
        <v>135866.19550768039</v>
      </c>
      <c r="E3" s="53">
        <v>-9076.8183316994891</v>
      </c>
      <c r="F3" s="53">
        <v>0</v>
      </c>
      <c r="G3" s="15"/>
      <c r="H3" s="15"/>
      <c r="I3" s="15"/>
      <c r="J3" s="15"/>
      <c r="K3" s="15"/>
      <c r="L3" s="53" t="s">
        <v>609</v>
      </c>
      <c r="M3" s="70"/>
      <c r="N3" s="15"/>
      <c r="O3" s="85">
        <v>1</v>
      </c>
      <c r="P3" s="85">
        <v>1</v>
      </c>
      <c r="Q3" s="85">
        <v>1</v>
      </c>
      <c r="R3" s="85">
        <v>1</v>
      </c>
      <c r="S3" s="85">
        <v>1</v>
      </c>
      <c r="T3" s="113">
        <v>0.85</v>
      </c>
      <c r="U3" s="85" t="s">
        <v>1274</v>
      </c>
      <c r="V3" s="15"/>
      <c r="W3" s="15"/>
      <c r="X3" s="53" t="s">
        <v>1264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21"/>
      <c r="B4" s="121"/>
      <c r="C4" s="68" t="s">
        <v>565</v>
      </c>
      <c r="D4" s="53">
        <f>$M$22-D$30</f>
        <v>339394.07104977674</v>
      </c>
      <c r="E4" s="53">
        <f>IF((D4+D$30)&lt;&gt;0,$M$20*D4/(D4+D$30),0)</f>
        <v>3.9082317569640096E-6</v>
      </c>
      <c r="F4" s="53">
        <f>IF((D4+D$30)&lt;&gt;0,$M$21*D4/(D4+D$30),0)</f>
        <v>0</v>
      </c>
      <c r="G4" s="15"/>
      <c r="H4" s="15"/>
      <c r="I4" s="15"/>
      <c r="J4" s="15"/>
      <c r="K4" s="15"/>
      <c r="L4" s="53" t="s">
        <v>610</v>
      </c>
      <c r="M4" s="70">
        <v>0.10704236088323049</v>
      </c>
      <c r="N4" s="15"/>
      <c r="O4" s="85">
        <v>1</v>
      </c>
      <c r="P4" s="85">
        <v>1</v>
      </c>
      <c r="Q4" s="85">
        <v>1</v>
      </c>
      <c r="R4" s="113">
        <v>1.1000000000000001</v>
      </c>
      <c r="S4" s="85">
        <v>1</v>
      </c>
      <c r="T4" s="85">
        <v>1</v>
      </c>
      <c r="U4" s="85" t="s">
        <v>59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21"/>
      <c r="B5" s="121"/>
      <c r="C5" s="68" t="s">
        <v>566</v>
      </c>
      <c r="D5" s="53">
        <v>0</v>
      </c>
      <c r="E5" s="53">
        <v>0</v>
      </c>
      <c r="F5" s="53">
        <v>0</v>
      </c>
      <c r="G5" s="15"/>
      <c r="H5" s="15"/>
      <c r="I5" s="15"/>
      <c r="J5" s="15"/>
      <c r="K5" s="15"/>
      <c r="L5" s="53" t="s">
        <v>611</v>
      </c>
      <c r="M5" s="70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21"/>
      <c r="B6" s="121"/>
      <c r="C6" s="68" t="s">
        <v>567</v>
      </c>
      <c r="D6" s="53">
        <v>0</v>
      </c>
      <c r="E6" s="53">
        <v>0</v>
      </c>
      <c r="F6" s="53">
        <v>0</v>
      </c>
      <c r="G6" s="15"/>
      <c r="H6" s="15"/>
      <c r="I6" s="15"/>
      <c r="J6" s="15"/>
      <c r="K6" s="15"/>
      <c r="L6" s="53" t="s">
        <v>612</v>
      </c>
      <c r="M6" s="70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21"/>
      <c r="B7" s="121"/>
      <c r="C7" s="68" t="s">
        <v>568</v>
      </c>
      <c r="D7" s="53">
        <v>16244058.449907003</v>
      </c>
      <c r="E7" s="53">
        <v>244919.71658750251</v>
      </c>
      <c r="F7" s="53">
        <v>2778434.2493877113</v>
      </c>
      <c r="G7" s="15"/>
      <c r="H7" s="15"/>
      <c r="I7" s="15"/>
      <c r="J7" s="15"/>
      <c r="K7" s="15"/>
      <c r="L7" s="53" t="s">
        <v>613</v>
      </c>
      <c r="M7" s="53">
        <f>M8+M9+M10+M11</f>
        <v>17916.53771885837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21"/>
      <c r="B8" s="121"/>
      <c r="C8" s="68" t="s">
        <v>569</v>
      </c>
      <c r="D8" s="53">
        <v>2752849.9760466153</v>
      </c>
      <c r="E8" s="53">
        <v>-270812.93972837052</v>
      </c>
      <c r="F8" s="53">
        <v>643424.43138696544</v>
      </c>
      <c r="G8" s="15"/>
      <c r="H8" s="15"/>
      <c r="I8" s="15"/>
      <c r="J8" s="15"/>
      <c r="K8" s="15"/>
      <c r="L8" s="71" t="s">
        <v>614</v>
      </c>
      <c r="M8" s="53">
        <v>11304.314780621873</v>
      </c>
      <c r="N8" s="15"/>
      <c r="O8" s="53" t="s">
        <v>647</v>
      </c>
      <c r="P8" s="54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21"/>
      <c r="B9" s="121"/>
      <c r="C9" s="68" t="s">
        <v>570</v>
      </c>
      <c r="D9" s="53"/>
      <c r="E9" s="53"/>
      <c r="F9" s="53"/>
      <c r="G9" s="15"/>
      <c r="H9" s="15"/>
      <c r="I9" s="15"/>
      <c r="J9" s="15"/>
      <c r="K9" s="15"/>
      <c r="L9" s="72" t="s">
        <v>615</v>
      </c>
      <c r="M9" s="53">
        <v>1962.936838236498</v>
      </c>
      <c r="N9" s="15"/>
      <c r="O9" s="53" t="s">
        <v>1254</v>
      </c>
      <c r="P9" s="54">
        <f>SUM(Mercado_Receita!$J$2:$J$921)</f>
        <v>484460</v>
      </c>
      <c r="Q9" s="54">
        <v>484460</v>
      </c>
      <c r="R9" s="54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21"/>
      <c r="B10" s="122"/>
      <c r="C10" s="68" t="s">
        <v>571</v>
      </c>
      <c r="D10" s="53">
        <f>SUM(D$2:D9)</f>
        <v>20614742.574600071</v>
      </c>
      <c r="E10" s="53">
        <f>SUM(E$2:E9)</f>
        <v>-113014.90495831455</v>
      </c>
      <c r="F10" s="53">
        <f>SUM(F$2:F9)</f>
        <v>3496811.3580268687</v>
      </c>
      <c r="G10" s="15"/>
      <c r="H10" s="15"/>
      <c r="I10" s="15"/>
      <c r="J10" s="15"/>
      <c r="K10" s="15"/>
      <c r="L10" s="71" t="s">
        <v>616</v>
      </c>
      <c r="M10" s="53">
        <v>387.69369575199437</v>
      </c>
      <c r="N10" s="15"/>
      <c r="O10" s="53" t="s">
        <v>1255</v>
      </c>
      <c r="P10" s="54">
        <f>SUM(Mercado_Receita!$L$2:$L$921)</f>
        <v>202285.72900000008</v>
      </c>
      <c r="Q10" s="54">
        <v>202285.72899999999</v>
      </c>
      <c r="R10" s="54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21"/>
      <c r="B11" s="120" t="s">
        <v>572</v>
      </c>
      <c r="C11" s="68" t="s">
        <v>573</v>
      </c>
      <c r="D11" s="53">
        <v>7372778.8000000007</v>
      </c>
      <c r="E11" s="53">
        <v>-353985.26375235571</v>
      </c>
      <c r="F11" s="53">
        <f>IF((+$D$11+$D$12+$D$16+$D$17+$D$39)&lt;&gt;0,$M$19*$D$11/(+$D$11+$D$12+$D$16+$D$17+$D$39),0)</f>
        <v>561973.09326562204</v>
      </c>
      <c r="G11" s="15"/>
      <c r="H11" s="15"/>
      <c r="I11" s="15"/>
      <c r="J11" s="15"/>
      <c r="K11" s="15"/>
      <c r="L11" s="71" t="s">
        <v>617</v>
      </c>
      <c r="M11" s="53">
        <v>4261.5924042480056</v>
      </c>
      <c r="N11" s="15"/>
      <c r="O11" s="53" t="s">
        <v>1256</v>
      </c>
      <c r="P11" s="54">
        <f>SUM(Mercado_Receita!$N$2:$N$921)</f>
        <v>145835.79599999994</v>
      </c>
      <c r="Q11" s="54">
        <v>145835.796</v>
      </c>
      <c r="R11" s="54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21"/>
      <c r="B12" s="121"/>
      <c r="C12" s="68" t="s">
        <v>574</v>
      </c>
      <c r="D12" s="53">
        <v>2224972.7999999998</v>
      </c>
      <c r="E12" s="53">
        <v>61742.455691510098</v>
      </c>
      <c r="F12" s="53">
        <f>IF((+$D$11+$D$12+$D$16+$D$17+$D$39)&lt;&gt;0,$M$19*$D$12/(+$D$11+$D$12+$D$16+$D$17+$D$39),0)</f>
        <v>169593.43020678608</v>
      </c>
      <c r="G12" s="15"/>
      <c r="H12" s="15"/>
      <c r="I12" s="15"/>
      <c r="J12" s="15"/>
      <c r="K12" s="15"/>
      <c r="L12" s="53" t="s">
        <v>618</v>
      </c>
      <c r="M12" s="53">
        <v>163752.33371885831</v>
      </c>
      <c r="N12" s="15"/>
      <c r="O12" s="53" t="s">
        <v>1257</v>
      </c>
      <c r="P12" s="54">
        <f>SUMIF('MERCADO TUSD'!$H$2:$H$49,"kW",'MERCADO TUSD'!$U$2:$U$49)</f>
        <v>484460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21"/>
      <c r="B13" s="121"/>
      <c r="C13" s="68" t="s">
        <v>575</v>
      </c>
      <c r="D13" s="53">
        <f>-$M$51+4170396.62053457</f>
        <v>4170396.62053457</v>
      </c>
      <c r="E13" s="53">
        <v>-124873.73627653578</v>
      </c>
      <c r="F13" s="53">
        <v>0</v>
      </c>
      <c r="G13" s="15"/>
      <c r="H13" s="15"/>
      <c r="I13" s="15"/>
      <c r="J13" s="15"/>
      <c r="K13" s="15"/>
      <c r="L13" s="53" t="s">
        <v>619</v>
      </c>
      <c r="M13" s="53">
        <v>3448.1550221023149</v>
      </c>
      <c r="N13" s="15"/>
      <c r="O13" s="53" t="s">
        <v>1258</v>
      </c>
      <c r="P13" s="54">
        <f>SUMIF('MERCADO TUSD'!$H$2:$H$49,"MWh",'MERCADO TUSD'!$U$2:$U$49)</f>
        <v>202285.72899999999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21"/>
      <c r="B14" s="121"/>
      <c r="C14" s="68" t="s">
        <v>576</v>
      </c>
      <c r="D14" s="53">
        <v>0</v>
      </c>
      <c r="E14" s="53">
        <v>0</v>
      </c>
      <c r="F14" s="53">
        <v>0</v>
      </c>
      <c r="G14" s="15"/>
      <c r="H14" s="15"/>
      <c r="I14" s="15"/>
      <c r="J14" s="15"/>
      <c r="K14" s="15"/>
      <c r="L14" s="53" t="s">
        <v>620</v>
      </c>
      <c r="M14" s="53">
        <v>214.78298769747417</v>
      </c>
      <c r="N14" s="15"/>
      <c r="O14" s="53" t="s">
        <v>1259</v>
      </c>
      <c r="P14" s="54">
        <f>SUMIF('MERCADO TE'!$H$2:$H$39,"MWh",'MERCADO TE'!$U$2:$U$39)</f>
        <v>145835.79599999997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21"/>
      <c r="B15" s="121"/>
      <c r="C15" s="68" t="s">
        <v>577</v>
      </c>
      <c r="D15" s="53">
        <v>0</v>
      </c>
      <c r="E15" s="53">
        <v>0</v>
      </c>
      <c r="F15" s="53">
        <v>0</v>
      </c>
      <c r="G15" s="15"/>
      <c r="H15" s="15"/>
      <c r="I15" s="15"/>
      <c r="J15" s="15"/>
      <c r="K15" s="15"/>
      <c r="L15" s="53" t="s">
        <v>621</v>
      </c>
      <c r="M15" s="53">
        <f>M14*M12</f>
        <v>35171215.47857023</v>
      </c>
      <c r="N15" s="15"/>
      <c r="O15" s="53" t="s">
        <v>1260</v>
      </c>
      <c r="P15" s="54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21"/>
      <c r="B16" s="121"/>
      <c r="C16" s="68" t="s">
        <v>578</v>
      </c>
      <c r="D16" s="53">
        <v>0</v>
      </c>
      <c r="E16" s="53">
        <v>0</v>
      </c>
      <c r="F16" s="5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53" t="s">
        <v>622</v>
      </c>
      <c r="M16" s="53">
        <v>-978344.0462307767</v>
      </c>
      <c r="N16" s="15"/>
      <c r="O16" s="53" t="s">
        <v>1261</v>
      </c>
      <c r="P16" s="54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21"/>
      <c r="B17" s="121"/>
      <c r="C17" s="68" t="s">
        <v>579</v>
      </c>
      <c r="D17" s="53">
        <v>0</v>
      </c>
      <c r="E17" s="53">
        <v>0</v>
      </c>
      <c r="F17" s="5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53" t="s">
        <v>623</v>
      </c>
      <c r="M17" s="53">
        <v>4088611.4974683532</v>
      </c>
      <c r="N17" s="15"/>
      <c r="O17" s="53" t="s">
        <v>1262</v>
      </c>
      <c r="P17" s="54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21"/>
      <c r="B18" s="122"/>
      <c r="C18" s="68" t="s">
        <v>571</v>
      </c>
      <c r="D18" s="53">
        <f>SUM(D$11:D17)</f>
        <v>13768148.220534571</v>
      </c>
      <c r="E18" s="53">
        <f>SUM(E$11:E17)</f>
        <v>-417116.54433738138</v>
      </c>
      <c r="F18" s="53">
        <f>SUM(F$11:F17)</f>
        <v>731566.52347240807</v>
      </c>
      <c r="G18" s="15"/>
      <c r="H18" s="15"/>
      <c r="I18" s="15"/>
      <c r="J18" s="15"/>
      <c r="K18" s="15"/>
      <c r="L18" s="53" t="s">
        <v>624</v>
      </c>
      <c r="M18" s="5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21"/>
      <c r="B19" s="120" t="s">
        <v>580</v>
      </c>
      <c r="C19" s="68" t="s">
        <v>581</v>
      </c>
      <c r="D19" s="53">
        <v>30321572.604258131</v>
      </c>
      <c r="E19" s="53">
        <v>-242826.43374005141</v>
      </c>
      <c r="F19" s="53">
        <v>0</v>
      </c>
      <c r="G19" s="15"/>
      <c r="H19" s="15"/>
      <c r="I19" s="15"/>
      <c r="J19" s="15"/>
      <c r="K19" s="15"/>
      <c r="L19" s="53" t="s">
        <v>625</v>
      </c>
      <c r="M19" s="53">
        <v>782390.1207450201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21"/>
      <c r="B20" s="122"/>
      <c r="C20" s="68" t="s">
        <v>571</v>
      </c>
      <c r="D20" s="53">
        <f>SUM(D$19:D19)</f>
        <v>30321572.604258131</v>
      </c>
      <c r="E20" s="53">
        <f>SUM(E$19:E19)</f>
        <v>-242826.43374005141</v>
      </c>
      <c r="F20" s="53">
        <f>SUM(F$19:F19)</f>
        <v>0</v>
      </c>
      <c r="G20" s="15"/>
      <c r="H20" s="15"/>
      <c r="I20" s="15"/>
      <c r="J20" s="15"/>
      <c r="K20" s="15"/>
      <c r="L20" s="53" t="s">
        <v>626</v>
      </c>
      <c r="M20" s="53">
        <v>8.2862778379817151E-6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21"/>
      <c r="B21" s="120" t="s">
        <v>582</v>
      </c>
      <c r="C21" s="68" t="s">
        <v>583</v>
      </c>
      <c r="D21" s="53"/>
      <c r="E21" s="53">
        <f>IF($D$47&lt;&gt;0,(1-$D$46/$D$47)*-19427551.6872957,0)+0</f>
        <v>-12641722.925023135</v>
      </c>
      <c r="F21" s="53"/>
      <c r="G21" s="15"/>
      <c r="H21" s="15"/>
      <c r="I21" s="15"/>
      <c r="J21" s="15"/>
      <c r="K21" s="15"/>
      <c r="L21" s="53" t="s">
        <v>627</v>
      </c>
      <c r="M21" s="5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21"/>
      <c r="B22" s="121"/>
      <c r="C22" s="68" t="s">
        <v>584</v>
      </c>
      <c r="D22" s="53"/>
      <c r="E22" s="53"/>
      <c r="F22" s="53"/>
      <c r="G22" s="15"/>
      <c r="H22" s="15"/>
      <c r="I22" s="15"/>
      <c r="J22" s="15"/>
      <c r="K22" s="15"/>
      <c r="L22" s="53" t="s">
        <v>649</v>
      </c>
      <c r="M22" s="53">
        <v>719587.20571546059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21"/>
      <c r="B23" s="122"/>
      <c r="C23" s="68" t="s">
        <v>571</v>
      </c>
      <c r="D23" s="53">
        <f>SUM(D$21:D22)</f>
        <v>0</v>
      </c>
      <c r="E23" s="53">
        <f>SUM(E$21:E22)</f>
        <v>-12641722.925023135</v>
      </c>
      <c r="F23" s="53">
        <f>SUM(F$21:F22)</f>
        <v>0</v>
      </c>
      <c r="G23" s="15"/>
      <c r="H23" s="15"/>
      <c r="I23" s="15"/>
      <c r="J23" s="15"/>
      <c r="K23" s="15"/>
      <c r="L23" s="53" t="s">
        <v>628</v>
      </c>
      <c r="M23" s="53">
        <v>24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21"/>
      <c r="B24" s="120" t="s">
        <v>585</v>
      </c>
      <c r="C24" s="68" t="s">
        <v>586</v>
      </c>
      <c r="D24" s="53">
        <f>$M$14*$M$8</f>
        <v>2427974.5024546832</v>
      </c>
      <c r="E24" s="53">
        <f>$M$16*$M$8/$M$12</f>
        <v>-67538.024107355508</v>
      </c>
      <c r="F24" s="53">
        <f>$M$17*$M$8/$M$12</f>
        <v>282249.11568224744</v>
      </c>
      <c r="G24" s="15"/>
      <c r="H24" s="15"/>
      <c r="I24" s="15"/>
      <c r="J24" s="15"/>
      <c r="K24" s="15"/>
      <c r="L24" s="53" t="s">
        <v>629</v>
      </c>
      <c r="M24" s="5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21"/>
      <c r="B25" s="121"/>
      <c r="C25" s="68" t="s">
        <v>587</v>
      </c>
      <c r="D25" s="53">
        <f>$M$14*$M$10</f>
        <v>83270.010285088894</v>
      </c>
      <c r="E25" s="53">
        <f>$M$16*$M$10/$M$12</f>
        <v>-2316.2895476737172</v>
      </c>
      <c r="F25" s="53">
        <f>$M$17*$M$10/$M$12</f>
        <v>9680.0385432617059</v>
      </c>
      <c r="G25" s="15"/>
      <c r="H25" s="15"/>
      <c r="I25" s="15"/>
      <c r="J25" s="15"/>
      <c r="K25" s="15"/>
      <c r="L25" s="53" t="s">
        <v>630</v>
      </c>
      <c r="M25" s="5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21"/>
      <c r="B26" s="121"/>
      <c r="C26" s="68" t="s">
        <v>588</v>
      </c>
      <c r="D26" s="53">
        <f>$M$14*$M$9</f>
        <v>421605.43877786858</v>
      </c>
      <c r="E26" s="53">
        <f>$M$16*$M$9/$M$12</f>
        <v>-11727.634808019713</v>
      </c>
      <c r="F26" s="53">
        <f>$M$17*$M$9/$M$12</f>
        <v>49011.125175150133</v>
      </c>
      <c r="G26" s="15"/>
      <c r="H26" s="15"/>
      <c r="I26" s="15"/>
      <c r="J26" s="15"/>
      <c r="K26" s="15"/>
      <c r="L26" s="53" t="s">
        <v>631</v>
      </c>
      <c r="M26" s="5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21"/>
      <c r="B27" s="121"/>
      <c r="C27" s="68" t="s">
        <v>589</v>
      </c>
      <c r="D27" s="53">
        <v>52056.945729899133</v>
      </c>
      <c r="E27" s="53">
        <v>3357.3325199911305</v>
      </c>
      <c r="F27" s="53">
        <v>0</v>
      </c>
      <c r="G27" s="15"/>
      <c r="H27" s="15"/>
      <c r="I27" s="15"/>
      <c r="J27" s="15"/>
      <c r="K27" s="15"/>
      <c r="L27" s="53" t="s">
        <v>632</v>
      </c>
      <c r="M27" s="5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21"/>
      <c r="B28" s="122"/>
      <c r="C28" s="68" t="s">
        <v>571</v>
      </c>
      <c r="D28" s="53">
        <f>SUM(D$24:D27)</f>
        <v>2984906.8972475398</v>
      </c>
      <c r="E28" s="53">
        <f>SUM(E$24:E27)</f>
        <v>-78224.615943057797</v>
      </c>
      <c r="F28" s="53">
        <f>SUM(F$24:F27)</f>
        <v>340940.27940065926</v>
      </c>
      <c r="G28" s="15"/>
      <c r="H28" s="15"/>
      <c r="I28" s="15"/>
      <c r="J28" s="15"/>
      <c r="K28" s="15"/>
      <c r="L28" s="53" t="s">
        <v>633</v>
      </c>
      <c r="M28" s="5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22"/>
      <c r="B29" s="123" t="s">
        <v>571</v>
      </c>
      <c r="C29" s="124"/>
      <c r="D29" s="53">
        <f>SUMIF(C$2:C28,"SUBTOTAL",D$2:D28)</f>
        <v>67689370.296640307</v>
      </c>
      <c r="E29" s="53">
        <f>SUMIF(C$2:C28,"SUBTOTAL",E$2:E28)</f>
        <v>-13492905.42400194</v>
      </c>
      <c r="F29" s="53">
        <f>SUMIF(C$2:C28,"SUBTOTAL",F$2:F28)</f>
        <v>4569318.1608999353</v>
      </c>
      <c r="G29" s="15"/>
      <c r="H29" s="15"/>
      <c r="I29" s="15"/>
      <c r="J29" s="15"/>
      <c r="K29" s="15"/>
      <c r="L29" s="53" t="s">
        <v>634</v>
      </c>
      <c r="M29" s="5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20" t="s">
        <v>590</v>
      </c>
      <c r="B30" s="120" t="s">
        <v>563</v>
      </c>
      <c r="C30" s="68" t="s">
        <v>565</v>
      </c>
      <c r="D30" s="5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380193.13466568384</v>
      </c>
      <c r="E30" s="53">
        <f>IF((D30+D$4)&lt;&gt;0,$M$20*D30/(D30+D$4),0)</f>
        <v>4.3780460810177056E-6</v>
      </c>
      <c r="F30" s="53">
        <f>IF((D30+D$4)&lt;&gt;0,$M$21*D30/(D30+D$4),0)</f>
        <v>0</v>
      </c>
      <c r="G30" s="15"/>
      <c r="H30" s="15"/>
      <c r="I30" s="15"/>
      <c r="J30" s="15"/>
      <c r="K30" s="15"/>
      <c r="L30" s="53" t="s">
        <v>635</v>
      </c>
      <c r="M30" s="5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21"/>
      <c r="B31" s="121"/>
      <c r="C31" s="68" t="s">
        <v>591</v>
      </c>
      <c r="D31" s="53">
        <v>3540154.7326409174</v>
      </c>
      <c r="E31" s="53">
        <v>-2035895.6828898285</v>
      </c>
      <c r="F31" s="53">
        <v>2049587.6786991188</v>
      </c>
      <c r="G31" s="15"/>
      <c r="H31" s="15"/>
      <c r="I31" s="15"/>
      <c r="J31" s="15"/>
      <c r="K31" s="15"/>
      <c r="L31" s="53" t="s">
        <v>636</v>
      </c>
      <c r="M31" s="5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21"/>
      <c r="B32" s="121"/>
      <c r="C32" s="68" t="s">
        <v>592</v>
      </c>
      <c r="D32" s="53">
        <v>0</v>
      </c>
      <c r="E32" s="53">
        <v>0</v>
      </c>
      <c r="F32" s="53">
        <v>0</v>
      </c>
      <c r="G32" s="15"/>
      <c r="H32" s="15"/>
      <c r="I32" s="15"/>
      <c r="J32" s="15"/>
      <c r="K32" s="15"/>
      <c r="L32" s="53" t="s">
        <v>637</v>
      </c>
      <c r="M32" s="5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21"/>
      <c r="B33" s="121"/>
      <c r="C33" s="68" t="s">
        <v>651</v>
      </c>
      <c r="D33" s="53">
        <v>1286311.6925648036</v>
      </c>
      <c r="E33" s="53">
        <v>26862.969905276041</v>
      </c>
      <c r="F33" s="53">
        <v>84381.856306970352</v>
      </c>
      <c r="G33" s="15"/>
      <c r="H33" s="15"/>
      <c r="I33" s="15"/>
      <c r="J33" s="15"/>
      <c r="K33" s="15"/>
      <c r="L33" s="53" t="s">
        <v>638</v>
      </c>
      <c r="M33" s="5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21"/>
      <c r="B34" s="121"/>
      <c r="C34" s="68" t="s">
        <v>593</v>
      </c>
      <c r="D34" s="53">
        <v>-2730000</v>
      </c>
      <c r="E34" s="53"/>
      <c r="F34" s="53"/>
      <c r="G34" s="15"/>
      <c r="H34" s="15"/>
      <c r="I34" s="15"/>
      <c r="J34" s="15"/>
      <c r="K34" s="15"/>
      <c r="L34" s="53" t="s">
        <v>639</v>
      </c>
      <c r="M34" s="5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21"/>
      <c r="B35" s="122"/>
      <c r="C35" s="68" t="s">
        <v>571</v>
      </c>
      <c r="D35" s="53">
        <f>SUM(D$30:D34)</f>
        <v>2476659.5598714054</v>
      </c>
      <c r="E35" s="53">
        <f>SUM(E$30:E34)</f>
        <v>-2009032.7129801742</v>
      </c>
      <c r="F35" s="53">
        <f>SUM(F$30:F34)</f>
        <v>2133969.5350060891</v>
      </c>
      <c r="G35" s="15"/>
      <c r="H35" s="15"/>
      <c r="I35" s="15"/>
      <c r="J35" s="15"/>
      <c r="K35" s="15"/>
      <c r="L35" s="53" t="s">
        <v>640</v>
      </c>
      <c r="M35" s="5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21"/>
      <c r="B36" s="120" t="s">
        <v>594</v>
      </c>
      <c r="C36" s="68" t="s">
        <v>595</v>
      </c>
      <c r="D36" s="53">
        <f>$M$14*($M$12-$M$7)</f>
        <v>31323047.97811934</v>
      </c>
      <c r="E36" s="53">
        <f>$M$16*($M$12-$M$7)/$M$12</f>
        <v>-871301.0648683951</v>
      </c>
      <c r="F36" s="53">
        <f>$M$17*($M$12-$M$7)/$M$12</f>
        <v>3641266.6538955159</v>
      </c>
      <c r="G36" s="15"/>
      <c r="H36" s="15"/>
      <c r="I36" s="15"/>
      <c r="J36" s="15"/>
      <c r="K36" s="15"/>
      <c r="L36" s="53" t="s">
        <v>641</v>
      </c>
      <c r="M36" s="5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21"/>
      <c r="B37" s="122"/>
      <c r="C37" s="68" t="s">
        <v>571</v>
      </c>
      <c r="D37" s="53">
        <f>SUM(D$36:D36)</f>
        <v>31323047.97811934</v>
      </c>
      <c r="E37" s="53">
        <f>SUM(E$36:E36)</f>
        <v>-871301.0648683951</v>
      </c>
      <c r="F37" s="53">
        <f>SUM(F$36:F36)</f>
        <v>3641266.6538955159</v>
      </c>
      <c r="G37" s="15"/>
      <c r="H37" s="15"/>
      <c r="I37" s="15"/>
      <c r="J37" s="15"/>
      <c r="K37" s="15"/>
      <c r="L37" s="53" t="s">
        <v>642</v>
      </c>
      <c r="M37" s="5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21"/>
      <c r="B38" s="120" t="s">
        <v>572</v>
      </c>
      <c r="C38" s="68" t="s">
        <v>596</v>
      </c>
      <c r="D38" s="53">
        <v>952522.70574198291</v>
      </c>
      <c r="E38" s="53">
        <v>84574.565464148531</v>
      </c>
      <c r="F38" s="53">
        <v>236789.4070889373</v>
      </c>
      <c r="G38" s="15"/>
      <c r="H38" s="15"/>
      <c r="I38" s="15"/>
      <c r="J38" s="15"/>
      <c r="K38" s="15"/>
      <c r="L38" s="53" t="s">
        <v>643</v>
      </c>
      <c r="M38" s="53">
        <f>IFERROR(VLOOKUP("Convencional1RuralNão se aplicaRURALB2",Descontos!B1:U88,VLOOKUP("Convencional1RuralNão se aplicaRURALB2",Descontos!B1:U88,20,FALSE)+12,FALSE),100)</f>
        <v>0.06</v>
      </c>
      <c r="N38" s="15" t="s">
        <v>1275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21"/>
      <c r="B39" s="121"/>
      <c r="C39" s="68" t="s">
        <v>597</v>
      </c>
      <c r="D39" s="53">
        <v>666777.72477291885</v>
      </c>
      <c r="E39" s="53">
        <v>90445.106924342981</v>
      </c>
      <c r="F39" s="53">
        <f>IF((+$D$11+$D$12+$D$16+$D$17+$D$39)&lt;&gt;0,$M$19*$D$39/(+$D$11+$D$12+$D$16+$D$17+$D$39),0)</f>
        <v>50823.597272611893</v>
      </c>
      <c r="G39" s="15"/>
      <c r="H39" s="15"/>
      <c r="I39" s="15"/>
      <c r="J39" s="15"/>
      <c r="K39" s="15"/>
      <c r="L39" s="53" t="s">
        <v>644</v>
      </c>
      <c r="M39" s="5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1276</v>
      </c>
      <c r="P39" s="15" t="s">
        <v>1277</v>
      </c>
      <c r="Q39" s="15" t="s">
        <v>1278</v>
      </c>
      <c r="R39" s="15" t="s">
        <v>1279</v>
      </c>
      <c r="S39" s="15" t="s">
        <v>1</v>
      </c>
      <c r="T39" s="15" t="s">
        <v>1280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21"/>
      <c r="B40" s="121"/>
      <c r="C40" s="68" t="s">
        <v>598</v>
      </c>
      <c r="D40" s="53"/>
      <c r="E40" s="53">
        <v>0</v>
      </c>
      <c r="F40" s="53">
        <v>0</v>
      </c>
      <c r="G40" s="15"/>
      <c r="H40" s="15"/>
      <c r="I40" s="15"/>
      <c r="J40" s="15"/>
      <c r="K40" s="15"/>
      <c r="L40" s="53" t="s">
        <v>645</v>
      </c>
      <c r="M40" s="5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89"/>
      <c r="P40" s="89"/>
      <c r="Q40" s="89"/>
      <c r="R40" s="89"/>
      <c r="S40" s="89"/>
      <c r="T40" s="89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21"/>
      <c r="B41" s="122"/>
      <c r="C41" s="68" t="s">
        <v>571</v>
      </c>
      <c r="D41" s="53">
        <f>SUM(D$38:D40)</f>
        <v>1619300.4305149019</v>
      </c>
      <c r="E41" s="53">
        <f>SUM(E$38:E40)</f>
        <v>175019.67238849151</v>
      </c>
      <c r="F41" s="53">
        <f>SUM(F$38:F40)</f>
        <v>287613.00436154916</v>
      </c>
      <c r="G41" s="15"/>
      <c r="H41" s="15"/>
      <c r="I41" s="15"/>
      <c r="J41" s="15"/>
      <c r="K41" s="15"/>
      <c r="L41" s="15"/>
      <c r="M41" s="15"/>
      <c r="N41" s="15"/>
      <c r="O41" s="89"/>
      <c r="P41" s="89"/>
      <c r="Q41" s="89"/>
      <c r="R41" s="89"/>
      <c r="S41" s="89"/>
      <c r="T41" s="89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21"/>
      <c r="B42" s="120" t="s">
        <v>582</v>
      </c>
      <c r="C42" s="68" t="s">
        <v>583</v>
      </c>
      <c r="D42" s="53"/>
      <c r="E42" s="53">
        <f>IF($D$47&lt;&gt;0,($D$46/$D$47)* -19427551.6872957,0)+0</f>
        <v>-6785828.7622725684</v>
      </c>
      <c r="F42" s="53"/>
      <c r="G42" s="15"/>
      <c r="H42" s="15"/>
      <c r="I42" s="15"/>
      <c r="J42" s="15"/>
      <c r="K42" s="15"/>
      <c r="L42" s="15"/>
      <c r="M42" s="15"/>
      <c r="N42" s="15"/>
      <c r="O42" s="89"/>
      <c r="P42" s="89"/>
      <c r="Q42" s="89"/>
      <c r="R42" s="89"/>
      <c r="S42" s="89"/>
      <c r="T42" s="89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21"/>
      <c r="B43" s="122"/>
      <c r="C43" s="68" t="s">
        <v>571</v>
      </c>
      <c r="D43" s="53">
        <f>SUM(D$42:D42)</f>
        <v>0</v>
      </c>
      <c r="E43" s="53">
        <f>SUM(E$42:E42)</f>
        <v>-6785828.7622725684</v>
      </c>
      <c r="F43" s="5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89"/>
      <c r="P43" s="89"/>
      <c r="Q43" s="89"/>
      <c r="R43" s="89"/>
      <c r="S43" s="89"/>
      <c r="T43" s="89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21"/>
      <c r="B44" s="120" t="s">
        <v>585</v>
      </c>
      <c r="C44" s="68" t="s">
        <v>599</v>
      </c>
      <c r="D44" s="53">
        <f>$M$14*$M$11</f>
        <v>915317.54893324873</v>
      </c>
      <c r="E44" s="53">
        <f>$M$16*$M$11/$M$12</f>
        <v>-25461.032899332571</v>
      </c>
      <c r="F44" s="53">
        <f>$M$17*$M$11/$M$12</f>
        <v>106404.56417217819</v>
      </c>
      <c r="G44" s="15"/>
      <c r="H44" s="15"/>
      <c r="I44" s="15"/>
      <c r="J44" s="15"/>
      <c r="K44" s="15"/>
      <c r="L44" s="15"/>
      <c r="M44" s="15"/>
      <c r="N44" s="15"/>
      <c r="O44" s="89"/>
      <c r="P44" s="89"/>
      <c r="Q44" s="89"/>
      <c r="R44" s="89"/>
      <c r="S44" s="89"/>
      <c r="T44" s="89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21"/>
      <c r="B45" s="122"/>
      <c r="C45" s="68" t="s">
        <v>571</v>
      </c>
      <c r="D45" s="53">
        <f>SUM(D$44:D44)</f>
        <v>915317.54893324873</v>
      </c>
      <c r="E45" s="53">
        <f>SUM(E$44:E44)</f>
        <v>-25461.032899332571</v>
      </c>
      <c r="F45" s="53">
        <f>SUM(F$44:F44)</f>
        <v>106404.56417217819</v>
      </c>
      <c r="G45" s="15"/>
      <c r="H45" s="15"/>
      <c r="I45" s="15"/>
      <c r="J45" s="15"/>
      <c r="K45" s="15"/>
      <c r="L45" s="15"/>
      <c r="M45" s="15"/>
      <c r="N45" s="15"/>
      <c r="O45" s="89"/>
      <c r="P45" s="89"/>
      <c r="Q45" s="89"/>
      <c r="R45" s="89"/>
      <c r="S45" s="89"/>
      <c r="T45" s="89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122"/>
      <c r="B46" s="123" t="s">
        <v>571</v>
      </c>
      <c r="C46" s="124"/>
      <c r="D46" s="53">
        <f>SUMIF(C$30:C45,"SUBTOTAL",D$30:D45)</f>
        <v>36334325.517438896</v>
      </c>
      <c r="E46" s="53">
        <f>SUMIF(C$30:C45,"SUBTOTAL",E$30:E45)</f>
        <v>-9516603.9006319791</v>
      </c>
      <c r="F46" s="53">
        <f>SUMIF(C$30:C45,"SUBTOTAL",F$30:F45)</f>
        <v>6169253.757435333</v>
      </c>
      <c r="G46" s="15"/>
      <c r="H46" s="15"/>
      <c r="I46" s="15"/>
      <c r="J46" s="15"/>
      <c r="K46" s="15"/>
      <c r="L46" s="15"/>
      <c r="M46" s="15"/>
      <c r="N46" s="15"/>
      <c r="O46" s="89"/>
      <c r="P46" s="89"/>
      <c r="Q46" s="89"/>
      <c r="R46" s="89"/>
      <c r="S46" s="89"/>
      <c r="T46" s="89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123" t="s">
        <v>600</v>
      </c>
      <c r="B47" s="129"/>
      <c r="C47" s="124"/>
      <c r="D47" s="53">
        <f>SUMIF(C$2:C46,"SUBTOTAL",D$2:D46)</f>
        <v>104023695.81407921</v>
      </c>
      <c r="E47" s="53">
        <f>SUMIF(C$2:C46,"SUBTOTAL",E$2:E46)</f>
        <v>-23009509.324633915</v>
      </c>
      <c r="F47" s="53">
        <f>SUMIF(C$2:C46,"SUBTOTAL",F$2:F46)</f>
        <v>10738571.918335268</v>
      </c>
      <c r="G47" s="15"/>
      <c r="H47" s="15"/>
      <c r="I47" s="15"/>
      <c r="J47" s="15"/>
      <c r="K47" s="15"/>
      <c r="L47" s="15"/>
      <c r="M47" s="15"/>
      <c r="N47" s="15"/>
      <c r="O47" s="89"/>
      <c r="P47" s="89"/>
      <c r="Q47" s="89"/>
      <c r="R47" s="89"/>
      <c r="S47" s="89"/>
      <c r="T47" s="89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127" t="s">
        <v>1271</v>
      </c>
      <c r="B48" s="128"/>
      <c r="C48" s="128"/>
      <c r="D48" s="82">
        <f ca="1">'TUSD BE'!$AM$54+'TUSD BE'!$AM$58+'TE BE'!$AB$44</f>
        <v>104023695.81407921</v>
      </c>
      <c r="E48" s="82">
        <f ca="1">'TUSD BF'!$AM$54+'TE BF'!$AB$44</f>
        <v>-23009509.324633915</v>
      </c>
      <c r="F48" s="82">
        <f ca="1">'TUSD CVA'!$AM$54+'TE CVA'!$AB$44</f>
        <v>10738571.918335266</v>
      </c>
      <c r="L48" s="68"/>
      <c r="M48" s="53"/>
      <c r="O48" s="89"/>
      <c r="P48" s="89"/>
      <c r="Q48" s="89"/>
      <c r="R48" s="89"/>
      <c r="S48" s="89"/>
      <c r="T48" s="89"/>
    </row>
    <row r="49" spans="1:20" ht="12" customHeight="1" x14ac:dyDescent="0.25">
      <c r="A49" s="127" t="s">
        <v>1272</v>
      </c>
      <c r="B49" s="128"/>
      <c r="C49" s="128"/>
      <c r="D49" s="83" t="str">
        <f ca="1">IF(ABS(D48-D47)&gt;1,"ERRO","OK")</f>
        <v>OK</v>
      </c>
      <c r="E49" s="83" t="str">
        <f ca="1">IF(ABS(E48-E47)&gt;1,"ERRO","OK")</f>
        <v>OK</v>
      </c>
      <c r="F49" s="83" t="str">
        <f ca="1">IF(ABS(F48-F47)&gt;1,"ERRO","OK")</f>
        <v>OK</v>
      </c>
      <c r="L49" s="68"/>
      <c r="M49" s="53"/>
      <c r="O49" s="89"/>
      <c r="P49" s="89"/>
      <c r="Q49" s="89"/>
      <c r="R49" s="89"/>
      <c r="S49" s="89"/>
      <c r="T49" s="89"/>
    </row>
    <row r="50" spans="1:20" ht="12" customHeight="1" x14ac:dyDescent="0.25">
      <c r="L50" s="68"/>
      <c r="M50" s="53"/>
      <c r="O50" s="89"/>
      <c r="P50" s="89"/>
      <c r="Q50" s="89"/>
      <c r="R50" s="89"/>
      <c r="S50" s="89"/>
      <c r="T50" s="89"/>
    </row>
    <row r="51" spans="1:20" ht="12" customHeight="1" x14ac:dyDescent="0.25">
      <c r="L51" s="55" t="s">
        <v>646</v>
      </c>
      <c r="M51" s="56">
        <v>0</v>
      </c>
      <c r="O51" s="89"/>
      <c r="P51" s="89"/>
      <c r="Q51" s="89"/>
      <c r="R51" s="89"/>
      <c r="S51" s="89"/>
      <c r="T51" s="89"/>
    </row>
    <row r="52" spans="1:20" ht="12" customHeight="1" x14ac:dyDescent="0.25">
      <c r="O52" s="89"/>
      <c r="P52" s="89"/>
      <c r="Q52" s="89"/>
      <c r="R52" s="89"/>
      <c r="S52" s="89"/>
      <c r="T52" s="89"/>
    </row>
    <row r="53" spans="1:20" ht="12" customHeight="1" x14ac:dyDescent="0.25">
      <c r="O53" s="89"/>
      <c r="P53" s="89"/>
      <c r="Q53" s="89"/>
      <c r="R53" s="89"/>
      <c r="S53" s="89"/>
      <c r="T53" s="89"/>
    </row>
    <row r="54" spans="1:20" ht="12" customHeight="1" x14ac:dyDescent="0.25">
      <c r="O54" s="89"/>
      <c r="P54" s="89"/>
      <c r="Q54" s="89"/>
      <c r="R54" s="89"/>
      <c r="S54" s="89"/>
      <c r="T54" s="89"/>
    </row>
    <row r="55" spans="1:20" ht="12" customHeight="1" x14ac:dyDescent="0.25">
      <c r="O55" s="89"/>
      <c r="P55" s="89"/>
      <c r="Q55" s="89"/>
      <c r="R55" s="89"/>
      <c r="S55" s="89"/>
      <c r="T55" s="89"/>
    </row>
    <row r="56" spans="1:20" ht="12" customHeight="1" x14ac:dyDescent="0.25">
      <c r="O56" s="89"/>
      <c r="P56" s="89"/>
      <c r="Q56" s="89"/>
      <c r="R56" s="89"/>
      <c r="S56" s="89"/>
      <c r="T56" s="89"/>
    </row>
    <row r="57" spans="1:20" ht="12" customHeight="1" x14ac:dyDescent="0.25">
      <c r="O57" s="89"/>
      <c r="P57" s="89"/>
      <c r="Q57" s="89"/>
      <c r="R57" s="89"/>
      <c r="S57" s="89"/>
      <c r="T57" s="89"/>
    </row>
    <row r="58" spans="1:20" ht="12" customHeight="1" x14ac:dyDescent="0.25">
      <c r="O58" s="89"/>
      <c r="P58" s="89"/>
      <c r="Q58" s="89"/>
      <c r="R58" s="89"/>
      <c r="S58" s="89"/>
      <c r="T58" s="89"/>
    </row>
    <row r="59" spans="1:20" ht="12" customHeight="1" x14ac:dyDescent="0.25">
      <c r="O59" s="89"/>
      <c r="P59" s="89"/>
      <c r="Q59" s="89"/>
      <c r="R59" s="89"/>
      <c r="S59" s="89"/>
      <c r="T59" s="89"/>
    </row>
    <row r="60" spans="1:20" ht="12" customHeight="1" x14ac:dyDescent="0.25">
      <c r="O60" s="89"/>
      <c r="P60" s="89"/>
      <c r="Q60" s="89"/>
      <c r="R60" s="89"/>
      <c r="S60" s="89"/>
      <c r="T60" s="89"/>
    </row>
    <row r="61" spans="1:20" ht="12" customHeight="1" x14ac:dyDescent="0.25">
      <c r="O61" s="89"/>
      <c r="P61" s="89"/>
      <c r="Q61" s="89"/>
      <c r="R61" s="89"/>
      <c r="S61" s="89"/>
      <c r="T61" s="89"/>
    </row>
    <row r="62" spans="1:20" ht="12" customHeight="1" x14ac:dyDescent="0.25">
      <c r="O62" s="89"/>
      <c r="P62" s="89"/>
      <c r="Q62" s="89"/>
      <c r="R62" s="89"/>
      <c r="S62" s="89"/>
      <c r="T62" s="89"/>
    </row>
    <row r="63" spans="1:20" ht="12" customHeight="1" x14ac:dyDescent="0.25">
      <c r="O63" s="89"/>
      <c r="P63" s="89"/>
      <c r="Q63" s="89"/>
      <c r="R63" s="89"/>
      <c r="S63" s="89"/>
      <c r="T63" s="89"/>
    </row>
    <row r="64" spans="1:20" ht="12" customHeight="1" x14ac:dyDescent="0.25">
      <c r="O64" s="89"/>
      <c r="P64" s="89"/>
      <c r="Q64" s="89"/>
      <c r="R64" s="89"/>
      <c r="S64" s="89"/>
      <c r="T64" s="89"/>
    </row>
    <row r="65" spans="15:20" ht="12" customHeight="1" x14ac:dyDescent="0.25">
      <c r="O65" s="89"/>
      <c r="P65" s="89"/>
      <c r="Q65" s="89"/>
      <c r="R65" s="89"/>
      <c r="S65" s="89"/>
      <c r="T65" s="89"/>
    </row>
    <row r="66" spans="15:20" ht="12" customHeight="1" x14ac:dyDescent="0.25">
      <c r="O66" s="89"/>
      <c r="P66" s="89"/>
      <c r="Q66" s="89"/>
      <c r="R66" s="89"/>
      <c r="S66" s="89"/>
      <c r="T66" s="89"/>
    </row>
    <row r="67" spans="15:20" ht="12" customHeight="1" x14ac:dyDescent="0.25">
      <c r="O67" s="89"/>
      <c r="P67" s="89"/>
      <c r="Q67" s="89"/>
      <c r="R67" s="89"/>
      <c r="S67" s="89"/>
      <c r="T67" s="89"/>
    </row>
    <row r="68" spans="15:20" ht="12" customHeight="1" x14ac:dyDescent="0.25">
      <c r="O68" s="89"/>
      <c r="P68" s="89"/>
      <c r="Q68" s="89"/>
      <c r="R68" s="89"/>
      <c r="S68" s="89"/>
      <c r="T68" s="89"/>
    </row>
    <row r="69" spans="15:20" ht="12" customHeight="1" x14ac:dyDescent="0.25">
      <c r="O69" s="89"/>
      <c r="P69" s="89"/>
      <c r="Q69" s="89"/>
      <c r="R69" s="89"/>
      <c r="S69" s="89"/>
      <c r="T69" s="89"/>
    </row>
    <row r="70" spans="15:20" ht="12" customHeight="1" x14ac:dyDescent="0.25">
      <c r="O70" s="89"/>
      <c r="P70" s="89"/>
      <c r="Q70" s="89"/>
      <c r="R70" s="89"/>
      <c r="S70" s="89"/>
      <c r="T70" s="89"/>
    </row>
    <row r="71" spans="15:20" ht="12" customHeight="1" x14ac:dyDescent="0.25">
      <c r="O71" s="89"/>
      <c r="P71" s="89"/>
      <c r="Q71" s="89"/>
      <c r="R71" s="89"/>
      <c r="S71" s="89"/>
      <c r="T71" s="89"/>
    </row>
    <row r="72" spans="15:20" ht="12" customHeight="1" x14ac:dyDescent="0.25">
      <c r="O72" s="89"/>
      <c r="P72" s="89"/>
      <c r="Q72" s="89"/>
      <c r="R72" s="89"/>
      <c r="S72" s="89"/>
      <c r="T72" s="89"/>
    </row>
    <row r="73" spans="15:20" ht="12" customHeight="1" x14ac:dyDescent="0.25">
      <c r="O73" s="89"/>
      <c r="P73" s="89"/>
      <c r="Q73" s="89"/>
      <c r="R73" s="89"/>
      <c r="S73" s="89"/>
      <c r="T73" s="89"/>
    </row>
    <row r="74" spans="15:20" ht="12" customHeight="1" x14ac:dyDescent="0.25">
      <c r="O74" s="89"/>
      <c r="P74" s="89"/>
      <c r="Q74" s="89"/>
      <c r="R74" s="89"/>
      <c r="S74" s="89"/>
      <c r="T74" s="89"/>
    </row>
    <row r="75" spans="15:20" ht="12" customHeight="1" x14ac:dyDescent="0.25">
      <c r="O75" s="89"/>
      <c r="P75" s="89"/>
      <c r="Q75" s="89"/>
      <c r="R75" s="89"/>
      <c r="S75" s="89"/>
      <c r="T75" s="89"/>
    </row>
    <row r="76" spans="15:20" ht="12" customHeight="1" x14ac:dyDescent="0.25">
      <c r="O76" s="89"/>
      <c r="P76" s="89"/>
      <c r="Q76" s="89"/>
      <c r="R76" s="89"/>
      <c r="S76" s="89"/>
      <c r="T76" s="89"/>
    </row>
    <row r="77" spans="15:20" ht="12" customHeight="1" x14ac:dyDescent="0.25">
      <c r="O77" s="89"/>
      <c r="P77" s="89"/>
      <c r="Q77" s="89"/>
      <c r="R77" s="89"/>
      <c r="S77" s="89"/>
      <c r="T77" s="89"/>
    </row>
    <row r="78" spans="15:20" ht="12" customHeight="1" x14ac:dyDescent="0.25">
      <c r="O78" s="89"/>
      <c r="P78" s="89"/>
      <c r="Q78" s="89"/>
      <c r="R78" s="89"/>
      <c r="S78" s="89"/>
      <c r="T78" s="89"/>
    </row>
    <row r="79" spans="15:20" ht="12" customHeight="1" x14ac:dyDescent="0.25">
      <c r="O79" s="89"/>
      <c r="P79" s="89"/>
      <c r="Q79" s="89"/>
      <c r="R79" s="89"/>
      <c r="S79" s="89"/>
      <c r="T79" s="89"/>
    </row>
    <row r="80" spans="15:20" ht="12" customHeight="1" x14ac:dyDescent="0.25">
      <c r="O80" s="89"/>
      <c r="P80" s="89"/>
      <c r="Q80" s="89"/>
      <c r="R80" s="89"/>
      <c r="S80" s="89"/>
      <c r="T80" s="89"/>
    </row>
    <row r="81" spans="15:20" ht="12" customHeight="1" x14ac:dyDescent="0.25">
      <c r="O81" s="89"/>
      <c r="P81" s="89"/>
      <c r="Q81" s="89"/>
      <c r="R81" s="89"/>
      <c r="S81" s="89"/>
      <c r="T81" s="89"/>
    </row>
    <row r="82" spans="15:20" ht="12" customHeight="1" x14ac:dyDescent="0.25">
      <c r="O82" s="89"/>
      <c r="P82" s="89"/>
      <c r="Q82" s="89"/>
      <c r="R82" s="89"/>
      <c r="S82" s="89"/>
      <c r="T82" s="89"/>
    </row>
    <row r="83" spans="15:20" ht="12" customHeight="1" x14ac:dyDescent="0.25">
      <c r="O83" s="89"/>
      <c r="P83" s="89"/>
      <c r="Q83" s="89"/>
      <c r="R83" s="89"/>
      <c r="S83" s="89"/>
      <c r="T83" s="89"/>
    </row>
    <row r="84" spans="15:20" ht="12" customHeight="1" x14ac:dyDescent="0.25">
      <c r="O84" s="89"/>
      <c r="P84" s="89"/>
      <c r="Q84" s="89"/>
      <c r="R84" s="89"/>
      <c r="S84" s="89"/>
      <c r="T84" s="89"/>
    </row>
    <row r="85" spans="15:20" ht="12" customHeight="1" x14ac:dyDescent="0.25">
      <c r="O85" s="89"/>
      <c r="P85" s="89"/>
      <c r="Q85" s="89"/>
      <c r="R85" s="89"/>
      <c r="S85" s="89"/>
      <c r="T85" s="89"/>
    </row>
    <row r="86" spans="15:20" ht="12" customHeight="1" x14ac:dyDescent="0.25">
      <c r="O86" s="89"/>
      <c r="P86" s="89"/>
      <c r="Q86" s="89"/>
      <c r="R86" s="89"/>
      <c r="S86" s="89"/>
      <c r="T86" s="89"/>
    </row>
    <row r="87" spans="15:20" ht="12" customHeight="1" x14ac:dyDescent="0.25">
      <c r="O87" s="89"/>
      <c r="P87" s="89"/>
      <c r="Q87" s="89"/>
      <c r="R87" s="89"/>
      <c r="S87" s="89"/>
      <c r="T87" s="89"/>
    </row>
    <row r="88" spans="15:20" ht="12" customHeight="1" x14ac:dyDescent="0.25">
      <c r="O88" s="89"/>
      <c r="P88" s="89"/>
      <c r="Q88" s="89"/>
      <c r="R88" s="89"/>
      <c r="S88" s="89"/>
      <c r="T88" s="89"/>
    </row>
    <row r="89" spans="15:20" ht="12" customHeight="1" x14ac:dyDescent="0.25">
      <c r="O89" s="89"/>
      <c r="P89" s="89"/>
      <c r="Q89" s="89"/>
      <c r="R89" s="89"/>
      <c r="S89" s="89"/>
      <c r="T89" s="89"/>
    </row>
    <row r="90" spans="15:20" ht="12" customHeight="1" x14ac:dyDescent="0.25">
      <c r="O90" s="89"/>
      <c r="P90" s="89"/>
      <c r="Q90" s="89"/>
      <c r="R90" s="89"/>
      <c r="S90" s="89"/>
      <c r="T90" s="89"/>
    </row>
    <row r="91" spans="15:20" ht="12" customHeight="1" x14ac:dyDescent="0.25">
      <c r="O91" s="89"/>
      <c r="P91" s="89"/>
      <c r="Q91" s="89"/>
      <c r="R91" s="89"/>
      <c r="S91" s="89"/>
      <c r="T91" s="89"/>
    </row>
    <row r="92" spans="15:20" ht="12" customHeight="1" x14ac:dyDescent="0.25">
      <c r="O92" s="89"/>
      <c r="P92" s="89"/>
      <c r="Q92" s="89"/>
      <c r="R92" s="89"/>
      <c r="S92" s="89"/>
      <c r="T92" s="89"/>
    </row>
    <row r="93" spans="15:20" ht="12" customHeight="1" x14ac:dyDescent="0.25">
      <c r="O93" s="89"/>
      <c r="P93" s="89"/>
      <c r="Q93" s="89"/>
      <c r="R93" s="89"/>
      <c r="S93" s="89"/>
      <c r="T93" s="89"/>
    </row>
    <row r="94" spans="15:20" ht="12" customHeight="1" x14ac:dyDescent="0.25">
      <c r="O94" s="89"/>
      <c r="P94" s="89"/>
      <c r="Q94" s="89"/>
      <c r="R94" s="89"/>
      <c r="S94" s="89"/>
      <c r="T94" s="89"/>
    </row>
    <row r="95" spans="15:20" ht="12" customHeight="1" x14ac:dyDescent="0.25">
      <c r="O95" s="89"/>
      <c r="P95" s="89"/>
      <c r="Q95" s="89"/>
      <c r="R95" s="89"/>
      <c r="S95" s="89"/>
      <c r="T95" s="89"/>
    </row>
    <row r="96" spans="15:20" ht="12" customHeight="1" x14ac:dyDescent="0.25">
      <c r="O96" s="89"/>
      <c r="P96" s="89"/>
      <c r="Q96" s="89"/>
      <c r="R96" s="89"/>
      <c r="S96" s="89"/>
      <c r="T96" s="89"/>
    </row>
    <row r="97" spans="15:30" ht="12" customHeight="1" x14ac:dyDescent="0.25">
      <c r="O97" s="89"/>
      <c r="P97" s="89"/>
      <c r="Q97" s="89"/>
      <c r="R97" s="89"/>
      <c r="S97" s="89"/>
      <c r="T97" s="89"/>
    </row>
    <row r="98" spans="15:30" ht="12" customHeight="1" x14ac:dyDescent="0.25">
      <c r="O98" s="89"/>
      <c r="P98" s="89"/>
      <c r="Q98" s="89"/>
      <c r="R98" s="89"/>
      <c r="S98" s="89"/>
      <c r="T98" s="89"/>
    </row>
    <row r="99" spans="15:30" ht="12" customHeight="1" x14ac:dyDescent="0.25">
      <c r="O99" s="88"/>
      <c r="P99" s="88"/>
      <c r="Q99" s="88"/>
      <c r="R99" s="88"/>
      <c r="S99" s="88"/>
      <c r="T99" s="88"/>
    </row>
    <row r="100" spans="15:30" ht="12" customHeight="1" x14ac:dyDescent="0.25"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</row>
    <row r="101" spans="15:30" ht="12" customHeight="1" x14ac:dyDescent="0.25">
      <c r="O101" s="89" t="s">
        <v>1276</v>
      </c>
      <c r="P101" s="89" t="s">
        <v>1281</v>
      </c>
      <c r="Q101" s="89" t="s">
        <v>1282</v>
      </c>
      <c r="R101" s="89" t="s">
        <v>1283</v>
      </c>
      <c r="S101" s="89" t="s">
        <v>1284</v>
      </c>
      <c r="T101" s="89" t="s">
        <v>1285</v>
      </c>
      <c r="U101" s="89" t="s">
        <v>1286</v>
      </c>
      <c r="V101" s="89" t="s">
        <v>1287</v>
      </c>
      <c r="W101" s="89"/>
      <c r="X101" s="89"/>
      <c r="Y101" s="89"/>
      <c r="Z101" s="89"/>
      <c r="AA101" s="89"/>
      <c r="AB101" s="89"/>
      <c r="AC101" s="89"/>
      <c r="AD101" s="89"/>
    </row>
    <row r="102" spans="15:30" ht="12" customHeight="1" x14ac:dyDescent="0.25">
      <c r="O102" s="89" t="s">
        <v>37</v>
      </c>
      <c r="P102" s="89" t="s">
        <v>23</v>
      </c>
      <c r="Q102" s="89" t="s">
        <v>42</v>
      </c>
      <c r="R102" s="89" t="s">
        <v>43</v>
      </c>
      <c r="S102" s="89" t="s">
        <v>25</v>
      </c>
      <c r="T102" s="89" t="s">
        <v>43</v>
      </c>
      <c r="U102" s="89">
        <v>4</v>
      </c>
      <c r="V102" s="89">
        <v>0.3</v>
      </c>
      <c r="W102" s="89">
        <v>0.24</v>
      </c>
      <c r="X102" s="89">
        <v>0.18</v>
      </c>
      <c r="Y102" s="89">
        <v>0.12</v>
      </c>
      <c r="Z102" s="89">
        <v>0.06</v>
      </c>
      <c r="AA102" s="89">
        <v>0</v>
      </c>
      <c r="AB102" s="89"/>
      <c r="AC102" s="89"/>
      <c r="AD102" s="89"/>
    </row>
    <row r="103" spans="15:30" ht="12" customHeight="1" x14ac:dyDescent="0.25"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</row>
    <row r="104" spans="15:30" ht="12" customHeight="1" x14ac:dyDescent="0.25"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</row>
    <row r="105" spans="15:30" ht="12" customHeight="1" x14ac:dyDescent="0.25"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</row>
    <row r="106" spans="15:30" ht="12" customHeight="1" x14ac:dyDescent="0.25"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</row>
    <row r="107" spans="15:30" ht="12" customHeight="1" x14ac:dyDescent="0.25"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</row>
    <row r="108" spans="15:30" ht="12" customHeight="1" x14ac:dyDescent="0.25"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</row>
    <row r="109" spans="15:30" ht="12" customHeight="1" x14ac:dyDescent="0.25"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</row>
    <row r="110" spans="15:30" ht="12" customHeight="1" x14ac:dyDescent="0.25"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</row>
    <row r="111" spans="15:30" ht="12" customHeight="1" x14ac:dyDescent="0.25"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</row>
    <row r="112" spans="15:30" ht="12" customHeight="1" x14ac:dyDescent="0.25"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</row>
    <row r="113" spans="15:30" ht="12" customHeight="1" x14ac:dyDescent="0.25"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</row>
    <row r="114" spans="15:30" ht="12" customHeight="1" x14ac:dyDescent="0.25"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</row>
    <row r="115" spans="15:30" ht="12" customHeight="1" x14ac:dyDescent="0.25"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</row>
    <row r="116" spans="15:30" ht="12" customHeight="1" x14ac:dyDescent="0.25"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</row>
    <row r="117" spans="15:30" ht="12" customHeight="1" x14ac:dyDescent="0.25"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</row>
    <row r="118" spans="15:30" ht="12" customHeight="1" x14ac:dyDescent="0.25"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</row>
    <row r="119" spans="15:30" ht="12" customHeight="1" x14ac:dyDescent="0.25"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</row>
    <row r="120" spans="15:30" ht="12" customHeight="1" x14ac:dyDescent="0.25"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</row>
    <row r="121" spans="15:30" ht="12" customHeight="1" x14ac:dyDescent="0.25"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</row>
    <row r="122" spans="15:30" ht="12" customHeight="1" x14ac:dyDescent="0.25"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</row>
    <row r="123" spans="15:30" ht="12" customHeight="1" x14ac:dyDescent="0.25"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</row>
    <row r="124" spans="15:30" ht="12" customHeight="1" x14ac:dyDescent="0.25"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</row>
    <row r="125" spans="15:30" ht="12" customHeight="1" x14ac:dyDescent="0.25"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</row>
    <row r="126" spans="15:30" ht="12" customHeight="1" x14ac:dyDescent="0.25"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</row>
    <row r="127" spans="15:30" ht="12" customHeight="1" x14ac:dyDescent="0.25"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</row>
    <row r="128" spans="15:30" ht="12" customHeight="1" x14ac:dyDescent="0.25"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</row>
    <row r="129" spans="15:30" ht="12" customHeight="1" x14ac:dyDescent="0.25"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</row>
    <row r="130" spans="15:30" ht="12" customHeight="1" x14ac:dyDescent="0.25"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</row>
    <row r="131" spans="15:30" ht="12" customHeight="1" x14ac:dyDescent="0.25"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</row>
    <row r="132" spans="15:30" ht="12" customHeight="1" x14ac:dyDescent="0.25"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</row>
    <row r="133" spans="15:30" ht="12" customHeight="1" x14ac:dyDescent="0.25"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</row>
    <row r="134" spans="15:30" ht="12" customHeight="1" x14ac:dyDescent="0.25"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</row>
    <row r="135" spans="15:30" ht="12" customHeight="1" x14ac:dyDescent="0.25"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</row>
    <row r="136" spans="15:30" ht="12" customHeight="1" x14ac:dyDescent="0.25"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</row>
    <row r="137" spans="15:30" ht="12" customHeight="1" x14ac:dyDescent="0.25"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</row>
    <row r="138" spans="15:30" ht="12" customHeight="1" x14ac:dyDescent="0.25"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</row>
    <row r="139" spans="15:30" ht="12" customHeight="1" x14ac:dyDescent="0.25"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</row>
    <row r="140" spans="15:30" ht="12" customHeight="1" x14ac:dyDescent="0.25"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</row>
    <row r="141" spans="15:30" ht="12" customHeight="1" x14ac:dyDescent="0.25"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</row>
    <row r="142" spans="15:30" ht="12" customHeight="1" x14ac:dyDescent="0.25"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</row>
    <row r="143" spans="15:30" ht="12" customHeight="1" x14ac:dyDescent="0.25"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</row>
    <row r="144" spans="15:30" ht="12" customHeight="1" x14ac:dyDescent="0.25"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</row>
    <row r="145" spans="15:30" ht="12" customHeight="1" x14ac:dyDescent="0.25"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</row>
    <row r="146" spans="15:30" ht="12" customHeight="1" x14ac:dyDescent="0.25"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</row>
    <row r="147" spans="15:30" ht="12" customHeight="1" x14ac:dyDescent="0.25"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</row>
    <row r="148" spans="15:30" ht="12" customHeight="1" x14ac:dyDescent="0.25"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</row>
    <row r="149" spans="15:30" ht="12" customHeight="1" x14ac:dyDescent="0.25"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</row>
    <row r="150" spans="15:30" ht="12" customHeight="1" x14ac:dyDescent="0.25"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</row>
    <row r="151" spans="15:30" ht="12" customHeight="1" x14ac:dyDescent="0.25"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</row>
    <row r="152" spans="15:30" ht="12" customHeight="1" x14ac:dyDescent="0.25"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</row>
    <row r="153" spans="15:30" ht="12" customHeight="1" x14ac:dyDescent="0.25"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</row>
    <row r="154" spans="15:30" ht="12" customHeight="1" x14ac:dyDescent="0.25"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</row>
    <row r="155" spans="15:30" ht="12" customHeight="1" x14ac:dyDescent="0.25"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</row>
    <row r="156" spans="15:30" ht="12" customHeight="1" x14ac:dyDescent="0.25"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</row>
    <row r="157" spans="15:30" ht="12" customHeight="1" x14ac:dyDescent="0.25"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</row>
    <row r="158" spans="15:30" ht="12" customHeight="1" x14ac:dyDescent="0.25"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</row>
    <row r="159" spans="15:30" ht="12" customHeight="1" x14ac:dyDescent="0.25"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</row>
    <row r="160" spans="15:30" ht="12" customHeight="1" x14ac:dyDescent="0.25"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</row>
    <row r="161" spans="15:30" ht="12" customHeight="1" x14ac:dyDescent="0.25"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</row>
    <row r="162" spans="15:30" ht="12" customHeight="1" x14ac:dyDescent="0.25"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</row>
    <row r="163" spans="15:30" ht="12" customHeight="1" x14ac:dyDescent="0.25"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</row>
    <row r="164" spans="15:30" ht="12" customHeight="1" x14ac:dyDescent="0.25"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</row>
    <row r="165" spans="15:30" ht="12" customHeight="1" x14ac:dyDescent="0.25"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</row>
    <row r="166" spans="15:30" ht="12" customHeight="1" x14ac:dyDescent="0.25"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</row>
    <row r="167" spans="15:30" ht="12" customHeight="1" x14ac:dyDescent="0.25"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</row>
    <row r="168" spans="15:30" ht="12" customHeight="1" x14ac:dyDescent="0.25"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</row>
    <row r="169" spans="15:30" ht="12" customHeight="1" x14ac:dyDescent="0.25"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</row>
    <row r="170" spans="15:30" ht="12" customHeight="1" x14ac:dyDescent="0.25"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</row>
    <row r="171" spans="15:30" ht="12" customHeight="1" x14ac:dyDescent="0.25"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</row>
    <row r="172" spans="15:30" ht="12" customHeight="1" x14ac:dyDescent="0.25"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</row>
    <row r="173" spans="15:30" ht="12" customHeight="1" x14ac:dyDescent="0.25"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</row>
    <row r="174" spans="15:30" ht="12" customHeight="1" x14ac:dyDescent="0.25"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</row>
    <row r="175" spans="15:30" ht="12" customHeight="1" x14ac:dyDescent="0.25"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</row>
    <row r="176" spans="15:30" ht="12" customHeight="1" x14ac:dyDescent="0.25"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</row>
    <row r="177" spans="15:30" ht="12" customHeight="1" x14ac:dyDescent="0.25"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</row>
    <row r="178" spans="15:30" ht="12" customHeight="1" x14ac:dyDescent="0.25"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</row>
    <row r="179" spans="15:30" ht="12" customHeight="1" x14ac:dyDescent="0.25"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</row>
    <row r="180" spans="15:30" ht="12" customHeight="1" x14ac:dyDescent="0.25"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</row>
    <row r="181" spans="15:30" ht="12" customHeight="1" x14ac:dyDescent="0.25"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</row>
    <row r="182" spans="15:30" ht="12" customHeight="1" x14ac:dyDescent="0.25"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</row>
    <row r="183" spans="15:30" ht="12" customHeight="1" x14ac:dyDescent="0.25"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</row>
    <row r="184" spans="15:30" ht="12" customHeight="1" x14ac:dyDescent="0.25"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</row>
    <row r="185" spans="15:30" ht="12" customHeight="1" x14ac:dyDescent="0.25"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</row>
    <row r="186" spans="15:30" ht="12" customHeight="1" x14ac:dyDescent="0.25"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</row>
    <row r="187" spans="15:30" ht="12" customHeight="1" x14ac:dyDescent="0.25"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</row>
    <row r="188" spans="15:30" ht="12" customHeight="1" x14ac:dyDescent="0.25"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</row>
    <row r="189" spans="15:30" ht="12" customHeight="1" x14ac:dyDescent="0.25"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</row>
    <row r="190" spans="15:30" ht="12" customHeight="1" x14ac:dyDescent="0.25"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</row>
    <row r="191" spans="15:30" ht="12" customHeight="1" x14ac:dyDescent="0.25"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</row>
    <row r="192" spans="15:30" ht="12" customHeight="1" x14ac:dyDescent="0.25"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</row>
    <row r="193" spans="15:30" ht="12" customHeight="1" x14ac:dyDescent="0.25"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</row>
    <row r="194" spans="15:30" ht="12" customHeight="1" x14ac:dyDescent="0.25"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</row>
    <row r="195" spans="15:30" ht="12" customHeight="1" x14ac:dyDescent="0.25"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</row>
    <row r="196" spans="15:30" ht="12" customHeight="1" x14ac:dyDescent="0.25"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</row>
    <row r="197" spans="15:30" ht="12" customHeight="1" x14ac:dyDescent="0.25"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</row>
    <row r="198" spans="15:30" ht="12" customHeight="1" x14ac:dyDescent="0.25"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</row>
    <row r="199" spans="15:30" ht="12" customHeight="1" x14ac:dyDescent="0.25"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</row>
    <row r="200" spans="15:30" ht="12" customHeight="1" x14ac:dyDescent="0.25"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</row>
  </sheetData>
  <mergeCells count="19"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B46:C46"/>
    <mergeCell ref="O1:U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8DBD-7A07-4380-AAE2-42246F750CA2}">
  <dimension ref="A1:AP52"/>
  <sheetViews>
    <sheetView showGridLines="0" topLeftCell="A29" workbookViewId="0">
      <selection activeCell="K63" sqref="K63:P6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71</v>
      </c>
      <c r="B1" s="132" t="s">
        <v>72</v>
      </c>
      <c r="C1" s="132" t="s">
        <v>73</v>
      </c>
      <c r="D1" s="132" t="s">
        <v>74</v>
      </c>
      <c r="E1" s="132" t="s">
        <v>75</v>
      </c>
      <c r="F1" s="132" t="s">
        <v>15</v>
      </c>
      <c r="G1" s="132" t="s">
        <v>77</v>
      </c>
      <c r="H1" s="132" t="s">
        <v>78</v>
      </c>
      <c r="I1" s="132" t="s">
        <v>652</v>
      </c>
      <c r="J1" s="125"/>
      <c r="L1" s="133" t="s">
        <v>653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654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5"/>
      <c r="L2" s="133" t="s">
        <v>562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5"/>
      <c r="L3" s="133" t="s">
        <v>563</v>
      </c>
      <c r="M3" s="133"/>
      <c r="N3" s="133"/>
      <c r="O3" s="133"/>
      <c r="P3" s="133"/>
      <c r="Q3" s="133"/>
      <c r="R3" s="133"/>
      <c r="S3" s="133"/>
      <c r="T3" s="133"/>
      <c r="U3" s="133" t="s">
        <v>572</v>
      </c>
      <c r="V3" s="133"/>
      <c r="W3" s="133"/>
      <c r="X3" s="133"/>
      <c r="Y3" s="133"/>
      <c r="Z3" s="133"/>
      <c r="AA3" s="133"/>
      <c r="AB3" s="133"/>
      <c r="AC3" s="133" t="s">
        <v>580</v>
      </c>
      <c r="AD3" s="133"/>
      <c r="AE3" s="133" t="s">
        <v>582</v>
      </c>
      <c r="AF3" s="133"/>
      <c r="AG3" s="133"/>
      <c r="AH3" s="133" t="s">
        <v>585</v>
      </c>
      <c r="AI3" s="133"/>
      <c r="AJ3" s="133"/>
      <c r="AK3" s="133"/>
      <c r="AL3" s="133"/>
      <c r="AM3" s="133" t="s">
        <v>571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5"/>
      <c r="L4" s="69" t="s">
        <v>648</v>
      </c>
      <c r="M4" s="69" t="s">
        <v>564</v>
      </c>
      <c r="N4" s="69" t="s">
        <v>565</v>
      </c>
      <c r="O4" s="69" t="s">
        <v>566</v>
      </c>
      <c r="P4" s="69" t="s">
        <v>567</v>
      </c>
      <c r="Q4" s="69" t="s">
        <v>568</v>
      </c>
      <c r="R4" s="69" t="s">
        <v>569</v>
      </c>
      <c r="S4" s="69" t="s">
        <v>570</v>
      </c>
      <c r="T4" s="69" t="s">
        <v>571</v>
      </c>
      <c r="U4" s="69" t="s">
        <v>573</v>
      </c>
      <c r="V4" s="69" t="s">
        <v>574</v>
      </c>
      <c r="W4" s="69" t="s">
        <v>575</v>
      </c>
      <c r="X4" s="69" t="s">
        <v>576</v>
      </c>
      <c r="Y4" s="69" t="s">
        <v>577</v>
      </c>
      <c r="Z4" s="69" t="s">
        <v>578</v>
      </c>
      <c r="AA4" s="69" t="s">
        <v>579</v>
      </c>
      <c r="AB4" s="69" t="s">
        <v>571</v>
      </c>
      <c r="AC4" s="69" t="s">
        <v>581</v>
      </c>
      <c r="AD4" s="69" t="s">
        <v>571</v>
      </c>
      <c r="AE4" s="69" t="s">
        <v>583</v>
      </c>
      <c r="AF4" s="69" t="s">
        <v>584</v>
      </c>
      <c r="AG4" s="69" t="s">
        <v>571</v>
      </c>
      <c r="AH4" s="69" t="s">
        <v>586</v>
      </c>
      <c r="AI4" s="69" t="s">
        <v>587</v>
      </c>
      <c r="AJ4" s="69" t="s">
        <v>588</v>
      </c>
      <c r="AK4" s="69" t="s">
        <v>589</v>
      </c>
      <c r="AL4" s="69" t="s">
        <v>571</v>
      </c>
      <c r="AM4" s="135"/>
      <c r="AP4" s="134"/>
    </row>
    <row r="5" spans="1:42" ht="11.25" customHeight="1" x14ac:dyDescent="0.25">
      <c r="A5" s="73" t="s">
        <v>62</v>
      </c>
      <c r="B5" s="73" t="s">
        <v>59</v>
      </c>
      <c r="C5" s="73" t="s">
        <v>25</v>
      </c>
      <c r="D5" s="73" t="s">
        <v>25</v>
      </c>
      <c r="E5" s="73" t="s">
        <v>25</v>
      </c>
      <c r="F5" s="73" t="s">
        <v>25</v>
      </c>
      <c r="G5" s="74" t="s">
        <v>9</v>
      </c>
      <c r="H5" s="74" t="s">
        <v>80</v>
      </c>
      <c r="I5" s="74">
        <f>'MERCADO TUSD'!$U$2</f>
        <v>27600</v>
      </c>
      <c r="J5" s="15"/>
      <c r="L5" s="53"/>
      <c r="M5" s="53"/>
      <c r="N5" s="53"/>
      <c r="O5" s="53"/>
      <c r="P5" s="53"/>
      <c r="Q5" s="53"/>
      <c r="R5" s="53"/>
      <c r="S5" s="53"/>
      <c r="T5" s="53"/>
      <c r="U5" s="53">
        <f>(1+CUSTOS!$M$4)*0</f>
        <v>0</v>
      </c>
      <c r="V5" s="53">
        <f>(1+CUSTOS!$M$4)*0</f>
        <v>0</v>
      </c>
      <c r="W5" s="53">
        <f>(1+CUSTOS!$M$4)*0</f>
        <v>0</v>
      </c>
      <c r="X5" s="53">
        <f>(1+CUSTOS!$M$4)*0</f>
        <v>0</v>
      </c>
      <c r="Y5" s="53">
        <f>(1+CUSTOS!$M$4)*0</f>
        <v>0</v>
      </c>
      <c r="Z5" s="53">
        <v>0</v>
      </c>
      <c r="AA5" s="53">
        <v>0</v>
      </c>
      <c r="AB5" s="53"/>
      <c r="AC5" s="53">
        <f>(1+CUSTOS!$M$4)*12.9915820162313</f>
        <v>14.382231626856818</v>
      </c>
      <c r="AD5" s="53"/>
      <c r="AE5" s="53"/>
      <c r="AF5" s="53"/>
      <c r="AG5" s="53"/>
      <c r="AH5" s="53"/>
      <c r="AI5" s="53"/>
      <c r="AJ5" s="53"/>
      <c r="AK5" s="53"/>
      <c r="AL5" s="53"/>
      <c r="AM5" s="53"/>
      <c r="AP5" s="53"/>
    </row>
    <row r="6" spans="1:42" ht="11.25" customHeight="1" x14ac:dyDescent="0.25">
      <c r="A6" s="131" t="s">
        <v>38</v>
      </c>
      <c r="B6" s="131" t="s">
        <v>39</v>
      </c>
      <c r="C6" s="131" t="s">
        <v>25</v>
      </c>
      <c r="D6" s="131" t="s">
        <v>25</v>
      </c>
      <c r="E6" s="131" t="s">
        <v>25</v>
      </c>
      <c r="F6" s="131" t="s">
        <v>25</v>
      </c>
      <c r="G6" s="74" t="s">
        <v>87</v>
      </c>
      <c r="H6" s="74" t="s">
        <v>80</v>
      </c>
      <c r="I6" s="74">
        <f>'MERCADO TUSD'!$U$3</f>
        <v>74530</v>
      </c>
      <c r="J6" s="15"/>
      <c r="L6" s="53"/>
      <c r="M6" s="53"/>
      <c r="N6" s="53"/>
      <c r="O6" s="53"/>
      <c r="P6" s="53"/>
      <c r="Q6" s="53"/>
      <c r="R6" s="53"/>
      <c r="S6" s="53"/>
      <c r="T6" s="53"/>
      <c r="U6" s="53">
        <v>7.6818</v>
      </c>
      <c r="V6" s="53">
        <v>2.3961999999999999</v>
      </c>
      <c r="W6" s="53">
        <v>4.6226000000000003</v>
      </c>
      <c r="X6" s="53">
        <v>0</v>
      </c>
      <c r="Y6" s="53">
        <v>0</v>
      </c>
      <c r="Z6" s="53">
        <v>0</v>
      </c>
      <c r="AA6" s="53">
        <v>0</v>
      </c>
      <c r="AB6" s="53"/>
      <c r="AC6" s="53">
        <v>29.1005</v>
      </c>
      <c r="AD6" s="53"/>
      <c r="AE6" s="53"/>
      <c r="AF6" s="53"/>
      <c r="AG6" s="53"/>
      <c r="AH6" s="53"/>
      <c r="AI6" s="53"/>
      <c r="AJ6" s="53"/>
      <c r="AK6" s="53"/>
      <c r="AL6" s="53"/>
      <c r="AM6" s="53"/>
      <c r="AP6" s="53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74" t="s">
        <v>88</v>
      </c>
      <c r="H7" s="74" t="s">
        <v>80</v>
      </c>
      <c r="I7" s="74">
        <f>'MERCADO TUSD'!$U$4</f>
        <v>78662</v>
      </c>
      <c r="J7" s="15"/>
      <c r="L7" s="53"/>
      <c r="M7" s="53"/>
      <c r="N7" s="53"/>
      <c r="O7" s="53"/>
      <c r="P7" s="53"/>
      <c r="Q7" s="53"/>
      <c r="R7" s="53"/>
      <c r="S7" s="53"/>
      <c r="T7" s="53"/>
      <c r="U7" s="53">
        <v>5.0857999999999999</v>
      </c>
      <c r="V7" s="53">
        <v>1.4847999999999999</v>
      </c>
      <c r="W7" s="53">
        <v>2.6989000000000001</v>
      </c>
      <c r="X7" s="53">
        <v>0</v>
      </c>
      <c r="Y7" s="53">
        <v>0</v>
      </c>
      <c r="Z7" s="53">
        <v>0</v>
      </c>
      <c r="AA7" s="53">
        <v>0</v>
      </c>
      <c r="AB7" s="53"/>
      <c r="AC7" s="53">
        <v>7.2455999999999996</v>
      </c>
      <c r="AD7" s="53"/>
      <c r="AE7" s="53"/>
      <c r="AF7" s="53"/>
      <c r="AG7" s="53"/>
      <c r="AH7" s="53"/>
      <c r="AI7" s="53"/>
      <c r="AJ7" s="53"/>
      <c r="AK7" s="53"/>
      <c r="AL7" s="53"/>
      <c r="AM7" s="53"/>
      <c r="AP7" s="53">
        <v>1</v>
      </c>
    </row>
    <row r="8" spans="1:42" ht="11.25" customHeight="1" x14ac:dyDescent="0.25">
      <c r="A8" s="131"/>
      <c r="B8" s="131"/>
      <c r="C8" s="131"/>
      <c r="D8" s="131"/>
      <c r="E8" s="131"/>
      <c r="F8" s="131"/>
      <c r="G8" s="74" t="s">
        <v>86</v>
      </c>
      <c r="H8" s="74" t="s">
        <v>82</v>
      </c>
      <c r="I8" s="74">
        <f>'MERCADO TUSD'!$U$5</f>
        <v>35898.876000000004</v>
      </c>
      <c r="J8" s="15"/>
      <c r="L8" s="53"/>
      <c r="M8" s="53"/>
      <c r="N8" s="53"/>
      <c r="O8" s="53"/>
      <c r="P8" s="53"/>
      <c r="Q8" s="53"/>
      <c r="R8" s="53"/>
      <c r="S8" s="53"/>
      <c r="T8" s="53"/>
      <c r="U8" s="53">
        <v>0</v>
      </c>
      <c r="V8" s="53">
        <v>0</v>
      </c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/>
      <c r="AC8" s="53">
        <v>0</v>
      </c>
      <c r="AD8" s="53"/>
      <c r="AE8" s="53"/>
      <c r="AF8" s="53"/>
      <c r="AG8" s="53"/>
      <c r="AH8" s="53"/>
      <c r="AI8" s="53"/>
      <c r="AJ8" s="53"/>
      <c r="AK8" s="53"/>
      <c r="AL8" s="53"/>
      <c r="AM8" s="53"/>
      <c r="AP8" s="53">
        <v>1</v>
      </c>
    </row>
    <row r="9" spans="1:42" ht="11.25" customHeight="1" x14ac:dyDescent="0.25">
      <c r="A9" s="131"/>
      <c r="B9" s="131"/>
      <c r="C9" s="131"/>
      <c r="D9" s="131"/>
      <c r="E9" s="73" t="s">
        <v>89</v>
      </c>
      <c r="F9" s="73" t="s">
        <v>25</v>
      </c>
      <c r="G9" s="74" t="s">
        <v>86</v>
      </c>
      <c r="H9" s="74" t="s">
        <v>82</v>
      </c>
      <c r="I9" s="74">
        <f>'MERCADO TUSD'!$U$6</f>
        <v>0</v>
      </c>
      <c r="J9" s="15"/>
      <c r="L9" s="53"/>
      <c r="M9" s="53"/>
      <c r="N9" s="53"/>
      <c r="O9" s="53"/>
      <c r="P9" s="53"/>
      <c r="Q9" s="53"/>
      <c r="R9" s="53"/>
      <c r="S9" s="53"/>
      <c r="T9" s="53"/>
      <c r="U9" s="53">
        <v>0</v>
      </c>
      <c r="V9" s="53">
        <v>0</v>
      </c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/>
      <c r="AC9" s="53">
        <v>0</v>
      </c>
      <c r="AD9" s="53"/>
      <c r="AE9" s="53"/>
      <c r="AF9" s="53"/>
      <c r="AG9" s="53"/>
      <c r="AH9" s="53"/>
      <c r="AI9" s="53"/>
      <c r="AJ9" s="53"/>
      <c r="AK9" s="53"/>
      <c r="AL9" s="53"/>
      <c r="AM9" s="53"/>
      <c r="AP9" s="53">
        <v>1</v>
      </c>
    </row>
    <row r="10" spans="1:42" ht="11.25" customHeight="1" x14ac:dyDescent="0.25">
      <c r="A10" s="131"/>
      <c r="B10" s="73" t="s">
        <v>59</v>
      </c>
      <c r="C10" s="73" t="s">
        <v>25</v>
      </c>
      <c r="D10" s="73" t="s">
        <v>25</v>
      </c>
      <c r="E10" s="73" t="s">
        <v>25</v>
      </c>
      <c r="F10" s="73" t="s">
        <v>25</v>
      </c>
      <c r="G10" s="74" t="s">
        <v>9</v>
      </c>
      <c r="H10" s="74" t="s">
        <v>80</v>
      </c>
      <c r="I10" s="74">
        <f>'MERCADO TUSD'!$U$7</f>
        <v>15360</v>
      </c>
      <c r="J10" s="15"/>
      <c r="L10" s="53"/>
      <c r="M10" s="53"/>
      <c r="N10" s="53"/>
      <c r="O10" s="53"/>
      <c r="P10" s="53"/>
      <c r="Q10" s="53"/>
      <c r="R10" s="53"/>
      <c r="S10" s="53"/>
      <c r="T10" s="53"/>
      <c r="U10" s="53">
        <v>0</v>
      </c>
      <c r="V10" s="53">
        <v>0</v>
      </c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/>
      <c r="AC10" s="53">
        <v>5.3621999999999996</v>
      </c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P10" s="53"/>
    </row>
    <row r="11" spans="1:42" ht="11.25" customHeight="1" x14ac:dyDescent="0.25">
      <c r="A11" s="131"/>
      <c r="B11" s="131" t="s">
        <v>40</v>
      </c>
      <c r="C11" s="131" t="s">
        <v>25</v>
      </c>
      <c r="D11" s="131" t="s">
        <v>25</v>
      </c>
      <c r="E11" s="131" t="s">
        <v>25</v>
      </c>
      <c r="F11" s="131" t="s">
        <v>25</v>
      </c>
      <c r="G11" s="74" t="s">
        <v>9</v>
      </c>
      <c r="H11" s="74" t="s">
        <v>80</v>
      </c>
      <c r="I11" s="74">
        <f>'MERCADO TUSD'!$U$8</f>
        <v>288308</v>
      </c>
      <c r="J11" s="15"/>
      <c r="L11" s="53"/>
      <c r="M11" s="53"/>
      <c r="N11" s="53"/>
      <c r="O11" s="53"/>
      <c r="P11" s="53"/>
      <c r="Q11" s="53"/>
      <c r="R11" s="53"/>
      <c r="S11" s="53"/>
      <c r="T11" s="53"/>
      <c r="U11" s="53">
        <v>5.0857999999999999</v>
      </c>
      <c r="V11" s="53">
        <v>1.4847999999999999</v>
      </c>
      <c r="W11" s="53">
        <v>2.6989000000000001</v>
      </c>
      <c r="X11" s="53">
        <v>0</v>
      </c>
      <c r="Y11" s="53">
        <v>0</v>
      </c>
      <c r="Z11" s="53">
        <v>0</v>
      </c>
      <c r="AA11" s="53">
        <v>0</v>
      </c>
      <c r="AB11" s="53"/>
      <c r="AC11" s="53">
        <v>7.2455999999999996</v>
      </c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P11" s="53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74" t="s">
        <v>83</v>
      </c>
      <c r="H12" s="74" t="s">
        <v>82</v>
      </c>
      <c r="I12" s="74">
        <f>'MERCADO TUSD'!$U$9</f>
        <v>4081.9879999999994</v>
      </c>
      <c r="J12" s="15"/>
      <c r="L12" s="53"/>
      <c r="M12" s="53"/>
      <c r="N12" s="53"/>
      <c r="O12" s="53"/>
      <c r="P12" s="53"/>
      <c r="Q12" s="53"/>
      <c r="R12" s="53"/>
      <c r="S12" s="53"/>
      <c r="T12" s="53"/>
      <c r="U12" s="53">
        <v>184.74809999999999</v>
      </c>
      <c r="V12" s="53">
        <v>57.628700000000002</v>
      </c>
      <c r="W12" s="53">
        <v>111.1735</v>
      </c>
      <c r="X12" s="53">
        <v>0</v>
      </c>
      <c r="Y12" s="53">
        <v>0</v>
      </c>
      <c r="Z12" s="53">
        <v>0</v>
      </c>
      <c r="AA12" s="53">
        <v>0</v>
      </c>
      <c r="AB12" s="53"/>
      <c r="AC12" s="53">
        <v>699.86810000000003</v>
      </c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P12" s="53">
        <v>1</v>
      </c>
    </row>
    <row r="13" spans="1:42" ht="11.25" customHeight="1" x14ac:dyDescent="0.25">
      <c r="A13" s="131"/>
      <c r="B13" s="131"/>
      <c r="C13" s="131"/>
      <c r="D13" s="131"/>
      <c r="E13" s="131"/>
      <c r="F13" s="131"/>
      <c r="G13" s="74" t="s">
        <v>84</v>
      </c>
      <c r="H13" s="74" t="s">
        <v>82</v>
      </c>
      <c r="I13" s="74">
        <f>'MERCADO TUSD'!$U$10</f>
        <v>46975.044999999991</v>
      </c>
      <c r="J13" s="15"/>
      <c r="L13" s="53"/>
      <c r="M13" s="53"/>
      <c r="N13" s="53"/>
      <c r="O13" s="53"/>
      <c r="P13" s="53"/>
      <c r="Q13" s="53"/>
      <c r="R13" s="53"/>
      <c r="S13" s="53"/>
      <c r="T13" s="53"/>
      <c r="U13" s="53">
        <v>0</v>
      </c>
      <c r="V13" s="53">
        <v>0</v>
      </c>
      <c r="W13" s="53">
        <v>0</v>
      </c>
      <c r="X13" s="53">
        <v>0</v>
      </c>
      <c r="Y13" s="53">
        <v>0</v>
      </c>
      <c r="Z13" s="53">
        <v>0</v>
      </c>
      <c r="AA13" s="53">
        <v>0</v>
      </c>
      <c r="AB13" s="53"/>
      <c r="AC13" s="53">
        <v>0</v>
      </c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P13" s="53">
        <v>1</v>
      </c>
    </row>
    <row r="14" spans="1:42" ht="11.25" customHeight="1" x14ac:dyDescent="0.25">
      <c r="A14" s="131"/>
      <c r="B14" s="131"/>
      <c r="C14" s="131"/>
      <c r="D14" s="131"/>
      <c r="E14" s="131" t="s">
        <v>89</v>
      </c>
      <c r="F14" s="131" t="s">
        <v>25</v>
      </c>
      <c r="G14" s="74" t="s">
        <v>83</v>
      </c>
      <c r="H14" s="74" t="s">
        <v>82</v>
      </c>
      <c r="I14" s="74">
        <f>'MERCADO TUSD'!$U$11</f>
        <v>0</v>
      </c>
      <c r="J14" s="15"/>
      <c r="L14" s="53"/>
      <c r="M14" s="53"/>
      <c r="N14" s="53"/>
      <c r="O14" s="53"/>
      <c r="P14" s="53"/>
      <c r="Q14" s="53"/>
      <c r="R14" s="53"/>
      <c r="S14" s="53"/>
      <c r="T14" s="53"/>
      <c r="U14" s="53">
        <v>184.74809999999999</v>
      </c>
      <c r="V14" s="53">
        <v>57.628700000000002</v>
      </c>
      <c r="W14" s="53">
        <v>111.1735</v>
      </c>
      <c r="X14" s="53">
        <v>0</v>
      </c>
      <c r="Y14" s="53">
        <v>0</v>
      </c>
      <c r="Z14" s="53">
        <v>0</v>
      </c>
      <c r="AA14" s="53">
        <v>0</v>
      </c>
      <c r="AB14" s="53"/>
      <c r="AC14" s="53">
        <v>699.86810000000003</v>
      </c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P14" s="53">
        <v>1</v>
      </c>
    </row>
    <row r="15" spans="1:42" ht="11.25" customHeight="1" x14ac:dyDescent="0.25">
      <c r="A15" s="131"/>
      <c r="B15" s="131"/>
      <c r="C15" s="131"/>
      <c r="D15" s="131"/>
      <c r="E15" s="131"/>
      <c r="F15" s="131"/>
      <c r="G15" s="74" t="s">
        <v>84</v>
      </c>
      <c r="H15" s="74" t="s">
        <v>82</v>
      </c>
      <c r="I15" s="74">
        <f>'MERCADO TUSD'!$U$12</f>
        <v>0</v>
      </c>
      <c r="J15" s="15"/>
      <c r="L15" s="53"/>
      <c r="M15" s="53"/>
      <c r="N15" s="53"/>
      <c r="O15" s="53"/>
      <c r="P15" s="53"/>
      <c r="Q15" s="53"/>
      <c r="R15" s="53"/>
      <c r="S15" s="53"/>
      <c r="T15" s="53"/>
      <c r="U15" s="53">
        <v>0</v>
      </c>
      <c r="V15" s="53">
        <v>0</v>
      </c>
      <c r="W15" s="53">
        <v>0</v>
      </c>
      <c r="X15" s="53">
        <v>0</v>
      </c>
      <c r="Y15" s="53">
        <v>0</v>
      </c>
      <c r="Z15" s="53">
        <v>0</v>
      </c>
      <c r="AA15" s="53">
        <v>0</v>
      </c>
      <c r="AB15" s="53"/>
      <c r="AC15" s="53">
        <v>0</v>
      </c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P15" s="53">
        <v>1</v>
      </c>
    </row>
    <row r="16" spans="1:42" ht="11.25" customHeight="1" x14ac:dyDescent="0.25">
      <c r="A16" s="131" t="s">
        <v>90</v>
      </c>
      <c r="B16" s="131" t="s">
        <v>59</v>
      </c>
      <c r="C16" s="131" t="s">
        <v>25</v>
      </c>
      <c r="D16" s="131" t="s">
        <v>25</v>
      </c>
      <c r="E16" s="73" t="s">
        <v>91</v>
      </c>
      <c r="F16" s="73" t="s">
        <v>25</v>
      </c>
      <c r="G16" s="74" t="s">
        <v>9</v>
      </c>
      <c r="H16" s="74" t="s">
        <v>80</v>
      </c>
      <c r="I16" s="74">
        <f>'MERCADO TUSD'!$U$13+0.00000001</f>
        <v>1E-8</v>
      </c>
      <c r="J16" s="15"/>
      <c r="L16" s="53"/>
      <c r="M16" s="53"/>
      <c r="N16" s="53"/>
      <c r="O16" s="53"/>
      <c r="P16" s="53"/>
      <c r="Q16" s="53"/>
      <c r="R16" s="53"/>
      <c r="S16" s="53"/>
      <c r="T16" s="53"/>
      <c r="U16" s="53">
        <v>0</v>
      </c>
      <c r="V16" s="53">
        <v>0</v>
      </c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/>
      <c r="AC16" s="53">
        <v>3.1793999999999998</v>
      </c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P16" s="53"/>
    </row>
    <row r="17" spans="1:42" ht="11.25" customHeight="1" x14ac:dyDescent="0.25">
      <c r="A17" s="131"/>
      <c r="B17" s="131"/>
      <c r="C17" s="131"/>
      <c r="D17" s="131"/>
      <c r="E17" s="73" t="s">
        <v>92</v>
      </c>
      <c r="F17" s="73" t="s">
        <v>25</v>
      </c>
      <c r="G17" s="74" t="s">
        <v>9</v>
      </c>
      <c r="H17" s="74" t="s">
        <v>80</v>
      </c>
      <c r="I17" s="74">
        <f>'MERCADO TUSD'!$U$14+0.00000001</f>
        <v>1E-8</v>
      </c>
      <c r="J17" s="15"/>
      <c r="L17" s="53"/>
      <c r="M17" s="53"/>
      <c r="N17" s="53"/>
      <c r="O17" s="53"/>
      <c r="P17" s="53"/>
      <c r="Q17" s="53"/>
      <c r="R17" s="53"/>
      <c r="S17" s="53"/>
      <c r="T17" s="53"/>
      <c r="U17" s="53">
        <v>0</v>
      </c>
      <c r="V17" s="53">
        <v>0</v>
      </c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/>
      <c r="AC17" s="53">
        <v>9.8092000000000006</v>
      </c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P17" s="53"/>
    </row>
    <row r="18" spans="1:42" ht="11.25" customHeight="1" x14ac:dyDescent="0.25">
      <c r="A18" s="131" t="s">
        <v>22</v>
      </c>
      <c r="B18" s="131" t="s">
        <v>32</v>
      </c>
      <c r="C18" s="131" t="s">
        <v>24</v>
      </c>
      <c r="D18" s="131" t="s">
        <v>24</v>
      </c>
      <c r="E18" s="131" t="s">
        <v>25</v>
      </c>
      <c r="F18" s="131" t="s">
        <v>25</v>
      </c>
      <c r="G18" s="74" t="s">
        <v>83</v>
      </c>
      <c r="H18" s="74" t="s">
        <v>82</v>
      </c>
      <c r="I18" s="74">
        <f>'MERCADO TUSD'!$U$15</f>
        <v>1.103</v>
      </c>
      <c r="J18" s="15"/>
      <c r="L18" s="53"/>
      <c r="M18" s="53"/>
      <c r="N18" s="53"/>
      <c r="O18" s="53"/>
      <c r="P18" s="53"/>
      <c r="Q18" s="53"/>
      <c r="R18" s="53"/>
      <c r="S18" s="53"/>
      <c r="T18" s="53"/>
      <c r="U18" s="53">
        <v>130.7739</v>
      </c>
      <c r="V18" s="53">
        <v>39.618099999999998</v>
      </c>
      <c r="W18" s="53">
        <v>74.515900000000002</v>
      </c>
      <c r="X18" s="53">
        <v>0</v>
      </c>
      <c r="Y18" s="53">
        <v>0</v>
      </c>
      <c r="Z18" s="53">
        <v>0</v>
      </c>
      <c r="AA18" s="53">
        <v>0</v>
      </c>
      <c r="AB18" s="53"/>
      <c r="AC18" s="53">
        <v>697.03020000000004</v>
      </c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P18" s="53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74" t="s">
        <v>93</v>
      </c>
      <c r="H19" s="74" t="s">
        <v>82</v>
      </c>
      <c r="I19" s="74">
        <f>'MERCADO TUSD'!$U$16</f>
        <v>0.64800000000000013</v>
      </c>
      <c r="J19" s="15"/>
      <c r="L19" s="53"/>
      <c r="M19" s="53"/>
      <c r="N19" s="53"/>
      <c r="O19" s="53"/>
      <c r="P19" s="53"/>
      <c r="Q19" s="53"/>
      <c r="R19" s="53"/>
      <c r="S19" s="53"/>
      <c r="T19" s="53"/>
      <c r="U19" s="53">
        <v>65.386899999999997</v>
      </c>
      <c r="V19" s="53">
        <v>19.809100000000001</v>
      </c>
      <c r="W19" s="53">
        <v>37.258000000000003</v>
      </c>
      <c r="X19" s="53">
        <v>0</v>
      </c>
      <c r="Y19" s="53">
        <v>0</v>
      </c>
      <c r="Z19" s="53">
        <v>0</v>
      </c>
      <c r="AA19" s="53">
        <v>0</v>
      </c>
      <c r="AB19" s="53"/>
      <c r="AC19" s="53">
        <v>348.51510000000002</v>
      </c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P19" s="53">
        <v>1</v>
      </c>
    </row>
    <row r="20" spans="1:42" ht="11.25" customHeight="1" x14ac:dyDescent="0.25">
      <c r="A20" s="131"/>
      <c r="B20" s="131"/>
      <c r="C20" s="131"/>
      <c r="D20" s="131"/>
      <c r="E20" s="131"/>
      <c r="F20" s="131"/>
      <c r="G20" s="74" t="s">
        <v>84</v>
      </c>
      <c r="H20" s="74" t="s">
        <v>82</v>
      </c>
      <c r="I20" s="74">
        <f>'MERCADO TUSD'!$U$17</f>
        <v>11.868000000000002</v>
      </c>
      <c r="J20" s="15"/>
      <c r="L20" s="53"/>
      <c r="M20" s="53"/>
      <c r="N20" s="53"/>
      <c r="O20" s="53"/>
      <c r="P20" s="53"/>
      <c r="Q20" s="53"/>
      <c r="R20" s="53"/>
      <c r="S20" s="53"/>
      <c r="T20" s="53"/>
      <c r="U20" s="53">
        <v>13.077400000000001</v>
      </c>
      <c r="V20" s="53">
        <v>3.9618000000000002</v>
      </c>
      <c r="W20" s="53">
        <v>7.4516</v>
      </c>
      <c r="X20" s="53">
        <v>0</v>
      </c>
      <c r="Y20" s="53">
        <v>0</v>
      </c>
      <c r="Z20" s="53">
        <v>0</v>
      </c>
      <c r="AA20" s="53">
        <v>0</v>
      </c>
      <c r="AB20" s="53"/>
      <c r="AC20" s="53">
        <v>69.703000000000003</v>
      </c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P20" s="53">
        <v>1</v>
      </c>
    </row>
    <row r="21" spans="1:42" ht="11.25" customHeight="1" x14ac:dyDescent="0.25">
      <c r="A21" s="131"/>
      <c r="B21" s="131" t="s">
        <v>23</v>
      </c>
      <c r="C21" s="131" t="s">
        <v>24</v>
      </c>
      <c r="D21" s="73" t="s">
        <v>24</v>
      </c>
      <c r="E21" s="73" t="s">
        <v>25</v>
      </c>
      <c r="F21" s="73" t="s">
        <v>25</v>
      </c>
      <c r="G21" s="74" t="s">
        <v>86</v>
      </c>
      <c r="H21" s="74" t="s">
        <v>82</v>
      </c>
      <c r="I21" s="74">
        <f>'MERCADO TUSD'!$U$18</f>
        <v>63212.388999999996</v>
      </c>
      <c r="J21" s="15"/>
      <c r="L21" s="53"/>
      <c r="M21" s="53"/>
      <c r="N21" s="53"/>
      <c r="O21" s="53"/>
      <c r="P21" s="53"/>
      <c r="Q21" s="53"/>
      <c r="R21" s="53"/>
      <c r="S21" s="53"/>
      <c r="T21" s="53"/>
      <c r="U21" s="53">
        <v>36.326099999999997</v>
      </c>
      <c r="V21" s="53">
        <v>11.005000000000001</v>
      </c>
      <c r="W21" s="53">
        <v>20.698899999999998</v>
      </c>
      <c r="X21" s="53">
        <v>0</v>
      </c>
      <c r="Y21" s="53">
        <v>0</v>
      </c>
      <c r="Z21" s="53">
        <v>0</v>
      </c>
      <c r="AA21" s="53">
        <v>0</v>
      </c>
      <c r="AB21" s="53"/>
      <c r="AC21" s="53">
        <v>193.61949999999999</v>
      </c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P21" s="53">
        <v>1</v>
      </c>
    </row>
    <row r="22" spans="1:42" ht="11.25" customHeight="1" x14ac:dyDescent="0.25">
      <c r="A22" s="131"/>
      <c r="B22" s="131"/>
      <c r="C22" s="131"/>
      <c r="D22" s="73" t="s">
        <v>28</v>
      </c>
      <c r="E22" s="73" t="s">
        <v>25</v>
      </c>
      <c r="F22" s="73" t="s">
        <v>25</v>
      </c>
      <c r="G22" s="74" t="s">
        <v>86</v>
      </c>
      <c r="H22" s="74" t="s">
        <v>82</v>
      </c>
      <c r="I22" s="74">
        <f>'MERCADO TUSD'!$U$19</f>
        <v>258.12700000000001</v>
      </c>
      <c r="J22" s="15"/>
      <c r="L22" s="53"/>
      <c r="M22" s="53"/>
      <c r="N22" s="53"/>
      <c r="O22" s="53"/>
      <c r="P22" s="53"/>
      <c r="Q22" s="53"/>
      <c r="R22" s="53"/>
      <c r="S22" s="53"/>
      <c r="T22" s="53"/>
      <c r="U22" s="53">
        <f>(1 - CUSTOS!$M$24)*36.3261</f>
        <v>36.326099999999997</v>
      </c>
      <c r="V22" s="53">
        <f>(1 - CUSTOS!$M$24)*11.005</f>
        <v>11.005000000000001</v>
      </c>
      <c r="W22" s="53">
        <f>(1 - CUSTOS!$M$24)*20.6989</f>
        <v>20.698899999999998</v>
      </c>
      <c r="X22" s="53">
        <v>0</v>
      </c>
      <c r="Y22" s="53">
        <v>0</v>
      </c>
      <c r="Z22" s="53">
        <v>0</v>
      </c>
      <c r="AA22" s="53">
        <v>0</v>
      </c>
      <c r="AB22" s="53"/>
      <c r="AC22" s="53">
        <f>(1 - CUSTOS!$M$24)*193.6195</f>
        <v>193.61949999999999</v>
      </c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P22" s="53">
        <f>IF((1 - CUSTOS!$M$24)&lt;&gt;0,1/(1 - CUSTOS!$M$24),1)</f>
        <v>1</v>
      </c>
    </row>
    <row r="23" spans="1:42" ht="11.25" customHeight="1" x14ac:dyDescent="0.25">
      <c r="A23" s="131"/>
      <c r="B23" s="131"/>
      <c r="C23" s="131"/>
      <c r="D23" s="73" t="s">
        <v>29</v>
      </c>
      <c r="E23" s="73" t="s">
        <v>25</v>
      </c>
      <c r="F23" s="73" t="s">
        <v>25</v>
      </c>
      <c r="G23" s="74" t="s">
        <v>86</v>
      </c>
      <c r="H23" s="74" t="s">
        <v>82</v>
      </c>
      <c r="I23" s="74">
        <f>'MERCADO TUSD'!$U$20</f>
        <v>546.58100000000002</v>
      </c>
      <c r="J23" s="15"/>
      <c r="L23" s="53"/>
      <c r="M23" s="53"/>
      <c r="N23" s="53"/>
      <c r="O23" s="53"/>
      <c r="P23" s="53"/>
      <c r="Q23" s="53"/>
      <c r="R23" s="53"/>
      <c r="S23" s="53"/>
      <c r="T23" s="53"/>
      <c r="U23" s="53">
        <f>(1 - CUSTOS!$M$25)*36.3261</f>
        <v>36.326099999999997</v>
      </c>
      <c r="V23" s="53">
        <f>(1 - CUSTOS!$M$25)*11.005</f>
        <v>11.005000000000001</v>
      </c>
      <c r="W23" s="53">
        <f>(1 - CUSTOS!$M$25)*20.6989</f>
        <v>20.698899999999998</v>
      </c>
      <c r="X23" s="53">
        <v>0</v>
      </c>
      <c r="Y23" s="53">
        <v>0</v>
      </c>
      <c r="Z23" s="53">
        <v>0</v>
      </c>
      <c r="AA23" s="53">
        <v>0</v>
      </c>
      <c r="AB23" s="53"/>
      <c r="AC23" s="53">
        <f>(1 - CUSTOS!$M$25)*193.6195</f>
        <v>193.61949999999999</v>
      </c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P23" s="53">
        <f>IF((1 - CUSTOS!$M$25)&lt;&gt;0,1/(1 - CUSTOS!$M$25),1)</f>
        <v>1</v>
      </c>
    </row>
    <row r="24" spans="1:42" ht="11.25" customHeight="1" x14ac:dyDescent="0.25">
      <c r="A24" s="131"/>
      <c r="B24" s="131"/>
      <c r="C24" s="131"/>
      <c r="D24" s="73" t="s">
        <v>30</v>
      </c>
      <c r="E24" s="73" t="s">
        <v>25</v>
      </c>
      <c r="F24" s="73" t="s">
        <v>25</v>
      </c>
      <c r="G24" s="74" t="s">
        <v>86</v>
      </c>
      <c r="H24" s="74" t="s">
        <v>82</v>
      </c>
      <c r="I24" s="74">
        <f>'MERCADO TUSD'!$U$21</f>
        <v>537.75300000000004</v>
      </c>
      <c r="J24" s="15"/>
      <c r="L24" s="53"/>
      <c r="M24" s="53"/>
      <c r="N24" s="53"/>
      <c r="O24" s="53"/>
      <c r="P24" s="53"/>
      <c r="Q24" s="53"/>
      <c r="R24" s="53"/>
      <c r="S24" s="53"/>
      <c r="T24" s="53"/>
      <c r="U24" s="53">
        <f>(1 - CUSTOS!$M$26)*36.3261</f>
        <v>36.326099999999997</v>
      </c>
      <c r="V24" s="53">
        <f>(1 - CUSTOS!$M$26)*11.005</f>
        <v>11.005000000000001</v>
      </c>
      <c r="W24" s="53">
        <f>(1 - CUSTOS!$M$26)*20.6989</f>
        <v>20.698899999999998</v>
      </c>
      <c r="X24" s="53">
        <v>0</v>
      </c>
      <c r="Y24" s="53">
        <v>0</v>
      </c>
      <c r="Z24" s="53">
        <v>0</v>
      </c>
      <c r="AA24" s="53">
        <v>0</v>
      </c>
      <c r="AB24" s="53"/>
      <c r="AC24" s="53">
        <f>(1 - CUSTOS!$M$26)*193.6195</f>
        <v>193.61949999999999</v>
      </c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P24" s="53">
        <f>IF((1 - CUSTOS!$M$26)&lt;&gt;0,1/(1 - CUSTOS!$M$26),1)</f>
        <v>1</v>
      </c>
    </row>
    <row r="25" spans="1:42" ht="11.25" customHeight="1" x14ac:dyDescent="0.25">
      <c r="A25" s="131"/>
      <c r="B25" s="131"/>
      <c r="C25" s="131"/>
      <c r="D25" s="73" t="s">
        <v>31</v>
      </c>
      <c r="E25" s="73" t="s">
        <v>25</v>
      </c>
      <c r="F25" s="73" t="s">
        <v>25</v>
      </c>
      <c r="G25" s="74" t="s">
        <v>86</v>
      </c>
      <c r="H25" s="74" t="s">
        <v>82</v>
      </c>
      <c r="I25" s="74">
        <f>'MERCADO TUSD'!$U$22</f>
        <v>180.10599999999999</v>
      </c>
      <c r="J25" s="15"/>
      <c r="L25" s="53"/>
      <c r="M25" s="53"/>
      <c r="N25" s="53"/>
      <c r="O25" s="53"/>
      <c r="P25" s="53"/>
      <c r="Q25" s="53"/>
      <c r="R25" s="53"/>
      <c r="S25" s="53"/>
      <c r="T25" s="53"/>
      <c r="U25" s="53">
        <f>(1 - CUSTOS!$M$27)*36.3261</f>
        <v>36.326099999999997</v>
      </c>
      <c r="V25" s="53">
        <f>(1 - CUSTOS!$M$27)*11.005</f>
        <v>11.005000000000001</v>
      </c>
      <c r="W25" s="53">
        <f>(1 - CUSTOS!$M$27)*20.6989</f>
        <v>20.698899999999998</v>
      </c>
      <c r="X25" s="53">
        <v>0</v>
      </c>
      <c r="Y25" s="53">
        <v>0</v>
      </c>
      <c r="Z25" s="53">
        <v>0</v>
      </c>
      <c r="AA25" s="53">
        <v>0</v>
      </c>
      <c r="AB25" s="53"/>
      <c r="AC25" s="53">
        <f>(1 - CUSTOS!$M$27)*193.6195</f>
        <v>193.61949999999999</v>
      </c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P25" s="53">
        <f>IF((1 - CUSTOS!$M$27)&lt;&gt;0,1/(1 - CUSTOS!$M$27),1)</f>
        <v>1</v>
      </c>
    </row>
    <row r="26" spans="1:42" ht="11.25" customHeight="1" x14ac:dyDescent="0.25">
      <c r="A26" s="131"/>
      <c r="B26" s="131" t="s">
        <v>95</v>
      </c>
      <c r="C26" s="131" t="s">
        <v>24</v>
      </c>
      <c r="D26" s="73" t="s">
        <v>24</v>
      </c>
      <c r="E26" s="73" t="s">
        <v>25</v>
      </c>
      <c r="F26" s="73" t="s">
        <v>25</v>
      </c>
      <c r="G26" s="74" t="s">
        <v>86</v>
      </c>
      <c r="H26" s="74" t="s">
        <v>82</v>
      </c>
      <c r="I26" s="74">
        <f>'MERCADO TUSD'!$U$23</f>
        <v>0</v>
      </c>
      <c r="J26" s="15"/>
      <c r="L26" s="53"/>
      <c r="M26" s="53"/>
      <c r="N26" s="53"/>
      <c r="O26" s="53"/>
      <c r="P26" s="53"/>
      <c r="Q26" s="53"/>
      <c r="R26" s="53"/>
      <c r="S26" s="53"/>
      <c r="T26" s="53"/>
      <c r="U26" s="53">
        <v>36.326099999999997</v>
      </c>
      <c r="V26" s="53">
        <v>11.005000000000001</v>
      </c>
      <c r="W26" s="53">
        <v>20.698899999999998</v>
      </c>
      <c r="X26" s="53">
        <v>0</v>
      </c>
      <c r="Y26" s="53">
        <v>0</v>
      </c>
      <c r="Z26" s="53">
        <v>0</v>
      </c>
      <c r="AA26" s="53">
        <v>0</v>
      </c>
      <c r="AB26" s="53"/>
      <c r="AC26" s="53">
        <v>193.61949999999999</v>
      </c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P26" s="53">
        <v>1</v>
      </c>
    </row>
    <row r="27" spans="1:42" ht="11.25" customHeight="1" x14ac:dyDescent="0.25">
      <c r="A27" s="131"/>
      <c r="B27" s="131"/>
      <c r="C27" s="131"/>
      <c r="D27" s="73" t="s">
        <v>28</v>
      </c>
      <c r="E27" s="73" t="s">
        <v>25</v>
      </c>
      <c r="F27" s="73" t="s">
        <v>25</v>
      </c>
      <c r="G27" s="74" t="s">
        <v>86</v>
      </c>
      <c r="H27" s="74" t="s">
        <v>82</v>
      </c>
      <c r="I27" s="74">
        <f>'MERCADO TUSD'!$U$24</f>
        <v>0</v>
      </c>
      <c r="J27" s="15"/>
      <c r="L27" s="53"/>
      <c r="M27" s="53"/>
      <c r="N27" s="53"/>
      <c r="O27" s="53"/>
      <c r="P27" s="53"/>
      <c r="Q27" s="53"/>
      <c r="R27" s="53"/>
      <c r="S27" s="53"/>
      <c r="T27" s="53"/>
      <c r="U27" s="53">
        <f>(1 - CUSTOS!$M$24)*36.3261</f>
        <v>36.326099999999997</v>
      </c>
      <c r="V27" s="53">
        <f>(1 - CUSTOS!$M$24)*11.005</f>
        <v>11.005000000000001</v>
      </c>
      <c r="W27" s="53">
        <f>(1 - CUSTOS!$M$24)*20.6989</f>
        <v>20.698899999999998</v>
      </c>
      <c r="X27" s="53">
        <v>0</v>
      </c>
      <c r="Y27" s="53">
        <v>0</v>
      </c>
      <c r="Z27" s="53">
        <v>0</v>
      </c>
      <c r="AA27" s="53">
        <v>0</v>
      </c>
      <c r="AB27" s="53"/>
      <c r="AC27" s="53">
        <f>(1 - CUSTOS!$M$24)*193.6195</f>
        <v>193.61949999999999</v>
      </c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P27" s="53">
        <f>IF((1 - CUSTOS!$M$24)&lt;&gt;0,1/(1 - CUSTOS!$M$24),1)</f>
        <v>1</v>
      </c>
    </row>
    <row r="28" spans="1:42" ht="11.25" customHeight="1" x14ac:dyDescent="0.25">
      <c r="A28" s="131"/>
      <c r="B28" s="131"/>
      <c r="C28" s="131"/>
      <c r="D28" s="73" t="s">
        <v>29</v>
      </c>
      <c r="E28" s="73" t="s">
        <v>25</v>
      </c>
      <c r="F28" s="73" t="s">
        <v>25</v>
      </c>
      <c r="G28" s="74" t="s">
        <v>86</v>
      </c>
      <c r="H28" s="74" t="s">
        <v>82</v>
      </c>
      <c r="I28" s="74">
        <f>'MERCADO TUSD'!$U$25</f>
        <v>0</v>
      </c>
      <c r="J28" s="15"/>
      <c r="L28" s="53"/>
      <c r="M28" s="53"/>
      <c r="N28" s="53"/>
      <c r="O28" s="53"/>
      <c r="P28" s="53"/>
      <c r="Q28" s="53"/>
      <c r="R28" s="53"/>
      <c r="S28" s="53"/>
      <c r="T28" s="53"/>
      <c r="U28" s="53">
        <f>(1 - CUSTOS!$M$25)*36.3261</f>
        <v>36.326099999999997</v>
      </c>
      <c r="V28" s="53">
        <f>(1 - CUSTOS!$M$25)*11.005</f>
        <v>11.005000000000001</v>
      </c>
      <c r="W28" s="53">
        <f>(1 - CUSTOS!$M$25)*20.6989</f>
        <v>20.698899999999998</v>
      </c>
      <c r="X28" s="53">
        <v>0</v>
      </c>
      <c r="Y28" s="53">
        <v>0</v>
      </c>
      <c r="Z28" s="53">
        <v>0</v>
      </c>
      <c r="AA28" s="53">
        <v>0</v>
      </c>
      <c r="AB28" s="53"/>
      <c r="AC28" s="53">
        <f>(1 - CUSTOS!$M$25)*193.6195</f>
        <v>193.61949999999999</v>
      </c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P28" s="53">
        <f>IF((1 - CUSTOS!$M$25)&lt;&gt;0,1/(1 - CUSTOS!$M$25),1)</f>
        <v>1</v>
      </c>
    </row>
    <row r="29" spans="1:42" ht="11.25" customHeight="1" x14ac:dyDescent="0.25">
      <c r="A29" s="131"/>
      <c r="B29" s="131"/>
      <c r="C29" s="131"/>
      <c r="D29" s="73" t="s">
        <v>30</v>
      </c>
      <c r="E29" s="73" t="s">
        <v>25</v>
      </c>
      <c r="F29" s="73" t="s">
        <v>25</v>
      </c>
      <c r="G29" s="74" t="s">
        <v>86</v>
      </c>
      <c r="H29" s="74" t="s">
        <v>82</v>
      </c>
      <c r="I29" s="74">
        <f>'MERCADO TUSD'!$U$26</f>
        <v>0</v>
      </c>
      <c r="J29" s="15"/>
      <c r="L29" s="53"/>
      <c r="M29" s="53"/>
      <c r="N29" s="53"/>
      <c r="O29" s="53"/>
      <c r="P29" s="53"/>
      <c r="Q29" s="53"/>
      <c r="R29" s="53"/>
      <c r="S29" s="53"/>
      <c r="T29" s="53"/>
      <c r="U29" s="53">
        <f>(1 - CUSTOS!$M$26)*36.3261</f>
        <v>36.326099999999997</v>
      </c>
      <c r="V29" s="53">
        <f>(1 - CUSTOS!$M$26)*11.005</f>
        <v>11.005000000000001</v>
      </c>
      <c r="W29" s="53">
        <f>(1 - CUSTOS!$M$26)*20.6989</f>
        <v>20.698899999999998</v>
      </c>
      <c r="X29" s="53">
        <v>0</v>
      </c>
      <c r="Y29" s="53">
        <v>0</v>
      </c>
      <c r="Z29" s="53">
        <v>0</v>
      </c>
      <c r="AA29" s="53">
        <v>0</v>
      </c>
      <c r="AB29" s="53"/>
      <c r="AC29" s="53">
        <f>(1 - CUSTOS!$M$26)*193.6195</f>
        <v>193.61949999999999</v>
      </c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P29" s="53">
        <f>IF((1 - CUSTOS!$M$26)&lt;&gt;0,1/(1 - CUSTOS!$M$26),1)</f>
        <v>1</v>
      </c>
    </row>
    <row r="30" spans="1:42" ht="11.25" customHeight="1" x14ac:dyDescent="0.25">
      <c r="A30" s="131"/>
      <c r="B30" s="131"/>
      <c r="C30" s="131"/>
      <c r="D30" s="73" t="s">
        <v>31</v>
      </c>
      <c r="E30" s="73" t="s">
        <v>25</v>
      </c>
      <c r="F30" s="73" t="s">
        <v>25</v>
      </c>
      <c r="G30" s="74" t="s">
        <v>86</v>
      </c>
      <c r="H30" s="74" t="s">
        <v>82</v>
      </c>
      <c r="I30" s="74">
        <f>'MERCADO TUSD'!$U$27</f>
        <v>0</v>
      </c>
      <c r="J30" s="15"/>
      <c r="L30" s="53"/>
      <c r="M30" s="53"/>
      <c r="N30" s="53"/>
      <c r="O30" s="53"/>
      <c r="P30" s="53"/>
      <c r="Q30" s="53"/>
      <c r="R30" s="53"/>
      <c r="S30" s="53"/>
      <c r="T30" s="53"/>
      <c r="U30" s="53">
        <f>(1 - CUSTOS!$M$27)*36.3261</f>
        <v>36.326099999999997</v>
      </c>
      <c r="V30" s="53">
        <f>(1 - CUSTOS!$M$27)*11.005</f>
        <v>11.005000000000001</v>
      </c>
      <c r="W30" s="53">
        <f>(1 - CUSTOS!$M$27)*20.6989</f>
        <v>20.698899999999998</v>
      </c>
      <c r="X30" s="53">
        <v>0</v>
      </c>
      <c r="Y30" s="53">
        <v>0</v>
      </c>
      <c r="Z30" s="53">
        <v>0</v>
      </c>
      <c r="AA30" s="53">
        <v>0</v>
      </c>
      <c r="AB30" s="53"/>
      <c r="AC30" s="53">
        <f>(1 - CUSTOS!$M$27)*193.6195</f>
        <v>193.61949999999999</v>
      </c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P30" s="53">
        <f>IF((1 - CUSTOS!$M$27)&lt;&gt;0,1/(1 - CUSTOS!$M$27),1)</f>
        <v>1</v>
      </c>
    </row>
    <row r="31" spans="1:42" ht="11.25" customHeight="1" x14ac:dyDescent="0.25">
      <c r="A31" s="131" t="s">
        <v>42</v>
      </c>
      <c r="B31" s="131" t="s">
        <v>32</v>
      </c>
      <c r="C31" s="131" t="s">
        <v>43</v>
      </c>
      <c r="D31" s="131" t="s">
        <v>25</v>
      </c>
      <c r="E31" s="131" t="s">
        <v>25</v>
      </c>
      <c r="F31" s="131" t="s">
        <v>25</v>
      </c>
      <c r="G31" s="74" t="s">
        <v>83</v>
      </c>
      <c r="H31" s="74" t="s">
        <v>82</v>
      </c>
      <c r="I31" s="74">
        <f>'MERCADO TUSD'!$U$28</f>
        <v>0</v>
      </c>
      <c r="J31" s="15"/>
      <c r="L31" s="53"/>
      <c r="M31" s="53"/>
      <c r="N31" s="53"/>
      <c r="O31" s="53"/>
      <c r="P31" s="53"/>
      <c r="Q31" s="53"/>
      <c r="R31" s="53"/>
      <c r="S31" s="53"/>
      <c r="T31" s="53"/>
      <c r="U31" s="53">
        <f>(1 - CUSTOS!$M$28)*148.9369</f>
        <v>148.93690000000001</v>
      </c>
      <c r="V31" s="53">
        <f>(1 - CUSTOS!$M$28)*45.1206</f>
        <v>45.120600000000003</v>
      </c>
      <c r="W31" s="53">
        <f>(1 - CUSTOS!$M$28)*84.8654</f>
        <v>84.865399999999994</v>
      </c>
      <c r="X31" s="53">
        <v>0</v>
      </c>
      <c r="Y31" s="53">
        <v>0</v>
      </c>
      <c r="Z31" s="53">
        <v>0</v>
      </c>
      <c r="AA31" s="53">
        <v>0</v>
      </c>
      <c r="AB31" s="53"/>
      <c r="AC31" s="53">
        <f>(1 - CUSTOS!$M$28)*793.8399</f>
        <v>793.83989999999994</v>
      </c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P31" s="53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74" t="s">
        <v>93</v>
      </c>
      <c r="H32" s="74" t="s">
        <v>82</v>
      </c>
      <c r="I32" s="74">
        <f>'MERCADO TUSD'!$U$29</f>
        <v>0</v>
      </c>
      <c r="J32" s="15"/>
      <c r="L32" s="53"/>
      <c r="M32" s="53"/>
      <c r="N32" s="53"/>
      <c r="O32" s="53"/>
      <c r="P32" s="53"/>
      <c r="Q32" s="53"/>
      <c r="R32" s="53"/>
      <c r="S32" s="53"/>
      <c r="T32" s="53"/>
      <c r="U32" s="53">
        <f>(1 - CUSTOS!$M$28)*74.4685</f>
        <v>74.468500000000006</v>
      </c>
      <c r="V32" s="53">
        <f>(1 - CUSTOS!$M$28)*22.5603</f>
        <v>22.560300000000002</v>
      </c>
      <c r="W32" s="53">
        <f>(1 - CUSTOS!$M$28)*42.4327</f>
        <v>42.432699999999997</v>
      </c>
      <c r="X32" s="53">
        <v>0</v>
      </c>
      <c r="Y32" s="53">
        <v>0</v>
      </c>
      <c r="Z32" s="53">
        <v>0</v>
      </c>
      <c r="AA32" s="53">
        <v>0</v>
      </c>
      <c r="AB32" s="53"/>
      <c r="AC32" s="53">
        <f>(1 - CUSTOS!$M$28)*396.92</f>
        <v>396.92</v>
      </c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P32" s="53">
        <f>IF((1 - CUSTOS!$M$28)&lt;&gt;0,1/(1 - CUSTOS!$M$28),1)</f>
        <v>1</v>
      </c>
    </row>
    <row r="33" spans="1:42" ht="11.25" customHeight="1" x14ac:dyDescent="0.25">
      <c r="A33" s="131"/>
      <c r="B33" s="131"/>
      <c r="C33" s="131"/>
      <c r="D33" s="131"/>
      <c r="E33" s="131"/>
      <c r="F33" s="131"/>
      <c r="G33" s="74" t="s">
        <v>84</v>
      </c>
      <c r="H33" s="74" t="s">
        <v>82</v>
      </c>
      <c r="I33" s="74">
        <f>'MERCADO TUSD'!$U$30</f>
        <v>0</v>
      </c>
      <c r="J33" s="15"/>
      <c r="L33" s="53"/>
      <c r="M33" s="53"/>
      <c r="N33" s="53"/>
      <c r="O33" s="53"/>
      <c r="P33" s="53"/>
      <c r="Q33" s="53"/>
      <c r="R33" s="53"/>
      <c r="S33" s="53"/>
      <c r="T33" s="53"/>
      <c r="U33" s="53">
        <f>(1 - CUSTOS!$M$28)*14.8937</f>
        <v>14.893700000000001</v>
      </c>
      <c r="V33" s="53">
        <f>(1 - CUSTOS!$M$28)*4.5121</f>
        <v>4.5121000000000002</v>
      </c>
      <c r="W33" s="53">
        <f>(1 - CUSTOS!$M$28)*8.4865</f>
        <v>8.4864999999999995</v>
      </c>
      <c r="X33" s="53">
        <v>0</v>
      </c>
      <c r="Y33" s="53">
        <v>0</v>
      </c>
      <c r="Z33" s="53">
        <v>0</v>
      </c>
      <c r="AA33" s="53">
        <v>0</v>
      </c>
      <c r="AB33" s="53"/>
      <c r="AC33" s="53">
        <f>(1 - CUSTOS!$M$28)*79.384</f>
        <v>79.384</v>
      </c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P33" s="53">
        <f>IF((1 - CUSTOS!$M$28)&lt;&gt;0,1/(1 - CUSTOS!$M$28),1)</f>
        <v>1</v>
      </c>
    </row>
    <row r="34" spans="1:42" ht="11.25" customHeight="1" x14ac:dyDescent="0.25">
      <c r="A34" s="131"/>
      <c r="B34" s="73" t="s">
        <v>23</v>
      </c>
      <c r="C34" s="73" t="s">
        <v>43</v>
      </c>
      <c r="D34" s="73" t="s">
        <v>25</v>
      </c>
      <c r="E34" s="73" t="s">
        <v>25</v>
      </c>
      <c r="F34" s="73" t="s">
        <v>25</v>
      </c>
      <c r="G34" s="74" t="s">
        <v>86</v>
      </c>
      <c r="H34" s="74" t="s">
        <v>82</v>
      </c>
      <c r="I34" s="74">
        <f>'MERCADO TUSD'!$U$31</f>
        <v>18727.453000000001</v>
      </c>
      <c r="J34" s="15"/>
      <c r="L34" s="53"/>
      <c r="M34" s="53"/>
      <c r="N34" s="53"/>
      <c r="O34" s="53"/>
      <c r="P34" s="53"/>
      <c r="Q34" s="53"/>
      <c r="R34" s="53"/>
      <c r="S34" s="53"/>
      <c r="T34" s="53"/>
      <c r="U34" s="53">
        <f>(1 - CUSTOS!$M$28)*36.3261</f>
        <v>36.326099999999997</v>
      </c>
      <c r="V34" s="53">
        <f>(1 - CUSTOS!$M$28)*11.005</f>
        <v>11.005000000000001</v>
      </c>
      <c r="W34" s="53">
        <f>(1 - CUSTOS!$M$28)*20.6989</f>
        <v>20.698899999999998</v>
      </c>
      <c r="X34" s="53">
        <v>0</v>
      </c>
      <c r="Y34" s="53">
        <v>0</v>
      </c>
      <c r="Z34" s="53">
        <v>0</v>
      </c>
      <c r="AA34" s="53">
        <v>0</v>
      </c>
      <c r="AB34" s="53"/>
      <c r="AC34" s="53">
        <f>(1 - CUSTOS!$M$28)*193.6195</f>
        <v>193.61949999999999</v>
      </c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P34" s="53">
        <f>IF((1 - CUSTOS!$M$28)&lt;&gt;0,1/(1 - CUSTOS!$M$28),1)</f>
        <v>1</v>
      </c>
    </row>
    <row r="35" spans="1:42" ht="11.25" customHeight="1" x14ac:dyDescent="0.25">
      <c r="A35" s="131"/>
      <c r="B35" s="131" t="s">
        <v>32</v>
      </c>
      <c r="C35" s="131" t="s">
        <v>43</v>
      </c>
      <c r="D35" s="131" t="s">
        <v>96</v>
      </c>
      <c r="E35" s="131" t="s">
        <v>25</v>
      </c>
      <c r="F35" s="131" t="s">
        <v>25</v>
      </c>
      <c r="G35" s="74" t="s">
        <v>83</v>
      </c>
      <c r="H35" s="74" t="s">
        <v>82</v>
      </c>
      <c r="I35" s="74">
        <f>'MERCADO TUSD'!$U$32</f>
        <v>0</v>
      </c>
      <c r="J35" s="15"/>
      <c r="L35" s="53"/>
      <c r="M35" s="53"/>
      <c r="N35" s="53"/>
      <c r="O35" s="53"/>
      <c r="P35" s="53"/>
      <c r="Q35" s="53"/>
      <c r="R35" s="53"/>
      <c r="S35" s="53"/>
      <c r="T35" s="53"/>
      <c r="U35" s="53">
        <f>(1 - CUSTOS!$M$29)*148.9369</f>
        <v>148.93690000000001</v>
      </c>
      <c r="V35" s="53">
        <f>(1 - CUSTOS!$M$29)*45.1206</f>
        <v>45.120600000000003</v>
      </c>
      <c r="W35" s="53">
        <f>(1 - CUSTOS!$M$29)*84.8654</f>
        <v>84.865399999999994</v>
      </c>
      <c r="X35" s="53">
        <v>0</v>
      </c>
      <c r="Y35" s="53">
        <v>0</v>
      </c>
      <c r="Z35" s="53">
        <v>0</v>
      </c>
      <c r="AA35" s="53">
        <v>0</v>
      </c>
      <c r="AB35" s="53"/>
      <c r="AC35" s="53">
        <f>(1 - CUSTOS!$M$29)*793.8399</f>
        <v>793.83989999999994</v>
      </c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P35" s="53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74" t="s">
        <v>93</v>
      </c>
      <c r="H36" s="74" t="s">
        <v>82</v>
      </c>
      <c r="I36" s="74">
        <f>'MERCADO TUSD'!$U$33</f>
        <v>0</v>
      </c>
      <c r="J36" s="15"/>
      <c r="L36" s="53"/>
      <c r="M36" s="53"/>
      <c r="N36" s="53"/>
      <c r="O36" s="53"/>
      <c r="P36" s="53"/>
      <c r="Q36" s="53"/>
      <c r="R36" s="53"/>
      <c r="S36" s="53"/>
      <c r="T36" s="53"/>
      <c r="U36" s="53">
        <f>(1 - CUSTOS!$M$29)*74.4685</f>
        <v>74.468500000000006</v>
      </c>
      <c r="V36" s="53">
        <f>(1 - CUSTOS!$M$29)*22.5603</f>
        <v>22.560300000000002</v>
      </c>
      <c r="W36" s="53">
        <f>(1 - CUSTOS!$M$29)*42.4327</f>
        <v>42.432699999999997</v>
      </c>
      <c r="X36" s="53">
        <v>0</v>
      </c>
      <c r="Y36" s="53">
        <v>0</v>
      </c>
      <c r="Z36" s="53">
        <v>0</v>
      </c>
      <c r="AA36" s="53">
        <v>0</v>
      </c>
      <c r="AB36" s="53"/>
      <c r="AC36" s="53">
        <f>(1 - CUSTOS!$M$29)*396.92</f>
        <v>396.92</v>
      </c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P36" s="53">
        <f>IF((1 - CUSTOS!$M$29)&lt;&gt;0,1/(1 - CUSTOS!$M$29),1)</f>
        <v>1</v>
      </c>
    </row>
    <row r="37" spans="1:42" ht="11.25" customHeight="1" x14ac:dyDescent="0.25">
      <c r="A37" s="131"/>
      <c r="B37" s="131"/>
      <c r="C37" s="131"/>
      <c r="D37" s="131"/>
      <c r="E37" s="131"/>
      <c r="F37" s="131"/>
      <c r="G37" s="74" t="s">
        <v>84</v>
      </c>
      <c r="H37" s="74" t="s">
        <v>82</v>
      </c>
      <c r="I37" s="74">
        <f>'MERCADO TUSD'!$U$34</f>
        <v>0</v>
      </c>
      <c r="J37" s="15"/>
      <c r="L37" s="53"/>
      <c r="M37" s="53"/>
      <c r="N37" s="53"/>
      <c r="O37" s="53"/>
      <c r="P37" s="53"/>
      <c r="Q37" s="53"/>
      <c r="R37" s="53"/>
      <c r="S37" s="53"/>
      <c r="T37" s="53"/>
      <c r="U37" s="53">
        <f>(1 - CUSTOS!$M$29)*14.8937</f>
        <v>14.893700000000001</v>
      </c>
      <c r="V37" s="53">
        <f>(1 - CUSTOS!$M$29)*4.5121</f>
        <v>4.5121000000000002</v>
      </c>
      <c r="W37" s="53">
        <f>(1 - CUSTOS!$M$29)*8.4865</f>
        <v>8.4864999999999995</v>
      </c>
      <c r="X37" s="53">
        <v>0</v>
      </c>
      <c r="Y37" s="53">
        <v>0</v>
      </c>
      <c r="Z37" s="53">
        <v>0</v>
      </c>
      <c r="AA37" s="53">
        <v>0</v>
      </c>
      <c r="AB37" s="53"/>
      <c r="AC37" s="53">
        <f>(1 - CUSTOS!$M$29)*79.384</f>
        <v>79.384</v>
      </c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P37" s="53">
        <f>IF((1 - CUSTOS!$M$29)&lt;&gt;0,1/(1 - CUSTOS!$M$29),1)</f>
        <v>1</v>
      </c>
    </row>
    <row r="38" spans="1:42" ht="11.25" customHeight="1" x14ac:dyDescent="0.25">
      <c r="A38" s="131"/>
      <c r="B38" s="73" t="s">
        <v>23</v>
      </c>
      <c r="C38" s="73" t="s">
        <v>43</v>
      </c>
      <c r="D38" s="73" t="s">
        <v>96</v>
      </c>
      <c r="E38" s="73" t="s">
        <v>25</v>
      </c>
      <c r="F38" s="73" t="s">
        <v>25</v>
      </c>
      <c r="G38" s="74" t="s">
        <v>86</v>
      </c>
      <c r="H38" s="74" t="s">
        <v>82</v>
      </c>
      <c r="I38" s="74">
        <f>'MERCADO TUSD'!$U$35</f>
        <v>0</v>
      </c>
      <c r="J38" s="15"/>
      <c r="L38" s="53"/>
      <c r="M38" s="53"/>
      <c r="N38" s="53"/>
      <c r="O38" s="53"/>
      <c r="P38" s="53"/>
      <c r="Q38" s="53"/>
      <c r="R38" s="53"/>
      <c r="S38" s="53"/>
      <c r="T38" s="53"/>
      <c r="U38" s="53">
        <f>(1 - CUSTOS!$M$29)*36.3261</f>
        <v>36.326099999999997</v>
      </c>
      <c r="V38" s="53">
        <f>(1 - CUSTOS!$M$29)*11.005</f>
        <v>11.005000000000001</v>
      </c>
      <c r="W38" s="53">
        <f>(1 - CUSTOS!$M$29)*20.6989</f>
        <v>20.698899999999998</v>
      </c>
      <c r="X38" s="53">
        <v>0</v>
      </c>
      <c r="Y38" s="53">
        <v>0</v>
      </c>
      <c r="Z38" s="53">
        <v>0</v>
      </c>
      <c r="AA38" s="53">
        <v>0</v>
      </c>
      <c r="AB38" s="53"/>
      <c r="AC38" s="53">
        <f>(1 - CUSTOS!$M$29)*193.6195</f>
        <v>193.61949999999999</v>
      </c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P38" s="53">
        <f>IF((1 - CUSTOS!$M$29)&lt;&gt;0,1/(1 - CUSTOS!$M$29),1)</f>
        <v>1</v>
      </c>
    </row>
    <row r="39" spans="1:42" ht="11.25" customHeight="1" x14ac:dyDescent="0.25">
      <c r="A39" s="131"/>
      <c r="B39" s="131" t="s">
        <v>32</v>
      </c>
      <c r="C39" s="131" t="s">
        <v>43</v>
      </c>
      <c r="D39" s="131" t="s">
        <v>97</v>
      </c>
      <c r="E39" s="131" t="s">
        <v>25</v>
      </c>
      <c r="F39" s="131" t="s">
        <v>25</v>
      </c>
      <c r="G39" s="74" t="s">
        <v>83</v>
      </c>
      <c r="H39" s="74" t="s">
        <v>82</v>
      </c>
      <c r="I39" s="74">
        <f>'MERCADO TUSD'!$U$36</f>
        <v>0</v>
      </c>
      <c r="J39" s="15"/>
      <c r="L39" s="53"/>
      <c r="M39" s="53"/>
      <c r="N39" s="53"/>
      <c r="O39" s="53"/>
      <c r="P39" s="53"/>
      <c r="Q39" s="53"/>
      <c r="R39" s="53"/>
      <c r="S39" s="53"/>
      <c r="T39" s="53"/>
      <c r="U39" s="53">
        <f>(1 - CUSTOS!$M$30)*148.9369</f>
        <v>148.93690000000001</v>
      </c>
      <c r="V39" s="53">
        <f>(1 - CUSTOS!$M$30)*45.1206</f>
        <v>45.120600000000003</v>
      </c>
      <c r="W39" s="53">
        <f>(1 - CUSTOS!$M$30)*84.8654</f>
        <v>84.865399999999994</v>
      </c>
      <c r="X39" s="53">
        <v>0</v>
      </c>
      <c r="Y39" s="53">
        <v>0</v>
      </c>
      <c r="Z39" s="53">
        <v>0</v>
      </c>
      <c r="AA39" s="53">
        <v>0</v>
      </c>
      <c r="AB39" s="53"/>
      <c r="AC39" s="53">
        <f>(1 - CUSTOS!$M$30)*793.8399</f>
        <v>793.83989999999994</v>
      </c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P39" s="53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74" t="s">
        <v>93</v>
      </c>
      <c r="H40" s="74" t="s">
        <v>82</v>
      </c>
      <c r="I40" s="74">
        <f>'MERCADO TUSD'!$U$37</f>
        <v>0</v>
      </c>
      <c r="J40" s="15"/>
      <c r="L40" s="53"/>
      <c r="M40" s="53"/>
      <c r="N40" s="53"/>
      <c r="O40" s="53"/>
      <c r="P40" s="53"/>
      <c r="Q40" s="53"/>
      <c r="R40" s="53"/>
      <c r="S40" s="53"/>
      <c r="T40" s="53"/>
      <c r="U40" s="53">
        <f>(1 - CUSTOS!$M$30)*74.4685</f>
        <v>74.468500000000006</v>
      </c>
      <c r="V40" s="53">
        <f>(1 - CUSTOS!$M$30)*22.5603</f>
        <v>22.560300000000002</v>
      </c>
      <c r="W40" s="53">
        <f>(1 - CUSTOS!$M$30)*42.4327</f>
        <v>42.432699999999997</v>
      </c>
      <c r="X40" s="53">
        <v>0</v>
      </c>
      <c r="Y40" s="53">
        <v>0</v>
      </c>
      <c r="Z40" s="53">
        <v>0</v>
      </c>
      <c r="AA40" s="53">
        <v>0</v>
      </c>
      <c r="AB40" s="53"/>
      <c r="AC40" s="53">
        <f>(1 - CUSTOS!$M$30)*396.92</f>
        <v>396.92</v>
      </c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P40" s="53">
        <f>IF((1 - CUSTOS!$M$30)&lt;&gt;0,1/(1 - CUSTOS!$M$30),1)</f>
        <v>1</v>
      </c>
    </row>
    <row r="41" spans="1:42" ht="11.25" customHeight="1" x14ac:dyDescent="0.25">
      <c r="A41" s="131"/>
      <c r="B41" s="131"/>
      <c r="C41" s="131"/>
      <c r="D41" s="131"/>
      <c r="E41" s="131"/>
      <c r="F41" s="131"/>
      <c r="G41" s="74" t="s">
        <v>84</v>
      </c>
      <c r="H41" s="74" t="s">
        <v>82</v>
      </c>
      <c r="I41" s="74">
        <f>'MERCADO TUSD'!$U$38</f>
        <v>0</v>
      </c>
      <c r="J41" s="15"/>
      <c r="L41" s="53"/>
      <c r="M41" s="53"/>
      <c r="N41" s="53"/>
      <c r="O41" s="53"/>
      <c r="P41" s="53"/>
      <c r="Q41" s="53"/>
      <c r="R41" s="53"/>
      <c r="S41" s="53"/>
      <c r="T41" s="53"/>
      <c r="U41" s="53">
        <f>(1 - CUSTOS!$M$30)*14.8937</f>
        <v>14.893700000000001</v>
      </c>
      <c r="V41" s="53">
        <f>(1 - CUSTOS!$M$30)*4.5121</f>
        <v>4.5121000000000002</v>
      </c>
      <c r="W41" s="53">
        <f>(1 - CUSTOS!$M$30)*8.4865</f>
        <v>8.4864999999999995</v>
      </c>
      <c r="X41" s="53">
        <v>0</v>
      </c>
      <c r="Y41" s="53">
        <v>0</v>
      </c>
      <c r="Z41" s="53">
        <v>0</v>
      </c>
      <c r="AA41" s="53">
        <v>0</v>
      </c>
      <c r="AB41" s="53"/>
      <c r="AC41" s="53">
        <f>(1 - CUSTOS!$M$30)*79.384</f>
        <v>79.384</v>
      </c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P41" s="53">
        <f>IF((1 - CUSTOS!$M$30)&lt;&gt;0,1/(1 - CUSTOS!$M$30),1)</f>
        <v>1</v>
      </c>
    </row>
    <row r="42" spans="1:42" ht="11.25" customHeight="1" x14ac:dyDescent="0.25">
      <c r="A42" s="131"/>
      <c r="B42" s="73" t="s">
        <v>23</v>
      </c>
      <c r="C42" s="73" t="s">
        <v>43</v>
      </c>
      <c r="D42" s="73" t="s">
        <v>97</v>
      </c>
      <c r="E42" s="73" t="s">
        <v>25</v>
      </c>
      <c r="F42" s="73" t="s">
        <v>25</v>
      </c>
      <c r="G42" s="74" t="s">
        <v>86</v>
      </c>
      <c r="H42" s="74" t="s">
        <v>82</v>
      </c>
      <c r="I42" s="74">
        <f>'MERCADO TUSD'!$U$39</f>
        <v>0</v>
      </c>
      <c r="J42" s="15"/>
      <c r="L42" s="53"/>
      <c r="M42" s="53"/>
      <c r="N42" s="53"/>
      <c r="O42" s="53"/>
      <c r="P42" s="53"/>
      <c r="Q42" s="53"/>
      <c r="R42" s="53"/>
      <c r="S42" s="53"/>
      <c r="T42" s="53"/>
      <c r="U42" s="53">
        <f>(1 - CUSTOS!$M$30)*36.3261</f>
        <v>36.326099999999997</v>
      </c>
      <c r="V42" s="53">
        <f>(1 - CUSTOS!$M$30)*11.005</f>
        <v>11.005000000000001</v>
      </c>
      <c r="W42" s="53">
        <f>(1 - CUSTOS!$M$30)*20.6989</f>
        <v>20.698899999999998</v>
      </c>
      <c r="X42" s="53">
        <v>0</v>
      </c>
      <c r="Y42" s="53">
        <v>0</v>
      </c>
      <c r="Z42" s="53">
        <v>0</v>
      </c>
      <c r="AA42" s="53">
        <v>0</v>
      </c>
      <c r="AB42" s="53"/>
      <c r="AC42" s="53">
        <f>(1 - CUSTOS!$M$30)*193.6195</f>
        <v>193.61949999999999</v>
      </c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P42" s="53">
        <f>IF((1 - CUSTOS!$M$30)&lt;&gt;0,1/(1 - CUSTOS!$M$30),1)</f>
        <v>1</v>
      </c>
    </row>
    <row r="43" spans="1:42" ht="11.25" customHeight="1" x14ac:dyDescent="0.25">
      <c r="A43" s="131"/>
      <c r="B43" s="131" t="s">
        <v>95</v>
      </c>
      <c r="C43" s="131" t="s">
        <v>43</v>
      </c>
      <c r="D43" s="73" t="s">
        <v>25</v>
      </c>
      <c r="E43" s="73" t="s">
        <v>25</v>
      </c>
      <c r="F43" s="73" t="s">
        <v>25</v>
      </c>
      <c r="G43" s="74" t="s">
        <v>86</v>
      </c>
      <c r="H43" s="74" t="s">
        <v>82</v>
      </c>
      <c r="I43" s="74">
        <f>'MERCADO TUSD'!$U$40</f>
        <v>0</v>
      </c>
      <c r="J43" s="15"/>
      <c r="L43" s="53"/>
      <c r="M43" s="53"/>
      <c r="N43" s="53"/>
      <c r="O43" s="53"/>
      <c r="P43" s="53"/>
      <c r="Q43" s="53"/>
      <c r="R43" s="53"/>
      <c r="S43" s="53"/>
      <c r="T43" s="53"/>
      <c r="U43" s="53">
        <f>(1 - CUSTOS!$M$28)*36.3261</f>
        <v>36.326099999999997</v>
      </c>
      <c r="V43" s="53">
        <f>(1 - CUSTOS!$M$28)*11.005</f>
        <v>11.005000000000001</v>
      </c>
      <c r="W43" s="53">
        <f>(1 - CUSTOS!$M$28)*20.6989</f>
        <v>20.698899999999998</v>
      </c>
      <c r="X43" s="53">
        <v>0</v>
      </c>
      <c r="Y43" s="53">
        <v>0</v>
      </c>
      <c r="Z43" s="53">
        <v>0</v>
      </c>
      <c r="AA43" s="53">
        <v>0</v>
      </c>
      <c r="AB43" s="53"/>
      <c r="AC43" s="53">
        <f>(1 - CUSTOS!$M$28)*193.6195</f>
        <v>193.61949999999999</v>
      </c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P43" s="53">
        <f>IF((1 - CUSTOS!$M$28)&lt;&gt;0,1/(1 - CUSTOS!$M$28),1)</f>
        <v>1</v>
      </c>
    </row>
    <row r="44" spans="1:42" ht="11.25" customHeight="1" x14ac:dyDescent="0.25">
      <c r="A44" s="131"/>
      <c r="B44" s="131"/>
      <c r="C44" s="131"/>
      <c r="D44" s="73" t="s">
        <v>96</v>
      </c>
      <c r="E44" s="73" t="s">
        <v>25</v>
      </c>
      <c r="F44" s="73" t="s">
        <v>25</v>
      </c>
      <c r="G44" s="74" t="s">
        <v>86</v>
      </c>
      <c r="H44" s="74" t="s">
        <v>82</v>
      </c>
      <c r="I44" s="74">
        <f>'MERCADO TUSD'!$U$41</f>
        <v>0</v>
      </c>
      <c r="J44" s="15"/>
      <c r="L44" s="53"/>
      <c r="M44" s="53"/>
      <c r="N44" s="53"/>
      <c r="O44" s="53"/>
      <c r="P44" s="53"/>
      <c r="Q44" s="53"/>
      <c r="R44" s="53"/>
      <c r="S44" s="53"/>
      <c r="T44" s="53"/>
      <c r="U44" s="53">
        <f>(1 - CUSTOS!$M$29)*36.3261</f>
        <v>36.326099999999997</v>
      </c>
      <c r="V44" s="53">
        <f>(1 - CUSTOS!$M$29)*11.005</f>
        <v>11.005000000000001</v>
      </c>
      <c r="W44" s="53">
        <f>(1 - CUSTOS!$M$29)*20.6989</f>
        <v>20.698899999999998</v>
      </c>
      <c r="X44" s="53">
        <v>0</v>
      </c>
      <c r="Y44" s="53">
        <v>0</v>
      </c>
      <c r="Z44" s="53">
        <v>0</v>
      </c>
      <c r="AA44" s="53">
        <v>0</v>
      </c>
      <c r="AB44" s="53"/>
      <c r="AC44" s="53">
        <f>(1 - CUSTOS!$M$29)*193.6195</f>
        <v>193.61949999999999</v>
      </c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P44" s="53">
        <f>IF((1 - CUSTOS!$M$29)&lt;&gt;0,1/(1 - CUSTOS!$M$29),1)</f>
        <v>1</v>
      </c>
    </row>
    <row r="45" spans="1:42" ht="11.25" customHeight="1" x14ac:dyDescent="0.25">
      <c r="A45" s="131"/>
      <c r="B45" s="131"/>
      <c r="C45" s="131"/>
      <c r="D45" s="73" t="s">
        <v>97</v>
      </c>
      <c r="E45" s="73" t="s">
        <v>25</v>
      </c>
      <c r="F45" s="73" t="s">
        <v>25</v>
      </c>
      <c r="G45" s="74" t="s">
        <v>86</v>
      </c>
      <c r="H45" s="74" t="s">
        <v>82</v>
      </c>
      <c r="I45" s="74">
        <f>'MERCADO TUSD'!$U$42</f>
        <v>0</v>
      </c>
      <c r="J45" s="15"/>
      <c r="L45" s="53"/>
      <c r="M45" s="53"/>
      <c r="N45" s="53"/>
      <c r="O45" s="53"/>
      <c r="P45" s="53"/>
      <c r="Q45" s="53"/>
      <c r="R45" s="53"/>
      <c r="S45" s="53"/>
      <c r="T45" s="53"/>
      <c r="U45" s="53">
        <f>(1 - CUSTOS!$M$30)*36.3261</f>
        <v>36.326099999999997</v>
      </c>
      <c r="V45" s="53">
        <f>(1 - CUSTOS!$M$30)*11.005</f>
        <v>11.005000000000001</v>
      </c>
      <c r="W45" s="53">
        <f>(1 - CUSTOS!$M$30)*20.6989</f>
        <v>20.698899999999998</v>
      </c>
      <c r="X45" s="53">
        <v>0</v>
      </c>
      <c r="Y45" s="53">
        <v>0</v>
      </c>
      <c r="Z45" s="53">
        <v>0</v>
      </c>
      <c r="AA45" s="53">
        <v>0</v>
      </c>
      <c r="AB45" s="53"/>
      <c r="AC45" s="53">
        <f>(1 - CUSTOS!$M$30)*193.6195</f>
        <v>193.61949999999999</v>
      </c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P45" s="53">
        <f>IF((1 - CUSTOS!$M$30)&lt;&gt;0,1/(1 - CUSTOS!$M$30),1)</f>
        <v>1</v>
      </c>
    </row>
    <row r="46" spans="1:42" ht="11.25" customHeight="1" x14ac:dyDescent="0.25">
      <c r="A46" s="131" t="s">
        <v>36</v>
      </c>
      <c r="B46" s="131" t="s">
        <v>32</v>
      </c>
      <c r="C46" s="131" t="s">
        <v>25</v>
      </c>
      <c r="D46" s="131" t="s">
        <v>25</v>
      </c>
      <c r="E46" s="131" t="s">
        <v>25</v>
      </c>
      <c r="F46" s="131" t="s">
        <v>25</v>
      </c>
      <c r="G46" s="74" t="s">
        <v>83</v>
      </c>
      <c r="H46" s="74" t="s">
        <v>82</v>
      </c>
      <c r="I46" s="74">
        <f>'MERCADO TUSD'!$U$43</f>
        <v>20.471999999999998</v>
      </c>
      <c r="J46" s="15"/>
      <c r="L46" s="53"/>
      <c r="M46" s="53"/>
      <c r="N46" s="53"/>
      <c r="O46" s="53"/>
      <c r="P46" s="53"/>
      <c r="Q46" s="53"/>
      <c r="R46" s="53"/>
      <c r="S46" s="53"/>
      <c r="T46" s="53"/>
      <c r="U46" s="53">
        <f>(1 - CUSTOS!$M$31)*174.3652</f>
        <v>174.36519999999999</v>
      </c>
      <c r="V46" s="53">
        <f>(1 - CUSTOS!$M$31)*52.8241</f>
        <v>52.824100000000001</v>
      </c>
      <c r="W46" s="53">
        <f>(1 - CUSTOS!$M$31)*99.3546</f>
        <v>99.354600000000005</v>
      </c>
      <c r="X46" s="53">
        <v>0</v>
      </c>
      <c r="Y46" s="53">
        <v>0</v>
      </c>
      <c r="Z46" s="53">
        <v>0</v>
      </c>
      <c r="AA46" s="53">
        <v>0</v>
      </c>
      <c r="AB46" s="53"/>
      <c r="AC46" s="53">
        <f>(1 - CUSTOS!$M$31)*929.3736</f>
        <v>929.37360000000001</v>
      </c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P46" s="53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74" t="s">
        <v>93</v>
      </c>
      <c r="H47" s="74" t="s">
        <v>82</v>
      </c>
      <c r="I47" s="74">
        <f>'MERCADO TUSD'!$U$44</f>
        <v>16.687999999999999</v>
      </c>
      <c r="J47" s="15"/>
      <c r="L47" s="53"/>
      <c r="M47" s="53"/>
      <c r="N47" s="53"/>
      <c r="O47" s="53"/>
      <c r="P47" s="53"/>
      <c r="Q47" s="53"/>
      <c r="R47" s="53"/>
      <c r="S47" s="53"/>
      <c r="T47" s="53"/>
      <c r="U47" s="53">
        <f>(1 - CUSTOS!$M$31)*52.3096</f>
        <v>52.309600000000003</v>
      </c>
      <c r="V47" s="53">
        <f>(1 - CUSTOS!$M$31)*15.8472</f>
        <v>15.847200000000001</v>
      </c>
      <c r="W47" s="53">
        <f>(1 - CUSTOS!$M$31)*29.8064</f>
        <v>29.8064</v>
      </c>
      <c r="X47" s="53">
        <v>0</v>
      </c>
      <c r="Y47" s="53">
        <v>0</v>
      </c>
      <c r="Z47" s="53">
        <v>0</v>
      </c>
      <c r="AA47" s="53">
        <v>0</v>
      </c>
      <c r="AB47" s="53"/>
      <c r="AC47" s="53">
        <f>(1 - CUSTOS!$M$31)*278.8121</f>
        <v>278.81209999999999</v>
      </c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P47" s="53">
        <f>IF((1 - CUSTOS!$M$31)&lt;&gt;0,1/(1 - CUSTOS!$M$31),1)</f>
        <v>1</v>
      </c>
    </row>
    <row r="48" spans="1:42" ht="11.25" customHeight="1" x14ac:dyDescent="0.25">
      <c r="A48" s="131"/>
      <c r="B48" s="131"/>
      <c r="C48" s="131"/>
      <c r="D48" s="131"/>
      <c r="E48" s="131"/>
      <c r="F48" s="131"/>
      <c r="G48" s="74" t="s">
        <v>84</v>
      </c>
      <c r="H48" s="74" t="s">
        <v>82</v>
      </c>
      <c r="I48" s="74">
        <f>'MERCADO TUSD'!$U$45</f>
        <v>216.36699999999999</v>
      </c>
      <c r="J48" s="15"/>
      <c r="L48" s="53"/>
      <c r="M48" s="53"/>
      <c r="N48" s="53"/>
      <c r="O48" s="53"/>
      <c r="P48" s="53"/>
      <c r="Q48" s="53"/>
      <c r="R48" s="53"/>
      <c r="S48" s="53"/>
      <c r="T48" s="53"/>
      <c r="U48" s="53">
        <f>(1 - CUSTOS!$M$31)*17.4365</f>
        <v>17.436499999999999</v>
      </c>
      <c r="V48" s="53">
        <f>(1 - CUSTOS!$M$31)*5.2824</f>
        <v>5.2824</v>
      </c>
      <c r="W48" s="53">
        <f>(1 - CUSTOS!$M$31)*9.9355</f>
        <v>9.9354999999999993</v>
      </c>
      <c r="X48" s="53">
        <v>0</v>
      </c>
      <c r="Y48" s="53">
        <v>0</v>
      </c>
      <c r="Z48" s="53">
        <v>0</v>
      </c>
      <c r="AA48" s="53">
        <v>0</v>
      </c>
      <c r="AB48" s="53"/>
      <c r="AC48" s="53">
        <f>(1 - CUSTOS!$M$31)*92.9374</f>
        <v>92.937399999999997</v>
      </c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P48" s="53">
        <f>IF((1 - CUSTOS!$M$31)&lt;&gt;0,1/(1 - CUSTOS!$M$31),1)</f>
        <v>1</v>
      </c>
    </row>
    <row r="49" spans="1:42" ht="11.25" customHeight="1" x14ac:dyDescent="0.25">
      <c r="A49" s="131"/>
      <c r="B49" s="73" t="s">
        <v>23</v>
      </c>
      <c r="C49" s="73" t="s">
        <v>25</v>
      </c>
      <c r="D49" s="73" t="s">
        <v>25</v>
      </c>
      <c r="E49" s="73" t="s">
        <v>25</v>
      </c>
      <c r="F49" s="73" t="s">
        <v>25</v>
      </c>
      <c r="G49" s="74" t="s">
        <v>86</v>
      </c>
      <c r="H49" s="74" t="s">
        <v>82</v>
      </c>
      <c r="I49" s="74">
        <f>'MERCADO TUSD'!$U$46</f>
        <v>26125.533000000003</v>
      </c>
      <c r="J49" s="15"/>
      <c r="L49" s="53"/>
      <c r="M49" s="53"/>
      <c r="N49" s="53"/>
      <c r="O49" s="53"/>
      <c r="P49" s="53"/>
      <c r="Q49" s="53"/>
      <c r="R49" s="53"/>
      <c r="S49" s="53"/>
      <c r="T49" s="53"/>
      <c r="U49" s="53">
        <f>(1 - CUSTOS!$M$31)*36.3261</f>
        <v>36.326099999999997</v>
      </c>
      <c r="V49" s="53">
        <f>(1 - CUSTOS!$M$31)*11.005</f>
        <v>11.005000000000001</v>
      </c>
      <c r="W49" s="53">
        <f>(1 - CUSTOS!$M$31)*20.6989</f>
        <v>20.698899999999998</v>
      </c>
      <c r="X49" s="53">
        <v>0</v>
      </c>
      <c r="Y49" s="53">
        <v>0</v>
      </c>
      <c r="Z49" s="53">
        <v>0</v>
      </c>
      <c r="AA49" s="53">
        <v>0</v>
      </c>
      <c r="AB49" s="53"/>
      <c r="AC49" s="53">
        <f>(1 - CUSTOS!$M$31)*193.6195</f>
        <v>193.61949999999999</v>
      </c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P49" s="53">
        <f>IF((1 - CUSTOS!$M$31)&lt;&gt;0,1/(1 - CUSTOS!$M$31),1)</f>
        <v>1</v>
      </c>
    </row>
    <row r="50" spans="1:42" ht="11.25" customHeight="1" x14ac:dyDescent="0.25">
      <c r="A50" s="131"/>
      <c r="B50" s="73" t="s">
        <v>95</v>
      </c>
      <c r="C50" s="73" t="s">
        <v>25</v>
      </c>
      <c r="D50" s="73" t="s">
        <v>25</v>
      </c>
      <c r="E50" s="73" t="s">
        <v>25</v>
      </c>
      <c r="F50" s="73" t="s">
        <v>25</v>
      </c>
      <c r="G50" s="74" t="s">
        <v>86</v>
      </c>
      <c r="H50" s="74" t="s">
        <v>82</v>
      </c>
      <c r="I50" s="74">
        <f>'MERCADO TUSD'!$U$47</f>
        <v>0</v>
      </c>
      <c r="J50" s="15"/>
      <c r="L50" s="53"/>
      <c r="M50" s="53"/>
      <c r="N50" s="53"/>
      <c r="O50" s="53"/>
      <c r="P50" s="53"/>
      <c r="Q50" s="53"/>
      <c r="R50" s="53"/>
      <c r="S50" s="53"/>
      <c r="T50" s="53"/>
      <c r="U50" s="53">
        <f>(1 - CUSTOS!$M$31)*36.3261</f>
        <v>36.326099999999997</v>
      </c>
      <c r="V50" s="53">
        <f>(1 - CUSTOS!$M$31)*11.005</f>
        <v>11.005000000000001</v>
      </c>
      <c r="W50" s="53">
        <f>(1 - CUSTOS!$M$31)*20.6989</f>
        <v>20.698899999999998</v>
      </c>
      <c r="X50" s="53">
        <v>0</v>
      </c>
      <c r="Y50" s="53">
        <v>0</v>
      </c>
      <c r="Z50" s="53">
        <v>0</v>
      </c>
      <c r="AA50" s="53">
        <v>0</v>
      </c>
      <c r="AB50" s="53"/>
      <c r="AC50" s="53">
        <f>(1 - CUSTOS!$M$31)*193.6195</f>
        <v>193.61949999999999</v>
      </c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P50" s="53">
        <f>IF((1 - CUSTOS!$M$31)&lt;&gt;0,1/(1 - CUSTOS!$M$31),1)</f>
        <v>1</v>
      </c>
    </row>
    <row r="51" spans="1:42" ht="11.25" customHeight="1" x14ac:dyDescent="0.25">
      <c r="A51" s="131" t="s">
        <v>45</v>
      </c>
      <c r="B51" s="131" t="s">
        <v>23</v>
      </c>
      <c r="C51" s="131" t="s">
        <v>46</v>
      </c>
      <c r="D51" s="73" t="s">
        <v>47</v>
      </c>
      <c r="E51" s="73" t="s">
        <v>25</v>
      </c>
      <c r="F51" s="73" t="s">
        <v>25</v>
      </c>
      <c r="G51" s="74" t="s">
        <v>86</v>
      </c>
      <c r="H51" s="74" t="s">
        <v>82</v>
      </c>
      <c r="I51" s="74">
        <f>'MERCADO TUSD'!$U$48</f>
        <v>5474.732</v>
      </c>
      <c r="J51" s="15"/>
      <c r="L51" s="53"/>
      <c r="M51" s="53"/>
      <c r="N51" s="53"/>
      <c r="O51" s="53"/>
      <c r="P51" s="53"/>
      <c r="Q51" s="53"/>
      <c r="R51" s="53"/>
      <c r="S51" s="53"/>
      <c r="T51" s="53"/>
      <c r="U51" s="53">
        <f>(1 - CUSTOS!$M$32)*36.3261</f>
        <v>19.979354999999998</v>
      </c>
      <c r="V51" s="53">
        <f>(1 - CUSTOS!$M$32)*11.005</f>
        <v>6.0527500000000005</v>
      </c>
      <c r="W51" s="53">
        <f>(1 - CUSTOS!$M$32)*20.6989</f>
        <v>11.384395</v>
      </c>
      <c r="X51" s="53">
        <v>0</v>
      </c>
      <c r="Y51" s="53">
        <v>0</v>
      </c>
      <c r="Z51" s="53">
        <v>0</v>
      </c>
      <c r="AA51" s="53">
        <v>0</v>
      </c>
      <c r="AB51" s="53"/>
      <c r="AC51" s="53">
        <f>(1 - CUSTOS!$M$32)*193.6195</f>
        <v>106.490725</v>
      </c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P51" s="53">
        <f>IF((1 - CUSTOS!$M$32)&lt;&gt;0,1/(1 - CUSTOS!$M$32),1)</f>
        <v>1.8181818181818181</v>
      </c>
    </row>
    <row r="52" spans="1:42" ht="11.25" customHeight="1" x14ac:dyDescent="0.25">
      <c r="A52" s="131"/>
      <c r="B52" s="131"/>
      <c r="C52" s="131"/>
      <c r="D52" s="74" t="s">
        <v>98</v>
      </c>
      <c r="E52" s="74" t="s">
        <v>25</v>
      </c>
      <c r="F52" s="74" t="s">
        <v>25</v>
      </c>
      <c r="G52" s="74" t="s">
        <v>86</v>
      </c>
      <c r="H52" s="74" t="s">
        <v>82</v>
      </c>
      <c r="I52" s="74">
        <f>'MERCADO TUSD'!$U$49</f>
        <v>0</v>
      </c>
      <c r="J52" s="15"/>
      <c r="L52" s="53"/>
      <c r="M52" s="53"/>
      <c r="N52" s="53"/>
      <c r="O52" s="53"/>
      <c r="P52" s="53"/>
      <c r="Q52" s="53"/>
      <c r="R52" s="53"/>
      <c r="S52" s="53"/>
      <c r="T52" s="53"/>
      <c r="U52" s="53">
        <f>(1 - CUSTOS!$M$33)*36.3261</f>
        <v>21.795659999999998</v>
      </c>
      <c r="V52" s="53">
        <f>(1 - CUSTOS!$M$33)*11.005</f>
        <v>6.6030000000000006</v>
      </c>
      <c r="W52" s="53">
        <f>(1 - CUSTOS!$M$33)*20.6989</f>
        <v>12.419339999999998</v>
      </c>
      <c r="X52" s="53">
        <v>0</v>
      </c>
      <c r="Y52" s="53">
        <v>0</v>
      </c>
      <c r="Z52" s="53">
        <v>0</v>
      </c>
      <c r="AA52" s="53">
        <v>0</v>
      </c>
      <c r="AB52" s="53"/>
      <c r="AC52" s="53">
        <f>(1 - CUSTOS!$M$33)*193.6195</f>
        <v>116.17169999999999</v>
      </c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P52" s="53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16:A17"/>
    <mergeCell ref="B16:B17"/>
    <mergeCell ref="C16:C17"/>
    <mergeCell ref="D16:D17"/>
    <mergeCell ref="A18:A30"/>
    <mergeCell ref="B18:B20"/>
    <mergeCell ref="C18:C20"/>
    <mergeCell ref="D18:D20"/>
    <mergeCell ref="E18:E20"/>
    <mergeCell ref="F18:F20"/>
    <mergeCell ref="B21:B25"/>
    <mergeCell ref="C21:C25"/>
    <mergeCell ref="B26:B30"/>
    <mergeCell ref="C26:C30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E46:E48"/>
    <mergeCell ref="F46:F48"/>
    <mergeCell ref="A51:A52"/>
    <mergeCell ref="B51:B52"/>
    <mergeCell ref="C51:C52"/>
    <mergeCell ref="D46:D48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6D00D-B088-4D9A-AD99-6BDCCCE0D0DF}">
  <dimension ref="A1:AP72"/>
  <sheetViews>
    <sheetView showGridLines="0" topLeftCell="A29" workbookViewId="0">
      <selection activeCell="K63" sqref="K63:P6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71</v>
      </c>
      <c r="B1" s="132" t="s">
        <v>72</v>
      </c>
      <c r="C1" s="132" t="s">
        <v>73</v>
      </c>
      <c r="D1" s="132" t="s">
        <v>74</v>
      </c>
      <c r="E1" s="132" t="s">
        <v>75</v>
      </c>
      <c r="F1" s="132" t="s">
        <v>15</v>
      </c>
      <c r="G1" s="132" t="s">
        <v>77</v>
      </c>
      <c r="H1" s="132" t="s">
        <v>78</v>
      </c>
      <c r="I1" s="132" t="s">
        <v>652</v>
      </c>
      <c r="J1" s="125"/>
      <c r="L1" s="133" t="s">
        <v>653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654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5"/>
      <c r="L2" s="133" t="s">
        <v>562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5"/>
      <c r="L3" s="133" t="s">
        <v>563</v>
      </c>
      <c r="M3" s="133"/>
      <c r="N3" s="133"/>
      <c r="O3" s="133"/>
      <c r="P3" s="133"/>
      <c r="Q3" s="133"/>
      <c r="R3" s="133"/>
      <c r="S3" s="133"/>
      <c r="T3" s="133"/>
      <c r="U3" s="133" t="s">
        <v>572</v>
      </c>
      <c r="V3" s="133"/>
      <c r="W3" s="133"/>
      <c r="X3" s="133"/>
      <c r="Y3" s="133"/>
      <c r="Z3" s="133"/>
      <c r="AA3" s="133"/>
      <c r="AB3" s="133"/>
      <c r="AC3" s="133" t="s">
        <v>580</v>
      </c>
      <c r="AD3" s="133"/>
      <c r="AE3" s="133" t="s">
        <v>582</v>
      </c>
      <c r="AF3" s="133"/>
      <c r="AG3" s="133"/>
      <c r="AH3" s="133" t="s">
        <v>585</v>
      </c>
      <c r="AI3" s="133"/>
      <c r="AJ3" s="133"/>
      <c r="AK3" s="133"/>
      <c r="AL3" s="133"/>
      <c r="AM3" s="133" t="s">
        <v>571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5"/>
      <c r="L4" s="69" t="s">
        <v>648</v>
      </c>
      <c r="M4" s="69" t="s">
        <v>564</v>
      </c>
      <c r="N4" s="69" t="s">
        <v>565</v>
      </c>
      <c r="O4" s="69" t="s">
        <v>566</v>
      </c>
      <c r="P4" s="69" t="s">
        <v>567</v>
      </c>
      <c r="Q4" s="69" t="s">
        <v>568</v>
      </c>
      <c r="R4" s="69" t="s">
        <v>569</v>
      </c>
      <c r="S4" s="69" t="s">
        <v>570</v>
      </c>
      <c r="T4" s="69" t="s">
        <v>571</v>
      </c>
      <c r="U4" s="69" t="s">
        <v>573</v>
      </c>
      <c r="V4" s="69" t="s">
        <v>574</v>
      </c>
      <c r="W4" s="69" t="s">
        <v>575</v>
      </c>
      <c r="X4" s="69" t="s">
        <v>576</v>
      </c>
      <c r="Y4" s="69" t="s">
        <v>577</v>
      </c>
      <c r="Z4" s="69" t="s">
        <v>578</v>
      </c>
      <c r="AA4" s="69" t="s">
        <v>579</v>
      </c>
      <c r="AB4" s="69" t="s">
        <v>571</v>
      </c>
      <c r="AC4" s="69" t="s">
        <v>581</v>
      </c>
      <c r="AD4" s="69" t="s">
        <v>571</v>
      </c>
      <c r="AE4" s="69" t="s">
        <v>583</v>
      </c>
      <c r="AF4" s="69" t="s">
        <v>584</v>
      </c>
      <c r="AG4" s="69" t="s">
        <v>571</v>
      </c>
      <c r="AH4" s="69" t="s">
        <v>586</v>
      </c>
      <c r="AI4" s="69" t="s">
        <v>587</v>
      </c>
      <c r="AJ4" s="69" t="s">
        <v>588</v>
      </c>
      <c r="AK4" s="69" t="s">
        <v>589</v>
      </c>
      <c r="AL4" s="69" t="s">
        <v>571</v>
      </c>
      <c r="AM4" s="135"/>
      <c r="AP4" s="134"/>
    </row>
    <row r="5" spans="1:42" ht="11.25" customHeight="1" x14ac:dyDescent="0.25">
      <c r="A5" s="73" t="s">
        <v>62</v>
      </c>
      <c r="B5" s="73" t="s">
        <v>59</v>
      </c>
      <c r="C5" s="73" t="s">
        <v>25</v>
      </c>
      <c r="D5" s="73" t="s">
        <v>25</v>
      </c>
      <c r="E5" s="73" t="s">
        <v>25</v>
      </c>
      <c r="F5" s="73" t="s">
        <v>25</v>
      </c>
      <c r="G5" s="74" t="s">
        <v>9</v>
      </c>
      <c r="H5" s="74" t="s">
        <v>80</v>
      </c>
      <c r="I5" s="74">
        <f>'MERCADO TUSD'!$U$2</f>
        <v>27600</v>
      </c>
      <c r="J5" s="15"/>
      <c r="L5" s="53">
        <v>0</v>
      </c>
      <c r="M5" s="53">
        <f>(1+CUSTOS!$M$4)*0.0498210970616779</f>
        <v>5.515406491295248E-2</v>
      </c>
      <c r="N5" s="53">
        <f>(1+CUSTOS!$M$4)*0.131588678689124</f>
        <v>0.14567424152151268</v>
      </c>
      <c r="O5" s="53">
        <f>(1+CUSTOS!$M$4)*0</f>
        <v>0</v>
      </c>
      <c r="P5" s="53">
        <v>0</v>
      </c>
      <c r="Q5" s="53">
        <v>0</v>
      </c>
      <c r="R5" s="53">
        <v>0</v>
      </c>
      <c r="S5" s="53">
        <v>0</v>
      </c>
      <c r="T5" s="53"/>
      <c r="U5" s="53">
        <f>TRANSICAO!$U$5*CUSTOS!$P$4</f>
        <v>0</v>
      </c>
      <c r="V5" s="53">
        <f>TRANSICAO!$V$5*CUSTOS!$P$4</f>
        <v>0</v>
      </c>
      <c r="W5" s="53">
        <f>TRANSICAO!$W$5*CUSTOS!$P$4</f>
        <v>0</v>
      </c>
      <c r="X5" s="53">
        <f>TRANSICAO!$X$5*CUSTOS!$P$4</f>
        <v>0</v>
      </c>
      <c r="Y5" s="53">
        <f>TRANSICAO!$Y$5*CUSTOS!$P$4</f>
        <v>0</v>
      </c>
      <c r="Z5" s="53">
        <f>TRANSICAO!$Z$5*CUSTOS!$P$4</f>
        <v>0</v>
      </c>
      <c r="AA5" s="53">
        <f>TRANSICAO!$AA$5*CUSTOS!$P$4</f>
        <v>0</v>
      </c>
      <c r="AB5" s="53">
        <f>TRANSICAO!$AB$5*CUSTOS!$P$4</f>
        <v>0</v>
      </c>
      <c r="AC5" s="53">
        <f>TRANSICAO!$AC$5*CUSTOS!$P$4</f>
        <v>14.382231626856818</v>
      </c>
      <c r="AD5" s="53">
        <f>TRANSICAO!$AD$5*CUSTOS!$P$4</f>
        <v>0</v>
      </c>
      <c r="AE5" s="53">
        <v>0</v>
      </c>
      <c r="AF5" s="53">
        <v>0</v>
      </c>
      <c r="AG5" s="53"/>
      <c r="AH5" s="53">
        <f>(1+CUSTOS!$M$4)*0</f>
        <v>0</v>
      </c>
      <c r="AI5" s="53">
        <f>(1+CUSTOS!$M$4)*0</f>
        <v>0</v>
      </c>
      <c r="AJ5" s="53">
        <v>0</v>
      </c>
      <c r="AK5" s="53">
        <f t="shared" ref="AK5:AK52" si="0">AJ5</f>
        <v>0</v>
      </c>
      <c r="AL5" s="53"/>
      <c r="AM5" s="53"/>
      <c r="AP5" s="53"/>
    </row>
    <row r="6" spans="1:42" ht="11.25" customHeight="1" x14ac:dyDescent="0.25">
      <c r="A6" s="131" t="s">
        <v>38</v>
      </c>
      <c r="B6" s="131" t="s">
        <v>39</v>
      </c>
      <c r="C6" s="131" t="s">
        <v>25</v>
      </c>
      <c r="D6" s="131" t="s">
        <v>25</v>
      </c>
      <c r="E6" s="131" t="s">
        <v>25</v>
      </c>
      <c r="F6" s="131" t="s">
        <v>25</v>
      </c>
      <c r="G6" s="74" t="s">
        <v>87</v>
      </c>
      <c r="H6" s="74" t="s">
        <v>80</v>
      </c>
      <c r="I6" s="74">
        <f>'MERCADO TUSD'!$U$3</f>
        <v>74530</v>
      </c>
      <c r="J6" s="15"/>
      <c r="L6" s="53">
        <v>0</v>
      </c>
      <c r="M6" s="53">
        <v>0</v>
      </c>
      <c r="N6" s="53">
        <v>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/>
      <c r="U6" s="53">
        <f>TRANSICAO!$U$6*CUSTOS!$R$3</f>
        <v>7.6818</v>
      </c>
      <c r="V6" s="53">
        <f>TRANSICAO!$V$6*CUSTOS!$R$3</f>
        <v>2.3961999999999999</v>
      </c>
      <c r="W6" s="53">
        <f>TRANSICAO!$W$6*CUSTOS!$R$3</f>
        <v>4.6226000000000003</v>
      </c>
      <c r="X6" s="53">
        <f>TRANSICAO!$X$6*CUSTOS!$R$3</f>
        <v>0</v>
      </c>
      <c r="Y6" s="53">
        <f>TRANSICAO!$Y$6*CUSTOS!$R$3</f>
        <v>0</v>
      </c>
      <c r="Z6" s="53">
        <f>TRANSICAO!$Z$6*CUSTOS!$R$3</f>
        <v>0</v>
      </c>
      <c r="AA6" s="53">
        <f>TRANSICAO!$AA$6*CUSTOS!$R$3</f>
        <v>0</v>
      </c>
      <c r="AB6" s="53">
        <f>TRANSICAO!$AB$6*CUSTOS!$R$3</f>
        <v>0</v>
      </c>
      <c r="AC6" s="53">
        <f>TRANSICAO!$AC$6*CUSTOS!$R$3</f>
        <v>29.1005</v>
      </c>
      <c r="AD6" s="53">
        <f>TRANSICAO!$AD$6*CUSTOS!$R$3</f>
        <v>0</v>
      </c>
      <c r="AE6" s="53">
        <v>0</v>
      </c>
      <c r="AF6" s="53">
        <v>0</v>
      </c>
      <c r="AG6" s="53"/>
      <c r="AH6" s="53">
        <v>0</v>
      </c>
      <c r="AI6" s="53">
        <v>0</v>
      </c>
      <c r="AJ6" s="53">
        <v>0</v>
      </c>
      <c r="AK6" s="53">
        <f t="shared" si="0"/>
        <v>0</v>
      </c>
      <c r="AL6" s="53"/>
      <c r="AM6" s="53"/>
      <c r="AP6" s="53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74" t="s">
        <v>88</v>
      </c>
      <c r="H7" s="74" t="s">
        <v>80</v>
      </c>
      <c r="I7" s="74">
        <f>'MERCADO TUSD'!$U$4</f>
        <v>78662</v>
      </c>
      <c r="J7" s="15"/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/>
      <c r="U7" s="53">
        <f>TRANSICAO!$U$7*CUSTOS!$R$3</f>
        <v>5.0857999999999999</v>
      </c>
      <c r="V7" s="53">
        <f>TRANSICAO!$V$7*CUSTOS!$R$3</f>
        <v>1.4847999999999999</v>
      </c>
      <c r="W7" s="53">
        <f>TRANSICAO!$W$7*CUSTOS!$R$3</f>
        <v>2.6989000000000001</v>
      </c>
      <c r="X7" s="53">
        <f>TRANSICAO!$X$7*CUSTOS!$R$3</f>
        <v>0</v>
      </c>
      <c r="Y7" s="53">
        <f>TRANSICAO!$Y$7*CUSTOS!$R$3</f>
        <v>0</v>
      </c>
      <c r="Z7" s="53">
        <f>TRANSICAO!$Z$7*CUSTOS!$R$3</f>
        <v>0</v>
      </c>
      <c r="AA7" s="53">
        <f>TRANSICAO!$AA$7*CUSTOS!$R$3</f>
        <v>0</v>
      </c>
      <c r="AB7" s="53">
        <f>TRANSICAO!$AB$7*CUSTOS!$R$3</f>
        <v>0</v>
      </c>
      <c r="AC7" s="53">
        <f>TRANSICAO!$AC$7*CUSTOS!$R$3</f>
        <v>7.2455999999999996</v>
      </c>
      <c r="AD7" s="53">
        <f>TRANSICAO!$AD$7*CUSTOS!$R$3</f>
        <v>0</v>
      </c>
      <c r="AE7" s="53">
        <v>0</v>
      </c>
      <c r="AF7" s="53">
        <v>0</v>
      </c>
      <c r="AG7" s="53"/>
      <c r="AH7" s="53">
        <v>0</v>
      </c>
      <c r="AI7" s="53">
        <v>0</v>
      </c>
      <c r="AJ7" s="53">
        <v>0</v>
      </c>
      <c r="AK7" s="53">
        <f t="shared" si="0"/>
        <v>0</v>
      </c>
      <c r="AL7" s="53"/>
      <c r="AM7" s="53"/>
      <c r="AP7" s="53">
        <v>1</v>
      </c>
    </row>
    <row r="8" spans="1:42" ht="11.25" customHeight="1" x14ac:dyDescent="0.25">
      <c r="A8" s="131"/>
      <c r="B8" s="131"/>
      <c r="C8" s="131"/>
      <c r="D8" s="131"/>
      <c r="E8" s="131"/>
      <c r="F8" s="131"/>
      <c r="G8" s="74" t="s">
        <v>86</v>
      </c>
      <c r="H8" s="74" t="s">
        <v>82</v>
      </c>
      <c r="I8" s="74">
        <f>'MERCADO TUSD'!$U$5</f>
        <v>35898.876000000004</v>
      </c>
      <c r="J8" s="15"/>
      <c r="L8" s="53">
        <f>0.84</f>
        <v>0.84</v>
      </c>
      <c r="M8" s="53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0.45037562421666377</v>
      </c>
      <c r="N8" s="53">
        <f ca="1">(+M8+O8+R8+U8+V8+W8+X8+Y8+Z8+AA8+AC8+AH8+AI8+AJ8+AK8)*CUSTOS!$M$5</f>
        <v>0.24413267648362236</v>
      </c>
      <c r="O8" s="53">
        <v>1</v>
      </c>
      <c r="P8" s="53">
        <v>1</v>
      </c>
      <c r="Q8" s="53">
        <f>0.84</f>
        <v>0.84</v>
      </c>
      <c r="R8" s="53">
        <v>1</v>
      </c>
      <c r="S8" s="53">
        <v>1</v>
      </c>
      <c r="T8" s="53"/>
      <c r="U8" s="53">
        <f>TRANSICAO!$U$8*CUSTOS!$R$3</f>
        <v>0</v>
      </c>
      <c r="V8" s="53">
        <f>TRANSICAO!$V$8*CUSTOS!$R$3</f>
        <v>0</v>
      </c>
      <c r="W8" s="53">
        <f>TRANSICAO!$W$8*CUSTOS!$R$3</f>
        <v>0</v>
      </c>
      <c r="X8" s="53">
        <f>TRANSICAO!$X$8*CUSTOS!$R$3</f>
        <v>0</v>
      </c>
      <c r="Y8" s="53">
        <f>TRANSICAO!$Y$8*CUSTOS!$R$3</f>
        <v>0</v>
      </c>
      <c r="Z8" s="53">
        <f>TRANSICAO!$Z$8*CUSTOS!$R$3</f>
        <v>0</v>
      </c>
      <c r="AA8" s="53">
        <f>TRANSICAO!$AA$8*CUSTOS!$R$3</f>
        <v>0</v>
      </c>
      <c r="AB8" s="53">
        <f>TRANSICAO!$AB$8*CUSTOS!$R$3</f>
        <v>0</v>
      </c>
      <c r="AC8" s="53">
        <f>TRANSICAO!$AC$8*CUSTOS!$R$3</f>
        <v>0</v>
      </c>
      <c r="AD8" s="53">
        <f>TRANSICAO!$AD$8*CUSTOS!$R$3</f>
        <v>0</v>
      </c>
      <c r="AE8" s="53">
        <v>0</v>
      </c>
      <c r="AF8" s="53">
        <v>0</v>
      </c>
      <c r="AG8" s="53"/>
      <c r="AH8" s="53">
        <v>9.2286000000000001</v>
      </c>
      <c r="AI8" s="53">
        <v>9.2286000000000001</v>
      </c>
      <c r="AJ8" s="53">
        <f ca="1">$N$65</f>
        <v>1.7528460120727856</v>
      </c>
      <c r="AK8" s="53">
        <f t="shared" ca="1" si="0"/>
        <v>1.7528460120727856</v>
      </c>
      <c r="AL8" s="53"/>
      <c r="AM8" s="53"/>
      <c r="AP8" s="53">
        <v>1</v>
      </c>
    </row>
    <row r="9" spans="1:42" ht="11.25" customHeight="1" x14ac:dyDescent="0.25">
      <c r="A9" s="131"/>
      <c r="B9" s="131"/>
      <c r="C9" s="131"/>
      <c r="D9" s="131"/>
      <c r="E9" s="73" t="s">
        <v>89</v>
      </c>
      <c r="F9" s="73" t="s">
        <v>25</v>
      </c>
      <c r="G9" s="74" t="s">
        <v>86</v>
      </c>
      <c r="H9" s="74" t="s">
        <v>82</v>
      </c>
      <c r="I9" s="74">
        <f>'MERCADO TUSD'!$U$6</f>
        <v>0</v>
      </c>
      <c r="J9" s="15"/>
      <c r="L9" s="53">
        <v>0</v>
      </c>
      <c r="M9" s="53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0.45037562421666377</v>
      </c>
      <c r="N9" s="53">
        <f ca="1">(+M9+O9+R9+U9+V9+W9+X9+Y9+Z9+AA9+AC9+AH9+AI9+AJ9+AK9)*CUSTOS!$M$5</f>
        <v>0.23413267648362238</v>
      </c>
      <c r="O9" s="53">
        <v>1</v>
      </c>
      <c r="P9" s="53">
        <v>0</v>
      </c>
      <c r="Q9" s="53">
        <v>0</v>
      </c>
      <c r="R9" s="53">
        <v>0</v>
      </c>
      <c r="S9" s="53">
        <v>0</v>
      </c>
      <c r="T9" s="53"/>
      <c r="U9" s="53">
        <f>TRANSICAO!$U$9*CUSTOS!$R$3</f>
        <v>0</v>
      </c>
      <c r="V9" s="53">
        <f>TRANSICAO!$V$9*CUSTOS!$R$3</f>
        <v>0</v>
      </c>
      <c r="W9" s="53">
        <f>TRANSICAO!$W$9*CUSTOS!$R$3</f>
        <v>0</v>
      </c>
      <c r="X9" s="53">
        <f>TRANSICAO!$X$9*CUSTOS!$R$3</f>
        <v>0</v>
      </c>
      <c r="Y9" s="53">
        <f>TRANSICAO!$Y$9*CUSTOS!$R$3</f>
        <v>0</v>
      </c>
      <c r="Z9" s="53">
        <f>TRANSICAO!$Z$9*CUSTOS!$R$3</f>
        <v>0</v>
      </c>
      <c r="AA9" s="53">
        <f>TRANSICAO!$AA$9*CUSTOS!$R$3</f>
        <v>0</v>
      </c>
      <c r="AB9" s="53">
        <f>TRANSICAO!$AB$9*CUSTOS!$R$3</f>
        <v>0</v>
      </c>
      <c r="AC9" s="53">
        <f>TRANSICAO!$AC$9*CUSTOS!$R$3</f>
        <v>0</v>
      </c>
      <c r="AD9" s="53">
        <f>TRANSICAO!$AD$9*CUSTOS!$R$3</f>
        <v>0</v>
      </c>
      <c r="AE9" s="53">
        <v>0</v>
      </c>
      <c r="AF9" s="53">
        <v>0</v>
      </c>
      <c r="AG9" s="53"/>
      <c r="AH9" s="53">
        <v>9.2286000000000001</v>
      </c>
      <c r="AI9" s="53">
        <v>9.2286000000000001</v>
      </c>
      <c r="AJ9" s="53">
        <f ca="1">$N$65</f>
        <v>1.7528460120727856</v>
      </c>
      <c r="AK9" s="53">
        <f t="shared" ca="1" si="0"/>
        <v>1.7528460120727856</v>
      </c>
      <c r="AL9" s="53"/>
      <c r="AM9" s="53"/>
      <c r="AP9" s="53">
        <v>1</v>
      </c>
    </row>
    <row r="10" spans="1:42" ht="11.25" customHeight="1" x14ac:dyDescent="0.25">
      <c r="A10" s="131"/>
      <c r="B10" s="73" t="s">
        <v>59</v>
      </c>
      <c r="C10" s="73" t="s">
        <v>25</v>
      </c>
      <c r="D10" s="73" t="s">
        <v>25</v>
      </c>
      <c r="E10" s="73" t="s">
        <v>25</v>
      </c>
      <c r="F10" s="73" t="s">
        <v>25</v>
      </c>
      <c r="G10" s="74" t="s">
        <v>9</v>
      </c>
      <c r="H10" s="74" t="s">
        <v>80</v>
      </c>
      <c r="I10" s="74">
        <f>'MERCADO TUSD'!$U$7</f>
        <v>15360</v>
      </c>
      <c r="J10" s="15"/>
      <c r="L10" s="53">
        <v>0</v>
      </c>
      <c r="M10" s="53">
        <v>2.1399999999999999E-2</v>
      </c>
      <c r="N10" s="53">
        <f>0.0538</f>
        <v>5.3800000000000001E-2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/>
      <c r="U10" s="53">
        <f>TRANSICAO!$U$10*CUSTOS!$R$4</f>
        <v>0</v>
      </c>
      <c r="V10" s="53">
        <f>TRANSICAO!$V$10*CUSTOS!$R$4</f>
        <v>0</v>
      </c>
      <c r="W10" s="53">
        <f>TRANSICAO!$W$10*CUSTOS!$R$4</f>
        <v>0</v>
      </c>
      <c r="X10" s="53">
        <f>TRANSICAO!$X$10*CUSTOS!$R$4</f>
        <v>0</v>
      </c>
      <c r="Y10" s="53">
        <f>TRANSICAO!$Y$10*CUSTOS!$R$4</f>
        <v>0</v>
      </c>
      <c r="Z10" s="53">
        <f>TRANSICAO!$Z$10*CUSTOS!$R$4</f>
        <v>0</v>
      </c>
      <c r="AA10" s="53">
        <f>TRANSICAO!$AA$10*CUSTOS!$R$4</f>
        <v>0</v>
      </c>
      <c r="AB10" s="53">
        <f>TRANSICAO!$AB$10*CUSTOS!$R$4</f>
        <v>0</v>
      </c>
      <c r="AC10" s="53">
        <f>TRANSICAO!$AC$10*CUSTOS!$R$4</f>
        <v>5.8984199999999998</v>
      </c>
      <c r="AD10" s="53">
        <f>TRANSICAO!$AD$10*CUSTOS!$R$4</f>
        <v>0</v>
      </c>
      <c r="AE10" s="53">
        <v>0</v>
      </c>
      <c r="AF10" s="53">
        <v>0</v>
      </c>
      <c r="AG10" s="53"/>
      <c r="AH10" s="53">
        <v>8.0000000000000004E-4</v>
      </c>
      <c r="AI10" s="53">
        <v>0</v>
      </c>
      <c r="AJ10" s="53">
        <v>0</v>
      </c>
      <c r="AK10" s="53">
        <f t="shared" si="0"/>
        <v>0</v>
      </c>
      <c r="AL10" s="53"/>
      <c r="AM10" s="53"/>
      <c r="AP10" s="53"/>
    </row>
    <row r="11" spans="1:42" ht="11.25" customHeight="1" x14ac:dyDescent="0.25">
      <c r="A11" s="131"/>
      <c r="B11" s="131" t="s">
        <v>40</v>
      </c>
      <c r="C11" s="131" t="s">
        <v>25</v>
      </c>
      <c r="D11" s="131" t="s">
        <v>25</v>
      </c>
      <c r="E11" s="131" t="s">
        <v>25</v>
      </c>
      <c r="F11" s="131" t="s">
        <v>25</v>
      </c>
      <c r="G11" s="74" t="s">
        <v>9</v>
      </c>
      <c r="H11" s="74" t="s">
        <v>80</v>
      </c>
      <c r="I11" s="74">
        <f>'MERCADO TUSD'!$U$8</f>
        <v>288308</v>
      </c>
      <c r="J11" s="15"/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/>
      <c r="U11" s="53">
        <f>TRANSICAO!$U$11*CUSTOS!$R$3</f>
        <v>5.0857999999999999</v>
      </c>
      <c r="V11" s="53">
        <f>TRANSICAO!$V$11*CUSTOS!$R$3</f>
        <v>1.4847999999999999</v>
      </c>
      <c r="W11" s="53">
        <f>TRANSICAO!$W$11*CUSTOS!$R$3</f>
        <v>2.6989000000000001</v>
      </c>
      <c r="X11" s="53">
        <f>TRANSICAO!$X$11*CUSTOS!$R$3</f>
        <v>0</v>
      </c>
      <c r="Y11" s="53">
        <f>TRANSICAO!$Y$11*CUSTOS!$R$3</f>
        <v>0</v>
      </c>
      <c r="Z11" s="53">
        <f>TRANSICAO!$Z$11*CUSTOS!$R$3</f>
        <v>0</v>
      </c>
      <c r="AA11" s="53">
        <f>TRANSICAO!$AA$11*CUSTOS!$R$3</f>
        <v>0</v>
      </c>
      <c r="AB11" s="53">
        <f>TRANSICAO!$AB$11*CUSTOS!$R$3</f>
        <v>0</v>
      </c>
      <c r="AC11" s="53">
        <f>TRANSICAO!$AC$11*CUSTOS!$R$3</f>
        <v>7.2455999999999996</v>
      </c>
      <c r="AD11" s="53">
        <f>TRANSICAO!$AD$11*CUSTOS!$R$3</f>
        <v>0</v>
      </c>
      <c r="AE11" s="53">
        <v>0</v>
      </c>
      <c r="AF11" s="53">
        <v>0</v>
      </c>
      <c r="AG11" s="53"/>
      <c r="AH11" s="53">
        <v>0</v>
      </c>
      <c r="AI11" s="53">
        <v>0</v>
      </c>
      <c r="AJ11" s="53">
        <v>0</v>
      </c>
      <c r="AK11" s="53">
        <f t="shared" si="0"/>
        <v>0</v>
      </c>
      <c r="AL11" s="53"/>
      <c r="AM11" s="53"/>
      <c r="AP11" s="53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74" t="s">
        <v>83</v>
      </c>
      <c r="H12" s="74" t="s">
        <v>82</v>
      </c>
      <c r="I12" s="74">
        <f>'MERCADO TUSD'!$U$9</f>
        <v>4081.9879999999994</v>
      </c>
      <c r="J12" s="15"/>
      <c r="L12" s="53">
        <f>0.84</f>
        <v>0.84</v>
      </c>
      <c r="M12" s="53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0.45037562421666377</v>
      </c>
      <c r="N12" s="53">
        <f ca="1">(+M12+O12+R12+U12+V12+W12+X12+Y12+Z12+AA12+AC12+AH12+AI12+AJ12+AK12)*CUSTOS!$M$5</f>
        <v>10.77831667648362</v>
      </c>
      <c r="O12" s="53">
        <v>1</v>
      </c>
      <c r="P12" s="53">
        <v>1</v>
      </c>
      <c r="Q12" s="53">
        <f>0.84</f>
        <v>0.84</v>
      </c>
      <c r="R12" s="53">
        <v>1</v>
      </c>
      <c r="S12" s="53">
        <v>1</v>
      </c>
      <c r="T12" s="53"/>
      <c r="U12" s="53">
        <f>TRANSICAO!$U$12*CUSTOS!$R$3</f>
        <v>184.74809999999999</v>
      </c>
      <c r="V12" s="53">
        <f>TRANSICAO!$V$12*CUSTOS!$R$3</f>
        <v>57.628700000000002</v>
      </c>
      <c r="W12" s="53">
        <f>TRANSICAO!$W$12*CUSTOS!$R$3</f>
        <v>111.1735</v>
      </c>
      <c r="X12" s="53">
        <f>TRANSICAO!$X$12*CUSTOS!$R$3</f>
        <v>0</v>
      </c>
      <c r="Y12" s="53">
        <f>TRANSICAO!$Y$12*CUSTOS!$R$3</f>
        <v>0</v>
      </c>
      <c r="Z12" s="53">
        <f>TRANSICAO!$Z$12*CUSTOS!$R$3</f>
        <v>0</v>
      </c>
      <c r="AA12" s="53">
        <f>TRANSICAO!$AA$12*CUSTOS!$R$3</f>
        <v>0</v>
      </c>
      <c r="AB12" s="53">
        <f>TRANSICAO!$AB$12*CUSTOS!$R$3</f>
        <v>0</v>
      </c>
      <c r="AC12" s="53">
        <f>TRANSICAO!$AC$12*CUSTOS!$R$3</f>
        <v>699.86810000000003</v>
      </c>
      <c r="AD12" s="53">
        <f>TRANSICAO!$AD$12*CUSTOS!$R$3</f>
        <v>0</v>
      </c>
      <c r="AE12" s="53">
        <v>0</v>
      </c>
      <c r="AF12" s="53">
        <v>0</v>
      </c>
      <c r="AG12" s="53"/>
      <c r="AH12" s="53">
        <v>9.2286000000000001</v>
      </c>
      <c r="AI12" s="53">
        <v>9.2286000000000001</v>
      </c>
      <c r="AJ12" s="53">
        <f ca="1">$N$65</f>
        <v>1.7528460120727856</v>
      </c>
      <c r="AK12" s="53">
        <f t="shared" ca="1" si="0"/>
        <v>1.7528460120727856</v>
      </c>
      <c r="AL12" s="53"/>
      <c r="AM12" s="53"/>
      <c r="AP12" s="53">
        <v>1</v>
      </c>
    </row>
    <row r="13" spans="1:42" ht="11.25" customHeight="1" x14ac:dyDescent="0.25">
      <c r="A13" s="131"/>
      <c r="B13" s="131"/>
      <c r="C13" s="131"/>
      <c r="D13" s="131"/>
      <c r="E13" s="131"/>
      <c r="F13" s="131"/>
      <c r="G13" s="74" t="s">
        <v>84</v>
      </c>
      <c r="H13" s="74" t="s">
        <v>82</v>
      </c>
      <c r="I13" s="74">
        <f>'MERCADO TUSD'!$U$10</f>
        <v>46975.044999999991</v>
      </c>
      <c r="J13" s="15"/>
      <c r="L13" s="53">
        <f>0.84</f>
        <v>0.84</v>
      </c>
      <c r="M13" s="53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0.45037562421666377</v>
      </c>
      <c r="N13" s="53">
        <f ca="1">(+M13+O13+R13+U13+V13+W13+X13+Y13+Z13+AA13+AC13+AH13+AI13+AJ13+AK13)*CUSTOS!$M$5</f>
        <v>0.24413267648362236</v>
      </c>
      <c r="O13" s="53">
        <v>1</v>
      </c>
      <c r="P13" s="53">
        <v>1</v>
      </c>
      <c r="Q13" s="53">
        <f>0.84</f>
        <v>0.84</v>
      </c>
      <c r="R13" s="53">
        <v>1</v>
      </c>
      <c r="S13" s="53">
        <v>1</v>
      </c>
      <c r="T13" s="53"/>
      <c r="U13" s="53">
        <f>TRANSICAO!$U$13*CUSTOS!$R$3</f>
        <v>0</v>
      </c>
      <c r="V13" s="53">
        <f>TRANSICAO!$V$13*CUSTOS!$R$3</f>
        <v>0</v>
      </c>
      <c r="W13" s="53">
        <f>TRANSICAO!$W$13*CUSTOS!$R$3</f>
        <v>0</v>
      </c>
      <c r="X13" s="53">
        <f>TRANSICAO!$X$13*CUSTOS!$R$3</f>
        <v>0</v>
      </c>
      <c r="Y13" s="53">
        <f>TRANSICAO!$Y$13*CUSTOS!$R$3</f>
        <v>0</v>
      </c>
      <c r="Z13" s="53">
        <f>TRANSICAO!$Z$13*CUSTOS!$R$3</f>
        <v>0</v>
      </c>
      <c r="AA13" s="53">
        <f>TRANSICAO!$AA$13*CUSTOS!$R$3</f>
        <v>0</v>
      </c>
      <c r="AB13" s="53">
        <f>TRANSICAO!$AB$13*CUSTOS!$R$3</f>
        <v>0</v>
      </c>
      <c r="AC13" s="53">
        <f>TRANSICAO!$AC$13*CUSTOS!$R$3</f>
        <v>0</v>
      </c>
      <c r="AD13" s="53">
        <f>TRANSICAO!$AD$13*CUSTOS!$R$3</f>
        <v>0</v>
      </c>
      <c r="AE13" s="53">
        <v>0</v>
      </c>
      <c r="AF13" s="53">
        <v>0</v>
      </c>
      <c r="AG13" s="53"/>
      <c r="AH13" s="53">
        <v>9.2286000000000001</v>
      </c>
      <c r="AI13" s="53">
        <v>9.2286000000000001</v>
      </c>
      <c r="AJ13" s="53">
        <f ca="1">$N$65</f>
        <v>1.7528460120727856</v>
      </c>
      <c r="AK13" s="53">
        <f t="shared" ca="1" si="0"/>
        <v>1.7528460120727856</v>
      </c>
      <c r="AL13" s="53"/>
      <c r="AM13" s="53"/>
      <c r="AP13" s="53">
        <v>1</v>
      </c>
    </row>
    <row r="14" spans="1:42" ht="11.25" customHeight="1" x14ac:dyDescent="0.25">
      <c r="A14" s="131"/>
      <c r="B14" s="131"/>
      <c r="C14" s="131"/>
      <c r="D14" s="131"/>
      <c r="E14" s="131" t="s">
        <v>89</v>
      </c>
      <c r="F14" s="131" t="s">
        <v>25</v>
      </c>
      <c r="G14" s="74" t="s">
        <v>83</v>
      </c>
      <c r="H14" s="74" t="s">
        <v>82</v>
      </c>
      <c r="I14" s="74">
        <f>'MERCADO TUSD'!$U$11</f>
        <v>0</v>
      </c>
      <c r="J14" s="15"/>
      <c r="L14" s="53">
        <v>0</v>
      </c>
      <c r="M14" s="53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0.45037562421666377</v>
      </c>
      <c r="N14" s="53">
        <f ca="1">(+M14+O14+R14+U14+V14+W14+X14+Y14+Z14+AA14+AC14+AH14+AI14+AJ14+AK14)*CUSTOS!$M$5</f>
        <v>10.76831667648362</v>
      </c>
      <c r="O14" s="53">
        <v>1</v>
      </c>
      <c r="P14" s="53">
        <v>0</v>
      </c>
      <c r="Q14" s="53">
        <v>0</v>
      </c>
      <c r="R14" s="53">
        <v>0</v>
      </c>
      <c r="S14" s="53">
        <v>0</v>
      </c>
      <c r="T14" s="53"/>
      <c r="U14" s="53">
        <f>TRANSICAO!$U$14*CUSTOS!$R$3</f>
        <v>184.74809999999999</v>
      </c>
      <c r="V14" s="53">
        <f>TRANSICAO!$V$14*CUSTOS!$R$3</f>
        <v>57.628700000000002</v>
      </c>
      <c r="W14" s="53">
        <f>TRANSICAO!$W$14*CUSTOS!$R$3</f>
        <v>111.1735</v>
      </c>
      <c r="X14" s="53">
        <f>TRANSICAO!$X$14*CUSTOS!$R$3</f>
        <v>0</v>
      </c>
      <c r="Y14" s="53">
        <f>TRANSICAO!$Y$14*CUSTOS!$R$3</f>
        <v>0</v>
      </c>
      <c r="Z14" s="53">
        <f>TRANSICAO!$Z$14*CUSTOS!$R$3</f>
        <v>0</v>
      </c>
      <c r="AA14" s="53">
        <f>TRANSICAO!$AA$14*CUSTOS!$R$3</f>
        <v>0</v>
      </c>
      <c r="AB14" s="53">
        <f>TRANSICAO!$AB$14*CUSTOS!$R$3</f>
        <v>0</v>
      </c>
      <c r="AC14" s="53">
        <f>TRANSICAO!$AC$14*CUSTOS!$R$3</f>
        <v>699.86810000000003</v>
      </c>
      <c r="AD14" s="53">
        <f>TRANSICAO!$AD$14*CUSTOS!$R$3</f>
        <v>0</v>
      </c>
      <c r="AE14" s="53">
        <v>0</v>
      </c>
      <c r="AF14" s="53">
        <v>0</v>
      </c>
      <c r="AG14" s="53"/>
      <c r="AH14" s="53">
        <v>9.2286000000000001</v>
      </c>
      <c r="AI14" s="53">
        <v>9.2286000000000001</v>
      </c>
      <c r="AJ14" s="53">
        <f ca="1">$N$65</f>
        <v>1.7528460120727856</v>
      </c>
      <c r="AK14" s="53">
        <f t="shared" ca="1" si="0"/>
        <v>1.7528460120727856</v>
      </c>
      <c r="AL14" s="53"/>
      <c r="AM14" s="53"/>
      <c r="AP14" s="53">
        <v>1</v>
      </c>
    </row>
    <row r="15" spans="1:42" ht="11.25" customHeight="1" x14ac:dyDescent="0.25">
      <c r="A15" s="131"/>
      <c r="B15" s="131"/>
      <c r="C15" s="131"/>
      <c r="D15" s="131"/>
      <c r="E15" s="131"/>
      <c r="F15" s="131"/>
      <c r="G15" s="74" t="s">
        <v>84</v>
      </c>
      <c r="H15" s="74" t="s">
        <v>82</v>
      </c>
      <c r="I15" s="74">
        <f>'MERCADO TUSD'!$U$12</f>
        <v>0</v>
      </c>
      <c r="J15" s="15"/>
      <c r="L15" s="53">
        <v>0</v>
      </c>
      <c r="M15" s="53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0.45037562421666377</v>
      </c>
      <c r="N15" s="53">
        <f ca="1">(+M15+O15+R15+U15+V15+W15+X15+Y15+Z15+AA15+AC15+AH15+AI15+AJ15+AK15)*CUSTOS!$M$5</f>
        <v>0.23413267648362238</v>
      </c>
      <c r="O15" s="53">
        <v>1</v>
      </c>
      <c r="P15" s="53">
        <v>0</v>
      </c>
      <c r="Q15" s="53">
        <v>0</v>
      </c>
      <c r="R15" s="53">
        <v>0</v>
      </c>
      <c r="S15" s="53">
        <v>0</v>
      </c>
      <c r="T15" s="53"/>
      <c r="U15" s="53">
        <f>TRANSICAO!$U$15*CUSTOS!$R$3</f>
        <v>0</v>
      </c>
      <c r="V15" s="53">
        <f>TRANSICAO!$V$15*CUSTOS!$R$3</f>
        <v>0</v>
      </c>
      <c r="W15" s="53">
        <f>TRANSICAO!$W$15*CUSTOS!$R$3</f>
        <v>0</v>
      </c>
      <c r="X15" s="53">
        <f>TRANSICAO!$X$15*CUSTOS!$R$3</f>
        <v>0</v>
      </c>
      <c r="Y15" s="53">
        <f>TRANSICAO!$Y$15*CUSTOS!$R$3</f>
        <v>0</v>
      </c>
      <c r="Z15" s="53">
        <f>TRANSICAO!$Z$15*CUSTOS!$R$3</f>
        <v>0</v>
      </c>
      <c r="AA15" s="53">
        <f>TRANSICAO!$AA$15*CUSTOS!$R$3</f>
        <v>0</v>
      </c>
      <c r="AB15" s="53">
        <f>TRANSICAO!$AB$15*CUSTOS!$R$3</f>
        <v>0</v>
      </c>
      <c r="AC15" s="53">
        <f>TRANSICAO!$AC$15*CUSTOS!$R$3</f>
        <v>0</v>
      </c>
      <c r="AD15" s="53">
        <f>TRANSICAO!$AD$15*CUSTOS!$R$3</f>
        <v>0</v>
      </c>
      <c r="AE15" s="53">
        <v>0</v>
      </c>
      <c r="AF15" s="53">
        <v>0</v>
      </c>
      <c r="AG15" s="53"/>
      <c r="AH15" s="53">
        <v>9.2286000000000001</v>
      </c>
      <c r="AI15" s="53">
        <v>9.2286000000000001</v>
      </c>
      <c r="AJ15" s="53">
        <f ca="1">$N$65</f>
        <v>1.7528460120727856</v>
      </c>
      <c r="AK15" s="53">
        <f t="shared" ca="1" si="0"/>
        <v>1.7528460120727856</v>
      </c>
      <c r="AL15" s="53"/>
      <c r="AM15" s="53"/>
      <c r="AP15" s="53">
        <v>1</v>
      </c>
    </row>
    <row r="16" spans="1:42" ht="11.25" customHeight="1" x14ac:dyDescent="0.25">
      <c r="A16" s="131" t="s">
        <v>90</v>
      </c>
      <c r="B16" s="131" t="s">
        <v>59</v>
      </c>
      <c r="C16" s="131" t="s">
        <v>25</v>
      </c>
      <c r="D16" s="131" t="s">
        <v>25</v>
      </c>
      <c r="E16" s="73" t="s">
        <v>91</v>
      </c>
      <c r="F16" s="73" t="s">
        <v>25</v>
      </c>
      <c r="G16" s="74" t="s">
        <v>9</v>
      </c>
      <c r="H16" s="74" t="s">
        <v>80</v>
      </c>
      <c r="I16" s="74">
        <f>'MERCADO TUSD'!$U$13+0.00000001</f>
        <v>1E-8</v>
      </c>
      <c r="J16" s="15"/>
      <c r="L16" s="53">
        <v>0</v>
      </c>
      <c r="M16" s="53">
        <v>1.2699999999999999E-2</v>
      </c>
      <c r="N16" s="53">
        <f>0.0319</f>
        <v>3.1899999999999998E-2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/>
      <c r="U16" s="53">
        <f>TRANSICAO!$U$16*CUSTOS!$T$4</f>
        <v>0</v>
      </c>
      <c r="V16" s="53">
        <f>TRANSICAO!$V$16*CUSTOS!$T$4</f>
        <v>0</v>
      </c>
      <c r="W16" s="53">
        <f>TRANSICAO!$W$16*CUSTOS!$T$4</f>
        <v>0</v>
      </c>
      <c r="X16" s="53">
        <f>TRANSICAO!$X$16*CUSTOS!$T$4</f>
        <v>0</v>
      </c>
      <c r="Y16" s="53">
        <f>TRANSICAO!$Y$16*CUSTOS!$T$4</f>
        <v>0</v>
      </c>
      <c r="Z16" s="53">
        <f>TRANSICAO!$Z$16*CUSTOS!$T$4</f>
        <v>0</v>
      </c>
      <c r="AA16" s="53">
        <f>TRANSICAO!$AA$16*CUSTOS!$T$4</f>
        <v>0</v>
      </c>
      <c r="AB16" s="53">
        <f>TRANSICAO!$AB$16*CUSTOS!$T$4</f>
        <v>0</v>
      </c>
      <c r="AC16" s="53">
        <f>TRANSICAO!$AC$16*CUSTOS!$T$4</f>
        <v>3.1793999999999998</v>
      </c>
      <c r="AD16" s="53">
        <f>TRANSICAO!$AD$16*CUSTOS!$T$4</f>
        <v>0</v>
      </c>
      <c r="AE16" s="53">
        <v>0</v>
      </c>
      <c r="AF16" s="53">
        <v>0</v>
      </c>
      <c r="AG16" s="53"/>
      <c r="AH16" s="53">
        <v>0</v>
      </c>
      <c r="AI16" s="53">
        <v>0</v>
      </c>
      <c r="AJ16" s="53">
        <v>0</v>
      </c>
      <c r="AK16" s="53">
        <f t="shared" si="0"/>
        <v>0</v>
      </c>
      <c r="AL16" s="53"/>
      <c r="AM16" s="53"/>
      <c r="AP16" s="53"/>
    </row>
    <row r="17" spans="1:42" ht="11.25" customHeight="1" x14ac:dyDescent="0.25">
      <c r="A17" s="131"/>
      <c r="B17" s="131"/>
      <c r="C17" s="131"/>
      <c r="D17" s="131"/>
      <c r="E17" s="73" t="s">
        <v>92</v>
      </c>
      <c r="F17" s="73" t="s">
        <v>25</v>
      </c>
      <c r="G17" s="74" t="s">
        <v>9</v>
      </c>
      <c r="H17" s="74" t="s">
        <v>80</v>
      </c>
      <c r="I17" s="74">
        <f>'MERCADO TUSD'!$U$14+0.00000001</f>
        <v>1E-8</v>
      </c>
      <c r="J17" s="15"/>
      <c r="L17" s="53">
        <v>0</v>
      </c>
      <c r="M17" s="53">
        <v>1.2699999999999999E-2</v>
      </c>
      <c r="N17" s="53">
        <f>0.0319</f>
        <v>3.1899999999999998E-2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/>
      <c r="U17" s="53">
        <f>TRANSICAO!$U$17*CUSTOS!$T$4</f>
        <v>0</v>
      </c>
      <c r="V17" s="53">
        <f>TRANSICAO!$V$17*CUSTOS!$T$4</f>
        <v>0</v>
      </c>
      <c r="W17" s="53">
        <f>TRANSICAO!$W$17*CUSTOS!$T$4</f>
        <v>0</v>
      </c>
      <c r="X17" s="53">
        <f>TRANSICAO!$X$17*CUSTOS!$T$4</f>
        <v>0</v>
      </c>
      <c r="Y17" s="53">
        <f>TRANSICAO!$Y$17*CUSTOS!$T$4</f>
        <v>0</v>
      </c>
      <c r="Z17" s="53">
        <f>TRANSICAO!$Z$17*CUSTOS!$T$4</f>
        <v>0</v>
      </c>
      <c r="AA17" s="53">
        <f>TRANSICAO!$AA$17*CUSTOS!$T$4</f>
        <v>0</v>
      </c>
      <c r="AB17" s="53">
        <f>TRANSICAO!$AB$17*CUSTOS!$T$4</f>
        <v>0</v>
      </c>
      <c r="AC17" s="53">
        <f>TRANSICAO!$AC$17*CUSTOS!$T$4</f>
        <v>9.8092000000000006</v>
      </c>
      <c r="AD17" s="53">
        <f>TRANSICAO!$AD$17*CUSTOS!$T$4</f>
        <v>0</v>
      </c>
      <c r="AE17" s="53">
        <v>0</v>
      </c>
      <c r="AF17" s="53">
        <v>0</v>
      </c>
      <c r="AG17" s="53"/>
      <c r="AH17" s="53">
        <v>0</v>
      </c>
      <c r="AI17" s="53">
        <v>0</v>
      </c>
      <c r="AJ17" s="53">
        <v>0</v>
      </c>
      <c r="AK17" s="53">
        <f t="shared" si="0"/>
        <v>0</v>
      </c>
      <c r="AL17" s="53"/>
      <c r="AM17" s="53"/>
      <c r="AP17" s="53"/>
    </row>
    <row r="18" spans="1:42" ht="11.25" customHeight="1" x14ac:dyDescent="0.25">
      <c r="A18" s="131" t="s">
        <v>22</v>
      </c>
      <c r="B18" s="131" t="s">
        <v>32</v>
      </c>
      <c r="C18" s="131" t="s">
        <v>24</v>
      </c>
      <c r="D18" s="131" t="s">
        <v>24</v>
      </c>
      <c r="E18" s="131" t="s">
        <v>25</v>
      </c>
      <c r="F18" s="131" t="s">
        <v>25</v>
      </c>
      <c r="G18" s="74" t="s">
        <v>83</v>
      </c>
      <c r="H18" s="74" t="s">
        <v>82</v>
      </c>
      <c r="I18" s="74">
        <f>'MERCADO TUSD'!$U$15</f>
        <v>1.103</v>
      </c>
      <c r="J18" s="15"/>
      <c r="L18" s="53">
        <f>1</f>
        <v>1</v>
      </c>
      <c r="M18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0.83849410076663589</v>
      </c>
      <c r="N18" s="53">
        <f ca="1">(+M18+O18+R18+U18+V18+W18+X18+Y18+Z18+AA18+AC18+AH18+AI18+AJ18+AK18)*CUSTOS!$M$5</f>
        <v>8.5017037136798859</v>
      </c>
      <c r="O18" s="53">
        <v>1</v>
      </c>
      <c r="P18" s="53">
        <v>1</v>
      </c>
      <c r="Q18" s="53">
        <f>1</f>
        <v>1</v>
      </c>
      <c r="R18" s="53">
        <v>1</v>
      </c>
      <c r="S18" s="53">
        <v>1</v>
      </c>
      <c r="T18" s="53"/>
      <c r="U18" s="53">
        <f>TRANSICAO!$U$18*CUSTOS!$T$3</f>
        <v>111.157815</v>
      </c>
      <c r="V18" s="53">
        <f>TRANSICAO!$V$18*CUSTOS!$T$3</f>
        <v>33.675384999999999</v>
      </c>
      <c r="W18" s="53">
        <f>TRANSICAO!$W$18*CUSTOS!$T$3</f>
        <v>63.338515000000001</v>
      </c>
      <c r="X18" s="53">
        <f>TRANSICAO!$X$18*CUSTOS!$T$3</f>
        <v>0</v>
      </c>
      <c r="Y18" s="53">
        <f>TRANSICAO!$Y$18*CUSTOS!$T$3</f>
        <v>0</v>
      </c>
      <c r="Z18" s="53">
        <f>TRANSICAO!$Z$18*CUSTOS!$T$3</f>
        <v>0</v>
      </c>
      <c r="AA18" s="53">
        <f>TRANSICAO!$AA$18*CUSTOS!$T$3</f>
        <v>0</v>
      </c>
      <c r="AB18" s="53">
        <f>TRANSICAO!$AB$18*CUSTOS!$T$3</f>
        <v>0</v>
      </c>
      <c r="AC18" s="53">
        <f>TRANSICAO!$AC$18*CUSTOS!$T$3</f>
        <v>592.47567000000004</v>
      </c>
      <c r="AD18" s="53">
        <f>TRANSICAO!$AD$18*CUSTOS!$T$3</f>
        <v>0</v>
      </c>
      <c r="AE18" s="53">
        <v>0</v>
      </c>
      <c r="AF18" s="53">
        <v>0</v>
      </c>
      <c r="AG18" s="53"/>
      <c r="AH18" s="53">
        <v>21.008199999999999</v>
      </c>
      <c r="AI18" s="53">
        <v>21.008199999999999</v>
      </c>
      <c r="AJ18" s="53">
        <f ca="1">$N$66</f>
        <v>2.3340461336110176</v>
      </c>
      <c r="AK18" s="53">
        <f t="shared" ca="1" si="0"/>
        <v>2.3340461336110176</v>
      </c>
      <c r="AL18" s="53"/>
      <c r="AM18" s="53"/>
      <c r="AP18" s="53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74" t="s">
        <v>93</v>
      </c>
      <c r="H19" s="74" t="s">
        <v>82</v>
      </c>
      <c r="I19" s="74">
        <f>'MERCADO TUSD'!$U$16</f>
        <v>0.64800000000000013</v>
      </c>
      <c r="J19" s="15"/>
      <c r="L19" s="53">
        <f>1</f>
        <v>1</v>
      </c>
      <c r="M19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0.83849410076663589</v>
      </c>
      <c r="N19" s="53">
        <f ca="1">(+M19+O19+R19+U19+V19+W19+X19+Y19+Z19+AA19+AC19+AH19+AI19+AJ19+AK19)*CUSTOS!$M$5</f>
        <v>4.4984672136798869</v>
      </c>
      <c r="O19" s="53">
        <v>1</v>
      </c>
      <c r="P19" s="53">
        <v>1</v>
      </c>
      <c r="Q19" s="53">
        <f>1</f>
        <v>1</v>
      </c>
      <c r="R19" s="53">
        <v>1</v>
      </c>
      <c r="S19" s="53">
        <v>1</v>
      </c>
      <c r="T19" s="53"/>
      <c r="U19" s="53">
        <f>TRANSICAO!$U$19*CUSTOS!$T$3</f>
        <v>55.578864999999993</v>
      </c>
      <c r="V19" s="53">
        <f>TRANSICAO!$V$19*CUSTOS!$T$3</f>
        <v>16.837734999999999</v>
      </c>
      <c r="W19" s="53">
        <f>TRANSICAO!$W$19*CUSTOS!$T$3</f>
        <v>31.6693</v>
      </c>
      <c r="X19" s="53">
        <f>TRANSICAO!$X$19*CUSTOS!$T$3</f>
        <v>0</v>
      </c>
      <c r="Y19" s="53">
        <f>TRANSICAO!$Y$19*CUSTOS!$T$3</f>
        <v>0</v>
      </c>
      <c r="Z19" s="53">
        <f>TRANSICAO!$Z$19*CUSTOS!$T$3</f>
        <v>0</v>
      </c>
      <c r="AA19" s="53">
        <f>TRANSICAO!$AA$19*CUSTOS!$T$3</f>
        <v>0</v>
      </c>
      <c r="AB19" s="53">
        <f>TRANSICAO!$AB$19*CUSTOS!$T$3</f>
        <v>0</v>
      </c>
      <c r="AC19" s="53">
        <f>TRANSICAO!$AC$19*CUSTOS!$T$3</f>
        <v>296.23783500000002</v>
      </c>
      <c r="AD19" s="53">
        <f>TRANSICAO!$AD$19*CUSTOS!$T$3</f>
        <v>0</v>
      </c>
      <c r="AE19" s="53">
        <v>0</v>
      </c>
      <c r="AF19" s="53">
        <v>0</v>
      </c>
      <c r="AG19" s="53"/>
      <c r="AH19" s="53">
        <v>21.008199999999999</v>
      </c>
      <c r="AI19" s="53">
        <v>21.008199999999999</v>
      </c>
      <c r="AJ19" s="53">
        <f ca="1">$N$66</f>
        <v>2.3340461336110176</v>
      </c>
      <c r="AK19" s="53">
        <f t="shared" ca="1" si="0"/>
        <v>2.3340461336110176</v>
      </c>
      <c r="AL19" s="53"/>
      <c r="AM19" s="53"/>
      <c r="AP19" s="53">
        <v>1</v>
      </c>
    </row>
    <row r="20" spans="1:42" ht="11.25" customHeight="1" x14ac:dyDescent="0.25">
      <c r="A20" s="131"/>
      <c r="B20" s="131"/>
      <c r="C20" s="131"/>
      <c r="D20" s="131"/>
      <c r="E20" s="131"/>
      <c r="F20" s="131"/>
      <c r="G20" s="74" t="s">
        <v>84</v>
      </c>
      <c r="H20" s="74" t="s">
        <v>82</v>
      </c>
      <c r="I20" s="74">
        <f>'MERCADO TUSD'!$U$17</f>
        <v>11.868000000000002</v>
      </c>
      <c r="J20" s="15"/>
      <c r="L20" s="53">
        <f>1</f>
        <v>1</v>
      </c>
      <c r="M20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0.83849410076663589</v>
      </c>
      <c r="N20" s="53">
        <f ca="1">(+M20+O20+R20+U20+V20+W20+X20+Y20+Z20+AA20+AC20+AH20+AI20+AJ20+AK20)*CUSTOS!$M$5</f>
        <v>1.2958771636798867</v>
      </c>
      <c r="O20" s="53">
        <v>1</v>
      </c>
      <c r="P20" s="53">
        <v>1</v>
      </c>
      <c r="Q20" s="53">
        <f>1</f>
        <v>1</v>
      </c>
      <c r="R20" s="53">
        <v>1</v>
      </c>
      <c r="S20" s="53">
        <v>1</v>
      </c>
      <c r="T20" s="53"/>
      <c r="U20" s="53">
        <f>TRANSICAO!$U$20*CUSTOS!$T$3</f>
        <v>11.115790000000001</v>
      </c>
      <c r="V20" s="53">
        <f>TRANSICAO!$V$20*CUSTOS!$T$3</f>
        <v>3.3675299999999999</v>
      </c>
      <c r="W20" s="53">
        <f>TRANSICAO!$W$20*CUSTOS!$T$3</f>
        <v>6.3338599999999996</v>
      </c>
      <c r="X20" s="53">
        <f>TRANSICAO!$X$20*CUSTOS!$T$3</f>
        <v>0</v>
      </c>
      <c r="Y20" s="53">
        <f>TRANSICAO!$Y$20*CUSTOS!$T$3</f>
        <v>0</v>
      </c>
      <c r="Z20" s="53">
        <f>TRANSICAO!$Z$20*CUSTOS!$T$3</f>
        <v>0</v>
      </c>
      <c r="AA20" s="53">
        <f>TRANSICAO!$AA$20*CUSTOS!$T$3</f>
        <v>0</v>
      </c>
      <c r="AB20" s="53">
        <f>TRANSICAO!$AB$20*CUSTOS!$T$3</f>
        <v>0</v>
      </c>
      <c r="AC20" s="53">
        <f>TRANSICAO!$AC$20*CUSTOS!$T$3</f>
        <v>59.247550000000004</v>
      </c>
      <c r="AD20" s="53">
        <f>TRANSICAO!$AD$20*CUSTOS!$T$3</f>
        <v>0</v>
      </c>
      <c r="AE20" s="53">
        <v>0</v>
      </c>
      <c r="AF20" s="53">
        <v>0</v>
      </c>
      <c r="AG20" s="53"/>
      <c r="AH20" s="53">
        <v>21.008199999999999</v>
      </c>
      <c r="AI20" s="53">
        <v>21.008199999999999</v>
      </c>
      <c r="AJ20" s="53">
        <f ca="1">$N$66</f>
        <v>2.3340461336110176</v>
      </c>
      <c r="AK20" s="53">
        <f t="shared" ca="1" si="0"/>
        <v>2.3340461336110176</v>
      </c>
      <c r="AL20" s="53"/>
      <c r="AM20" s="53"/>
      <c r="AP20" s="53">
        <v>1</v>
      </c>
    </row>
    <row r="21" spans="1:42" ht="11.25" customHeight="1" x14ac:dyDescent="0.25">
      <c r="A21" s="131"/>
      <c r="B21" s="131" t="s">
        <v>23</v>
      </c>
      <c r="C21" s="131" t="s">
        <v>24</v>
      </c>
      <c r="D21" s="73" t="s">
        <v>24</v>
      </c>
      <c r="E21" s="73" t="s">
        <v>25</v>
      </c>
      <c r="F21" s="73" t="s">
        <v>25</v>
      </c>
      <c r="G21" s="74" t="s">
        <v>86</v>
      </c>
      <c r="H21" s="74" t="s">
        <v>82</v>
      </c>
      <c r="I21" s="74">
        <f>'MERCADO TUSD'!$U$18</f>
        <v>63212.388999999996</v>
      </c>
      <c r="J21" s="15"/>
      <c r="L21" s="53">
        <f>1</f>
        <v>1</v>
      </c>
      <c r="M21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0.83849410076663589</v>
      </c>
      <c r="N21" s="53">
        <f ca="1">(+M21+O21+R21+U21+V21+W21+X21+Y21+Z21+AA21+AC21+AH21+AI21+AJ21+AK21)*CUSTOS!$M$5</f>
        <v>2.7192506136798862</v>
      </c>
      <c r="O21" s="53">
        <v>1</v>
      </c>
      <c r="P21" s="53">
        <v>1</v>
      </c>
      <c r="Q21" s="53">
        <f>1</f>
        <v>1</v>
      </c>
      <c r="R21" s="53">
        <v>1</v>
      </c>
      <c r="S21" s="53">
        <v>1</v>
      </c>
      <c r="T21" s="53"/>
      <c r="U21" s="53">
        <f>TRANSICAO!$U$21*CUSTOS!$T$3</f>
        <v>30.877184999999997</v>
      </c>
      <c r="V21" s="53">
        <f>TRANSICAO!$V$21*CUSTOS!$T$3</f>
        <v>9.3542500000000004</v>
      </c>
      <c r="W21" s="53">
        <f>TRANSICAO!$W$21*CUSTOS!$T$3</f>
        <v>17.594064999999997</v>
      </c>
      <c r="X21" s="53">
        <f>TRANSICAO!$X$21*CUSTOS!$T$3</f>
        <v>0</v>
      </c>
      <c r="Y21" s="53">
        <f>TRANSICAO!$Y$21*CUSTOS!$T$3</f>
        <v>0</v>
      </c>
      <c r="Z21" s="53">
        <f>TRANSICAO!$Z$21*CUSTOS!$T$3</f>
        <v>0</v>
      </c>
      <c r="AA21" s="53">
        <f>TRANSICAO!$AA$21*CUSTOS!$T$3</f>
        <v>0</v>
      </c>
      <c r="AB21" s="53">
        <f>TRANSICAO!$AB$21*CUSTOS!$T$3</f>
        <v>0</v>
      </c>
      <c r="AC21" s="53">
        <f>TRANSICAO!$AC$21*CUSTOS!$T$3</f>
        <v>164.57657499999999</v>
      </c>
      <c r="AD21" s="53">
        <f>TRANSICAO!$AD$21*CUSTOS!$T$3</f>
        <v>0</v>
      </c>
      <c r="AE21" s="53">
        <v>0</v>
      </c>
      <c r="AF21" s="53">
        <v>0</v>
      </c>
      <c r="AG21" s="53"/>
      <c r="AH21" s="53">
        <v>21.008199999999999</v>
      </c>
      <c r="AI21" s="53">
        <v>21.008199999999999</v>
      </c>
      <c r="AJ21" s="53">
        <f ca="1">$N$66</f>
        <v>2.3340461336110176</v>
      </c>
      <c r="AK21" s="53">
        <f t="shared" ca="1" si="0"/>
        <v>2.3340461336110176</v>
      </c>
      <c r="AL21" s="53"/>
      <c r="AM21" s="53"/>
      <c r="AP21" s="53">
        <v>1</v>
      </c>
    </row>
    <row r="22" spans="1:42" ht="11.25" customHeight="1" x14ac:dyDescent="0.25">
      <c r="A22" s="131"/>
      <c r="B22" s="131"/>
      <c r="C22" s="131"/>
      <c r="D22" s="73" t="s">
        <v>28</v>
      </c>
      <c r="E22" s="73" t="s">
        <v>25</v>
      </c>
      <c r="F22" s="73" t="s">
        <v>25</v>
      </c>
      <c r="G22" s="74" t="s">
        <v>86</v>
      </c>
      <c r="H22" s="74" t="s">
        <v>82</v>
      </c>
      <c r="I22" s="74">
        <f>'MERCADO TUSD'!$U$19</f>
        <v>258.12700000000001</v>
      </c>
      <c r="J22" s="15"/>
      <c r="L22" s="53">
        <v>0</v>
      </c>
      <c r="M22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CUSTOS!$M$24)</f>
        <v>0.83849410076663589</v>
      </c>
      <c r="N22" s="53">
        <f ca="1">(+M22+O22+R22+U22+V22+W22+X22+Y22+Z22+AA22+AC22+AH22+AI22+AJ22+AK22)*CUSTOS!$M$5</f>
        <v>2.7092506136798864</v>
      </c>
      <c r="O22" s="53">
        <f>1 - CUSTOS!$M$24</f>
        <v>1</v>
      </c>
      <c r="P22" s="53">
        <v>0</v>
      </c>
      <c r="Q22" s="53">
        <v>0</v>
      </c>
      <c r="R22" s="53">
        <v>0</v>
      </c>
      <c r="S22" s="53">
        <f>1 - CUSTOS!$M$24</f>
        <v>1</v>
      </c>
      <c r="T22" s="53"/>
      <c r="U22" s="53">
        <f>TRANSICAO!$U$22*CUSTOS!$T$3</f>
        <v>30.877184999999997</v>
      </c>
      <c r="V22" s="53">
        <f>TRANSICAO!$V$22*CUSTOS!$T$3</f>
        <v>9.3542500000000004</v>
      </c>
      <c r="W22" s="53">
        <f>TRANSICAO!$W$22*CUSTOS!$T$3</f>
        <v>17.594064999999997</v>
      </c>
      <c r="X22" s="53">
        <f>TRANSICAO!$X$22*CUSTOS!$T$3</f>
        <v>0</v>
      </c>
      <c r="Y22" s="53">
        <f>TRANSICAO!$Y$22*CUSTOS!$T$3</f>
        <v>0</v>
      </c>
      <c r="Z22" s="53">
        <f>TRANSICAO!$Z$22*CUSTOS!$T$3</f>
        <v>0</v>
      </c>
      <c r="AA22" s="53">
        <f>TRANSICAO!$AA$22*CUSTOS!$T$3</f>
        <v>0</v>
      </c>
      <c r="AB22" s="53">
        <f>TRANSICAO!$AB$22*CUSTOS!$T$3</f>
        <v>0</v>
      </c>
      <c r="AC22" s="53">
        <f>TRANSICAO!$AC$22*CUSTOS!$T$3</f>
        <v>164.57657499999999</v>
      </c>
      <c r="AD22" s="53">
        <f>TRANSICAO!$AD$22*CUSTOS!$T$3</f>
        <v>0</v>
      </c>
      <c r="AE22" s="53">
        <v>0</v>
      </c>
      <c r="AF22" s="53">
        <v>0</v>
      </c>
      <c r="AG22" s="53"/>
      <c r="AH22" s="53">
        <f>(1 - CUSTOS!$M$24)*21.0082</f>
        <v>21.008199999999999</v>
      </c>
      <c r="AI22" s="53">
        <f>(1 - CUSTOS!$M$24)*21.0082</f>
        <v>21.008199999999999</v>
      </c>
      <c r="AJ22" s="53">
        <f ca="1">$N$66*(1-CUSTOS!$M$24)</f>
        <v>2.3340461336110176</v>
      </c>
      <c r="AK22" s="53">
        <f t="shared" ca="1" si="0"/>
        <v>2.3340461336110176</v>
      </c>
      <c r="AL22" s="53"/>
      <c r="AM22" s="53"/>
      <c r="AP22" s="53">
        <f>IF((1 - CUSTOS!$M$24)&lt;&gt;0,1/(1 - CUSTOS!$M$24),1)</f>
        <v>1</v>
      </c>
    </row>
    <row r="23" spans="1:42" ht="11.25" customHeight="1" x14ac:dyDescent="0.25">
      <c r="A23" s="131"/>
      <c r="B23" s="131"/>
      <c r="C23" s="131"/>
      <c r="D23" s="73" t="s">
        <v>29</v>
      </c>
      <c r="E23" s="73" t="s">
        <v>25</v>
      </c>
      <c r="F23" s="73" t="s">
        <v>25</v>
      </c>
      <c r="G23" s="74" t="s">
        <v>86</v>
      </c>
      <c r="H23" s="74" t="s">
        <v>82</v>
      </c>
      <c r="I23" s="74">
        <f>'MERCADO TUSD'!$U$20</f>
        <v>546.58100000000002</v>
      </c>
      <c r="J23" s="15"/>
      <c r="L23" s="53">
        <v>0</v>
      </c>
      <c r="M23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CUSTOS!$M$25)</f>
        <v>0.83849410076663589</v>
      </c>
      <c r="N23" s="53">
        <f ca="1">(+M23+O23+R23+U23+V23+W23+X23+Y23+Z23+AA23+AC23+AH23+AI23+AJ23+AK23)*CUSTOS!$M$5</f>
        <v>2.7092506136798864</v>
      </c>
      <c r="O23" s="53">
        <f>1 - CUSTOS!$M$25</f>
        <v>1</v>
      </c>
      <c r="P23" s="53">
        <v>0</v>
      </c>
      <c r="Q23" s="53">
        <v>0</v>
      </c>
      <c r="R23" s="53">
        <v>0</v>
      </c>
      <c r="S23" s="53">
        <f>1 - CUSTOS!$M$25</f>
        <v>1</v>
      </c>
      <c r="T23" s="53"/>
      <c r="U23" s="53">
        <f>TRANSICAO!$U$23*CUSTOS!$T$3</f>
        <v>30.877184999999997</v>
      </c>
      <c r="V23" s="53">
        <f>TRANSICAO!$V$23*CUSTOS!$T$3</f>
        <v>9.3542500000000004</v>
      </c>
      <c r="W23" s="53">
        <f>TRANSICAO!$W$23*CUSTOS!$T$3</f>
        <v>17.594064999999997</v>
      </c>
      <c r="X23" s="53">
        <f>TRANSICAO!$X$23*CUSTOS!$T$3</f>
        <v>0</v>
      </c>
      <c r="Y23" s="53">
        <f>TRANSICAO!$Y$23*CUSTOS!$T$3</f>
        <v>0</v>
      </c>
      <c r="Z23" s="53">
        <f>TRANSICAO!$Z$23*CUSTOS!$T$3</f>
        <v>0</v>
      </c>
      <c r="AA23" s="53">
        <f>TRANSICAO!$AA$23*CUSTOS!$T$3</f>
        <v>0</v>
      </c>
      <c r="AB23" s="53">
        <f>TRANSICAO!$AB$23*CUSTOS!$T$3</f>
        <v>0</v>
      </c>
      <c r="AC23" s="53">
        <f>TRANSICAO!$AC$23*CUSTOS!$T$3</f>
        <v>164.57657499999999</v>
      </c>
      <c r="AD23" s="53">
        <f>TRANSICAO!$AD$23*CUSTOS!$T$3</f>
        <v>0</v>
      </c>
      <c r="AE23" s="53">
        <v>0</v>
      </c>
      <c r="AF23" s="53">
        <v>0</v>
      </c>
      <c r="AG23" s="53"/>
      <c r="AH23" s="53">
        <f>(1 - CUSTOS!$M$25)*21.0082</f>
        <v>21.008199999999999</v>
      </c>
      <c r="AI23" s="53">
        <f>(1 - CUSTOS!$M$25)*21.0082</f>
        <v>21.008199999999999</v>
      </c>
      <c r="AJ23" s="53">
        <f ca="1">$N$66*(1-CUSTOS!$M$25)</f>
        <v>2.3340461336110176</v>
      </c>
      <c r="AK23" s="53">
        <f t="shared" ca="1" si="0"/>
        <v>2.3340461336110176</v>
      </c>
      <c r="AL23" s="53"/>
      <c r="AM23" s="53"/>
      <c r="AP23" s="53">
        <f>IF((1 - CUSTOS!$M$25)&lt;&gt;0,1/(1 - CUSTOS!$M$25),1)</f>
        <v>1</v>
      </c>
    </row>
    <row r="24" spans="1:42" ht="11.25" customHeight="1" x14ac:dyDescent="0.25">
      <c r="A24" s="131"/>
      <c r="B24" s="131"/>
      <c r="C24" s="131"/>
      <c r="D24" s="73" t="s">
        <v>30</v>
      </c>
      <c r="E24" s="73" t="s">
        <v>25</v>
      </c>
      <c r="F24" s="73" t="s">
        <v>25</v>
      </c>
      <c r="G24" s="74" t="s">
        <v>86</v>
      </c>
      <c r="H24" s="74" t="s">
        <v>82</v>
      </c>
      <c r="I24" s="74">
        <f>'MERCADO TUSD'!$U$21</f>
        <v>537.75300000000004</v>
      </c>
      <c r="J24" s="15"/>
      <c r="L24" s="53">
        <v>0</v>
      </c>
      <c r="M24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CUSTOS!$M$26)</f>
        <v>0.83849410076663589</v>
      </c>
      <c r="N24" s="53">
        <f ca="1">(+M24+O24+R24+U24+V24+W24+X24+Y24+Z24+AA24+AC24+AH24+AI24+AJ24+AK24)*CUSTOS!$M$5</f>
        <v>2.7092506136798864</v>
      </c>
      <c r="O24" s="53">
        <f>1 - CUSTOS!$M$26</f>
        <v>1</v>
      </c>
      <c r="P24" s="53">
        <v>0</v>
      </c>
      <c r="Q24" s="53">
        <v>0</v>
      </c>
      <c r="R24" s="53">
        <v>0</v>
      </c>
      <c r="S24" s="53">
        <f>1 - CUSTOS!$M$26</f>
        <v>1</v>
      </c>
      <c r="T24" s="53"/>
      <c r="U24" s="53">
        <f>TRANSICAO!$U$24*CUSTOS!$T$3</f>
        <v>30.877184999999997</v>
      </c>
      <c r="V24" s="53">
        <f>TRANSICAO!$V$24*CUSTOS!$T$3</f>
        <v>9.3542500000000004</v>
      </c>
      <c r="W24" s="53">
        <f>TRANSICAO!$W$24*CUSTOS!$T$3</f>
        <v>17.594064999999997</v>
      </c>
      <c r="X24" s="53">
        <f>TRANSICAO!$X$24*CUSTOS!$T$3</f>
        <v>0</v>
      </c>
      <c r="Y24" s="53">
        <f>TRANSICAO!$Y$24*CUSTOS!$T$3</f>
        <v>0</v>
      </c>
      <c r="Z24" s="53">
        <f>TRANSICAO!$Z$24*CUSTOS!$T$3</f>
        <v>0</v>
      </c>
      <c r="AA24" s="53">
        <f>TRANSICAO!$AA$24*CUSTOS!$T$3</f>
        <v>0</v>
      </c>
      <c r="AB24" s="53">
        <f>TRANSICAO!$AB$24*CUSTOS!$T$3</f>
        <v>0</v>
      </c>
      <c r="AC24" s="53">
        <f>TRANSICAO!$AC$24*CUSTOS!$T$3</f>
        <v>164.57657499999999</v>
      </c>
      <c r="AD24" s="53">
        <f>TRANSICAO!$AD$24*CUSTOS!$T$3</f>
        <v>0</v>
      </c>
      <c r="AE24" s="53">
        <v>0</v>
      </c>
      <c r="AF24" s="53">
        <v>0</v>
      </c>
      <c r="AG24" s="53"/>
      <c r="AH24" s="53">
        <f>(1 - CUSTOS!$M$26)*21.0082</f>
        <v>21.008199999999999</v>
      </c>
      <c r="AI24" s="53">
        <f>(1 - CUSTOS!$M$26)*21.0082</f>
        <v>21.008199999999999</v>
      </c>
      <c r="AJ24" s="53">
        <f ca="1">$N$66*(1-CUSTOS!$M$26)</f>
        <v>2.3340461336110176</v>
      </c>
      <c r="AK24" s="53">
        <f t="shared" ca="1" si="0"/>
        <v>2.3340461336110176</v>
      </c>
      <c r="AL24" s="53"/>
      <c r="AM24" s="53"/>
      <c r="AP24" s="53">
        <f>IF((1 - CUSTOS!$M$26)&lt;&gt;0,1/(1 - CUSTOS!$M$26),1)</f>
        <v>1</v>
      </c>
    </row>
    <row r="25" spans="1:42" ht="11.25" customHeight="1" x14ac:dyDescent="0.25">
      <c r="A25" s="131"/>
      <c r="B25" s="131"/>
      <c r="C25" s="131"/>
      <c r="D25" s="73" t="s">
        <v>31</v>
      </c>
      <c r="E25" s="73" t="s">
        <v>25</v>
      </c>
      <c r="F25" s="73" t="s">
        <v>25</v>
      </c>
      <c r="G25" s="74" t="s">
        <v>86</v>
      </c>
      <c r="H25" s="74" t="s">
        <v>82</v>
      </c>
      <c r="I25" s="74">
        <f>'MERCADO TUSD'!$U$22</f>
        <v>180.10599999999999</v>
      </c>
      <c r="J25" s="15"/>
      <c r="L25" s="53">
        <v>0</v>
      </c>
      <c r="M25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CUSTOS!$M$27)</f>
        <v>0.83849410076663589</v>
      </c>
      <c r="N25" s="53">
        <f ca="1">(+M25+O25+R25+U25+V25+W25+X25+Y25+Z25+AA25+AC25+AH25+AI25+AJ25+AK25)*CUSTOS!$M$5</f>
        <v>2.7092506136798864</v>
      </c>
      <c r="O25" s="53">
        <f>1 - CUSTOS!$M$27</f>
        <v>1</v>
      </c>
      <c r="P25" s="53">
        <v>0</v>
      </c>
      <c r="Q25" s="53">
        <v>0</v>
      </c>
      <c r="R25" s="53">
        <v>0</v>
      </c>
      <c r="S25" s="53">
        <f>1 - CUSTOS!$M$27</f>
        <v>1</v>
      </c>
      <c r="T25" s="53"/>
      <c r="U25" s="53">
        <f>TRANSICAO!$U$25*CUSTOS!$T$3</f>
        <v>30.877184999999997</v>
      </c>
      <c r="V25" s="53">
        <f>TRANSICAO!$V$25*CUSTOS!$T$3</f>
        <v>9.3542500000000004</v>
      </c>
      <c r="W25" s="53">
        <f>TRANSICAO!$W$25*CUSTOS!$T$3</f>
        <v>17.594064999999997</v>
      </c>
      <c r="X25" s="53">
        <f>TRANSICAO!$X$25*CUSTOS!$T$3</f>
        <v>0</v>
      </c>
      <c r="Y25" s="53">
        <f>TRANSICAO!$Y$25*CUSTOS!$T$3</f>
        <v>0</v>
      </c>
      <c r="Z25" s="53">
        <f>TRANSICAO!$Z$25*CUSTOS!$T$3</f>
        <v>0</v>
      </c>
      <c r="AA25" s="53">
        <f>TRANSICAO!$AA$25*CUSTOS!$T$3</f>
        <v>0</v>
      </c>
      <c r="AB25" s="53">
        <f>TRANSICAO!$AB$25*CUSTOS!$T$3</f>
        <v>0</v>
      </c>
      <c r="AC25" s="53">
        <f>TRANSICAO!$AC$25*CUSTOS!$T$3</f>
        <v>164.57657499999999</v>
      </c>
      <c r="AD25" s="53">
        <f>TRANSICAO!$AD$25*CUSTOS!$T$3</f>
        <v>0</v>
      </c>
      <c r="AE25" s="53">
        <v>0</v>
      </c>
      <c r="AF25" s="53">
        <v>0</v>
      </c>
      <c r="AG25" s="53"/>
      <c r="AH25" s="53">
        <f>(1 - CUSTOS!$M$27)*21.0082</f>
        <v>21.008199999999999</v>
      </c>
      <c r="AI25" s="53">
        <f>(1 - CUSTOS!$M$27)*21.0082</f>
        <v>21.008199999999999</v>
      </c>
      <c r="AJ25" s="53">
        <f ca="1">$N$66*(1-CUSTOS!$M$27)</f>
        <v>2.3340461336110176</v>
      </c>
      <c r="AK25" s="53">
        <f t="shared" ca="1" si="0"/>
        <v>2.3340461336110176</v>
      </c>
      <c r="AL25" s="53"/>
      <c r="AM25" s="53"/>
      <c r="AP25" s="53">
        <f>IF((1 - CUSTOS!$M$27)&lt;&gt;0,1/(1 - CUSTOS!$M$27),1)</f>
        <v>1</v>
      </c>
    </row>
    <row r="26" spans="1:42" ht="11.25" customHeight="1" x14ac:dyDescent="0.25">
      <c r="A26" s="131"/>
      <c r="B26" s="131" t="s">
        <v>95</v>
      </c>
      <c r="C26" s="131" t="s">
        <v>24</v>
      </c>
      <c r="D26" s="73" t="s">
        <v>24</v>
      </c>
      <c r="E26" s="73" t="s">
        <v>25</v>
      </c>
      <c r="F26" s="73" t="s">
        <v>25</v>
      </c>
      <c r="G26" s="74" t="s">
        <v>86</v>
      </c>
      <c r="H26" s="74" t="s">
        <v>82</v>
      </c>
      <c r="I26" s="74">
        <f>'MERCADO TUSD'!$U$23</f>
        <v>0</v>
      </c>
      <c r="J26" s="15"/>
      <c r="L26" s="53">
        <f>1</f>
        <v>1</v>
      </c>
      <c r="M26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0.83849410076663589</v>
      </c>
      <c r="N26" s="53">
        <f ca="1">(+M26+O26+R26+U26+V26+W26+X26+Y26+Z26+AA26+AC26+AH26+AI26+AJ26+AK26)*CUSTOS!$M$5</f>
        <v>2.7192506136798862</v>
      </c>
      <c r="O26" s="53">
        <v>1</v>
      </c>
      <c r="P26" s="53">
        <v>1</v>
      </c>
      <c r="Q26" s="53">
        <f>1</f>
        <v>1</v>
      </c>
      <c r="R26" s="53">
        <v>1</v>
      </c>
      <c r="S26" s="53">
        <v>1</v>
      </c>
      <c r="T26" s="53"/>
      <c r="U26" s="53">
        <f>TRANSICAO!$U$26*CUSTOS!$T$3</f>
        <v>30.877184999999997</v>
      </c>
      <c r="V26" s="53">
        <f>TRANSICAO!$V$26*CUSTOS!$T$3</f>
        <v>9.3542500000000004</v>
      </c>
      <c r="W26" s="53">
        <f>TRANSICAO!$W$26*CUSTOS!$T$3</f>
        <v>17.594064999999997</v>
      </c>
      <c r="X26" s="53">
        <f>TRANSICAO!$X$26*CUSTOS!$T$3</f>
        <v>0</v>
      </c>
      <c r="Y26" s="53">
        <f>TRANSICAO!$Y$26*CUSTOS!$T$3</f>
        <v>0</v>
      </c>
      <c r="Z26" s="53">
        <f>TRANSICAO!$Z$26*CUSTOS!$T$3</f>
        <v>0</v>
      </c>
      <c r="AA26" s="53">
        <f>TRANSICAO!$AA$26*CUSTOS!$T$3</f>
        <v>0</v>
      </c>
      <c r="AB26" s="53">
        <f>TRANSICAO!$AB$26*CUSTOS!$T$3</f>
        <v>0</v>
      </c>
      <c r="AC26" s="53">
        <f>TRANSICAO!$AC$26*CUSTOS!$T$3</f>
        <v>164.57657499999999</v>
      </c>
      <c r="AD26" s="53">
        <f>TRANSICAO!$AD$26*CUSTOS!$T$3</f>
        <v>0</v>
      </c>
      <c r="AE26" s="53">
        <v>0</v>
      </c>
      <c r="AF26" s="53">
        <v>0</v>
      </c>
      <c r="AG26" s="53"/>
      <c r="AH26" s="53">
        <v>21.008199999999999</v>
      </c>
      <c r="AI26" s="53">
        <v>21.008199999999999</v>
      </c>
      <c r="AJ26" s="53">
        <f ca="1">$N$66</f>
        <v>2.3340461336110176</v>
      </c>
      <c r="AK26" s="53">
        <f t="shared" ca="1" si="0"/>
        <v>2.3340461336110176</v>
      </c>
      <c r="AL26" s="53"/>
      <c r="AM26" s="53"/>
      <c r="AP26" s="53">
        <v>1</v>
      </c>
    </row>
    <row r="27" spans="1:42" ht="11.25" customHeight="1" x14ac:dyDescent="0.25">
      <c r="A27" s="131"/>
      <c r="B27" s="131"/>
      <c r="C27" s="131"/>
      <c r="D27" s="73" t="s">
        <v>28</v>
      </c>
      <c r="E27" s="73" t="s">
        <v>25</v>
      </c>
      <c r="F27" s="73" t="s">
        <v>25</v>
      </c>
      <c r="G27" s="74" t="s">
        <v>86</v>
      </c>
      <c r="H27" s="74" t="s">
        <v>82</v>
      </c>
      <c r="I27" s="74">
        <f>'MERCADO TUSD'!$U$24</f>
        <v>0</v>
      </c>
      <c r="J27" s="15"/>
      <c r="L27" s="53">
        <v>0</v>
      </c>
      <c r="M27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CUSTOS!$M$24)</f>
        <v>0.83849410076663589</v>
      </c>
      <c r="N27" s="53">
        <f ca="1">(+M27+O27+R27+U27+V27+W27+X27+Y27+Z27+AA27+AC27+AH27+AI27+AJ27+AK27)*CUSTOS!$M$5</f>
        <v>2.7092506136798864</v>
      </c>
      <c r="O27" s="53">
        <f>1 - CUSTOS!$M$24</f>
        <v>1</v>
      </c>
      <c r="P27" s="53">
        <v>0</v>
      </c>
      <c r="Q27" s="53">
        <v>0</v>
      </c>
      <c r="R27" s="53">
        <v>0</v>
      </c>
      <c r="S27" s="53">
        <f>1 - CUSTOS!$M$24</f>
        <v>1</v>
      </c>
      <c r="T27" s="53"/>
      <c r="U27" s="53">
        <f>TRANSICAO!$U$27*CUSTOS!$T$3</f>
        <v>30.877184999999997</v>
      </c>
      <c r="V27" s="53">
        <f>TRANSICAO!$V$27*CUSTOS!$T$3</f>
        <v>9.3542500000000004</v>
      </c>
      <c r="W27" s="53">
        <f>TRANSICAO!$W$27*CUSTOS!$T$3</f>
        <v>17.594064999999997</v>
      </c>
      <c r="X27" s="53">
        <f>TRANSICAO!$X$27*CUSTOS!$T$3</f>
        <v>0</v>
      </c>
      <c r="Y27" s="53">
        <f>TRANSICAO!$Y$27*CUSTOS!$T$3</f>
        <v>0</v>
      </c>
      <c r="Z27" s="53">
        <f>TRANSICAO!$Z$27*CUSTOS!$T$3</f>
        <v>0</v>
      </c>
      <c r="AA27" s="53">
        <f>TRANSICAO!$AA$27*CUSTOS!$T$3</f>
        <v>0</v>
      </c>
      <c r="AB27" s="53">
        <f>TRANSICAO!$AB$27*CUSTOS!$T$3</f>
        <v>0</v>
      </c>
      <c r="AC27" s="53">
        <f>TRANSICAO!$AC$27*CUSTOS!$T$3</f>
        <v>164.57657499999999</v>
      </c>
      <c r="AD27" s="53">
        <f>TRANSICAO!$AD$27*CUSTOS!$T$3</f>
        <v>0</v>
      </c>
      <c r="AE27" s="53">
        <v>0</v>
      </c>
      <c r="AF27" s="53">
        <v>0</v>
      </c>
      <c r="AG27" s="53"/>
      <c r="AH27" s="53">
        <f>(1 - CUSTOS!$M$24)*21.0082</f>
        <v>21.008199999999999</v>
      </c>
      <c r="AI27" s="53">
        <f>(1 - CUSTOS!$M$24)*21.0082</f>
        <v>21.008199999999999</v>
      </c>
      <c r="AJ27" s="53">
        <f ca="1">$N$66*(1-CUSTOS!$M$24)</f>
        <v>2.3340461336110176</v>
      </c>
      <c r="AK27" s="53">
        <f t="shared" ca="1" si="0"/>
        <v>2.3340461336110176</v>
      </c>
      <c r="AL27" s="53"/>
      <c r="AM27" s="53"/>
      <c r="AP27" s="53">
        <f>IF((1 - CUSTOS!$M$24)&lt;&gt;0,1/(1 - CUSTOS!$M$24),1)</f>
        <v>1</v>
      </c>
    </row>
    <row r="28" spans="1:42" ht="11.25" customHeight="1" x14ac:dyDescent="0.25">
      <c r="A28" s="131"/>
      <c r="B28" s="131"/>
      <c r="C28" s="131"/>
      <c r="D28" s="73" t="s">
        <v>29</v>
      </c>
      <c r="E28" s="73" t="s">
        <v>25</v>
      </c>
      <c r="F28" s="73" t="s">
        <v>25</v>
      </c>
      <c r="G28" s="74" t="s">
        <v>86</v>
      </c>
      <c r="H28" s="74" t="s">
        <v>82</v>
      </c>
      <c r="I28" s="74">
        <f>'MERCADO TUSD'!$U$25</f>
        <v>0</v>
      </c>
      <c r="J28" s="15"/>
      <c r="L28" s="53">
        <v>0</v>
      </c>
      <c r="M28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CUSTOS!$M$25)</f>
        <v>0.83849410076663589</v>
      </c>
      <c r="N28" s="53">
        <f ca="1">(+M28+O28+R28+U28+V28+W28+X28+Y28+Z28+AA28+AC28+AH28+AI28+AJ28+AK28)*CUSTOS!$M$5</f>
        <v>2.7092506136798864</v>
      </c>
      <c r="O28" s="53">
        <f>1 - CUSTOS!$M$25</f>
        <v>1</v>
      </c>
      <c r="P28" s="53">
        <v>0</v>
      </c>
      <c r="Q28" s="53">
        <v>0</v>
      </c>
      <c r="R28" s="53">
        <v>0</v>
      </c>
      <c r="S28" s="53">
        <f>1 - CUSTOS!$M$25</f>
        <v>1</v>
      </c>
      <c r="T28" s="53"/>
      <c r="U28" s="53">
        <f>TRANSICAO!$U$28*CUSTOS!$T$3</f>
        <v>30.877184999999997</v>
      </c>
      <c r="V28" s="53">
        <f>TRANSICAO!$V$28*CUSTOS!$T$3</f>
        <v>9.3542500000000004</v>
      </c>
      <c r="W28" s="53">
        <f>TRANSICAO!$W$28*CUSTOS!$T$3</f>
        <v>17.594064999999997</v>
      </c>
      <c r="X28" s="53">
        <f>TRANSICAO!$X$28*CUSTOS!$T$3</f>
        <v>0</v>
      </c>
      <c r="Y28" s="53">
        <f>TRANSICAO!$Y$28*CUSTOS!$T$3</f>
        <v>0</v>
      </c>
      <c r="Z28" s="53">
        <f>TRANSICAO!$Z$28*CUSTOS!$T$3</f>
        <v>0</v>
      </c>
      <c r="AA28" s="53">
        <f>TRANSICAO!$AA$28*CUSTOS!$T$3</f>
        <v>0</v>
      </c>
      <c r="AB28" s="53">
        <f>TRANSICAO!$AB$28*CUSTOS!$T$3</f>
        <v>0</v>
      </c>
      <c r="AC28" s="53">
        <f>TRANSICAO!$AC$28*CUSTOS!$T$3</f>
        <v>164.57657499999999</v>
      </c>
      <c r="AD28" s="53">
        <f>TRANSICAO!$AD$28*CUSTOS!$T$3</f>
        <v>0</v>
      </c>
      <c r="AE28" s="53">
        <v>0</v>
      </c>
      <c r="AF28" s="53">
        <v>0</v>
      </c>
      <c r="AG28" s="53"/>
      <c r="AH28" s="53">
        <f>(1 - CUSTOS!$M$25)*21.0082</f>
        <v>21.008199999999999</v>
      </c>
      <c r="AI28" s="53">
        <f>(1 - CUSTOS!$M$25)*21.0082</f>
        <v>21.008199999999999</v>
      </c>
      <c r="AJ28" s="53">
        <f ca="1">$N$66*(1-CUSTOS!$M$25)</f>
        <v>2.3340461336110176</v>
      </c>
      <c r="AK28" s="53">
        <f t="shared" ca="1" si="0"/>
        <v>2.3340461336110176</v>
      </c>
      <c r="AL28" s="53"/>
      <c r="AM28" s="53"/>
      <c r="AP28" s="53">
        <f>IF((1 - CUSTOS!$M$25)&lt;&gt;0,1/(1 - CUSTOS!$M$25),1)</f>
        <v>1</v>
      </c>
    </row>
    <row r="29" spans="1:42" ht="11.25" customHeight="1" x14ac:dyDescent="0.25">
      <c r="A29" s="131"/>
      <c r="B29" s="131"/>
      <c r="C29" s="131"/>
      <c r="D29" s="73" t="s">
        <v>30</v>
      </c>
      <c r="E29" s="73" t="s">
        <v>25</v>
      </c>
      <c r="F29" s="73" t="s">
        <v>25</v>
      </c>
      <c r="G29" s="74" t="s">
        <v>86</v>
      </c>
      <c r="H29" s="74" t="s">
        <v>82</v>
      </c>
      <c r="I29" s="74">
        <f>'MERCADO TUSD'!$U$26</f>
        <v>0</v>
      </c>
      <c r="J29" s="15"/>
      <c r="L29" s="53">
        <v>0</v>
      </c>
      <c r="M29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CUSTOS!$M$26)</f>
        <v>0.83849410076663589</v>
      </c>
      <c r="N29" s="53">
        <f ca="1">(+M29+O29+R29+U29+V29+W29+X29+Y29+Z29+AA29+AC29+AH29+AI29+AJ29+AK29)*CUSTOS!$M$5</f>
        <v>2.7092506136798864</v>
      </c>
      <c r="O29" s="53">
        <f>1 - CUSTOS!$M$26</f>
        <v>1</v>
      </c>
      <c r="P29" s="53">
        <v>0</v>
      </c>
      <c r="Q29" s="53">
        <v>0</v>
      </c>
      <c r="R29" s="53">
        <v>0</v>
      </c>
      <c r="S29" s="53">
        <f>1 - CUSTOS!$M$26</f>
        <v>1</v>
      </c>
      <c r="T29" s="53"/>
      <c r="U29" s="53">
        <f>TRANSICAO!$U$29*CUSTOS!$T$3</f>
        <v>30.877184999999997</v>
      </c>
      <c r="V29" s="53">
        <f>TRANSICAO!$V$29*CUSTOS!$T$3</f>
        <v>9.3542500000000004</v>
      </c>
      <c r="W29" s="53">
        <f>TRANSICAO!$W$29*CUSTOS!$T$3</f>
        <v>17.594064999999997</v>
      </c>
      <c r="X29" s="53">
        <f>TRANSICAO!$X$29*CUSTOS!$T$3</f>
        <v>0</v>
      </c>
      <c r="Y29" s="53">
        <f>TRANSICAO!$Y$29*CUSTOS!$T$3</f>
        <v>0</v>
      </c>
      <c r="Z29" s="53">
        <f>TRANSICAO!$Z$29*CUSTOS!$T$3</f>
        <v>0</v>
      </c>
      <c r="AA29" s="53">
        <f>TRANSICAO!$AA$29*CUSTOS!$T$3</f>
        <v>0</v>
      </c>
      <c r="AB29" s="53">
        <f>TRANSICAO!$AB$29*CUSTOS!$T$3</f>
        <v>0</v>
      </c>
      <c r="AC29" s="53">
        <f>TRANSICAO!$AC$29*CUSTOS!$T$3</f>
        <v>164.57657499999999</v>
      </c>
      <c r="AD29" s="53">
        <f>TRANSICAO!$AD$29*CUSTOS!$T$3</f>
        <v>0</v>
      </c>
      <c r="AE29" s="53">
        <v>0</v>
      </c>
      <c r="AF29" s="53">
        <v>0</v>
      </c>
      <c r="AG29" s="53"/>
      <c r="AH29" s="53">
        <f>(1 - CUSTOS!$M$26)*21.0082</f>
        <v>21.008199999999999</v>
      </c>
      <c r="AI29" s="53">
        <f>(1 - CUSTOS!$M$26)*21.0082</f>
        <v>21.008199999999999</v>
      </c>
      <c r="AJ29" s="53">
        <f ca="1">$N$66*(1-CUSTOS!$M$26)</f>
        <v>2.3340461336110176</v>
      </c>
      <c r="AK29" s="53">
        <f t="shared" ca="1" si="0"/>
        <v>2.3340461336110176</v>
      </c>
      <c r="AL29" s="53"/>
      <c r="AM29" s="53"/>
      <c r="AP29" s="53">
        <f>IF((1 - CUSTOS!$M$26)&lt;&gt;0,1/(1 - CUSTOS!$M$26),1)</f>
        <v>1</v>
      </c>
    </row>
    <row r="30" spans="1:42" ht="11.25" customHeight="1" x14ac:dyDescent="0.25">
      <c r="A30" s="131"/>
      <c r="B30" s="131"/>
      <c r="C30" s="131"/>
      <c r="D30" s="73" t="s">
        <v>31</v>
      </c>
      <c r="E30" s="73" t="s">
        <v>25</v>
      </c>
      <c r="F30" s="73" t="s">
        <v>25</v>
      </c>
      <c r="G30" s="74" t="s">
        <v>86</v>
      </c>
      <c r="H30" s="74" t="s">
        <v>82</v>
      </c>
      <c r="I30" s="74">
        <f>'MERCADO TUSD'!$U$27</f>
        <v>0</v>
      </c>
      <c r="J30" s="15"/>
      <c r="L30" s="53">
        <v>0</v>
      </c>
      <c r="M30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CUSTOS!$M$27)</f>
        <v>0.83849410076663589</v>
      </c>
      <c r="N30" s="53">
        <f ca="1">(+M30+O30+R30+U30+V30+W30+X30+Y30+Z30+AA30+AC30+AH30+AI30+AJ30+AK30)*CUSTOS!$M$5</f>
        <v>2.7092506136798864</v>
      </c>
      <c r="O30" s="53">
        <f>1 - CUSTOS!$M$27</f>
        <v>1</v>
      </c>
      <c r="P30" s="53">
        <v>0</v>
      </c>
      <c r="Q30" s="53">
        <v>0</v>
      </c>
      <c r="R30" s="53">
        <v>0</v>
      </c>
      <c r="S30" s="53">
        <f>1 - CUSTOS!$M$27</f>
        <v>1</v>
      </c>
      <c r="T30" s="53"/>
      <c r="U30" s="53">
        <f>TRANSICAO!$U$30*CUSTOS!$T$3</f>
        <v>30.877184999999997</v>
      </c>
      <c r="V30" s="53">
        <f>TRANSICAO!$V$30*CUSTOS!$T$3</f>
        <v>9.3542500000000004</v>
      </c>
      <c r="W30" s="53">
        <f>TRANSICAO!$W$30*CUSTOS!$T$3</f>
        <v>17.594064999999997</v>
      </c>
      <c r="X30" s="53">
        <f>TRANSICAO!$X$30*CUSTOS!$T$3</f>
        <v>0</v>
      </c>
      <c r="Y30" s="53">
        <f>TRANSICAO!$Y$30*CUSTOS!$T$3</f>
        <v>0</v>
      </c>
      <c r="Z30" s="53">
        <f>TRANSICAO!$Z$30*CUSTOS!$T$3</f>
        <v>0</v>
      </c>
      <c r="AA30" s="53">
        <f>TRANSICAO!$AA$30*CUSTOS!$T$3</f>
        <v>0</v>
      </c>
      <c r="AB30" s="53">
        <f>TRANSICAO!$AB$30*CUSTOS!$T$3</f>
        <v>0</v>
      </c>
      <c r="AC30" s="53">
        <f>TRANSICAO!$AC$30*CUSTOS!$T$3</f>
        <v>164.57657499999999</v>
      </c>
      <c r="AD30" s="53">
        <f>TRANSICAO!$AD$30*CUSTOS!$T$3</f>
        <v>0</v>
      </c>
      <c r="AE30" s="53">
        <v>0</v>
      </c>
      <c r="AF30" s="53">
        <v>0</v>
      </c>
      <c r="AG30" s="53"/>
      <c r="AH30" s="53">
        <f>(1 - CUSTOS!$M$27)*21.0082</f>
        <v>21.008199999999999</v>
      </c>
      <c r="AI30" s="53">
        <f>(1 - CUSTOS!$M$27)*21.0082</f>
        <v>21.008199999999999</v>
      </c>
      <c r="AJ30" s="53">
        <f ca="1">$N$66*(1-CUSTOS!$M$27)</f>
        <v>2.3340461336110176</v>
      </c>
      <c r="AK30" s="53">
        <f t="shared" ca="1" si="0"/>
        <v>2.3340461336110176</v>
      </c>
      <c r="AL30" s="53"/>
      <c r="AM30" s="53"/>
      <c r="AP30" s="53">
        <f>IF((1 - CUSTOS!$M$27)&lt;&gt;0,1/(1 - CUSTOS!$M$27),1)</f>
        <v>1</v>
      </c>
    </row>
    <row r="31" spans="1:42" ht="11.25" customHeight="1" x14ac:dyDescent="0.25">
      <c r="A31" s="131" t="s">
        <v>42</v>
      </c>
      <c r="B31" s="131" t="s">
        <v>32</v>
      </c>
      <c r="C31" s="131" t="s">
        <v>43</v>
      </c>
      <c r="D31" s="131" t="s">
        <v>25</v>
      </c>
      <c r="E31" s="131" t="s">
        <v>25</v>
      </c>
      <c r="F31" s="131" t="s">
        <v>25</v>
      </c>
      <c r="G31" s="74" t="s">
        <v>83</v>
      </c>
      <c r="H31" s="74" t="s">
        <v>82</v>
      </c>
      <c r="I31" s="74">
        <f>'MERCADO TUSD'!$U$28</f>
        <v>0</v>
      </c>
      <c r="J31" s="15"/>
      <c r="L31" s="53">
        <f>1*(1 - CUSTOS!$M$28)</f>
        <v>1</v>
      </c>
      <c r="M31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0.83849410076663589</v>
      </c>
      <c r="N31" s="53">
        <f ca="1">(+M31+O31+R31+U31+V31+W31+X31+Y31+Z31+AA31+AC31+AH31+AI31+AJ31+AK31)*CUSTOS!$M$5</f>
        <v>9.613713663679885</v>
      </c>
      <c r="O31" s="53">
        <f>1 - CUSTOS!$M$28</f>
        <v>1</v>
      </c>
      <c r="P31" s="53">
        <f>1 - CUSTOS!$M$28</f>
        <v>1</v>
      </c>
      <c r="Q31" s="53">
        <f>1*(1 - CUSTOS!$M$28)</f>
        <v>1</v>
      </c>
      <c r="R31" s="53">
        <f>1 - CUSTOS!$M$28</f>
        <v>1</v>
      </c>
      <c r="S31" s="53">
        <f>1 - CUSTOS!$M$28</f>
        <v>1</v>
      </c>
      <c r="T31" s="53"/>
      <c r="U31" s="53">
        <f>TRANSICAO!$U$31*CUSTOS!$T$3</f>
        <v>126.59636500000001</v>
      </c>
      <c r="V31" s="53">
        <f>TRANSICAO!$V$31*CUSTOS!$T$3</f>
        <v>38.352510000000002</v>
      </c>
      <c r="W31" s="53">
        <f>TRANSICAO!$W$31*CUSTOS!$T$3</f>
        <v>72.135589999999993</v>
      </c>
      <c r="X31" s="53">
        <f>TRANSICAO!$X$31*CUSTOS!$T$3</f>
        <v>0</v>
      </c>
      <c r="Y31" s="53">
        <f>TRANSICAO!$Y$31*CUSTOS!$T$3</f>
        <v>0</v>
      </c>
      <c r="Z31" s="53">
        <f>TRANSICAO!$Z$31*CUSTOS!$T$3</f>
        <v>0</v>
      </c>
      <c r="AA31" s="53">
        <f>TRANSICAO!$AA$31*CUSTOS!$T$3</f>
        <v>0</v>
      </c>
      <c r="AB31" s="53">
        <f>TRANSICAO!$AB$31*CUSTOS!$T$3</f>
        <v>0</v>
      </c>
      <c r="AC31" s="53">
        <f>TRANSICAO!$AC$31*CUSTOS!$T$3</f>
        <v>674.76391499999988</v>
      </c>
      <c r="AD31" s="53">
        <f>TRANSICAO!$AD$31*CUSTOS!$T$3</f>
        <v>0</v>
      </c>
      <c r="AE31" s="53">
        <v>0</v>
      </c>
      <c r="AF31" s="53">
        <v>0</v>
      </c>
      <c r="AG31" s="53"/>
      <c r="AH31" s="53">
        <f>(1 - CUSTOS!$M$28)*21.0082</f>
        <v>21.008199999999999</v>
      </c>
      <c r="AI31" s="53">
        <f>(1 - CUSTOS!$M$28)*21.0082</f>
        <v>21.008199999999999</v>
      </c>
      <c r="AJ31" s="53">
        <f ca="1">$N$66*(1-CUSTOS!$M$28)</f>
        <v>2.3340461336110176</v>
      </c>
      <c r="AK31" s="53">
        <f t="shared" ca="1" si="0"/>
        <v>2.3340461336110176</v>
      </c>
      <c r="AL31" s="53"/>
      <c r="AM31" s="53"/>
      <c r="AP31" s="53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74" t="s">
        <v>93</v>
      </c>
      <c r="H32" s="74" t="s">
        <v>82</v>
      </c>
      <c r="I32" s="74">
        <f>'MERCADO TUSD'!$U$29</f>
        <v>0</v>
      </c>
      <c r="J32" s="15"/>
      <c r="L32" s="53">
        <f>1*(1 - CUSTOS!$M$28)</f>
        <v>1</v>
      </c>
      <c r="M32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0.83849410076663589</v>
      </c>
      <c r="N32" s="53">
        <f ca="1">(+M32+O32+R32+U32+V32+W32+X32+Y32+Z32+AA32+AC32+AH32+AI32+AJ32+AK32)*CUSTOS!$M$5</f>
        <v>5.0544726136798861</v>
      </c>
      <c r="O32" s="53">
        <f>1 - CUSTOS!$M$28</f>
        <v>1</v>
      </c>
      <c r="P32" s="53">
        <f>1 - CUSTOS!$M$28</f>
        <v>1</v>
      </c>
      <c r="Q32" s="53">
        <f>1*(1 - CUSTOS!$M$28)</f>
        <v>1</v>
      </c>
      <c r="R32" s="53">
        <f>1 - CUSTOS!$M$28</f>
        <v>1</v>
      </c>
      <c r="S32" s="53">
        <f>1 - CUSTOS!$M$28</f>
        <v>1</v>
      </c>
      <c r="T32" s="53"/>
      <c r="U32" s="53">
        <f>TRANSICAO!$U$32*CUSTOS!$T$3</f>
        <v>63.298225000000002</v>
      </c>
      <c r="V32" s="53">
        <f>TRANSICAO!$V$32*CUSTOS!$T$3</f>
        <v>19.176255000000001</v>
      </c>
      <c r="W32" s="53">
        <f>TRANSICAO!$W$32*CUSTOS!$T$3</f>
        <v>36.067794999999997</v>
      </c>
      <c r="X32" s="53">
        <f>TRANSICAO!$X$32*CUSTOS!$T$3</f>
        <v>0</v>
      </c>
      <c r="Y32" s="53">
        <f>TRANSICAO!$Y$32*CUSTOS!$T$3</f>
        <v>0</v>
      </c>
      <c r="Z32" s="53">
        <f>TRANSICAO!$Z$32*CUSTOS!$T$3</f>
        <v>0</v>
      </c>
      <c r="AA32" s="53">
        <f>TRANSICAO!$AA$32*CUSTOS!$T$3</f>
        <v>0</v>
      </c>
      <c r="AB32" s="53">
        <f>TRANSICAO!$AB$32*CUSTOS!$T$3</f>
        <v>0</v>
      </c>
      <c r="AC32" s="53">
        <f>TRANSICAO!$AC$32*CUSTOS!$T$3</f>
        <v>337.38200000000001</v>
      </c>
      <c r="AD32" s="53">
        <f>TRANSICAO!$AD$32*CUSTOS!$T$3</f>
        <v>0</v>
      </c>
      <c r="AE32" s="53">
        <v>0</v>
      </c>
      <c r="AF32" s="53">
        <v>0</v>
      </c>
      <c r="AG32" s="53"/>
      <c r="AH32" s="53">
        <f>(1 - CUSTOS!$M$28)*21.0082</f>
        <v>21.008199999999999</v>
      </c>
      <c r="AI32" s="53">
        <f>(1 - CUSTOS!$M$28)*21.0082</f>
        <v>21.008199999999999</v>
      </c>
      <c r="AJ32" s="53">
        <f ca="1">$N$66*(1-CUSTOS!$M$28)</f>
        <v>2.3340461336110176</v>
      </c>
      <c r="AK32" s="53">
        <f t="shared" ca="1" si="0"/>
        <v>2.3340461336110176</v>
      </c>
      <c r="AL32" s="53"/>
      <c r="AM32" s="53"/>
      <c r="AP32" s="53">
        <f>IF((1 - CUSTOS!$M$28)&lt;&gt;0,1/(1 - CUSTOS!$M$28),1)</f>
        <v>1</v>
      </c>
    </row>
    <row r="33" spans="1:42" ht="11.25" customHeight="1" x14ac:dyDescent="0.25">
      <c r="A33" s="131"/>
      <c r="B33" s="131"/>
      <c r="C33" s="131"/>
      <c r="D33" s="131"/>
      <c r="E33" s="131"/>
      <c r="F33" s="131"/>
      <c r="G33" s="74" t="s">
        <v>84</v>
      </c>
      <c r="H33" s="74" t="s">
        <v>82</v>
      </c>
      <c r="I33" s="74">
        <f>'MERCADO TUSD'!$U$30</f>
        <v>0</v>
      </c>
      <c r="J33" s="15"/>
      <c r="L33" s="53">
        <f>1*(1 - CUSTOS!$M$28)</f>
        <v>1</v>
      </c>
      <c r="M33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0.83849410076663589</v>
      </c>
      <c r="N33" s="53">
        <f ca="1">(+M33+O33+R33+U33+V33+W33+X33+Y33+Z33+AA33+AC33+AH33+AI33+AJ33+AK33)*CUSTOS!$M$5</f>
        <v>1.4070784136798868</v>
      </c>
      <c r="O33" s="53">
        <f>1 - CUSTOS!$M$28</f>
        <v>1</v>
      </c>
      <c r="P33" s="53">
        <f>1 - CUSTOS!$M$28</f>
        <v>1</v>
      </c>
      <c r="Q33" s="53">
        <f>1*(1 - CUSTOS!$M$28)</f>
        <v>1</v>
      </c>
      <c r="R33" s="53">
        <f>1 - CUSTOS!$M$28</f>
        <v>1</v>
      </c>
      <c r="S33" s="53">
        <f>1 - CUSTOS!$M$28</f>
        <v>1</v>
      </c>
      <c r="T33" s="53"/>
      <c r="U33" s="53">
        <f>TRANSICAO!$U$33*CUSTOS!$T$3</f>
        <v>12.659645000000001</v>
      </c>
      <c r="V33" s="53">
        <f>TRANSICAO!$V$33*CUSTOS!$T$3</f>
        <v>3.8352850000000003</v>
      </c>
      <c r="W33" s="53">
        <f>TRANSICAO!$W$33*CUSTOS!$T$3</f>
        <v>7.2135249999999997</v>
      </c>
      <c r="X33" s="53">
        <f>TRANSICAO!$X$33*CUSTOS!$T$3</f>
        <v>0</v>
      </c>
      <c r="Y33" s="53">
        <f>TRANSICAO!$Y$33*CUSTOS!$T$3</f>
        <v>0</v>
      </c>
      <c r="Z33" s="53">
        <f>TRANSICAO!$Z$33*CUSTOS!$T$3</f>
        <v>0</v>
      </c>
      <c r="AA33" s="53">
        <f>TRANSICAO!$AA$33*CUSTOS!$T$3</f>
        <v>0</v>
      </c>
      <c r="AB33" s="53">
        <f>TRANSICAO!$AB$33*CUSTOS!$T$3</f>
        <v>0</v>
      </c>
      <c r="AC33" s="53">
        <f>TRANSICAO!$AC$33*CUSTOS!$T$3</f>
        <v>67.476399999999998</v>
      </c>
      <c r="AD33" s="53">
        <f>TRANSICAO!$AD$33*CUSTOS!$T$3</f>
        <v>0</v>
      </c>
      <c r="AE33" s="53">
        <v>0</v>
      </c>
      <c r="AF33" s="53">
        <v>0</v>
      </c>
      <c r="AG33" s="53"/>
      <c r="AH33" s="53">
        <f>(1 - CUSTOS!$M$28)*21.0082</f>
        <v>21.008199999999999</v>
      </c>
      <c r="AI33" s="53">
        <f>(1 - CUSTOS!$M$28)*21.0082</f>
        <v>21.008199999999999</v>
      </c>
      <c r="AJ33" s="53">
        <f ca="1">$N$66*(1-CUSTOS!$M$28)</f>
        <v>2.3340461336110176</v>
      </c>
      <c r="AK33" s="53">
        <f t="shared" ca="1" si="0"/>
        <v>2.3340461336110176</v>
      </c>
      <c r="AL33" s="53"/>
      <c r="AM33" s="53"/>
      <c r="AP33" s="53">
        <f>IF((1 - CUSTOS!$M$28)&lt;&gt;0,1/(1 - CUSTOS!$M$28),1)</f>
        <v>1</v>
      </c>
    </row>
    <row r="34" spans="1:42" ht="11.25" customHeight="1" x14ac:dyDescent="0.25">
      <c r="A34" s="131"/>
      <c r="B34" s="73" t="s">
        <v>23</v>
      </c>
      <c r="C34" s="73" t="s">
        <v>43</v>
      </c>
      <c r="D34" s="73" t="s">
        <v>25</v>
      </c>
      <c r="E34" s="73" t="s">
        <v>25</v>
      </c>
      <c r="F34" s="73" t="s">
        <v>25</v>
      </c>
      <c r="G34" s="74" t="s">
        <v>86</v>
      </c>
      <c r="H34" s="74" t="s">
        <v>82</v>
      </c>
      <c r="I34" s="74">
        <f>'MERCADO TUSD'!$U$31</f>
        <v>18727.453000000001</v>
      </c>
      <c r="J34" s="15"/>
      <c r="L34" s="53">
        <f>1*(1 - CUSTOS!$M$28)</f>
        <v>1</v>
      </c>
      <c r="M34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0.83849410076663589</v>
      </c>
      <c r="N34" s="53">
        <f ca="1">(+M34+O34+R34+U34+V34+W34+X34+Y34+Z34+AA34+AC34+AH34+AI34+AJ34+AK34)*CUSTOS!$M$5</f>
        <v>2.7192506136798862</v>
      </c>
      <c r="O34" s="53">
        <f>1 - CUSTOS!$M$28</f>
        <v>1</v>
      </c>
      <c r="P34" s="53">
        <f>1 - CUSTOS!$M$28</f>
        <v>1</v>
      </c>
      <c r="Q34" s="53">
        <f>1*(1 - CUSTOS!$M$28)</f>
        <v>1</v>
      </c>
      <c r="R34" s="53">
        <f>1 - CUSTOS!$M$28</f>
        <v>1</v>
      </c>
      <c r="S34" s="53">
        <f>1 - CUSTOS!$M$28</f>
        <v>1</v>
      </c>
      <c r="T34" s="53"/>
      <c r="U34" s="53">
        <f>TRANSICAO!$U$34*CUSTOS!$T$3</f>
        <v>30.877184999999997</v>
      </c>
      <c r="V34" s="53">
        <f>TRANSICAO!$V$34*CUSTOS!$T$3</f>
        <v>9.3542500000000004</v>
      </c>
      <c r="W34" s="53">
        <f>TRANSICAO!$W$34*CUSTOS!$T$3</f>
        <v>17.594064999999997</v>
      </c>
      <c r="X34" s="53">
        <f>TRANSICAO!$X$34*CUSTOS!$T$3</f>
        <v>0</v>
      </c>
      <c r="Y34" s="53">
        <f>TRANSICAO!$Y$34*CUSTOS!$T$3</f>
        <v>0</v>
      </c>
      <c r="Z34" s="53">
        <f>TRANSICAO!$Z$34*CUSTOS!$T$3</f>
        <v>0</v>
      </c>
      <c r="AA34" s="53">
        <f>TRANSICAO!$AA$34*CUSTOS!$T$3</f>
        <v>0</v>
      </c>
      <c r="AB34" s="53">
        <f>TRANSICAO!$AB$34*CUSTOS!$T$3</f>
        <v>0</v>
      </c>
      <c r="AC34" s="53">
        <f>TRANSICAO!$AC$34*CUSTOS!$T$3</f>
        <v>164.57657499999999</v>
      </c>
      <c r="AD34" s="53">
        <f>TRANSICAO!$AD$34*CUSTOS!$T$3</f>
        <v>0</v>
      </c>
      <c r="AE34" s="53">
        <v>0</v>
      </c>
      <c r="AF34" s="53">
        <v>0</v>
      </c>
      <c r="AG34" s="53"/>
      <c r="AH34" s="53">
        <f>(1 - CUSTOS!$M$28)*21.0082</f>
        <v>21.008199999999999</v>
      </c>
      <c r="AI34" s="53">
        <f>(1 - CUSTOS!$M$28)*21.0082</f>
        <v>21.008199999999999</v>
      </c>
      <c r="AJ34" s="53">
        <f ca="1">$N$66*(1-CUSTOS!$M$28)</f>
        <v>2.3340461336110176</v>
      </c>
      <c r="AK34" s="53">
        <f t="shared" ca="1" si="0"/>
        <v>2.3340461336110176</v>
      </c>
      <c r="AL34" s="53"/>
      <c r="AM34" s="53"/>
      <c r="AP34" s="53">
        <f>IF((1 - CUSTOS!$M$28)&lt;&gt;0,1/(1 - CUSTOS!$M$28),1)</f>
        <v>1</v>
      </c>
    </row>
    <row r="35" spans="1:42" ht="11.25" customHeight="1" x14ac:dyDescent="0.25">
      <c r="A35" s="131"/>
      <c r="B35" s="131" t="s">
        <v>32</v>
      </c>
      <c r="C35" s="131" t="s">
        <v>43</v>
      </c>
      <c r="D35" s="131" t="s">
        <v>96</v>
      </c>
      <c r="E35" s="131" t="s">
        <v>25</v>
      </c>
      <c r="F35" s="131" t="s">
        <v>25</v>
      </c>
      <c r="G35" s="74" t="s">
        <v>83</v>
      </c>
      <c r="H35" s="74" t="s">
        <v>82</v>
      </c>
      <c r="I35" s="74">
        <f>'MERCADO TUSD'!$U$32</f>
        <v>0</v>
      </c>
      <c r="J35" s="15"/>
      <c r="L35" s="53">
        <f>1*(1 - CUSTOS!$M$29)</f>
        <v>1</v>
      </c>
      <c r="M35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0.83849410076663589</v>
      </c>
      <c r="N35" s="53">
        <f ca="1">(+M35+O35+R35+U35+V35+W35+X35+Y35+Z35+AA35+AC35+AH35+AI35+AJ35+AK35)*CUSTOS!$M$5</f>
        <v>9.613713663679885</v>
      </c>
      <c r="O35" s="53">
        <f>1 - CUSTOS!$M$29</f>
        <v>1</v>
      </c>
      <c r="P35" s="53">
        <f>1 - CUSTOS!$M$29</f>
        <v>1</v>
      </c>
      <c r="Q35" s="53">
        <f>1*(1 - CUSTOS!$M$29)</f>
        <v>1</v>
      </c>
      <c r="R35" s="53">
        <f>1 - CUSTOS!$M$29</f>
        <v>1</v>
      </c>
      <c r="S35" s="53">
        <f>1 - CUSTOS!$M$29</f>
        <v>1</v>
      </c>
      <c r="T35" s="53"/>
      <c r="U35" s="53">
        <f>TRANSICAO!$U$35*CUSTOS!$T$3</f>
        <v>126.59636500000001</v>
      </c>
      <c r="V35" s="53">
        <f>TRANSICAO!$V$35*CUSTOS!$T$3</f>
        <v>38.352510000000002</v>
      </c>
      <c r="W35" s="53">
        <f>TRANSICAO!$W$35*CUSTOS!$T$3</f>
        <v>72.135589999999993</v>
      </c>
      <c r="X35" s="53">
        <f>TRANSICAO!$X$35*CUSTOS!$T$3</f>
        <v>0</v>
      </c>
      <c r="Y35" s="53">
        <f>TRANSICAO!$Y$35*CUSTOS!$T$3</f>
        <v>0</v>
      </c>
      <c r="Z35" s="53">
        <f>TRANSICAO!$Z$35*CUSTOS!$T$3</f>
        <v>0</v>
      </c>
      <c r="AA35" s="53">
        <f>TRANSICAO!$AA$35*CUSTOS!$T$3</f>
        <v>0</v>
      </c>
      <c r="AB35" s="53">
        <f>TRANSICAO!$AB$35*CUSTOS!$T$3</f>
        <v>0</v>
      </c>
      <c r="AC35" s="53">
        <f>TRANSICAO!$AC$35*CUSTOS!$T$3</f>
        <v>674.76391499999988</v>
      </c>
      <c r="AD35" s="53">
        <f>TRANSICAO!$AD$35*CUSTOS!$T$3</f>
        <v>0</v>
      </c>
      <c r="AE35" s="53">
        <v>0</v>
      </c>
      <c r="AF35" s="53">
        <v>0</v>
      </c>
      <c r="AG35" s="53"/>
      <c r="AH35" s="53">
        <f>(1 - CUSTOS!$M$29)*21.0082</f>
        <v>21.008199999999999</v>
      </c>
      <c r="AI35" s="53">
        <f>(1 - CUSTOS!$M$29)*21.0082</f>
        <v>21.008199999999999</v>
      </c>
      <c r="AJ35" s="53">
        <f ca="1">$N$66*(1-CUSTOS!$M$29)</f>
        <v>2.3340461336110176</v>
      </c>
      <c r="AK35" s="53">
        <f t="shared" ca="1" si="0"/>
        <v>2.3340461336110176</v>
      </c>
      <c r="AL35" s="53"/>
      <c r="AM35" s="53"/>
      <c r="AP35" s="53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74" t="s">
        <v>93</v>
      </c>
      <c r="H36" s="74" t="s">
        <v>82</v>
      </c>
      <c r="I36" s="74">
        <f>'MERCADO TUSD'!$U$33</f>
        <v>0</v>
      </c>
      <c r="J36" s="15"/>
      <c r="L36" s="53">
        <f>1*(1 - CUSTOS!$M$29)</f>
        <v>1</v>
      </c>
      <c r="M36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0.83849410076663589</v>
      </c>
      <c r="N36" s="53">
        <f ca="1">(+M36+O36+R36+U36+V36+W36+X36+Y36+Z36+AA36+AC36+AH36+AI36+AJ36+AK36)*CUSTOS!$M$5</f>
        <v>5.0544726136798861</v>
      </c>
      <c r="O36" s="53">
        <f>1 - CUSTOS!$M$29</f>
        <v>1</v>
      </c>
      <c r="P36" s="53">
        <f>1 - CUSTOS!$M$29</f>
        <v>1</v>
      </c>
      <c r="Q36" s="53">
        <f>1*(1 - CUSTOS!$M$29)</f>
        <v>1</v>
      </c>
      <c r="R36" s="53">
        <f>1 - CUSTOS!$M$29</f>
        <v>1</v>
      </c>
      <c r="S36" s="53">
        <f>1 - CUSTOS!$M$29</f>
        <v>1</v>
      </c>
      <c r="T36" s="53"/>
      <c r="U36" s="53">
        <f>TRANSICAO!$U$36*CUSTOS!$T$3</f>
        <v>63.298225000000002</v>
      </c>
      <c r="V36" s="53">
        <f>TRANSICAO!$V$36*CUSTOS!$T$3</f>
        <v>19.176255000000001</v>
      </c>
      <c r="W36" s="53">
        <f>TRANSICAO!$W$36*CUSTOS!$T$3</f>
        <v>36.067794999999997</v>
      </c>
      <c r="X36" s="53">
        <f>TRANSICAO!$X$36*CUSTOS!$T$3</f>
        <v>0</v>
      </c>
      <c r="Y36" s="53">
        <f>TRANSICAO!$Y$36*CUSTOS!$T$3</f>
        <v>0</v>
      </c>
      <c r="Z36" s="53">
        <f>TRANSICAO!$Z$36*CUSTOS!$T$3</f>
        <v>0</v>
      </c>
      <c r="AA36" s="53">
        <f>TRANSICAO!$AA$36*CUSTOS!$T$3</f>
        <v>0</v>
      </c>
      <c r="AB36" s="53">
        <f>TRANSICAO!$AB$36*CUSTOS!$T$3</f>
        <v>0</v>
      </c>
      <c r="AC36" s="53">
        <f>TRANSICAO!$AC$36*CUSTOS!$T$3</f>
        <v>337.38200000000001</v>
      </c>
      <c r="AD36" s="53">
        <f>TRANSICAO!$AD$36*CUSTOS!$T$3</f>
        <v>0</v>
      </c>
      <c r="AE36" s="53">
        <v>0</v>
      </c>
      <c r="AF36" s="53">
        <v>0</v>
      </c>
      <c r="AG36" s="53"/>
      <c r="AH36" s="53">
        <f>(1 - CUSTOS!$M$29)*21.0082</f>
        <v>21.008199999999999</v>
      </c>
      <c r="AI36" s="53">
        <f>(1 - CUSTOS!$M$29)*21.0082</f>
        <v>21.008199999999999</v>
      </c>
      <c r="AJ36" s="53">
        <f ca="1">$N$66*(1-CUSTOS!$M$29)</f>
        <v>2.3340461336110176</v>
      </c>
      <c r="AK36" s="53">
        <f t="shared" ca="1" si="0"/>
        <v>2.3340461336110176</v>
      </c>
      <c r="AL36" s="53"/>
      <c r="AM36" s="53"/>
      <c r="AP36" s="53">
        <f>IF((1 - CUSTOS!$M$29)&lt;&gt;0,1/(1 - CUSTOS!$M$29),1)</f>
        <v>1</v>
      </c>
    </row>
    <row r="37" spans="1:42" ht="11.25" customHeight="1" x14ac:dyDescent="0.25">
      <c r="A37" s="131"/>
      <c r="B37" s="131"/>
      <c r="C37" s="131"/>
      <c r="D37" s="131"/>
      <c r="E37" s="131"/>
      <c r="F37" s="131"/>
      <c r="G37" s="74" t="s">
        <v>84</v>
      </c>
      <c r="H37" s="74" t="s">
        <v>82</v>
      </c>
      <c r="I37" s="74">
        <f>'MERCADO TUSD'!$U$34</f>
        <v>0</v>
      </c>
      <c r="J37" s="15"/>
      <c r="L37" s="53">
        <f>1*(1 - CUSTOS!$M$29)</f>
        <v>1</v>
      </c>
      <c r="M37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0.83849410076663589</v>
      </c>
      <c r="N37" s="53">
        <f ca="1">(+M37+O37+R37+U37+V37+W37+X37+Y37+Z37+AA37+AC37+AH37+AI37+AJ37+AK37)*CUSTOS!$M$5</f>
        <v>1.4070784136798868</v>
      </c>
      <c r="O37" s="53">
        <f>1 - CUSTOS!$M$29</f>
        <v>1</v>
      </c>
      <c r="P37" s="53">
        <f>1 - CUSTOS!$M$29</f>
        <v>1</v>
      </c>
      <c r="Q37" s="53">
        <f>1*(1 - CUSTOS!$M$29)</f>
        <v>1</v>
      </c>
      <c r="R37" s="53">
        <f>1 - CUSTOS!$M$29</f>
        <v>1</v>
      </c>
      <c r="S37" s="53">
        <f>1 - CUSTOS!$M$29</f>
        <v>1</v>
      </c>
      <c r="T37" s="53"/>
      <c r="U37" s="53">
        <f>TRANSICAO!$U$37*CUSTOS!$T$3</f>
        <v>12.659645000000001</v>
      </c>
      <c r="V37" s="53">
        <f>TRANSICAO!$V$37*CUSTOS!$T$3</f>
        <v>3.8352850000000003</v>
      </c>
      <c r="W37" s="53">
        <f>TRANSICAO!$W$37*CUSTOS!$T$3</f>
        <v>7.2135249999999997</v>
      </c>
      <c r="X37" s="53">
        <f>TRANSICAO!$X$37*CUSTOS!$T$3</f>
        <v>0</v>
      </c>
      <c r="Y37" s="53">
        <f>TRANSICAO!$Y$37*CUSTOS!$T$3</f>
        <v>0</v>
      </c>
      <c r="Z37" s="53">
        <f>TRANSICAO!$Z$37*CUSTOS!$T$3</f>
        <v>0</v>
      </c>
      <c r="AA37" s="53">
        <f>TRANSICAO!$AA$37*CUSTOS!$T$3</f>
        <v>0</v>
      </c>
      <c r="AB37" s="53">
        <f>TRANSICAO!$AB$37*CUSTOS!$T$3</f>
        <v>0</v>
      </c>
      <c r="AC37" s="53">
        <f>TRANSICAO!$AC$37*CUSTOS!$T$3</f>
        <v>67.476399999999998</v>
      </c>
      <c r="AD37" s="53">
        <f>TRANSICAO!$AD$37*CUSTOS!$T$3</f>
        <v>0</v>
      </c>
      <c r="AE37" s="53">
        <v>0</v>
      </c>
      <c r="AF37" s="53">
        <v>0</v>
      </c>
      <c r="AG37" s="53"/>
      <c r="AH37" s="53">
        <f>(1 - CUSTOS!$M$29)*21.0082</f>
        <v>21.008199999999999</v>
      </c>
      <c r="AI37" s="53">
        <f>(1 - CUSTOS!$M$29)*21.0082</f>
        <v>21.008199999999999</v>
      </c>
      <c r="AJ37" s="53">
        <f ca="1">$N$66*(1-CUSTOS!$M$29)</f>
        <v>2.3340461336110176</v>
      </c>
      <c r="AK37" s="53">
        <f t="shared" ca="1" si="0"/>
        <v>2.3340461336110176</v>
      </c>
      <c r="AL37" s="53"/>
      <c r="AM37" s="53"/>
      <c r="AP37" s="53">
        <f>IF((1 - CUSTOS!$M$29)&lt;&gt;0,1/(1 - CUSTOS!$M$29),1)</f>
        <v>1</v>
      </c>
    </row>
    <row r="38" spans="1:42" ht="11.25" customHeight="1" x14ac:dyDescent="0.25">
      <c r="A38" s="131"/>
      <c r="B38" s="73" t="s">
        <v>23</v>
      </c>
      <c r="C38" s="73" t="s">
        <v>43</v>
      </c>
      <c r="D38" s="73" t="s">
        <v>96</v>
      </c>
      <c r="E38" s="73" t="s">
        <v>25</v>
      </c>
      <c r="F38" s="73" t="s">
        <v>25</v>
      </c>
      <c r="G38" s="74" t="s">
        <v>86</v>
      </c>
      <c r="H38" s="74" t="s">
        <v>82</v>
      </c>
      <c r="I38" s="74">
        <f>'MERCADO TUSD'!$U$35</f>
        <v>0</v>
      </c>
      <c r="J38" s="15"/>
      <c r="L38" s="53">
        <f>1*(1 - CUSTOS!$M$29)</f>
        <v>1</v>
      </c>
      <c r="M38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0.83849410076663589</v>
      </c>
      <c r="N38" s="53">
        <f ca="1">(+M38+O38+R38+U38+V38+W38+X38+Y38+Z38+AA38+AC38+AH38+AI38+AJ38+AK38)*CUSTOS!$M$5</f>
        <v>2.7192506136798862</v>
      </c>
      <c r="O38" s="53">
        <f>1 - CUSTOS!$M$29</f>
        <v>1</v>
      </c>
      <c r="P38" s="53">
        <f>1 - CUSTOS!$M$29</f>
        <v>1</v>
      </c>
      <c r="Q38" s="53">
        <f>1*(1 - CUSTOS!$M$29)</f>
        <v>1</v>
      </c>
      <c r="R38" s="53">
        <f>1 - CUSTOS!$M$29</f>
        <v>1</v>
      </c>
      <c r="S38" s="53">
        <f>1 - CUSTOS!$M$29</f>
        <v>1</v>
      </c>
      <c r="T38" s="53"/>
      <c r="U38" s="53">
        <f>TRANSICAO!$U$38*CUSTOS!$T$3</f>
        <v>30.877184999999997</v>
      </c>
      <c r="V38" s="53">
        <f>TRANSICAO!$V$38*CUSTOS!$T$3</f>
        <v>9.3542500000000004</v>
      </c>
      <c r="W38" s="53">
        <f>TRANSICAO!$W$38*CUSTOS!$T$3</f>
        <v>17.594064999999997</v>
      </c>
      <c r="X38" s="53">
        <f>TRANSICAO!$X$38*CUSTOS!$T$3</f>
        <v>0</v>
      </c>
      <c r="Y38" s="53">
        <f>TRANSICAO!$Y$38*CUSTOS!$T$3</f>
        <v>0</v>
      </c>
      <c r="Z38" s="53">
        <f>TRANSICAO!$Z$38*CUSTOS!$T$3</f>
        <v>0</v>
      </c>
      <c r="AA38" s="53">
        <f>TRANSICAO!$AA$38*CUSTOS!$T$3</f>
        <v>0</v>
      </c>
      <c r="AB38" s="53">
        <f>TRANSICAO!$AB$38*CUSTOS!$T$3</f>
        <v>0</v>
      </c>
      <c r="AC38" s="53">
        <f>TRANSICAO!$AC$38*CUSTOS!$T$3</f>
        <v>164.57657499999999</v>
      </c>
      <c r="AD38" s="53">
        <f>TRANSICAO!$AD$38*CUSTOS!$T$3</f>
        <v>0</v>
      </c>
      <c r="AE38" s="53">
        <v>0</v>
      </c>
      <c r="AF38" s="53">
        <v>0</v>
      </c>
      <c r="AG38" s="53"/>
      <c r="AH38" s="53">
        <f>(1 - CUSTOS!$M$29)*21.0082</f>
        <v>21.008199999999999</v>
      </c>
      <c r="AI38" s="53">
        <f>(1 - CUSTOS!$M$29)*21.0082</f>
        <v>21.008199999999999</v>
      </c>
      <c r="AJ38" s="53">
        <f ca="1">$N$66*(1-CUSTOS!$M$29)</f>
        <v>2.3340461336110176</v>
      </c>
      <c r="AK38" s="53">
        <f t="shared" ca="1" si="0"/>
        <v>2.3340461336110176</v>
      </c>
      <c r="AL38" s="53"/>
      <c r="AM38" s="53"/>
      <c r="AP38" s="53">
        <f>IF((1 - CUSTOS!$M$29)&lt;&gt;0,1/(1 - CUSTOS!$M$29),1)</f>
        <v>1</v>
      </c>
    </row>
    <row r="39" spans="1:42" ht="11.25" customHeight="1" x14ac:dyDescent="0.25">
      <c r="A39" s="131"/>
      <c r="B39" s="131" t="s">
        <v>32</v>
      </c>
      <c r="C39" s="131" t="s">
        <v>43</v>
      </c>
      <c r="D39" s="131" t="s">
        <v>97</v>
      </c>
      <c r="E39" s="131" t="s">
        <v>25</v>
      </c>
      <c r="F39" s="131" t="s">
        <v>25</v>
      </c>
      <c r="G39" s="74" t="s">
        <v>83</v>
      </c>
      <c r="H39" s="74" t="s">
        <v>82</v>
      </c>
      <c r="I39" s="74">
        <f>'MERCADO TUSD'!$U$36</f>
        <v>0</v>
      </c>
      <c r="J39" s="15"/>
      <c r="L39" s="53">
        <f>1*(1 - CUSTOS!$M$30)</f>
        <v>1</v>
      </c>
      <c r="M39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0.83849410076663589</v>
      </c>
      <c r="N39" s="53">
        <f ca="1">(+M39+O39+R39+U39+V39+W39+X39+Y39+Z39+AA39+AC39+AH39+AI39+AJ39+AK39)*CUSTOS!$M$5</f>
        <v>9.613713663679885</v>
      </c>
      <c r="O39" s="53">
        <f>1 - CUSTOS!$M$30</f>
        <v>1</v>
      </c>
      <c r="P39" s="53">
        <f>1 - CUSTOS!$M$30</f>
        <v>1</v>
      </c>
      <c r="Q39" s="53">
        <f>1*(1 - CUSTOS!$M$30)</f>
        <v>1</v>
      </c>
      <c r="R39" s="53">
        <f>1 - CUSTOS!$M$30</f>
        <v>1</v>
      </c>
      <c r="S39" s="53">
        <f>1 - CUSTOS!$M$30</f>
        <v>1</v>
      </c>
      <c r="T39" s="53"/>
      <c r="U39" s="53">
        <f>TRANSICAO!$U$39*CUSTOS!$T$3</f>
        <v>126.59636500000001</v>
      </c>
      <c r="V39" s="53">
        <f>TRANSICAO!$V$39*CUSTOS!$T$3</f>
        <v>38.352510000000002</v>
      </c>
      <c r="W39" s="53">
        <f>TRANSICAO!$W$39*CUSTOS!$T$3</f>
        <v>72.135589999999993</v>
      </c>
      <c r="X39" s="53">
        <f>TRANSICAO!$X$39*CUSTOS!$T$3</f>
        <v>0</v>
      </c>
      <c r="Y39" s="53">
        <f>TRANSICAO!$Y$39*CUSTOS!$T$3</f>
        <v>0</v>
      </c>
      <c r="Z39" s="53">
        <f>TRANSICAO!$Z$39*CUSTOS!$T$3</f>
        <v>0</v>
      </c>
      <c r="AA39" s="53">
        <f>TRANSICAO!$AA$39*CUSTOS!$T$3</f>
        <v>0</v>
      </c>
      <c r="AB39" s="53">
        <f>TRANSICAO!$AB$39*CUSTOS!$T$3</f>
        <v>0</v>
      </c>
      <c r="AC39" s="53">
        <f>TRANSICAO!$AC$39*CUSTOS!$T$3</f>
        <v>674.76391499999988</v>
      </c>
      <c r="AD39" s="53">
        <f>TRANSICAO!$AD$39*CUSTOS!$T$3</f>
        <v>0</v>
      </c>
      <c r="AE39" s="53">
        <v>0</v>
      </c>
      <c r="AF39" s="53">
        <v>0</v>
      </c>
      <c r="AG39" s="53"/>
      <c r="AH39" s="53">
        <f>(1 - CUSTOS!$M$30)*21.0082</f>
        <v>21.008199999999999</v>
      </c>
      <c r="AI39" s="53">
        <f>(1 - CUSTOS!$M$30)*21.0082</f>
        <v>21.008199999999999</v>
      </c>
      <c r="AJ39" s="53">
        <f ca="1">$N$66*(1-CUSTOS!$M$30)</f>
        <v>2.3340461336110176</v>
      </c>
      <c r="AK39" s="53">
        <f t="shared" ca="1" si="0"/>
        <v>2.3340461336110176</v>
      </c>
      <c r="AL39" s="53"/>
      <c r="AM39" s="53"/>
      <c r="AP39" s="53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74" t="s">
        <v>93</v>
      </c>
      <c r="H40" s="74" t="s">
        <v>82</v>
      </c>
      <c r="I40" s="74">
        <f>'MERCADO TUSD'!$U$37</f>
        <v>0</v>
      </c>
      <c r="J40" s="15"/>
      <c r="L40" s="53">
        <f>1*(1 - CUSTOS!$M$30)</f>
        <v>1</v>
      </c>
      <c r="M40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0.83849410076663589</v>
      </c>
      <c r="N40" s="53">
        <f ca="1">(+M40+O40+R40+U40+V40+W40+X40+Y40+Z40+AA40+AC40+AH40+AI40+AJ40+AK40)*CUSTOS!$M$5</f>
        <v>5.0544726136798861</v>
      </c>
      <c r="O40" s="53">
        <f>1 - CUSTOS!$M$30</f>
        <v>1</v>
      </c>
      <c r="P40" s="53">
        <f>1 - CUSTOS!$M$30</f>
        <v>1</v>
      </c>
      <c r="Q40" s="53">
        <f>1*(1 - CUSTOS!$M$30)</f>
        <v>1</v>
      </c>
      <c r="R40" s="53">
        <f>1 - CUSTOS!$M$30</f>
        <v>1</v>
      </c>
      <c r="S40" s="53">
        <f>1 - CUSTOS!$M$30</f>
        <v>1</v>
      </c>
      <c r="T40" s="53"/>
      <c r="U40" s="53">
        <f>TRANSICAO!$U$40*CUSTOS!$T$3</f>
        <v>63.298225000000002</v>
      </c>
      <c r="V40" s="53">
        <f>TRANSICAO!$V$40*CUSTOS!$T$3</f>
        <v>19.176255000000001</v>
      </c>
      <c r="W40" s="53">
        <f>TRANSICAO!$W$40*CUSTOS!$T$3</f>
        <v>36.067794999999997</v>
      </c>
      <c r="X40" s="53">
        <f>TRANSICAO!$X$40*CUSTOS!$T$3</f>
        <v>0</v>
      </c>
      <c r="Y40" s="53">
        <f>TRANSICAO!$Y$40*CUSTOS!$T$3</f>
        <v>0</v>
      </c>
      <c r="Z40" s="53">
        <f>TRANSICAO!$Z$40*CUSTOS!$T$3</f>
        <v>0</v>
      </c>
      <c r="AA40" s="53">
        <f>TRANSICAO!$AA$40*CUSTOS!$T$3</f>
        <v>0</v>
      </c>
      <c r="AB40" s="53">
        <f>TRANSICAO!$AB$40*CUSTOS!$T$3</f>
        <v>0</v>
      </c>
      <c r="AC40" s="53">
        <f>TRANSICAO!$AC$40*CUSTOS!$T$3</f>
        <v>337.38200000000001</v>
      </c>
      <c r="AD40" s="53">
        <f>TRANSICAO!$AD$40*CUSTOS!$T$3</f>
        <v>0</v>
      </c>
      <c r="AE40" s="53">
        <v>0</v>
      </c>
      <c r="AF40" s="53">
        <v>0</v>
      </c>
      <c r="AG40" s="53"/>
      <c r="AH40" s="53">
        <f>(1 - CUSTOS!$M$30)*21.0082</f>
        <v>21.008199999999999</v>
      </c>
      <c r="AI40" s="53">
        <f>(1 - CUSTOS!$M$30)*21.0082</f>
        <v>21.008199999999999</v>
      </c>
      <c r="AJ40" s="53">
        <f ca="1">$N$66*(1-CUSTOS!$M$30)</f>
        <v>2.3340461336110176</v>
      </c>
      <c r="AK40" s="53">
        <f t="shared" ca="1" si="0"/>
        <v>2.3340461336110176</v>
      </c>
      <c r="AL40" s="53"/>
      <c r="AM40" s="53"/>
      <c r="AP40" s="53">
        <f>IF((1 - CUSTOS!$M$30)&lt;&gt;0,1/(1 - CUSTOS!$M$30),1)</f>
        <v>1</v>
      </c>
    </row>
    <row r="41" spans="1:42" ht="11.25" customHeight="1" x14ac:dyDescent="0.25">
      <c r="A41" s="131"/>
      <c r="B41" s="131"/>
      <c r="C41" s="131"/>
      <c r="D41" s="131"/>
      <c r="E41" s="131"/>
      <c r="F41" s="131"/>
      <c r="G41" s="74" t="s">
        <v>84</v>
      </c>
      <c r="H41" s="74" t="s">
        <v>82</v>
      </c>
      <c r="I41" s="74">
        <f>'MERCADO TUSD'!$U$38</f>
        <v>0</v>
      </c>
      <c r="J41" s="15"/>
      <c r="L41" s="53">
        <f>1*(1 - CUSTOS!$M$30)</f>
        <v>1</v>
      </c>
      <c r="M41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0.83849410076663589</v>
      </c>
      <c r="N41" s="53">
        <f ca="1">(+M41+O41+R41+U41+V41+W41+X41+Y41+Z41+AA41+AC41+AH41+AI41+AJ41+AK41)*CUSTOS!$M$5</f>
        <v>1.4070784136798868</v>
      </c>
      <c r="O41" s="53">
        <f>1 - CUSTOS!$M$30</f>
        <v>1</v>
      </c>
      <c r="P41" s="53">
        <f>1 - CUSTOS!$M$30</f>
        <v>1</v>
      </c>
      <c r="Q41" s="53">
        <f>1*(1 - CUSTOS!$M$30)</f>
        <v>1</v>
      </c>
      <c r="R41" s="53">
        <f>1 - CUSTOS!$M$30</f>
        <v>1</v>
      </c>
      <c r="S41" s="53">
        <f>1 - CUSTOS!$M$30</f>
        <v>1</v>
      </c>
      <c r="T41" s="53"/>
      <c r="U41" s="53">
        <f>TRANSICAO!$U$41*CUSTOS!$T$3</f>
        <v>12.659645000000001</v>
      </c>
      <c r="V41" s="53">
        <f>TRANSICAO!$V$41*CUSTOS!$T$3</f>
        <v>3.8352850000000003</v>
      </c>
      <c r="W41" s="53">
        <f>TRANSICAO!$W$41*CUSTOS!$T$3</f>
        <v>7.2135249999999997</v>
      </c>
      <c r="X41" s="53">
        <f>TRANSICAO!$X$41*CUSTOS!$T$3</f>
        <v>0</v>
      </c>
      <c r="Y41" s="53">
        <f>TRANSICAO!$Y$41*CUSTOS!$T$3</f>
        <v>0</v>
      </c>
      <c r="Z41" s="53">
        <f>TRANSICAO!$Z$41*CUSTOS!$T$3</f>
        <v>0</v>
      </c>
      <c r="AA41" s="53">
        <f>TRANSICAO!$AA$41*CUSTOS!$T$3</f>
        <v>0</v>
      </c>
      <c r="AB41" s="53">
        <f>TRANSICAO!$AB$41*CUSTOS!$T$3</f>
        <v>0</v>
      </c>
      <c r="AC41" s="53">
        <f>TRANSICAO!$AC$41*CUSTOS!$T$3</f>
        <v>67.476399999999998</v>
      </c>
      <c r="AD41" s="53">
        <f>TRANSICAO!$AD$41*CUSTOS!$T$3</f>
        <v>0</v>
      </c>
      <c r="AE41" s="53">
        <v>0</v>
      </c>
      <c r="AF41" s="53">
        <v>0</v>
      </c>
      <c r="AG41" s="53"/>
      <c r="AH41" s="53">
        <f>(1 - CUSTOS!$M$30)*21.0082</f>
        <v>21.008199999999999</v>
      </c>
      <c r="AI41" s="53">
        <f>(1 - CUSTOS!$M$30)*21.0082</f>
        <v>21.008199999999999</v>
      </c>
      <c r="AJ41" s="53">
        <f ca="1">$N$66*(1-CUSTOS!$M$30)</f>
        <v>2.3340461336110176</v>
      </c>
      <c r="AK41" s="53">
        <f t="shared" ca="1" si="0"/>
        <v>2.3340461336110176</v>
      </c>
      <c r="AL41" s="53"/>
      <c r="AM41" s="53"/>
      <c r="AP41" s="53">
        <f>IF((1 - CUSTOS!$M$30)&lt;&gt;0,1/(1 - CUSTOS!$M$30),1)</f>
        <v>1</v>
      </c>
    </row>
    <row r="42" spans="1:42" ht="11.25" customHeight="1" x14ac:dyDescent="0.25">
      <c r="A42" s="131"/>
      <c r="B42" s="73" t="s">
        <v>23</v>
      </c>
      <c r="C42" s="73" t="s">
        <v>43</v>
      </c>
      <c r="D42" s="73" t="s">
        <v>97</v>
      </c>
      <c r="E42" s="73" t="s">
        <v>25</v>
      </c>
      <c r="F42" s="73" t="s">
        <v>25</v>
      </c>
      <c r="G42" s="74" t="s">
        <v>86</v>
      </c>
      <c r="H42" s="74" t="s">
        <v>82</v>
      </c>
      <c r="I42" s="74">
        <f>'MERCADO TUSD'!$U$39</f>
        <v>0</v>
      </c>
      <c r="J42" s="15"/>
      <c r="L42" s="53">
        <f>1*(1 - CUSTOS!$M$30)</f>
        <v>1</v>
      </c>
      <c r="M42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0.83849410076663589</v>
      </c>
      <c r="N42" s="53">
        <f ca="1">(+M42+O42+R42+U42+V42+W42+X42+Y42+Z42+AA42+AC42+AH42+AI42+AJ42+AK42)*CUSTOS!$M$5</f>
        <v>2.7192506136798862</v>
      </c>
      <c r="O42" s="53">
        <f>1 - CUSTOS!$M$30</f>
        <v>1</v>
      </c>
      <c r="P42" s="53">
        <f>1 - CUSTOS!$M$30</f>
        <v>1</v>
      </c>
      <c r="Q42" s="53">
        <f>1*(1 - CUSTOS!$M$30)</f>
        <v>1</v>
      </c>
      <c r="R42" s="53">
        <f>1 - CUSTOS!$M$30</f>
        <v>1</v>
      </c>
      <c r="S42" s="53">
        <f>1 - CUSTOS!$M$30</f>
        <v>1</v>
      </c>
      <c r="T42" s="53"/>
      <c r="U42" s="53">
        <f>TRANSICAO!$U$42*CUSTOS!$T$3</f>
        <v>30.877184999999997</v>
      </c>
      <c r="V42" s="53">
        <f>TRANSICAO!$V$42*CUSTOS!$T$3</f>
        <v>9.3542500000000004</v>
      </c>
      <c r="W42" s="53">
        <f>TRANSICAO!$W$42*CUSTOS!$T$3</f>
        <v>17.594064999999997</v>
      </c>
      <c r="X42" s="53">
        <f>TRANSICAO!$X$42*CUSTOS!$T$3</f>
        <v>0</v>
      </c>
      <c r="Y42" s="53">
        <f>TRANSICAO!$Y$42*CUSTOS!$T$3</f>
        <v>0</v>
      </c>
      <c r="Z42" s="53">
        <f>TRANSICAO!$Z$42*CUSTOS!$T$3</f>
        <v>0</v>
      </c>
      <c r="AA42" s="53">
        <f>TRANSICAO!$AA$42*CUSTOS!$T$3</f>
        <v>0</v>
      </c>
      <c r="AB42" s="53">
        <f>TRANSICAO!$AB$42*CUSTOS!$T$3</f>
        <v>0</v>
      </c>
      <c r="AC42" s="53">
        <f>TRANSICAO!$AC$42*CUSTOS!$T$3</f>
        <v>164.57657499999999</v>
      </c>
      <c r="AD42" s="53">
        <f>TRANSICAO!$AD$42*CUSTOS!$T$3</f>
        <v>0</v>
      </c>
      <c r="AE42" s="53">
        <v>0</v>
      </c>
      <c r="AF42" s="53">
        <v>0</v>
      </c>
      <c r="AG42" s="53"/>
      <c r="AH42" s="53">
        <f>(1 - CUSTOS!$M$30)*21.0082</f>
        <v>21.008199999999999</v>
      </c>
      <c r="AI42" s="53">
        <f>(1 - CUSTOS!$M$30)*21.0082</f>
        <v>21.008199999999999</v>
      </c>
      <c r="AJ42" s="53">
        <f ca="1">$N$66*(1-CUSTOS!$M$30)</f>
        <v>2.3340461336110176</v>
      </c>
      <c r="AK42" s="53">
        <f t="shared" ca="1" si="0"/>
        <v>2.3340461336110176</v>
      </c>
      <c r="AL42" s="53"/>
      <c r="AM42" s="53"/>
      <c r="AP42" s="53">
        <f>IF((1 - CUSTOS!$M$30)&lt;&gt;0,1/(1 - CUSTOS!$M$30),1)</f>
        <v>1</v>
      </c>
    </row>
    <row r="43" spans="1:42" ht="11.25" customHeight="1" x14ac:dyDescent="0.25">
      <c r="A43" s="131"/>
      <c r="B43" s="131" t="s">
        <v>95</v>
      </c>
      <c r="C43" s="131" t="s">
        <v>43</v>
      </c>
      <c r="D43" s="73" t="s">
        <v>25</v>
      </c>
      <c r="E43" s="73" t="s">
        <v>25</v>
      </c>
      <c r="F43" s="73" t="s">
        <v>25</v>
      </c>
      <c r="G43" s="74" t="s">
        <v>86</v>
      </c>
      <c r="H43" s="74" t="s">
        <v>82</v>
      </c>
      <c r="I43" s="74">
        <f>'MERCADO TUSD'!$U$40</f>
        <v>0</v>
      </c>
      <c r="J43" s="15"/>
      <c r="L43" s="53">
        <f>1*(1 - CUSTOS!$M$28)</f>
        <v>1</v>
      </c>
      <c r="M43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0.83849410076663589</v>
      </c>
      <c r="N43" s="53">
        <f ca="1">(+M43+O43+R43+U43+V43+W43+X43+Y43+Z43+AA43+AC43+AH43+AI43+AJ43+AK43)*CUSTOS!$M$5</f>
        <v>2.7192506136798862</v>
      </c>
      <c r="O43" s="53">
        <f>1 - CUSTOS!$M$28</f>
        <v>1</v>
      </c>
      <c r="P43" s="53">
        <f>1 - CUSTOS!$M$28</f>
        <v>1</v>
      </c>
      <c r="Q43" s="53">
        <f>1*(1 - CUSTOS!$M$28)</f>
        <v>1</v>
      </c>
      <c r="R43" s="53">
        <f>1 - CUSTOS!$M$28</f>
        <v>1</v>
      </c>
      <c r="S43" s="53">
        <f>1 - CUSTOS!$M$28</f>
        <v>1</v>
      </c>
      <c r="T43" s="53"/>
      <c r="U43" s="53">
        <f>TRANSICAO!$U$43*CUSTOS!$T$3</f>
        <v>30.877184999999997</v>
      </c>
      <c r="V43" s="53">
        <f>TRANSICAO!$V$43*CUSTOS!$T$3</f>
        <v>9.3542500000000004</v>
      </c>
      <c r="W43" s="53">
        <f>TRANSICAO!$W$43*CUSTOS!$T$3</f>
        <v>17.594064999999997</v>
      </c>
      <c r="X43" s="53">
        <f>TRANSICAO!$X$43*CUSTOS!$T$3</f>
        <v>0</v>
      </c>
      <c r="Y43" s="53">
        <f>TRANSICAO!$Y$43*CUSTOS!$T$3</f>
        <v>0</v>
      </c>
      <c r="Z43" s="53">
        <f>TRANSICAO!$Z$43*CUSTOS!$T$3</f>
        <v>0</v>
      </c>
      <c r="AA43" s="53">
        <f>TRANSICAO!$AA$43*CUSTOS!$T$3</f>
        <v>0</v>
      </c>
      <c r="AB43" s="53">
        <f>TRANSICAO!$AB$43*CUSTOS!$T$3</f>
        <v>0</v>
      </c>
      <c r="AC43" s="53">
        <f>TRANSICAO!$AC$43*CUSTOS!$T$3</f>
        <v>164.57657499999999</v>
      </c>
      <c r="AD43" s="53">
        <f>TRANSICAO!$AD$43*CUSTOS!$T$3</f>
        <v>0</v>
      </c>
      <c r="AE43" s="53">
        <v>0</v>
      </c>
      <c r="AF43" s="53">
        <v>0</v>
      </c>
      <c r="AG43" s="53"/>
      <c r="AH43" s="53">
        <f>(1 - CUSTOS!$M$28)*21.0082</f>
        <v>21.008199999999999</v>
      </c>
      <c r="AI43" s="53">
        <f>(1 - CUSTOS!$M$28)*21.0082</f>
        <v>21.008199999999999</v>
      </c>
      <c r="AJ43" s="53">
        <f ca="1">$N$66*(1-CUSTOS!$M$28)</f>
        <v>2.3340461336110176</v>
      </c>
      <c r="AK43" s="53">
        <f t="shared" ca="1" si="0"/>
        <v>2.3340461336110176</v>
      </c>
      <c r="AL43" s="53"/>
      <c r="AM43" s="53"/>
      <c r="AP43" s="53">
        <f>IF((1 - CUSTOS!$M$28)&lt;&gt;0,1/(1 - CUSTOS!$M$28),1)</f>
        <v>1</v>
      </c>
    </row>
    <row r="44" spans="1:42" ht="11.25" customHeight="1" x14ac:dyDescent="0.25">
      <c r="A44" s="131"/>
      <c r="B44" s="131"/>
      <c r="C44" s="131"/>
      <c r="D44" s="73" t="s">
        <v>96</v>
      </c>
      <c r="E44" s="73" t="s">
        <v>25</v>
      </c>
      <c r="F44" s="73" t="s">
        <v>25</v>
      </c>
      <c r="G44" s="74" t="s">
        <v>86</v>
      </c>
      <c r="H44" s="74" t="s">
        <v>82</v>
      </c>
      <c r="I44" s="74">
        <f>'MERCADO TUSD'!$U$41</f>
        <v>0</v>
      </c>
      <c r="J44" s="15"/>
      <c r="L44" s="53">
        <f>1*(1 - CUSTOS!$M$29)</f>
        <v>1</v>
      </c>
      <c r="M44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0.83849410076663589</v>
      </c>
      <c r="N44" s="53">
        <f ca="1">(+M44+O44+R44+U44+V44+W44+X44+Y44+Z44+AA44+AC44+AH44+AI44+AJ44+AK44)*CUSTOS!$M$5</f>
        <v>2.7192506136798862</v>
      </c>
      <c r="O44" s="53">
        <f>1 - CUSTOS!$M$29</f>
        <v>1</v>
      </c>
      <c r="P44" s="53">
        <f>1 - CUSTOS!$M$29</f>
        <v>1</v>
      </c>
      <c r="Q44" s="53">
        <f>1*(1 - CUSTOS!$M$29)</f>
        <v>1</v>
      </c>
      <c r="R44" s="53">
        <f>1 - CUSTOS!$M$29</f>
        <v>1</v>
      </c>
      <c r="S44" s="53">
        <f>1 - CUSTOS!$M$29</f>
        <v>1</v>
      </c>
      <c r="T44" s="53"/>
      <c r="U44" s="53">
        <f>TRANSICAO!$U$44*CUSTOS!$T$3</f>
        <v>30.877184999999997</v>
      </c>
      <c r="V44" s="53">
        <f>TRANSICAO!$V$44*CUSTOS!$T$3</f>
        <v>9.3542500000000004</v>
      </c>
      <c r="W44" s="53">
        <f>TRANSICAO!$W$44*CUSTOS!$T$3</f>
        <v>17.594064999999997</v>
      </c>
      <c r="X44" s="53">
        <f>TRANSICAO!$X$44*CUSTOS!$T$3</f>
        <v>0</v>
      </c>
      <c r="Y44" s="53">
        <f>TRANSICAO!$Y$44*CUSTOS!$T$3</f>
        <v>0</v>
      </c>
      <c r="Z44" s="53">
        <f>TRANSICAO!$Z$44*CUSTOS!$T$3</f>
        <v>0</v>
      </c>
      <c r="AA44" s="53">
        <f>TRANSICAO!$AA$44*CUSTOS!$T$3</f>
        <v>0</v>
      </c>
      <c r="AB44" s="53">
        <f>TRANSICAO!$AB$44*CUSTOS!$T$3</f>
        <v>0</v>
      </c>
      <c r="AC44" s="53">
        <f>TRANSICAO!$AC$44*CUSTOS!$T$3</f>
        <v>164.57657499999999</v>
      </c>
      <c r="AD44" s="53">
        <f>TRANSICAO!$AD$44*CUSTOS!$T$3</f>
        <v>0</v>
      </c>
      <c r="AE44" s="53">
        <v>0</v>
      </c>
      <c r="AF44" s="53">
        <v>0</v>
      </c>
      <c r="AG44" s="53"/>
      <c r="AH44" s="53">
        <f>(1 - CUSTOS!$M$29)*21.0082</f>
        <v>21.008199999999999</v>
      </c>
      <c r="AI44" s="53">
        <f>(1 - CUSTOS!$M$29)*21.0082</f>
        <v>21.008199999999999</v>
      </c>
      <c r="AJ44" s="53">
        <f ca="1">$N$66*(1-CUSTOS!$M$29)</f>
        <v>2.3340461336110176</v>
      </c>
      <c r="AK44" s="53">
        <f t="shared" ca="1" si="0"/>
        <v>2.3340461336110176</v>
      </c>
      <c r="AL44" s="53"/>
      <c r="AM44" s="53"/>
      <c r="AP44" s="53">
        <f>IF((1 - CUSTOS!$M$29)&lt;&gt;0,1/(1 - CUSTOS!$M$29),1)</f>
        <v>1</v>
      </c>
    </row>
    <row r="45" spans="1:42" ht="11.25" customHeight="1" x14ac:dyDescent="0.25">
      <c r="A45" s="131"/>
      <c r="B45" s="131"/>
      <c r="C45" s="131"/>
      <c r="D45" s="73" t="s">
        <v>97</v>
      </c>
      <c r="E45" s="73" t="s">
        <v>25</v>
      </c>
      <c r="F45" s="73" t="s">
        <v>25</v>
      </c>
      <c r="G45" s="74" t="s">
        <v>86</v>
      </c>
      <c r="H45" s="74" t="s">
        <v>82</v>
      </c>
      <c r="I45" s="74">
        <f>'MERCADO TUSD'!$U$42</f>
        <v>0</v>
      </c>
      <c r="J45" s="15"/>
      <c r="L45" s="53">
        <f>1*(1 - CUSTOS!$M$30)</f>
        <v>1</v>
      </c>
      <c r="M45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0.83849410076663589</v>
      </c>
      <c r="N45" s="53">
        <f ca="1">(+M45+O45+R45+U45+V45+W45+X45+Y45+Z45+AA45+AC45+AH45+AI45+AJ45+AK45)*CUSTOS!$M$5</f>
        <v>2.7192506136798862</v>
      </c>
      <c r="O45" s="53">
        <f>1 - CUSTOS!$M$30</f>
        <v>1</v>
      </c>
      <c r="P45" s="53">
        <f>1 - CUSTOS!$M$30</f>
        <v>1</v>
      </c>
      <c r="Q45" s="53">
        <f>1*(1 - CUSTOS!$M$30)</f>
        <v>1</v>
      </c>
      <c r="R45" s="53">
        <f>1 - CUSTOS!$M$30</f>
        <v>1</v>
      </c>
      <c r="S45" s="53">
        <f>1 - CUSTOS!$M$30</f>
        <v>1</v>
      </c>
      <c r="T45" s="53"/>
      <c r="U45" s="53">
        <f>TRANSICAO!$U$45*CUSTOS!$T$3</f>
        <v>30.877184999999997</v>
      </c>
      <c r="V45" s="53">
        <f>TRANSICAO!$V$45*CUSTOS!$T$3</f>
        <v>9.3542500000000004</v>
      </c>
      <c r="W45" s="53">
        <f>TRANSICAO!$W$45*CUSTOS!$T$3</f>
        <v>17.594064999999997</v>
      </c>
      <c r="X45" s="53">
        <f>TRANSICAO!$X$45*CUSTOS!$T$3</f>
        <v>0</v>
      </c>
      <c r="Y45" s="53">
        <f>TRANSICAO!$Y$45*CUSTOS!$T$3</f>
        <v>0</v>
      </c>
      <c r="Z45" s="53">
        <f>TRANSICAO!$Z$45*CUSTOS!$T$3</f>
        <v>0</v>
      </c>
      <c r="AA45" s="53">
        <f>TRANSICAO!$AA$45*CUSTOS!$T$3</f>
        <v>0</v>
      </c>
      <c r="AB45" s="53">
        <f>TRANSICAO!$AB$45*CUSTOS!$T$3</f>
        <v>0</v>
      </c>
      <c r="AC45" s="53">
        <f>TRANSICAO!$AC$45*CUSTOS!$T$3</f>
        <v>164.57657499999999</v>
      </c>
      <c r="AD45" s="53">
        <f>TRANSICAO!$AD$45*CUSTOS!$T$3</f>
        <v>0</v>
      </c>
      <c r="AE45" s="53">
        <v>0</v>
      </c>
      <c r="AF45" s="53">
        <v>0</v>
      </c>
      <c r="AG45" s="53"/>
      <c r="AH45" s="53">
        <f>(1 - CUSTOS!$M$30)*21.0082</f>
        <v>21.008199999999999</v>
      </c>
      <c r="AI45" s="53">
        <f>(1 - CUSTOS!$M$30)*21.0082</f>
        <v>21.008199999999999</v>
      </c>
      <c r="AJ45" s="53">
        <f ca="1">$N$66*(1-CUSTOS!$M$30)</f>
        <v>2.3340461336110176</v>
      </c>
      <c r="AK45" s="53">
        <f t="shared" ca="1" si="0"/>
        <v>2.3340461336110176</v>
      </c>
      <c r="AL45" s="53"/>
      <c r="AM45" s="53"/>
      <c r="AP45" s="53">
        <f>IF((1 - CUSTOS!$M$30)&lt;&gt;0,1/(1 - CUSTOS!$M$30),1)</f>
        <v>1</v>
      </c>
    </row>
    <row r="46" spans="1:42" ht="11.25" customHeight="1" x14ac:dyDescent="0.25">
      <c r="A46" s="131" t="s">
        <v>36</v>
      </c>
      <c r="B46" s="131" t="s">
        <v>32</v>
      </c>
      <c r="C46" s="131" t="s">
        <v>25</v>
      </c>
      <c r="D46" s="131" t="s">
        <v>25</v>
      </c>
      <c r="E46" s="131" t="s">
        <v>25</v>
      </c>
      <c r="F46" s="131" t="s">
        <v>25</v>
      </c>
      <c r="G46" s="74" t="s">
        <v>83</v>
      </c>
      <c r="H46" s="74" t="s">
        <v>82</v>
      </c>
      <c r="I46" s="74">
        <f>'MERCADO TUSD'!$U$43</f>
        <v>20.471999999999998</v>
      </c>
      <c r="J46" s="15"/>
      <c r="L46" s="53">
        <f>1*(1 - CUSTOS!$M$31)</f>
        <v>1</v>
      </c>
      <c r="M46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0.83849410076663589</v>
      </c>
      <c r="N46" s="53">
        <f ca="1">(+M46+O46+R46+U46+V46+W46+X46+Y46+Z46+AA46+AC46+AH46+AI46+AJ46+AK46)*CUSTOS!$M$5</f>
        <v>11.170528613679888</v>
      </c>
      <c r="O46" s="53">
        <f>1 - CUSTOS!$M$31</f>
        <v>1</v>
      </c>
      <c r="P46" s="53">
        <f>1 - CUSTOS!$M$31</f>
        <v>1</v>
      </c>
      <c r="Q46" s="53">
        <f>1*(1 - CUSTOS!$M$31)</f>
        <v>1</v>
      </c>
      <c r="R46" s="53">
        <f>1 - CUSTOS!$M$31</f>
        <v>1</v>
      </c>
      <c r="S46" s="53">
        <f>1 - CUSTOS!$M$31</f>
        <v>1</v>
      </c>
      <c r="T46" s="53"/>
      <c r="U46" s="53">
        <f>TRANSICAO!$U$46*CUSTOS!$T$3</f>
        <v>148.21042</v>
      </c>
      <c r="V46" s="53">
        <f>TRANSICAO!$V$46*CUSTOS!$T$3</f>
        <v>44.900485000000003</v>
      </c>
      <c r="W46" s="53">
        <f>TRANSICAO!$W$46*CUSTOS!$T$3</f>
        <v>84.451409999999996</v>
      </c>
      <c r="X46" s="53">
        <f>TRANSICAO!$X$46*CUSTOS!$T$3</f>
        <v>0</v>
      </c>
      <c r="Y46" s="53">
        <f>TRANSICAO!$Y$46*CUSTOS!$T$3</f>
        <v>0</v>
      </c>
      <c r="Z46" s="53">
        <f>TRANSICAO!$Z$46*CUSTOS!$T$3</f>
        <v>0</v>
      </c>
      <c r="AA46" s="53">
        <f>TRANSICAO!$AA$46*CUSTOS!$T$3</f>
        <v>0</v>
      </c>
      <c r="AB46" s="53">
        <f>TRANSICAO!$AB$46*CUSTOS!$T$3</f>
        <v>0</v>
      </c>
      <c r="AC46" s="53">
        <f>TRANSICAO!$AC$46*CUSTOS!$T$3</f>
        <v>789.96755999999993</v>
      </c>
      <c r="AD46" s="53">
        <f>TRANSICAO!$AD$46*CUSTOS!$T$3</f>
        <v>0</v>
      </c>
      <c r="AE46" s="53">
        <v>0</v>
      </c>
      <c r="AF46" s="53">
        <v>0</v>
      </c>
      <c r="AG46" s="53"/>
      <c r="AH46" s="53">
        <f>(1 - CUSTOS!$M$31)*21.0082</f>
        <v>21.008199999999999</v>
      </c>
      <c r="AI46" s="53">
        <f>(1 - CUSTOS!$M$31)*21.0082</f>
        <v>21.008199999999999</v>
      </c>
      <c r="AJ46" s="53">
        <f ca="1">$N$66*(1-CUSTOS!$M$31)</f>
        <v>2.3340461336110176</v>
      </c>
      <c r="AK46" s="53">
        <f t="shared" ca="1" si="0"/>
        <v>2.3340461336110176</v>
      </c>
      <c r="AL46" s="53"/>
      <c r="AM46" s="53"/>
      <c r="AP46" s="53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74" t="s">
        <v>93</v>
      </c>
      <c r="H47" s="74" t="s">
        <v>82</v>
      </c>
      <c r="I47" s="74">
        <f>'MERCADO TUSD'!$U$44</f>
        <v>16.687999999999999</v>
      </c>
      <c r="J47" s="15"/>
      <c r="L47" s="53">
        <f>1*(1 - CUSTOS!$M$31)</f>
        <v>1</v>
      </c>
      <c r="M47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0.83849410076663589</v>
      </c>
      <c r="N47" s="53">
        <f ca="1">(+M47+O47+R47+U47+V47+W47+X47+Y47+Z47+AA47+AC47+AH47+AI47+AJ47+AK47)*CUSTOS!$M$5</f>
        <v>3.6978199136798868</v>
      </c>
      <c r="O47" s="53">
        <f>1 - CUSTOS!$M$31</f>
        <v>1</v>
      </c>
      <c r="P47" s="53">
        <f>1 - CUSTOS!$M$31</f>
        <v>1</v>
      </c>
      <c r="Q47" s="53">
        <f>1*(1 - CUSTOS!$M$31)</f>
        <v>1</v>
      </c>
      <c r="R47" s="53">
        <f>1 - CUSTOS!$M$31</f>
        <v>1</v>
      </c>
      <c r="S47" s="53">
        <f>1 - CUSTOS!$M$31</f>
        <v>1</v>
      </c>
      <c r="T47" s="53"/>
      <c r="U47" s="53">
        <f>TRANSICAO!$U$47*CUSTOS!$T$3</f>
        <v>44.463160000000002</v>
      </c>
      <c r="V47" s="53">
        <f>TRANSICAO!$V$47*CUSTOS!$T$3</f>
        <v>13.47012</v>
      </c>
      <c r="W47" s="53">
        <f>TRANSICAO!$W$47*CUSTOS!$T$3</f>
        <v>25.335439999999998</v>
      </c>
      <c r="X47" s="53">
        <f>TRANSICAO!$X$47*CUSTOS!$T$3</f>
        <v>0</v>
      </c>
      <c r="Y47" s="53">
        <f>TRANSICAO!$Y$47*CUSTOS!$T$3</f>
        <v>0</v>
      </c>
      <c r="Z47" s="53">
        <f>TRANSICAO!$Z$47*CUSTOS!$T$3</f>
        <v>0</v>
      </c>
      <c r="AA47" s="53">
        <f>TRANSICAO!$AA$47*CUSTOS!$T$3</f>
        <v>0</v>
      </c>
      <c r="AB47" s="53">
        <f>TRANSICAO!$AB$47*CUSTOS!$T$3</f>
        <v>0</v>
      </c>
      <c r="AC47" s="53">
        <f>TRANSICAO!$AC$47*CUSTOS!$T$3</f>
        <v>236.99028499999997</v>
      </c>
      <c r="AD47" s="53">
        <f>TRANSICAO!$AD$47*CUSTOS!$T$3</f>
        <v>0</v>
      </c>
      <c r="AE47" s="53">
        <v>0</v>
      </c>
      <c r="AF47" s="53">
        <v>0</v>
      </c>
      <c r="AG47" s="53"/>
      <c r="AH47" s="53">
        <f>(1 - CUSTOS!$M$31)*21.0082</f>
        <v>21.008199999999999</v>
      </c>
      <c r="AI47" s="53">
        <f>(1 - CUSTOS!$M$31)*21.0082</f>
        <v>21.008199999999999</v>
      </c>
      <c r="AJ47" s="53">
        <f ca="1">$N$66*(1-CUSTOS!$M$31)</f>
        <v>2.3340461336110176</v>
      </c>
      <c r="AK47" s="53">
        <f t="shared" ca="1" si="0"/>
        <v>2.3340461336110176</v>
      </c>
      <c r="AL47" s="53"/>
      <c r="AM47" s="53"/>
      <c r="AP47" s="53">
        <f>IF((1 - CUSTOS!$M$31)&lt;&gt;0,1/(1 - CUSTOS!$M$31),1)</f>
        <v>1</v>
      </c>
    </row>
    <row r="48" spans="1:42" ht="11.25" customHeight="1" x14ac:dyDescent="0.25">
      <c r="A48" s="131"/>
      <c r="B48" s="131"/>
      <c r="C48" s="131"/>
      <c r="D48" s="131"/>
      <c r="E48" s="131"/>
      <c r="F48" s="131"/>
      <c r="G48" s="74" t="s">
        <v>84</v>
      </c>
      <c r="H48" s="74" t="s">
        <v>82</v>
      </c>
      <c r="I48" s="74">
        <f>'MERCADO TUSD'!$U$45</f>
        <v>216.36699999999999</v>
      </c>
      <c r="J48" s="15"/>
      <c r="L48" s="53">
        <f>1*(1 - CUSTOS!$M$31)</f>
        <v>1</v>
      </c>
      <c r="M48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0.83849410076663589</v>
      </c>
      <c r="N48" s="53">
        <f ca="1">(+M48+O48+R48+U48+V48+W48+X48+Y48+Z48+AA48+AC48+AH48+AI48+AJ48+AK48)*CUSTOS!$M$5</f>
        <v>1.5627601636798867</v>
      </c>
      <c r="O48" s="53">
        <f>1 - CUSTOS!$M$31</f>
        <v>1</v>
      </c>
      <c r="P48" s="53">
        <f>1 - CUSTOS!$M$31</f>
        <v>1</v>
      </c>
      <c r="Q48" s="53">
        <f>1*(1 - CUSTOS!$M$31)</f>
        <v>1</v>
      </c>
      <c r="R48" s="53">
        <f>1 - CUSTOS!$M$31</f>
        <v>1</v>
      </c>
      <c r="S48" s="53">
        <f>1 - CUSTOS!$M$31</f>
        <v>1</v>
      </c>
      <c r="T48" s="53"/>
      <c r="U48" s="53">
        <f>TRANSICAO!$U$48*CUSTOS!$T$3</f>
        <v>14.821024999999999</v>
      </c>
      <c r="V48" s="53">
        <f>TRANSICAO!$V$48*CUSTOS!$T$3</f>
        <v>4.4900399999999996</v>
      </c>
      <c r="W48" s="53">
        <f>TRANSICAO!$W$48*CUSTOS!$T$3</f>
        <v>8.445174999999999</v>
      </c>
      <c r="X48" s="53">
        <f>TRANSICAO!$X$48*CUSTOS!$T$3</f>
        <v>0</v>
      </c>
      <c r="Y48" s="53">
        <f>TRANSICAO!$Y$48*CUSTOS!$T$3</f>
        <v>0</v>
      </c>
      <c r="Z48" s="53">
        <f>TRANSICAO!$Z$48*CUSTOS!$T$3</f>
        <v>0</v>
      </c>
      <c r="AA48" s="53">
        <f>TRANSICAO!$AA$48*CUSTOS!$T$3</f>
        <v>0</v>
      </c>
      <c r="AB48" s="53">
        <f>TRANSICAO!$AB$48*CUSTOS!$T$3</f>
        <v>0</v>
      </c>
      <c r="AC48" s="53">
        <f>TRANSICAO!$AC$48*CUSTOS!$T$3</f>
        <v>78.99678999999999</v>
      </c>
      <c r="AD48" s="53">
        <f>TRANSICAO!$AD$48*CUSTOS!$T$3</f>
        <v>0</v>
      </c>
      <c r="AE48" s="53">
        <v>0</v>
      </c>
      <c r="AF48" s="53">
        <v>0</v>
      </c>
      <c r="AG48" s="53"/>
      <c r="AH48" s="53">
        <f>(1 - CUSTOS!$M$31)*21.0082</f>
        <v>21.008199999999999</v>
      </c>
      <c r="AI48" s="53">
        <f>(1 - CUSTOS!$M$31)*21.0082</f>
        <v>21.008199999999999</v>
      </c>
      <c r="AJ48" s="53">
        <f ca="1">$N$66*(1-CUSTOS!$M$31)</f>
        <v>2.3340461336110176</v>
      </c>
      <c r="AK48" s="53">
        <f t="shared" ca="1" si="0"/>
        <v>2.3340461336110176</v>
      </c>
      <c r="AL48" s="53"/>
      <c r="AM48" s="53"/>
      <c r="AP48" s="53">
        <f>IF((1 - CUSTOS!$M$31)&lt;&gt;0,1/(1 - CUSTOS!$M$31),1)</f>
        <v>1</v>
      </c>
    </row>
    <row r="49" spans="1:42" ht="11.25" customHeight="1" x14ac:dyDescent="0.25">
      <c r="A49" s="131"/>
      <c r="B49" s="73" t="s">
        <v>23</v>
      </c>
      <c r="C49" s="73" t="s">
        <v>25</v>
      </c>
      <c r="D49" s="73" t="s">
        <v>25</v>
      </c>
      <c r="E49" s="73" t="s">
        <v>25</v>
      </c>
      <c r="F49" s="73" t="s">
        <v>25</v>
      </c>
      <c r="G49" s="74" t="s">
        <v>86</v>
      </c>
      <c r="H49" s="74" t="s">
        <v>82</v>
      </c>
      <c r="I49" s="74">
        <f>'MERCADO TUSD'!$U$46</f>
        <v>26125.533000000003</v>
      </c>
      <c r="J49" s="15"/>
      <c r="L49" s="53">
        <f>1*(1 - CUSTOS!$M$31)</f>
        <v>1</v>
      </c>
      <c r="M49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0.83849410076663589</v>
      </c>
      <c r="N49" s="53">
        <f ca="1">(+M49+O49+R49+U49+V49+W49+X49+Y49+Z49+AA49+AC49+AH49+AI49+AJ49+AK49)*CUSTOS!$M$5</f>
        <v>2.7192506136798862</v>
      </c>
      <c r="O49" s="53">
        <f>1 - CUSTOS!$M$31</f>
        <v>1</v>
      </c>
      <c r="P49" s="53">
        <f>1 - CUSTOS!$M$31</f>
        <v>1</v>
      </c>
      <c r="Q49" s="53">
        <f>1*(1 - CUSTOS!$M$31)</f>
        <v>1</v>
      </c>
      <c r="R49" s="53">
        <f>1 - CUSTOS!$M$31</f>
        <v>1</v>
      </c>
      <c r="S49" s="53">
        <f>1 - CUSTOS!$M$31</f>
        <v>1</v>
      </c>
      <c r="T49" s="53"/>
      <c r="U49" s="53">
        <f>TRANSICAO!$U$49*CUSTOS!$T$3</f>
        <v>30.877184999999997</v>
      </c>
      <c r="V49" s="53">
        <f>TRANSICAO!$V$49*CUSTOS!$T$3</f>
        <v>9.3542500000000004</v>
      </c>
      <c r="W49" s="53">
        <f>TRANSICAO!$W$49*CUSTOS!$T$3</f>
        <v>17.594064999999997</v>
      </c>
      <c r="X49" s="53">
        <f>TRANSICAO!$X$49*CUSTOS!$T$3</f>
        <v>0</v>
      </c>
      <c r="Y49" s="53">
        <f>TRANSICAO!$Y$49*CUSTOS!$T$3</f>
        <v>0</v>
      </c>
      <c r="Z49" s="53">
        <f>TRANSICAO!$Z$49*CUSTOS!$T$3</f>
        <v>0</v>
      </c>
      <c r="AA49" s="53">
        <f>TRANSICAO!$AA$49*CUSTOS!$T$3</f>
        <v>0</v>
      </c>
      <c r="AB49" s="53">
        <f>TRANSICAO!$AB$49*CUSTOS!$T$3</f>
        <v>0</v>
      </c>
      <c r="AC49" s="53">
        <f>TRANSICAO!$AC$49*CUSTOS!$T$3</f>
        <v>164.57657499999999</v>
      </c>
      <c r="AD49" s="53">
        <f>TRANSICAO!$AD$49*CUSTOS!$T$3</f>
        <v>0</v>
      </c>
      <c r="AE49" s="53">
        <v>0</v>
      </c>
      <c r="AF49" s="53">
        <v>0</v>
      </c>
      <c r="AG49" s="53"/>
      <c r="AH49" s="53">
        <f>(1 - CUSTOS!$M$31)*21.0082</f>
        <v>21.008199999999999</v>
      </c>
      <c r="AI49" s="53">
        <f>(1 - CUSTOS!$M$31)*21.0082</f>
        <v>21.008199999999999</v>
      </c>
      <c r="AJ49" s="53">
        <f ca="1">$N$66*(1-CUSTOS!$M$31)</f>
        <v>2.3340461336110176</v>
      </c>
      <c r="AK49" s="53">
        <f t="shared" ca="1" si="0"/>
        <v>2.3340461336110176</v>
      </c>
      <c r="AL49" s="53"/>
      <c r="AM49" s="53"/>
      <c r="AP49" s="53">
        <f>IF((1 - CUSTOS!$M$31)&lt;&gt;0,1/(1 - CUSTOS!$M$31),1)</f>
        <v>1</v>
      </c>
    </row>
    <row r="50" spans="1:42" ht="11.25" customHeight="1" x14ac:dyDescent="0.25">
      <c r="A50" s="131"/>
      <c r="B50" s="73" t="s">
        <v>95</v>
      </c>
      <c r="C50" s="73" t="s">
        <v>25</v>
      </c>
      <c r="D50" s="73" t="s">
        <v>25</v>
      </c>
      <c r="E50" s="73" t="s">
        <v>25</v>
      </c>
      <c r="F50" s="73" t="s">
        <v>25</v>
      </c>
      <c r="G50" s="74" t="s">
        <v>86</v>
      </c>
      <c r="H50" s="74" t="s">
        <v>82</v>
      </c>
      <c r="I50" s="74">
        <f>'MERCADO TUSD'!$U$47</f>
        <v>0</v>
      </c>
      <c r="J50" s="15"/>
      <c r="L50" s="53">
        <f>1*(1 - CUSTOS!$M$31)</f>
        <v>1</v>
      </c>
      <c r="M50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0.83849410076663589</v>
      </c>
      <c r="N50" s="53">
        <f ca="1">(+M50+O50+R50+U50+V50+W50+X50+Y50+Z50+AA50+AC50+AH50+AI50+AJ50+AK50)*CUSTOS!$M$5</f>
        <v>2.7192506136798862</v>
      </c>
      <c r="O50" s="53">
        <f>1 - CUSTOS!$M$31</f>
        <v>1</v>
      </c>
      <c r="P50" s="53">
        <f>1 - CUSTOS!$M$31</f>
        <v>1</v>
      </c>
      <c r="Q50" s="53">
        <f>1*(1 - CUSTOS!$M$31)</f>
        <v>1</v>
      </c>
      <c r="R50" s="53">
        <f>1 - CUSTOS!$M$31</f>
        <v>1</v>
      </c>
      <c r="S50" s="53">
        <f>1 - CUSTOS!$M$31</f>
        <v>1</v>
      </c>
      <c r="T50" s="53"/>
      <c r="U50" s="53">
        <f>TRANSICAO!$U$50*CUSTOS!$T$3</f>
        <v>30.877184999999997</v>
      </c>
      <c r="V50" s="53">
        <f>TRANSICAO!$V$50*CUSTOS!$T$3</f>
        <v>9.3542500000000004</v>
      </c>
      <c r="W50" s="53">
        <f>TRANSICAO!$W$50*CUSTOS!$T$3</f>
        <v>17.594064999999997</v>
      </c>
      <c r="X50" s="53">
        <f>TRANSICAO!$X$50*CUSTOS!$T$3</f>
        <v>0</v>
      </c>
      <c r="Y50" s="53">
        <f>TRANSICAO!$Y$50*CUSTOS!$T$3</f>
        <v>0</v>
      </c>
      <c r="Z50" s="53">
        <f>TRANSICAO!$Z$50*CUSTOS!$T$3</f>
        <v>0</v>
      </c>
      <c r="AA50" s="53">
        <f>TRANSICAO!$AA$50*CUSTOS!$T$3</f>
        <v>0</v>
      </c>
      <c r="AB50" s="53">
        <f>TRANSICAO!$AB$50*CUSTOS!$T$3</f>
        <v>0</v>
      </c>
      <c r="AC50" s="53">
        <f>TRANSICAO!$AC$50*CUSTOS!$T$3</f>
        <v>164.57657499999999</v>
      </c>
      <c r="AD50" s="53">
        <f>TRANSICAO!$AD$50*CUSTOS!$T$3</f>
        <v>0</v>
      </c>
      <c r="AE50" s="53">
        <v>0</v>
      </c>
      <c r="AF50" s="53">
        <v>0</v>
      </c>
      <c r="AG50" s="53"/>
      <c r="AH50" s="53">
        <f>(1 - CUSTOS!$M$31)*21.0082</f>
        <v>21.008199999999999</v>
      </c>
      <c r="AI50" s="53">
        <f>(1 - CUSTOS!$M$31)*21.0082</f>
        <v>21.008199999999999</v>
      </c>
      <c r="AJ50" s="53">
        <f ca="1">$N$66*(1-CUSTOS!$M$31)</f>
        <v>2.3340461336110176</v>
      </c>
      <c r="AK50" s="53">
        <f t="shared" ca="1" si="0"/>
        <v>2.3340461336110176</v>
      </c>
      <c r="AL50" s="53"/>
      <c r="AM50" s="53"/>
      <c r="AP50" s="53">
        <f>IF((1 - CUSTOS!$M$31)&lt;&gt;0,1/(1 - CUSTOS!$M$31),1)</f>
        <v>1</v>
      </c>
    </row>
    <row r="51" spans="1:42" ht="11.25" customHeight="1" x14ac:dyDescent="0.25">
      <c r="A51" s="131" t="s">
        <v>45</v>
      </c>
      <c r="B51" s="131" t="s">
        <v>23</v>
      </c>
      <c r="C51" s="131" t="s">
        <v>46</v>
      </c>
      <c r="D51" s="73" t="s">
        <v>47</v>
      </c>
      <c r="E51" s="73" t="s">
        <v>25</v>
      </c>
      <c r="F51" s="73" t="s">
        <v>25</v>
      </c>
      <c r="G51" s="74" t="s">
        <v>86</v>
      </c>
      <c r="H51" s="74" t="s">
        <v>82</v>
      </c>
      <c r="I51" s="74">
        <f>'MERCADO TUSD'!$U$48</f>
        <v>5474.732</v>
      </c>
      <c r="J51" s="15"/>
      <c r="L51" s="53">
        <f>1*(1 - CUSTOS!$M$32)</f>
        <v>0.55000000000000004</v>
      </c>
      <c r="M51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CUSTOS!$M$32)</f>
        <v>0.46117175542164979</v>
      </c>
      <c r="N51" s="53">
        <f ca="1">(+M51+O51+R51+U51+V51+W51+X51+Y51+Z51+AA51+AC51+AH51+AI51+AJ51+AK51)*CUSTOS!$M$5</f>
        <v>1.4955878375239373</v>
      </c>
      <c r="O51" s="53">
        <f>1 - CUSTOS!$M$32</f>
        <v>0.55000000000000004</v>
      </c>
      <c r="P51" s="53">
        <f>1 - CUSTOS!$M$32</f>
        <v>0.55000000000000004</v>
      </c>
      <c r="Q51" s="53">
        <f>1*(1 - CUSTOS!$M$32)</f>
        <v>0.55000000000000004</v>
      </c>
      <c r="R51" s="53">
        <f>1 - CUSTOS!$M$32</f>
        <v>0.55000000000000004</v>
      </c>
      <c r="S51" s="53">
        <f>1 - CUSTOS!$M$32</f>
        <v>0.55000000000000004</v>
      </c>
      <c r="T51" s="53"/>
      <c r="U51" s="53">
        <f>TRANSICAO!$U$51*CUSTOS!$T$3</f>
        <v>16.982451749999999</v>
      </c>
      <c r="V51" s="53">
        <f>TRANSICAO!$V$51*CUSTOS!$T$3</f>
        <v>5.1448375000000004</v>
      </c>
      <c r="W51" s="53">
        <f>TRANSICAO!$W$51*CUSTOS!$T$3</f>
        <v>9.6767357499999989</v>
      </c>
      <c r="X51" s="53">
        <f>TRANSICAO!$X$51*CUSTOS!$T$3</f>
        <v>0</v>
      </c>
      <c r="Y51" s="53">
        <f>TRANSICAO!$Y$51*CUSTOS!$T$3</f>
        <v>0</v>
      </c>
      <c r="Z51" s="53">
        <f>TRANSICAO!$Z$51*CUSTOS!$T$3</f>
        <v>0</v>
      </c>
      <c r="AA51" s="53">
        <f>TRANSICAO!$AA$51*CUSTOS!$T$3</f>
        <v>0</v>
      </c>
      <c r="AB51" s="53">
        <f>TRANSICAO!$AB$51*CUSTOS!$T$3</f>
        <v>0</v>
      </c>
      <c r="AC51" s="53">
        <f>TRANSICAO!$AC$51*CUSTOS!$T$3</f>
        <v>90.517116250000001</v>
      </c>
      <c r="AD51" s="53">
        <f>TRANSICAO!$AD$51*CUSTOS!$T$3</f>
        <v>0</v>
      </c>
      <c r="AE51" s="53">
        <v>0</v>
      </c>
      <c r="AF51" s="53">
        <v>0</v>
      </c>
      <c r="AG51" s="53"/>
      <c r="AH51" s="53">
        <f>(1 - CUSTOS!$M$32)*21.0082</f>
        <v>11.554510000000001</v>
      </c>
      <c r="AI51" s="53">
        <f>(1 - CUSTOS!$M$32)*21.0082</f>
        <v>11.554510000000001</v>
      </c>
      <c r="AJ51" s="53">
        <f ca="1">$N$66*(1-CUSTOS!$M$32)</f>
        <v>1.2837253734860599</v>
      </c>
      <c r="AK51" s="53">
        <f t="shared" ca="1" si="0"/>
        <v>1.2837253734860599</v>
      </c>
      <c r="AL51" s="53"/>
      <c r="AM51" s="53"/>
      <c r="AP51" s="53">
        <f>IF((1 - CUSTOS!$M$32)&lt;&gt;0,1/(1 - CUSTOS!$M$32),1)</f>
        <v>1.8181818181818181</v>
      </c>
    </row>
    <row r="52" spans="1:42" ht="11.25" customHeight="1" x14ac:dyDescent="0.25">
      <c r="A52" s="131"/>
      <c r="B52" s="131"/>
      <c r="C52" s="131"/>
      <c r="D52" s="74" t="s">
        <v>98</v>
      </c>
      <c r="E52" s="74" t="s">
        <v>25</v>
      </c>
      <c r="F52" s="74" t="s">
        <v>25</v>
      </c>
      <c r="G52" s="74" t="s">
        <v>86</v>
      </c>
      <c r="H52" s="74" t="s">
        <v>82</v>
      </c>
      <c r="I52" s="74">
        <f>'MERCADO TUSD'!$U$49</f>
        <v>0</v>
      </c>
      <c r="J52" s="15"/>
      <c r="L52" s="53">
        <f>1*(1 - CUSTOS!$M$33)</f>
        <v>0.6</v>
      </c>
      <c r="M52" s="53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CUSTOS!$M$33)</f>
        <v>0.50309646045998146</v>
      </c>
      <c r="N52" s="53">
        <f ca="1">(+M52+O52+R52+U52+V52+W52+X52+Y52+Z52+AA52+AC52+AH52+AI52+AJ52+AK52)*CUSTOS!$M$5</f>
        <v>1.631550368207932</v>
      </c>
      <c r="O52" s="53">
        <f>1 - CUSTOS!$M$33</f>
        <v>0.6</v>
      </c>
      <c r="P52" s="53">
        <f>1 - CUSTOS!$M$33</f>
        <v>0.6</v>
      </c>
      <c r="Q52" s="53">
        <f>1*(1 - CUSTOS!$M$33)</f>
        <v>0.6</v>
      </c>
      <c r="R52" s="53">
        <f>1 - CUSTOS!$M$33</f>
        <v>0.6</v>
      </c>
      <c r="S52" s="53">
        <f>1 - CUSTOS!$M$33</f>
        <v>0.6</v>
      </c>
      <c r="T52" s="53"/>
      <c r="U52" s="53">
        <f>TRANSICAO!$U$52*CUSTOS!$T$3</f>
        <v>18.526310999999996</v>
      </c>
      <c r="V52" s="53">
        <f>TRANSICAO!$V$52*CUSTOS!$T$3</f>
        <v>5.6125500000000006</v>
      </c>
      <c r="W52" s="53">
        <f>TRANSICAO!$W$52*CUSTOS!$T$3</f>
        <v>10.556438999999997</v>
      </c>
      <c r="X52" s="53">
        <f>TRANSICAO!$X$52*CUSTOS!$T$3</f>
        <v>0</v>
      </c>
      <c r="Y52" s="53">
        <f>TRANSICAO!$Y$52*CUSTOS!$T$3</f>
        <v>0</v>
      </c>
      <c r="Z52" s="53">
        <f>TRANSICAO!$Z$52*CUSTOS!$T$3</f>
        <v>0</v>
      </c>
      <c r="AA52" s="53">
        <f>TRANSICAO!$AA$52*CUSTOS!$T$3</f>
        <v>0</v>
      </c>
      <c r="AB52" s="53">
        <f>TRANSICAO!$AB$52*CUSTOS!$T$3</f>
        <v>0</v>
      </c>
      <c r="AC52" s="53">
        <f>TRANSICAO!$AC$52*CUSTOS!$T$3</f>
        <v>98.745944999999992</v>
      </c>
      <c r="AD52" s="53">
        <f>TRANSICAO!$AD$52*CUSTOS!$T$3</f>
        <v>0</v>
      </c>
      <c r="AE52" s="53">
        <v>0</v>
      </c>
      <c r="AF52" s="53">
        <v>0</v>
      </c>
      <c r="AG52" s="53"/>
      <c r="AH52" s="53">
        <f>(1 - CUSTOS!$M$33)*21.0082</f>
        <v>12.604919999999998</v>
      </c>
      <c r="AI52" s="53">
        <f>(1 - CUSTOS!$M$33)*21.0082</f>
        <v>12.604919999999998</v>
      </c>
      <c r="AJ52" s="53">
        <f ca="1">$N$66*(1-CUSTOS!$M$33)</f>
        <v>1.4004276801666105</v>
      </c>
      <c r="AK52" s="53">
        <f t="shared" ca="1" si="0"/>
        <v>1.4004276801666105</v>
      </c>
      <c r="AL52" s="53"/>
      <c r="AM52" s="53"/>
      <c r="AP52" s="53">
        <f>IF((1 - CUSTOS!$M$33)&lt;&gt;0,1/(1 - CUSTOS!$M$33),1)</f>
        <v>1.6666666666666667</v>
      </c>
    </row>
    <row r="54" spans="1:42" ht="11.25" customHeight="1" x14ac:dyDescent="0.25">
      <c r="K54" s="68" t="s">
        <v>655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</row>
    <row r="55" spans="1:42" ht="11.25" customHeight="1" x14ac:dyDescent="0.25">
      <c r="K55" s="68" t="s">
        <v>656</v>
      </c>
      <c r="L55" s="53">
        <f>IF(ISERROR(+SUMPRODUCT($L$5:$L$5,$I$5:$I$5)),0,+SUMPRODUCT($L$5:$L$5,$I$5:$I$5))</f>
        <v>0</v>
      </c>
      <c r="M55" s="53">
        <f>IF(ISERROR(+SUMPRODUCT($M$5:$M$5,$I$5:$I$5)),0,+SUMPRODUCT($M$5:$M$5,$I$5:$I$5))</f>
        <v>1522.2521915974885</v>
      </c>
      <c r="N55" s="53">
        <f>IF(ISERROR(+SUMPRODUCT($N$5:$N$5,$I$5:$I$5)),0,+SUMPRODUCT($N$5:$N$5,$I$5:$I$5))</f>
        <v>4020.6090659937499</v>
      </c>
      <c r="O55" s="53">
        <f>IF(ISERROR(+SUMPRODUCT($O$5:$O$5,$I$5:$I$5)),0,+SUMPRODUCT($O$5:$O$5,$I$5:$I$5))</f>
        <v>0</v>
      </c>
      <c r="P55" s="53">
        <f>IF(ISERROR(+SUMPRODUCT($P$5:$P$5,$I$5:$I$5)),0,+SUMPRODUCT($P$5:$P$5,$I$5:$I$5))</f>
        <v>0</v>
      </c>
      <c r="Q55" s="53">
        <f>IF(ISERROR(+SUMPRODUCT($Q$5:$Q$5,$I$5:$I$5)),0,+SUMPRODUCT($Q$5:$Q$5,$I$5:$I$5))</f>
        <v>0</v>
      </c>
      <c r="R55" s="53">
        <f>IF(ISERROR(+SUMPRODUCT($R$5:$R$5,$I$5:$I$5)),0,+SUMPRODUCT($R$5:$R$5,$I$5:$I$5))</f>
        <v>0</v>
      </c>
      <c r="S55" s="53">
        <f>IF(ISERROR(+SUMPRODUCT($S$5:$S$5,$I$5:$I$5)),0,+SUMPRODUCT($S$5:$S$5,$I$5:$I$5))</f>
        <v>0</v>
      </c>
      <c r="T55" s="53"/>
      <c r="U55" s="53">
        <f>IF(ISERROR(+SUMPRODUCT($U$5:$U$5,$I$5:$I$5)),0,+SUMPRODUCT($U$5:$U$5,$I$5:$I$5))</f>
        <v>0</v>
      </c>
      <c r="V55" s="53">
        <f>IF(ISERROR(+SUMPRODUCT($V$5:$V$5,$I$5:$I$5)),0,+SUMPRODUCT($V$5:$V$5,$I$5:$I$5))</f>
        <v>0</v>
      </c>
      <c r="W55" s="53">
        <f>IF(ISERROR(+SUMPRODUCT($W$5:$W$5,$I$5:$I$5)),0,+SUMPRODUCT($W$5:$W$5,$I$5:$I$5))</f>
        <v>0</v>
      </c>
      <c r="X55" s="53">
        <f>IF(ISERROR(+SUMPRODUCT($X$5:$X$5,$I$5:$I$5)),0,+SUMPRODUCT($X$5:$X$5,$I$5:$I$5))</f>
        <v>0</v>
      </c>
      <c r="Y55" s="53">
        <f>IF(ISERROR(+SUMPRODUCT($Y$5:$Y$5,$I$5:$I$5)),0,+SUMPRODUCT($Y$5:$Y$5,$I$5:$I$5))</f>
        <v>0</v>
      </c>
      <c r="Z55" s="53">
        <f>IF(ISERROR(+SUMPRODUCT($Z$5:$Z$5,$I$5:$I$5)),0,+SUMPRODUCT($Z$5:$Z$5,$I$5:$I$5))</f>
        <v>0</v>
      </c>
      <c r="AA55" s="53">
        <f>IF(ISERROR(+SUMPRODUCT($AA$5:$AA$5,$I$5:$I$5)),0,+SUMPRODUCT($AA$5:$AA$5,$I$5:$I$5))</f>
        <v>0</v>
      </c>
      <c r="AB55" s="53"/>
      <c r="AC55" s="53">
        <f>IF(ISERROR(+SUMPRODUCT($AC$5:$AC$5,$I$5:$I$5)),0,+SUMPRODUCT($AC$5:$AC$5,$I$5:$I$5))</f>
        <v>396949.59290124819</v>
      </c>
      <c r="AD55" s="53"/>
      <c r="AE55" s="53">
        <f>IF(ISERROR(+SUMPRODUCT($AE$5:$AE$5,$I$5:$I$5)),0,+SUMPRODUCT($AE$5:$AE$5,$I$5:$I$5))</f>
        <v>0</v>
      </c>
      <c r="AF55" s="53">
        <f>IF(ISERROR(+SUMPRODUCT($AF$5:$AF$5,$I$5:$I$5)),0,+SUMPRODUCT($AF$5:$AF$5,$I$5:$I$5))</f>
        <v>0</v>
      </c>
      <c r="AG55" s="53"/>
      <c r="AH55" s="53">
        <f>IF(ISERROR(+SUMPRODUCT($AH$5:$AH$5,$I$5:$I$5)),0,+SUMPRODUCT($AH$5:$AH$5,$I$5:$I$5))</f>
        <v>0</v>
      </c>
      <c r="AI55" s="53">
        <f>IF(ISERROR(+SUMPRODUCT($AI$5:$AI$5,$I$5:$I$5)),0,+SUMPRODUCT($AI$5:$AI$5,$I$5:$I$5))</f>
        <v>0</v>
      </c>
      <c r="AJ55" s="53">
        <f>IF(ISERROR(+SUMPRODUCT($AJ$5:$AJ$5,$I$5:$I$5)),0,+SUMPRODUCT($AJ$5:$AJ$5,$I$5:$I$5))</f>
        <v>0</v>
      </c>
      <c r="AK55" s="53">
        <f>IF(ISERROR(+SUMPRODUCT($AK$5:$AK$5,$I$5:$I$5)),0,+SUMPRODUCT($AK$5:$AK$5,$I$5:$I$5))</f>
        <v>0</v>
      </c>
      <c r="AL55" s="53"/>
      <c r="AM55" s="53"/>
    </row>
    <row r="56" spans="1:42" ht="11.25" customHeight="1" x14ac:dyDescent="0.25">
      <c r="K56" s="68" t="s">
        <v>657</v>
      </c>
      <c r="L56" s="53">
        <f>IF(ISERROR(+SUMPRODUCT($L$6:$L$9,$I$6:$I$9)+SUMPRODUCT($L$10:$L$10,$I$10:$I$10)+SUMPRODUCT($L$11:$L$15,$I$11:$I$15)+SUMPRODUCT($L$16:$L$17,$I$16:$I$17)+SUMPRODUCT($L$18:$L$20,$I$18:$I$20)+SUMPRODUCT($L$21:$L$25,$I$21:$I$25)+SUMPRODUCT($L$26:$L$30,$I$26:$I$30)+SUMPRODUCT($L$31:$L$33,$I$31:$I$33)+SUMPRODUCT($L$34:$L$34,$I$34:$I$34)+SUMPRODUCT($L$35:$L$37,$I$35:$I$37)+SUMPRODUCT($L$38:$L$38,$I$38:$I$38)+SUMPRODUCT($L$39:$L$41,$I$39:$I$41)+SUMPRODUCT($L$42:$L$42,$I$42:$I$42)+SUMPRODUCT($L$43:$L$45,$I$43:$I$45)+SUMPRODUCT($L$46:$L$48,$I$46:$I$48)+SUMPRODUCT($L$49:$L$49,$I$49:$I$49)+SUMPRODUCT($L$50:$L$50,$I$50:$I$50)+SUMPRODUCT($L$51:$L$52,$I$51:$I$52)),0,+SUMPRODUCT($L$6:$L$9,$I$6:$I$9)+SUMPRODUCT($L$10:$L$10,$I$10:$I$10)+SUMPRODUCT($L$11:$L$15,$I$11:$I$15)+SUMPRODUCT($L$16:$L$17,$I$16:$I$17)+SUMPRODUCT($L$18:$L$20,$I$18:$I$20)+SUMPRODUCT($L$21:$L$25,$I$21:$I$25)+SUMPRODUCT($L$26:$L$30,$I$26:$I$30)+SUMPRODUCT($L$31:$L$33,$I$31:$I$33)+SUMPRODUCT($L$34:$L$34,$I$34:$I$34)+SUMPRODUCT($L$35:$L$37,$I$35:$I$37)+SUMPRODUCT($L$38:$L$38,$I$38:$I$38)+SUMPRODUCT($L$39:$L$41,$I$39:$I$41)+SUMPRODUCT($L$42:$L$42,$I$42:$I$42)+SUMPRODUCT($L$43:$L$45,$I$43:$I$45)+SUMPRODUCT($L$46:$L$48,$I$46:$I$48)+SUMPRODUCT($L$49:$L$49,$I$49:$I$49)+SUMPRODUCT($L$50:$L$50,$I$50:$I$50)+SUMPRODUCT($L$51:$L$52,$I$51:$I$52))</f>
        <v>184386.58716</v>
      </c>
      <c r="M56" s="53">
        <f>IF(ISERROR(+SUMPRODUCT($M$6:$M$9,$I$6:$I$9)+SUMPRODUCT($M$10:$M$10,$I$10:$I$10)+SUMPRODUCT($M$11:$M$15,$I$11:$I$15)+SUMPRODUCT($M$16:$M$17,$I$16:$I$17)+SUMPRODUCT($M$18:$M$20,$I$18:$I$20)+SUMPRODUCT($M$21:$M$25,$I$21:$I$25)+SUMPRODUCT($M$26:$M$30,$I$26:$I$30)+SUMPRODUCT($M$31:$M$33,$I$31:$I$33)+SUMPRODUCT($M$34:$M$34,$I$34:$I$34)+SUMPRODUCT($M$35:$M$37,$I$35:$I$37)+SUMPRODUCT($M$38:$M$38,$I$38:$I$38)+SUMPRODUCT($M$39:$M$41,$I$39:$I$41)+SUMPRODUCT($M$42:$M$42,$I$42:$I$42)+SUMPRODUCT($M$43:$M$45,$I$43:$I$45)+SUMPRODUCT($M$46:$M$48,$I$46:$I$48)+SUMPRODUCT($M$49:$M$49,$I$49:$I$49)+SUMPRODUCT($M$50:$M$50,$I$50:$I$50)+SUMPRODUCT($M$51:$M$52,$I$51:$I$52)),0,+SUMPRODUCT($M$6:$M$9,$I$6:$I$9)+SUMPRODUCT($M$10:$M$10,$I$10:$I$10)+SUMPRODUCT($M$11:$M$15,$I$11:$I$15)+SUMPRODUCT($M$16:$M$17,$I$16:$I$17)+SUMPRODUCT($M$18:$M$20,$I$18:$I$20)+SUMPRODUCT($M$21:$M$25,$I$21:$I$25)+SUMPRODUCT($M$26:$M$30,$I$26:$I$30)+SUMPRODUCT($M$31:$M$33,$I$31:$I$33)+SUMPRODUCT($M$34:$M$34,$I$34:$I$34)+SUMPRODUCT($M$35:$M$37,$I$35:$I$37)+SUMPRODUCT($M$38:$M$38,$I$38:$I$38)+SUMPRODUCT($M$39:$M$41,$I$39:$I$41)+SUMPRODUCT($M$42:$M$42,$I$42:$I$42)+SUMPRODUCT($M$43:$M$45,$I$43:$I$45)+SUMPRODUCT($M$46:$M$48,$I$46:$I$48)+SUMPRODUCT($M$49:$M$49,$I$49:$I$49)+SUMPRODUCT($M$50:$M$50,$I$50:$I$50)+SUMPRODUCT($M$51:$M$52,$I$51:$I$52))</f>
        <v>134129.1607893054</v>
      </c>
      <c r="N56" s="53">
        <f ca="1">IF(ISERROR(+SUMPRODUCT($N$6:$N$9,$I$6:$I$9)+SUMPRODUCT($N$10:$N$10,$I$10:$I$10)+SUMPRODUCT($N$11:$N$15,$I$11:$I$15)+SUMPRODUCT($N$16:$N$17,$I$16:$I$17)+SUMPRODUCT($N$18:$N$20,$I$18:$I$20)+SUMPRODUCT($N$21:$N$25,$I$21:$I$25)+SUMPRODUCT($N$26:$N$30,$I$26:$I$30)+SUMPRODUCT($N$31:$N$33,$I$31:$I$33)+SUMPRODUCT($N$34:$N$34,$I$34:$I$34)+SUMPRODUCT($N$35:$N$37,$I$35:$I$37)+SUMPRODUCT($N$38:$N$38,$I$38:$I$38)+SUMPRODUCT($N$39:$N$41,$I$39:$I$41)+SUMPRODUCT($N$42:$N$42,$I$42:$I$42)+SUMPRODUCT($N$43:$N$45,$I$43:$I$45)+SUMPRODUCT($N$46:$N$48,$I$46:$I$48)+SUMPRODUCT($N$49:$N$49,$I$49:$I$49)+SUMPRODUCT($N$50:$N$50,$I$50:$I$50)+SUMPRODUCT($N$51:$N$52,$I$51:$I$52)),0,+SUMPRODUCT($N$6:$N$9,$I$6:$I$9)+SUMPRODUCT($N$10:$N$10,$I$10:$I$10)+SUMPRODUCT($N$11:$N$15,$I$11:$I$15)+SUMPRODUCT($N$16:$N$17,$I$16:$I$17)+SUMPRODUCT($N$18:$N$20,$I$18:$I$20)+SUMPRODUCT($N$21:$N$25,$I$21:$I$25)+SUMPRODUCT($N$26:$N$30,$I$26:$I$30)+SUMPRODUCT($N$31:$N$33,$I$31:$I$33)+SUMPRODUCT($N$34:$N$34,$I$34:$I$34)+SUMPRODUCT($N$35:$N$37,$I$35:$I$37)+SUMPRODUCT($N$38:$N$38,$I$38:$I$38)+SUMPRODUCT($N$39:$N$41,$I$39:$I$41)+SUMPRODUCT($N$42:$N$42,$I$42:$I$42)+SUMPRODUCT($N$43:$N$45,$I$43:$I$45)+SUMPRODUCT($N$46:$N$48,$I$46:$I$48)+SUMPRODUCT($N$49:$N$49,$I$49:$I$49)+SUMPRODUCT($N$50:$N$50,$I$50:$I$50)+SUMPRODUCT($N$51:$N$52,$I$51:$I$52))</f>
        <v>371881.54880131071</v>
      </c>
      <c r="O56" s="53">
        <f>IF(ISERROR(+SUMPRODUCT($O$6:$O$9,$I$6:$I$9)+SUMPRODUCT($O$10:$O$10,$I$10:$I$10)+SUMPRODUCT($O$11:$O$15,$I$11:$I$15)+SUMPRODUCT($O$16:$O$17,$I$16:$I$17)+SUMPRODUCT($O$18:$O$20,$I$18:$I$20)+SUMPRODUCT($O$21:$O$25,$I$21:$I$25)+SUMPRODUCT($O$26:$O$30,$I$26:$I$30)+SUMPRODUCT($O$31:$O$33,$I$31:$I$33)+SUMPRODUCT($O$34:$O$34,$I$34:$I$34)+SUMPRODUCT($O$35:$O$37,$I$35:$I$37)+SUMPRODUCT($O$38:$O$38,$I$38:$I$38)+SUMPRODUCT($O$39:$O$41,$I$39:$I$41)+SUMPRODUCT($O$42:$O$42,$I$42:$I$42)+SUMPRODUCT($O$43:$O$45,$I$43:$I$45)+SUMPRODUCT($O$46:$O$48,$I$46:$I$48)+SUMPRODUCT($O$49:$O$49,$I$49:$I$49)+SUMPRODUCT($O$50:$O$50,$I$50:$I$50)+SUMPRODUCT($O$51:$O$52,$I$51:$I$52)),0,+SUMPRODUCT($O$6:$O$9,$I$6:$I$9)+SUMPRODUCT($O$10:$O$10,$I$10:$I$10)+SUMPRODUCT($O$11:$O$15,$I$11:$I$15)+SUMPRODUCT($O$16:$O$17,$I$16:$I$17)+SUMPRODUCT($O$18:$O$20,$I$18:$I$20)+SUMPRODUCT($O$21:$O$25,$I$21:$I$25)+SUMPRODUCT($O$26:$O$30,$I$26:$I$30)+SUMPRODUCT($O$31:$O$33,$I$31:$I$33)+SUMPRODUCT($O$34:$O$34,$I$34:$I$34)+SUMPRODUCT($O$35:$O$37,$I$35:$I$37)+SUMPRODUCT($O$38:$O$38,$I$38:$I$38)+SUMPRODUCT($O$39:$O$41,$I$39:$I$41)+SUMPRODUCT($O$42:$O$42,$I$42:$I$42)+SUMPRODUCT($O$43:$O$45,$I$43:$I$45)+SUMPRODUCT($O$46:$O$48,$I$46:$I$48)+SUMPRODUCT($O$49:$O$49,$I$49:$I$49)+SUMPRODUCT($O$50:$O$50,$I$50:$I$50)+SUMPRODUCT($O$51:$O$52,$I$51:$I$52))</f>
        <v>199822.09960000002</v>
      </c>
      <c r="P56" s="53">
        <f>IF(ISERROR(+SUMPRODUCT($P$6:$P$9,$I$6:$I$9)+SUMPRODUCT($P$10:$P$10,$I$10:$I$10)+SUMPRODUCT($P$11:$P$15,$I$11:$I$15)+SUMPRODUCT($P$16:$P$17,$I$16:$I$17)+SUMPRODUCT($P$18:$P$20,$I$18:$I$20)+SUMPRODUCT($P$21:$P$25,$I$21:$I$25)+SUMPRODUCT($P$26:$P$30,$I$26:$I$30)+SUMPRODUCT($P$31:$P$33,$I$31:$I$33)+SUMPRODUCT($P$34:$P$34,$I$34:$I$34)+SUMPRODUCT($P$35:$P$37,$I$35:$I$37)+SUMPRODUCT($P$38:$P$38,$I$38:$I$38)+SUMPRODUCT($P$39:$P$41,$I$39:$I$41)+SUMPRODUCT($P$42:$P$42,$I$42:$I$42)+SUMPRODUCT($P$43:$P$45,$I$43:$I$45)+SUMPRODUCT($P$46:$P$48,$I$46:$I$48)+SUMPRODUCT($P$49:$P$49,$I$49:$I$49)+SUMPRODUCT($P$50:$P$50,$I$50:$I$50)+SUMPRODUCT($P$51:$P$52,$I$51:$I$52)),0,+SUMPRODUCT($P$6:$P$9,$I$6:$I$9)+SUMPRODUCT($P$10:$P$10,$I$10:$I$10)+SUMPRODUCT($P$11:$P$15,$I$11:$I$15)+SUMPRODUCT($P$16:$P$17,$I$16:$I$17)+SUMPRODUCT($P$18:$P$20,$I$18:$I$20)+SUMPRODUCT($P$21:$P$25,$I$21:$I$25)+SUMPRODUCT($P$26:$P$30,$I$26:$I$30)+SUMPRODUCT($P$31:$P$33,$I$31:$I$33)+SUMPRODUCT($P$34:$P$34,$I$34:$I$34)+SUMPRODUCT($P$35:$P$37,$I$35:$I$37)+SUMPRODUCT($P$38:$P$38,$I$38:$I$38)+SUMPRODUCT($P$39:$P$41,$I$39:$I$41)+SUMPRODUCT($P$42:$P$42,$I$42:$I$42)+SUMPRODUCT($P$43:$P$45,$I$43:$I$45)+SUMPRODUCT($P$46:$P$48,$I$46:$I$48)+SUMPRODUCT($P$49:$P$49,$I$49:$I$49)+SUMPRODUCT($P$50:$P$50,$I$50:$I$50)+SUMPRODUCT($P$51:$P$52,$I$51:$I$52))</f>
        <v>198299.53260000001</v>
      </c>
      <c r="Q56" s="53">
        <f>IF(ISERROR(+SUMPRODUCT($Q$6:$Q$9,$I$6:$I$9)+SUMPRODUCT($Q$10:$Q$10,$I$10:$I$10)+SUMPRODUCT($Q$11:$Q$15,$I$11:$I$15)+SUMPRODUCT($Q$16:$Q$17,$I$16:$I$17)+SUMPRODUCT($Q$18:$Q$20,$I$18:$I$20)+SUMPRODUCT($Q$21:$Q$25,$I$21:$I$25)+SUMPRODUCT($Q$26:$Q$30,$I$26:$I$30)+SUMPRODUCT($Q$31:$Q$33,$I$31:$I$33)+SUMPRODUCT($Q$34:$Q$34,$I$34:$I$34)+SUMPRODUCT($Q$35:$Q$37,$I$35:$I$37)+SUMPRODUCT($Q$38:$Q$38,$I$38:$I$38)+SUMPRODUCT($Q$39:$Q$41,$I$39:$I$41)+SUMPRODUCT($Q$42:$Q$42,$I$42:$I$42)+SUMPRODUCT($Q$43:$Q$45,$I$43:$I$45)+SUMPRODUCT($Q$46:$Q$48,$I$46:$I$48)+SUMPRODUCT($Q$49:$Q$49,$I$49:$I$49)+SUMPRODUCT($Q$50:$Q$50,$I$50:$I$50)+SUMPRODUCT($Q$51:$Q$52,$I$51:$I$52)),0,+SUMPRODUCT($Q$6:$Q$9,$I$6:$I$9)+SUMPRODUCT($Q$10:$Q$10,$I$10:$I$10)+SUMPRODUCT($Q$11:$Q$15,$I$11:$I$15)+SUMPRODUCT($Q$16:$Q$17,$I$16:$I$17)+SUMPRODUCT($Q$18:$Q$20,$I$18:$I$20)+SUMPRODUCT($Q$21:$Q$25,$I$21:$I$25)+SUMPRODUCT($Q$26:$Q$30,$I$26:$I$30)+SUMPRODUCT($Q$31:$Q$33,$I$31:$I$33)+SUMPRODUCT($Q$34:$Q$34,$I$34:$I$34)+SUMPRODUCT($Q$35:$Q$37,$I$35:$I$37)+SUMPRODUCT($Q$38:$Q$38,$I$38:$I$38)+SUMPRODUCT($Q$39:$Q$41,$I$39:$I$41)+SUMPRODUCT($Q$42:$Q$42,$I$42:$I$42)+SUMPRODUCT($Q$43:$Q$45,$I$43:$I$45)+SUMPRODUCT($Q$46:$Q$48,$I$46:$I$48)+SUMPRODUCT($Q$49:$Q$49,$I$49:$I$49)+SUMPRODUCT($Q$50:$Q$50,$I$50:$I$50)+SUMPRODUCT($Q$51:$Q$52,$I$51:$I$52))</f>
        <v>184386.58716</v>
      </c>
      <c r="R56" s="53">
        <f>IF(ISERROR(+SUMPRODUCT($R$6:$R$9,$I$6:$I$9)+SUMPRODUCT($R$10:$R$10,$I$10:$I$10)+SUMPRODUCT($R$11:$R$15,$I$11:$I$15)+SUMPRODUCT($R$16:$R$17,$I$16:$I$17)+SUMPRODUCT($R$18:$R$20,$I$18:$I$20)+SUMPRODUCT($R$21:$R$25,$I$21:$I$25)+SUMPRODUCT($R$26:$R$30,$I$26:$I$30)+SUMPRODUCT($R$31:$R$33,$I$31:$I$33)+SUMPRODUCT($R$34:$R$34,$I$34:$I$34)+SUMPRODUCT($R$35:$R$37,$I$35:$I$37)+SUMPRODUCT($R$38:$R$38,$I$38:$I$38)+SUMPRODUCT($R$39:$R$41,$I$39:$I$41)+SUMPRODUCT($R$42:$R$42,$I$42:$I$42)+SUMPRODUCT($R$43:$R$45,$I$43:$I$45)+SUMPRODUCT($R$46:$R$48,$I$46:$I$48)+SUMPRODUCT($R$49:$R$49,$I$49:$I$49)+SUMPRODUCT($R$50:$R$50,$I$50:$I$50)+SUMPRODUCT($R$51:$R$52,$I$51:$I$52)),0,+SUMPRODUCT($R$6:$R$9,$I$6:$I$9)+SUMPRODUCT($R$10:$R$10,$I$10:$I$10)+SUMPRODUCT($R$11:$R$15,$I$11:$I$15)+SUMPRODUCT($R$16:$R$17,$I$16:$I$17)+SUMPRODUCT($R$18:$R$20,$I$18:$I$20)+SUMPRODUCT($R$21:$R$25,$I$21:$I$25)+SUMPRODUCT($R$26:$R$30,$I$26:$I$30)+SUMPRODUCT($R$31:$R$33,$I$31:$I$33)+SUMPRODUCT($R$34:$R$34,$I$34:$I$34)+SUMPRODUCT($R$35:$R$37,$I$35:$I$37)+SUMPRODUCT($R$38:$R$38,$I$38:$I$38)+SUMPRODUCT($R$39:$R$41,$I$39:$I$41)+SUMPRODUCT($R$42:$R$42,$I$42:$I$42)+SUMPRODUCT($R$43:$R$45,$I$43:$I$45)+SUMPRODUCT($R$46:$R$48,$I$46:$I$48)+SUMPRODUCT($R$49:$R$49,$I$49:$I$49)+SUMPRODUCT($R$50:$R$50,$I$50:$I$50)+SUMPRODUCT($R$51:$R$52,$I$51:$I$52))</f>
        <v>198299.53260000001</v>
      </c>
      <c r="S56" s="53">
        <f>IF(ISERROR(+SUMPRODUCT($S$6:$S$9,$I$6:$I$9)+SUMPRODUCT($S$10:$S$10,$I$10:$I$10)+SUMPRODUCT($S$11:$S$15,$I$11:$I$15)+SUMPRODUCT($S$16:$S$17,$I$16:$I$17)+SUMPRODUCT($S$18:$S$20,$I$18:$I$20)+SUMPRODUCT($S$21:$S$25,$I$21:$I$25)+SUMPRODUCT($S$26:$S$30,$I$26:$I$30)+SUMPRODUCT($S$31:$S$33,$I$31:$I$33)+SUMPRODUCT($S$34:$S$34,$I$34:$I$34)+SUMPRODUCT($S$35:$S$37,$I$35:$I$37)+SUMPRODUCT($S$38:$S$38,$I$38:$I$38)+SUMPRODUCT($S$39:$S$41,$I$39:$I$41)+SUMPRODUCT($S$42:$S$42,$I$42:$I$42)+SUMPRODUCT($S$43:$S$45,$I$43:$I$45)+SUMPRODUCT($S$46:$S$48,$I$46:$I$48)+SUMPRODUCT($S$49:$S$49,$I$49:$I$49)+SUMPRODUCT($S$50:$S$50,$I$50:$I$50)+SUMPRODUCT($S$51:$S$52,$I$51:$I$52)),0,+SUMPRODUCT($S$6:$S$9,$I$6:$I$9)+SUMPRODUCT($S$10:$S$10,$I$10:$I$10)+SUMPRODUCT($S$11:$S$15,$I$11:$I$15)+SUMPRODUCT($S$16:$S$17,$I$16:$I$17)+SUMPRODUCT($S$18:$S$20,$I$18:$I$20)+SUMPRODUCT($S$21:$S$25,$I$21:$I$25)+SUMPRODUCT($S$26:$S$30,$I$26:$I$30)+SUMPRODUCT($S$31:$S$33,$I$31:$I$33)+SUMPRODUCT($S$34:$S$34,$I$34:$I$34)+SUMPRODUCT($S$35:$S$37,$I$35:$I$37)+SUMPRODUCT($S$38:$S$38,$I$38:$I$38)+SUMPRODUCT($S$39:$S$41,$I$39:$I$41)+SUMPRODUCT($S$42:$S$42,$I$42:$I$42)+SUMPRODUCT($S$43:$S$45,$I$43:$I$45)+SUMPRODUCT($S$46:$S$48,$I$46:$I$48)+SUMPRODUCT($S$49:$S$49,$I$49:$I$49)+SUMPRODUCT($S$50:$S$50,$I$50:$I$50)+SUMPRODUCT($S$51:$S$52,$I$51:$I$52))</f>
        <v>199822.09960000002</v>
      </c>
      <c r="T56" s="53"/>
      <c r="U56" s="53">
        <f>IF(ISERROR(+SUMPRODUCT($U$6:$U$9,$I$6:$I$9)+SUMPRODUCT($U$10:$U$10,$I$10:$I$10)+SUMPRODUCT($U$11:$U$15,$I$11:$I$15)+SUMPRODUCT($U$16:$U$17,$I$16:$I$17)+SUMPRODUCT($U$18:$U$20,$I$18:$I$20)+SUMPRODUCT($U$21:$U$25,$I$21:$I$25)+SUMPRODUCT($U$26:$U$30,$I$26:$I$30)+SUMPRODUCT($U$31:$U$33,$I$31:$I$33)+SUMPRODUCT($U$34:$U$34,$I$34:$I$34)+SUMPRODUCT($U$35:$U$37,$I$35:$I$37)+SUMPRODUCT($U$38:$U$38,$I$38:$I$38)+SUMPRODUCT($U$39:$U$41,$I$39:$I$41)+SUMPRODUCT($U$42:$U$42,$I$42:$I$42)+SUMPRODUCT($U$43:$U$45,$I$43:$I$45)+SUMPRODUCT($U$46:$U$48,$I$46:$I$48)+SUMPRODUCT($U$49:$U$49,$I$49:$I$49)+SUMPRODUCT($U$50:$U$50,$I$50:$I$50)+SUMPRODUCT($U$51:$U$52,$I$51:$I$52)),0,+SUMPRODUCT($U$6:$U$9,$I$6:$I$9)+SUMPRODUCT($U$10:$U$10,$I$10:$I$10)+SUMPRODUCT($U$11:$U$15,$I$11:$I$15)+SUMPRODUCT($U$16:$U$17,$I$16:$I$17)+SUMPRODUCT($U$18:$U$20,$I$18:$I$20)+SUMPRODUCT($U$21:$U$25,$I$21:$I$25)+SUMPRODUCT($U$26:$U$30,$I$26:$I$30)+SUMPRODUCT($U$31:$U$33,$I$31:$I$33)+SUMPRODUCT($U$34:$U$34,$I$34:$I$34)+SUMPRODUCT($U$35:$U$37,$I$35:$I$37)+SUMPRODUCT($U$38:$U$38,$I$38:$I$38)+SUMPRODUCT($U$39:$U$41,$I$39:$I$41)+SUMPRODUCT($U$42:$U$42,$I$42:$I$42)+SUMPRODUCT($U$43:$U$45,$I$43:$I$45)+SUMPRODUCT($U$46:$U$48,$I$46:$I$48)+SUMPRODUCT($U$49:$U$49,$I$49:$I$49)+SUMPRODUCT($U$50:$U$50,$I$50:$I$50)+SUMPRODUCT($U$51:$U$52,$I$51:$I$52))</f>
        <v>6677015.1281789299</v>
      </c>
      <c r="V56" s="53">
        <f>IF(ISERROR(+SUMPRODUCT($V$6:$V$9,$I$6:$I$9)+SUMPRODUCT($V$10:$V$10,$I$10:$I$10)+SUMPRODUCT($V$11:$V$15,$I$11:$I$15)+SUMPRODUCT($V$16:$V$17,$I$16:$I$17)+SUMPRODUCT($V$18:$V$20,$I$18:$I$20)+SUMPRODUCT($V$21:$V$25,$I$21:$I$25)+SUMPRODUCT($V$26:$V$30,$I$26:$I$30)+SUMPRODUCT($V$31:$V$33,$I$31:$I$33)+SUMPRODUCT($V$34:$V$34,$I$34:$I$34)+SUMPRODUCT($V$35:$V$37,$I$35:$I$37)+SUMPRODUCT($V$38:$V$38,$I$38:$I$38)+SUMPRODUCT($V$39:$V$41,$I$39:$I$41)+SUMPRODUCT($V$42:$V$42,$I$42:$I$42)+SUMPRODUCT($V$43:$V$45,$I$43:$I$45)+SUMPRODUCT($V$46:$V$48,$I$46:$I$48)+SUMPRODUCT($V$49:$V$49,$I$49:$I$49)+SUMPRODUCT($V$50:$V$50,$I$50:$I$50)+SUMPRODUCT($V$51:$V$52,$I$51:$I$52)),0,+SUMPRODUCT($V$6:$V$9,$I$6:$I$9)+SUMPRODUCT($V$10:$V$10,$I$10:$I$10)+SUMPRODUCT($V$11:$V$15,$I$11:$I$15)+SUMPRODUCT($V$16:$V$17,$I$16:$I$17)+SUMPRODUCT($V$18:$V$20,$I$18:$I$20)+SUMPRODUCT($V$21:$V$25,$I$21:$I$25)+SUMPRODUCT($V$26:$V$30,$I$26:$I$30)+SUMPRODUCT($V$31:$V$33,$I$31:$I$33)+SUMPRODUCT($V$34:$V$34,$I$34:$I$34)+SUMPRODUCT($V$35:$V$37,$I$35:$I$37)+SUMPRODUCT($V$38:$V$38,$I$38:$I$38)+SUMPRODUCT($V$39:$V$41,$I$39:$I$41)+SUMPRODUCT($V$42:$V$42,$I$42:$I$42)+SUMPRODUCT($V$43:$V$45,$I$43:$I$45)+SUMPRODUCT($V$46:$V$48,$I$46:$I$48)+SUMPRODUCT($V$49:$V$49,$I$49:$I$49)+SUMPRODUCT($V$50:$V$50,$I$50:$I$50)+SUMPRODUCT($V$51:$V$52,$I$51:$I$52))</f>
        <v>2014188.6260292851</v>
      </c>
      <c r="W56" s="53">
        <f>IF(ISERROR(+SUMPRODUCT($W$6:$W$9,$I$6:$I$9)+SUMPRODUCT($W$10:$W$10,$I$10:$I$10)+SUMPRODUCT($W$11:$W$15,$I$11:$I$15)+SUMPRODUCT($W$16:$W$17,$I$16:$I$17)+SUMPRODUCT($W$18:$W$20,$I$18:$I$20)+SUMPRODUCT($W$21:$W$25,$I$21:$I$25)+SUMPRODUCT($W$26:$W$30,$I$26:$I$30)+SUMPRODUCT($W$31:$W$33,$I$31:$I$33)+SUMPRODUCT($W$34:$W$34,$I$34:$I$34)+SUMPRODUCT($W$35:$W$37,$I$35:$I$37)+SUMPRODUCT($W$38:$W$38,$I$38:$I$38)+SUMPRODUCT($W$39:$W$41,$I$39:$I$41)+SUMPRODUCT($W$42:$W$42,$I$42:$I$42)+SUMPRODUCT($W$43:$W$45,$I$43:$I$45)+SUMPRODUCT($W$46:$W$48,$I$46:$I$48)+SUMPRODUCT($W$49:$W$49,$I$49:$I$49)+SUMPRODUCT($W$50:$W$50,$I$50:$I$50)+SUMPRODUCT($W$51:$W$52,$I$51:$I$52)),0,+SUMPRODUCT($W$6:$W$9,$I$6:$I$9)+SUMPRODUCT($W$10:$W$10,$I$10:$I$10)+SUMPRODUCT($W$11:$W$15,$I$11:$I$15)+SUMPRODUCT($W$16:$W$17,$I$16:$I$17)+SUMPRODUCT($W$18:$W$20,$I$18:$I$20)+SUMPRODUCT($W$21:$W$25,$I$21:$I$25)+SUMPRODUCT($W$26:$W$30,$I$26:$I$30)+SUMPRODUCT($W$31:$W$33,$I$31:$I$33)+SUMPRODUCT($W$34:$W$34,$I$34:$I$34)+SUMPRODUCT($W$35:$W$37,$I$35:$I$37)+SUMPRODUCT($W$38:$W$38,$I$38:$I$38)+SUMPRODUCT($W$39:$W$41,$I$39:$I$41)+SUMPRODUCT($W$42:$W$42,$I$42:$I$42)+SUMPRODUCT($W$43:$W$45,$I$43:$I$45)+SUMPRODUCT($W$46:$W$48,$I$46:$I$48)+SUMPRODUCT($W$49:$W$49,$I$49:$I$49)+SUMPRODUCT($W$50:$W$50,$I$50:$I$50)+SUMPRODUCT($W$51:$W$52,$I$51:$I$52))</f>
        <v>3773966.0121546886</v>
      </c>
      <c r="X56" s="53">
        <f>IF(ISERROR(+SUMPRODUCT($X$6:$X$9,$I$6:$I$9)+SUMPRODUCT($X$10:$X$10,$I$10:$I$10)+SUMPRODUCT($X$11:$X$15,$I$11:$I$15)+SUMPRODUCT($X$16:$X$17,$I$16:$I$17)+SUMPRODUCT($X$18:$X$20,$I$18:$I$20)+SUMPRODUCT($X$21:$X$25,$I$21:$I$25)+SUMPRODUCT($X$26:$X$30,$I$26:$I$30)+SUMPRODUCT($X$31:$X$33,$I$31:$I$33)+SUMPRODUCT($X$34:$X$34,$I$34:$I$34)+SUMPRODUCT($X$35:$X$37,$I$35:$I$37)+SUMPRODUCT($X$38:$X$38,$I$38:$I$38)+SUMPRODUCT($X$39:$X$41,$I$39:$I$41)+SUMPRODUCT($X$42:$X$42,$I$42:$I$42)+SUMPRODUCT($X$43:$X$45,$I$43:$I$45)+SUMPRODUCT($X$46:$X$48,$I$46:$I$48)+SUMPRODUCT($X$49:$X$49,$I$49:$I$49)+SUMPRODUCT($X$50:$X$50,$I$50:$I$50)+SUMPRODUCT($X$51:$X$52,$I$51:$I$52)),0,+SUMPRODUCT($X$6:$X$9,$I$6:$I$9)+SUMPRODUCT($X$10:$X$10,$I$10:$I$10)+SUMPRODUCT($X$11:$X$15,$I$11:$I$15)+SUMPRODUCT($X$16:$X$17,$I$16:$I$17)+SUMPRODUCT($X$18:$X$20,$I$18:$I$20)+SUMPRODUCT($X$21:$X$25,$I$21:$I$25)+SUMPRODUCT($X$26:$X$30,$I$26:$I$30)+SUMPRODUCT($X$31:$X$33,$I$31:$I$33)+SUMPRODUCT($X$34:$X$34,$I$34:$I$34)+SUMPRODUCT($X$35:$X$37,$I$35:$I$37)+SUMPRODUCT($X$38:$X$38,$I$38:$I$38)+SUMPRODUCT($X$39:$X$41,$I$39:$I$41)+SUMPRODUCT($X$42:$X$42,$I$42:$I$42)+SUMPRODUCT($X$43:$X$45,$I$43:$I$45)+SUMPRODUCT($X$46:$X$48,$I$46:$I$48)+SUMPRODUCT($X$49:$X$49,$I$49:$I$49)+SUMPRODUCT($X$50:$X$50,$I$50:$I$50)+SUMPRODUCT($X$51:$X$52,$I$51:$I$52))</f>
        <v>0</v>
      </c>
      <c r="Y56" s="53">
        <f>IF(ISERROR(+SUMPRODUCT($Y$6:$Y$9,$I$6:$I$9)+SUMPRODUCT($Y$10:$Y$10,$I$10:$I$10)+SUMPRODUCT($Y$11:$Y$15,$I$11:$I$15)+SUMPRODUCT($Y$16:$Y$17,$I$16:$I$17)+SUMPRODUCT($Y$18:$Y$20,$I$18:$I$20)+SUMPRODUCT($Y$21:$Y$25,$I$21:$I$25)+SUMPRODUCT($Y$26:$Y$30,$I$26:$I$30)+SUMPRODUCT($Y$31:$Y$33,$I$31:$I$33)+SUMPRODUCT($Y$34:$Y$34,$I$34:$I$34)+SUMPRODUCT($Y$35:$Y$37,$I$35:$I$37)+SUMPRODUCT($Y$38:$Y$38,$I$38:$I$38)+SUMPRODUCT($Y$39:$Y$41,$I$39:$I$41)+SUMPRODUCT($Y$42:$Y$42,$I$42:$I$42)+SUMPRODUCT($Y$43:$Y$45,$I$43:$I$45)+SUMPRODUCT($Y$46:$Y$48,$I$46:$I$48)+SUMPRODUCT($Y$49:$Y$49,$I$49:$I$49)+SUMPRODUCT($Y$50:$Y$50,$I$50:$I$50)+SUMPRODUCT($Y$51:$Y$52,$I$51:$I$52)),0,+SUMPRODUCT($Y$6:$Y$9,$I$6:$I$9)+SUMPRODUCT($Y$10:$Y$10,$I$10:$I$10)+SUMPRODUCT($Y$11:$Y$15,$I$11:$I$15)+SUMPRODUCT($Y$16:$Y$17,$I$16:$I$17)+SUMPRODUCT($Y$18:$Y$20,$I$18:$I$20)+SUMPRODUCT($Y$21:$Y$25,$I$21:$I$25)+SUMPRODUCT($Y$26:$Y$30,$I$26:$I$30)+SUMPRODUCT($Y$31:$Y$33,$I$31:$I$33)+SUMPRODUCT($Y$34:$Y$34,$I$34:$I$34)+SUMPRODUCT($Y$35:$Y$37,$I$35:$I$37)+SUMPRODUCT($Y$38:$Y$38,$I$38:$I$38)+SUMPRODUCT($Y$39:$Y$41,$I$39:$I$41)+SUMPRODUCT($Y$42:$Y$42,$I$42:$I$42)+SUMPRODUCT($Y$43:$Y$45,$I$43:$I$45)+SUMPRODUCT($Y$46:$Y$48,$I$46:$I$48)+SUMPRODUCT($Y$49:$Y$49,$I$49:$I$49)+SUMPRODUCT($Y$50:$Y$50,$I$50:$I$50)+SUMPRODUCT($Y$51:$Y$52,$I$51:$I$52))</f>
        <v>0</v>
      </c>
      <c r="Z56" s="53">
        <f>IF(ISERROR(+SUMPRODUCT($Z$6:$Z$9,$I$6:$I$9)+SUMPRODUCT($Z$10:$Z$10,$I$10:$I$10)+SUMPRODUCT($Z$11:$Z$15,$I$11:$I$15)+SUMPRODUCT($Z$16:$Z$17,$I$16:$I$17)+SUMPRODUCT($Z$18:$Z$20,$I$18:$I$20)+SUMPRODUCT($Z$21:$Z$25,$I$21:$I$25)+SUMPRODUCT($Z$26:$Z$30,$I$26:$I$30)+SUMPRODUCT($Z$31:$Z$33,$I$31:$I$33)+SUMPRODUCT($Z$34:$Z$34,$I$34:$I$34)+SUMPRODUCT($Z$35:$Z$37,$I$35:$I$37)+SUMPRODUCT($Z$38:$Z$38,$I$38:$I$38)+SUMPRODUCT($Z$39:$Z$41,$I$39:$I$41)+SUMPRODUCT($Z$42:$Z$42,$I$42:$I$42)+SUMPRODUCT($Z$43:$Z$45,$I$43:$I$45)+SUMPRODUCT($Z$46:$Z$48,$I$46:$I$48)+SUMPRODUCT($Z$49:$Z$49,$I$49:$I$49)+SUMPRODUCT($Z$50:$Z$50,$I$50:$I$50)+SUMPRODUCT($Z$51:$Z$52,$I$51:$I$52)),0,+SUMPRODUCT($Z$6:$Z$9,$I$6:$I$9)+SUMPRODUCT($Z$10:$Z$10,$I$10:$I$10)+SUMPRODUCT($Z$11:$Z$15,$I$11:$I$15)+SUMPRODUCT($Z$16:$Z$17,$I$16:$I$17)+SUMPRODUCT($Z$18:$Z$20,$I$18:$I$20)+SUMPRODUCT($Z$21:$Z$25,$I$21:$I$25)+SUMPRODUCT($Z$26:$Z$30,$I$26:$I$30)+SUMPRODUCT($Z$31:$Z$33,$I$31:$I$33)+SUMPRODUCT($Z$34:$Z$34,$I$34:$I$34)+SUMPRODUCT($Z$35:$Z$37,$I$35:$I$37)+SUMPRODUCT($Z$38:$Z$38,$I$38:$I$38)+SUMPRODUCT($Z$39:$Z$41,$I$39:$I$41)+SUMPRODUCT($Z$42:$Z$42,$I$42:$I$42)+SUMPRODUCT($Z$43:$Z$45,$I$43:$I$45)+SUMPRODUCT($Z$46:$Z$48,$I$46:$I$48)+SUMPRODUCT($Z$49:$Z$49,$I$49:$I$49)+SUMPRODUCT($Z$50:$Z$50,$I$50:$I$50)+SUMPRODUCT($Z$51:$Z$52,$I$51:$I$52))</f>
        <v>0</v>
      </c>
      <c r="AA56" s="53">
        <f>IF(ISERROR(+SUMPRODUCT($AA$6:$AA$9,$I$6:$I$9)+SUMPRODUCT($AA$10:$AA$10,$I$10:$I$10)+SUMPRODUCT($AA$11:$AA$15,$I$11:$I$15)+SUMPRODUCT($AA$16:$AA$17,$I$16:$I$17)+SUMPRODUCT($AA$18:$AA$20,$I$18:$I$20)+SUMPRODUCT($AA$21:$AA$25,$I$21:$I$25)+SUMPRODUCT($AA$26:$AA$30,$I$26:$I$30)+SUMPRODUCT($AA$31:$AA$33,$I$31:$I$33)+SUMPRODUCT($AA$34:$AA$34,$I$34:$I$34)+SUMPRODUCT($AA$35:$AA$37,$I$35:$I$37)+SUMPRODUCT($AA$38:$AA$38,$I$38:$I$38)+SUMPRODUCT($AA$39:$AA$41,$I$39:$I$41)+SUMPRODUCT($AA$42:$AA$42,$I$42:$I$42)+SUMPRODUCT($AA$43:$AA$45,$I$43:$I$45)+SUMPRODUCT($AA$46:$AA$48,$I$46:$I$48)+SUMPRODUCT($AA$49:$AA$49,$I$49:$I$49)+SUMPRODUCT($AA$50:$AA$50,$I$50:$I$50)+SUMPRODUCT($AA$51:$AA$52,$I$51:$I$52)),0,+SUMPRODUCT($AA$6:$AA$9,$I$6:$I$9)+SUMPRODUCT($AA$10:$AA$10,$I$10:$I$10)+SUMPRODUCT($AA$11:$AA$15,$I$11:$I$15)+SUMPRODUCT($AA$16:$AA$17,$I$16:$I$17)+SUMPRODUCT($AA$18:$AA$20,$I$18:$I$20)+SUMPRODUCT($AA$21:$AA$25,$I$21:$I$25)+SUMPRODUCT($AA$26:$AA$30,$I$26:$I$30)+SUMPRODUCT($AA$31:$AA$33,$I$31:$I$33)+SUMPRODUCT($AA$34:$AA$34,$I$34:$I$34)+SUMPRODUCT($AA$35:$AA$37,$I$35:$I$37)+SUMPRODUCT($AA$38:$AA$38,$I$38:$I$38)+SUMPRODUCT($AA$39:$AA$41,$I$39:$I$41)+SUMPRODUCT($AA$42:$AA$42,$I$42:$I$42)+SUMPRODUCT($AA$43:$AA$45,$I$43:$I$45)+SUMPRODUCT($AA$46:$AA$48,$I$46:$I$48)+SUMPRODUCT($AA$49:$AA$49,$I$49:$I$49)+SUMPRODUCT($AA$50:$AA$50,$I$50:$I$50)+SUMPRODUCT($AA$51:$AA$52,$I$51:$I$52))</f>
        <v>0</v>
      </c>
      <c r="AB56" s="53"/>
      <c r="AC56" s="53">
        <f>IF(ISERROR(+SUMPRODUCT($AC$6:$AC$9,$I$6:$I$9)+SUMPRODUCT($AC$10:$AC$10,$I$10:$I$10)+SUMPRODUCT($AC$11:$AC$15,$I$11:$I$15)+SUMPRODUCT($AC$16:$AC$17,$I$16:$I$17)+SUMPRODUCT($AC$18:$AC$20,$I$18:$I$20)+SUMPRODUCT($AC$21:$AC$25,$I$21:$I$25)+SUMPRODUCT($AC$26:$AC$30,$I$26:$I$30)+SUMPRODUCT($AC$31:$AC$33,$I$31:$I$33)+SUMPRODUCT($AC$34:$AC$34,$I$34:$I$34)+SUMPRODUCT($AC$35:$AC$37,$I$35:$I$37)+SUMPRODUCT($AC$38:$AC$38,$I$38:$I$38)+SUMPRODUCT($AC$39:$AC$41,$I$39:$I$41)+SUMPRODUCT($AC$42:$AC$42,$I$42:$I$42)+SUMPRODUCT($AC$43:$AC$45,$I$43:$I$45)+SUMPRODUCT($AC$46:$AC$48,$I$46:$I$48)+SUMPRODUCT($AC$49:$AC$49,$I$49:$I$49)+SUMPRODUCT($AC$50:$AC$50,$I$50:$I$50)+SUMPRODUCT($AC$51:$AC$52,$I$51:$I$52)),0,+SUMPRODUCT($AC$6:$AC$9,$I$6:$I$9)+SUMPRODUCT($AC$10:$AC$10,$I$10:$I$10)+SUMPRODUCT($AC$11:$AC$15,$I$11:$I$15)+SUMPRODUCT($AC$16:$AC$17,$I$16:$I$17)+SUMPRODUCT($AC$18:$AC$20,$I$18:$I$20)+SUMPRODUCT($AC$21:$AC$25,$I$21:$I$25)+SUMPRODUCT($AC$26:$AC$30,$I$26:$I$30)+SUMPRODUCT($AC$31:$AC$33,$I$31:$I$33)+SUMPRODUCT($AC$34:$AC$34,$I$34:$I$34)+SUMPRODUCT($AC$35:$AC$37,$I$35:$I$37)+SUMPRODUCT($AC$38:$AC$38,$I$38:$I$38)+SUMPRODUCT($AC$39:$AC$41,$I$39:$I$41)+SUMPRODUCT($AC$42:$AC$42,$I$42:$I$42)+SUMPRODUCT($AC$43:$AC$45,$I$43:$I$45)+SUMPRODUCT($AC$46:$AC$48,$I$46:$I$48)+SUMPRODUCT($AC$49:$AC$49,$I$49:$I$49)+SUMPRODUCT($AC$50:$AC$50,$I$50:$I$50)+SUMPRODUCT($AC$51:$AC$52,$I$51:$I$52))</f>
        <v>26345164.143453989</v>
      </c>
      <c r="AD56" s="53"/>
      <c r="AE56" s="53">
        <f>IF(ISERROR(+SUMPRODUCT($AE$6:$AE$9,$I$6:$I$9)+SUMPRODUCT($AE$10:$AE$10,$I$10:$I$10)+SUMPRODUCT($AE$11:$AE$15,$I$11:$I$15)+SUMPRODUCT($AE$16:$AE$17,$I$16:$I$17)+SUMPRODUCT($AE$18:$AE$20,$I$18:$I$20)+SUMPRODUCT($AE$21:$AE$25,$I$21:$I$25)+SUMPRODUCT($AE$26:$AE$30,$I$26:$I$30)+SUMPRODUCT($AE$31:$AE$33,$I$31:$I$33)+SUMPRODUCT($AE$34:$AE$34,$I$34:$I$34)+SUMPRODUCT($AE$35:$AE$37,$I$35:$I$37)+SUMPRODUCT($AE$38:$AE$38,$I$38:$I$38)+SUMPRODUCT($AE$39:$AE$41,$I$39:$I$41)+SUMPRODUCT($AE$42:$AE$42,$I$42:$I$42)+SUMPRODUCT($AE$43:$AE$45,$I$43:$I$45)+SUMPRODUCT($AE$46:$AE$48,$I$46:$I$48)+SUMPRODUCT($AE$49:$AE$49,$I$49:$I$49)+SUMPRODUCT($AE$50:$AE$50,$I$50:$I$50)+SUMPRODUCT($AE$51:$AE$52,$I$51:$I$52)),0,+SUMPRODUCT($AE$6:$AE$9,$I$6:$I$9)+SUMPRODUCT($AE$10:$AE$10,$I$10:$I$10)+SUMPRODUCT($AE$11:$AE$15,$I$11:$I$15)+SUMPRODUCT($AE$16:$AE$17,$I$16:$I$17)+SUMPRODUCT($AE$18:$AE$20,$I$18:$I$20)+SUMPRODUCT($AE$21:$AE$25,$I$21:$I$25)+SUMPRODUCT($AE$26:$AE$30,$I$26:$I$30)+SUMPRODUCT($AE$31:$AE$33,$I$31:$I$33)+SUMPRODUCT($AE$34:$AE$34,$I$34:$I$34)+SUMPRODUCT($AE$35:$AE$37,$I$35:$I$37)+SUMPRODUCT($AE$38:$AE$38,$I$38:$I$38)+SUMPRODUCT($AE$39:$AE$41,$I$39:$I$41)+SUMPRODUCT($AE$42:$AE$42,$I$42:$I$42)+SUMPRODUCT($AE$43:$AE$45,$I$43:$I$45)+SUMPRODUCT($AE$46:$AE$48,$I$46:$I$48)+SUMPRODUCT($AE$49:$AE$49,$I$49:$I$49)+SUMPRODUCT($AE$50:$AE$50,$I$50:$I$50)+SUMPRODUCT($AE$51:$AE$52,$I$51:$I$52))</f>
        <v>0</v>
      </c>
      <c r="AF56" s="53">
        <f>IF(ISERROR(+SUMPRODUCT($AF$6:$AF$9,$I$6:$I$9)+SUMPRODUCT($AF$10:$AF$10,$I$10:$I$10)+SUMPRODUCT($AF$11:$AF$15,$I$11:$I$15)+SUMPRODUCT($AF$16:$AF$17,$I$16:$I$17)+SUMPRODUCT($AF$18:$AF$20,$I$18:$I$20)+SUMPRODUCT($AF$21:$AF$25,$I$21:$I$25)+SUMPRODUCT($AF$26:$AF$30,$I$26:$I$30)+SUMPRODUCT($AF$31:$AF$33,$I$31:$I$33)+SUMPRODUCT($AF$34:$AF$34,$I$34:$I$34)+SUMPRODUCT($AF$35:$AF$37,$I$35:$I$37)+SUMPRODUCT($AF$38:$AF$38,$I$38:$I$38)+SUMPRODUCT($AF$39:$AF$41,$I$39:$I$41)+SUMPRODUCT($AF$42:$AF$42,$I$42:$I$42)+SUMPRODUCT($AF$43:$AF$45,$I$43:$I$45)+SUMPRODUCT($AF$46:$AF$48,$I$46:$I$48)+SUMPRODUCT($AF$49:$AF$49,$I$49:$I$49)+SUMPRODUCT($AF$50:$AF$50,$I$50:$I$50)+SUMPRODUCT($AF$51:$AF$52,$I$51:$I$52)),0,+SUMPRODUCT($AF$6:$AF$9,$I$6:$I$9)+SUMPRODUCT($AF$10:$AF$10,$I$10:$I$10)+SUMPRODUCT($AF$11:$AF$15,$I$11:$I$15)+SUMPRODUCT($AF$16:$AF$17,$I$16:$I$17)+SUMPRODUCT($AF$18:$AF$20,$I$18:$I$20)+SUMPRODUCT($AF$21:$AF$25,$I$21:$I$25)+SUMPRODUCT($AF$26:$AF$30,$I$26:$I$30)+SUMPRODUCT($AF$31:$AF$33,$I$31:$I$33)+SUMPRODUCT($AF$34:$AF$34,$I$34:$I$34)+SUMPRODUCT($AF$35:$AF$37,$I$35:$I$37)+SUMPRODUCT($AF$38:$AF$38,$I$38:$I$38)+SUMPRODUCT($AF$39:$AF$41,$I$39:$I$41)+SUMPRODUCT($AF$42:$AF$42,$I$42:$I$42)+SUMPRODUCT($AF$43:$AF$45,$I$43:$I$45)+SUMPRODUCT($AF$46:$AF$48,$I$46:$I$48)+SUMPRODUCT($AF$49:$AF$49,$I$49:$I$49)+SUMPRODUCT($AF$50:$AF$50,$I$50:$I$50)+SUMPRODUCT($AF$51:$AF$52,$I$51:$I$52))</f>
        <v>0</v>
      </c>
      <c r="AG56" s="53"/>
      <c r="AH56" s="53">
        <f>IF(ISERROR(+SUMPRODUCT($AH$6:$AH$9,$I$6:$I$9)+SUMPRODUCT($AH$10:$AH$10,$I$10:$I$10)+SUMPRODUCT($AH$11:$AH$15,$I$11:$I$15)+SUMPRODUCT($AH$16:$AH$17,$I$16:$I$17)+SUMPRODUCT($AH$18:$AH$20,$I$18:$I$20)+SUMPRODUCT($AH$21:$AH$25,$I$21:$I$25)+SUMPRODUCT($AH$26:$AH$30,$I$26:$I$30)+SUMPRODUCT($AH$31:$AH$33,$I$31:$I$33)+SUMPRODUCT($AH$34:$AH$34,$I$34:$I$34)+SUMPRODUCT($AH$35:$AH$37,$I$35:$I$37)+SUMPRODUCT($AH$38:$AH$38,$I$38:$I$38)+SUMPRODUCT($AH$39:$AH$41,$I$39:$I$41)+SUMPRODUCT($AH$42:$AH$42,$I$42:$I$42)+SUMPRODUCT($AH$43:$AH$45,$I$43:$I$45)+SUMPRODUCT($AH$46:$AH$48,$I$46:$I$48)+SUMPRODUCT($AH$49:$AH$49,$I$49:$I$49)+SUMPRODUCT($AH$50:$AH$50,$I$50:$I$50)+SUMPRODUCT($AH$51:$AH$52,$I$51:$I$52)),0,+SUMPRODUCT($AH$6:$AH$9,$I$6:$I$9)+SUMPRODUCT($AH$10:$AH$10,$I$10:$I$10)+SUMPRODUCT($AH$11:$AH$15,$I$11:$I$15)+SUMPRODUCT($AH$16:$AH$17,$I$16:$I$17)+SUMPRODUCT($AH$18:$AH$20,$I$18:$I$20)+SUMPRODUCT($AH$21:$AH$25,$I$21:$I$25)+SUMPRODUCT($AH$26:$AH$30,$I$26:$I$30)+SUMPRODUCT($AH$31:$AH$33,$I$31:$I$33)+SUMPRODUCT($AH$34:$AH$34,$I$34:$I$34)+SUMPRODUCT($AH$35:$AH$37,$I$35:$I$37)+SUMPRODUCT($AH$38:$AH$38,$I$38:$I$38)+SUMPRODUCT($AH$39:$AH$41,$I$39:$I$41)+SUMPRODUCT($AH$42:$AH$42,$I$42:$I$42)+SUMPRODUCT($AH$43:$AH$45,$I$43:$I$45)+SUMPRODUCT($AH$46:$AH$48,$I$46:$I$48)+SUMPRODUCT($AH$49:$AH$49,$I$49:$I$49)+SUMPRODUCT($AH$50:$AH$50,$I$50:$I$50)+SUMPRODUCT($AH$51:$AH$52,$I$51:$I$52))</f>
        <v>3173609.0951603195</v>
      </c>
      <c r="AI56" s="53">
        <f>IF(ISERROR(+SUMPRODUCT($AI$6:$AI$9,$I$6:$I$9)+SUMPRODUCT($AI$10:$AI$10,$I$10:$I$10)+SUMPRODUCT($AI$11:$AI$15,$I$11:$I$15)+SUMPRODUCT($AI$16:$AI$17,$I$16:$I$17)+SUMPRODUCT($AI$18:$AI$20,$I$18:$I$20)+SUMPRODUCT($AI$21:$AI$25,$I$21:$I$25)+SUMPRODUCT($AI$26:$AI$30,$I$26:$I$30)+SUMPRODUCT($AI$31:$AI$33,$I$31:$I$33)+SUMPRODUCT($AI$34:$AI$34,$I$34:$I$34)+SUMPRODUCT($AI$35:$AI$37,$I$35:$I$37)+SUMPRODUCT($AI$38:$AI$38,$I$38:$I$38)+SUMPRODUCT($AI$39:$AI$41,$I$39:$I$41)+SUMPRODUCT($AI$42:$AI$42,$I$42:$I$42)+SUMPRODUCT($AI$43:$AI$45,$I$43:$I$45)+SUMPRODUCT($AI$46:$AI$48,$I$46:$I$48)+SUMPRODUCT($AI$49:$AI$49,$I$49:$I$49)+SUMPRODUCT($AI$50:$AI$50,$I$50:$I$50)+SUMPRODUCT($AI$51:$AI$52,$I$51:$I$52)),0,+SUMPRODUCT($AI$6:$AI$9,$I$6:$I$9)+SUMPRODUCT($AI$10:$AI$10,$I$10:$I$10)+SUMPRODUCT($AI$11:$AI$15,$I$11:$I$15)+SUMPRODUCT($AI$16:$AI$17,$I$16:$I$17)+SUMPRODUCT($AI$18:$AI$20,$I$18:$I$20)+SUMPRODUCT($AI$21:$AI$25,$I$21:$I$25)+SUMPRODUCT($AI$26:$AI$30,$I$26:$I$30)+SUMPRODUCT($AI$31:$AI$33,$I$31:$I$33)+SUMPRODUCT($AI$34:$AI$34,$I$34:$I$34)+SUMPRODUCT($AI$35:$AI$37,$I$35:$I$37)+SUMPRODUCT($AI$38:$AI$38,$I$38:$I$38)+SUMPRODUCT($AI$39:$AI$41,$I$39:$I$41)+SUMPRODUCT($AI$42:$AI$42,$I$42:$I$42)+SUMPRODUCT($AI$43:$AI$45,$I$43:$I$45)+SUMPRODUCT($AI$46:$AI$48,$I$46:$I$48)+SUMPRODUCT($AI$49:$AI$49,$I$49:$I$49)+SUMPRODUCT($AI$50:$AI$50,$I$50:$I$50)+SUMPRODUCT($AI$51:$AI$52,$I$51:$I$52))</f>
        <v>3173596.8071603198</v>
      </c>
      <c r="AJ56" s="53">
        <f ca="1">IF(ISERROR(+SUMPRODUCT($AJ$6:$AJ$9,$I$6:$I$9)+SUMPRODUCT($AJ$10:$AJ$10,$I$10:$I$10)+SUMPRODUCT($AJ$11:$AJ$15,$I$11:$I$15)+SUMPRODUCT($AJ$16:$AJ$17,$I$16:$I$17)+SUMPRODUCT($AJ$18:$AJ$20,$I$18:$I$20)+SUMPRODUCT($AJ$21:$AJ$25,$I$21:$I$25)+SUMPRODUCT($AJ$26:$AJ$30,$I$26:$I$30)+SUMPRODUCT($AJ$31:$AJ$33,$I$31:$I$33)+SUMPRODUCT($AJ$34:$AJ$34,$I$34:$I$34)+SUMPRODUCT($AJ$35:$AJ$37,$I$35:$I$37)+SUMPRODUCT($AJ$38:$AJ$38,$I$38:$I$38)+SUMPRODUCT($AJ$39:$AJ$41,$I$39:$I$41)+SUMPRODUCT($AJ$42:$AJ$42,$I$42:$I$42)+SUMPRODUCT($AJ$43:$AJ$45,$I$43:$I$45)+SUMPRODUCT($AJ$46:$AJ$48,$I$46:$I$48)+SUMPRODUCT($AJ$49:$AJ$49,$I$49:$I$49)+SUMPRODUCT($AJ$50:$AJ$50,$I$50:$I$50)+SUMPRODUCT($AJ$51:$AJ$52,$I$51:$I$52)),0,+SUMPRODUCT($AJ$6:$AJ$9,$I$6:$I$9)+SUMPRODUCT($AJ$10:$AJ$10,$I$10:$I$10)+SUMPRODUCT($AJ$11:$AJ$15,$I$11:$I$15)+SUMPRODUCT($AJ$16:$AJ$17,$I$16:$I$17)+SUMPRODUCT($AJ$18:$AJ$20,$I$18:$I$20)+SUMPRODUCT($AJ$21:$AJ$25,$I$21:$I$25)+SUMPRODUCT($AJ$26:$AJ$30,$I$26:$I$30)+SUMPRODUCT($AJ$31:$AJ$33,$I$31:$I$33)+SUMPRODUCT($AJ$34:$AJ$34,$I$34:$I$34)+SUMPRODUCT($AJ$35:$AJ$37,$I$35:$I$37)+SUMPRODUCT($AJ$38:$AJ$38,$I$38:$I$38)+SUMPRODUCT($AJ$39:$AJ$41,$I$39:$I$41)+SUMPRODUCT($AJ$42:$AJ$42,$I$42:$I$42)+SUMPRODUCT($AJ$43:$AJ$45,$I$43:$I$45)+SUMPRODUCT($AJ$46:$AJ$48,$I$46:$I$48)+SUMPRODUCT($AJ$49:$AJ$49,$I$49:$I$49)+SUMPRODUCT($AJ$50:$AJ$50,$I$50:$I$50)+SUMPRODUCT($AJ$51:$AJ$52,$I$51:$I$52))</f>
        <v>415855.21410214831</v>
      </c>
      <c r="AK56" s="53">
        <f ca="1">IF(ISERROR(+SUMPRODUCT($AK$6:$AK$9,$I$6:$I$9)+SUMPRODUCT($AK$10:$AK$10,$I$10:$I$10)+SUMPRODUCT($AK$11:$AK$15,$I$11:$I$15)+SUMPRODUCT($AK$16:$AK$17,$I$16:$I$17)+SUMPRODUCT($AK$18:$AK$20,$I$18:$I$20)+SUMPRODUCT($AK$21:$AK$25,$I$21:$I$25)+SUMPRODUCT($AK$26:$AK$30,$I$26:$I$30)+SUMPRODUCT($AK$31:$AK$33,$I$31:$I$33)+SUMPRODUCT($AK$34:$AK$34,$I$34:$I$34)+SUMPRODUCT($AK$35:$AK$37,$I$35:$I$37)+SUMPRODUCT($AK$38:$AK$38,$I$38:$I$38)+SUMPRODUCT($AK$39:$AK$41,$I$39:$I$41)+SUMPRODUCT($AK$42:$AK$42,$I$42:$I$42)+SUMPRODUCT($AK$43:$AK$45,$I$43:$I$45)+SUMPRODUCT($AK$46:$AK$48,$I$46:$I$48)+SUMPRODUCT($AK$49:$AK$49,$I$49:$I$49)+SUMPRODUCT($AK$50:$AK$50,$I$50:$I$50)+SUMPRODUCT($AK$51:$AK$52,$I$51:$I$52)),0,+SUMPRODUCT($AK$6:$AK$9,$I$6:$I$9)+SUMPRODUCT($AK$10:$AK$10,$I$10:$I$10)+SUMPRODUCT($AK$11:$AK$15,$I$11:$I$15)+SUMPRODUCT($AK$16:$AK$17,$I$16:$I$17)+SUMPRODUCT($AK$18:$AK$20,$I$18:$I$20)+SUMPRODUCT($AK$21:$AK$25,$I$21:$I$25)+SUMPRODUCT($AK$26:$AK$30,$I$26:$I$30)+SUMPRODUCT($AK$31:$AK$33,$I$31:$I$33)+SUMPRODUCT($AK$34:$AK$34,$I$34:$I$34)+SUMPRODUCT($AK$35:$AK$37,$I$35:$I$37)+SUMPRODUCT($AK$38:$AK$38,$I$38:$I$38)+SUMPRODUCT($AK$39:$AK$41,$I$39:$I$41)+SUMPRODUCT($AK$42:$AK$42,$I$42:$I$42)+SUMPRODUCT($AK$43:$AK$45,$I$43:$I$45)+SUMPRODUCT($AK$46:$AK$48,$I$46:$I$48)+SUMPRODUCT($AK$49:$AK$49,$I$49:$I$49)+SUMPRODUCT($AK$50:$AK$50,$I$50:$I$50)+SUMPRODUCT($AK$51:$AK$52,$I$51:$I$52))</f>
        <v>415855.21410214831</v>
      </c>
      <c r="AL56" s="53"/>
      <c r="AM56" s="53"/>
    </row>
    <row r="57" spans="1:42" ht="11.25" customHeight="1" x14ac:dyDescent="0.25">
      <c r="K57" s="68" t="s">
        <v>604</v>
      </c>
      <c r="L57" s="53">
        <f>CUSTOS!$D$2</f>
        <v>1142573.8820889951</v>
      </c>
      <c r="M57" s="53">
        <f>CUSTOS!$D$3</f>
        <v>135866.19550768039</v>
      </c>
      <c r="N57" s="53">
        <f>CUSTOS!$D$4</f>
        <v>339394.07104977674</v>
      </c>
      <c r="O57" s="53">
        <f>CUSTOS!$D$5</f>
        <v>0</v>
      </c>
      <c r="P57" s="53">
        <f>CUSTOS!$D$6</f>
        <v>0</v>
      </c>
      <c r="Q57" s="53">
        <f>CUSTOS!$D$7</f>
        <v>16244058.449907003</v>
      </c>
      <c r="R57" s="53">
        <f>CUSTOS!$D$8</f>
        <v>2752849.9760466153</v>
      </c>
      <c r="S57" s="53">
        <f>CUSTOS!$D$9</f>
        <v>0</v>
      </c>
      <c r="T57" s="53">
        <f>CUSTOS!$D$10</f>
        <v>20614742.574600071</v>
      </c>
      <c r="U57" s="53">
        <f>CUSTOS!$D$11</f>
        <v>7372778.8000000007</v>
      </c>
      <c r="V57" s="53">
        <f>IF(SUM(V54:V56)&lt;&gt;0,CUSTOS!$D$12+CUSTOS!$D$16+CUSTOS!$D$17-'TR TUSD'!$Z$55-'TR TUSD'!$AA$55,0)</f>
        <v>2224972.7999999998</v>
      </c>
      <c r="W57" s="53">
        <f>CUSTOS!$D$13</f>
        <v>4170396.62053457</v>
      </c>
      <c r="X57" s="53">
        <f>CUSTOS!$D$14</f>
        <v>0</v>
      </c>
      <c r="Y57" s="53">
        <f>IF(SUM(V54:V56)=0,CUSTOS!$D$15+CUSTOS!$D$16+CUSTOS!$D$17-'TR TUSD'!$Z$55-'TR TUSD'!$AA$55,CUSTOS!$D$15)</f>
        <v>0</v>
      </c>
      <c r="Z57" s="53">
        <f>Z55</f>
        <v>0</v>
      </c>
      <c r="AA57" s="53">
        <f>AA55</f>
        <v>0</v>
      </c>
      <c r="AB57" s="53">
        <f>CUSTOS!$D$18</f>
        <v>13768148.220534571</v>
      </c>
      <c r="AC57" s="53">
        <f>CUSTOS!$D$19</f>
        <v>30321572.604258131</v>
      </c>
      <c r="AD57" s="53">
        <f>CUSTOS!$D$20</f>
        <v>30321572.604258131</v>
      </c>
      <c r="AE57" s="53">
        <f>CUSTOS!$D$21</f>
        <v>0</v>
      </c>
      <c r="AF57" s="53">
        <f>CUSTOS!$D$22</f>
        <v>0</v>
      </c>
      <c r="AG57" s="53">
        <f>CUSTOS!$D$23</f>
        <v>0</v>
      </c>
      <c r="AH57" s="53">
        <f>CUSTOS!$D$24</f>
        <v>2427974.5024546832</v>
      </c>
      <c r="AI57" s="53">
        <f>CUSTOS!$D$25</f>
        <v>83270.010285088894</v>
      </c>
      <c r="AJ57" s="53">
        <f>CUSTOS!$D$26</f>
        <v>421605.43877786858</v>
      </c>
      <c r="AK57" s="53">
        <f>CUSTOS!$D$27</f>
        <v>52056.945729899133</v>
      </c>
      <c r="AL57" s="53">
        <f>CUSTOS!$D$28</f>
        <v>2984906.8972475398</v>
      </c>
      <c r="AM57" s="53">
        <f>CUSTOS!$D$29</f>
        <v>67689370.296640307</v>
      </c>
    </row>
    <row r="58" spans="1:42" ht="11.25" customHeight="1" x14ac:dyDescent="0.25">
      <c r="K58" s="68" t="s">
        <v>605</v>
      </c>
      <c r="L58" s="53">
        <f>CUSTOS!$E$2</f>
        <v>-78044.863489655312</v>
      </c>
      <c r="M58" s="53">
        <f>CUSTOS!$E$3</f>
        <v>-9076.8183316994891</v>
      </c>
      <c r="N58" s="53">
        <f>CUSTOS!$E$4</f>
        <v>3.9082317569640096E-6</v>
      </c>
      <c r="O58" s="53">
        <f>CUSTOS!$E$5</f>
        <v>0</v>
      </c>
      <c r="P58" s="53">
        <f>CUSTOS!$E$6</f>
        <v>0</v>
      </c>
      <c r="Q58" s="53">
        <f>CUSTOS!$E$7</f>
        <v>244919.71658750251</v>
      </c>
      <c r="R58" s="53">
        <f>CUSTOS!$E$8</f>
        <v>-270812.93972837052</v>
      </c>
      <c r="S58" s="53">
        <f>CUSTOS!$E$9</f>
        <v>0</v>
      </c>
      <c r="T58" s="53">
        <f>CUSTOS!$E$10</f>
        <v>-113014.90495831455</v>
      </c>
      <c r="U58" s="53">
        <f>CUSTOS!$E$11</f>
        <v>-353985.26375235571</v>
      </c>
      <c r="V58" s="53">
        <f>CUSTOS!$E$12</f>
        <v>61742.455691510098</v>
      </c>
      <c r="W58" s="53">
        <f>CUSTOS!$E$13</f>
        <v>-124873.73627653578</v>
      </c>
      <c r="X58" s="53">
        <f>CUSTOS!$E$14</f>
        <v>0</v>
      </c>
      <c r="Y58" s="53">
        <f>CUSTOS!$E$15</f>
        <v>0</v>
      </c>
      <c r="Z58" s="53">
        <f>CUSTOS!$E$16</f>
        <v>0</v>
      </c>
      <c r="AA58" s="53">
        <f>CUSTOS!$E$17</f>
        <v>0</v>
      </c>
      <c r="AB58" s="53">
        <f>CUSTOS!$E$18</f>
        <v>-417116.54433738138</v>
      </c>
      <c r="AC58" s="53">
        <f>CUSTOS!$E$19</f>
        <v>-242826.43374005141</v>
      </c>
      <c r="AD58" s="53">
        <f>CUSTOS!$E$20</f>
        <v>-242826.43374005141</v>
      </c>
      <c r="AE58" s="53">
        <f>CUSTOS!$E$21</f>
        <v>-12641722.925023135</v>
      </c>
      <c r="AF58" s="53">
        <f>CUSTOS!$E$22</f>
        <v>0</v>
      </c>
      <c r="AG58" s="53">
        <f>CUSTOS!$E$23</f>
        <v>-12641722.925023135</v>
      </c>
      <c r="AH58" s="53">
        <f>CUSTOS!$E$24</f>
        <v>-67538.024107355508</v>
      </c>
      <c r="AI58" s="53">
        <f>CUSTOS!$E$25</f>
        <v>-2316.2895476737172</v>
      </c>
      <c r="AJ58" s="53">
        <f>CUSTOS!$E$26</f>
        <v>-11727.634808019713</v>
      </c>
      <c r="AK58" s="53">
        <f>CUSTOS!$E$27</f>
        <v>3357.3325199911305</v>
      </c>
      <c r="AL58" s="53">
        <f>CUSTOS!$E$28</f>
        <v>-78224.615943057797</v>
      </c>
      <c r="AM58" s="53">
        <f>CUSTOS!$E$29</f>
        <v>-13492905.42400194</v>
      </c>
    </row>
    <row r="59" spans="1:42" ht="11.25" customHeight="1" x14ac:dyDescent="0.25">
      <c r="K59" s="68" t="s">
        <v>606</v>
      </c>
      <c r="L59" s="53">
        <f>CUSTOS!$F$2</f>
        <v>74952.677252192239</v>
      </c>
      <c r="M59" s="53">
        <f>CUSTOS!$F$3</f>
        <v>0</v>
      </c>
      <c r="N59" s="53">
        <f>CUSTOS!$F$4</f>
        <v>0</v>
      </c>
      <c r="O59" s="53">
        <f>CUSTOS!$F$5</f>
        <v>0</v>
      </c>
      <c r="P59" s="53">
        <f>CUSTOS!$F$6</f>
        <v>0</v>
      </c>
      <c r="Q59" s="53">
        <f>CUSTOS!$F$7</f>
        <v>2778434.2493877113</v>
      </c>
      <c r="R59" s="53">
        <f>CUSTOS!$F$8</f>
        <v>643424.43138696544</v>
      </c>
      <c r="S59" s="53">
        <f>CUSTOS!$F$9</f>
        <v>0</v>
      </c>
      <c r="T59" s="53">
        <f>CUSTOS!$F$10</f>
        <v>3496811.3580268687</v>
      </c>
      <c r="U59" s="53">
        <f>CUSTOS!$F$11</f>
        <v>561973.09326562204</v>
      </c>
      <c r="V59" s="53">
        <f>CUSTOS!$F$12</f>
        <v>169593.43020678608</v>
      </c>
      <c r="W59" s="53">
        <f>CUSTOS!$F$13</f>
        <v>0</v>
      </c>
      <c r="X59" s="53">
        <f>CUSTOS!$F$14</f>
        <v>0</v>
      </c>
      <c r="Y59" s="53">
        <f>CUSTOS!$F$15</f>
        <v>0</v>
      </c>
      <c r="Z59" s="53">
        <f>CUSTOS!$F$16</f>
        <v>0</v>
      </c>
      <c r="AA59" s="53">
        <f>CUSTOS!$F$17</f>
        <v>0</v>
      </c>
      <c r="AB59" s="53">
        <f>CUSTOS!$F$18</f>
        <v>731566.52347240807</v>
      </c>
      <c r="AC59" s="53">
        <f>CUSTOS!$F$19</f>
        <v>0</v>
      </c>
      <c r="AD59" s="53">
        <f>CUSTOS!$F$20</f>
        <v>0</v>
      </c>
      <c r="AE59" s="53">
        <f>CUSTOS!$F$21</f>
        <v>0</v>
      </c>
      <c r="AF59" s="53">
        <f>CUSTOS!$F$22</f>
        <v>0</v>
      </c>
      <c r="AG59" s="53">
        <f>CUSTOS!$F$23</f>
        <v>0</v>
      </c>
      <c r="AH59" s="53">
        <f>CUSTOS!$F$24</f>
        <v>282249.11568224744</v>
      </c>
      <c r="AI59" s="53">
        <f>CUSTOS!$F$25</f>
        <v>9680.0385432617059</v>
      </c>
      <c r="AJ59" s="53">
        <f>CUSTOS!$F$26</f>
        <v>49011.125175150133</v>
      </c>
      <c r="AK59" s="53">
        <f>CUSTOS!$F$27</f>
        <v>0</v>
      </c>
      <c r="AL59" s="53">
        <f>CUSTOS!$F$28</f>
        <v>340940.27940065926</v>
      </c>
      <c r="AM59" s="53">
        <f>CUSTOS!$F$29</f>
        <v>4569318.1608999353</v>
      </c>
    </row>
    <row r="60" spans="1:42" ht="11.25" customHeight="1" x14ac:dyDescent="0.25">
      <c r="K60" s="68" t="s">
        <v>658</v>
      </c>
      <c r="L60" s="53">
        <v>0</v>
      </c>
      <c r="M60" s="53">
        <v>0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/>
      <c r="U60" s="53">
        <v>0</v>
      </c>
      <c r="V60" s="53">
        <v>0</v>
      </c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/>
      <c r="AC60" s="53">
        <v>0</v>
      </c>
      <c r="AD60" s="53"/>
      <c r="AE60" s="53">
        <v>0</v>
      </c>
      <c r="AF60" s="53">
        <v>0</v>
      </c>
      <c r="AG60" s="53"/>
      <c r="AH60" s="53">
        <v>0</v>
      </c>
      <c r="AI60" s="53">
        <v>0</v>
      </c>
      <c r="AJ60" s="53">
        <v>0</v>
      </c>
      <c r="AK60" s="53">
        <v>0</v>
      </c>
      <c r="AL60" s="53"/>
      <c r="AM60" s="53"/>
    </row>
    <row r="61" spans="1:42" ht="11.25" customHeight="1" x14ac:dyDescent="0.25">
      <c r="K61" s="68" t="s">
        <v>659</v>
      </c>
      <c r="L61" s="53">
        <f t="shared" ref="L61:S61" si="1">IF((L56+L54)&lt;&gt;0,(L57-L55-L60)/(L56+L54),0)</f>
        <v>6.1966214554290531</v>
      </c>
      <c r="M61" s="53">
        <f t="shared" si="1"/>
        <v>1.0016013111952209</v>
      </c>
      <c r="N61" s="53">
        <f t="shared" ca="1" si="1"/>
        <v>0.90182872224985466</v>
      </c>
      <c r="O61" s="53">
        <f t="shared" si="1"/>
        <v>0</v>
      </c>
      <c r="P61" s="53">
        <f t="shared" si="1"/>
        <v>0</v>
      </c>
      <c r="Q61" s="53">
        <f t="shared" si="1"/>
        <v>88.097831301640994</v>
      </c>
      <c r="R61" s="53">
        <f t="shared" si="1"/>
        <v>13.882281717726123</v>
      </c>
      <c r="S61" s="53">
        <f t="shared" si="1"/>
        <v>0</v>
      </c>
      <c r="T61" s="53"/>
      <c r="U61" s="53">
        <f>IF(U56&lt;&gt;0,(U57-U55-U54-U60)/U56,0)</f>
        <v>1.1042027999734114</v>
      </c>
      <c r="V61" s="53">
        <f>IF(V56&lt;&gt;0,(V57-V55-V54-V60)/V56,0)</f>
        <v>1.1046496694732353</v>
      </c>
      <c r="W61" s="53">
        <f>IF(W56&lt;&gt;0,(W57-W55-W54-W60)/W56,0)</f>
        <v>1.1050435025390029</v>
      </c>
      <c r="X61" s="53">
        <f>IF(X56&lt;&gt;0,(X57-X55-X54-X60)/X56,0)</f>
        <v>0</v>
      </c>
      <c r="Y61" s="53">
        <f>IF(Y56&lt;&gt;0,(Y57-Y55-Y54-Y60)/Y56,0)</f>
        <v>0</v>
      </c>
      <c r="Z61" s="53"/>
      <c r="AA61" s="53"/>
      <c r="AB61" s="53"/>
      <c r="AC61" s="53">
        <f>IF(AC56&lt;&gt;0,(AC57-AC55-AC54-AC60)/AC56,0)</f>
        <v>1.135867776280008</v>
      </c>
      <c r="AD61" s="53"/>
      <c r="AE61" s="53">
        <f>IF((AE56+AE54)&lt;&gt;0,(AE57-AE55-AE60)/(AE56+AE54),0)</f>
        <v>0</v>
      </c>
      <c r="AF61" s="53">
        <f>IF((AF56+AF54)&lt;&gt;0,(AF57-AF55-AF60)/(AF56+AF54),0)</f>
        <v>0</v>
      </c>
      <c r="AG61" s="53"/>
      <c r="AH61" s="53">
        <f>IF(AH56&lt;&gt;0,(AH57-AH55-AH54-AH60)/AH56,0)</f>
        <v>0.76505153270366166</v>
      </c>
      <c r="AI61" s="53">
        <f>IF(AI56&lt;&gt;0,(AI57-AI55-AI54-AI60)/AI56,0)</f>
        <v>2.6238370954121761E-2</v>
      </c>
      <c r="AJ61" s="53">
        <f ca="1">IF((AJ56+AJ54)&lt;&gt;0,(AJ57-AJ55-AJ60)/(AJ56+AJ54),0)</f>
        <v>1.0138274680242625</v>
      </c>
      <c r="AK61" s="53">
        <f ca="1">IF((AK56+AK54)&lt;&gt;0,(AK57-AK55-AK60)/(AK56+AK54),0)</f>
        <v>0.12518045695854174</v>
      </c>
      <c r="AL61" s="53"/>
      <c r="AM61" s="53"/>
    </row>
    <row r="63" spans="1:42" ht="11.25" customHeight="1" x14ac:dyDescent="0.25">
      <c r="K63" s="75" t="s">
        <v>1265</v>
      </c>
      <c r="L63" s="75" t="s">
        <v>1266</v>
      </c>
      <c r="M63" s="75" t="s">
        <v>1267</v>
      </c>
      <c r="N63" s="75" t="s">
        <v>1268</v>
      </c>
      <c r="O63" s="75" t="s">
        <v>1269</v>
      </c>
      <c r="P63" s="75" t="s">
        <v>1270</v>
      </c>
    </row>
    <row r="64" spans="1:42" ht="11.25" customHeight="1" x14ac:dyDescent="0.25">
      <c r="K64" s="74" t="s">
        <v>62</v>
      </c>
      <c r="L64" s="74"/>
      <c r="M64" s="74"/>
      <c r="N64" s="74">
        <f ca="1">IF(AND($L$72&lt;&gt;0,M64&lt;&gt;0),(L64/$L$72*$AJ$57)/M64,0)</f>
        <v>0</v>
      </c>
      <c r="O64" s="74"/>
      <c r="P64" s="74"/>
    </row>
    <row r="65" spans="11:16" ht="11.25" customHeight="1" x14ac:dyDescent="0.25">
      <c r="K65" s="74" t="s">
        <v>38</v>
      </c>
      <c r="L65" s="74">
        <f ca="1">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</f>
        <v>24116958.553453811</v>
      </c>
      <c r="M65" s="74">
        <f>+'TUSD BE'!$I$8+'TUSD BE'!$I$9+'TUSD BE'!$I$12+'TUSD BE'!$I$13+'TUSD BE'!$I$14+'TUSD BE'!$I$15</f>
        <v>86955.908999999985</v>
      </c>
      <c r="N65" s="74">
        <f ca="1">IF(AND($L$72&lt;&gt;0,M65&lt;&gt;0),(L65/$L$72*$AJ$57)/M65,0)</f>
        <v>1.7528460120727856</v>
      </c>
      <c r="O65" s="74"/>
      <c r="P65" s="74"/>
    </row>
    <row r="66" spans="11:16" ht="11.25" customHeight="1" x14ac:dyDescent="0.25">
      <c r="K66" s="74" t="s">
        <v>90</v>
      </c>
      <c r="L66" s="74">
        <f ca="1">+$L$67+$L$68+$L$69+$L$70+$L$71</f>
        <v>42592263.715601869</v>
      </c>
      <c r="M66" s="74">
        <f>+$M$67+$M$68+$M$69+$M$70+$M$71</f>
        <v>115329.81999999999</v>
      </c>
      <c r="N66" s="74">
        <f ca="1">IF(AND($L$72&lt;&gt;0,M66&lt;&gt;0),(L66/$L$72*$AJ$57)/M66,0)</f>
        <v>2.3340461336110176</v>
      </c>
      <c r="O66" s="74"/>
      <c r="P66" s="74"/>
    </row>
    <row r="67" spans="11:16" ht="11.25" customHeight="1" x14ac:dyDescent="0.25">
      <c r="K67" s="74" t="s">
        <v>90</v>
      </c>
      <c r="L67" s="74"/>
      <c r="M67" s="74"/>
      <c r="N67" s="74">
        <f ca="1">IF(AND($L$72&lt;&gt;0,M67&lt;&gt;0),(L67/$L$72*$AJ$57)/M67,0)</f>
        <v>0</v>
      </c>
      <c r="O67" s="74"/>
      <c r="P67" s="74"/>
    </row>
    <row r="68" spans="11:16" ht="11.25" customHeight="1" x14ac:dyDescent="0.25">
      <c r="K68" s="74" t="s">
        <v>22</v>
      </c>
      <c r="L68" s="74">
        <f ca="1">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</f>
        <v>24367433.028011028</v>
      </c>
      <c r="M68" s="74">
        <f>+'TUSD BE'!$I$18+'TUSD BE'!$I$19+'TUSD BE'!$I$20+'TUSD BE'!$I$21+'TUSD BE'!$I$22+'TUSD BE'!$I$23+'TUSD BE'!$I$24+'TUSD BE'!$I$25+'TUSD BE'!$I$26+'TUSD BE'!$I$27+'TUSD BE'!$I$28+'TUSD BE'!$I$29+'TUSD BE'!$I$30</f>
        <v>64748.57499999999</v>
      </c>
      <c r="N68" s="74"/>
      <c r="O68" s="74"/>
      <c r="P68" s="74"/>
    </row>
    <row r="69" spans="11:16" ht="11.25" customHeight="1" x14ac:dyDescent="0.25">
      <c r="K69" s="74" t="s">
        <v>42</v>
      </c>
      <c r="L69" s="74">
        <f ca="1">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</f>
        <v>7095826.7900302177</v>
      </c>
      <c r="M69" s="74">
        <f>+'TUSD BE'!$I$31+'TUSD BE'!$I$32+'TUSD BE'!$I$33+'TUSD BE'!$I$34+'TUSD BE'!$I$35+'TUSD BE'!$I$36+'TUSD BE'!$I$37+'TUSD BE'!$I$38+'TUSD BE'!$I$39+'TUSD BE'!$I$40+'TUSD BE'!$I$41+'TUSD BE'!$I$42+'TUSD BE'!$I$43+'TUSD BE'!$I$44+'TUSD BE'!$I$45</f>
        <v>18727.453000000001</v>
      </c>
      <c r="N69" s="74"/>
      <c r="O69" s="74"/>
      <c r="P69" s="74"/>
    </row>
    <row r="70" spans="11:16" ht="11.25" customHeight="1" x14ac:dyDescent="0.25">
      <c r="K70" s="74" t="s">
        <v>36</v>
      </c>
      <c r="L70" s="74">
        <f ca="1">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</f>
        <v>9988097.9507343452</v>
      </c>
      <c r="M70" s="74">
        <f>+'TUSD BE'!$I$46+'TUSD BE'!$I$47+'TUSD BE'!$I$48+'TUSD BE'!$I$49+'TUSD BE'!$I$50</f>
        <v>26379.06</v>
      </c>
      <c r="N70" s="74"/>
      <c r="O70" s="74"/>
      <c r="P70" s="74"/>
    </row>
    <row r="71" spans="11:16" ht="11.25" customHeight="1" x14ac:dyDescent="0.25">
      <c r="K71" s="74" t="s">
        <v>45</v>
      </c>
      <c r="L71" s="74">
        <f ca="1">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</f>
        <v>1140905.9468262792</v>
      </c>
      <c r="M71" s="74">
        <f>+'TUSD BE'!$I$51+'TUSD BE'!$I$52</f>
        <v>5474.732</v>
      </c>
      <c r="N71" s="74"/>
      <c r="O71" s="74"/>
      <c r="P71" s="74"/>
    </row>
    <row r="72" spans="11:16" ht="11.25" customHeight="1" x14ac:dyDescent="0.25">
      <c r="K72" s="74"/>
      <c r="L72" s="74">
        <f ca="1">SUM($L$64:$L$71,-$L$66)</f>
        <v>66709222.269055672</v>
      </c>
      <c r="M72" s="74">
        <f>SUM($M$64:$M$71,-$M$66)</f>
        <v>202285.72899999999</v>
      </c>
      <c r="N72" s="74"/>
      <c r="O72" s="74"/>
      <c r="P72" s="74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6:E48"/>
    <mergeCell ref="F46:F48"/>
    <mergeCell ref="A51:A52"/>
    <mergeCell ref="B51:B52"/>
    <mergeCell ref="C51:C52"/>
    <mergeCell ref="B43:B45"/>
    <mergeCell ref="C43:C45"/>
    <mergeCell ref="A46:A50"/>
    <mergeCell ref="B46:B48"/>
    <mergeCell ref="C46:C48"/>
    <mergeCell ref="D46:D48"/>
    <mergeCell ref="F35:F37"/>
    <mergeCell ref="B39:B41"/>
    <mergeCell ref="C39:C41"/>
    <mergeCell ref="D39:D41"/>
    <mergeCell ref="E39:E41"/>
    <mergeCell ref="F39:F41"/>
    <mergeCell ref="A31:A45"/>
    <mergeCell ref="B31:B33"/>
    <mergeCell ref="C31:C33"/>
    <mergeCell ref="D31:D33"/>
    <mergeCell ref="E31:E33"/>
    <mergeCell ref="F31:F33"/>
    <mergeCell ref="B35:B37"/>
    <mergeCell ref="C35:C37"/>
    <mergeCell ref="D35:D37"/>
    <mergeCell ref="E35:E37"/>
    <mergeCell ref="F14:F15"/>
    <mergeCell ref="A18:A30"/>
    <mergeCell ref="B18:B20"/>
    <mergeCell ref="C18:C20"/>
    <mergeCell ref="D18:D20"/>
    <mergeCell ref="E18:E20"/>
    <mergeCell ref="F18:F20"/>
    <mergeCell ref="B21:B25"/>
    <mergeCell ref="C21:C25"/>
    <mergeCell ref="B26:B30"/>
    <mergeCell ref="C26:C30"/>
    <mergeCell ref="E6:E8"/>
    <mergeCell ref="F6:F8"/>
    <mergeCell ref="B11:B15"/>
    <mergeCell ref="C11:C15"/>
    <mergeCell ref="A16:A17"/>
    <mergeCell ref="B16:B17"/>
    <mergeCell ref="C16:C17"/>
    <mergeCell ref="D16:D17"/>
    <mergeCell ref="A6:A15"/>
    <mergeCell ref="B6:B9"/>
    <mergeCell ref="C6:C9"/>
    <mergeCell ref="D6:D9"/>
    <mergeCell ref="D11:D15"/>
    <mergeCell ref="E11:E13"/>
    <mergeCell ref="F11:F13"/>
    <mergeCell ref="E14:E15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2D5E1-6B96-4871-8206-1A5569169831}">
  <dimension ref="A1:AP59"/>
  <sheetViews>
    <sheetView showGridLines="0" topLeftCell="AB29" workbookViewId="0">
      <selection activeCell="AM54" sqref="AM54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71</v>
      </c>
      <c r="B1" s="132" t="s">
        <v>72</v>
      </c>
      <c r="C1" s="132" t="s">
        <v>73</v>
      </c>
      <c r="D1" s="132" t="s">
        <v>74</v>
      </c>
      <c r="E1" s="132" t="s">
        <v>75</v>
      </c>
      <c r="F1" s="132" t="s">
        <v>15</v>
      </c>
      <c r="G1" s="132" t="s">
        <v>77</v>
      </c>
      <c r="H1" s="132" t="s">
        <v>78</v>
      </c>
      <c r="I1" s="132" t="s">
        <v>652</v>
      </c>
      <c r="J1" s="125"/>
      <c r="L1" s="133" t="s">
        <v>660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654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5"/>
      <c r="L2" s="133" t="s">
        <v>562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5"/>
      <c r="L3" s="133" t="s">
        <v>563</v>
      </c>
      <c r="M3" s="133"/>
      <c r="N3" s="133"/>
      <c r="O3" s="133"/>
      <c r="P3" s="133"/>
      <c r="Q3" s="133"/>
      <c r="R3" s="133"/>
      <c r="S3" s="133"/>
      <c r="T3" s="133"/>
      <c r="U3" s="133" t="s">
        <v>572</v>
      </c>
      <c r="V3" s="133"/>
      <c r="W3" s="133"/>
      <c r="X3" s="133"/>
      <c r="Y3" s="133"/>
      <c r="Z3" s="133"/>
      <c r="AA3" s="133"/>
      <c r="AB3" s="133"/>
      <c r="AC3" s="133" t="s">
        <v>580</v>
      </c>
      <c r="AD3" s="133"/>
      <c r="AE3" s="133" t="s">
        <v>582</v>
      </c>
      <c r="AF3" s="133"/>
      <c r="AG3" s="133"/>
      <c r="AH3" s="133" t="s">
        <v>585</v>
      </c>
      <c r="AI3" s="133"/>
      <c r="AJ3" s="133"/>
      <c r="AK3" s="133"/>
      <c r="AL3" s="133"/>
      <c r="AM3" s="133" t="s">
        <v>571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5"/>
      <c r="L4" s="69" t="s">
        <v>648</v>
      </c>
      <c r="M4" s="69" t="s">
        <v>564</v>
      </c>
      <c r="N4" s="69" t="s">
        <v>565</v>
      </c>
      <c r="O4" s="69" t="s">
        <v>566</v>
      </c>
      <c r="P4" s="69" t="s">
        <v>567</v>
      </c>
      <c r="Q4" s="69" t="s">
        <v>568</v>
      </c>
      <c r="R4" s="69" t="s">
        <v>569</v>
      </c>
      <c r="S4" s="69" t="s">
        <v>570</v>
      </c>
      <c r="T4" s="69" t="s">
        <v>571</v>
      </c>
      <c r="U4" s="69" t="s">
        <v>573</v>
      </c>
      <c r="V4" s="69" t="s">
        <v>574</v>
      </c>
      <c r="W4" s="69" t="s">
        <v>575</v>
      </c>
      <c r="X4" s="69" t="s">
        <v>576</v>
      </c>
      <c r="Y4" s="69" t="s">
        <v>577</v>
      </c>
      <c r="Z4" s="69" t="s">
        <v>578</v>
      </c>
      <c r="AA4" s="69" t="s">
        <v>579</v>
      </c>
      <c r="AB4" s="69" t="s">
        <v>571</v>
      </c>
      <c r="AC4" s="69" t="s">
        <v>581</v>
      </c>
      <c r="AD4" s="69" t="s">
        <v>571</v>
      </c>
      <c r="AE4" s="69" t="s">
        <v>583</v>
      </c>
      <c r="AF4" s="69" t="s">
        <v>584</v>
      </c>
      <c r="AG4" s="69" t="s">
        <v>571</v>
      </c>
      <c r="AH4" s="69" t="s">
        <v>586</v>
      </c>
      <c r="AI4" s="69" t="s">
        <v>587</v>
      </c>
      <c r="AJ4" s="69" t="s">
        <v>588</v>
      </c>
      <c r="AK4" s="69" t="s">
        <v>589</v>
      </c>
      <c r="AL4" s="69" t="s">
        <v>571</v>
      </c>
      <c r="AM4" s="135"/>
      <c r="AP4" s="134"/>
    </row>
    <row r="5" spans="1:42" ht="11.25" customHeight="1" x14ac:dyDescent="0.25">
      <c r="A5" s="73" t="s">
        <v>62</v>
      </c>
      <c r="B5" s="73" t="s">
        <v>59</v>
      </c>
      <c r="C5" s="73" t="s">
        <v>25</v>
      </c>
      <c r="D5" s="73" t="s">
        <v>25</v>
      </c>
      <c r="E5" s="73" t="s">
        <v>25</v>
      </c>
      <c r="F5" s="73" t="s">
        <v>25</v>
      </c>
      <c r="G5" s="74" t="s">
        <v>9</v>
      </c>
      <c r="H5" s="74" t="s">
        <v>80</v>
      </c>
      <c r="I5" s="74">
        <f>'MERCADO TUSD'!$U$2</f>
        <v>27600</v>
      </c>
      <c r="J5" s="15"/>
      <c r="L5" s="53">
        <f>'TR TUSD'!$L$5</f>
        <v>0</v>
      </c>
      <c r="M5" s="53">
        <f>'TR TUSD'!$M$5</f>
        <v>5.515406491295248E-2</v>
      </c>
      <c r="N5" s="53">
        <f>'TR TUSD'!$N$5</f>
        <v>0.14567424152151268</v>
      </c>
      <c r="O5" s="53">
        <f>'TR TUSD'!$O$5</f>
        <v>0</v>
      </c>
      <c r="P5" s="53">
        <f>'TR TUSD'!$P$5</f>
        <v>0</v>
      </c>
      <c r="Q5" s="53">
        <f>'TR TUSD'!$Q$5</f>
        <v>0</v>
      </c>
      <c r="R5" s="53">
        <f>'TR TUSD'!$R$5</f>
        <v>0</v>
      </c>
      <c r="S5" s="53">
        <f>'TR TUSD'!$S$5</f>
        <v>0</v>
      </c>
      <c r="T5" s="53">
        <f>SUM($L$5:$S$5)</f>
        <v>0.20082830643446514</v>
      </c>
      <c r="U5" s="53">
        <f>'TR TUSD'!$U$5</f>
        <v>0</v>
      </c>
      <c r="V5" s="53">
        <f>'TR TUSD'!$V$5</f>
        <v>0</v>
      </c>
      <c r="W5" s="53">
        <f>'TR TUSD'!$W$5</f>
        <v>0</v>
      </c>
      <c r="X5" s="53">
        <f>'TR TUSD'!$X$5</f>
        <v>0</v>
      </c>
      <c r="Y5" s="53">
        <f>'TR TUSD'!$Y$5</f>
        <v>0</v>
      </c>
      <c r="Z5" s="53">
        <f>'TR TUSD'!$Z$5</f>
        <v>0</v>
      </c>
      <c r="AA5" s="53">
        <f>'TR TUSD'!$AA$5</f>
        <v>0</v>
      </c>
      <c r="AB5" s="53">
        <f>SUM($U$5:$AA$5)</f>
        <v>0</v>
      </c>
      <c r="AC5" s="53">
        <f>'TR TUSD'!$AC$5</f>
        <v>14.382231626856818</v>
      </c>
      <c r="AD5" s="53">
        <f>SUM($AC$5:$AC$5)</f>
        <v>14.382231626856818</v>
      </c>
      <c r="AE5" s="53">
        <v>0</v>
      </c>
      <c r="AF5" s="53">
        <v>0</v>
      </c>
      <c r="AG5" s="53">
        <f>SUM($AE$5:$AF$5)</f>
        <v>0</v>
      </c>
      <c r="AH5" s="53">
        <f>'TR TUSD'!$AH$5</f>
        <v>0</v>
      </c>
      <c r="AI5" s="53">
        <f>'TR TUSD'!$AI$5</f>
        <v>0</v>
      </c>
      <c r="AJ5" s="53">
        <f>'TR TUSD'!$AJ$5</f>
        <v>0</v>
      </c>
      <c r="AK5" s="53">
        <f>'TR TUSD'!$AK$5</f>
        <v>0</v>
      </c>
      <c r="AL5" s="53">
        <f>SUM($AH$5:$AK$5)</f>
        <v>0</v>
      </c>
      <c r="AM5" s="53">
        <f>SUMIF($L$4:$AL$4,"SUBTOTAL",$L$5:$AL$5)</f>
        <v>14.583059933291283</v>
      </c>
      <c r="AP5" s="53"/>
    </row>
    <row r="6" spans="1:42" ht="11.25" customHeight="1" x14ac:dyDescent="0.25">
      <c r="A6" s="131" t="s">
        <v>38</v>
      </c>
      <c r="B6" s="131" t="s">
        <v>39</v>
      </c>
      <c r="C6" s="131" t="s">
        <v>25</v>
      </c>
      <c r="D6" s="131" t="s">
        <v>25</v>
      </c>
      <c r="E6" s="131" t="s">
        <v>25</v>
      </c>
      <c r="F6" s="131" t="s">
        <v>25</v>
      </c>
      <c r="G6" s="74" t="s">
        <v>87</v>
      </c>
      <c r="H6" s="74" t="s">
        <v>80</v>
      </c>
      <c r="I6" s="74">
        <f>'MERCADO TUSD'!$U$3</f>
        <v>74530</v>
      </c>
      <c r="J6" s="15"/>
      <c r="L6" s="53">
        <f>'TR TUSD'!$L$6*'TR TUSD'!$L$61</f>
        <v>0</v>
      </c>
      <c r="M6" s="53">
        <f>'TR TUSD'!$M$6*'TR TUSD'!$M$61</f>
        <v>0</v>
      </c>
      <c r="N6" s="53">
        <f ca="1">'TR TUSD'!$N$6*'TR TUSD'!$N$61</f>
        <v>0</v>
      </c>
      <c r="O6" s="53">
        <f>'TR TUSD'!$O$6*'TR TUSD'!$O$61</f>
        <v>0</v>
      </c>
      <c r="P6" s="53">
        <f>'TR TUSD'!$P$6*'TR TUSD'!$P$61</f>
        <v>0</v>
      </c>
      <c r="Q6" s="53">
        <f>'TR TUSD'!$Q$6*'TR TUSD'!$Q$61</f>
        <v>0</v>
      </c>
      <c r="R6" s="53">
        <f>'TR TUSD'!$R$6*'TR TUSD'!$R$61</f>
        <v>0</v>
      </c>
      <c r="S6" s="53">
        <f>'TR TUSD'!$S$6*'TR TUSD'!$S$61</f>
        <v>0</v>
      </c>
      <c r="T6" s="53">
        <f ca="1">SUM($L$6:$S$6)</f>
        <v>0</v>
      </c>
      <c r="U6" s="53">
        <f>'TR TUSD'!$U$6*'TR TUSD'!$U$61</f>
        <v>8.4822650688357513</v>
      </c>
      <c r="V6" s="53">
        <f>'TR TUSD'!$V$6*'TR TUSD'!$V$61</f>
        <v>2.6469615379917664</v>
      </c>
      <c r="W6" s="53">
        <f>'TR TUSD'!$W$6*'TR TUSD'!$W$61</f>
        <v>5.1081740948367953</v>
      </c>
      <c r="X6" s="53">
        <f>'TR TUSD'!$X$6*'TR TUSD'!$X$61</f>
        <v>0</v>
      </c>
      <c r="Y6" s="53">
        <f>'TR TUSD'!$Y$6*'TR TUSD'!$Y$61</f>
        <v>0</v>
      </c>
      <c r="Z6" s="53">
        <f>'TR TUSD'!$Z$6</f>
        <v>0</v>
      </c>
      <c r="AA6" s="53">
        <f>'TR TUSD'!$AA$6</f>
        <v>0</v>
      </c>
      <c r="AB6" s="53">
        <f>SUM($U$6:$AA$6)</f>
        <v>16.237400701664313</v>
      </c>
      <c r="AC6" s="53">
        <f>'TR TUSD'!$AC$6*'TR TUSD'!$AC$61</f>
        <v>33.054320223636374</v>
      </c>
      <c r="AD6" s="53">
        <f>SUM($AC$6:$AC$6)</f>
        <v>33.054320223636374</v>
      </c>
      <c r="AE6" s="53">
        <v>0</v>
      </c>
      <c r="AF6" s="53">
        <v>0</v>
      </c>
      <c r="AG6" s="53">
        <f>SUM($AE$6:$AF$6)</f>
        <v>0</v>
      </c>
      <c r="AH6" s="53">
        <f>'TR TUSD'!$AH$6*'TR TUSD'!$AH$61</f>
        <v>0</v>
      </c>
      <c r="AI6" s="53">
        <f>'TR TUSD'!$AI$6*'TR TUSD'!$AI$61</f>
        <v>0</v>
      </c>
      <c r="AJ6" s="53">
        <f ca="1">'TR TUSD'!$AJ$6*'TR TUSD'!$AJ$61</f>
        <v>0</v>
      </c>
      <c r="AK6" s="53">
        <f ca="1">'TR TUSD'!$AK$6*'TR TUSD'!$AK$61</f>
        <v>0</v>
      </c>
      <c r="AL6" s="53">
        <f ca="1">SUM($AH$6:$AK$6)</f>
        <v>0</v>
      </c>
      <c r="AM6" s="53">
        <f ca="1">SUMIF($L$4:$AL$4,"SUBTOTAL",$L$6:$AL$6)</f>
        <v>49.291720925300687</v>
      </c>
      <c r="AP6" s="53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74" t="s">
        <v>88</v>
      </c>
      <c r="H7" s="74" t="s">
        <v>80</v>
      </c>
      <c r="I7" s="74">
        <f>'MERCADO TUSD'!$U$4</f>
        <v>78662</v>
      </c>
      <c r="J7" s="15"/>
      <c r="L7" s="53">
        <f>'TR TUSD'!$L$7*'TR TUSD'!$L$61</f>
        <v>0</v>
      </c>
      <c r="M7" s="53">
        <f>'TR TUSD'!$M$7*'TR TUSD'!$M$61</f>
        <v>0</v>
      </c>
      <c r="N7" s="53">
        <f ca="1">'TR TUSD'!$N$7*'TR TUSD'!$N$61</f>
        <v>0</v>
      </c>
      <c r="O7" s="53">
        <f>'TR TUSD'!$O$7*'TR TUSD'!$O$61</f>
        <v>0</v>
      </c>
      <c r="P7" s="53">
        <f>'TR TUSD'!$P$7*'TR TUSD'!$P$61</f>
        <v>0</v>
      </c>
      <c r="Q7" s="53">
        <f>'TR TUSD'!$Q$7*'TR TUSD'!$Q$61</f>
        <v>0</v>
      </c>
      <c r="R7" s="53">
        <f>'TR TUSD'!$R$7*'TR TUSD'!$R$61</f>
        <v>0</v>
      </c>
      <c r="S7" s="53">
        <f>'TR TUSD'!$S$7*'TR TUSD'!$S$61</f>
        <v>0</v>
      </c>
      <c r="T7" s="53">
        <f ca="1">SUM($L$7:$S$7)</f>
        <v>0</v>
      </c>
      <c r="U7" s="53">
        <f>'TR TUSD'!$U$7*'TR TUSD'!$U$61</f>
        <v>5.6157546001047756</v>
      </c>
      <c r="V7" s="53">
        <f>'TR TUSD'!$V$7*'TR TUSD'!$V$61</f>
        <v>1.6401838292338597</v>
      </c>
      <c r="W7" s="53">
        <f>'TR TUSD'!$W$7*'TR TUSD'!$W$61</f>
        <v>2.9824019090025149</v>
      </c>
      <c r="X7" s="53">
        <f>'TR TUSD'!$X$7*'TR TUSD'!$X$61</f>
        <v>0</v>
      </c>
      <c r="Y7" s="53">
        <f>'TR TUSD'!$Y$7*'TR TUSD'!$Y$61</f>
        <v>0</v>
      </c>
      <c r="Z7" s="53">
        <f>'TR TUSD'!$Z$7</f>
        <v>0</v>
      </c>
      <c r="AA7" s="53">
        <f>'TR TUSD'!$AA$7</f>
        <v>0</v>
      </c>
      <c r="AB7" s="53">
        <f>SUM($U$7:$AA$7)</f>
        <v>10.23834033834115</v>
      </c>
      <c r="AC7" s="53">
        <f>'TR TUSD'!$AC$7*'TR TUSD'!$AC$61</f>
        <v>8.2300435598144261</v>
      </c>
      <c r="AD7" s="53">
        <f>SUM($AC$7:$AC$7)</f>
        <v>8.2300435598144261</v>
      </c>
      <c r="AE7" s="53">
        <v>0</v>
      </c>
      <c r="AF7" s="53">
        <v>0</v>
      </c>
      <c r="AG7" s="53">
        <f>SUM($AE$7:$AF$7)</f>
        <v>0</v>
      </c>
      <c r="AH7" s="53">
        <f>'TR TUSD'!$AH$7*'TR TUSD'!$AH$61</f>
        <v>0</v>
      </c>
      <c r="AI7" s="53">
        <f>'TR TUSD'!$AI$7*'TR TUSD'!$AI$61</f>
        <v>0</v>
      </c>
      <c r="AJ7" s="53">
        <f ca="1">'TR TUSD'!$AJ$7*'TR TUSD'!$AJ$61</f>
        <v>0</v>
      </c>
      <c r="AK7" s="53">
        <f ca="1">'TR TUSD'!$AK$7*'TR TUSD'!$AK$61</f>
        <v>0</v>
      </c>
      <c r="AL7" s="53">
        <f ca="1">SUM($AH$7:$AK$7)</f>
        <v>0</v>
      </c>
      <c r="AM7" s="53">
        <f ca="1">SUMIF($L$4:$AL$4,"SUBTOTAL",$L$7:$AL$7)</f>
        <v>18.468383898155576</v>
      </c>
      <c r="AP7" s="53">
        <v>1</v>
      </c>
    </row>
    <row r="8" spans="1:42" ht="11.25" customHeight="1" x14ac:dyDescent="0.25">
      <c r="A8" s="131"/>
      <c r="B8" s="131"/>
      <c r="C8" s="131"/>
      <c r="D8" s="131"/>
      <c r="E8" s="131"/>
      <c r="F8" s="131"/>
      <c r="G8" s="74" t="s">
        <v>86</v>
      </c>
      <c r="H8" s="74" t="s">
        <v>82</v>
      </c>
      <c r="I8" s="74">
        <f>'MERCADO TUSD'!$U$5</f>
        <v>35898.876000000004</v>
      </c>
      <c r="J8" s="15"/>
      <c r="L8" s="53">
        <f>'TR TUSD'!$L$8*'TR TUSD'!$L$61</f>
        <v>5.2051620225604047</v>
      </c>
      <c r="M8" s="53">
        <f>'TR TUSD'!$M$8*'TR TUSD'!$M$61</f>
        <v>0.45109681574577654</v>
      </c>
      <c r="N8" s="53">
        <f ca="1">'TR TUSD'!$N$8*'TR TUSD'!$N$61</f>
        <v>0.22016585969266228</v>
      </c>
      <c r="O8" s="53">
        <f>'TR TUSD'!$O$8*'TR TUSD'!$O$61</f>
        <v>0</v>
      </c>
      <c r="P8" s="53">
        <f>'TR TUSD'!$P$8*'TR TUSD'!$P$61</f>
        <v>0</v>
      </c>
      <c r="Q8" s="53">
        <f>'TR TUSD'!$Q$8*'TR TUSD'!$Q$61</f>
        <v>74.002178293378435</v>
      </c>
      <c r="R8" s="53">
        <f>'TR TUSD'!$R$8*'TR TUSD'!$R$61</f>
        <v>13.882281717726123</v>
      </c>
      <c r="S8" s="53">
        <f>'TR TUSD'!$S$8*'TR TUSD'!$S$61</f>
        <v>0</v>
      </c>
      <c r="T8" s="53">
        <f ca="1">SUM($L$8:$S$8)</f>
        <v>93.760884709103408</v>
      </c>
      <c r="U8" s="53">
        <f>'TR TUSD'!$U$8*'TR TUSD'!$U$61</f>
        <v>0</v>
      </c>
      <c r="V8" s="53">
        <f>'TR TUSD'!$V$8*'TR TUSD'!$V$61</f>
        <v>0</v>
      </c>
      <c r="W8" s="53">
        <f>'TR TUSD'!$W$8*'TR TUSD'!$W$61</f>
        <v>0</v>
      </c>
      <c r="X8" s="53">
        <f>'TR TUSD'!$X$8*'TR TUSD'!$X$61</f>
        <v>0</v>
      </c>
      <c r="Y8" s="53">
        <f>'TR TUSD'!$Y$8*'TR TUSD'!$Y$61</f>
        <v>0</v>
      </c>
      <c r="Z8" s="53">
        <f>'TR TUSD'!$Z$8</f>
        <v>0</v>
      </c>
      <c r="AA8" s="53">
        <f>'TR TUSD'!$AA$8</f>
        <v>0</v>
      </c>
      <c r="AB8" s="53">
        <f>SUM($U$8:$AA$8)</f>
        <v>0</v>
      </c>
      <c r="AC8" s="53">
        <f>'TR TUSD'!$AC$8*'TR TUSD'!$AC$61</f>
        <v>0</v>
      </c>
      <c r="AD8" s="53">
        <f>SUM($AC$8:$AC$8)</f>
        <v>0</v>
      </c>
      <c r="AE8" s="53">
        <v>0</v>
      </c>
      <c r="AF8" s="53">
        <v>0</v>
      </c>
      <c r="AG8" s="53">
        <f>SUM($AE$8:$AF$8)</f>
        <v>0</v>
      </c>
      <c r="AH8" s="53">
        <f>'TR TUSD'!$AH$8*'TR TUSD'!$AH$61</f>
        <v>7.0603545747090122</v>
      </c>
      <c r="AI8" s="53">
        <f>'TR TUSD'!$AI$8*'TR TUSD'!$AI$61</f>
        <v>0.24214343018720808</v>
      </c>
      <c r="AJ8" s="53">
        <f ca="1">'TR TUSD'!$AJ$8*'TR TUSD'!$AJ$61</f>
        <v>1.7770834342561781</v>
      </c>
      <c r="AK8" s="53">
        <f ca="1">'TR TUSD'!$AK$8*'TR TUSD'!$AK$61</f>
        <v>0.21942206476922888</v>
      </c>
      <c r="AL8" s="53">
        <f ca="1">SUM($AH$8:$AK$8)</f>
        <v>9.2990035039216288</v>
      </c>
      <c r="AM8" s="53">
        <f ca="1">SUMIF($L$4:$AL$4,"SUBTOTAL",$L$8:$AL$8)</f>
        <v>103.05988821302503</v>
      </c>
      <c r="AP8" s="53">
        <v>1</v>
      </c>
    </row>
    <row r="9" spans="1:42" ht="11.25" customHeight="1" x14ac:dyDescent="0.25">
      <c r="A9" s="131"/>
      <c r="B9" s="131"/>
      <c r="C9" s="131"/>
      <c r="D9" s="131"/>
      <c r="E9" s="73" t="s">
        <v>89</v>
      </c>
      <c r="F9" s="73" t="s">
        <v>25</v>
      </c>
      <c r="G9" s="74" t="s">
        <v>86</v>
      </c>
      <c r="H9" s="74" t="s">
        <v>82</v>
      </c>
      <c r="I9" s="74">
        <f>'MERCADO TUSD'!$U$6</f>
        <v>0</v>
      </c>
      <c r="J9" s="15"/>
      <c r="L9" s="53">
        <f>'TR TUSD'!$L$9*'TR TUSD'!$L$61</f>
        <v>0</v>
      </c>
      <c r="M9" s="53">
        <f>'TR TUSD'!$M$9*'TR TUSD'!$M$61</f>
        <v>0.45109681574577654</v>
      </c>
      <c r="N9" s="53">
        <f ca="1">'TR TUSD'!$N$9*'TR TUSD'!$N$61</f>
        <v>0.21114757247016377</v>
      </c>
      <c r="O9" s="53">
        <f>'TR TUSD'!$O$9*'TR TUSD'!$O$61</f>
        <v>0</v>
      </c>
      <c r="P9" s="53">
        <f>'TR TUSD'!$P$9*'TR TUSD'!$P$61</f>
        <v>0</v>
      </c>
      <c r="Q9" s="53">
        <f>'TR TUSD'!$Q$9*'TR TUSD'!$Q$61</f>
        <v>0</v>
      </c>
      <c r="R9" s="53">
        <f>'TR TUSD'!$R$9*'TR TUSD'!$R$61</f>
        <v>0</v>
      </c>
      <c r="S9" s="53">
        <f>'TR TUSD'!$S$9*'TR TUSD'!$S$61</f>
        <v>0</v>
      </c>
      <c r="T9" s="53">
        <f ca="1">SUM($L$9:$S$9)</f>
        <v>0.66224438821594034</v>
      </c>
      <c r="U9" s="53">
        <f>'TR TUSD'!$U$9*'TR TUSD'!$U$61</f>
        <v>0</v>
      </c>
      <c r="V9" s="53">
        <f>'TR TUSD'!$V$9*'TR TUSD'!$V$61</f>
        <v>0</v>
      </c>
      <c r="W9" s="53">
        <f>'TR TUSD'!$W$9*'TR TUSD'!$W$61</f>
        <v>0</v>
      </c>
      <c r="X9" s="53">
        <f>'TR TUSD'!$X$9*'TR TUSD'!$X$61</f>
        <v>0</v>
      </c>
      <c r="Y9" s="53">
        <f>'TR TUSD'!$Y$9*'TR TUSD'!$Y$61</f>
        <v>0</v>
      </c>
      <c r="Z9" s="53">
        <f>'TR TUSD'!$Z$9</f>
        <v>0</v>
      </c>
      <c r="AA9" s="53">
        <f>'TR TUSD'!$AA$9</f>
        <v>0</v>
      </c>
      <c r="AB9" s="53">
        <f>SUM($U$9:$AA$9)</f>
        <v>0</v>
      </c>
      <c r="AC9" s="53">
        <f>'TR TUSD'!$AC$9*'TR TUSD'!$AC$61</f>
        <v>0</v>
      </c>
      <c r="AD9" s="53">
        <f>SUM($AC$9:$AC$9)</f>
        <v>0</v>
      </c>
      <c r="AE9" s="53">
        <v>0</v>
      </c>
      <c r="AF9" s="53">
        <v>0</v>
      </c>
      <c r="AG9" s="53">
        <f>SUM($AE$9:$AF$9)</f>
        <v>0</v>
      </c>
      <c r="AH9" s="53">
        <f>'TR TUSD'!$AH$9*'TR TUSD'!$AH$61</f>
        <v>7.0603545747090122</v>
      </c>
      <c r="AI9" s="53">
        <f>'TR TUSD'!$AI$9*'TR TUSD'!$AI$61</f>
        <v>0.24214343018720808</v>
      </c>
      <c r="AJ9" s="53">
        <f ca="1">'TR TUSD'!$AJ$9*'TR TUSD'!$AJ$61</f>
        <v>1.7770834342561781</v>
      </c>
      <c r="AK9" s="53">
        <f ca="1">'TR TUSD'!$AK$9*'TR TUSD'!$AK$61</f>
        <v>0.21942206476922888</v>
      </c>
      <c r="AL9" s="53">
        <f ca="1">SUM($AH$9:$AK$9)</f>
        <v>9.2990035039216288</v>
      </c>
      <c r="AM9" s="53">
        <f ca="1">SUMIF($L$4:$AL$4,"SUBTOTAL",$L$9:$AL$9)</f>
        <v>9.9612478921375693</v>
      </c>
      <c r="AP9" s="53">
        <v>1</v>
      </c>
    </row>
    <row r="10" spans="1:42" ht="11.25" customHeight="1" x14ac:dyDescent="0.25">
      <c r="A10" s="131"/>
      <c r="B10" s="73" t="s">
        <v>59</v>
      </c>
      <c r="C10" s="73" t="s">
        <v>25</v>
      </c>
      <c r="D10" s="73" t="s">
        <v>25</v>
      </c>
      <c r="E10" s="73" t="s">
        <v>25</v>
      </c>
      <c r="F10" s="73" t="s">
        <v>25</v>
      </c>
      <c r="G10" s="74" t="s">
        <v>9</v>
      </c>
      <c r="H10" s="74" t="s">
        <v>80</v>
      </c>
      <c r="I10" s="74">
        <f>'MERCADO TUSD'!$U$7</f>
        <v>15360</v>
      </c>
      <c r="J10" s="15"/>
      <c r="L10" s="53">
        <f>'TR TUSD'!$L$10*'TR TUSD'!$L$61</f>
        <v>0</v>
      </c>
      <c r="M10" s="53">
        <f>'TR TUSD'!$M$10*'TR TUSD'!$M$61</f>
        <v>2.1434268059577728E-2</v>
      </c>
      <c r="N10" s="53">
        <f ca="1">'TR TUSD'!$N$10*'TR TUSD'!$N$61</f>
        <v>4.8518385257042183E-2</v>
      </c>
      <c r="O10" s="53">
        <f>'TR TUSD'!$O$10*'TR TUSD'!$O$61</f>
        <v>0</v>
      </c>
      <c r="P10" s="53">
        <f>'TR TUSD'!$P$10*'TR TUSD'!$P$61</f>
        <v>0</v>
      </c>
      <c r="Q10" s="53">
        <f>'TR TUSD'!$Q$10*'TR TUSD'!$Q$61</f>
        <v>0</v>
      </c>
      <c r="R10" s="53">
        <f>'TR TUSD'!$R$10*'TR TUSD'!$R$61</f>
        <v>0</v>
      </c>
      <c r="S10" s="53">
        <f>'TR TUSD'!$S$10*'TR TUSD'!$S$61</f>
        <v>0</v>
      </c>
      <c r="T10" s="53">
        <f ca="1">SUM($L$10:$S$10)</f>
        <v>6.9952653316619914E-2</v>
      </c>
      <c r="U10" s="53">
        <f>'TR TUSD'!$U$10*'TR TUSD'!$U$61</f>
        <v>0</v>
      </c>
      <c r="V10" s="53">
        <f>'TR TUSD'!$V$10*'TR TUSD'!$V$61</f>
        <v>0</v>
      </c>
      <c r="W10" s="53">
        <f>'TR TUSD'!$W$10*'TR TUSD'!$W$61</f>
        <v>0</v>
      </c>
      <c r="X10" s="53">
        <f>'TR TUSD'!$X$10*'TR TUSD'!$X$61</f>
        <v>0</v>
      </c>
      <c r="Y10" s="53">
        <f>'TR TUSD'!$Y$10*'TR TUSD'!$Y$61</f>
        <v>0</v>
      </c>
      <c r="Z10" s="53">
        <f>'TR TUSD'!$Z$10*'TR TUSD'!$Z$61</f>
        <v>0</v>
      </c>
      <c r="AA10" s="53">
        <f>'TR TUSD'!$AA$10*'TR TUSD'!$AA$61</f>
        <v>0</v>
      </c>
      <c r="AB10" s="53">
        <f>SUM($U$10:$AA$10)</f>
        <v>0</v>
      </c>
      <c r="AC10" s="53">
        <f>'TR TUSD'!$AC$10*'TR TUSD'!$AC$61</f>
        <v>6.6998252089655246</v>
      </c>
      <c r="AD10" s="53">
        <f>SUM($AC$10:$AC$10)</f>
        <v>6.6998252089655246</v>
      </c>
      <c r="AE10" s="53">
        <v>0</v>
      </c>
      <c r="AF10" s="53">
        <v>0</v>
      </c>
      <c r="AG10" s="53">
        <f>SUM($AE$10:$AF$10)</f>
        <v>0</v>
      </c>
      <c r="AH10" s="53">
        <f>'TR TUSD'!$AH$10*'TR TUSD'!$AH$61</f>
        <v>6.1204122616292933E-4</v>
      </c>
      <c r="AI10" s="53">
        <f>'TR TUSD'!$AI$10*'TR TUSD'!$AI$61</f>
        <v>0</v>
      </c>
      <c r="AJ10" s="53">
        <f ca="1">'TR TUSD'!$AJ$10*'TR TUSD'!$AJ$61</f>
        <v>0</v>
      </c>
      <c r="AK10" s="53">
        <f ca="1">'TR TUSD'!$AK$10*'TR TUSD'!$AK$61</f>
        <v>0</v>
      </c>
      <c r="AL10" s="53">
        <f ca="1">SUM($AH$10:$AK$10)</f>
        <v>6.1204122616292933E-4</v>
      </c>
      <c r="AM10" s="53">
        <f ca="1">SUMIF($L$4:$AL$4,"SUBTOTAL",$L$10:$AL$10)</f>
        <v>6.7703899035083079</v>
      </c>
      <c r="AP10" s="53"/>
    </row>
    <row r="11" spans="1:42" ht="11.25" customHeight="1" x14ac:dyDescent="0.25">
      <c r="A11" s="131"/>
      <c r="B11" s="131" t="s">
        <v>40</v>
      </c>
      <c r="C11" s="131" t="s">
        <v>25</v>
      </c>
      <c r="D11" s="131" t="s">
        <v>25</v>
      </c>
      <c r="E11" s="131" t="s">
        <v>25</v>
      </c>
      <c r="F11" s="131" t="s">
        <v>25</v>
      </c>
      <c r="G11" s="74" t="s">
        <v>9</v>
      </c>
      <c r="H11" s="74" t="s">
        <v>80</v>
      </c>
      <c r="I11" s="74">
        <f>'MERCADO TUSD'!$U$8</f>
        <v>288308</v>
      </c>
      <c r="J11" s="15"/>
      <c r="L11" s="53">
        <f>'TR TUSD'!$L$11*'TR TUSD'!$L$61</f>
        <v>0</v>
      </c>
      <c r="M11" s="53">
        <f>'TR TUSD'!$M$11*'TR TUSD'!$M$61</f>
        <v>0</v>
      </c>
      <c r="N11" s="53">
        <f ca="1">'TR TUSD'!$N$11*'TR TUSD'!$N$61</f>
        <v>0</v>
      </c>
      <c r="O11" s="53">
        <f>'TR TUSD'!$O$11*'TR TUSD'!$O$61</f>
        <v>0</v>
      </c>
      <c r="P11" s="53">
        <f>'TR TUSD'!$P$11*'TR TUSD'!$P$61</f>
        <v>0</v>
      </c>
      <c r="Q11" s="53">
        <f>'TR TUSD'!$Q$11*'TR TUSD'!$Q$61</f>
        <v>0</v>
      </c>
      <c r="R11" s="53">
        <f>'TR TUSD'!$R$11*'TR TUSD'!$R$61</f>
        <v>0</v>
      </c>
      <c r="S11" s="53">
        <f>'TR TUSD'!$S$11*'TR TUSD'!$S$61</f>
        <v>0</v>
      </c>
      <c r="T11" s="53">
        <f ca="1">SUM($L$11:$S$11)</f>
        <v>0</v>
      </c>
      <c r="U11" s="53">
        <f>'TR TUSD'!$U$11*'TR TUSD'!$U$61</f>
        <v>5.6157546001047756</v>
      </c>
      <c r="V11" s="53">
        <f>'TR TUSD'!$V$11*'TR TUSD'!$V$61</f>
        <v>1.6401838292338597</v>
      </c>
      <c r="W11" s="53">
        <f>'TR TUSD'!$W$11*'TR TUSD'!$W$61</f>
        <v>2.9824019090025149</v>
      </c>
      <c r="X11" s="53">
        <f>'TR TUSD'!$X$11*'TR TUSD'!$X$61</f>
        <v>0</v>
      </c>
      <c r="Y11" s="53">
        <f>'TR TUSD'!$Y$11*'TR TUSD'!$Y$61</f>
        <v>0</v>
      </c>
      <c r="Z11" s="53">
        <f>'TR TUSD'!$Z$11</f>
        <v>0</v>
      </c>
      <c r="AA11" s="53">
        <f>'TR TUSD'!$AA$11</f>
        <v>0</v>
      </c>
      <c r="AB11" s="53">
        <f>SUM($U$11:$AA$11)</f>
        <v>10.23834033834115</v>
      </c>
      <c r="AC11" s="53">
        <f>'TR TUSD'!$AC$11*'TR TUSD'!$AC$61</f>
        <v>8.2300435598144261</v>
      </c>
      <c r="AD11" s="53">
        <f>SUM($AC$11:$AC$11)</f>
        <v>8.2300435598144261</v>
      </c>
      <c r="AE11" s="53">
        <v>0</v>
      </c>
      <c r="AF11" s="53">
        <v>0</v>
      </c>
      <c r="AG11" s="53">
        <f>SUM($AE$11:$AF$11)</f>
        <v>0</v>
      </c>
      <c r="AH11" s="53">
        <f>'TR TUSD'!$AH$11*'TR TUSD'!$AH$61</f>
        <v>0</v>
      </c>
      <c r="AI11" s="53">
        <f>'TR TUSD'!$AI$11*'TR TUSD'!$AI$61</f>
        <v>0</v>
      </c>
      <c r="AJ11" s="53">
        <f ca="1">'TR TUSD'!$AJ$11*'TR TUSD'!$AJ$61</f>
        <v>0</v>
      </c>
      <c r="AK11" s="53">
        <f ca="1">'TR TUSD'!$AK$11*'TR TUSD'!$AK$61</f>
        <v>0</v>
      </c>
      <c r="AL11" s="53">
        <f ca="1">SUM($AH$11:$AK$11)</f>
        <v>0</v>
      </c>
      <c r="AM11" s="53">
        <f ca="1">SUMIF($L$4:$AL$4,"SUBTOTAL",$L$11:$AL$11)</f>
        <v>18.468383898155576</v>
      </c>
      <c r="AP11" s="53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74" t="s">
        <v>83</v>
      </c>
      <c r="H12" s="74" t="s">
        <v>82</v>
      </c>
      <c r="I12" s="74">
        <f>'MERCADO TUSD'!$U$9</f>
        <v>4081.9879999999994</v>
      </c>
      <c r="J12" s="15"/>
      <c r="L12" s="53">
        <f>'TR TUSD'!$L$12*'TR TUSD'!$L$61</f>
        <v>5.2051620225604047</v>
      </c>
      <c r="M12" s="53">
        <f>'TR TUSD'!$M$12*'TR TUSD'!$M$61</f>
        <v>0.45109681574577654</v>
      </c>
      <c r="N12" s="53">
        <f ca="1">'TR TUSD'!$N$12*'TR TUSD'!$N$61</f>
        <v>9.7201955563575222</v>
      </c>
      <c r="O12" s="53">
        <f>'TR TUSD'!$O$12*'TR TUSD'!$O$61</f>
        <v>0</v>
      </c>
      <c r="P12" s="53">
        <f>'TR TUSD'!$P$12*'TR TUSD'!$P$61</f>
        <v>0</v>
      </c>
      <c r="Q12" s="53">
        <f>'TR TUSD'!$Q$12*'TR TUSD'!$Q$61</f>
        <v>74.002178293378435</v>
      </c>
      <c r="R12" s="53">
        <f>'TR TUSD'!$R$12*'TR TUSD'!$R$61</f>
        <v>13.882281717726123</v>
      </c>
      <c r="S12" s="53">
        <f>'TR TUSD'!$S$12*'TR TUSD'!$S$61</f>
        <v>0</v>
      </c>
      <c r="T12" s="53">
        <f ca="1">SUM($L$12:$S$12)</f>
        <v>103.26091440576826</v>
      </c>
      <c r="U12" s="53">
        <f>'TR TUSD'!$U$12*'TR TUSD'!$U$61</f>
        <v>203.99936930976781</v>
      </c>
      <c r="V12" s="53">
        <f>'TR TUSD'!$V$12*'TR TUSD'!$V$61</f>
        <v>63.659524407172235</v>
      </c>
      <c r="W12" s="53">
        <f>'TR TUSD'!$W$12*'TR TUSD'!$W$61</f>
        <v>122.85155382951984</v>
      </c>
      <c r="X12" s="53">
        <f>'TR TUSD'!$X$12*'TR TUSD'!$X$61</f>
        <v>0</v>
      </c>
      <c r="Y12" s="53">
        <f>'TR TUSD'!$Y$12*'TR TUSD'!$Y$61</f>
        <v>0</v>
      </c>
      <c r="Z12" s="53">
        <f>'TR TUSD'!$Z$12</f>
        <v>0</v>
      </c>
      <c r="AA12" s="53">
        <f>'TR TUSD'!$AA$12</f>
        <v>0</v>
      </c>
      <c r="AB12" s="53">
        <f>SUM($U$12:$AA$12)</f>
        <v>390.51044754645989</v>
      </c>
      <c r="AC12" s="53">
        <f>'TR TUSD'!$AC$12*'TR TUSD'!$AC$61</f>
        <v>794.9576224363143</v>
      </c>
      <c r="AD12" s="53">
        <f>SUM($AC$12:$AC$12)</f>
        <v>794.9576224363143</v>
      </c>
      <c r="AE12" s="53">
        <v>0</v>
      </c>
      <c r="AF12" s="53">
        <v>0</v>
      </c>
      <c r="AG12" s="53">
        <f>SUM($AE$12:$AF$12)</f>
        <v>0</v>
      </c>
      <c r="AH12" s="53">
        <f>'TR TUSD'!$AH$12*'TR TUSD'!$AH$61</f>
        <v>7.0603545747090122</v>
      </c>
      <c r="AI12" s="53">
        <f>'TR TUSD'!$AI$12*'TR TUSD'!$AI$61</f>
        <v>0.24214343018720808</v>
      </c>
      <c r="AJ12" s="53">
        <f ca="1">'TR TUSD'!$AJ$12*'TR TUSD'!$AJ$61</f>
        <v>1.7770834342561781</v>
      </c>
      <c r="AK12" s="53">
        <f ca="1">'TR TUSD'!$AK$12*'TR TUSD'!$AK$61</f>
        <v>0.21942206476922888</v>
      </c>
      <c r="AL12" s="53">
        <f ca="1">SUM($AH$12:$AK$12)</f>
        <v>9.2990035039216288</v>
      </c>
      <c r="AM12" s="53">
        <f ca="1">SUMIF($L$4:$AL$4,"SUBTOTAL",$L$12:$AL$12)</f>
        <v>1298.0279878924639</v>
      </c>
      <c r="AP12" s="53">
        <v>1</v>
      </c>
    </row>
    <row r="13" spans="1:42" ht="11.25" customHeight="1" x14ac:dyDescent="0.25">
      <c r="A13" s="131"/>
      <c r="B13" s="131"/>
      <c r="C13" s="131"/>
      <c r="D13" s="131"/>
      <c r="E13" s="131"/>
      <c r="F13" s="131"/>
      <c r="G13" s="74" t="s">
        <v>84</v>
      </c>
      <c r="H13" s="74" t="s">
        <v>82</v>
      </c>
      <c r="I13" s="74">
        <f>'MERCADO TUSD'!$U$10</f>
        <v>46975.044999999991</v>
      </c>
      <c r="J13" s="15"/>
      <c r="L13" s="53">
        <f>'TR TUSD'!$L$13*'TR TUSD'!$L$61</f>
        <v>5.2051620225604047</v>
      </c>
      <c r="M13" s="53">
        <f>'TR TUSD'!$M$13*'TR TUSD'!$M$61</f>
        <v>0.45109681574577654</v>
      </c>
      <c r="N13" s="53">
        <f ca="1">'TR TUSD'!$N$13*'TR TUSD'!$N$61</f>
        <v>0.22016585969266228</v>
      </c>
      <c r="O13" s="53">
        <f>'TR TUSD'!$O$13*'TR TUSD'!$O$61</f>
        <v>0</v>
      </c>
      <c r="P13" s="53">
        <f>'TR TUSD'!$P$13*'TR TUSD'!$P$61</f>
        <v>0</v>
      </c>
      <c r="Q13" s="53">
        <f>'TR TUSD'!$Q$13*'TR TUSD'!$Q$61</f>
        <v>74.002178293378435</v>
      </c>
      <c r="R13" s="53">
        <f>'TR TUSD'!$R$13*'TR TUSD'!$R$61</f>
        <v>13.882281717726123</v>
      </c>
      <c r="S13" s="53">
        <f>'TR TUSD'!$S$13*'TR TUSD'!$S$61</f>
        <v>0</v>
      </c>
      <c r="T13" s="53">
        <f ca="1">SUM($L$13:$S$13)</f>
        <v>93.760884709103408</v>
      </c>
      <c r="U13" s="53">
        <f>'TR TUSD'!$U$13*'TR TUSD'!$U$61</f>
        <v>0</v>
      </c>
      <c r="V13" s="53">
        <f>'TR TUSD'!$V$13*'TR TUSD'!$V$61</f>
        <v>0</v>
      </c>
      <c r="W13" s="53">
        <f>'TR TUSD'!$W$13*'TR TUSD'!$W$61</f>
        <v>0</v>
      </c>
      <c r="X13" s="53">
        <f>'TR TUSD'!$X$13*'TR TUSD'!$X$61</f>
        <v>0</v>
      </c>
      <c r="Y13" s="53">
        <f>'TR TUSD'!$Y$13*'TR TUSD'!$Y$61</f>
        <v>0</v>
      </c>
      <c r="Z13" s="53">
        <f>'TR TUSD'!$Z$13</f>
        <v>0</v>
      </c>
      <c r="AA13" s="53">
        <f>'TR TUSD'!$AA$13</f>
        <v>0</v>
      </c>
      <c r="AB13" s="53">
        <f>SUM($U$13:$AA$13)</f>
        <v>0</v>
      </c>
      <c r="AC13" s="53">
        <f>'TR TUSD'!$AC$13*'TR TUSD'!$AC$61</f>
        <v>0</v>
      </c>
      <c r="AD13" s="53">
        <f>SUM($AC$13:$AC$13)</f>
        <v>0</v>
      </c>
      <c r="AE13" s="53">
        <v>0</v>
      </c>
      <c r="AF13" s="53">
        <v>0</v>
      </c>
      <c r="AG13" s="53">
        <f>SUM($AE$13:$AF$13)</f>
        <v>0</v>
      </c>
      <c r="AH13" s="53">
        <f>'TR TUSD'!$AH$13*'TR TUSD'!$AH$61</f>
        <v>7.0603545747090122</v>
      </c>
      <c r="AI13" s="53">
        <f>'TR TUSD'!$AI$13*'TR TUSD'!$AI$61</f>
        <v>0.24214343018720808</v>
      </c>
      <c r="AJ13" s="53">
        <f ca="1">'TR TUSD'!$AJ$13*'TR TUSD'!$AJ$61</f>
        <v>1.7770834342561781</v>
      </c>
      <c r="AK13" s="53">
        <f ca="1">'TR TUSD'!$AK$13*'TR TUSD'!$AK$61</f>
        <v>0.21942206476922888</v>
      </c>
      <c r="AL13" s="53">
        <f ca="1">SUM($AH$13:$AK$13)</f>
        <v>9.2990035039216288</v>
      </c>
      <c r="AM13" s="53">
        <f ca="1">SUMIF($L$4:$AL$4,"SUBTOTAL",$L$13:$AL$13)</f>
        <v>103.05988821302503</v>
      </c>
      <c r="AP13" s="53">
        <v>1</v>
      </c>
    </row>
    <row r="14" spans="1:42" ht="11.25" customHeight="1" x14ac:dyDescent="0.25">
      <c r="A14" s="131"/>
      <c r="B14" s="131"/>
      <c r="C14" s="131"/>
      <c r="D14" s="131"/>
      <c r="E14" s="131" t="s">
        <v>89</v>
      </c>
      <c r="F14" s="131" t="s">
        <v>25</v>
      </c>
      <c r="G14" s="74" t="s">
        <v>83</v>
      </c>
      <c r="H14" s="74" t="s">
        <v>82</v>
      </c>
      <c r="I14" s="74">
        <f>'MERCADO TUSD'!$U$11</f>
        <v>0</v>
      </c>
      <c r="J14" s="15"/>
      <c r="L14" s="53">
        <f>'TR TUSD'!$L$14*'TR TUSD'!$L$61</f>
        <v>0</v>
      </c>
      <c r="M14" s="53">
        <f>'TR TUSD'!$M$14*'TR TUSD'!$M$61</f>
        <v>0.45109681574577654</v>
      </c>
      <c r="N14" s="53">
        <f ca="1">'TR TUSD'!$N$14*'TR TUSD'!$N$61</f>
        <v>9.7111772691350247</v>
      </c>
      <c r="O14" s="53">
        <f>'TR TUSD'!$O$14*'TR TUSD'!$O$61</f>
        <v>0</v>
      </c>
      <c r="P14" s="53">
        <f>'TR TUSD'!$P$14*'TR TUSD'!$P$61</f>
        <v>0</v>
      </c>
      <c r="Q14" s="53">
        <f>'TR TUSD'!$Q$14*'TR TUSD'!$Q$61</f>
        <v>0</v>
      </c>
      <c r="R14" s="53">
        <f>'TR TUSD'!$R$14*'TR TUSD'!$R$61</f>
        <v>0</v>
      </c>
      <c r="S14" s="53">
        <f>'TR TUSD'!$S$14*'TR TUSD'!$S$61</f>
        <v>0</v>
      </c>
      <c r="T14" s="53">
        <f ca="1">SUM($L$14:$S$14)</f>
        <v>10.162274084880801</v>
      </c>
      <c r="U14" s="53">
        <f>'TR TUSD'!$U$14*'TR TUSD'!$U$61</f>
        <v>203.99936930976781</v>
      </c>
      <c r="V14" s="53">
        <f>'TR TUSD'!$V$14*'TR TUSD'!$V$61</f>
        <v>63.659524407172235</v>
      </c>
      <c r="W14" s="53">
        <f>'TR TUSD'!$W$14*'TR TUSD'!$W$61</f>
        <v>122.85155382951984</v>
      </c>
      <c r="X14" s="53">
        <f>'TR TUSD'!$X$14*'TR TUSD'!$X$61</f>
        <v>0</v>
      </c>
      <c r="Y14" s="53">
        <f>'TR TUSD'!$Y$14*'TR TUSD'!$Y$61</f>
        <v>0</v>
      </c>
      <c r="Z14" s="53">
        <f>'TR TUSD'!$Z$14</f>
        <v>0</v>
      </c>
      <c r="AA14" s="53">
        <f>'TR TUSD'!$AA$14</f>
        <v>0</v>
      </c>
      <c r="AB14" s="53">
        <f>SUM($U$14:$AA$14)</f>
        <v>390.51044754645989</v>
      </c>
      <c r="AC14" s="53">
        <f>'TR TUSD'!$AC$14*'TR TUSD'!$AC$61</f>
        <v>794.9576224363143</v>
      </c>
      <c r="AD14" s="53">
        <f>SUM($AC$14:$AC$14)</f>
        <v>794.9576224363143</v>
      </c>
      <c r="AE14" s="53">
        <v>0</v>
      </c>
      <c r="AF14" s="53">
        <v>0</v>
      </c>
      <c r="AG14" s="53">
        <f>SUM($AE$14:$AF$14)</f>
        <v>0</v>
      </c>
      <c r="AH14" s="53">
        <f>'TR TUSD'!$AH$14*'TR TUSD'!$AH$61</f>
        <v>7.0603545747090122</v>
      </c>
      <c r="AI14" s="53">
        <f>'TR TUSD'!$AI$14*'TR TUSD'!$AI$61</f>
        <v>0.24214343018720808</v>
      </c>
      <c r="AJ14" s="53">
        <f ca="1">'TR TUSD'!$AJ$14*'TR TUSD'!$AJ$61</f>
        <v>1.7770834342561781</v>
      </c>
      <c r="AK14" s="53">
        <f ca="1">'TR TUSD'!$AK$14*'TR TUSD'!$AK$61</f>
        <v>0.21942206476922888</v>
      </c>
      <c r="AL14" s="53">
        <f ca="1">SUM($AH$14:$AK$14)</f>
        <v>9.2990035039216288</v>
      </c>
      <c r="AM14" s="53">
        <f ca="1">SUMIF($L$4:$AL$4,"SUBTOTAL",$L$14:$AL$14)</f>
        <v>1204.9293475715765</v>
      </c>
      <c r="AP14" s="53">
        <v>1</v>
      </c>
    </row>
    <row r="15" spans="1:42" ht="11.25" customHeight="1" x14ac:dyDescent="0.25">
      <c r="A15" s="131"/>
      <c r="B15" s="131"/>
      <c r="C15" s="131"/>
      <c r="D15" s="131"/>
      <c r="E15" s="131"/>
      <c r="F15" s="131"/>
      <c r="G15" s="74" t="s">
        <v>84</v>
      </c>
      <c r="H15" s="74" t="s">
        <v>82</v>
      </c>
      <c r="I15" s="74">
        <f>'MERCADO TUSD'!$U$12</f>
        <v>0</v>
      </c>
      <c r="J15" s="15"/>
      <c r="L15" s="53">
        <f>'TR TUSD'!$L$15*'TR TUSD'!$L$61</f>
        <v>0</v>
      </c>
      <c r="M15" s="53">
        <f>'TR TUSD'!$M$15*'TR TUSD'!$M$61</f>
        <v>0.45109681574577654</v>
      </c>
      <c r="N15" s="53">
        <f ca="1">'TR TUSD'!$N$15*'TR TUSD'!$N$61</f>
        <v>0.21114757247016377</v>
      </c>
      <c r="O15" s="53">
        <f>'TR TUSD'!$O$15*'TR TUSD'!$O$61</f>
        <v>0</v>
      </c>
      <c r="P15" s="53">
        <f>'TR TUSD'!$P$15*'TR TUSD'!$P$61</f>
        <v>0</v>
      </c>
      <c r="Q15" s="53">
        <f>'TR TUSD'!$Q$15*'TR TUSD'!$Q$61</f>
        <v>0</v>
      </c>
      <c r="R15" s="53">
        <f>'TR TUSD'!$R$15*'TR TUSD'!$R$61</f>
        <v>0</v>
      </c>
      <c r="S15" s="53">
        <f>'TR TUSD'!$S$15*'TR TUSD'!$S$61</f>
        <v>0</v>
      </c>
      <c r="T15" s="53">
        <f ca="1">SUM($L$15:$S$15)</f>
        <v>0.66224438821594034</v>
      </c>
      <c r="U15" s="53">
        <f>'TR TUSD'!$U$15*'TR TUSD'!$U$61</f>
        <v>0</v>
      </c>
      <c r="V15" s="53">
        <f>'TR TUSD'!$V$15*'TR TUSD'!$V$61</f>
        <v>0</v>
      </c>
      <c r="W15" s="53">
        <f>'TR TUSD'!$W$15*'TR TUSD'!$W$61</f>
        <v>0</v>
      </c>
      <c r="X15" s="53">
        <f>'TR TUSD'!$X$15*'TR TUSD'!$X$61</f>
        <v>0</v>
      </c>
      <c r="Y15" s="53">
        <f>'TR TUSD'!$Y$15*'TR TUSD'!$Y$61</f>
        <v>0</v>
      </c>
      <c r="Z15" s="53">
        <f>'TR TUSD'!$Z$15</f>
        <v>0</v>
      </c>
      <c r="AA15" s="53">
        <f>'TR TUSD'!$AA$15</f>
        <v>0</v>
      </c>
      <c r="AB15" s="53">
        <f>SUM($U$15:$AA$15)</f>
        <v>0</v>
      </c>
      <c r="AC15" s="53">
        <f>'TR TUSD'!$AC$15*'TR TUSD'!$AC$61</f>
        <v>0</v>
      </c>
      <c r="AD15" s="53">
        <f>SUM($AC$15:$AC$15)</f>
        <v>0</v>
      </c>
      <c r="AE15" s="53">
        <v>0</v>
      </c>
      <c r="AF15" s="53">
        <v>0</v>
      </c>
      <c r="AG15" s="53">
        <f>SUM($AE$15:$AF$15)</f>
        <v>0</v>
      </c>
      <c r="AH15" s="53">
        <f>'TR TUSD'!$AH$15*'TR TUSD'!$AH$61</f>
        <v>7.0603545747090122</v>
      </c>
      <c r="AI15" s="53">
        <f>'TR TUSD'!$AI$15*'TR TUSD'!$AI$61</f>
        <v>0.24214343018720808</v>
      </c>
      <c r="AJ15" s="53">
        <f ca="1">'TR TUSD'!$AJ$15*'TR TUSD'!$AJ$61</f>
        <v>1.7770834342561781</v>
      </c>
      <c r="AK15" s="53">
        <f ca="1">'TR TUSD'!$AK$15*'TR TUSD'!$AK$61</f>
        <v>0.21942206476922888</v>
      </c>
      <c r="AL15" s="53">
        <f ca="1">SUM($AH$15:$AK$15)</f>
        <v>9.2990035039216288</v>
      </c>
      <c r="AM15" s="53">
        <f ca="1">SUMIF($L$4:$AL$4,"SUBTOTAL",$L$15:$AL$15)</f>
        <v>9.9612478921375693</v>
      </c>
      <c r="AP15" s="53">
        <v>1</v>
      </c>
    </row>
    <row r="16" spans="1:42" ht="11.25" customHeight="1" x14ac:dyDescent="0.25">
      <c r="A16" s="131" t="s">
        <v>90</v>
      </c>
      <c r="B16" s="131" t="s">
        <v>59</v>
      </c>
      <c r="C16" s="131" t="s">
        <v>25</v>
      </c>
      <c r="D16" s="131" t="s">
        <v>25</v>
      </c>
      <c r="E16" s="73" t="s">
        <v>91</v>
      </c>
      <c r="F16" s="73" t="s">
        <v>25</v>
      </c>
      <c r="G16" s="74" t="s">
        <v>9</v>
      </c>
      <c r="H16" s="74" t="s">
        <v>80</v>
      </c>
      <c r="I16" s="74">
        <f>'MERCADO TUSD'!$U$13+0.00000001</f>
        <v>1E-8</v>
      </c>
      <c r="J16" s="15"/>
      <c r="L16" s="53">
        <f>'TR TUSD'!$L$16*'TR TUSD'!$L$61</f>
        <v>0</v>
      </c>
      <c r="M16" s="53">
        <f>'TR TUSD'!$M$16*'TR TUSD'!$M$61</f>
        <v>1.2720336652179304E-2</v>
      </c>
      <c r="N16" s="53">
        <f ca="1">'TR TUSD'!$N$16*'TR TUSD'!$N$61</f>
        <v>2.8768336239770362E-2</v>
      </c>
      <c r="O16" s="53">
        <f>'TR TUSD'!$O$16*'TR TUSD'!$O$61</f>
        <v>0</v>
      </c>
      <c r="P16" s="53">
        <f>'TR TUSD'!$P$16*'TR TUSD'!$P$61</f>
        <v>0</v>
      </c>
      <c r="Q16" s="53">
        <f>'TR TUSD'!$Q$16*'TR TUSD'!$Q$61</f>
        <v>0</v>
      </c>
      <c r="R16" s="53">
        <f>'TR TUSD'!$R$16*'TR TUSD'!$R$61</f>
        <v>0</v>
      </c>
      <c r="S16" s="53">
        <f>'TR TUSD'!$S$16*'TR TUSD'!$S$61</f>
        <v>0</v>
      </c>
      <c r="T16" s="53">
        <f ca="1">SUM($L$16:$S$16)</f>
        <v>4.1488672891949664E-2</v>
      </c>
      <c r="U16" s="53">
        <f>'TR TUSD'!$U$16*'TR TUSD'!$U$61</f>
        <v>0</v>
      </c>
      <c r="V16" s="53">
        <f>'TR TUSD'!$V$16*'TR TUSD'!$V$61</f>
        <v>0</v>
      </c>
      <c r="W16" s="53">
        <f>'TR TUSD'!$W$16*'TR TUSD'!$W$61</f>
        <v>0</v>
      </c>
      <c r="X16" s="53">
        <f>'TR TUSD'!$X$16*'TR TUSD'!$X$61</f>
        <v>0</v>
      </c>
      <c r="Y16" s="53">
        <f>'TR TUSD'!$Y$16*'TR TUSD'!$Y$61</f>
        <v>0</v>
      </c>
      <c r="Z16" s="53">
        <f>'TR TUSD'!$Z$16*'TR TUSD'!$Z$61</f>
        <v>0</v>
      </c>
      <c r="AA16" s="53">
        <f>'TR TUSD'!$AA$16*'TR TUSD'!$AA$61</f>
        <v>0</v>
      </c>
      <c r="AB16" s="53">
        <f>SUM($U$16:$AA$16)</f>
        <v>0</v>
      </c>
      <c r="AC16" s="53">
        <f>'TR TUSD'!$AC$16*'TR TUSD'!$AC$61</f>
        <v>3.6113780079046571</v>
      </c>
      <c r="AD16" s="53">
        <f>SUM($AC$16:$AC$16)</f>
        <v>3.6113780079046571</v>
      </c>
      <c r="AE16" s="53">
        <v>0</v>
      </c>
      <c r="AF16" s="53">
        <v>0</v>
      </c>
      <c r="AG16" s="53">
        <f>SUM($AE$16:$AF$16)</f>
        <v>0</v>
      </c>
      <c r="AH16" s="53">
        <f>'TR TUSD'!$AH$16*'TR TUSD'!$AH$61</f>
        <v>0</v>
      </c>
      <c r="AI16" s="53">
        <f>'TR TUSD'!$AI$16*'TR TUSD'!$AI$61</f>
        <v>0</v>
      </c>
      <c r="AJ16" s="53">
        <f ca="1">'TR TUSD'!$AJ$16*'TR TUSD'!$AJ$61</f>
        <v>0</v>
      </c>
      <c r="AK16" s="53">
        <f ca="1">'TR TUSD'!$AK$16*'TR TUSD'!$AK$61</f>
        <v>0</v>
      </c>
      <c r="AL16" s="53">
        <f ca="1">SUM($AH$16:$AK$16)</f>
        <v>0</v>
      </c>
      <c r="AM16" s="53">
        <f ca="1">SUMIF($L$4:$AL$4,"SUBTOTAL",$L$16:$AL$16)</f>
        <v>3.6528666807966066</v>
      </c>
      <c r="AP16" s="53"/>
    </row>
    <row r="17" spans="1:42" ht="11.25" customHeight="1" x14ac:dyDescent="0.25">
      <c r="A17" s="131"/>
      <c r="B17" s="131"/>
      <c r="C17" s="131"/>
      <c r="D17" s="131"/>
      <c r="E17" s="73" t="s">
        <v>92</v>
      </c>
      <c r="F17" s="73" t="s">
        <v>25</v>
      </c>
      <c r="G17" s="74" t="s">
        <v>9</v>
      </c>
      <c r="H17" s="74" t="s">
        <v>80</v>
      </c>
      <c r="I17" s="74">
        <f>'MERCADO TUSD'!$U$14+0.00000001</f>
        <v>1E-8</v>
      </c>
      <c r="J17" s="15"/>
      <c r="L17" s="53">
        <f>'TR TUSD'!$L$17*'TR TUSD'!$L$61</f>
        <v>0</v>
      </c>
      <c r="M17" s="53">
        <f>'TR TUSD'!$M$17*'TR TUSD'!$M$61</f>
        <v>1.2720336652179304E-2</v>
      </c>
      <c r="N17" s="53">
        <f ca="1">'TR TUSD'!$N$17*'TR TUSD'!$N$61</f>
        <v>2.8768336239770362E-2</v>
      </c>
      <c r="O17" s="53">
        <f>'TR TUSD'!$O$17*'TR TUSD'!$O$61</f>
        <v>0</v>
      </c>
      <c r="P17" s="53">
        <f>'TR TUSD'!$P$17*'TR TUSD'!$P$61</f>
        <v>0</v>
      </c>
      <c r="Q17" s="53">
        <f>'TR TUSD'!$Q$17*'TR TUSD'!$Q$61</f>
        <v>0</v>
      </c>
      <c r="R17" s="53">
        <f>'TR TUSD'!$R$17*'TR TUSD'!$R$61</f>
        <v>0</v>
      </c>
      <c r="S17" s="53">
        <f>'TR TUSD'!$S$17*'TR TUSD'!$S$61</f>
        <v>0</v>
      </c>
      <c r="T17" s="53">
        <f ca="1">SUM($L$17:$S$17)</f>
        <v>4.1488672891949664E-2</v>
      </c>
      <c r="U17" s="53">
        <f>'TR TUSD'!$U$17*'TR TUSD'!$U$61</f>
        <v>0</v>
      </c>
      <c r="V17" s="53">
        <f>'TR TUSD'!$V$17*'TR TUSD'!$V$61</f>
        <v>0</v>
      </c>
      <c r="W17" s="53">
        <f>'TR TUSD'!$W$17*'TR TUSD'!$W$61</f>
        <v>0</v>
      </c>
      <c r="X17" s="53">
        <f>'TR TUSD'!$X$17*'TR TUSD'!$X$61</f>
        <v>0</v>
      </c>
      <c r="Y17" s="53">
        <f>'TR TUSD'!$Y$17*'TR TUSD'!$Y$61</f>
        <v>0</v>
      </c>
      <c r="Z17" s="53">
        <f>'TR TUSD'!$Z$17*'TR TUSD'!$Z$61</f>
        <v>0</v>
      </c>
      <c r="AA17" s="53">
        <f>'TR TUSD'!$AA$17*'TR TUSD'!$AA$61</f>
        <v>0</v>
      </c>
      <c r="AB17" s="53">
        <f>SUM($U$17:$AA$17)</f>
        <v>0</v>
      </c>
      <c r="AC17" s="53">
        <f>'TR TUSD'!$AC$17*'TR TUSD'!$AC$61</f>
        <v>11.141954191085855</v>
      </c>
      <c r="AD17" s="53">
        <f>SUM($AC$17:$AC$17)</f>
        <v>11.141954191085855</v>
      </c>
      <c r="AE17" s="53">
        <v>0</v>
      </c>
      <c r="AF17" s="53">
        <v>0</v>
      </c>
      <c r="AG17" s="53">
        <f>SUM($AE$17:$AF$17)</f>
        <v>0</v>
      </c>
      <c r="AH17" s="53">
        <f>'TR TUSD'!$AH$17*'TR TUSD'!$AH$61</f>
        <v>0</v>
      </c>
      <c r="AI17" s="53">
        <f>'TR TUSD'!$AI$17*'TR TUSD'!$AI$61</f>
        <v>0</v>
      </c>
      <c r="AJ17" s="53">
        <f ca="1">'TR TUSD'!$AJ$17*'TR TUSD'!$AJ$61</f>
        <v>0</v>
      </c>
      <c r="AK17" s="53">
        <f ca="1">'TR TUSD'!$AK$17*'TR TUSD'!$AK$61</f>
        <v>0</v>
      </c>
      <c r="AL17" s="53">
        <f ca="1">SUM($AH$17:$AK$17)</f>
        <v>0</v>
      </c>
      <c r="AM17" s="53">
        <f ca="1">SUMIF($L$4:$AL$4,"SUBTOTAL",$L$17:$AL$17)</f>
        <v>11.183442863977804</v>
      </c>
      <c r="AP17" s="53"/>
    </row>
    <row r="18" spans="1:42" ht="11.25" customHeight="1" x14ac:dyDescent="0.25">
      <c r="A18" s="131" t="s">
        <v>22</v>
      </c>
      <c r="B18" s="131" t="s">
        <v>32</v>
      </c>
      <c r="C18" s="131" t="s">
        <v>24</v>
      </c>
      <c r="D18" s="131" t="s">
        <v>24</v>
      </c>
      <c r="E18" s="131" t="s">
        <v>25</v>
      </c>
      <c r="F18" s="131" t="s">
        <v>25</v>
      </c>
      <c r="G18" s="74" t="s">
        <v>83</v>
      </c>
      <c r="H18" s="74" t="s">
        <v>82</v>
      </c>
      <c r="I18" s="74">
        <f>'MERCADO TUSD'!$U$15</f>
        <v>1.103</v>
      </c>
      <c r="J18" s="15"/>
      <c r="L18" s="53">
        <f>'TR TUSD'!$L$18*'TR TUSD'!$L$61</f>
        <v>6.1966214554290531</v>
      </c>
      <c r="M18" s="53">
        <f>'TR TUSD'!$M$18*'TR TUSD'!$M$61</f>
        <v>0.83983679075732021</v>
      </c>
      <c r="N18" s="53">
        <f ca="1">'TR TUSD'!$N$18*'TR TUSD'!$N$61</f>
        <v>7.6670805970547757</v>
      </c>
      <c r="O18" s="53">
        <f>'TR TUSD'!$O$18*'TR TUSD'!$O$61</f>
        <v>0</v>
      </c>
      <c r="P18" s="53">
        <f>'TR TUSD'!$P$18*'TR TUSD'!$P$61</f>
        <v>0</v>
      </c>
      <c r="Q18" s="53">
        <f>'TR TUSD'!$Q$18*'TR TUSD'!$Q$61</f>
        <v>88.097831301640994</v>
      </c>
      <c r="R18" s="53">
        <f>'TR TUSD'!$R$18*'TR TUSD'!$R$61</f>
        <v>13.882281717726123</v>
      </c>
      <c r="S18" s="53">
        <f>'TR TUSD'!$S$18*'TR TUSD'!$S$61</f>
        <v>0</v>
      </c>
      <c r="T18" s="53">
        <f ca="1">SUM($L$18:$S$18)</f>
        <v>116.68365186260826</v>
      </c>
      <c r="U18" s="53">
        <f>'TR TUSD'!$U$18*'TR TUSD'!$U$61</f>
        <v>122.74077056192647</v>
      </c>
      <c r="V18" s="53">
        <f>'TR TUSD'!$V$18*'TR TUSD'!$V$61</f>
        <v>37.199502909633942</v>
      </c>
      <c r="W18" s="53">
        <f>'TR TUSD'!$W$18*'TR TUSD'!$W$61</f>
        <v>69.991814461219178</v>
      </c>
      <c r="X18" s="53">
        <f>'TR TUSD'!$X$18*'TR TUSD'!$X$61</f>
        <v>0</v>
      </c>
      <c r="Y18" s="53">
        <f>'TR TUSD'!$Y$18*'TR TUSD'!$Y$61</f>
        <v>0</v>
      </c>
      <c r="Z18" s="53">
        <f>'TR TUSD'!$Z$18</f>
        <v>0</v>
      </c>
      <c r="AA18" s="53">
        <f>'TR TUSD'!$AA$18</f>
        <v>0</v>
      </c>
      <c r="AB18" s="53">
        <f>SUM($U$18:$AA$18)</f>
        <v>229.93208793277958</v>
      </c>
      <c r="AC18" s="53">
        <f>'TR TUSD'!$AC$18*'TR TUSD'!$AC$61</f>
        <v>672.97402178290793</v>
      </c>
      <c r="AD18" s="53">
        <f>SUM($AC$18:$AC$18)</f>
        <v>672.97402178290793</v>
      </c>
      <c r="AE18" s="53">
        <v>0</v>
      </c>
      <c r="AF18" s="53">
        <v>0</v>
      </c>
      <c r="AG18" s="53">
        <f>SUM($AE$18:$AF$18)</f>
        <v>0</v>
      </c>
      <c r="AH18" s="53">
        <f>'TR TUSD'!$AH$18*'TR TUSD'!$AH$61</f>
        <v>16.072355609345063</v>
      </c>
      <c r="AI18" s="53">
        <f>'TR TUSD'!$AI$18*'TR TUSD'!$AI$61</f>
        <v>0.55122094467838079</v>
      </c>
      <c r="AJ18" s="53">
        <f ca="1">'TR TUSD'!$AJ$18*'TR TUSD'!$AJ$61</f>
        <v>2.3663200818906773</v>
      </c>
      <c r="AK18" s="53">
        <f ca="1">'TR TUSD'!$AK$18*'TR TUSD'!$AK$61</f>
        <v>0.29217696156774475</v>
      </c>
      <c r="AL18" s="53">
        <f ca="1">SUM($AH$18:$AK$18)</f>
        <v>19.282073597481865</v>
      </c>
      <c r="AM18" s="53">
        <f ca="1">SUMIF($L$4:$AL$4,"SUBTOTAL",$L$18:$AL$18)</f>
        <v>1038.8718351757777</v>
      </c>
      <c r="AP18" s="53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74" t="s">
        <v>93</v>
      </c>
      <c r="H19" s="74" t="s">
        <v>82</v>
      </c>
      <c r="I19" s="74">
        <f>'MERCADO TUSD'!$U$16</f>
        <v>0.64800000000000013</v>
      </c>
      <c r="J19" s="15"/>
      <c r="L19" s="53">
        <f>'TR TUSD'!$L$19*'TR TUSD'!$L$61</f>
        <v>6.1966214554290531</v>
      </c>
      <c r="M19" s="53">
        <f>'TR TUSD'!$M$19*'TR TUSD'!$M$61</f>
        <v>0.83983679075732021</v>
      </c>
      <c r="N19" s="53">
        <f ca="1">'TR TUSD'!$N$19*'TR TUSD'!$N$61</f>
        <v>4.056846939395796</v>
      </c>
      <c r="O19" s="53">
        <f>'TR TUSD'!$O$19*'TR TUSD'!$O$61</f>
        <v>0</v>
      </c>
      <c r="P19" s="53">
        <f>'TR TUSD'!$P$19*'TR TUSD'!$P$61</f>
        <v>0</v>
      </c>
      <c r="Q19" s="53">
        <f>'TR TUSD'!$Q$19*'TR TUSD'!$Q$61</f>
        <v>88.097831301640994</v>
      </c>
      <c r="R19" s="53">
        <f>'TR TUSD'!$R$19*'TR TUSD'!$R$61</f>
        <v>13.882281717726123</v>
      </c>
      <c r="S19" s="53">
        <f>'TR TUSD'!$S$19*'TR TUSD'!$S$61</f>
        <v>0</v>
      </c>
      <c r="T19" s="53">
        <f ca="1">SUM($L$19:$S$19)</f>
        <v>113.07341820494929</v>
      </c>
      <c r="U19" s="53">
        <f>'TR TUSD'!$U$19*'TR TUSD'!$U$61</f>
        <v>61.370338352344227</v>
      </c>
      <c r="V19" s="53">
        <f>'TR TUSD'!$V$19*'TR TUSD'!$V$61</f>
        <v>18.599798402427925</v>
      </c>
      <c r="W19" s="53">
        <f>'TR TUSD'!$W$19*'TR TUSD'!$W$61</f>
        <v>34.995954194958443</v>
      </c>
      <c r="X19" s="53">
        <f>'TR TUSD'!$X$19*'TR TUSD'!$X$61</f>
        <v>0</v>
      </c>
      <c r="Y19" s="53">
        <f>'TR TUSD'!$Y$19*'TR TUSD'!$Y$61</f>
        <v>0</v>
      </c>
      <c r="Z19" s="53">
        <f>'TR TUSD'!$Z$19</f>
        <v>0</v>
      </c>
      <c r="AA19" s="53">
        <f>'TR TUSD'!$AA$19</f>
        <v>0</v>
      </c>
      <c r="AB19" s="53">
        <f>SUM($U$19:$AA$19)</f>
        <v>114.9660909497306</v>
      </c>
      <c r="AC19" s="53">
        <f>'TR TUSD'!$AC$19*'TR TUSD'!$AC$61</f>
        <v>336.48701089145396</v>
      </c>
      <c r="AD19" s="53">
        <f>SUM($AC$19:$AC$19)</f>
        <v>336.48701089145396</v>
      </c>
      <c r="AE19" s="53">
        <v>0</v>
      </c>
      <c r="AF19" s="53">
        <v>0</v>
      </c>
      <c r="AG19" s="53">
        <f>SUM($AE$19:$AF$19)</f>
        <v>0</v>
      </c>
      <c r="AH19" s="53">
        <f>'TR TUSD'!$AH$19*'TR TUSD'!$AH$61</f>
        <v>16.072355609345063</v>
      </c>
      <c r="AI19" s="53">
        <f>'TR TUSD'!$AI$19*'TR TUSD'!$AI$61</f>
        <v>0.55122094467838079</v>
      </c>
      <c r="AJ19" s="53">
        <f ca="1">'TR TUSD'!$AJ$19*'TR TUSD'!$AJ$61</f>
        <v>2.3663200818906773</v>
      </c>
      <c r="AK19" s="53">
        <f ca="1">'TR TUSD'!$AK$19*'TR TUSD'!$AK$61</f>
        <v>0.29217696156774475</v>
      </c>
      <c r="AL19" s="53">
        <f ca="1">SUM($AH$19:$AK$19)</f>
        <v>19.282073597481865</v>
      </c>
      <c r="AM19" s="53">
        <f ca="1">SUMIF($L$4:$AL$4,"SUBTOTAL",$L$19:$AL$19)</f>
        <v>583.80859364361561</v>
      </c>
      <c r="AP19" s="53">
        <v>1</v>
      </c>
    </row>
    <row r="20" spans="1:42" ht="11.25" customHeight="1" x14ac:dyDescent="0.25">
      <c r="A20" s="131"/>
      <c r="B20" s="131"/>
      <c r="C20" s="131"/>
      <c r="D20" s="131"/>
      <c r="E20" s="131"/>
      <c r="F20" s="131"/>
      <c r="G20" s="74" t="s">
        <v>84</v>
      </c>
      <c r="H20" s="74" t="s">
        <v>82</v>
      </c>
      <c r="I20" s="74">
        <f>'MERCADO TUSD'!$U$17</f>
        <v>11.868000000000002</v>
      </c>
      <c r="J20" s="15"/>
      <c r="L20" s="53">
        <f>'TR TUSD'!$L$20*'TR TUSD'!$L$61</f>
        <v>6.1966214554290531</v>
      </c>
      <c r="M20" s="53">
        <f>'TR TUSD'!$M$20*'TR TUSD'!$M$61</f>
        <v>0.83983679075732021</v>
      </c>
      <c r="N20" s="53">
        <f ca="1">'TR TUSD'!$N$20*'TR TUSD'!$N$61</f>
        <v>1.1686592467141981</v>
      </c>
      <c r="O20" s="53">
        <f>'TR TUSD'!$O$20*'TR TUSD'!$O$61</f>
        <v>0</v>
      </c>
      <c r="P20" s="53">
        <f>'TR TUSD'!$P$20*'TR TUSD'!$P$61</f>
        <v>0</v>
      </c>
      <c r="Q20" s="53">
        <f>'TR TUSD'!$Q$20*'TR TUSD'!$Q$61</f>
        <v>88.097831301640994</v>
      </c>
      <c r="R20" s="53">
        <f>'TR TUSD'!$R$20*'TR TUSD'!$R$61</f>
        <v>13.882281717726123</v>
      </c>
      <c r="S20" s="53">
        <f>'TR TUSD'!$S$20*'TR TUSD'!$S$61</f>
        <v>0</v>
      </c>
      <c r="T20" s="53">
        <f ca="1">SUM($L$20:$S$20)</f>
        <v>110.18523051226768</v>
      </c>
      <c r="U20" s="53">
        <f>'TR TUSD'!$U$20*'TR TUSD'!$U$61</f>
        <v>12.274086441916447</v>
      </c>
      <c r="V20" s="53">
        <f>'TR TUSD'!$V$20*'TR TUSD'!$V$61</f>
        <v>3.7199409014412037</v>
      </c>
      <c r="W20" s="53">
        <f>'TR TUSD'!$W$20*'TR TUSD'!$W$61</f>
        <v>6.9991908389916881</v>
      </c>
      <c r="X20" s="53">
        <f>'TR TUSD'!$X$20*'TR TUSD'!$X$61</f>
        <v>0</v>
      </c>
      <c r="Y20" s="53">
        <f>'TR TUSD'!$Y$20*'TR TUSD'!$Y$61</f>
        <v>0</v>
      </c>
      <c r="Z20" s="53">
        <f>'TR TUSD'!$Z$20</f>
        <v>0</v>
      </c>
      <c r="AA20" s="53">
        <f>'TR TUSD'!$AA$20</f>
        <v>0</v>
      </c>
      <c r="AB20" s="53">
        <f>SUM($U$20:$AA$20)</f>
        <v>22.993218182349338</v>
      </c>
      <c r="AC20" s="53">
        <f>'TR TUSD'!$AC$20*'TR TUSD'!$AC$61</f>
        <v>67.297382868538591</v>
      </c>
      <c r="AD20" s="53">
        <f>SUM($AC$20:$AC$20)</f>
        <v>67.297382868538591</v>
      </c>
      <c r="AE20" s="53">
        <v>0</v>
      </c>
      <c r="AF20" s="53">
        <v>0</v>
      </c>
      <c r="AG20" s="53">
        <f>SUM($AE$20:$AF$20)</f>
        <v>0</v>
      </c>
      <c r="AH20" s="53">
        <f>'TR TUSD'!$AH$20*'TR TUSD'!$AH$61</f>
        <v>16.072355609345063</v>
      </c>
      <c r="AI20" s="53">
        <f>'TR TUSD'!$AI$20*'TR TUSD'!$AI$61</f>
        <v>0.55122094467838079</v>
      </c>
      <c r="AJ20" s="53">
        <f ca="1">'TR TUSD'!$AJ$20*'TR TUSD'!$AJ$61</f>
        <v>2.3663200818906773</v>
      </c>
      <c r="AK20" s="53">
        <f ca="1">'TR TUSD'!$AK$20*'TR TUSD'!$AK$61</f>
        <v>0.29217696156774475</v>
      </c>
      <c r="AL20" s="53">
        <f ca="1">SUM($AH$20:$AK$20)</f>
        <v>19.282073597481865</v>
      </c>
      <c r="AM20" s="53">
        <f ca="1">SUMIF($L$4:$AL$4,"SUBTOTAL",$L$20:$AL$20)</f>
        <v>219.75790516063748</v>
      </c>
      <c r="AP20" s="53">
        <v>1</v>
      </c>
    </row>
    <row r="21" spans="1:42" ht="11.25" customHeight="1" x14ac:dyDescent="0.25">
      <c r="A21" s="131"/>
      <c r="B21" s="131" t="s">
        <v>23</v>
      </c>
      <c r="C21" s="131" t="s">
        <v>24</v>
      </c>
      <c r="D21" s="73" t="s">
        <v>24</v>
      </c>
      <c r="E21" s="73" t="s">
        <v>25</v>
      </c>
      <c r="F21" s="73" t="s">
        <v>25</v>
      </c>
      <c r="G21" s="74" t="s">
        <v>86</v>
      </c>
      <c r="H21" s="74" t="s">
        <v>82</v>
      </c>
      <c r="I21" s="74">
        <f>'MERCADO TUSD'!$U$18</f>
        <v>63212.388999999996</v>
      </c>
      <c r="J21" s="15"/>
      <c r="L21" s="53">
        <f>'TR TUSD'!$L$21*'TR TUSD'!$L$61</f>
        <v>6.1966214554290531</v>
      </c>
      <c r="M21" s="53">
        <f>'TR TUSD'!$M$21*'TR TUSD'!$M$61</f>
        <v>0.83983679075732021</v>
      </c>
      <c r="N21" s="53">
        <f ca="1">'TR TUSD'!$N$21*'TR TUSD'!$N$61</f>
        <v>2.4522983064120649</v>
      </c>
      <c r="O21" s="53">
        <f>'TR TUSD'!$O$21*'TR TUSD'!$O$61</f>
        <v>0</v>
      </c>
      <c r="P21" s="53">
        <f>'TR TUSD'!$P$21*'TR TUSD'!$P$61</f>
        <v>0</v>
      </c>
      <c r="Q21" s="53">
        <f>'TR TUSD'!$Q$21*'TR TUSD'!$Q$61</f>
        <v>88.097831301640994</v>
      </c>
      <c r="R21" s="53">
        <f>'TR TUSD'!$R$21*'TR TUSD'!$R$61</f>
        <v>13.882281717726123</v>
      </c>
      <c r="S21" s="53">
        <f>'TR TUSD'!$S$21*'TR TUSD'!$S$61</f>
        <v>0</v>
      </c>
      <c r="T21" s="53">
        <f ca="1">SUM($L$21:$S$21)</f>
        <v>111.46886957196557</v>
      </c>
      <c r="U21" s="53">
        <f>'TR TUSD'!$U$21*'TR TUSD'!$U$61</f>
        <v>34.094674132297015</v>
      </c>
      <c r="V21" s="53">
        <f>'TR TUSD'!$V$21*'TR TUSD'!$V$61</f>
        <v>10.333169170670011</v>
      </c>
      <c r="W21" s="53">
        <f>'TR TUSD'!$W$21*'TR TUSD'!$W$61</f>
        <v>19.442207211498879</v>
      </c>
      <c r="X21" s="53">
        <f>'TR TUSD'!$X$21*'TR TUSD'!$X$61</f>
        <v>0</v>
      </c>
      <c r="Y21" s="53">
        <f>'TR TUSD'!$Y$21*'TR TUSD'!$Y$61</f>
        <v>0</v>
      </c>
      <c r="Z21" s="53">
        <f>'TR TUSD'!$Z$21</f>
        <v>0</v>
      </c>
      <c r="AA21" s="53">
        <f>'TR TUSD'!$AA$21</f>
        <v>0</v>
      </c>
      <c r="AB21" s="53">
        <f>SUM($U$21:$AA$21)</f>
        <v>63.870050514465902</v>
      </c>
      <c r="AC21" s="53">
        <f>'TR TUSD'!$AC$21*'TR TUSD'!$AC$61</f>
        <v>186.93722827302994</v>
      </c>
      <c r="AD21" s="53">
        <f>SUM($AC$21:$AC$21)</f>
        <v>186.93722827302994</v>
      </c>
      <c r="AE21" s="53">
        <v>0</v>
      </c>
      <c r="AF21" s="53">
        <v>0</v>
      </c>
      <c r="AG21" s="53">
        <f>SUM($AE$21:$AF$21)</f>
        <v>0</v>
      </c>
      <c r="AH21" s="53">
        <f>'TR TUSD'!$AH$21*'TR TUSD'!$AH$61</f>
        <v>16.072355609345063</v>
      </c>
      <c r="AI21" s="53">
        <f>'TR TUSD'!$AI$21*'TR TUSD'!$AI$61</f>
        <v>0.55122094467838079</v>
      </c>
      <c r="AJ21" s="53">
        <f ca="1">'TR TUSD'!$AJ$21*'TR TUSD'!$AJ$61</f>
        <v>2.3663200818906773</v>
      </c>
      <c r="AK21" s="53">
        <f ca="1">'TR TUSD'!$AK$21*'TR TUSD'!$AK$61</f>
        <v>0.29217696156774475</v>
      </c>
      <c r="AL21" s="53">
        <f ca="1">SUM($AH$21:$AK$21)</f>
        <v>19.282073597481865</v>
      </c>
      <c r="AM21" s="53">
        <f ca="1">SUMIF($L$4:$AL$4,"SUBTOTAL",$L$21:$AL$21)</f>
        <v>381.55822195694333</v>
      </c>
      <c r="AP21" s="53">
        <v>1</v>
      </c>
    </row>
    <row r="22" spans="1:42" ht="11.25" customHeight="1" x14ac:dyDescent="0.25">
      <c r="A22" s="131"/>
      <c r="B22" s="131"/>
      <c r="C22" s="131"/>
      <c r="D22" s="73" t="s">
        <v>28</v>
      </c>
      <c r="E22" s="73" t="s">
        <v>25</v>
      </c>
      <c r="F22" s="73" t="s">
        <v>25</v>
      </c>
      <c r="G22" s="74" t="s">
        <v>86</v>
      </c>
      <c r="H22" s="74" t="s">
        <v>82</v>
      </c>
      <c r="I22" s="74">
        <f>'MERCADO TUSD'!$U$19</f>
        <v>258.12700000000001</v>
      </c>
      <c r="J22" s="15"/>
      <c r="L22" s="53">
        <f>'TR TUSD'!$L$22*'TR TUSD'!$L$61</f>
        <v>0</v>
      </c>
      <c r="M22" s="53">
        <f>'TR TUSD'!$M$22*'TR TUSD'!$M$61</f>
        <v>0.83983679075732021</v>
      </c>
      <c r="N22" s="53">
        <f ca="1">'TR TUSD'!$N$22*'TR TUSD'!$N$61</f>
        <v>2.4432800191895665</v>
      </c>
      <c r="O22" s="53">
        <f>'TR TUSD'!$O$22*'TR TUSD'!$O$61</f>
        <v>0</v>
      </c>
      <c r="P22" s="53">
        <f>'TR TUSD'!$P$22*'TR TUSD'!$P$61</f>
        <v>0</v>
      </c>
      <c r="Q22" s="53">
        <f>'TR TUSD'!$Q$22*'TR TUSD'!$Q$61</f>
        <v>0</v>
      </c>
      <c r="R22" s="53">
        <f>'TR TUSD'!$R$22*'TR TUSD'!$R$61</f>
        <v>0</v>
      </c>
      <c r="S22" s="53">
        <f>'TR TUSD'!$S$22*'TR TUSD'!$S$61</f>
        <v>0</v>
      </c>
      <c r="T22" s="53">
        <f ca="1">SUM($L$22:$S$22)</f>
        <v>3.2831168099468866</v>
      </c>
      <c r="U22" s="53">
        <f>'TR TUSD'!$U$22*'TR TUSD'!$U$61</f>
        <v>34.094674132297015</v>
      </c>
      <c r="V22" s="53">
        <f>'TR TUSD'!$V$22*'TR TUSD'!$V$61</f>
        <v>10.333169170670011</v>
      </c>
      <c r="W22" s="53">
        <f>'TR TUSD'!$W$22*'TR TUSD'!$W$61</f>
        <v>19.442207211498879</v>
      </c>
      <c r="X22" s="53">
        <f>'TR TUSD'!$X$22*'TR TUSD'!$X$61</f>
        <v>0</v>
      </c>
      <c r="Y22" s="53">
        <f>'TR TUSD'!$Y$22*'TR TUSD'!$Y$61</f>
        <v>0</v>
      </c>
      <c r="Z22" s="53">
        <f>'TR TUSD'!$Z$22</f>
        <v>0</v>
      </c>
      <c r="AA22" s="53">
        <f>'TR TUSD'!$AA$22</f>
        <v>0</v>
      </c>
      <c r="AB22" s="53">
        <f>SUM($U$22:$AA$22)</f>
        <v>63.870050514465902</v>
      </c>
      <c r="AC22" s="53">
        <f>'TR TUSD'!$AC$22*'TR TUSD'!$AC$61</f>
        <v>186.93722827302994</v>
      </c>
      <c r="AD22" s="53">
        <f>SUM($AC$22:$AC$22)</f>
        <v>186.93722827302994</v>
      </c>
      <c r="AE22" s="53">
        <v>0</v>
      </c>
      <c r="AF22" s="53">
        <v>0</v>
      </c>
      <c r="AG22" s="53">
        <f>SUM($AE$22:$AF$22)</f>
        <v>0</v>
      </c>
      <c r="AH22" s="53">
        <f>'TR TUSD'!$AH$22*'TR TUSD'!$AH$61</f>
        <v>16.072355609345063</v>
      </c>
      <c r="AI22" s="53">
        <f>'TR TUSD'!$AI$22*'TR TUSD'!$AI$61</f>
        <v>0.55122094467838079</v>
      </c>
      <c r="AJ22" s="53">
        <f ca="1">'TR TUSD'!$AJ$22*'TR TUSD'!$AJ$61</f>
        <v>2.3663200818906773</v>
      </c>
      <c r="AK22" s="53">
        <f ca="1">'TR TUSD'!$AK$22*'TR TUSD'!$AK$61</f>
        <v>0.29217696156774475</v>
      </c>
      <c r="AL22" s="53">
        <f ca="1">SUM($AH$22:$AK$22)</f>
        <v>19.282073597481865</v>
      </c>
      <c r="AM22" s="53">
        <f ca="1">SUMIF($L$4:$AL$4,"SUBTOTAL",$L$22:$AL$22)</f>
        <v>273.37246919492463</v>
      </c>
      <c r="AP22" s="53">
        <f>IF((1 - CUSTOS!$M$24)&lt;&gt;0,1/(1 - CUSTOS!$M$24),1)</f>
        <v>1</v>
      </c>
    </row>
    <row r="23" spans="1:42" ht="11.25" customHeight="1" x14ac:dyDescent="0.25">
      <c r="A23" s="131"/>
      <c r="B23" s="131"/>
      <c r="C23" s="131"/>
      <c r="D23" s="73" t="s">
        <v>29</v>
      </c>
      <c r="E23" s="73" t="s">
        <v>25</v>
      </c>
      <c r="F23" s="73" t="s">
        <v>25</v>
      </c>
      <c r="G23" s="74" t="s">
        <v>86</v>
      </c>
      <c r="H23" s="74" t="s">
        <v>82</v>
      </c>
      <c r="I23" s="74">
        <f>'MERCADO TUSD'!$U$20</f>
        <v>546.58100000000002</v>
      </c>
      <c r="J23" s="15"/>
      <c r="L23" s="53">
        <f>'TR TUSD'!$L$23*'TR TUSD'!$L$61</f>
        <v>0</v>
      </c>
      <c r="M23" s="53">
        <f>'TR TUSD'!$M$23*'TR TUSD'!$M$61</f>
        <v>0.83983679075732021</v>
      </c>
      <c r="N23" s="53">
        <f ca="1">'TR TUSD'!$N$23*'TR TUSD'!$N$61</f>
        <v>2.4432800191895665</v>
      </c>
      <c r="O23" s="53">
        <f>'TR TUSD'!$O$23*'TR TUSD'!$O$61</f>
        <v>0</v>
      </c>
      <c r="P23" s="53">
        <f>'TR TUSD'!$P$23*'TR TUSD'!$P$61</f>
        <v>0</v>
      </c>
      <c r="Q23" s="53">
        <f>'TR TUSD'!$Q$23*'TR TUSD'!$Q$61</f>
        <v>0</v>
      </c>
      <c r="R23" s="53">
        <f>'TR TUSD'!$R$23*'TR TUSD'!$R$61</f>
        <v>0</v>
      </c>
      <c r="S23" s="53">
        <f>'TR TUSD'!$S$23*'TR TUSD'!$S$61</f>
        <v>0</v>
      </c>
      <c r="T23" s="53">
        <f ca="1">SUM($L$23:$S$23)</f>
        <v>3.2831168099468866</v>
      </c>
      <c r="U23" s="53">
        <f>'TR TUSD'!$U$23*'TR TUSD'!$U$61</f>
        <v>34.094674132297015</v>
      </c>
      <c r="V23" s="53">
        <f>'TR TUSD'!$V$23*'TR TUSD'!$V$61</f>
        <v>10.333169170670011</v>
      </c>
      <c r="W23" s="53">
        <f>'TR TUSD'!$W$23*'TR TUSD'!$W$61</f>
        <v>19.442207211498879</v>
      </c>
      <c r="X23" s="53">
        <f>'TR TUSD'!$X$23*'TR TUSD'!$X$61</f>
        <v>0</v>
      </c>
      <c r="Y23" s="53">
        <f>'TR TUSD'!$Y$23*'TR TUSD'!$Y$61</f>
        <v>0</v>
      </c>
      <c r="Z23" s="53">
        <f>'TR TUSD'!$Z$23</f>
        <v>0</v>
      </c>
      <c r="AA23" s="53">
        <f>'TR TUSD'!$AA$23</f>
        <v>0</v>
      </c>
      <c r="AB23" s="53">
        <f>SUM($U$23:$AA$23)</f>
        <v>63.870050514465902</v>
      </c>
      <c r="AC23" s="53">
        <f>'TR TUSD'!$AC$23*'TR TUSD'!$AC$61</f>
        <v>186.93722827302994</v>
      </c>
      <c r="AD23" s="53">
        <f>SUM($AC$23:$AC$23)</f>
        <v>186.93722827302994</v>
      </c>
      <c r="AE23" s="53">
        <v>0</v>
      </c>
      <c r="AF23" s="53">
        <v>0</v>
      </c>
      <c r="AG23" s="53">
        <f>SUM($AE$23:$AF$23)</f>
        <v>0</v>
      </c>
      <c r="AH23" s="53">
        <f>'TR TUSD'!$AH$23*'TR TUSD'!$AH$61</f>
        <v>16.072355609345063</v>
      </c>
      <c r="AI23" s="53">
        <f>'TR TUSD'!$AI$23*'TR TUSD'!$AI$61</f>
        <v>0.55122094467838079</v>
      </c>
      <c r="AJ23" s="53">
        <f ca="1">'TR TUSD'!$AJ$23*'TR TUSD'!$AJ$61</f>
        <v>2.3663200818906773</v>
      </c>
      <c r="AK23" s="53">
        <f ca="1">'TR TUSD'!$AK$23*'TR TUSD'!$AK$61</f>
        <v>0.29217696156774475</v>
      </c>
      <c r="AL23" s="53">
        <f ca="1">SUM($AH$23:$AK$23)</f>
        <v>19.282073597481865</v>
      </c>
      <c r="AM23" s="53">
        <f ca="1">SUMIF($L$4:$AL$4,"SUBTOTAL",$L$23:$AL$23)</f>
        <v>273.37246919492463</v>
      </c>
      <c r="AP23" s="53">
        <f>IF((1 - CUSTOS!$M$25)&lt;&gt;0,1/(1 - CUSTOS!$M$25),1)</f>
        <v>1</v>
      </c>
    </row>
    <row r="24" spans="1:42" ht="11.25" customHeight="1" x14ac:dyDescent="0.25">
      <c r="A24" s="131"/>
      <c r="B24" s="131"/>
      <c r="C24" s="131"/>
      <c r="D24" s="73" t="s">
        <v>30</v>
      </c>
      <c r="E24" s="73" t="s">
        <v>25</v>
      </c>
      <c r="F24" s="73" t="s">
        <v>25</v>
      </c>
      <c r="G24" s="74" t="s">
        <v>86</v>
      </c>
      <c r="H24" s="74" t="s">
        <v>82</v>
      </c>
      <c r="I24" s="74">
        <f>'MERCADO TUSD'!$U$21</f>
        <v>537.75300000000004</v>
      </c>
      <c r="J24" s="15"/>
      <c r="L24" s="53">
        <f>'TR TUSD'!$L$24*'TR TUSD'!$L$61</f>
        <v>0</v>
      </c>
      <c r="M24" s="53">
        <f>'TR TUSD'!$M$24*'TR TUSD'!$M$61</f>
        <v>0.83983679075732021</v>
      </c>
      <c r="N24" s="53">
        <f ca="1">'TR TUSD'!$N$24*'TR TUSD'!$N$61</f>
        <v>2.4432800191895665</v>
      </c>
      <c r="O24" s="53">
        <f>'TR TUSD'!$O$24*'TR TUSD'!$O$61</f>
        <v>0</v>
      </c>
      <c r="P24" s="53">
        <f>'TR TUSD'!$P$24*'TR TUSD'!$P$61</f>
        <v>0</v>
      </c>
      <c r="Q24" s="53">
        <f>'TR TUSD'!$Q$24*'TR TUSD'!$Q$61</f>
        <v>0</v>
      </c>
      <c r="R24" s="53">
        <f>'TR TUSD'!$R$24*'TR TUSD'!$R$61</f>
        <v>0</v>
      </c>
      <c r="S24" s="53">
        <f>'TR TUSD'!$S$24*'TR TUSD'!$S$61</f>
        <v>0</v>
      </c>
      <c r="T24" s="53">
        <f ca="1">SUM($L$24:$S$24)</f>
        <v>3.2831168099468866</v>
      </c>
      <c r="U24" s="53">
        <f>'TR TUSD'!$U$24*'TR TUSD'!$U$61</f>
        <v>34.094674132297015</v>
      </c>
      <c r="V24" s="53">
        <f>'TR TUSD'!$V$24*'TR TUSD'!$V$61</f>
        <v>10.333169170670011</v>
      </c>
      <c r="W24" s="53">
        <f>'TR TUSD'!$W$24*'TR TUSD'!$W$61</f>
        <v>19.442207211498879</v>
      </c>
      <c r="X24" s="53">
        <f>'TR TUSD'!$X$24*'TR TUSD'!$X$61</f>
        <v>0</v>
      </c>
      <c r="Y24" s="53">
        <f>'TR TUSD'!$Y$24*'TR TUSD'!$Y$61</f>
        <v>0</v>
      </c>
      <c r="Z24" s="53">
        <f>'TR TUSD'!$Z$24</f>
        <v>0</v>
      </c>
      <c r="AA24" s="53">
        <f>'TR TUSD'!$AA$24</f>
        <v>0</v>
      </c>
      <c r="AB24" s="53">
        <f>SUM($U$24:$AA$24)</f>
        <v>63.870050514465902</v>
      </c>
      <c r="AC24" s="53">
        <f>'TR TUSD'!$AC$24*'TR TUSD'!$AC$61</f>
        <v>186.93722827302994</v>
      </c>
      <c r="AD24" s="53">
        <f>SUM($AC$24:$AC$24)</f>
        <v>186.93722827302994</v>
      </c>
      <c r="AE24" s="53">
        <v>0</v>
      </c>
      <c r="AF24" s="53">
        <v>0</v>
      </c>
      <c r="AG24" s="53">
        <f>SUM($AE$24:$AF$24)</f>
        <v>0</v>
      </c>
      <c r="AH24" s="53">
        <f>'TR TUSD'!$AH$24*'TR TUSD'!$AH$61</f>
        <v>16.072355609345063</v>
      </c>
      <c r="AI24" s="53">
        <f>'TR TUSD'!$AI$24*'TR TUSD'!$AI$61</f>
        <v>0.55122094467838079</v>
      </c>
      <c r="AJ24" s="53">
        <f ca="1">'TR TUSD'!$AJ$24*'TR TUSD'!$AJ$61</f>
        <v>2.3663200818906773</v>
      </c>
      <c r="AK24" s="53">
        <f ca="1">'TR TUSD'!$AK$24*'TR TUSD'!$AK$61</f>
        <v>0.29217696156774475</v>
      </c>
      <c r="AL24" s="53">
        <f ca="1">SUM($AH$24:$AK$24)</f>
        <v>19.282073597481865</v>
      </c>
      <c r="AM24" s="53">
        <f ca="1">SUMIF($L$4:$AL$4,"SUBTOTAL",$L$24:$AL$24)</f>
        <v>273.37246919492463</v>
      </c>
      <c r="AP24" s="53">
        <f>IF((1 - CUSTOS!$M$26)&lt;&gt;0,1/(1 - CUSTOS!$M$26),1)</f>
        <v>1</v>
      </c>
    </row>
    <row r="25" spans="1:42" ht="11.25" customHeight="1" x14ac:dyDescent="0.25">
      <c r="A25" s="131"/>
      <c r="B25" s="131"/>
      <c r="C25" s="131"/>
      <c r="D25" s="73" t="s">
        <v>31</v>
      </c>
      <c r="E25" s="73" t="s">
        <v>25</v>
      </c>
      <c r="F25" s="73" t="s">
        <v>25</v>
      </c>
      <c r="G25" s="74" t="s">
        <v>86</v>
      </c>
      <c r="H25" s="74" t="s">
        <v>82</v>
      </c>
      <c r="I25" s="74">
        <f>'MERCADO TUSD'!$U$22</f>
        <v>180.10599999999999</v>
      </c>
      <c r="J25" s="15"/>
      <c r="L25" s="53">
        <f>'TR TUSD'!$L$25*'TR TUSD'!$L$61</f>
        <v>0</v>
      </c>
      <c r="M25" s="53">
        <f>'TR TUSD'!$M$25*'TR TUSD'!$M$61</f>
        <v>0.83983679075732021</v>
      </c>
      <c r="N25" s="53">
        <f ca="1">'TR TUSD'!$N$25*'TR TUSD'!$N$61</f>
        <v>2.4432800191895665</v>
      </c>
      <c r="O25" s="53">
        <f>'TR TUSD'!$O$25*'TR TUSD'!$O$61</f>
        <v>0</v>
      </c>
      <c r="P25" s="53">
        <f>'TR TUSD'!$P$25*'TR TUSD'!$P$61</f>
        <v>0</v>
      </c>
      <c r="Q25" s="53">
        <f>'TR TUSD'!$Q$25*'TR TUSD'!$Q$61</f>
        <v>0</v>
      </c>
      <c r="R25" s="53">
        <f>'TR TUSD'!$R$25*'TR TUSD'!$R$61</f>
        <v>0</v>
      </c>
      <c r="S25" s="53">
        <f>'TR TUSD'!$S$25*'TR TUSD'!$S$61</f>
        <v>0</v>
      </c>
      <c r="T25" s="53">
        <f ca="1">SUM($L$25:$S$25)</f>
        <v>3.2831168099468866</v>
      </c>
      <c r="U25" s="53">
        <f>'TR TUSD'!$U$25*'TR TUSD'!$U$61</f>
        <v>34.094674132297015</v>
      </c>
      <c r="V25" s="53">
        <f>'TR TUSD'!$V$25*'TR TUSD'!$V$61</f>
        <v>10.333169170670011</v>
      </c>
      <c r="W25" s="53">
        <f>'TR TUSD'!$W$25*'TR TUSD'!$W$61</f>
        <v>19.442207211498879</v>
      </c>
      <c r="X25" s="53">
        <f>'TR TUSD'!$X$25*'TR TUSD'!$X$61</f>
        <v>0</v>
      </c>
      <c r="Y25" s="53">
        <f>'TR TUSD'!$Y$25*'TR TUSD'!$Y$61</f>
        <v>0</v>
      </c>
      <c r="Z25" s="53">
        <f>'TR TUSD'!$Z$25</f>
        <v>0</v>
      </c>
      <c r="AA25" s="53">
        <f>'TR TUSD'!$AA$25</f>
        <v>0</v>
      </c>
      <c r="AB25" s="53">
        <f>SUM($U$25:$AA$25)</f>
        <v>63.870050514465902</v>
      </c>
      <c r="AC25" s="53">
        <f>'TR TUSD'!$AC$25*'TR TUSD'!$AC$61</f>
        <v>186.93722827302994</v>
      </c>
      <c r="AD25" s="53">
        <f>SUM($AC$25:$AC$25)</f>
        <v>186.93722827302994</v>
      </c>
      <c r="AE25" s="53">
        <v>0</v>
      </c>
      <c r="AF25" s="53">
        <v>0</v>
      </c>
      <c r="AG25" s="53">
        <f>SUM($AE$25:$AF$25)</f>
        <v>0</v>
      </c>
      <c r="AH25" s="53">
        <f>'TR TUSD'!$AH$25*'TR TUSD'!$AH$61</f>
        <v>16.072355609345063</v>
      </c>
      <c r="AI25" s="53">
        <f>'TR TUSD'!$AI$25*'TR TUSD'!$AI$61</f>
        <v>0.55122094467838079</v>
      </c>
      <c r="AJ25" s="53">
        <f ca="1">'TR TUSD'!$AJ$25*'TR TUSD'!$AJ$61</f>
        <v>2.3663200818906773</v>
      </c>
      <c r="AK25" s="53">
        <f ca="1">'TR TUSD'!$AK$25*'TR TUSD'!$AK$61</f>
        <v>0.29217696156774475</v>
      </c>
      <c r="AL25" s="53">
        <f ca="1">SUM($AH$25:$AK$25)</f>
        <v>19.282073597481865</v>
      </c>
      <c r="AM25" s="53">
        <f ca="1">SUMIF($L$4:$AL$4,"SUBTOTAL",$L$25:$AL$25)</f>
        <v>273.37246919492463</v>
      </c>
      <c r="AP25" s="53">
        <f>IF((1 - CUSTOS!$M$27)&lt;&gt;0,1/(1 - CUSTOS!$M$27),1)</f>
        <v>1</v>
      </c>
    </row>
    <row r="26" spans="1:42" ht="11.25" customHeight="1" x14ac:dyDescent="0.25">
      <c r="A26" s="131"/>
      <c r="B26" s="131" t="s">
        <v>95</v>
      </c>
      <c r="C26" s="131" t="s">
        <v>24</v>
      </c>
      <c r="D26" s="73" t="s">
        <v>24</v>
      </c>
      <c r="E26" s="73" t="s">
        <v>25</v>
      </c>
      <c r="F26" s="73" t="s">
        <v>25</v>
      </c>
      <c r="G26" s="74" t="s">
        <v>86</v>
      </c>
      <c r="H26" s="74" t="s">
        <v>82</v>
      </c>
      <c r="I26" s="74">
        <f>'MERCADO TUSD'!$U$23</f>
        <v>0</v>
      </c>
      <c r="J26" s="15"/>
      <c r="L26" s="53">
        <f>'TR TUSD'!$L$26*'TR TUSD'!$L$61</f>
        <v>6.1966214554290531</v>
      </c>
      <c r="M26" s="53">
        <f>'TR TUSD'!$M$26*'TR TUSD'!$M$61</f>
        <v>0.83983679075732021</v>
      </c>
      <c r="N26" s="53">
        <f ca="1">'TR TUSD'!$N$26*'TR TUSD'!$N$61</f>
        <v>2.4522983064120649</v>
      </c>
      <c r="O26" s="53">
        <f>'TR TUSD'!$O$26*'TR TUSD'!$O$61</f>
        <v>0</v>
      </c>
      <c r="P26" s="53">
        <f>'TR TUSD'!$P$26*'TR TUSD'!$P$61</f>
        <v>0</v>
      </c>
      <c r="Q26" s="53">
        <f>'TR TUSD'!$Q$26*'TR TUSD'!$Q$61</f>
        <v>88.097831301640994</v>
      </c>
      <c r="R26" s="53">
        <f>'TR TUSD'!$R$26*'TR TUSD'!$R$61</f>
        <v>13.882281717726123</v>
      </c>
      <c r="S26" s="53">
        <f>'TR TUSD'!$S$26*'TR TUSD'!$S$61</f>
        <v>0</v>
      </c>
      <c r="T26" s="53">
        <f ca="1">SUM($L$26:$S$26)</f>
        <v>111.46886957196557</v>
      </c>
      <c r="U26" s="53">
        <f>'TR TUSD'!$U$26*'TR TUSD'!$U$61</f>
        <v>34.094674132297015</v>
      </c>
      <c r="V26" s="53">
        <f>'TR TUSD'!$V$26*'TR TUSD'!$V$61</f>
        <v>10.333169170670011</v>
      </c>
      <c r="W26" s="53">
        <f>'TR TUSD'!$W$26*'TR TUSD'!$W$61</f>
        <v>19.442207211498879</v>
      </c>
      <c r="X26" s="53">
        <f>'TR TUSD'!$X$26*'TR TUSD'!$X$61</f>
        <v>0</v>
      </c>
      <c r="Y26" s="53">
        <f>'TR TUSD'!$Y$26*'TR TUSD'!$Y$61</f>
        <v>0</v>
      </c>
      <c r="Z26" s="53">
        <f>'TR TUSD'!$Z$26</f>
        <v>0</v>
      </c>
      <c r="AA26" s="53">
        <f>'TR TUSD'!$AA$26</f>
        <v>0</v>
      </c>
      <c r="AB26" s="53">
        <f>SUM($U$26:$AA$26)</f>
        <v>63.870050514465902</v>
      </c>
      <c r="AC26" s="53">
        <f>'TR TUSD'!$AC$26*'TR TUSD'!$AC$61</f>
        <v>186.93722827302994</v>
      </c>
      <c r="AD26" s="53">
        <f>SUM($AC$26:$AC$26)</f>
        <v>186.93722827302994</v>
      </c>
      <c r="AE26" s="53">
        <v>0</v>
      </c>
      <c r="AF26" s="53">
        <v>0</v>
      </c>
      <c r="AG26" s="53">
        <f>SUM($AE$26:$AF$26)</f>
        <v>0</v>
      </c>
      <c r="AH26" s="53">
        <f>'TR TUSD'!$AH$26*'TR TUSD'!$AH$61</f>
        <v>16.072355609345063</v>
      </c>
      <c r="AI26" s="53">
        <f>'TR TUSD'!$AI$26*'TR TUSD'!$AI$61</f>
        <v>0.55122094467838079</v>
      </c>
      <c r="AJ26" s="53">
        <f ca="1">'TR TUSD'!$AJ$26*'TR TUSD'!$AJ$61</f>
        <v>2.3663200818906773</v>
      </c>
      <c r="AK26" s="53">
        <f ca="1">'TR TUSD'!$AK$26*'TR TUSD'!$AK$61</f>
        <v>0.29217696156774475</v>
      </c>
      <c r="AL26" s="53">
        <f ca="1">SUM($AH$26:$AK$26)</f>
        <v>19.282073597481865</v>
      </c>
      <c r="AM26" s="53">
        <f ca="1">SUMIF($L$4:$AL$4,"SUBTOTAL",$L$26:$AL$26)</f>
        <v>381.55822195694333</v>
      </c>
      <c r="AP26" s="53">
        <v>1</v>
      </c>
    </row>
    <row r="27" spans="1:42" ht="11.25" customHeight="1" x14ac:dyDescent="0.25">
      <c r="A27" s="131"/>
      <c r="B27" s="131"/>
      <c r="C27" s="131"/>
      <c r="D27" s="73" t="s">
        <v>28</v>
      </c>
      <c r="E27" s="73" t="s">
        <v>25</v>
      </c>
      <c r="F27" s="73" t="s">
        <v>25</v>
      </c>
      <c r="G27" s="74" t="s">
        <v>86</v>
      </c>
      <c r="H27" s="74" t="s">
        <v>82</v>
      </c>
      <c r="I27" s="74">
        <f>'MERCADO TUSD'!$U$24</f>
        <v>0</v>
      </c>
      <c r="J27" s="15"/>
      <c r="L27" s="53">
        <f>'TR TUSD'!$L$27*'TR TUSD'!$L$61</f>
        <v>0</v>
      </c>
      <c r="M27" s="53">
        <f>'TR TUSD'!$M$27*'TR TUSD'!$M$61</f>
        <v>0.83983679075732021</v>
      </c>
      <c r="N27" s="53">
        <f ca="1">'TR TUSD'!$N$27*'TR TUSD'!$N$61</f>
        <v>2.4432800191895665</v>
      </c>
      <c r="O27" s="53">
        <f>'TR TUSD'!$O$27*'TR TUSD'!$O$61</f>
        <v>0</v>
      </c>
      <c r="P27" s="53">
        <f>'TR TUSD'!$P$27*'TR TUSD'!$P$61</f>
        <v>0</v>
      </c>
      <c r="Q27" s="53">
        <f>'TR TUSD'!$Q$27*'TR TUSD'!$Q$61</f>
        <v>0</v>
      </c>
      <c r="R27" s="53">
        <f>'TR TUSD'!$R$27*'TR TUSD'!$R$61</f>
        <v>0</v>
      </c>
      <c r="S27" s="53">
        <f>'TR TUSD'!$S$27*'TR TUSD'!$S$61</f>
        <v>0</v>
      </c>
      <c r="T27" s="53">
        <f ca="1">SUM($L$27:$S$27)</f>
        <v>3.2831168099468866</v>
      </c>
      <c r="U27" s="53">
        <f>'TR TUSD'!$U$27*'TR TUSD'!$U$61</f>
        <v>34.094674132297015</v>
      </c>
      <c r="V27" s="53">
        <f>'TR TUSD'!$V$27*'TR TUSD'!$V$61</f>
        <v>10.333169170670011</v>
      </c>
      <c r="W27" s="53">
        <f>'TR TUSD'!$W$27*'TR TUSD'!$W$61</f>
        <v>19.442207211498879</v>
      </c>
      <c r="X27" s="53">
        <f>'TR TUSD'!$X$27*'TR TUSD'!$X$61</f>
        <v>0</v>
      </c>
      <c r="Y27" s="53">
        <f>'TR TUSD'!$Y$27*'TR TUSD'!$Y$61</f>
        <v>0</v>
      </c>
      <c r="Z27" s="53">
        <f>'TR TUSD'!$Z$27</f>
        <v>0</v>
      </c>
      <c r="AA27" s="53">
        <f>'TR TUSD'!$AA$27</f>
        <v>0</v>
      </c>
      <c r="AB27" s="53">
        <f>SUM($U$27:$AA$27)</f>
        <v>63.870050514465902</v>
      </c>
      <c r="AC27" s="53">
        <f>'TR TUSD'!$AC$27*'TR TUSD'!$AC$61</f>
        <v>186.93722827302994</v>
      </c>
      <c r="AD27" s="53">
        <f>SUM($AC$27:$AC$27)</f>
        <v>186.93722827302994</v>
      </c>
      <c r="AE27" s="53">
        <v>0</v>
      </c>
      <c r="AF27" s="53">
        <v>0</v>
      </c>
      <c r="AG27" s="53">
        <f>SUM($AE$27:$AF$27)</f>
        <v>0</v>
      </c>
      <c r="AH27" s="53">
        <f>'TR TUSD'!$AH$27*'TR TUSD'!$AH$61</f>
        <v>16.072355609345063</v>
      </c>
      <c r="AI27" s="53">
        <f>'TR TUSD'!$AI$27*'TR TUSD'!$AI$61</f>
        <v>0.55122094467838079</v>
      </c>
      <c r="AJ27" s="53">
        <f ca="1">'TR TUSD'!$AJ$27*'TR TUSD'!$AJ$61</f>
        <v>2.3663200818906773</v>
      </c>
      <c r="AK27" s="53">
        <f ca="1">'TR TUSD'!$AK$27*'TR TUSD'!$AK$61</f>
        <v>0.29217696156774475</v>
      </c>
      <c r="AL27" s="53">
        <f ca="1">SUM($AH$27:$AK$27)</f>
        <v>19.282073597481865</v>
      </c>
      <c r="AM27" s="53">
        <f ca="1">SUMIF($L$4:$AL$4,"SUBTOTAL",$L$27:$AL$27)</f>
        <v>273.37246919492463</v>
      </c>
      <c r="AP27" s="53">
        <f>IF((1 - CUSTOS!$M$24)&lt;&gt;0,1/(1 - CUSTOS!$M$24),1)</f>
        <v>1</v>
      </c>
    </row>
    <row r="28" spans="1:42" ht="11.25" customHeight="1" x14ac:dyDescent="0.25">
      <c r="A28" s="131"/>
      <c r="B28" s="131"/>
      <c r="C28" s="131"/>
      <c r="D28" s="73" t="s">
        <v>29</v>
      </c>
      <c r="E28" s="73" t="s">
        <v>25</v>
      </c>
      <c r="F28" s="73" t="s">
        <v>25</v>
      </c>
      <c r="G28" s="74" t="s">
        <v>86</v>
      </c>
      <c r="H28" s="74" t="s">
        <v>82</v>
      </c>
      <c r="I28" s="74">
        <f>'MERCADO TUSD'!$U$25</f>
        <v>0</v>
      </c>
      <c r="J28" s="15"/>
      <c r="L28" s="53">
        <f>'TR TUSD'!$L$28*'TR TUSD'!$L$61</f>
        <v>0</v>
      </c>
      <c r="M28" s="53">
        <f>'TR TUSD'!$M$28*'TR TUSD'!$M$61</f>
        <v>0.83983679075732021</v>
      </c>
      <c r="N28" s="53">
        <f ca="1">'TR TUSD'!$N$28*'TR TUSD'!$N$61</f>
        <v>2.4432800191895665</v>
      </c>
      <c r="O28" s="53">
        <f>'TR TUSD'!$O$28*'TR TUSD'!$O$61</f>
        <v>0</v>
      </c>
      <c r="P28" s="53">
        <f>'TR TUSD'!$P$28*'TR TUSD'!$P$61</f>
        <v>0</v>
      </c>
      <c r="Q28" s="53">
        <f>'TR TUSD'!$Q$28*'TR TUSD'!$Q$61</f>
        <v>0</v>
      </c>
      <c r="R28" s="53">
        <f>'TR TUSD'!$R$28*'TR TUSD'!$R$61</f>
        <v>0</v>
      </c>
      <c r="S28" s="53">
        <f>'TR TUSD'!$S$28*'TR TUSD'!$S$61</f>
        <v>0</v>
      </c>
      <c r="T28" s="53">
        <f ca="1">SUM($L$28:$S$28)</f>
        <v>3.2831168099468866</v>
      </c>
      <c r="U28" s="53">
        <f>'TR TUSD'!$U$28*'TR TUSD'!$U$61</f>
        <v>34.094674132297015</v>
      </c>
      <c r="V28" s="53">
        <f>'TR TUSD'!$V$28*'TR TUSD'!$V$61</f>
        <v>10.333169170670011</v>
      </c>
      <c r="W28" s="53">
        <f>'TR TUSD'!$W$28*'TR TUSD'!$W$61</f>
        <v>19.442207211498879</v>
      </c>
      <c r="X28" s="53">
        <f>'TR TUSD'!$X$28*'TR TUSD'!$X$61</f>
        <v>0</v>
      </c>
      <c r="Y28" s="53">
        <f>'TR TUSD'!$Y$28*'TR TUSD'!$Y$61</f>
        <v>0</v>
      </c>
      <c r="Z28" s="53">
        <f>'TR TUSD'!$Z$28</f>
        <v>0</v>
      </c>
      <c r="AA28" s="53">
        <f>'TR TUSD'!$AA$28</f>
        <v>0</v>
      </c>
      <c r="AB28" s="53">
        <f>SUM($U$28:$AA$28)</f>
        <v>63.870050514465902</v>
      </c>
      <c r="AC28" s="53">
        <f>'TR TUSD'!$AC$28*'TR TUSD'!$AC$61</f>
        <v>186.93722827302994</v>
      </c>
      <c r="AD28" s="53">
        <f>SUM($AC$28:$AC$28)</f>
        <v>186.93722827302994</v>
      </c>
      <c r="AE28" s="53">
        <v>0</v>
      </c>
      <c r="AF28" s="53">
        <v>0</v>
      </c>
      <c r="AG28" s="53">
        <f>SUM($AE$28:$AF$28)</f>
        <v>0</v>
      </c>
      <c r="AH28" s="53">
        <f>'TR TUSD'!$AH$28*'TR TUSD'!$AH$61</f>
        <v>16.072355609345063</v>
      </c>
      <c r="AI28" s="53">
        <f>'TR TUSD'!$AI$28*'TR TUSD'!$AI$61</f>
        <v>0.55122094467838079</v>
      </c>
      <c r="AJ28" s="53">
        <f ca="1">'TR TUSD'!$AJ$28*'TR TUSD'!$AJ$61</f>
        <v>2.3663200818906773</v>
      </c>
      <c r="AK28" s="53">
        <f ca="1">'TR TUSD'!$AK$28*'TR TUSD'!$AK$61</f>
        <v>0.29217696156774475</v>
      </c>
      <c r="AL28" s="53">
        <f ca="1">SUM($AH$28:$AK$28)</f>
        <v>19.282073597481865</v>
      </c>
      <c r="AM28" s="53">
        <f ca="1">SUMIF($L$4:$AL$4,"SUBTOTAL",$L$28:$AL$28)</f>
        <v>273.37246919492463</v>
      </c>
      <c r="AP28" s="53">
        <f>IF((1 - CUSTOS!$M$25)&lt;&gt;0,1/(1 - CUSTOS!$M$25),1)</f>
        <v>1</v>
      </c>
    </row>
    <row r="29" spans="1:42" ht="11.25" customHeight="1" x14ac:dyDescent="0.25">
      <c r="A29" s="131"/>
      <c r="B29" s="131"/>
      <c r="C29" s="131"/>
      <c r="D29" s="73" t="s">
        <v>30</v>
      </c>
      <c r="E29" s="73" t="s">
        <v>25</v>
      </c>
      <c r="F29" s="73" t="s">
        <v>25</v>
      </c>
      <c r="G29" s="74" t="s">
        <v>86</v>
      </c>
      <c r="H29" s="74" t="s">
        <v>82</v>
      </c>
      <c r="I29" s="74">
        <f>'MERCADO TUSD'!$U$26</f>
        <v>0</v>
      </c>
      <c r="J29" s="15"/>
      <c r="L29" s="53">
        <f>'TR TUSD'!$L$29*'TR TUSD'!$L$61</f>
        <v>0</v>
      </c>
      <c r="M29" s="53">
        <f>'TR TUSD'!$M$29*'TR TUSD'!$M$61</f>
        <v>0.83983679075732021</v>
      </c>
      <c r="N29" s="53">
        <f ca="1">'TR TUSD'!$N$29*'TR TUSD'!$N$61</f>
        <v>2.4432800191895665</v>
      </c>
      <c r="O29" s="53">
        <f>'TR TUSD'!$O$29*'TR TUSD'!$O$61</f>
        <v>0</v>
      </c>
      <c r="P29" s="53">
        <f>'TR TUSD'!$P$29*'TR TUSD'!$P$61</f>
        <v>0</v>
      </c>
      <c r="Q29" s="53">
        <f>'TR TUSD'!$Q$29*'TR TUSD'!$Q$61</f>
        <v>0</v>
      </c>
      <c r="R29" s="53">
        <f>'TR TUSD'!$R$29*'TR TUSD'!$R$61</f>
        <v>0</v>
      </c>
      <c r="S29" s="53">
        <f>'TR TUSD'!$S$29*'TR TUSD'!$S$61</f>
        <v>0</v>
      </c>
      <c r="T29" s="53">
        <f ca="1">SUM($L$29:$S$29)</f>
        <v>3.2831168099468866</v>
      </c>
      <c r="U29" s="53">
        <f>'TR TUSD'!$U$29*'TR TUSD'!$U$61</f>
        <v>34.094674132297015</v>
      </c>
      <c r="V29" s="53">
        <f>'TR TUSD'!$V$29*'TR TUSD'!$V$61</f>
        <v>10.333169170670011</v>
      </c>
      <c r="W29" s="53">
        <f>'TR TUSD'!$W$29*'TR TUSD'!$W$61</f>
        <v>19.442207211498879</v>
      </c>
      <c r="X29" s="53">
        <f>'TR TUSD'!$X$29*'TR TUSD'!$X$61</f>
        <v>0</v>
      </c>
      <c r="Y29" s="53">
        <f>'TR TUSD'!$Y$29*'TR TUSD'!$Y$61</f>
        <v>0</v>
      </c>
      <c r="Z29" s="53">
        <f>'TR TUSD'!$Z$29</f>
        <v>0</v>
      </c>
      <c r="AA29" s="53">
        <f>'TR TUSD'!$AA$29</f>
        <v>0</v>
      </c>
      <c r="AB29" s="53">
        <f>SUM($U$29:$AA$29)</f>
        <v>63.870050514465902</v>
      </c>
      <c r="AC29" s="53">
        <f>'TR TUSD'!$AC$29*'TR TUSD'!$AC$61</f>
        <v>186.93722827302994</v>
      </c>
      <c r="AD29" s="53">
        <f>SUM($AC$29:$AC$29)</f>
        <v>186.93722827302994</v>
      </c>
      <c r="AE29" s="53">
        <v>0</v>
      </c>
      <c r="AF29" s="53">
        <v>0</v>
      </c>
      <c r="AG29" s="53">
        <f>SUM($AE$29:$AF$29)</f>
        <v>0</v>
      </c>
      <c r="AH29" s="53">
        <f>'TR TUSD'!$AH$29*'TR TUSD'!$AH$61</f>
        <v>16.072355609345063</v>
      </c>
      <c r="AI29" s="53">
        <f>'TR TUSD'!$AI$29*'TR TUSD'!$AI$61</f>
        <v>0.55122094467838079</v>
      </c>
      <c r="AJ29" s="53">
        <f ca="1">'TR TUSD'!$AJ$29*'TR TUSD'!$AJ$61</f>
        <v>2.3663200818906773</v>
      </c>
      <c r="AK29" s="53">
        <f ca="1">'TR TUSD'!$AK$29*'TR TUSD'!$AK$61</f>
        <v>0.29217696156774475</v>
      </c>
      <c r="AL29" s="53">
        <f ca="1">SUM($AH$29:$AK$29)</f>
        <v>19.282073597481865</v>
      </c>
      <c r="AM29" s="53">
        <f ca="1">SUMIF($L$4:$AL$4,"SUBTOTAL",$L$29:$AL$29)</f>
        <v>273.37246919492463</v>
      </c>
      <c r="AP29" s="53">
        <f>IF((1 - CUSTOS!$M$26)&lt;&gt;0,1/(1 - CUSTOS!$M$26),1)</f>
        <v>1</v>
      </c>
    </row>
    <row r="30" spans="1:42" ht="11.25" customHeight="1" x14ac:dyDescent="0.25">
      <c r="A30" s="131"/>
      <c r="B30" s="131"/>
      <c r="C30" s="131"/>
      <c r="D30" s="73" t="s">
        <v>31</v>
      </c>
      <c r="E30" s="73" t="s">
        <v>25</v>
      </c>
      <c r="F30" s="73" t="s">
        <v>25</v>
      </c>
      <c r="G30" s="74" t="s">
        <v>86</v>
      </c>
      <c r="H30" s="74" t="s">
        <v>82</v>
      </c>
      <c r="I30" s="74">
        <f>'MERCADO TUSD'!$U$27</f>
        <v>0</v>
      </c>
      <c r="J30" s="15"/>
      <c r="L30" s="53">
        <f>'TR TUSD'!$L$30*'TR TUSD'!$L$61</f>
        <v>0</v>
      </c>
      <c r="M30" s="53">
        <f>'TR TUSD'!$M$30*'TR TUSD'!$M$61</f>
        <v>0.83983679075732021</v>
      </c>
      <c r="N30" s="53">
        <f ca="1">'TR TUSD'!$N$30*'TR TUSD'!$N$61</f>
        <v>2.4432800191895665</v>
      </c>
      <c r="O30" s="53">
        <f>'TR TUSD'!$O$30*'TR TUSD'!$O$61</f>
        <v>0</v>
      </c>
      <c r="P30" s="53">
        <f>'TR TUSD'!$P$30*'TR TUSD'!$P$61</f>
        <v>0</v>
      </c>
      <c r="Q30" s="53">
        <f>'TR TUSD'!$Q$30*'TR TUSD'!$Q$61</f>
        <v>0</v>
      </c>
      <c r="R30" s="53">
        <f>'TR TUSD'!$R$30*'TR TUSD'!$R$61</f>
        <v>0</v>
      </c>
      <c r="S30" s="53">
        <f>'TR TUSD'!$S$30*'TR TUSD'!$S$61</f>
        <v>0</v>
      </c>
      <c r="T30" s="53">
        <f ca="1">SUM($L$30:$S$30)</f>
        <v>3.2831168099468866</v>
      </c>
      <c r="U30" s="53">
        <f>'TR TUSD'!$U$30*'TR TUSD'!$U$61</f>
        <v>34.094674132297015</v>
      </c>
      <c r="V30" s="53">
        <f>'TR TUSD'!$V$30*'TR TUSD'!$V$61</f>
        <v>10.333169170670011</v>
      </c>
      <c r="W30" s="53">
        <f>'TR TUSD'!$W$30*'TR TUSD'!$W$61</f>
        <v>19.442207211498879</v>
      </c>
      <c r="X30" s="53">
        <f>'TR TUSD'!$X$30*'TR TUSD'!$X$61</f>
        <v>0</v>
      </c>
      <c r="Y30" s="53">
        <f>'TR TUSD'!$Y$30*'TR TUSD'!$Y$61</f>
        <v>0</v>
      </c>
      <c r="Z30" s="53">
        <f>'TR TUSD'!$Z$30</f>
        <v>0</v>
      </c>
      <c r="AA30" s="53">
        <f>'TR TUSD'!$AA$30</f>
        <v>0</v>
      </c>
      <c r="AB30" s="53">
        <f>SUM($U$30:$AA$30)</f>
        <v>63.870050514465902</v>
      </c>
      <c r="AC30" s="53">
        <f>'TR TUSD'!$AC$30*'TR TUSD'!$AC$61</f>
        <v>186.93722827302994</v>
      </c>
      <c r="AD30" s="53">
        <f>SUM($AC$30:$AC$30)</f>
        <v>186.93722827302994</v>
      </c>
      <c r="AE30" s="53">
        <v>0</v>
      </c>
      <c r="AF30" s="53">
        <v>0</v>
      </c>
      <c r="AG30" s="53">
        <f>SUM($AE$30:$AF$30)</f>
        <v>0</v>
      </c>
      <c r="AH30" s="53">
        <f>'TR TUSD'!$AH$30*'TR TUSD'!$AH$61</f>
        <v>16.072355609345063</v>
      </c>
      <c r="AI30" s="53">
        <f>'TR TUSD'!$AI$30*'TR TUSD'!$AI$61</f>
        <v>0.55122094467838079</v>
      </c>
      <c r="AJ30" s="53">
        <f ca="1">'TR TUSD'!$AJ$30*'TR TUSD'!$AJ$61</f>
        <v>2.3663200818906773</v>
      </c>
      <c r="AK30" s="53">
        <f ca="1">'TR TUSD'!$AK$30*'TR TUSD'!$AK$61</f>
        <v>0.29217696156774475</v>
      </c>
      <c r="AL30" s="53">
        <f ca="1">SUM($AH$30:$AK$30)</f>
        <v>19.282073597481865</v>
      </c>
      <c r="AM30" s="53">
        <f ca="1">SUMIF($L$4:$AL$4,"SUBTOTAL",$L$30:$AL$30)</f>
        <v>273.37246919492463</v>
      </c>
      <c r="AP30" s="53">
        <f>IF((1 - CUSTOS!$M$27)&lt;&gt;0,1/(1 - CUSTOS!$M$27),1)</f>
        <v>1</v>
      </c>
    </row>
    <row r="31" spans="1:42" ht="11.25" customHeight="1" x14ac:dyDescent="0.25">
      <c r="A31" s="131" t="s">
        <v>42</v>
      </c>
      <c r="B31" s="131" t="s">
        <v>32</v>
      </c>
      <c r="C31" s="131" t="s">
        <v>43</v>
      </c>
      <c r="D31" s="131" t="s">
        <v>25</v>
      </c>
      <c r="E31" s="131" t="s">
        <v>25</v>
      </c>
      <c r="F31" s="131" t="s">
        <v>25</v>
      </c>
      <c r="G31" s="74" t="s">
        <v>83</v>
      </c>
      <c r="H31" s="74" t="s">
        <v>82</v>
      </c>
      <c r="I31" s="74">
        <f>'MERCADO TUSD'!$U$28</f>
        <v>0</v>
      </c>
      <c r="J31" s="15"/>
      <c r="L31" s="53">
        <f>'TR TUSD'!$L$31*'TR TUSD'!$L$61</f>
        <v>6.1966214554290531</v>
      </c>
      <c r="M31" s="53">
        <f>'TR TUSD'!$M$31*'TR TUSD'!$M$61</f>
        <v>0.83983679075732021</v>
      </c>
      <c r="N31" s="53">
        <f ca="1">'TR TUSD'!$N$31*'TR TUSD'!$N$61</f>
        <v>8.6699231093923999</v>
      </c>
      <c r="O31" s="53">
        <f>'TR TUSD'!$O$31*'TR TUSD'!$O$61</f>
        <v>0</v>
      </c>
      <c r="P31" s="53">
        <f>'TR TUSD'!$P$31*'TR TUSD'!$P$61</f>
        <v>0</v>
      </c>
      <c r="Q31" s="53">
        <f>'TR TUSD'!$Q$31*'TR TUSD'!$Q$61</f>
        <v>88.097831301640994</v>
      </c>
      <c r="R31" s="53">
        <f>'TR TUSD'!$R$31*'TR TUSD'!$R$61</f>
        <v>13.882281717726123</v>
      </c>
      <c r="S31" s="53">
        <f>'TR TUSD'!$S$31*'TR TUSD'!$S$61</f>
        <v>0</v>
      </c>
      <c r="T31" s="53">
        <f ca="1">SUM($L$31:$S$31)</f>
        <v>117.68649437494588</v>
      </c>
      <c r="U31" s="53">
        <f>'TR TUSD'!$U$31*'TR TUSD'!$U$61</f>
        <v>139.788060699456</v>
      </c>
      <c r="V31" s="53">
        <f>'TR TUSD'!$V$31*'TR TUSD'!$V$61</f>
        <v>42.366087494968951</v>
      </c>
      <c r="W31" s="53">
        <f>'TR TUSD'!$W$31*'TR TUSD'!$W$61</f>
        <v>79.712965031317466</v>
      </c>
      <c r="X31" s="53">
        <f>'TR TUSD'!$X$31*'TR TUSD'!$X$61</f>
        <v>0</v>
      </c>
      <c r="Y31" s="53">
        <f>'TR TUSD'!$Y$31*'TR TUSD'!$Y$61</f>
        <v>0</v>
      </c>
      <c r="Z31" s="53">
        <f>'TR TUSD'!$Z$31</f>
        <v>0</v>
      </c>
      <c r="AA31" s="53">
        <f>'TR TUSD'!$AA$31</f>
        <v>0</v>
      </c>
      <c r="AB31" s="53">
        <f>SUM($U$31:$AA$31)</f>
        <v>261.8671132257424</v>
      </c>
      <c r="AC31" s="53">
        <f>'TR TUSD'!$AC$31*'TR TUSD'!$AC$61</f>
        <v>766.44258764504218</v>
      </c>
      <c r="AD31" s="53">
        <f>SUM($AC$31:$AC$31)</f>
        <v>766.44258764504218</v>
      </c>
      <c r="AE31" s="53">
        <v>0</v>
      </c>
      <c r="AF31" s="53">
        <v>0</v>
      </c>
      <c r="AG31" s="53">
        <f>SUM($AE$31:$AF$31)</f>
        <v>0</v>
      </c>
      <c r="AH31" s="53">
        <f>'TR TUSD'!$AH$31*'TR TUSD'!$AH$61</f>
        <v>16.072355609345063</v>
      </c>
      <c r="AI31" s="53">
        <f>'TR TUSD'!$AI$31*'TR TUSD'!$AI$61</f>
        <v>0.55122094467838079</v>
      </c>
      <c r="AJ31" s="53">
        <f ca="1">'TR TUSD'!$AJ$31*'TR TUSD'!$AJ$61</f>
        <v>2.3663200818906773</v>
      </c>
      <c r="AK31" s="53">
        <f ca="1">'TR TUSD'!$AK$31*'TR TUSD'!$AK$61</f>
        <v>0.29217696156774475</v>
      </c>
      <c r="AL31" s="53">
        <f ca="1">SUM($AH$31:$AK$31)</f>
        <v>19.282073597481865</v>
      </c>
      <c r="AM31" s="53">
        <f ca="1">SUMIF($L$4:$AL$4,"SUBTOTAL",$L$31:$AL$31)</f>
        <v>1165.2782688432123</v>
      </c>
      <c r="AP31" s="53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74" t="s">
        <v>93</v>
      </c>
      <c r="H32" s="74" t="s">
        <v>82</v>
      </c>
      <c r="I32" s="74">
        <f>'MERCADO TUSD'!$U$29</f>
        <v>0</v>
      </c>
      <c r="J32" s="15"/>
      <c r="L32" s="53">
        <f>'TR TUSD'!$L$32*'TR TUSD'!$L$61</f>
        <v>6.1966214554290531</v>
      </c>
      <c r="M32" s="53">
        <f>'TR TUSD'!$M$32*'TR TUSD'!$M$61</f>
        <v>0.83983679075732021</v>
      </c>
      <c r="N32" s="53">
        <f ca="1">'TR TUSD'!$N$32*'TR TUSD'!$N$61</f>
        <v>4.5582685788418154</v>
      </c>
      <c r="O32" s="53">
        <f>'TR TUSD'!$O$32*'TR TUSD'!$O$61</f>
        <v>0</v>
      </c>
      <c r="P32" s="53">
        <f>'TR TUSD'!$P$32*'TR TUSD'!$P$61</f>
        <v>0</v>
      </c>
      <c r="Q32" s="53">
        <f>'TR TUSD'!$Q$32*'TR TUSD'!$Q$61</f>
        <v>88.097831301640994</v>
      </c>
      <c r="R32" s="53">
        <f>'TR TUSD'!$R$32*'TR TUSD'!$R$61</f>
        <v>13.882281717726123</v>
      </c>
      <c r="S32" s="53">
        <f>'TR TUSD'!$S$32*'TR TUSD'!$S$61</f>
        <v>0</v>
      </c>
      <c r="T32" s="53">
        <f ca="1">SUM($L$32:$S$32)</f>
        <v>113.57483984439531</v>
      </c>
      <c r="U32" s="53">
        <f>'TR TUSD'!$U$32*'TR TUSD'!$U$61</f>
        <v>69.894077278346998</v>
      </c>
      <c r="V32" s="53">
        <f>'TR TUSD'!$V$32*'TR TUSD'!$V$61</f>
        <v>21.183043747484476</v>
      </c>
      <c r="W32" s="53">
        <f>'TR TUSD'!$W$32*'TR TUSD'!$W$61</f>
        <v>39.856482515658733</v>
      </c>
      <c r="X32" s="53">
        <f>'TR TUSD'!$X$32*'TR TUSD'!$X$61</f>
        <v>0</v>
      </c>
      <c r="Y32" s="53">
        <f>'TR TUSD'!$Y$32*'TR TUSD'!$Y$61</f>
        <v>0</v>
      </c>
      <c r="Z32" s="53">
        <f>'TR TUSD'!$Z$32</f>
        <v>0</v>
      </c>
      <c r="AA32" s="53">
        <f>'TR TUSD'!$AA$32</f>
        <v>0</v>
      </c>
      <c r="AB32" s="53">
        <f>SUM($U$32:$AA$32)</f>
        <v>130.93360354149021</v>
      </c>
      <c r="AC32" s="53">
        <f>'TR TUSD'!$AC$32*'TR TUSD'!$AC$61</f>
        <v>383.22134209690165</v>
      </c>
      <c r="AD32" s="53">
        <f>SUM($AC$32:$AC$32)</f>
        <v>383.22134209690165</v>
      </c>
      <c r="AE32" s="53">
        <v>0</v>
      </c>
      <c r="AF32" s="53">
        <v>0</v>
      </c>
      <c r="AG32" s="53">
        <f>SUM($AE$32:$AF$32)</f>
        <v>0</v>
      </c>
      <c r="AH32" s="53">
        <f>'TR TUSD'!$AH$32*'TR TUSD'!$AH$61</f>
        <v>16.072355609345063</v>
      </c>
      <c r="AI32" s="53">
        <f>'TR TUSD'!$AI$32*'TR TUSD'!$AI$61</f>
        <v>0.55122094467838079</v>
      </c>
      <c r="AJ32" s="53">
        <f ca="1">'TR TUSD'!$AJ$32*'TR TUSD'!$AJ$61</f>
        <v>2.3663200818906773</v>
      </c>
      <c r="AK32" s="53">
        <f ca="1">'TR TUSD'!$AK$32*'TR TUSD'!$AK$61</f>
        <v>0.29217696156774475</v>
      </c>
      <c r="AL32" s="53">
        <f ca="1">SUM($AH$32:$AK$32)</f>
        <v>19.282073597481865</v>
      </c>
      <c r="AM32" s="53">
        <f ca="1">SUMIF($L$4:$AL$4,"SUBTOTAL",$L$32:$AL$32)</f>
        <v>647.01185908026901</v>
      </c>
      <c r="AP32" s="53">
        <f>IF((1 - CUSTOS!$M$28)&lt;&gt;0,1/(1 - CUSTOS!$M$28),1)</f>
        <v>1</v>
      </c>
    </row>
    <row r="33" spans="1:42" ht="11.25" customHeight="1" x14ac:dyDescent="0.25">
      <c r="A33" s="131"/>
      <c r="B33" s="131"/>
      <c r="C33" s="131"/>
      <c r="D33" s="131"/>
      <c r="E33" s="131"/>
      <c r="F33" s="131"/>
      <c r="G33" s="74" t="s">
        <v>84</v>
      </c>
      <c r="H33" s="74" t="s">
        <v>82</v>
      </c>
      <c r="I33" s="74">
        <f>'MERCADO TUSD'!$U$30</f>
        <v>0</v>
      </c>
      <c r="J33" s="15"/>
      <c r="L33" s="53">
        <f>'TR TUSD'!$L$33*'TR TUSD'!$L$61</f>
        <v>6.1966214554290531</v>
      </c>
      <c r="M33" s="53">
        <f>'TR TUSD'!$M$33*'TR TUSD'!$M$61</f>
        <v>0.83983679075732021</v>
      </c>
      <c r="N33" s="53">
        <f ca="1">'TR TUSD'!$N$33*'TR TUSD'!$N$61</f>
        <v>1.2689437279142848</v>
      </c>
      <c r="O33" s="53">
        <f>'TR TUSD'!$O$33*'TR TUSD'!$O$61</f>
        <v>0</v>
      </c>
      <c r="P33" s="53">
        <f>'TR TUSD'!$P$33*'TR TUSD'!$P$61</f>
        <v>0</v>
      </c>
      <c r="Q33" s="53">
        <f>'TR TUSD'!$Q$33*'TR TUSD'!$Q$61</f>
        <v>88.097831301640994</v>
      </c>
      <c r="R33" s="53">
        <f>'TR TUSD'!$R$33*'TR TUSD'!$R$61</f>
        <v>13.882281717726123</v>
      </c>
      <c r="S33" s="53">
        <f>'TR TUSD'!$S$33*'TR TUSD'!$S$61</f>
        <v>0</v>
      </c>
      <c r="T33" s="53">
        <f ca="1">SUM($L$33:$S$33)</f>
        <v>110.28551499346779</v>
      </c>
      <c r="U33" s="53">
        <f>'TR TUSD'!$U$33*'TR TUSD'!$U$61</f>
        <v>13.9788154556694</v>
      </c>
      <c r="V33" s="53">
        <f>'TR TUSD'!$V$33*'TR TUSD'!$V$61</f>
        <v>4.2366463075856577</v>
      </c>
      <c r="W33" s="53">
        <f>'TR TUSD'!$W$33*'TR TUSD'!$W$61</f>
        <v>7.9712589316526605</v>
      </c>
      <c r="X33" s="53">
        <f>'TR TUSD'!$X$33*'TR TUSD'!$X$61</f>
        <v>0</v>
      </c>
      <c r="Y33" s="53">
        <f>'TR TUSD'!$Y$33*'TR TUSD'!$Y$61</f>
        <v>0</v>
      </c>
      <c r="Z33" s="53">
        <f>'TR TUSD'!$Z$33</f>
        <v>0</v>
      </c>
      <c r="AA33" s="53">
        <f>'TR TUSD'!$AA$33</f>
        <v>0</v>
      </c>
      <c r="AB33" s="53">
        <f>SUM($U$33:$AA$33)</f>
        <v>26.186720694907716</v>
      </c>
      <c r="AC33" s="53">
        <f>'TR TUSD'!$AC$33*'TR TUSD'!$AC$61</f>
        <v>76.644268419380325</v>
      </c>
      <c r="AD33" s="53">
        <f>SUM($AC$33:$AC$33)</f>
        <v>76.644268419380325</v>
      </c>
      <c r="AE33" s="53">
        <v>0</v>
      </c>
      <c r="AF33" s="53">
        <v>0</v>
      </c>
      <c r="AG33" s="53">
        <f>SUM($AE$33:$AF$33)</f>
        <v>0</v>
      </c>
      <c r="AH33" s="53">
        <f>'TR TUSD'!$AH$33*'TR TUSD'!$AH$61</f>
        <v>16.072355609345063</v>
      </c>
      <c r="AI33" s="53">
        <f>'TR TUSD'!$AI$33*'TR TUSD'!$AI$61</f>
        <v>0.55122094467838079</v>
      </c>
      <c r="AJ33" s="53">
        <f ca="1">'TR TUSD'!$AJ$33*'TR TUSD'!$AJ$61</f>
        <v>2.3663200818906773</v>
      </c>
      <c r="AK33" s="53">
        <f ca="1">'TR TUSD'!$AK$33*'TR TUSD'!$AK$61</f>
        <v>0.29217696156774475</v>
      </c>
      <c r="AL33" s="53">
        <f ca="1">SUM($AH$33:$AK$33)</f>
        <v>19.282073597481865</v>
      </c>
      <c r="AM33" s="53">
        <f ca="1">SUMIF($L$4:$AL$4,"SUBTOTAL",$L$33:$AL$33)</f>
        <v>232.39857770523767</v>
      </c>
      <c r="AP33" s="53">
        <f>IF((1 - CUSTOS!$M$28)&lt;&gt;0,1/(1 - CUSTOS!$M$28),1)</f>
        <v>1</v>
      </c>
    </row>
    <row r="34" spans="1:42" ht="11.25" customHeight="1" x14ac:dyDescent="0.25">
      <c r="A34" s="131"/>
      <c r="B34" s="73" t="s">
        <v>23</v>
      </c>
      <c r="C34" s="73" t="s">
        <v>43</v>
      </c>
      <c r="D34" s="73" t="s">
        <v>25</v>
      </c>
      <c r="E34" s="73" t="s">
        <v>25</v>
      </c>
      <c r="F34" s="73" t="s">
        <v>25</v>
      </c>
      <c r="G34" s="74" t="s">
        <v>86</v>
      </c>
      <c r="H34" s="74" t="s">
        <v>82</v>
      </c>
      <c r="I34" s="74">
        <f>'MERCADO TUSD'!$U$31</f>
        <v>18727.453000000001</v>
      </c>
      <c r="J34" s="15"/>
      <c r="L34" s="53">
        <f>'TR TUSD'!$L$34*'TR TUSD'!$L$61</f>
        <v>6.1966214554290531</v>
      </c>
      <c r="M34" s="53">
        <f>'TR TUSD'!$M$34*'TR TUSD'!$M$61</f>
        <v>0.83983679075732021</v>
      </c>
      <c r="N34" s="53">
        <f ca="1">'TR TUSD'!$N$34*'TR TUSD'!$N$61</f>
        <v>2.4522983064120649</v>
      </c>
      <c r="O34" s="53">
        <f>'TR TUSD'!$O$34*'TR TUSD'!$O$61</f>
        <v>0</v>
      </c>
      <c r="P34" s="53">
        <f>'TR TUSD'!$P$34*'TR TUSD'!$P$61</f>
        <v>0</v>
      </c>
      <c r="Q34" s="53">
        <f>'TR TUSD'!$Q$34*'TR TUSD'!$Q$61</f>
        <v>88.097831301640994</v>
      </c>
      <c r="R34" s="53">
        <f>'TR TUSD'!$R$34*'TR TUSD'!$R$61</f>
        <v>13.882281717726123</v>
      </c>
      <c r="S34" s="53">
        <f>'TR TUSD'!$S$34*'TR TUSD'!$S$61</f>
        <v>0</v>
      </c>
      <c r="T34" s="53">
        <f ca="1">SUM($L$34:$S$34)</f>
        <v>111.46886957196557</v>
      </c>
      <c r="U34" s="53">
        <f>'TR TUSD'!$U$34*'TR TUSD'!$U$61</f>
        <v>34.094674132297015</v>
      </c>
      <c r="V34" s="53">
        <f>'TR TUSD'!$V$34*'TR TUSD'!$V$61</f>
        <v>10.333169170670011</v>
      </c>
      <c r="W34" s="53">
        <f>'TR TUSD'!$W$34*'TR TUSD'!$W$61</f>
        <v>19.442207211498879</v>
      </c>
      <c r="X34" s="53">
        <f>'TR TUSD'!$X$34*'TR TUSD'!$X$61</f>
        <v>0</v>
      </c>
      <c r="Y34" s="53">
        <f>'TR TUSD'!$Y$34*'TR TUSD'!$Y$61</f>
        <v>0</v>
      </c>
      <c r="Z34" s="53">
        <f>'TR TUSD'!$Z$34</f>
        <v>0</v>
      </c>
      <c r="AA34" s="53">
        <f>'TR TUSD'!$AA$34</f>
        <v>0</v>
      </c>
      <c r="AB34" s="53">
        <f>SUM($U$34:$AA$34)</f>
        <v>63.870050514465902</v>
      </c>
      <c r="AC34" s="53">
        <f>'TR TUSD'!$AC$34*'TR TUSD'!$AC$61</f>
        <v>186.93722827302994</v>
      </c>
      <c r="AD34" s="53">
        <f>SUM($AC$34:$AC$34)</f>
        <v>186.93722827302994</v>
      </c>
      <c r="AE34" s="53">
        <v>0</v>
      </c>
      <c r="AF34" s="53">
        <v>0</v>
      </c>
      <c r="AG34" s="53">
        <f>SUM($AE$34:$AF$34)</f>
        <v>0</v>
      </c>
      <c r="AH34" s="53">
        <f>'TR TUSD'!$AH$34*'TR TUSD'!$AH$61</f>
        <v>16.072355609345063</v>
      </c>
      <c r="AI34" s="53">
        <f>'TR TUSD'!$AI$34*'TR TUSD'!$AI$61</f>
        <v>0.55122094467838079</v>
      </c>
      <c r="AJ34" s="53">
        <f ca="1">'TR TUSD'!$AJ$34*'TR TUSD'!$AJ$61</f>
        <v>2.3663200818906773</v>
      </c>
      <c r="AK34" s="53">
        <f ca="1">'TR TUSD'!$AK$34*'TR TUSD'!$AK$61</f>
        <v>0.29217696156774475</v>
      </c>
      <c r="AL34" s="53">
        <f ca="1">SUM($AH$34:$AK$34)</f>
        <v>19.282073597481865</v>
      </c>
      <c r="AM34" s="53">
        <f ca="1">SUMIF($L$4:$AL$4,"SUBTOTAL",$L$34:$AL$34)</f>
        <v>381.55822195694333</v>
      </c>
      <c r="AP34" s="53">
        <f>IF((1 - CUSTOS!$M$28)&lt;&gt;0,1/(1 - CUSTOS!$M$28),1)</f>
        <v>1</v>
      </c>
    </row>
    <row r="35" spans="1:42" ht="11.25" customHeight="1" x14ac:dyDescent="0.25">
      <c r="A35" s="131"/>
      <c r="B35" s="131" t="s">
        <v>32</v>
      </c>
      <c r="C35" s="131" t="s">
        <v>43</v>
      </c>
      <c r="D35" s="131" t="s">
        <v>96</v>
      </c>
      <c r="E35" s="131" t="s">
        <v>25</v>
      </c>
      <c r="F35" s="131" t="s">
        <v>25</v>
      </c>
      <c r="G35" s="74" t="s">
        <v>83</v>
      </c>
      <c r="H35" s="74" t="s">
        <v>82</v>
      </c>
      <c r="I35" s="74">
        <f>'MERCADO TUSD'!$U$32</f>
        <v>0</v>
      </c>
      <c r="J35" s="15"/>
      <c r="L35" s="53">
        <f>'TR TUSD'!$L$35*'TR TUSD'!$L$61</f>
        <v>6.1966214554290531</v>
      </c>
      <c r="M35" s="53">
        <f>'TR TUSD'!$M$35*'TR TUSD'!$M$61</f>
        <v>0.83983679075732021</v>
      </c>
      <c r="N35" s="53">
        <f ca="1">'TR TUSD'!$N$35*'TR TUSD'!$N$61</f>
        <v>8.6699231093923999</v>
      </c>
      <c r="O35" s="53">
        <f>'TR TUSD'!$O$35*'TR TUSD'!$O$61</f>
        <v>0</v>
      </c>
      <c r="P35" s="53">
        <f>'TR TUSD'!$P$35*'TR TUSD'!$P$61</f>
        <v>0</v>
      </c>
      <c r="Q35" s="53">
        <f>'TR TUSD'!$Q$35*'TR TUSD'!$Q$61</f>
        <v>88.097831301640994</v>
      </c>
      <c r="R35" s="53">
        <f>'TR TUSD'!$R$35*'TR TUSD'!$R$61</f>
        <v>13.882281717726123</v>
      </c>
      <c r="S35" s="53">
        <f>'TR TUSD'!$S$35*'TR TUSD'!$S$61</f>
        <v>0</v>
      </c>
      <c r="T35" s="53">
        <f ca="1">SUM($L$35:$S$35)</f>
        <v>117.68649437494588</v>
      </c>
      <c r="U35" s="53">
        <f>'TR TUSD'!$U$35*'TR TUSD'!$U$61</f>
        <v>139.788060699456</v>
      </c>
      <c r="V35" s="53">
        <f>'TR TUSD'!$V$35*'TR TUSD'!$V$61</f>
        <v>42.366087494968951</v>
      </c>
      <c r="W35" s="53">
        <f>'TR TUSD'!$W$35*'TR TUSD'!$W$61</f>
        <v>79.712965031317466</v>
      </c>
      <c r="X35" s="53">
        <f>'TR TUSD'!$X$35*'TR TUSD'!$X$61</f>
        <v>0</v>
      </c>
      <c r="Y35" s="53">
        <f>'TR TUSD'!$Y$35*'TR TUSD'!$Y$61</f>
        <v>0</v>
      </c>
      <c r="Z35" s="53">
        <f>'TR TUSD'!$Z$35</f>
        <v>0</v>
      </c>
      <c r="AA35" s="53">
        <f>'TR TUSD'!$AA$35</f>
        <v>0</v>
      </c>
      <c r="AB35" s="53">
        <f>SUM($U$35:$AA$35)</f>
        <v>261.8671132257424</v>
      </c>
      <c r="AC35" s="53">
        <f>'TR TUSD'!$AC$35*'TR TUSD'!$AC$61</f>
        <v>766.44258764504218</v>
      </c>
      <c r="AD35" s="53">
        <f>SUM($AC$35:$AC$35)</f>
        <v>766.44258764504218</v>
      </c>
      <c r="AE35" s="53">
        <v>0</v>
      </c>
      <c r="AF35" s="53">
        <v>0</v>
      </c>
      <c r="AG35" s="53">
        <f>SUM($AE$35:$AF$35)</f>
        <v>0</v>
      </c>
      <c r="AH35" s="53">
        <f>'TR TUSD'!$AH$35*'TR TUSD'!$AH$61</f>
        <v>16.072355609345063</v>
      </c>
      <c r="AI35" s="53">
        <f>'TR TUSD'!$AI$35*'TR TUSD'!$AI$61</f>
        <v>0.55122094467838079</v>
      </c>
      <c r="AJ35" s="53">
        <f ca="1">'TR TUSD'!$AJ$35*'TR TUSD'!$AJ$61</f>
        <v>2.3663200818906773</v>
      </c>
      <c r="AK35" s="53">
        <f ca="1">'TR TUSD'!$AK$35*'TR TUSD'!$AK$61</f>
        <v>0.29217696156774475</v>
      </c>
      <c r="AL35" s="53">
        <f ca="1">SUM($AH$35:$AK$35)</f>
        <v>19.282073597481865</v>
      </c>
      <c r="AM35" s="53">
        <f ca="1">SUMIF($L$4:$AL$4,"SUBTOTAL",$L$35:$AL$35)</f>
        <v>1165.2782688432123</v>
      </c>
      <c r="AP35" s="53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74" t="s">
        <v>93</v>
      </c>
      <c r="H36" s="74" t="s">
        <v>82</v>
      </c>
      <c r="I36" s="74">
        <f>'MERCADO TUSD'!$U$33</f>
        <v>0</v>
      </c>
      <c r="J36" s="15"/>
      <c r="L36" s="53">
        <f>'TR TUSD'!$L$36*'TR TUSD'!$L$61</f>
        <v>6.1966214554290531</v>
      </c>
      <c r="M36" s="53">
        <f>'TR TUSD'!$M$36*'TR TUSD'!$M$61</f>
        <v>0.83983679075732021</v>
      </c>
      <c r="N36" s="53">
        <f ca="1">'TR TUSD'!$N$36*'TR TUSD'!$N$61</f>
        <v>4.5582685788418154</v>
      </c>
      <c r="O36" s="53">
        <f>'TR TUSD'!$O$36*'TR TUSD'!$O$61</f>
        <v>0</v>
      </c>
      <c r="P36" s="53">
        <f>'TR TUSD'!$P$36*'TR TUSD'!$P$61</f>
        <v>0</v>
      </c>
      <c r="Q36" s="53">
        <f>'TR TUSD'!$Q$36*'TR TUSD'!$Q$61</f>
        <v>88.097831301640994</v>
      </c>
      <c r="R36" s="53">
        <f>'TR TUSD'!$R$36*'TR TUSD'!$R$61</f>
        <v>13.882281717726123</v>
      </c>
      <c r="S36" s="53">
        <f>'TR TUSD'!$S$36*'TR TUSD'!$S$61</f>
        <v>0</v>
      </c>
      <c r="T36" s="53">
        <f ca="1">SUM($L$36:$S$36)</f>
        <v>113.57483984439531</v>
      </c>
      <c r="U36" s="53">
        <f>'TR TUSD'!$U$36*'TR TUSD'!$U$61</f>
        <v>69.894077278346998</v>
      </c>
      <c r="V36" s="53">
        <f>'TR TUSD'!$V$36*'TR TUSD'!$V$61</f>
        <v>21.183043747484476</v>
      </c>
      <c r="W36" s="53">
        <f>'TR TUSD'!$W$36*'TR TUSD'!$W$61</f>
        <v>39.856482515658733</v>
      </c>
      <c r="X36" s="53">
        <f>'TR TUSD'!$X$36*'TR TUSD'!$X$61</f>
        <v>0</v>
      </c>
      <c r="Y36" s="53">
        <f>'TR TUSD'!$Y$36*'TR TUSD'!$Y$61</f>
        <v>0</v>
      </c>
      <c r="Z36" s="53">
        <f>'TR TUSD'!$Z$36</f>
        <v>0</v>
      </c>
      <c r="AA36" s="53">
        <f>'TR TUSD'!$AA$36</f>
        <v>0</v>
      </c>
      <c r="AB36" s="53">
        <f>SUM($U$36:$AA$36)</f>
        <v>130.93360354149021</v>
      </c>
      <c r="AC36" s="53">
        <f>'TR TUSD'!$AC$36*'TR TUSD'!$AC$61</f>
        <v>383.22134209690165</v>
      </c>
      <c r="AD36" s="53">
        <f>SUM($AC$36:$AC$36)</f>
        <v>383.22134209690165</v>
      </c>
      <c r="AE36" s="53">
        <v>0</v>
      </c>
      <c r="AF36" s="53">
        <v>0</v>
      </c>
      <c r="AG36" s="53">
        <f>SUM($AE$36:$AF$36)</f>
        <v>0</v>
      </c>
      <c r="AH36" s="53">
        <f>'TR TUSD'!$AH$36*'TR TUSD'!$AH$61</f>
        <v>16.072355609345063</v>
      </c>
      <c r="AI36" s="53">
        <f>'TR TUSD'!$AI$36*'TR TUSD'!$AI$61</f>
        <v>0.55122094467838079</v>
      </c>
      <c r="AJ36" s="53">
        <f ca="1">'TR TUSD'!$AJ$36*'TR TUSD'!$AJ$61</f>
        <v>2.3663200818906773</v>
      </c>
      <c r="AK36" s="53">
        <f ca="1">'TR TUSD'!$AK$36*'TR TUSD'!$AK$61</f>
        <v>0.29217696156774475</v>
      </c>
      <c r="AL36" s="53">
        <f ca="1">SUM($AH$36:$AK$36)</f>
        <v>19.282073597481865</v>
      </c>
      <c r="AM36" s="53">
        <f ca="1">SUMIF($L$4:$AL$4,"SUBTOTAL",$L$36:$AL$36)</f>
        <v>647.01185908026901</v>
      </c>
      <c r="AP36" s="53">
        <f>IF((1 - CUSTOS!$M$29)&lt;&gt;0,1/(1 - CUSTOS!$M$29),1)</f>
        <v>1</v>
      </c>
    </row>
    <row r="37" spans="1:42" ht="11.25" customHeight="1" x14ac:dyDescent="0.25">
      <c r="A37" s="131"/>
      <c r="B37" s="131"/>
      <c r="C37" s="131"/>
      <c r="D37" s="131"/>
      <c r="E37" s="131"/>
      <c r="F37" s="131"/>
      <c r="G37" s="74" t="s">
        <v>84</v>
      </c>
      <c r="H37" s="74" t="s">
        <v>82</v>
      </c>
      <c r="I37" s="74">
        <f>'MERCADO TUSD'!$U$34</f>
        <v>0</v>
      </c>
      <c r="J37" s="15"/>
      <c r="L37" s="53">
        <f>'TR TUSD'!$L$37*'TR TUSD'!$L$61</f>
        <v>6.1966214554290531</v>
      </c>
      <c r="M37" s="53">
        <f>'TR TUSD'!$M$37*'TR TUSD'!$M$61</f>
        <v>0.83983679075732021</v>
      </c>
      <c r="N37" s="53">
        <f ca="1">'TR TUSD'!$N$37*'TR TUSD'!$N$61</f>
        <v>1.2689437279142848</v>
      </c>
      <c r="O37" s="53">
        <f>'TR TUSD'!$O$37*'TR TUSD'!$O$61</f>
        <v>0</v>
      </c>
      <c r="P37" s="53">
        <f>'TR TUSD'!$P$37*'TR TUSD'!$P$61</f>
        <v>0</v>
      </c>
      <c r="Q37" s="53">
        <f>'TR TUSD'!$Q$37*'TR TUSD'!$Q$61</f>
        <v>88.097831301640994</v>
      </c>
      <c r="R37" s="53">
        <f>'TR TUSD'!$R$37*'TR TUSD'!$R$61</f>
        <v>13.882281717726123</v>
      </c>
      <c r="S37" s="53">
        <f>'TR TUSD'!$S$37*'TR TUSD'!$S$61</f>
        <v>0</v>
      </c>
      <c r="T37" s="53">
        <f ca="1">SUM($L$37:$S$37)</f>
        <v>110.28551499346779</v>
      </c>
      <c r="U37" s="53">
        <f>'TR TUSD'!$U$37*'TR TUSD'!$U$61</f>
        <v>13.9788154556694</v>
      </c>
      <c r="V37" s="53">
        <f>'TR TUSD'!$V$37*'TR TUSD'!$V$61</f>
        <v>4.2366463075856577</v>
      </c>
      <c r="W37" s="53">
        <f>'TR TUSD'!$W$37*'TR TUSD'!$W$61</f>
        <v>7.9712589316526605</v>
      </c>
      <c r="X37" s="53">
        <f>'TR TUSD'!$X$37*'TR TUSD'!$X$61</f>
        <v>0</v>
      </c>
      <c r="Y37" s="53">
        <f>'TR TUSD'!$Y$37*'TR TUSD'!$Y$61</f>
        <v>0</v>
      </c>
      <c r="Z37" s="53">
        <f>'TR TUSD'!$Z$37</f>
        <v>0</v>
      </c>
      <c r="AA37" s="53">
        <f>'TR TUSD'!$AA$37</f>
        <v>0</v>
      </c>
      <c r="AB37" s="53">
        <f>SUM($U$37:$AA$37)</f>
        <v>26.186720694907716</v>
      </c>
      <c r="AC37" s="53">
        <f>'TR TUSD'!$AC$37*'TR TUSD'!$AC$61</f>
        <v>76.644268419380325</v>
      </c>
      <c r="AD37" s="53">
        <f>SUM($AC$37:$AC$37)</f>
        <v>76.644268419380325</v>
      </c>
      <c r="AE37" s="53">
        <v>0</v>
      </c>
      <c r="AF37" s="53">
        <v>0</v>
      </c>
      <c r="AG37" s="53">
        <f>SUM($AE$37:$AF$37)</f>
        <v>0</v>
      </c>
      <c r="AH37" s="53">
        <f>'TR TUSD'!$AH$37*'TR TUSD'!$AH$61</f>
        <v>16.072355609345063</v>
      </c>
      <c r="AI37" s="53">
        <f>'TR TUSD'!$AI$37*'TR TUSD'!$AI$61</f>
        <v>0.55122094467838079</v>
      </c>
      <c r="AJ37" s="53">
        <f ca="1">'TR TUSD'!$AJ$37*'TR TUSD'!$AJ$61</f>
        <v>2.3663200818906773</v>
      </c>
      <c r="AK37" s="53">
        <f ca="1">'TR TUSD'!$AK$37*'TR TUSD'!$AK$61</f>
        <v>0.29217696156774475</v>
      </c>
      <c r="AL37" s="53">
        <f ca="1">SUM($AH$37:$AK$37)</f>
        <v>19.282073597481865</v>
      </c>
      <c r="AM37" s="53">
        <f ca="1">SUMIF($L$4:$AL$4,"SUBTOTAL",$L$37:$AL$37)</f>
        <v>232.39857770523767</v>
      </c>
      <c r="AP37" s="53">
        <f>IF((1 - CUSTOS!$M$29)&lt;&gt;0,1/(1 - CUSTOS!$M$29),1)</f>
        <v>1</v>
      </c>
    </row>
    <row r="38" spans="1:42" ht="11.25" customHeight="1" x14ac:dyDescent="0.25">
      <c r="A38" s="131"/>
      <c r="B38" s="73" t="s">
        <v>23</v>
      </c>
      <c r="C38" s="73" t="s">
        <v>43</v>
      </c>
      <c r="D38" s="73" t="s">
        <v>96</v>
      </c>
      <c r="E38" s="73" t="s">
        <v>25</v>
      </c>
      <c r="F38" s="73" t="s">
        <v>25</v>
      </c>
      <c r="G38" s="74" t="s">
        <v>86</v>
      </c>
      <c r="H38" s="74" t="s">
        <v>82</v>
      </c>
      <c r="I38" s="74">
        <f>'MERCADO TUSD'!$U$35</f>
        <v>0</v>
      </c>
      <c r="J38" s="15"/>
      <c r="L38" s="53">
        <f>'TR TUSD'!$L$38*'TR TUSD'!$L$61</f>
        <v>6.1966214554290531</v>
      </c>
      <c r="M38" s="53">
        <f>'TR TUSD'!$M$38*'TR TUSD'!$M$61</f>
        <v>0.83983679075732021</v>
      </c>
      <c r="N38" s="53">
        <f ca="1">'TR TUSD'!$N$38*'TR TUSD'!$N$61</f>
        <v>2.4522983064120649</v>
      </c>
      <c r="O38" s="53">
        <f>'TR TUSD'!$O$38*'TR TUSD'!$O$61</f>
        <v>0</v>
      </c>
      <c r="P38" s="53">
        <f>'TR TUSD'!$P$38*'TR TUSD'!$P$61</f>
        <v>0</v>
      </c>
      <c r="Q38" s="53">
        <f>'TR TUSD'!$Q$38*'TR TUSD'!$Q$61</f>
        <v>88.097831301640994</v>
      </c>
      <c r="R38" s="53">
        <f>'TR TUSD'!$R$38*'TR TUSD'!$R$61</f>
        <v>13.882281717726123</v>
      </c>
      <c r="S38" s="53">
        <f>'TR TUSD'!$S$38*'TR TUSD'!$S$61</f>
        <v>0</v>
      </c>
      <c r="T38" s="53">
        <f ca="1">SUM($L$38:$S$38)</f>
        <v>111.46886957196557</v>
      </c>
      <c r="U38" s="53">
        <f>'TR TUSD'!$U$38*'TR TUSD'!$U$61</f>
        <v>34.094674132297015</v>
      </c>
      <c r="V38" s="53">
        <f>'TR TUSD'!$V$38*'TR TUSD'!$V$61</f>
        <v>10.333169170670011</v>
      </c>
      <c r="W38" s="53">
        <f>'TR TUSD'!$W$38*'TR TUSD'!$W$61</f>
        <v>19.442207211498879</v>
      </c>
      <c r="X38" s="53">
        <f>'TR TUSD'!$X$38*'TR TUSD'!$X$61</f>
        <v>0</v>
      </c>
      <c r="Y38" s="53">
        <f>'TR TUSD'!$Y$38*'TR TUSD'!$Y$61</f>
        <v>0</v>
      </c>
      <c r="Z38" s="53">
        <f>'TR TUSD'!$Z$38</f>
        <v>0</v>
      </c>
      <c r="AA38" s="53">
        <f>'TR TUSD'!$AA$38</f>
        <v>0</v>
      </c>
      <c r="AB38" s="53">
        <f>SUM($U$38:$AA$38)</f>
        <v>63.870050514465902</v>
      </c>
      <c r="AC38" s="53">
        <f>'TR TUSD'!$AC$38*'TR TUSD'!$AC$61</f>
        <v>186.93722827302994</v>
      </c>
      <c r="AD38" s="53">
        <f>SUM($AC$38:$AC$38)</f>
        <v>186.93722827302994</v>
      </c>
      <c r="AE38" s="53">
        <v>0</v>
      </c>
      <c r="AF38" s="53">
        <v>0</v>
      </c>
      <c r="AG38" s="53">
        <f>SUM($AE$38:$AF$38)</f>
        <v>0</v>
      </c>
      <c r="AH38" s="53">
        <f>'TR TUSD'!$AH$38*'TR TUSD'!$AH$61</f>
        <v>16.072355609345063</v>
      </c>
      <c r="AI38" s="53">
        <f>'TR TUSD'!$AI$38*'TR TUSD'!$AI$61</f>
        <v>0.55122094467838079</v>
      </c>
      <c r="AJ38" s="53">
        <f ca="1">'TR TUSD'!$AJ$38*'TR TUSD'!$AJ$61</f>
        <v>2.3663200818906773</v>
      </c>
      <c r="AK38" s="53">
        <f ca="1">'TR TUSD'!$AK$38*'TR TUSD'!$AK$61</f>
        <v>0.29217696156774475</v>
      </c>
      <c r="AL38" s="53">
        <f ca="1">SUM($AH$38:$AK$38)</f>
        <v>19.282073597481865</v>
      </c>
      <c r="AM38" s="53">
        <f ca="1">SUMIF($L$4:$AL$4,"SUBTOTAL",$L$38:$AL$38)</f>
        <v>381.55822195694333</v>
      </c>
      <c r="AP38" s="53">
        <f>IF((1 - CUSTOS!$M$29)&lt;&gt;0,1/(1 - CUSTOS!$M$29),1)</f>
        <v>1</v>
      </c>
    </row>
    <row r="39" spans="1:42" ht="11.25" customHeight="1" x14ac:dyDescent="0.25">
      <c r="A39" s="131"/>
      <c r="B39" s="131" t="s">
        <v>32</v>
      </c>
      <c r="C39" s="131" t="s">
        <v>43</v>
      </c>
      <c r="D39" s="131" t="s">
        <v>97</v>
      </c>
      <c r="E39" s="131" t="s">
        <v>25</v>
      </c>
      <c r="F39" s="131" t="s">
        <v>25</v>
      </c>
      <c r="G39" s="74" t="s">
        <v>83</v>
      </c>
      <c r="H39" s="74" t="s">
        <v>82</v>
      </c>
      <c r="I39" s="74">
        <f>'MERCADO TUSD'!$U$36</f>
        <v>0</v>
      </c>
      <c r="J39" s="15"/>
      <c r="L39" s="53">
        <f>'TR TUSD'!$L$39*'TR TUSD'!$L$61</f>
        <v>6.1966214554290531</v>
      </c>
      <c r="M39" s="53">
        <f>'TR TUSD'!$M$39*'TR TUSD'!$M$61</f>
        <v>0.83983679075732021</v>
      </c>
      <c r="N39" s="53">
        <f ca="1">'TR TUSD'!$N$39*'TR TUSD'!$N$61</f>
        <v>8.6699231093923999</v>
      </c>
      <c r="O39" s="53">
        <f>'TR TUSD'!$O$39*'TR TUSD'!$O$61</f>
        <v>0</v>
      </c>
      <c r="P39" s="53">
        <f>'TR TUSD'!$P$39*'TR TUSD'!$P$61</f>
        <v>0</v>
      </c>
      <c r="Q39" s="53">
        <f>'TR TUSD'!$Q$39*'TR TUSD'!$Q$61</f>
        <v>88.097831301640994</v>
      </c>
      <c r="R39" s="53">
        <f>'TR TUSD'!$R$39*'TR TUSD'!$R$61</f>
        <v>13.882281717726123</v>
      </c>
      <c r="S39" s="53">
        <f>'TR TUSD'!$S$39*'TR TUSD'!$S$61</f>
        <v>0</v>
      </c>
      <c r="T39" s="53">
        <f ca="1">SUM($L$39:$S$39)</f>
        <v>117.68649437494588</v>
      </c>
      <c r="U39" s="53">
        <f>'TR TUSD'!$U$39*'TR TUSD'!$U$61</f>
        <v>139.788060699456</v>
      </c>
      <c r="V39" s="53">
        <f>'TR TUSD'!$V$39*'TR TUSD'!$V$61</f>
        <v>42.366087494968951</v>
      </c>
      <c r="W39" s="53">
        <f>'TR TUSD'!$W$39*'TR TUSD'!$W$61</f>
        <v>79.712965031317466</v>
      </c>
      <c r="X39" s="53">
        <f>'TR TUSD'!$X$39*'TR TUSD'!$X$61</f>
        <v>0</v>
      </c>
      <c r="Y39" s="53">
        <f>'TR TUSD'!$Y$39*'TR TUSD'!$Y$61</f>
        <v>0</v>
      </c>
      <c r="Z39" s="53">
        <f>'TR TUSD'!$Z$39</f>
        <v>0</v>
      </c>
      <c r="AA39" s="53">
        <f>'TR TUSD'!$AA$39</f>
        <v>0</v>
      </c>
      <c r="AB39" s="53">
        <f>SUM($U$39:$AA$39)</f>
        <v>261.8671132257424</v>
      </c>
      <c r="AC39" s="53">
        <f>'TR TUSD'!$AC$39*'TR TUSD'!$AC$61</f>
        <v>766.44258764504218</v>
      </c>
      <c r="AD39" s="53">
        <f>SUM($AC$39:$AC$39)</f>
        <v>766.44258764504218</v>
      </c>
      <c r="AE39" s="53">
        <v>0</v>
      </c>
      <c r="AF39" s="53">
        <v>0</v>
      </c>
      <c r="AG39" s="53">
        <f>SUM($AE$39:$AF$39)</f>
        <v>0</v>
      </c>
      <c r="AH39" s="53">
        <f>'TR TUSD'!$AH$39*'TR TUSD'!$AH$61</f>
        <v>16.072355609345063</v>
      </c>
      <c r="AI39" s="53">
        <f>'TR TUSD'!$AI$39*'TR TUSD'!$AI$61</f>
        <v>0.55122094467838079</v>
      </c>
      <c r="AJ39" s="53">
        <f ca="1">'TR TUSD'!$AJ$39*'TR TUSD'!$AJ$61</f>
        <v>2.3663200818906773</v>
      </c>
      <c r="AK39" s="53">
        <f ca="1">'TR TUSD'!$AK$39*'TR TUSD'!$AK$61</f>
        <v>0.29217696156774475</v>
      </c>
      <c r="AL39" s="53">
        <f ca="1">SUM($AH$39:$AK$39)</f>
        <v>19.282073597481865</v>
      </c>
      <c r="AM39" s="53">
        <f ca="1">SUMIF($L$4:$AL$4,"SUBTOTAL",$L$39:$AL$39)</f>
        <v>1165.2782688432123</v>
      </c>
      <c r="AP39" s="53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74" t="s">
        <v>93</v>
      </c>
      <c r="H40" s="74" t="s">
        <v>82</v>
      </c>
      <c r="I40" s="74">
        <f>'MERCADO TUSD'!$U$37</f>
        <v>0</v>
      </c>
      <c r="J40" s="15"/>
      <c r="L40" s="53">
        <f>'TR TUSD'!$L$40*'TR TUSD'!$L$61</f>
        <v>6.1966214554290531</v>
      </c>
      <c r="M40" s="53">
        <f>'TR TUSD'!$M$40*'TR TUSD'!$M$61</f>
        <v>0.83983679075732021</v>
      </c>
      <c r="N40" s="53">
        <f ca="1">'TR TUSD'!$N$40*'TR TUSD'!$N$61</f>
        <v>4.5582685788418154</v>
      </c>
      <c r="O40" s="53">
        <f>'TR TUSD'!$O$40*'TR TUSD'!$O$61</f>
        <v>0</v>
      </c>
      <c r="P40" s="53">
        <f>'TR TUSD'!$P$40*'TR TUSD'!$P$61</f>
        <v>0</v>
      </c>
      <c r="Q40" s="53">
        <f>'TR TUSD'!$Q$40*'TR TUSD'!$Q$61</f>
        <v>88.097831301640994</v>
      </c>
      <c r="R40" s="53">
        <f>'TR TUSD'!$R$40*'TR TUSD'!$R$61</f>
        <v>13.882281717726123</v>
      </c>
      <c r="S40" s="53">
        <f>'TR TUSD'!$S$40*'TR TUSD'!$S$61</f>
        <v>0</v>
      </c>
      <c r="T40" s="53">
        <f ca="1">SUM($L$40:$S$40)</f>
        <v>113.57483984439531</v>
      </c>
      <c r="U40" s="53">
        <f>'TR TUSD'!$U$40*'TR TUSD'!$U$61</f>
        <v>69.894077278346998</v>
      </c>
      <c r="V40" s="53">
        <f>'TR TUSD'!$V$40*'TR TUSD'!$V$61</f>
        <v>21.183043747484476</v>
      </c>
      <c r="W40" s="53">
        <f>'TR TUSD'!$W$40*'TR TUSD'!$W$61</f>
        <v>39.856482515658733</v>
      </c>
      <c r="X40" s="53">
        <f>'TR TUSD'!$X$40*'TR TUSD'!$X$61</f>
        <v>0</v>
      </c>
      <c r="Y40" s="53">
        <f>'TR TUSD'!$Y$40*'TR TUSD'!$Y$61</f>
        <v>0</v>
      </c>
      <c r="Z40" s="53">
        <f>'TR TUSD'!$Z$40</f>
        <v>0</v>
      </c>
      <c r="AA40" s="53">
        <f>'TR TUSD'!$AA$40</f>
        <v>0</v>
      </c>
      <c r="AB40" s="53">
        <f>SUM($U$40:$AA$40)</f>
        <v>130.93360354149021</v>
      </c>
      <c r="AC40" s="53">
        <f>'TR TUSD'!$AC$40*'TR TUSD'!$AC$61</f>
        <v>383.22134209690165</v>
      </c>
      <c r="AD40" s="53">
        <f>SUM($AC$40:$AC$40)</f>
        <v>383.22134209690165</v>
      </c>
      <c r="AE40" s="53">
        <v>0</v>
      </c>
      <c r="AF40" s="53">
        <v>0</v>
      </c>
      <c r="AG40" s="53">
        <f>SUM($AE$40:$AF$40)</f>
        <v>0</v>
      </c>
      <c r="AH40" s="53">
        <f>'TR TUSD'!$AH$40*'TR TUSD'!$AH$61</f>
        <v>16.072355609345063</v>
      </c>
      <c r="AI40" s="53">
        <f>'TR TUSD'!$AI$40*'TR TUSD'!$AI$61</f>
        <v>0.55122094467838079</v>
      </c>
      <c r="AJ40" s="53">
        <f ca="1">'TR TUSD'!$AJ$40*'TR TUSD'!$AJ$61</f>
        <v>2.3663200818906773</v>
      </c>
      <c r="AK40" s="53">
        <f ca="1">'TR TUSD'!$AK$40*'TR TUSD'!$AK$61</f>
        <v>0.29217696156774475</v>
      </c>
      <c r="AL40" s="53">
        <f ca="1">SUM($AH$40:$AK$40)</f>
        <v>19.282073597481865</v>
      </c>
      <c r="AM40" s="53">
        <f ca="1">SUMIF($L$4:$AL$4,"SUBTOTAL",$L$40:$AL$40)</f>
        <v>647.01185908026901</v>
      </c>
      <c r="AP40" s="53">
        <f>IF((1 - CUSTOS!$M$30)&lt;&gt;0,1/(1 - CUSTOS!$M$30),1)</f>
        <v>1</v>
      </c>
    </row>
    <row r="41" spans="1:42" ht="11.25" customHeight="1" x14ac:dyDescent="0.25">
      <c r="A41" s="131"/>
      <c r="B41" s="131"/>
      <c r="C41" s="131"/>
      <c r="D41" s="131"/>
      <c r="E41" s="131"/>
      <c r="F41" s="131"/>
      <c r="G41" s="74" t="s">
        <v>84</v>
      </c>
      <c r="H41" s="74" t="s">
        <v>82</v>
      </c>
      <c r="I41" s="74">
        <f>'MERCADO TUSD'!$U$38</f>
        <v>0</v>
      </c>
      <c r="J41" s="15"/>
      <c r="L41" s="53">
        <f>'TR TUSD'!$L$41*'TR TUSD'!$L$61</f>
        <v>6.1966214554290531</v>
      </c>
      <c r="M41" s="53">
        <f>'TR TUSD'!$M$41*'TR TUSD'!$M$61</f>
        <v>0.83983679075732021</v>
      </c>
      <c r="N41" s="53">
        <f ca="1">'TR TUSD'!$N$41*'TR TUSD'!$N$61</f>
        <v>1.2689437279142848</v>
      </c>
      <c r="O41" s="53">
        <f>'TR TUSD'!$O$41*'TR TUSD'!$O$61</f>
        <v>0</v>
      </c>
      <c r="P41" s="53">
        <f>'TR TUSD'!$P$41*'TR TUSD'!$P$61</f>
        <v>0</v>
      </c>
      <c r="Q41" s="53">
        <f>'TR TUSD'!$Q$41*'TR TUSD'!$Q$61</f>
        <v>88.097831301640994</v>
      </c>
      <c r="R41" s="53">
        <f>'TR TUSD'!$R$41*'TR TUSD'!$R$61</f>
        <v>13.882281717726123</v>
      </c>
      <c r="S41" s="53">
        <f>'TR TUSD'!$S$41*'TR TUSD'!$S$61</f>
        <v>0</v>
      </c>
      <c r="T41" s="53">
        <f ca="1">SUM($L$41:$S$41)</f>
        <v>110.28551499346779</v>
      </c>
      <c r="U41" s="53">
        <f>'TR TUSD'!$U$41*'TR TUSD'!$U$61</f>
        <v>13.9788154556694</v>
      </c>
      <c r="V41" s="53">
        <f>'TR TUSD'!$V$41*'TR TUSD'!$V$61</f>
        <v>4.2366463075856577</v>
      </c>
      <c r="W41" s="53">
        <f>'TR TUSD'!$W$41*'TR TUSD'!$W$61</f>
        <v>7.9712589316526605</v>
      </c>
      <c r="X41" s="53">
        <f>'TR TUSD'!$X$41*'TR TUSD'!$X$61</f>
        <v>0</v>
      </c>
      <c r="Y41" s="53">
        <f>'TR TUSD'!$Y$41*'TR TUSD'!$Y$61</f>
        <v>0</v>
      </c>
      <c r="Z41" s="53">
        <f>'TR TUSD'!$Z$41</f>
        <v>0</v>
      </c>
      <c r="AA41" s="53">
        <f>'TR TUSD'!$AA$41</f>
        <v>0</v>
      </c>
      <c r="AB41" s="53">
        <f>SUM($U$41:$AA$41)</f>
        <v>26.186720694907716</v>
      </c>
      <c r="AC41" s="53">
        <f>'TR TUSD'!$AC$41*'TR TUSD'!$AC$61</f>
        <v>76.644268419380325</v>
      </c>
      <c r="AD41" s="53">
        <f>SUM($AC$41:$AC$41)</f>
        <v>76.644268419380325</v>
      </c>
      <c r="AE41" s="53">
        <v>0</v>
      </c>
      <c r="AF41" s="53">
        <v>0</v>
      </c>
      <c r="AG41" s="53">
        <f>SUM($AE$41:$AF$41)</f>
        <v>0</v>
      </c>
      <c r="AH41" s="53">
        <f>'TR TUSD'!$AH$41*'TR TUSD'!$AH$61</f>
        <v>16.072355609345063</v>
      </c>
      <c r="AI41" s="53">
        <f>'TR TUSD'!$AI$41*'TR TUSD'!$AI$61</f>
        <v>0.55122094467838079</v>
      </c>
      <c r="AJ41" s="53">
        <f ca="1">'TR TUSD'!$AJ$41*'TR TUSD'!$AJ$61</f>
        <v>2.3663200818906773</v>
      </c>
      <c r="AK41" s="53">
        <f ca="1">'TR TUSD'!$AK$41*'TR TUSD'!$AK$61</f>
        <v>0.29217696156774475</v>
      </c>
      <c r="AL41" s="53">
        <f ca="1">SUM($AH$41:$AK$41)</f>
        <v>19.282073597481865</v>
      </c>
      <c r="AM41" s="53">
        <f ca="1">SUMIF($L$4:$AL$4,"SUBTOTAL",$L$41:$AL$41)</f>
        <v>232.39857770523767</v>
      </c>
      <c r="AP41" s="53">
        <f>IF((1 - CUSTOS!$M$30)&lt;&gt;0,1/(1 - CUSTOS!$M$30),1)</f>
        <v>1</v>
      </c>
    </row>
    <row r="42" spans="1:42" ht="11.25" customHeight="1" x14ac:dyDescent="0.25">
      <c r="A42" s="131"/>
      <c r="B42" s="73" t="s">
        <v>23</v>
      </c>
      <c r="C42" s="73" t="s">
        <v>43</v>
      </c>
      <c r="D42" s="73" t="s">
        <v>97</v>
      </c>
      <c r="E42" s="73" t="s">
        <v>25</v>
      </c>
      <c r="F42" s="73" t="s">
        <v>25</v>
      </c>
      <c r="G42" s="74" t="s">
        <v>86</v>
      </c>
      <c r="H42" s="74" t="s">
        <v>82</v>
      </c>
      <c r="I42" s="74">
        <f>'MERCADO TUSD'!$U$39</f>
        <v>0</v>
      </c>
      <c r="J42" s="15"/>
      <c r="L42" s="53">
        <f>'TR TUSD'!$L$42*'TR TUSD'!$L$61</f>
        <v>6.1966214554290531</v>
      </c>
      <c r="M42" s="53">
        <f>'TR TUSD'!$M$42*'TR TUSD'!$M$61</f>
        <v>0.83983679075732021</v>
      </c>
      <c r="N42" s="53">
        <f ca="1">'TR TUSD'!$N$42*'TR TUSD'!$N$61</f>
        <v>2.4522983064120649</v>
      </c>
      <c r="O42" s="53">
        <f>'TR TUSD'!$O$42*'TR TUSD'!$O$61</f>
        <v>0</v>
      </c>
      <c r="P42" s="53">
        <f>'TR TUSD'!$P$42*'TR TUSD'!$P$61</f>
        <v>0</v>
      </c>
      <c r="Q42" s="53">
        <f>'TR TUSD'!$Q$42*'TR TUSD'!$Q$61</f>
        <v>88.097831301640994</v>
      </c>
      <c r="R42" s="53">
        <f>'TR TUSD'!$R$42*'TR TUSD'!$R$61</f>
        <v>13.882281717726123</v>
      </c>
      <c r="S42" s="53">
        <f>'TR TUSD'!$S$42*'TR TUSD'!$S$61</f>
        <v>0</v>
      </c>
      <c r="T42" s="53">
        <f ca="1">SUM($L$42:$S$42)</f>
        <v>111.46886957196557</v>
      </c>
      <c r="U42" s="53">
        <f>'TR TUSD'!$U$42*'TR TUSD'!$U$61</f>
        <v>34.094674132297015</v>
      </c>
      <c r="V42" s="53">
        <f>'TR TUSD'!$V$42*'TR TUSD'!$V$61</f>
        <v>10.333169170670011</v>
      </c>
      <c r="W42" s="53">
        <f>'TR TUSD'!$W$42*'TR TUSD'!$W$61</f>
        <v>19.442207211498879</v>
      </c>
      <c r="X42" s="53">
        <f>'TR TUSD'!$X$42*'TR TUSD'!$X$61</f>
        <v>0</v>
      </c>
      <c r="Y42" s="53">
        <f>'TR TUSD'!$Y$42*'TR TUSD'!$Y$61</f>
        <v>0</v>
      </c>
      <c r="Z42" s="53">
        <f>'TR TUSD'!$Z$42</f>
        <v>0</v>
      </c>
      <c r="AA42" s="53">
        <f>'TR TUSD'!$AA$42</f>
        <v>0</v>
      </c>
      <c r="AB42" s="53">
        <f>SUM($U$42:$AA$42)</f>
        <v>63.870050514465902</v>
      </c>
      <c r="AC42" s="53">
        <f>'TR TUSD'!$AC$42*'TR TUSD'!$AC$61</f>
        <v>186.93722827302994</v>
      </c>
      <c r="AD42" s="53">
        <f>SUM($AC$42:$AC$42)</f>
        <v>186.93722827302994</v>
      </c>
      <c r="AE42" s="53">
        <v>0</v>
      </c>
      <c r="AF42" s="53">
        <v>0</v>
      </c>
      <c r="AG42" s="53">
        <f>SUM($AE$42:$AF$42)</f>
        <v>0</v>
      </c>
      <c r="AH42" s="53">
        <f>'TR TUSD'!$AH$42*'TR TUSD'!$AH$61</f>
        <v>16.072355609345063</v>
      </c>
      <c r="AI42" s="53">
        <f>'TR TUSD'!$AI$42*'TR TUSD'!$AI$61</f>
        <v>0.55122094467838079</v>
      </c>
      <c r="AJ42" s="53">
        <f ca="1">'TR TUSD'!$AJ$42*'TR TUSD'!$AJ$61</f>
        <v>2.3663200818906773</v>
      </c>
      <c r="AK42" s="53">
        <f ca="1">'TR TUSD'!$AK$42*'TR TUSD'!$AK$61</f>
        <v>0.29217696156774475</v>
      </c>
      <c r="AL42" s="53">
        <f ca="1">SUM($AH$42:$AK$42)</f>
        <v>19.282073597481865</v>
      </c>
      <c r="AM42" s="53">
        <f ca="1">SUMIF($L$4:$AL$4,"SUBTOTAL",$L$42:$AL$42)</f>
        <v>381.55822195694333</v>
      </c>
      <c r="AP42" s="53">
        <f>IF((1 - CUSTOS!$M$30)&lt;&gt;0,1/(1 - CUSTOS!$M$30),1)</f>
        <v>1</v>
      </c>
    </row>
    <row r="43" spans="1:42" ht="11.25" customHeight="1" x14ac:dyDescent="0.25">
      <c r="A43" s="131"/>
      <c r="B43" s="131" t="s">
        <v>95</v>
      </c>
      <c r="C43" s="131" t="s">
        <v>43</v>
      </c>
      <c r="D43" s="73" t="s">
        <v>25</v>
      </c>
      <c r="E43" s="73" t="s">
        <v>25</v>
      </c>
      <c r="F43" s="73" t="s">
        <v>25</v>
      </c>
      <c r="G43" s="74" t="s">
        <v>86</v>
      </c>
      <c r="H43" s="74" t="s">
        <v>82</v>
      </c>
      <c r="I43" s="74">
        <f>'MERCADO TUSD'!$U$40</f>
        <v>0</v>
      </c>
      <c r="J43" s="15"/>
      <c r="L43" s="53">
        <f>'TR TUSD'!$L$43*'TR TUSD'!$L$61</f>
        <v>6.1966214554290531</v>
      </c>
      <c r="M43" s="53">
        <f>'TR TUSD'!$M$43*'TR TUSD'!$M$61</f>
        <v>0.83983679075732021</v>
      </c>
      <c r="N43" s="53">
        <f ca="1">'TR TUSD'!$N$43*'TR TUSD'!$N$61</f>
        <v>2.4522983064120649</v>
      </c>
      <c r="O43" s="53">
        <f>'TR TUSD'!$O$43*'TR TUSD'!$O$61</f>
        <v>0</v>
      </c>
      <c r="P43" s="53">
        <f>'TR TUSD'!$P$43*'TR TUSD'!$P$61</f>
        <v>0</v>
      </c>
      <c r="Q43" s="53">
        <f>'TR TUSD'!$Q$43*'TR TUSD'!$Q$61</f>
        <v>88.097831301640994</v>
      </c>
      <c r="R43" s="53">
        <f>'TR TUSD'!$R$43*'TR TUSD'!$R$61</f>
        <v>13.882281717726123</v>
      </c>
      <c r="S43" s="53">
        <f>'TR TUSD'!$S$43*'TR TUSD'!$S$61</f>
        <v>0</v>
      </c>
      <c r="T43" s="53">
        <f ca="1">SUM($L$43:$S$43)</f>
        <v>111.46886957196557</v>
      </c>
      <c r="U43" s="53">
        <f>'TR TUSD'!$U$43*'TR TUSD'!$U$61</f>
        <v>34.094674132297015</v>
      </c>
      <c r="V43" s="53">
        <f>'TR TUSD'!$V$43*'TR TUSD'!$V$61</f>
        <v>10.333169170670011</v>
      </c>
      <c r="W43" s="53">
        <f>'TR TUSD'!$W$43*'TR TUSD'!$W$61</f>
        <v>19.442207211498879</v>
      </c>
      <c r="X43" s="53">
        <f>'TR TUSD'!$X$43*'TR TUSD'!$X$61</f>
        <v>0</v>
      </c>
      <c r="Y43" s="53">
        <f>'TR TUSD'!$Y$43*'TR TUSD'!$Y$61</f>
        <v>0</v>
      </c>
      <c r="Z43" s="53">
        <f>'TR TUSD'!$Z$43</f>
        <v>0</v>
      </c>
      <c r="AA43" s="53">
        <f>'TR TUSD'!$AA$43</f>
        <v>0</v>
      </c>
      <c r="AB43" s="53">
        <f>SUM($U$43:$AA$43)</f>
        <v>63.870050514465902</v>
      </c>
      <c r="AC43" s="53">
        <f>'TR TUSD'!$AC$43*'TR TUSD'!$AC$61</f>
        <v>186.93722827302994</v>
      </c>
      <c r="AD43" s="53">
        <f>SUM($AC$43:$AC$43)</f>
        <v>186.93722827302994</v>
      </c>
      <c r="AE43" s="53">
        <v>0</v>
      </c>
      <c r="AF43" s="53">
        <v>0</v>
      </c>
      <c r="AG43" s="53">
        <f>SUM($AE$43:$AF$43)</f>
        <v>0</v>
      </c>
      <c r="AH43" s="53">
        <f>'TR TUSD'!$AH$43*'TR TUSD'!$AH$61</f>
        <v>16.072355609345063</v>
      </c>
      <c r="AI43" s="53">
        <f>'TR TUSD'!$AI$43*'TR TUSD'!$AI$61</f>
        <v>0.55122094467838079</v>
      </c>
      <c r="AJ43" s="53">
        <f ca="1">'TR TUSD'!$AJ$43*'TR TUSD'!$AJ$61</f>
        <v>2.3663200818906773</v>
      </c>
      <c r="AK43" s="53">
        <f ca="1">'TR TUSD'!$AK$43*'TR TUSD'!$AK$61</f>
        <v>0.29217696156774475</v>
      </c>
      <c r="AL43" s="53">
        <f ca="1">SUM($AH$43:$AK$43)</f>
        <v>19.282073597481865</v>
      </c>
      <c r="AM43" s="53">
        <f ca="1">SUMIF($L$4:$AL$4,"SUBTOTAL",$L$43:$AL$43)</f>
        <v>381.55822195694333</v>
      </c>
      <c r="AP43" s="53">
        <f>IF((1 - CUSTOS!$M$28)&lt;&gt;0,1/(1 - CUSTOS!$M$28),1)</f>
        <v>1</v>
      </c>
    </row>
    <row r="44" spans="1:42" ht="11.25" customHeight="1" x14ac:dyDescent="0.25">
      <c r="A44" s="131"/>
      <c r="B44" s="131"/>
      <c r="C44" s="131"/>
      <c r="D44" s="73" t="s">
        <v>96</v>
      </c>
      <c r="E44" s="73" t="s">
        <v>25</v>
      </c>
      <c r="F44" s="73" t="s">
        <v>25</v>
      </c>
      <c r="G44" s="74" t="s">
        <v>86</v>
      </c>
      <c r="H44" s="74" t="s">
        <v>82</v>
      </c>
      <c r="I44" s="74">
        <f>'MERCADO TUSD'!$U$41</f>
        <v>0</v>
      </c>
      <c r="J44" s="15"/>
      <c r="L44" s="53">
        <f>'TR TUSD'!$L$44*'TR TUSD'!$L$61</f>
        <v>6.1966214554290531</v>
      </c>
      <c r="M44" s="53">
        <f>'TR TUSD'!$M$44*'TR TUSD'!$M$61</f>
        <v>0.83983679075732021</v>
      </c>
      <c r="N44" s="53">
        <f ca="1">'TR TUSD'!$N$44*'TR TUSD'!$N$61</f>
        <v>2.4522983064120649</v>
      </c>
      <c r="O44" s="53">
        <f>'TR TUSD'!$O$44*'TR TUSD'!$O$61</f>
        <v>0</v>
      </c>
      <c r="P44" s="53">
        <f>'TR TUSD'!$P$44*'TR TUSD'!$P$61</f>
        <v>0</v>
      </c>
      <c r="Q44" s="53">
        <f>'TR TUSD'!$Q$44*'TR TUSD'!$Q$61</f>
        <v>88.097831301640994</v>
      </c>
      <c r="R44" s="53">
        <f>'TR TUSD'!$R$44*'TR TUSD'!$R$61</f>
        <v>13.882281717726123</v>
      </c>
      <c r="S44" s="53">
        <f>'TR TUSD'!$S$44*'TR TUSD'!$S$61</f>
        <v>0</v>
      </c>
      <c r="T44" s="53">
        <f ca="1">SUM($L$44:$S$44)</f>
        <v>111.46886957196557</v>
      </c>
      <c r="U44" s="53">
        <f>'TR TUSD'!$U$44*'TR TUSD'!$U$61</f>
        <v>34.094674132297015</v>
      </c>
      <c r="V44" s="53">
        <f>'TR TUSD'!$V$44*'TR TUSD'!$V$61</f>
        <v>10.333169170670011</v>
      </c>
      <c r="W44" s="53">
        <f>'TR TUSD'!$W$44*'TR TUSD'!$W$61</f>
        <v>19.442207211498879</v>
      </c>
      <c r="X44" s="53">
        <f>'TR TUSD'!$X$44*'TR TUSD'!$X$61</f>
        <v>0</v>
      </c>
      <c r="Y44" s="53">
        <f>'TR TUSD'!$Y$44*'TR TUSD'!$Y$61</f>
        <v>0</v>
      </c>
      <c r="Z44" s="53">
        <f>'TR TUSD'!$Z$44</f>
        <v>0</v>
      </c>
      <c r="AA44" s="53">
        <f>'TR TUSD'!$AA$44</f>
        <v>0</v>
      </c>
      <c r="AB44" s="53">
        <f>SUM($U$44:$AA$44)</f>
        <v>63.870050514465902</v>
      </c>
      <c r="AC44" s="53">
        <f>'TR TUSD'!$AC$44*'TR TUSD'!$AC$61</f>
        <v>186.93722827302994</v>
      </c>
      <c r="AD44" s="53">
        <f>SUM($AC$44:$AC$44)</f>
        <v>186.93722827302994</v>
      </c>
      <c r="AE44" s="53">
        <v>0</v>
      </c>
      <c r="AF44" s="53">
        <v>0</v>
      </c>
      <c r="AG44" s="53">
        <f>SUM($AE$44:$AF$44)</f>
        <v>0</v>
      </c>
      <c r="AH44" s="53">
        <f>'TR TUSD'!$AH$44*'TR TUSD'!$AH$61</f>
        <v>16.072355609345063</v>
      </c>
      <c r="AI44" s="53">
        <f>'TR TUSD'!$AI$44*'TR TUSD'!$AI$61</f>
        <v>0.55122094467838079</v>
      </c>
      <c r="AJ44" s="53">
        <f ca="1">'TR TUSD'!$AJ$44*'TR TUSD'!$AJ$61</f>
        <v>2.3663200818906773</v>
      </c>
      <c r="AK44" s="53">
        <f ca="1">'TR TUSD'!$AK$44*'TR TUSD'!$AK$61</f>
        <v>0.29217696156774475</v>
      </c>
      <c r="AL44" s="53">
        <f ca="1">SUM($AH$44:$AK$44)</f>
        <v>19.282073597481865</v>
      </c>
      <c r="AM44" s="53">
        <f ca="1">SUMIF($L$4:$AL$4,"SUBTOTAL",$L$44:$AL$44)</f>
        <v>381.55822195694333</v>
      </c>
      <c r="AP44" s="53">
        <f>IF((1 - CUSTOS!$M$29)&lt;&gt;0,1/(1 - CUSTOS!$M$29),1)</f>
        <v>1</v>
      </c>
    </row>
    <row r="45" spans="1:42" ht="11.25" customHeight="1" x14ac:dyDescent="0.25">
      <c r="A45" s="131"/>
      <c r="B45" s="131"/>
      <c r="C45" s="131"/>
      <c r="D45" s="73" t="s">
        <v>97</v>
      </c>
      <c r="E45" s="73" t="s">
        <v>25</v>
      </c>
      <c r="F45" s="73" t="s">
        <v>25</v>
      </c>
      <c r="G45" s="74" t="s">
        <v>86</v>
      </c>
      <c r="H45" s="74" t="s">
        <v>82</v>
      </c>
      <c r="I45" s="74">
        <f>'MERCADO TUSD'!$U$42</f>
        <v>0</v>
      </c>
      <c r="J45" s="15"/>
      <c r="L45" s="53">
        <f>'TR TUSD'!$L$45*'TR TUSD'!$L$61</f>
        <v>6.1966214554290531</v>
      </c>
      <c r="M45" s="53">
        <f>'TR TUSD'!$M$45*'TR TUSD'!$M$61</f>
        <v>0.83983679075732021</v>
      </c>
      <c r="N45" s="53">
        <f ca="1">'TR TUSD'!$N$45*'TR TUSD'!$N$61</f>
        <v>2.4522983064120649</v>
      </c>
      <c r="O45" s="53">
        <f>'TR TUSD'!$O$45*'TR TUSD'!$O$61</f>
        <v>0</v>
      </c>
      <c r="P45" s="53">
        <f>'TR TUSD'!$P$45*'TR TUSD'!$P$61</f>
        <v>0</v>
      </c>
      <c r="Q45" s="53">
        <f>'TR TUSD'!$Q$45*'TR TUSD'!$Q$61</f>
        <v>88.097831301640994</v>
      </c>
      <c r="R45" s="53">
        <f>'TR TUSD'!$R$45*'TR TUSD'!$R$61</f>
        <v>13.882281717726123</v>
      </c>
      <c r="S45" s="53">
        <f>'TR TUSD'!$S$45*'TR TUSD'!$S$61</f>
        <v>0</v>
      </c>
      <c r="T45" s="53">
        <f ca="1">SUM($L$45:$S$45)</f>
        <v>111.46886957196557</v>
      </c>
      <c r="U45" s="53">
        <f>'TR TUSD'!$U$45*'TR TUSD'!$U$61</f>
        <v>34.094674132297015</v>
      </c>
      <c r="V45" s="53">
        <f>'TR TUSD'!$V$45*'TR TUSD'!$V$61</f>
        <v>10.333169170670011</v>
      </c>
      <c r="W45" s="53">
        <f>'TR TUSD'!$W$45*'TR TUSD'!$W$61</f>
        <v>19.442207211498879</v>
      </c>
      <c r="X45" s="53">
        <f>'TR TUSD'!$X$45*'TR TUSD'!$X$61</f>
        <v>0</v>
      </c>
      <c r="Y45" s="53">
        <f>'TR TUSD'!$Y$45*'TR TUSD'!$Y$61</f>
        <v>0</v>
      </c>
      <c r="Z45" s="53">
        <f>'TR TUSD'!$Z$45</f>
        <v>0</v>
      </c>
      <c r="AA45" s="53">
        <f>'TR TUSD'!$AA$45</f>
        <v>0</v>
      </c>
      <c r="AB45" s="53">
        <f>SUM($U$45:$AA$45)</f>
        <v>63.870050514465902</v>
      </c>
      <c r="AC45" s="53">
        <f>'TR TUSD'!$AC$45*'TR TUSD'!$AC$61</f>
        <v>186.93722827302994</v>
      </c>
      <c r="AD45" s="53">
        <f>SUM($AC$45:$AC$45)</f>
        <v>186.93722827302994</v>
      </c>
      <c r="AE45" s="53">
        <v>0</v>
      </c>
      <c r="AF45" s="53">
        <v>0</v>
      </c>
      <c r="AG45" s="53">
        <f>SUM($AE$45:$AF$45)</f>
        <v>0</v>
      </c>
      <c r="AH45" s="53">
        <f>'TR TUSD'!$AH$45*'TR TUSD'!$AH$61</f>
        <v>16.072355609345063</v>
      </c>
      <c r="AI45" s="53">
        <f>'TR TUSD'!$AI$45*'TR TUSD'!$AI$61</f>
        <v>0.55122094467838079</v>
      </c>
      <c r="AJ45" s="53">
        <f ca="1">'TR TUSD'!$AJ$45*'TR TUSD'!$AJ$61</f>
        <v>2.3663200818906773</v>
      </c>
      <c r="AK45" s="53">
        <f ca="1">'TR TUSD'!$AK$45*'TR TUSD'!$AK$61</f>
        <v>0.29217696156774475</v>
      </c>
      <c r="AL45" s="53">
        <f ca="1">SUM($AH$45:$AK$45)</f>
        <v>19.282073597481865</v>
      </c>
      <c r="AM45" s="53">
        <f ca="1">SUMIF($L$4:$AL$4,"SUBTOTAL",$L$45:$AL$45)</f>
        <v>381.55822195694333</v>
      </c>
      <c r="AP45" s="53">
        <f>IF((1 - CUSTOS!$M$30)&lt;&gt;0,1/(1 - CUSTOS!$M$30),1)</f>
        <v>1</v>
      </c>
    </row>
    <row r="46" spans="1:42" ht="11.25" customHeight="1" x14ac:dyDescent="0.25">
      <c r="A46" s="131" t="s">
        <v>36</v>
      </c>
      <c r="B46" s="131" t="s">
        <v>32</v>
      </c>
      <c r="C46" s="131" t="s">
        <v>25</v>
      </c>
      <c r="D46" s="131" t="s">
        <v>25</v>
      </c>
      <c r="E46" s="131" t="s">
        <v>25</v>
      </c>
      <c r="F46" s="131" t="s">
        <v>25</v>
      </c>
      <c r="G46" s="74" t="s">
        <v>83</v>
      </c>
      <c r="H46" s="74" t="s">
        <v>82</v>
      </c>
      <c r="I46" s="74">
        <f>'MERCADO TUSD'!$U$43</f>
        <v>20.471999999999998</v>
      </c>
      <c r="J46" s="15"/>
      <c r="L46" s="53">
        <f>'TR TUSD'!$L$46*'TR TUSD'!$L$61</f>
        <v>6.1966214554290531</v>
      </c>
      <c r="M46" s="53">
        <f>'TR TUSD'!$M$46*'TR TUSD'!$M$61</f>
        <v>0.83983679075732021</v>
      </c>
      <c r="N46" s="53">
        <f ca="1">'TR TUSD'!$N$46*'TR TUSD'!$N$61</f>
        <v>10.073903546530374</v>
      </c>
      <c r="O46" s="53">
        <f>'TR TUSD'!$O$46*'TR TUSD'!$O$61</f>
        <v>0</v>
      </c>
      <c r="P46" s="53">
        <f>'TR TUSD'!$P$46*'TR TUSD'!$P$61</f>
        <v>0</v>
      </c>
      <c r="Q46" s="53">
        <f>'TR TUSD'!$Q$46*'TR TUSD'!$Q$61</f>
        <v>88.097831301640994</v>
      </c>
      <c r="R46" s="53">
        <f>'TR TUSD'!$R$46*'TR TUSD'!$R$61</f>
        <v>13.882281717726123</v>
      </c>
      <c r="S46" s="53">
        <f>'TR TUSD'!$S$46*'TR TUSD'!$S$61</f>
        <v>0</v>
      </c>
      <c r="T46" s="53">
        <f ca="1">SUM($L$46:$S$46)</f>
        <v>119.09047481208387</v>
      </c>
      <c r="U46" s="53">
        <f>'TR TUSD'!$U$46*'TR TUSD'!$U$61</f>
        <v>163.65436074923528</v>
      </c>
      <c r="V46" s="53">
        <f>'TR TUSD'!$V$46*'TR TUSD'!$V$61</f>
        <v>49.599305914437963</v>
      </c>
      <c r="W46" s="53">
        <f>'TR TUSD'!$W$46*'TR TUSD'!$W$61</f>
        <v>93.322481900757367</v>
      </c>
      <c r="X46" s="53">
        <f>'TR TUSD'!$X$46*'TR TUSD'!$X$61</f>
        <v>0</v>
      </c>
      <c r="Y46" s="53">
        <f>'TR TUSD'!$Y$46*'TR TUSD'!$Y$61</f>
        <v>0</v>
      </c>
      <c r="Z46" s="53">
        <f>'TR TUSD'!$Z$46</f>
        <v>0</v>
      </c>
      <c r="AA46" s="53">
        <f>'TR TUSD'!$AA$46</f>
        <v>0</v>
      </c>
      <c r="AB46" s="53">
        <f>SUM($U$46:$AA$46)</f>
        <v>306.57614856443058</v>
      </c>
      <c r="AC46" s="53">
        <f>'TR TUSD'!$AC$46*'TR TUSD'!$AC$61</f>
        <v>897.29869571054371</v>
      </c>
      <c r="AD46" s="53">
        <f>SUM($AC$46:$AC$46)</f>
        <v>897.29869571054371</v>
      </c>
      <c r="AE46" s="53">
        <v>0</v>
      </c>
      <c r="AF46" s="53">
        <v>0</v>
      </c>
      <c r="AG46" s="53">
        <f>SUM($AE$46:$AF$46)</f>
        <v>0</v>
      </c>
      <c r="AH46" s="53">
        <f>'TR TUSD'!$AH$46*'TR TUSD'!$AH$61</f>
        <v>16.072355609345063</v>
      </c>
      <c r="AI46" s="53">
        <f>'TR TUSD'!$AI$46*'TR TUSD'!$AI$61</f>
        <v>0.55122094467838079</v>
      </c>
      <c r="AJ46" s="53">
        <f ca="1">'TR TUSD'!$AJ$46*'TR TUSD'!$AJ$61</f>
        <v>2.3663200818906773</v>
      </c>
      <c r="AK46" s="53">
        <f ca="1">'TR TUSD'!$AK$46*'TR TUSD'!$AK$61</f>
        <v>0.29217696156774475</v>
      </c>
      <c r="AL46" s="53">
        <f ca="1">SUM($AH$46:$AK$46)</f>
        <v>19.282073597481865</v>
      </c>
      <c r="AM46" s="53">
        <f ca="1">SUMIF($L$4:$AL$4,"SUBTOTAL",$L$46:$AL$46)</f>
        <v>1342.24739268454</v>
      </c>
      <c r="AP46" s="53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74" t="s">
        <v>93</v>
      </c>
      <c r="H47" s="74" t="s">
        <v>82</v>
      </c>
      <c r="I47" s="74">
        <f>'MERCADO TUSD'!$U$44</f>
        <v>16.687999999999999</v>
      </c>
      <c r="J47" s="15"/>
      <c r="L47" s="53">
        <f>'TR TUSD'!$L$47*'TR TUSD'!$L$61</f>
        <v>6.1966214554290531</v>
      </c>
      <c r="M47" s="53">
        <f>'TR TUSD'!$M$47*'TR TUSD'!$M$61</f>
        <v>0.83983679075732021</v>
      </c>
      <c r="N47" s="53">
        <f ca="1">'TR TUSD'!$N$47*'TR TUSD'!$N$61</f>
        <v>3.3348002078640002</v>
      </c>
      <c r="O47" s="53">
        <f>'TR TUSD'!$O$47*'TR TUSD'!$O$61</f>
        <v>0</v>
      </c>
      <c r="P47" s="53">
        <f>'TR TUSD'!$P$47*'TR TUSD'!$P$61</f>
        <v>0</v>
      </c>
      <c r="Q47" s="53">
        <f>'TR TUSD'!$Q$47*'TR TUSD'!$Q$61</f>
        <v>88.097831301640994</v>
      </c>
      <c r="R47" s="53">
        <f>'TR TUSD'!$R$47*'TR TUSD'!$R$61</f>
        <v>13.882281717726123</v>
      </c>
      <c r="S47" s="53">
        <f>'TR TUSD'!$S$47*'TR TUSD'!$S$61</f>
        <v>0</v>
      </c>
      <c r="T47" s="53">
        <f ca="1">SUM($L$47:$S$47)</f>
        <v>112.35137147341749</v>
      </c>
      <c r="U47" s="53">
        <f>'TR TUSD'!$U$47*'TR TUSD'!$U$61</f>
        <v>49.096345767665788</v>
      </c>
      <c r="V47" s="53">
        <f>'TR TUSD'!$V$47*'TR TUSD'!$V$61</f>
        <v>14.879763605764815</v>
      </c>
      <c r="W47" s="53">
        <f>'TR TUSD'!$W$47*'TR TUSD'!$W$61</f>
        <v>27.996763355966753</v>
      </c>
      <c r="X47" s="53">
        <f>'TR TUSD'!$X$47*'TR TUSD'!$X$61</f>
        <v>0</v>
      </c>
      <c r="Y47" s="53">
        <f>'TR TUSD'!$Y$47*'TR TUSD'!$Y$61</f>
        <v>0</v>
      </c>
      <c r="Z47" s="53">
        <f>'TR TUSD'!$Z$47</f>
        <v>0</v>
      </c>
      <c r="AA47" s="53">
        <f>'TR TUSD'!$AA$47</f>
        <v>0</v>
      </c>
      <c r="AB47" s="53">
        <f>SUM($U$47:$AA$47)</f>
        <v>91.972872729397352</v>
      </c>
      <c r="AC47" s="53">
        <f>'TR TUSD'!$AC$47*'TR TUSD'!$AC$61</f>
        <v>269.18962802291531</v>
      </c>
      <c r="AD47" s="53">
        <f>SUM($AC$47:$AC$47)</f>
        <v>269.18962802291531</v>
      </c>
      <c r="AE47" s="53">
        <v>0</v>
      </c>
      <c r="AF47" s="53">
        <v>0</v>
      </c>
      <c r="AG47" s="53">
        <f>SUM($AE$47:$AF$47)</f>
        <v>0</v>
      </c>
      <c r="AH47" s="53">
        <f>'TR TUSD'!$AH$47*'TR TUSD'!$AH$61</f>
        <v>16.072355609345063</v>
      </c>
      <c r="AI47" s="53">
        <f>'TR TUSD'!$AI$47*'TR TUSD'!$AI$61</f>
        <v>0.55122094467838079</v>
      </c>
      <c r="AJ47" s="53">
        <f ca="1">'TR TUSD'!$AJ$47*'TR TUSD'!$AJ$61</f>
        <v>2.3663200818906773</v>
      </c>
      <c r="AK47" s="53">
        <f ca="1">'TR TUSD'!$AK$47*'TR TUSD'!$AK$61</f>
        <v>0.29217696156774475</v>
      </c>
      <c r="AL47" s="53">
        <f ca="1">SUM($AH$47:$AK$47)</f>
        <v>19.282073597481865</v>
      </c>
      <c r="AM47" s="53">
        <f ca="1">SUMIF($L$4:$AL$4,"SUBTOTAL",$L$47:$AL$47)</f>
        <v>492.79594582321204</v>
      </c>
      <c r="AP47" s="53">
        <f>IF((1 - CUSTOS!$M$31)&lt;&gt;0,1/(1 - CUSTOS!$M$31),1)</f>
        <v>1</v>
      </c>
    </row>
    <row r="48" spans="1:42" ht="11.25" customHeight="1" x14ac:dyDescent="0.25">
      <c r="A48" s="131"/>
      <c r="B48" s="131"/>
      <c r="C48" s="131"/>
      <c r="D48" s="131"/>
      <c r="E48" s="131"/>
      <c r="F48" s="131"/>
      <c r="G48" s="74" t="s">
        <v>84</v>
      </c>
      <c r="H48" s="74" t="s">
        <v>82</v>
      </c>
      <c r="I48" s="74">
        <f>'MERCADO TUSD'!$U$45</f>
        <v>216.36699999999999</v>
      </c>
      <c r="J48" s="15"/>
      <c r="L48" s="53">
        <f>'TR TUSD'!$L$48*'TR TUSD'!$L$61</f>
        <v>6.1966214554290531</v>
      </c>
      <c r="M48" s="53">
        <f>'TR TUSD'!$M$48*'TR TUSD'!$M$61</f>
        <v>0.83983679075732021</v>
      </c>
      <c r="N48" s="53">
        <f ca="1">'TR TUSD'!$N$48*'TR TUSD'!$N$61</f>
        <v>1.409342001594406</v>
      </c>
      <c r="O48" s="53">
        <f>'TR TUSD'!$O$48*'TR TUSD'!$O$61</f>
        <v>0</v>
      </c>
      <c r="P48" s="53">
        <f>'TR TUSD'!$P$48*'TR TUSD'!$P$61</f>
        <v>0</v>
      </c>
      <c r="Q48" s="53">
        <f>'TR TUSD'!$Q$48*'TR TUSD'!$Q$61</f>
        <v>88.097831301640994</v>
      </c>
      <c r="R48" s="53">
        <f>'TR TUSD'!$R$48*'TR TUSD'!$R$61</f>
        <v>13.882281717726123</v>
      </c>
      <c r="S48" s="53">
        <f>'TR TUSD'!$S$48*'TR TUSD'!$S$61</f>
        <v>0</v>
      </c>
      <c r="T48" s="53">
        <f ca="1">SUM($L$48:$S$48)</f>
        <v>110.42591326714791</v>
      </c>
      <c r="U48" s="53">
        <f>'TR TUSD'!$U$48*'TR TUSD'!$U$61</f>
        <v>16.36541730347593</v>
      </c>
      <c r="V48" s="53">
        <f>'TR TUSD'!$V$48*'TR TUSD'!$V$61</f>
        <v>4.9599212019216052</v>
      </c>
      <c r="W48" s="53">
        <f>'TR TUSD'!$W$48*'TR TUSD'!$W$61</f>
        <v>9.3322857615548216</v>
      </c>
      <c r="X48" s="53">
        <f>'TR TUSD'!$X$48*'TR TUSD'!$X$61</f>
        <v>0</v>
      </c>
      <c r="Y48" s="53">
        <f>'TR TUSD'!$Y$48*'TR TUSD'!$Y$61</f>
        <v>0</v>
      </c>
      <c r="Z48" s="53">
        <f>'TR TUSD'!$Z$48</f>
        <v>0</v>
      </c>
      <c r="AA48" s="53">
        <f>'TR TUSD'!$AA$48</f>
        <v>0</v>
      </c>
      <c r="AB48" s="53">
        <f>SUM($U$48:$AA$48)</f>
        <v>30.657624266952357</v>
      </c>
      <c r="AC48" s="53">
        <f>'TR TUSD'!$AC$48*'TR TUSD'!$AC$61</f>
        <v>89.72990819055876</v>
      </c>
      <c r="AD48" s="53">
        <f>SUM($AC$48:$AC$48)</f>
        <v>89.72990819055876</v>
      </c>
      <c r="AE48" s="53">
        <v>0</v>
      </c>
      <c r="AF48" s="53">
        <v>0</v>
      </c>
      <c r="AG48" s="53">
        <f>SUM($AE$48:$AF$48)</f>
        <v>0</v>
      </c>
      <c r="AH48" s="53">
        <f>'TR TUSD'!$AH$48*'TR TUSD'!$AH$61</f>
        <v>16.072355609345063</v>
      </c>
      <c r="AI48" s="53">
        <f>'TR TUSD'!$AI$48*'TR TUSD'!$AI$61</f>
        <v>0.55122094467838079</v>
      </c>
      <c r="AJ48" s="53">
        <f ca="1">'TR TUSD'!$AJ$48*'TR TUSD'!$AJ$61</f>
        <v>2.3663200818906773</v>
      </c>
      <c r="AK48" s="53">
        <f ca="1">'TR TUSD'!$AK$48*'TR TUSD'!$AK$61</f>
        <v>0.29217696156774475</v>
      </c>
      <c r="AL48" s="53">
        <f ca="1">SUM($AH$48:$AK$48)</f>
        <v>19.282073597481865</v>
      </c>
      <c r="AM48" s="53">
        <f ca="1">SUMIF($L$4:$AL$4,"SUBTOTAL",$L$48:$AL$48)</f>
        <v>250.09551932214086</v>
      </c>
      <c r="AP48" s="53">
        <f>IF((1 - CUSTOS!$M$31)&lt;&gt;0,1/(1 - CUSTOS!$M$31),1)</f>
        <v>1</v>
      </c>
    </row>
    <row r="49" spans="1:42" ht="11.25" customHeight="1" x14ac:dyDescent="0.25">
      <c r="A49" s="131"/>
      <c r="B49" s="73" t="s">
        <v>23</v>
      </c>
      <c r="C49" s="73" t="s">
        <v>25</v>
      </c>
      <c r="D49" s="73" t="s">
        <v>25</v>
      </c>
      <c r="E49" s="73" t="s">
        <v>25</v>
      </c>
      <c r="F49" s="73" t="s">
        <v>25</v>
      </c>
      <c r="G49" s="74" t="s">
        <v>86</v>
      </c>
      <c r="H49" s="74" t="s">
        <v>82</v>
      </c>
      <c r="I49" s="74">
        <f>'MERCADO TUSD'!$U$46</f>
        <v>26125.533000000003</v>
      </c>
      <c r="J49" s="15"/>
      <c r="L49" s="53">
        <f>'TR TUSD'!$L$49*'TR TUSD'!$L$61</f>
        <v>6.1966214554290531</v>
      </c>
      <c r="M49" s="53">
        <f>'TR TUSD'!$M$49*'TR TUSD'!$M$61</f>
        <v>0.83983679075732021</v>
      </c>
      <c r="N49" s="53">
        <f ca="1">'TR TUSD'!$N$49*'TR TUSD'!$N$61</f>
        <v>2.4522983064120649</v>
      </c>
      <c r="O49" s="53">
        <f>'TR TUSD'!$O$49*'TR TUSD'!$O$61</f>
        <v>0</v>
      </c>
      <c r="P49" s="53">
        <f>'TR TUSD'!$P$49*'TR TUSD'!$P$61</f>
        <v>0</v>
      </c>
      <c r="Q49" s="53">
        <f>'TR TUSD'!$Q$49*'TR TUSD'!$Q$61</f>
        <v>88.097831301640994</v>
      </c>
      <c r="R49" s="53">
        <f>'TR TUSD'!$R$49*'TR TUSD'!$R$61</f>
        <v>13.882281717726123</v>
      </c>
      <c r="S49" s="53">
        <f>'TR TUSD'!$S$49*'TR TUSD'!$S$61</f>
        <v>0</v>
      </c>
      <c r="T49" s="53">
        <f ca="1">SUM($L$49:$S$49)</f>
        <v>111.46886957196557</v>
      </c>
      <c r="U49" s="53">
        <f>'TR TUSD'!$U$49*'TR TUSD'!$U$61</f>
        <v>34.094674132297015</v>
      </c>
      <c r="V49" s="53">
        <f>'TR TUSD'!$V$49*'TR TUSD'!$V$61</f>
        <v>10.333169170670011</v>
      </c>
      <c r="W49" s="53">
        <f>'TR TUSD'!$W$49*'TR TUSD'!$W$61</f>
        <v>19.442207211498879</v>
      </c>
      <c r="X49" s="53">
        <f>'TR TUSD'!$X$49*'TR TUSD'!$X$61</f>
        <v>0</v>
      </c>
      <c r="Y49" s="53">
        <f>'TR TUSD'!$Y$49*'TR TUSD'!$Y$61</f>
        <v>0</v>
      </c>
      <c r="Z49" s="53">
        <f>'TR TUSD'!$Z$49</f>
        <v>0</v>
      </c>
      <c r="AA49" s="53">
        <f>'TR TUSD'!$AA$49</f>
        <v>0</v>
      </c>
      <c r="AB49" s="53">
        <f>SUM($U$49:$AA$49)</f>
        <v>63.870050514465902</v>
      </c>
      <c r="AC49" s="53">
        <f>'TR TUSD'!$AC$49*'TR TUSD'!$AC$61</f>
        <v>186.93722827302994</v>
      </c>
      <c r="AD49" s="53">
        <f>SUM($AC$49:$AC$49)</f>
        <v>186.93722827302994</v>
      </c>
      <c r="AE49" s="53">
        <v>0</v>
      </c>
      <c r="AF49" s="53">
        <v>0</v>
      </c>
      <c r="AG49" s="53">
        <f>SUM($AE$49:$AF$49)</f>
        <v>0</v>
      </c>
      <c r="AH49" s="53">
        <f>'TR TUSD'!$AH$49*'TR TUSD'!$AH$61</f>
        <v>16.072355609345063</v>
      </c>
      <c r="AI49" s="53">
        <f>'TR TUSD'!$AI$49*'TR TUSD'!$AI$61</f>
        <v>0.55122094467838079</v>
      </c>
      <c r="AJ49" s="53">
        <f ca="1">'TR TUSD'!$AJ$49*'TR TUSD'!$AJ$61</f>
        <v>2.3663200818906773</v>
      </c>
      <c r="AK49" s="53">
        <f ca="1">'TR TUSD'!$AK$49*'TR TUSD'!$AK$61</f>
        <v>0.29217696156774475</v>
      </c>
      <c r="AL49" s="53">
        <f ca="1">SUM($AH$49:$AK$49)</f>
        <v>19.282073597481865</v>
      </c>
      <c r="AM49" s="53">
        <f ca="1">SUMIF($L$4:$AL$4,"SUBTOTAL",$L$49:$AL$49)</f>
        <v>381.55822195694333</v>
      </c>
      <c r="AP49" s="53">
        <f>IF((1 - CUSTOS!$M$31)&lt;&gt;0,1/(1 - CUSTOS!$M$31),1)</f>
        <v>1</v>
      </c>
    </row>
    <row r="50" spans="1:42" ht="11.25" customHeight="1" x14ac:dyDescent="0.25">
      <c r="A50" s="131"/>
      <c r="B50" s="73" t="s">
        <v>95</v>
      </c>
      <c r="C50" s="73" t="s">
        <v>25</v>
      </c>
      <c r="D50" s="73" t="s">
        <v>25</v>
      </c>
      <c r="E50" s="73" t="s">
        <v>25</v>
      </c>
      <c r="F50" s="73" t="s">
        <v>25</v>
      </c>
      <c r="G50" s="74" t="s">
        <v>86</v>
      </c>
      <c r="H50" s="74" t="s">
        <v>82</v>
      </c>
      <c r="I50" s="74">
        <f>'MERCADO TUSD'!$U$47</f>
        <v>0</v>
      </c>
      <c r="J50" s="15"/>
      <c r="L50" s="53">
        <f>'TR TUSD'!$L$50*'TR TUSD'!$L$61</f>
        <v>6.1966214554290531</v>
      </c>
      <c r="M50" s="53">
        <f>'TR TUSD'!$M$50*'TR TUSD'!$M$61</f>
        <v>0.83983679075732021</v>
      </c>
      <c r="N50" s="53">
        <f ca="1">'TR TUSD'!$N$50*'TR TUSD'!$N$61</f>
        <v>2.4522983064120649</v>
      </c>
      <c r="O50" s="53">
        <f>'TR TUSD'!$O$50*'TR TUSD'!$O$61</f>
        <v>0</v>
      </c>
      <c r="P50" s="53">
        <f>'TR TUSD'!$P$50*'TR TUSD'!$P$61</f>
        <v>0</v>
      </c>
      <c r="Q50" s="53">
        <f>'TR TUSD'!$Q$50*'TR TUSD'!$Q$61</f>
        <v>88.097831301640994</v>
      </c>
      <c r="R50" s="53">
        <f>'TR TUSD'!$R$50*'TR TUSD'!$R$61</f>
        <v>13.882281717726123</v>
      </c>
      <c r="S50" s="53">
        <f>'TR TUSD'!$S$50*'TR TUSD'!$S$61</f>
        <v>0</v>
      </c>
      <c r="T50" s="53">
        <f ca="1">SUM($L$50:$S$50)</f>
        <v>111.46886957196557</v>
      </c>
      <c r="U50" s="53">
        <f>'TR TUSD'!$U$50*'TR TUSD'!$U$61</f>
        <v>34.094674132297015</v>
      </c>
      <c r="V50" s="53">
        <f>'TR TUSD'!$V$50*'TR TUSD'!$V$61</f>
        <v>10.333169170670011</v>
      </c>
      <c r="W50" s="53">
        <f>'TR TUSD'!$W$50*'TR TUSD'!$W$61</f>
        <v>19.442207211498879</v>
      </c>
      <c r="X50" s="53">
        <f>'TR TUSD'!$X$50*'TR TUSD'!$X$61</f>
        <v>0</v>
      </c>
      <c r="Y50" s="53">
        <f>'TR TUSD'!$Y$50*'TR TUSD'!$Y$61</f>
        <v>0</v>
      </c>
      <c r="Z50" s="53">
        <f>'TR TUSD'!$Z$50</f>
        <v>0</v>
      </c>
      <c r="AA50" s="53">
        <f>'TR TUSD'!$AA$50</f>
        <v>0</v>
      </c>
      <c r="AB50" s="53">
        <f>SUM($U$50:$AA$50)</f>
        <v>63.870050514465902</v>
      </c>
      <c r="AC50" s="53">
        <f>'TR TUSD'!$AC$50*'TR TUSD'!$AC$61</f>
        <v>186.93722827302994</v>
      </c>
      <c r="AD50" s="53">
        <f>SUM($AC$50:$AC$50)</f>
        <v>186.93722827302994</v>
      </c>
      <c r="AE50" s="53">
        <v>0</v>
      </c>
      <c r="AF50" s="53">
        <v>0</v>
      </c>
      <c r="AG50" s="53">
        <f>SUM($AE$50:$AF$50)</f>
        <v>0</v>
      </c>
      <c r="AH50" s="53">
        <f>'TR TUSD'!$AH$50*'TR TUSD'!$AH$61</f>
        <v>16.072355609345063</v>
      </c>
      <c r="AI50" s="53">
        <f>'TR TUSD'!$AI$50*'TR TUSD'!$AI$61</f>
        <v>0.55122094467838079</v>
      </c>
      <c r="AJ50" s="53">
        <f ca="1">'TR TUSD'!$AJ$50*'TR TUSD'!$AJ$61</f>
        <v>2.3663200818906773</v>
      </c>
      <c r="AK50" s="53">
        <f ca="1">'TR TUSD'!$AK$50*'TR TUSD'!$AK$61</f>
        <v>0.29217696156774475</v>
      </c>
      <c r="AL50" s="53">
        <f ca="1">SUM($AH$50:$AK$50)</f>
        <v>19.282073597481865</v>
      </c>
      <c r="AM50" s="53">
        <f ca="1">SUMIF($L$4:$AL$4,"SUBTOTAL",$L$50:$AL$50)</f>
        <v>381.55822195694333</v>
      </c>
      <c r="AP50" s="53">
        <f>IF((1 - CUSTOS!$M$31)&lt;&gt;0,1/(1 - CUSTOS!$M$31),1)</f>
        <v>1</v>
      </c>
    </row>
    <row r="51" spans="1:42" ht="11.25" customHeight="1" x14ac:dyDescent="0.25">
      <c r="A51" s="131" t="s">
        <v>45</v>
      </c>
      <c r="B51" s="131" t="s">
        <v>23</v>
      </c>
      <c r="C51" s="131" t="s">
        <v>46</v>
      </c>
      <c r="D51" s="73" t="s">
        <v>47</v>
      </c>
      <c r="E51" s="73" t="s">
        <v>25</v>
      </c>
      <c r="F51" s="73" t="s">
        <v>25</v>
      </c>
      <c r="G51" s="74" t="s">
        <v>86</v>
      </c>
      <c r="H51" s="74" t="s">
        <v>82</v>
      </c>
      <c r="I51" s="74">
        <f>'MERCADO TUSD'!$U$48</f>
        <v>5474.732</v>
      </c>
      <c r="J51" s="15"/>
      <c r="L51" s="53">
        <f>'TR TUSD'!$L$51*'TR TUSD'!$L$61</f>
        <v>3.4081418004859794</v>
      </c>
      <c r="M51" s="53">
        <f>'TR TUSD'!$M$51*'TR TUSD'!$M$61</f>
        <v>0.46191023491652616</v>
      </c>
      <c r="N51" s="53">
        <f ca="1">'TR TUSD'!$N$51*'TR TUSD'!$N$61</f>
        <v>1.3487640685266356</v>
      </c>
      <c r="O51" s="53">
        <f>'TR TUSD'!$O$51*'TR TUSD'!$O$61</f>
        <v>0</v>
      </c>
      <c r="P51" s="53">
        <f>'TR TUSD'!$P$51*'TR TUSD'!$P$61</f>
        <v>0</v>
      </c>
      <c r="Q51" s="53">
        <f>'TR TUSD'!$Q$51*'TR TUSD'!$Q$61</f>
        <v>48.45380721590255</v>
      </c>
      <c r="R51" s="53">
        <f>'TR TUSD'!$R$51*'TR TUSD'!$R$61</f>
        <v>7.6352549447493683</v>
      </c>
      <c r="S51" s="53">
        <f>'TR TUSD'!$S$51*'TR TUSD'!$S$61</f>
        <v>0</v>
      </c>
      <c r="T51" s="53">
        <f ca="1">SUM($L$51:$S$51)</f>
        <v>61.307878264581063</v>
      </c>
      <c r="U51" s="53">
        <f>'TR TUSD'!$U$51*'TR TUSD'!$U$61</f>
        <v>18.752070772763361</v>
      </c>
      <c r="V51" s="53">
        <f>'TR TUSD'!$V$51*'TR TUSD'!$V$61</f>
        <v>5.6832430438685062</v>
      </c>
      <c r="W51" s="53">
        <f>'TR TUSD'!$W$51*'TR TUSD'!$W$61</f>
        <v>10.693213966324384</v>
      </c>
      <c r="X51" s="53">
        <f>'TR TUSD'!$X$51*'TR TUSD'!$X$61</f>
        <v>0</v>
      </c>
      <c r="Y51" s="53">
        <f>'TR TUSD'!$Y$51*'TR TUSD'!$Y$61</f>
        <v>0</v>
      </c>
      <c r="Z51" s="53">
        <f>'TR TUSD'!$Z$51</f>
        <v>0</v>
      </c>
      <c r="AA51" s="53">
        <f>'TR TUSD'!$AA$51</f>
        <v>0</v>
      </c>
      <c r="AB51" s="53">
        <f>SUM($U$51:$AA$51)</f>
        <v>35.128527782956255</v>
      </c>
      <c r="AC51" s="53">
        <f>'TR TUSD'!$AC$51*'TR TUSD'!$AC$61</f>
        <v>102.81547555016648</v>
      </c>
      <c r="AD51" s="53">
        <f>SUM($AC$51:$AC$51)</f>
        <v>102.81547555016648</v>
      </c>
      <c r="AE51" s="53">
        <v>0</v>
      </c>
      <c r="AF51" s="53">
        <v>0</v>
      </c>
      <c r="AG51" s="53">
        <f>SUM($AE$51:$AF$51)</f>
        <v>0</v>
      </c>
      <c r="AH51" s="53">
        <f>'TR TUSD'!$AH$51*'TR TUSD'!$AH$61</f>
        <v>8.839795585139786</v>
      </c>
      <c r="AI51" s="53">
        <f>'TR TUSD'!$AI$51*'TR TUSD'!$AI$61</f>
        <v>0.30317151957310945</v>
      </c>
      <c r="AJ51" s="53">
        <f ca="1">'TR TUSD'!$AJ$51*'TR TUSD'!$AJ$61</f>
        <v>1.3014760450398728</v>
      </c>
      <c r="AK51" s="53">
        <f ca="1">'TR TUSD'!$AK$51*'TR TUSD'!$AK$61</f>
        <v>0.16069732886225963</v>
      </c>
      <c r="AL51" s="53">
        <f ca="1">SUM($AH$51:$AK$51)</f>
        <v>10.605140478615027</v>
      </c>
      <c r="AM51" s="53">
        <f ca="1">SUMIF($L$4:$AL$4,"SUBTOTAL",$L$51:$AL$51)</f>
        <v>209.85702207631883</v>
      </c>
      <c r="AP51" s="53">
        <f>IF((1 - CUSTOS!$M$32)&lt;&gt;0,1/(1 - CUSTOS!$M$32),1)</f>
        <v>1.8181818181818181</v>
      </c>
    </row>
    <row r="52" spans="1:42" ht="11.25" customHeight="1" x14ac:dyDescent="0.25">
      <c r="A52" s="131"/>
      <c r="B52" s="131"/>
      <c r="C52" s="131"/>
      <c r="D52" s="74" t="s">
        <v>98</v>
      </c>
      <c r="E52" s="74" t="s">
        <v>25</v>
      </c>
      <c r="F52" s="74" t="s">
        <v>25</v>
      </c>
      <c r="G52" s="74" t="s">
        <v>86</v>
      </c>
      <c r="H52" s="74" t="s">
        <v>82</v>
      </c>
      <c r="I52" s="74">
        <f>'MERCADO TUSD'!$U$49</f>
        <v>0</v>
      </c>
      <c r="J52" s="15"/>
      <c r="L52" s="53">
        <f>'TR TUSD'!$L$52*'TR TUSD'!$L$61</f>
        <v>3.7179728732574318</v>
      </c>
      <c r="M52" s="53">
        <f>'TR TUSD'!$M$52*'TR TUSD'!$M$61</f>
        <v>0.50390207445439206</v>
      </c>
      <c r="N52" s="53">
        <f ca="1">'TR TUSD'!$N$52*'TR TUSD'!$N$61</f>
        <v>1.4713789838472391</v>
      </c>
      <c r="O52" s="53">
        <f>'TR TUSD'!$O$52*'TR TUSD'!$O$61</f>
        <v>0</v>
      </c>
      <c r="P52" s="53">
        <f>'TR TUSD'!$P$52*'TR TUSD'!$P$61</f>
        <v>0</v>
      </c>
      <c r="Q52" s="53">
        <f>'TR TUSD'!$Q$52*'TR TUSD'!$Q$61</f>
        <v>52.858698780984597</v>
      </c>
      <c r="R52" s="53">
        <f>'TR TUSD'!$R$52*'TR TUSD'!$R$61</f>
        <v>8.3293690306356734</v>
      </c>
      <c r="S52" s="53">
        <f>'TR TUSD'!$S$52*'TR TUSD'!$S$61</f>
        <v>0</v>
      </c>
      <c r="T52" s="53">
        <f ca="1">SUM($L$52:$S$52)</f>
        <v>66.881321743179328</v>
      </c>
      <c r="U52" s="53">
        <f>'TR TUSD'!$U$52*'TR TUSD'!$U$61</f>
        <v>20.456804479378206</v>
      </c>
      <c r="V52" s="53">
        <f>'TR TUSD'!$V$52*'TR TUSD'!$V$61</f>
        <v>6.1999015024020077</v>
      </c>
      <c r="W52" s="53">
        <f>'TR TUSD'!$W$52*'TR TUSD'!$W$61</f>
        <v>11.665324326899325</v>
      </c>
      <c r="X52" s="53">
        <f>'TR TUSD'!$X$52*'TR TUSD'!$X$61</f>
        <v>0</v>
      </c>
      <c r="Y52" s="53">
        <f>'TR TUSD'!$Y$52*'TR TUSD'!$Y$61</f>
        <v>0</v>
      </c>
      <c r="Z52" s="53">
        <f>'TR TUSD'!$Z$52</f>
        <v>0</v>
      </c>
      <c r="AA52" s="53">
        <f>'TR TUSD'!$AA$52</f>
        <v>0</v>
      </c>
      <c r="AB52" s="53">
        <f>SUM($U$52:$AA$52)</f>
        <v>38.322030308679537</v>
      </c>
      <c r="AC52" s="53">
        <f>'TR TUSD'!$AC$52*'TR TUSD'!$AC$61</f>
        <v>112.16233696381796</v>
      </c>
      <c r="AD52" s="53">
        <f>SUM($AC$52:$AC$52)</f>
        <v>112.16233696381796</v>
      </c>
      <c r="AE52" s="53">
        <v>0</v>
      </c>
      <c r="AF52" s="53">
        <v>0</v>
      </c>
      <c r="AG52" s="53">
        <f>SUM($AE$52:$AF$52)</f>
        <v>0</v>
      </c>
      <c r="AH52" s="53">
        <f>'TR TUSD'!$AH$52*'TR TUSD'!$AH$61</f>
        <v>9.6434133656070369</v>
      </c>
      <c r="AI52" s="53">
        <f>'TR TUSD'!$AI$52*'TR TUSD'!$AI$61</f>
        <v>0.33073256680702839</v>
      </c>
      <c r="AJ52" s="53">
        <f ca="1">'TR TUSD'!$AJ$52*'TR TUSD'!$AJ$61</f>
        <v>1.4197920491344063</v>
      </c>
      <c r="AK52" s="53">
        <f ca="1">'TR TUSD'!$AK$52*'TR TUSD'!$AK$61</f>
        <v>0.17530617694064685</v>
      </c>
      <c r="AL52" s="53">
        <f ca="1">SUM($AH$52:$AK$52)</f>
        <v>11.569244158489118</v>
      </c>
      <c r="AM52" s="53">
        <f ca="1">SUMIF($L$4:$AL$4,"SUBTOTAL",$L$52:$AL$52)</f>
        <v>228.93493317416593</v>
      </c>
      <c r="AP52" s="53">
        <f>IF((1 - CUSTOS!$M$33)&lt;&gt;0,1/(1 - CUSTOS!$M$33),1)</f>
        <v>1.6666666666666667</v>
      </c>
    </row>
    <row r="54" spans="1:42" ht="11.25" customHeight="1" x14ac:dyDescent="0.25">
      <c r="K54" s="68" t="s">
        <v>661</v>
      </c>
      <c r="L54" s="53">
        <f>SUMPRODUCT($I$5:$I52,$L$5:$L52)</f>
        <v>1142573.8820889951</v>
      </c>
      <c r="M54" s="53">
        <f>SUMPRODUCT($I$5:$I52,$M$5:$M52)</f>
        <v>135866.19550768036</v>
      </c>
      <c r="N54" s="53">
        <f ca="1">SUMPRODUCT($I$5:$I52,$N$5:$N52)</f>
        <v>339394.07104977663</v>
      </c>
      <c r="O54" s="53">
        <f>SUMPRODUCT($I$5:$I52,$O$5:$O52)</f>
        <v>0</v>
      </c>
      <c r="P54" s="53">
        <f>SUMPRODUCT($I$5:$I52,$P$5:$P52)</f>
        <v>0</v>
      </c>
      <c r="Q54" s="53">
        <f>SUMPRODUCT($I$5:$I52,$Q$5:$Q52)</f>
        <v>16244058.449907003</v>
      </c>
      <c r="R54" s="53">
        <f>SUMPRODUCT($I$5:$I52,$R$5:$R52)</f>
        <v>2752849.9760466157</v>
      </c>
      <c r="S54" s="53">
        <f>SUMPRODUCT($I$5:$I52,$S$5:$S52)</f>
        <v>0</v>
      </c>
      <c r="T54" s="53">
        <f ca="1">SUMPRODUCT($I$5:$I52,$T$5:$T52)</f>
        <v>20614742.574600071</v>
      </c>
      <c r="U54" s="53">
        <f>SUMPRODUCT($I$5:$I52,$U$5:$U52)</f>
        <v>7372778.8000000007</v>
      </c>
      <c r="V54" s="53">
        <f>SUMPRODUCT($I$5:$I52,$V$5:$V52)</f>
        <v>2224972.7999999989</v>
      </c>
      <c r="W54" s="53">
        <f>SUMPRODUCT($I$5:$I52,$W$5:$W52)</f>
        <v>4170396.62053457</v>
      </c>
      <c r="X54" s="53">
        <f>SUMPRODUCT($I$5:$I52,$X$5:$X52)</f>
        <v>0</v>
      </c>
      <c r="Y54" s="53">
        <f>SUMPRODUCT($I$5:$I52,$Y$5:$Y52)</f>
        <v>0</v>
      </c>
      <c r="Z54" s="53">
        <f>SUMPRODUCT($I$5:$I52,$Z$5:$Z52)</f>
        <v>0</v>
      </c>
      <c r="AA54" s="53">
        <f>SUMPRODUCT($I$5:$I52,$AA$5:$AA52)</f>
        <v>0</v>
      </c>
      <c r="AB54" s="53">
        <f>SUMPRODUCT($I$5:$I52,$AB$5:$AB52)</f>
        <v>13768148.220534572</v>
      </c>
      <c r="AC54" s="53">
        <f>SUMPRODUCT($I$5:$I52,$AC$5:$AC52)</f>
        <v>30321572.604258135</v>
      </c>
      <c r="AD54" s="53">
        <f>SUMPRODUCT($I$5:$I52,$AD$5:$AD52)</f>
        <v>30321572.604258135</v>
      </c>
      <c r="AE54" s="53">
        <f>SUMPRODUCT($I$5:$I52,$AE$5:$AE52)</f>
        <v>0</v>
      </c>
      <c r="AF54" s="53">
        <f>SUMPRODUCT($I$5:$I52,$AF$5:$AF52)</f>
        <v>0</v>
      </c>
      <c r="AG54" s="53">
        <f>SUMPRODUCT($I$5:$I52,$AG$5:$AG52)</f>
        <v>0</v>
      </c>
      <c r="AH54" s="53">
        <f>SUMPRODUCT($I$5:$I52,$AH$5:$AH52)</f>
        <v>2427974.5024546841</v>
      </c>
      <c r="AI54" s="53">
        <f>SUMPRODUCT($I$5:$I52,$AI$5:$AI52)</f>
        <v>83270.010285088894</v>
      </c>
      <c r="AJ54" s="53">
        <f ca="1">SUMPRODUCT($I$5:$I52,$AJ$5:$AJ52)</f>
        <v>421605.43877786846</v>
      </c>
      <c r="AK54" s="53">
        <f ca="1">SUMPRODUCT($I$5:$I52,$AK$5:$AK52)</f>
        <v>52056.945729899126</v>
      </c>
      <c r="AL54" s="53">
        <f ca="1">SUMPRODUCT($I$5:$I52,$AL$5:$AL52)</f>
        <v>2984906.8972475398</v>
      </c>
      <c r="AM54" s="53">
        <f ca="1">SUMPRODUCT($I$5:$I52,$AM$5:$AM52)</f>
        <v>67689370.296640322</v>
      </c>
    </row>
    <row r="55" spans="1:42" ht="11.25" customHeight="1" x14ac:dyDescent="0.25">
      <c r="K55" s="68" t="s">
        <v>604</v>
      </c>
      <c r="L55" s="53">
        <f>'TR TUSD'!$L$57</f>
        <v>1142573.8820889951</v>
      </c>
      <c r="M55" s="53">
        <f>'TR TUSD'!$M$57</f>
        <v>135866.19550768039</v>
      </c>
      <c r="N55" s="53">
        <f>'TR TUSD'!$N$57</f>
        <v>339394.07104977674</v>
      </c>
      <c r="O55" s="53">
        <f>'TR TUSD'!$O$57</f>
        <v>0</v>
      </c>
      <c r="P55" s="53">
        <f>'TR TUSD'!$P$57</f>
        <v>0</v>
      </c>
      <c r="Q55" s="53">
        <f>'TR TUSD'!$Q$57</f>
        <v>16244058.449907003</v>
      </c>
      <c r="R55" s="53">
        <f>'TR TUSD'!$R$57</f>
        <v>2752849.9760466153</v>
      </c>
      <c r="S55" s="53">
        <f>'TR TUSD'!$S$57</f>
        <v>0</v>
      </c>
      <c r="T55" s="53">
        <f>'TR TUSD'!$T$57</f>
        <v>20614742.574600071</v>
      </c>
      <c r="U55" s="53">
        <f>'TR TUSD'!$U$57</f>
        <v>7372778.8000000007</v>
      </c>
      <c r="V55" s="53">
        <f>'TR TUSD'!$V$57</f>
        <v>2224972.7999999998</v>
      </c>
      <c r="W55" s="53">
        <f>'TR TUSD'!$W$57</f>
        <v>4170396.62053457</v>
      </c>
      <c r="X55" s="53">
        <f>'TR TUSD'!$X$57</f>
        <v>0</v>
      </c>
      <c r="Y55" s="53">
        <f>'TR TUSD'!$Y$57</f>
        <v>0</v>
      </c>
      <c r="Z55" s="53">
        <f>'TR TUSD'!$Z$57</f>
        <v>0</v>
      </c>
      <c r="AA55" s="53">
        <f>'TR TUSD'!$AA$57</f>
        <v>0</v>
      </c>
      <c r="AB55" s="53">
        <f>'TR TUSD'!$AB$57</f>
        <v>13768148.220534571</v>
      </c>
      <c r="AC55" s="53">
        <f>'TR TUSD'!$AC$57</f>
        <v>30321572.604258131</v>
      </c>
      <c r="AD55" s="53">
        <f>'TR TUSD'!$AD$57</f>
        <v>30321572.604258131</v>
      </c>
      <c r="AE55" s="53">
        <f>'TR TUSD'!$AE$57</f>
        <v>0</v>
      </c>
      <c r="AF55" s="53">
        <f>'TR TUSD'!$AF$57</f>
        <v>0</v>
      </c>
      <c r="AG55" s="53">
        <f>'TR TUSD'!$AG$57</f>
        <v>0</v>
      </c>
      <c r="AH55" s="53">
        <f>'TR TUSD'!$AH$57</f>
        <v>2427974.5024546832</v>
      </c>
      <c r="AI55" s="53">
        <f>'TR TUSD'!$AI$57</f>
        <v>83270.010285088894</v>
      </c>
      <c r="AJ55" s="53">
        <f>'TR TUSD'!$AJ$57</f>
        <v>421605.43877786858</v>
      </c>
      <c r="AK55" s="53">
        <f>'TR TUSD'!$AK$57</f>
        <v>52056.945729899133</v>
      </c>
      <c r="AL55" s="53">
        <f>'TR TUSD'!$AL$57</f>
        <v>2984906.8972475398</v>
      </c>
      <c r="AM55" s="53">
        <f>CUSTOS!$D$29</f>
        <v>67689370.296640307</v>
      </c>
    </row>
    <row r="56" spans="1:42" ht="11.25" customHeight="1" x14ac:dyDescent="0.25">
      <c r="K56" s="68" t="s">
        <v>605</v>
      </c>
      <c r="L56" s="53">
        <f>CUSTOS!$E$2</f>
        <v>-78044.863489655312</v>
      </c>
      <c r="M56" s="53">
        <f>CUSTOS!$E$3</f>
        <v>-9076.8183316994891</v>
      </c>
      <c r="N56" s="53">
        <f>CUSTOS!$E$4</f>
        <v>3.9082317569640096E-6</v>
      </c>
      <c r="O56" s="53">
        <f>CUSTOS!$E$5</f>
        <v>0</v>
      </c>
      <c r="P56" s="53">
        <f>CUSTOS!$E$6</f>
        <v>0</v>
      </c>
      <c r="Q56" s="53">
        <f>CUSTOS!$E$7</f>
        <v>244919.71658750251</v>
      </c>
      <c r="R56" s="53">
        <f>CUSTOS!$E$8</f>
        <v>-270812.93972837052</v>
      </c>
      <c r="S56" s="53">
        <f>CUSTOS!$E$9</f>
        <v>0</v>
      </c>
      <c r="T56" s="53">
        <f>CUSTOS!$E$10</f>
        <v>-113014.90495831455</v>
      </c>
      <c r="U56" s="53">
        <f>CUSTOS!$E$11</f>
        <v>-353985.26375235571</v>
      </c>
      <c r="V56" s="53">
        <f>CUSTOS!$E$12</f>
        <v>61742.455691510098</v>
      </c>
      <c r="W56" s="53">
        <f>CUSTOS!$E$13</f>
        <v>-124873.73627653578</v>
      </c>
      <c r="X56" s="53">
        <f>CUSTOS!$E$14</f>
        <v>0</v>
      </c>
      <c r="Y56" s="53">
        <f>CUSTOS!$E$15</f>
        <v>0</v>
      </c>
      <c r="Z56" s="53">
        <f>CUSTOS!$E$16</f>
        <v>0</v>
      </c>
      <c r="AA56" s="53">
        <f>CUSTOS!$E$17</f>
        <v>0</v>
      </c>
      <c r="AB56" s="53">
        <f>CUSTOS!$E$18</f>
        <v>-417116.54433738138</v>
      </c>
      <c r="AC56" s="53">
        <f>CUSTOS!$E$19</f>
        <v>-242826.43374005141</v>
      </c>
      <c r="AD56" s="53">
        <f>CUSTOS!$E$20</f>
        <v>-242826.43374005141</v>
      </c>
      <c r="AE56" s="53">
        <f>CUSTOS!$E$21</f>
        <v>-12641722.925023135</v>
      </c>
      <c r="AF56" s="53">
        <f>CUSTOS!$E$22</f>
        <v>0</v>
      </c>
      <c r="AG56" s="53">
        <f>CUSTOS!$E$23</f>
        <v>-12641722.925023135</v>
      </c>
      <c r="AH56" s="53">
        <f>CUSTOS!$E$24</f>
        <v>-67538.024107355508</v>
      </c>
      <c r="AI56" s="53">
        <f>CUSTOS!$E$25</f>
        <v>-2316.2895476737172</v>
      </c>
      <c r="AJ56" s="53">
        <f>CUSTOS!$E$26</f>
        <v>-11727.634808019713</v>
      </c>
      <c r="AK56" s="53">
        <f>CUSTOS!$E$27</f>
        <v>3357.3325199911305</v>
      </c>
      <c r="AL56" s="53">
        <f>CUSTOS!$E$28</f>
        <v>-78224.615943057797</v>
      </c>
      <c r="AM56" s="53">
        <f>CUSTOS!$E$29</f>
        <v>-13492905.42400194</v>
      </c>
    </row>
    <row r="57" spans="1:42" ht="11.25" customHeight="1" x14ac:dyDescent="0.25">
      <c r="K57" s="68" t="s">
        <v>606</v>
      </c>
      <c r="L57" s="53">
        <f>CUSTOS!$F$2</f>
        <v>74952.677252192239</v>
      </c>
      <c r="M57" s="53">
        <f>CUSTOS!$F$3</f>
        <v>0</v>
      </c>
      <c r="N57" s="53">
        <f>CUSTOS!$F$4</f>
        <v>0</v>
      </c>
      <c r="O57" s="53">
        <f>CUSTOS!$F$5</f>
        <v>0</v>
      </c>
      <c r="P57" s="53">
        <f>CUSTOS!$F$6</f>
        <v>0</v>
      </c>
      <c r="Q57" s="53">
        <f>CUSTOS!$F$7</f>
        <v>2778434.2493877113</v>
      </c>
      <c r="R57" s="53">
        <f>CUSTOS!$F$8</f>
        <v>643424.43138696544</v>
      </c>
      <c r="S57" s="53">
        <f>CUSTOS!$F$9</f>
        <v>0</v>
      </c>
      <c r="T57" s="53">
        <f>CUSTOS!$F$10</f>
        <v>3496811.3580268687</v>
      </c>
      <c r="U57" s="53">
        <f>CUSTOS!$F$11</f>
        <v>561973.09326562204</v>
      </c>
      <c r="V57" s="53">
        <f>CUSTOS!$F$12</f>
        <v>169593.43020678608</v>
      </c>
      <c r="W57" s="53">
        <f>CUSTOS!$F$13</f>
        <v>0</v>
      </c>
      <c r="X57" s="53">
        <f>CUSTOS!$F$14</f>
        <v>0</v>
      </c>
      <c r="Y57" s="53">
        <f>CUSTOS!$F$15</f>
        <v>0</v>
      </c>
      <c r="Z57" s="53">
        <f>CUSTOS!$F$16</f>
        <v>0</v>
      </c>
      <c r="AA57" s="53">
        <f>CUSTOS!$F$17</f>
        <v>0</v>
      </c>
      <c r="AB57" s="53">
        <f>CUSTOS!$F$18</f>
        <v>731566.52347240807</v>
      </c>
      <c r="AC57" s="53">
        <f>CUSTOS!$F$19</f>
        <v>0</v>
      </c>
      <c r="AD57" s="53">
        <f>CUSTOS!$F$20</f>
        <v>0</v>
      </c>
      <c r="AE57" s="53">
        <f>CUSTOS!$F$21</f>
        <v>0</v>
      </c>
      <c r="AF57" s="53">
        <f>CUSTOS!$F$22</f>
        <v>0</v>
      </c>
      <c r="AG57" s="53">
        <f>CUSTOS!$F$23</f>
        <v>0</v>
      </c>
      <c r="AH57" s="53">
        <f>CUSTOS!$F$24</f>
        <v>282249.11568224744</v>
      </c>
      <c r="AI57" s="53">
        <f>CUSTOS!$F$25</f>
        <v>9680.0385432617059</v>
      </c>
      <c r="AJ57" s="53">
        <f>CUSTOS!$F$26</f>
        <v>49011.125175150133</v>
      </c>
      <c r="AK57" s="53">
        <f>CUSTOS!$F$27</f>
        <v>0</v>
      </c>
      <c r="AL57" s="53">
        <f>CUSTOS!$F$28</f>
        <v>340940.27940065926</v>
      </c>
      <c r="AM57" s="53">
        <f>CUSTOS!$F$29</f>
        <v>4569318.1608999353</v>
      </c>
    </row>
    <row r="58" spans="1:42" ht="11.25" customHeight="1" x14ac:dyDescent="0.25">
      <c r="K58" s="68" t="s">
        <v>658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f>SUM($L$58:$S$58)</f>
        <v>0</v>
      </c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f>SUM($U$58:$AA$58)</f>
        <v>0</v>
      </c>
      <c r="AC58" s="53">
        <v>0</v>
      </c>
      <c r="AD58" s="53">
        <f>SUM($AC$58:$AC$58)</f>
        <v>0</v>
      </c>
      <c r="AE58" s="53">
        <v>0</v>
      </c>
      <c r="AF58" s="53">
        <v>0</v>
      </c>
      <c r="AG58" s="53">
        <f>SUM($AE$58:$AF$58)</f>
        <v>0</v>
      </c>
      <c r="AH58" s="53">
        <v>0</v>
      </c>
      <c r="AI58" s="53">
        <v>0</v>
      </c>
      <c r="AJ58" s="53">
        <v>0</v>
      </c>
      <c r="AK58" s="53">
        <v>0</v>
      </c>
      <c r="AL58" s="53">
        <f>SUM($AH$58:$AK$58)</f>
        <v>0</v>
      </c>
      <c r="AM58" s="53">
        <f>SUMIF($L$4:$AL$4,"SUBTOTAL",$L$58:$AL$58)</f>
        <v>0</v>
      </c>
    </row>
    <row r="59" spans="1:42" ht="11.25" customHeight="1" x14ac:dyDescent="0.25">
      <c r="K59" s="68" t="s">
        <v>662</v>
      </c>
      <c r="L59" s="53">
        <f t="shared" ref="L59:R59" si="0">IF((L54-(0))&lt;&gt;0,(L56)/(L54-(0)),0)</f>
        <v>-6.8306185458190269E-2</v>
      </c>
      <c r="M59" s="53">
        <f t="shared" si="0"/>
        <v>-6.68070398069429E-2</v>
      </c>
      <c r="N59" s="53">
        <f t="shared" ca="1" si="0"/>
        <v>1.1515321245522923E-11</v>
      </c>
      <c r="O59" s="53">
        <f t="shared" si="0"/>
        <v>0</v>
      </c>
      <c r="P59" s="53">
        <f t="shared" si="0"/>
        <v>0</v>
      </c>
      <c r="Q59" s="53">
        <f t="shared" si="0"/>
        <v>1.5077495401951394E-2</v>
      </c>
      <c r="R59" s="53">
        <f t="shared" si="0"/>
        <v>-9.8375480714458188E-2</v>
      </c>
      <c r="S59" s="53">
        <f>IF((R54-(0)&lt;&gt;0),(S56)/(R54-(0)),0)</f>
        <v>0</v>
      </c>
      <c r="T59" s="53"/>
      <c r="U59" s="53">
        <f t="shared" ref="U59:AA59" si="1">IF((U54-(0))&lt;&gt;0,(U56)/(U54-(0)),0)</f>
        <v>-4.8012462241828778E-2</v>
      </c>
      <c r="V59" s="53">
        <f t="shared" si="1"/>
        <v>2.7749757521309981E-2</v>
      </c>
      <c r="W59" s="53">
        <f t="shared" si="1"/>
        <v>-2.9942892160825033E-2</v>
      </c>
      <c r="X59" s="53">
        <f t="shared" si="1"/>
        <v>0</v>
      </c>
      <c r="Y59" s="53">
        <f t="shared" si="1"/>
        <v>0</v>
      </c>
      <c r="Z59" s="53">
        <f t="shared" si="1"/>
        <v>0</v>
      </c>
      <c r="AA59" s="53">
        <f t="shared" si="1"/>
        <v>0</v>
      </c>
      <c r="AB59" s="53"/>
      <c r="AC59" s="53">
        <f>IF((AC54-(0))&lt;&gt;0,(AC56)/(AC54-(0)),0)</f>
        <v>-8.0083720230906055E-3</v>
      </c>
      <c r="AD59" s="53"/>
      <c r="AE59" s="53">
        <f ca="1">IF(($AM54-(0))&lt;&gt;0,(AE56)/($AM54-(0)),0)</f>
        <v>-0.18676082920586115</v>
      </c>
      <c r="AF59" s="53">
        <f ca="1">IF(($AM54-(0))&lt;&gt;0,(AF56)/($AM54-(0)),0)</f>
        <v>0</v>
      </c>
      <c r="AG59" s="53"/>
      <c r="AH59" s="53">
        <f>IF((AH54-(0))&lt;&gt;0,(AH56)/(AH54-(0)),0)</f>
        <v>-2.781661176386923E-2</v>
      </c>
      <c r="AI59" s="53">
        <f>IF((AI54-(0))&lt;&gt;0,(AI56)/(AI54-(0)),0)</f>
        <v>-2.7816611763869251E-2</v>
      </c>
      <c r="AJ59" s="53">
        <f ca="1">IF((AJ54-(0))&lt;&gt;0,(AJ56)/(AJ54-(0)),0)</f>
        <v>-2.7816611763869251E-2</v>
      </c>
      <c r="AK59" s="53">
        <f ca="1">IF((AK54-(0))&lt;&gt;0,(AK56)/(AK54-(0)),0)</f>
        <v>6.4493459478219689E-2</v>
      </c>
      <c r="AL59" s="53"/>
      <c r="AM59" s="53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16:A17"/>
    <mergeCell ref="B16:B17"/>
    <mergeCell ref="C16:C17"/>
    <mergeCell ref="D16:D17"/>
    <mergeCell ref="A18:A30"/>
    <mergeCell ref="B18:B20"/>
    <mergeCell ref="C18:C20"/>
    <mergeCell ref="D18:D20"/>
    <mergeCell ref="E18:E20"/>
    <mergeCell ref="F18:F20"/>
    <mergeCell ref="B21:B25"/>
    <mergeCell ref="C21:C25"/>
    <mergeCell ref="B26:B30"/>
    <mergeCell ref="C26:C30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E46:E48"/>
    <mergeCell ref="F46:F48"/>
    <mergeCell ref="A51:A52"/>
    <mergeCell ref="B51:B52"/>
    <mergeCell ref="C51:C52"/>
    <mergeCell ref="D46:D48"/>
  </mergeCells>
  <conditionalFormatting sqref="L54">
    <cfRule type="cellIs" dxfId="1293" priority="55" operator="notEqual">
      <formula>$L$55-$L$58</formula>
    </cfRule>
    <cfRule type="cellIs" dxfId="1292" priority="56" operator="equal">
      <formula>$L$55-$L$58</formula>
    </cfRule>
  </conditionalFormatting>
  <conditionalFormatting sqref="M54">
    <cfRule type="cellIs" dxfId="1291" priority="53" operator="notEqual">
      <formula>$M$55-$M$58</formula>
    </cfRule>
    <cfRule type="cellIs" dxfId="1290" priority="54" operator="equal">
      <formula>$M$55-$M$58</formula>
    </cfRule>
  </conditionalFormatting>
  <conditionalFormatting sqref="N54">
    <cfRule type="cellIs" dxfId="1289" priority="51" operator="notEqual">
      <formula>$N$55-$N$58</formula>
    </cfRule>
    <cfRule type="cellIs" dxfId="1288" priority="52" operator="equal">
      <formula>$N$55-$N$58</formula>
    </cfRule>
  </conditionalFormatting>
  <conditionalFormatting sqref="O54">
    <cfRule type="cellIs" dxfId="1287" priority="49" operator="notEqual">
      <formula>$O$55-$O$58</formula>
    </cfRule>
    <cfRule type="cellIs" dxfId="1286" priority="50" operator="equal">
      <formula>$O$55-$O$58</formula>
    </cfRule>
  </conditionalFormatting>
  <conditionalFormatting sqref="P54">
    <cfRule type="cellIs" dxfId="1285" priority="47" operator="notEqual">
      <formula>$P$55-$P$58</formula>
    </cfRule>
    <cfRule type="cellIs" dxfId="1284" priority="48" operator="equal">
      <formula>$P$55-$P$58</formula>
    </cfRule>
  </conditionalFormatting>
  <conditionalFormatting sqref="Q54">
    <cfRule type="cellIs" dxfId="1283" priority="45" operator="notEqual">
      <formula>$Q$55-$Q$58</formula>
    </cfRule>
    <cfRule type="cellIs" dxfId="1282" priority="46" operator="equal">
      <formula>$Q$55-$Q$58</formula>
    </cfRule>
  </conditionalFormatting>
  <conditionalFormatting sqref="R54">
    <cfRule type="cellIs" dxfId="1281" priority="43" operator="notEqual">
      <formula>$R$55-$R$58</formula>
    </cfRule>
    <cfRule type="cellIs" dxfId="1280" priority="44" operator="equal">
      <formula>$R$55-$R$58</formula>
    </cfRule>
  </conditionalFormatting>
  <conditionalFormatting sqref="S54">
    <cfRule type="cellIs" dxfId="1279" priority="41" operator="notEqual">
      <formula>$S$55-$S$58</formula>
    </cfRule>
    <cfRule type="cellIs" dxfId="1278" priority="42" operator="equal">
      <formula>$S$55-$S$58</formula>
    </cfRule>
  </conditionalFormatting>
  <conditionalFormatting sqref="T54">
    <cfRule type="cellIs" dxfId="1277" priority="39" operator="notEqual">
      <formula>$T$55-$T$58</formula>
    </cfRule>
    <cfRule type="cellIs" dxfId="1276" priority="40" operator="equal">
      <formula>$T$55-$T$58</formula>
    </cfRule>
  </conditionalFormatting>
  <conditionalFormatting sqref="U54">
    <cfRule type="cellIs" dxfId="1275" priority="37" operator="notEqual">
      <formula>$U$55-$U$58</formula>
    </cfRule>
    <cfRule type="cellIs" dxfId="1274" priority="38" operator="equal">
      <formula>$U$55-$U$58</formula>
    </cfRule>
  </conditionalFormatting>
  <conditionalFormatting sqref="V54">
    <cfRule type="cellIs" dxfId="1273" priority="35" operator="notEqual">
      <formula>$V$55-$V$58</formula>
    </cfRule>
    <cfRule type="cellIs" dxfId="1272" priority="36" operator="equal">
      <formula>$V$55-$V$58</formula>
    </cfRule>
  </conditionalFormatting>
  <conditionalFormatting sqref="W54">
    <cfRule type="cellIs" dxfId="1271" priority="33" operator="notEqual">
      <formula>$W$55-$W$58</formula>
    </cfRule>
    <cfRule type="cellIs" dxfId="1270" priority="34" operator="equal">
      <formula>$W$55-$W$58</formula>
    </cfRule>
  </conditionalFormatting>
  <conditionalFormatting sqref="X54">
    <cfRule type="cellIs" dxfId="1269" priority="31" operator="notEqual">
      <formula>$X$55-$X$58</formula>
    </cfRule>
    <cfRule type="cellIs" dxfId="1268" priority="32" operator="equal">
      <formula>$X$55-$X$58</formula>
    </cfRule>
  </conditionalFormatting>
  <conditionalFormatting sqref="Y54">
    <cfRule type="cellIs" dxfId="1267" priority="29" operator="notEqual">
      <formula>$Y$55-$Y$58</formula>
    </cfRule>
    <cfRule type="cellIs" dxfId="1266" priority="30" operator="equal">
      <formula>$Y$55-$Y$58</formula>
    </cfRule>
  </conditionalFormatting>
  <conditionalFormatting sqref="Z54">
    <cfRule type="cellIs" dxfId="1265" priority="27" operator="notEqual">
      <formula>$Z$55-$Z$58</formula>
    </cfRule>
    <cfRule type="cellIs" dxfId="1264" priority="28" operator="equal">
      <formula>$Z$55-$Z$58</formula>
    </cfRule>
  </conditionalFormatting>
  <conditionalFormatting sqref="AA54">
    <cfRule type="cellIs" dxfId="1263" priority="25" operator="notEqual">
      <formula>$AA$55-$AA$58</formula>
    </cfRule>
    <cfRule type="cellIs" dxfId="1262" priority="26" operator="equal">
      <formula>$AA$55-$AA$58</formula>
    </cfRule>
  </conditionalFormatting>
  <conditionalFormatting sqref="AB54">
    <cfRule type="cellIs" dxfId="1261" priority="23" operator="notEqual">
      <formula>$AB$55-$AB$58</formula>
    </cfRule>
    <cfRule type="cellIs" dxfId="1260" priority="24" operator="equal">
      <formula>$AB$55-$AB$58</formula>
    </cfRule>
  </conditionalFormatting>
  <conditionalFormatting sqref="AC54">
    <cfRule type="cellIs" dxfId="1259" priority="21" operator="notEqual">
      <formula>$AC$55-$AC$58</formula>
    </cfRule>
    <cfRule type="cellIs" dxfId="1258" priority="22" operator="equal">
      <formula>$AC$55-$AC$58</formula>
    </cfRule>
  </conditionalFormatting>
  <conditionalFormatting sqref="AD54">
    <cfRule type="cellIs" dxfId="1257" priority="19" operator="notEqual">
      <formula>$AD$55-$AD$58</formula>
    </cfRule>
    <cfRule type="cellIs" dxfId="1256" priority="20" operator="equal">
      <formula>$AD$55-$AD$58</formula>
    </cfRule>
  </conditionalFormatting>
  <conditionalFormatting sqref="AE54">
    <cfRule type="cellIs" dxfId="1255" priority="17" operator="notEqual">
      <formula>$AE$55-$AE$58</formula>
    </cfRule>
    <cfRule type="cellIs" dxfId="1254" priority="18" operator="equal">
      <formula>$AE$55-$AE$58</formula>
    </cfRule>
  </conditionalFormatting>
  <conditionalFormatting sqref="AF54">
    <cfRule type="cellIs" dxfId="1253" priority="16" operator="equal">
      <formula>$AF$55-$AF$58</formula>
    </cfRule>
  </conditionalFormatting>
  <conditionalFormatting sqref="AF54">
    <cfRule type="cellIs" dxfId="1252" priority="15" operator="notEqual">
      <formula>$AF$55-$AF$58</formula>
    </cfRule>
  </conditionalFormatting>
  <conditionalFormatting sqref="AG54">
    <cfRule type="cellIs" dxfId="1251" priority="14" operator="equal">
      <formula>$AG$55-$AG$58</formula>
    </cfRule>
  </conditionalFormatting>
  <conditionalFormatting sqref="AG54">
    <cfRule type="cellIs" dxfId="1250" priority="13" operator="notEqual">
      <formula>$AG$55-$AG$58</formula>
    </cfRule>
  </conditionalFormatting>
  <conditionalFormatting sqref="AH54">
    <cfRule type="cellIs" dxfId="1249" priority="12" operator="equal">
      <formula>$AH$55-$AH$58</formula>
    </cfRule>
  </conditionalFormatting>
  <conditionalFormatting sqref="AH54">
    <cfRule type="cellIs" dxfId="1248" priority="11" operator="notEqual">
      <formula>$AH$55-$AH$58</formula>
    </cfRule>
  </conditionalFormatting>
  <conditionalFormatting sqref="AI54">
    <cfRule type="cellIs" dxfId="1247" priority="10" operator="equal">
      <formula>$AI$55-$AI$58</formula>
    </cfRule>
  </conditionalFormatting>
  <conditionalFormatting sqref="AI54">
    <cfRule type="cellIs" dxfId="1246" priority="9" operator="notEqual">
      <formula>$AI$55-$AI$58</formula>
    </cfRule>
  </conditionalFormatting>
  <conditionalFormatting sqref="AJ54">
    <cfRule type="cellIs" dxfId="1245" priority="8" operator="equal">
      <formula>$AJ$55-$AJ$58</formula>
    </cfRule>
  </conditionalFormatting>
  <conditionalFormatting sqref="AJ54">
    <cfRule type="cellIs" dxfId="1244" priority="7" operator="notEqual">
      <formula>$AJ$55-$AJ$58</formula>
    </cfRule>
  </conditionalFormatting>
  <conditionalFormatting sqref="AK54">
    <cfRule type="cellIs" dxfId="1243" priority="6" operator="equal">
      <formula>$AK$55-$AK$58</formula>
    </cfRule>
  </conditionalFormatting>
  <conditionalFormatting sqref="AK54">
    <cfRule type="cellIs" dxfId="1242" priority="5" operator="notEqual">
      <formula>$AK$55-$AK$58</formula>
    </cfRule>
  </conditionalFormatting>
  <conditionalFormatting sqref="AL54">
    <cfRule type="cellIs" dxfId="1241" priority="4" operator="equal">
      <formula>$AL$55-$AL$58</formula>
    </cfRule>
  </conditionalFormatting>
  <conditionalFormatting sqref="AL54">
    <cfRule type="cellIs" dxfId="1240" priority="3" operator="notEqual">
      <formula>$AL$55-$AL$58</formula>
    </cfRule>
  </conditionalFormatting>
  <conditionalFormatting sqref="AM54">
    <cfRule type="cellIs" dxfId="1239" priority="2" operator="equal">
      <formula>$AM$55-$AM$58</formula>
    </cfRule>
  </conditionalFormatting>
  <conditionalFormatting sqref="AM54">
    <cfRule type="cellIs" dxfId="1238" priority="1" operator="notEqual">
      <formula>$AM$55-$AM$58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85DBD-BB76-4C10-B988-A8D61B629FF6}">
  <dimension ref="A1:AP59"/>
  <sheetViews>
    <sheetView showGridLines="0" topLeftCell="AB29" workbookViewId="0">
      <selection activeCell="AO54" sqref="AO54:AP5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1" width="11.5703125" style="9" bestFit="1" customWidth="1"/>
    <col min="42" max="42" width="10.85546875" style="9" bestFit="1" customWidth="1"/>
    <col min="43" max="16384" width="9.140625" style="9"/>
  </cols>
  <sheetData>
    <row r="1" spans="1:42" ht="11.25" customHeight="1" x14ac:dyDescent="0.25">
      <c r="A1" s="132" t="s">
        <v>71</v>
      </c>
      <c r="B1" s="132" t="s">
        <v>72</v>
      </c>
      <c r="C1" s="132" t="s">
        <v>73</v>
      </c>
      <c r="D1" s="132" t="s">
        <v>74</v>
      </c>
      <c r="E1" s="132" t="s">
        <v>75</v>
      </c>
      <c r="F1" s="132" t="s">
        <v>15</v>
      </c>
      <c r="G1" s="132" t="s">
        <v>77</v>
      </c>
      <c r="H1" s="132" t="s">
        <v>78</v>
      </c>
      <c r="I1" s="132" t="s">
        <v>652</v>
      </c>
      <c r="J1" s="125"/>
      <c r="L1" s="133" t="s">
        <v>663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76"/>
      <c r="AP1" s="136" t="s">
        <v>654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5"/>
      <c r="L2" s="133" t="s">
        <v>562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76"/>
      <c r="AP2" s="137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5"/>
      <c r="L3" s="133" t="s">
        <v>563</v>
      </c>
      <c r="M3" s="133"/>
      <c r="N3" s="133"/>
      <c r="O3" s="133"/>
      <c r="P3" s="133"/>
      <c r="Q3" s="133"/>
      <c r="R3" s="133"/>
      <c r="S3" s="133"/>
      <c r="T3" s="133"/>
      <c r="U3" s="133" t="s">
        <v>572</v>
      </c>
      <c r="V3" s="133"/>
      <c r="W3" s="133"/>
      <c r="X3" s="133"/>
      <c r="Y3" s="133"/>
      <c r="Z3" s="133"/>
      <c r="AA3" s="133"/>
      <c r="AB3" s="133"/>
      <c r="AC3" s="133" t="s">
        <v>580</v>
      </c>
      <c r="AD3" s="133"/>
      <c r="AE3" s="133" t="s">
        <v>582</v>
      </c>
      <c r="AF3" s="133"/>
      <c r="AG3" s="133"/>
      <c r="AH3" s="133" t="s">
        <v>585</v>
      </c>
      <c r="AI3" s="133"/>
      <c r="AJ3" s="133"/>
      <c r="AK3" s="133"/>
      <c r="AL3" s="133"/>
      <c r="AM3" s="133" t="s">
        <v>571</v>
      </c>
      <c r="AO3" s="76"/>
      <c r="AP3" s="137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5"/>
      <c r="L4" s="69" t="s">
        <v>648</v>
      </c>
      <c r="M4" s="69" t="s">
        <v>564</v>
      </c>
      <c r="N4" s="69" t="s">
        <v>565</v>
      </c>
      <c r="O4" s="69" t="s">
        <v>566</v>
      </c>
      <c r="P4" s="69" t="s">
        <v>567</v>
      </c>
      <c r="Q4" s="69" t="s">
        <v>568</v>
      </c>
      <c r="R4" s="69" t="s">
        <v>569</v>
      </c>
      <c r="S4" s="69" t="s">
        <v>570</v>
      </c>
      <c r="T4" s="69" t="s">
        <v>571</v>
      </c>
      <c r="U4" s="69" t="s">
        <v>573</v>
      </c>
      <c r="V4" s="69" t="s">
        <v>574</v>
      </c>
      <c r="W4" s="69" t="s">
        <v>575</v>
      </c>
      <c r="X4" s="69" t="s">
        <v>576</v>
      </c>
      <c r="Y4" s="69" t="s">
        <v>577</v>
      </c>
      <c r="Z4" s="69" t="s">
        <v>578</v>
      </c>
      <c r="AA4" s="69" t="s">
        <v>579</v>
      </c>
      <c r="AB4" s="69" t="s">
        <v>571</v>
      </c>
      <c r="AC4" s="69" t="s">
        <v>581</v>
      </c>
      <c r="AD4" s="69" t="s">
        <v>571</v>
      </c>
      <c r="AE4" s="69" t="s">
        <v>583</v>
      </c>
      <c r="AF4" s="69" t="s">
        <v>584</v>
      </c>
      <c r="AG4" s="69" t="s">
        <v>571</v>
      </c>
      <c r="AH4" s="69" t="s">
        <v>586</v>
      </c>
      <c r="AI4" s="69" t="s">
        <v>587</v>
      </c>
      <c r="AJ4" s="69" t="s">
        <v>588</v>
      </c>
      <c r="AK4" s="69" t="s">
        <v>589</v>
      </c>
      <c r="AL4" s="69" t="s">
        <v>571</v>
      </c>
      <c r="AM4" s="135"/>
      <c r="AO4" s="77" t="s">
        <v>665</v>
      </c>
      <c r="AP4" s="138"/>
    </row>
    <row r="5" spans="1:42" ht="11.25" customHeight="1" x14ac:dyDescent="0.25">
      <c r="A5" s="73" t="s">
        <v>62</v>
      </c>
      <c r="B5" s="73" t="s">
        <v>59</v>
      </c>
      <c r="C5" s="73" t="s">
        <v>25</v>
      </c>
      <c r="D5" s="73" t="s">
        <v>25</v>
      </c>
      <c r="E5" s="73" t="s">
        <v>25</v>
      </c>
      <c r="F5" s="73" t="s">
        <v>25</v>
      </c>
      <c r="G5" s="74" t="s">
        <v>9</v>
      </c>
      <c r="H5" s="74" t="s">
        <v>80</v>
      </c>
      <c r="I5" s="74">
        <f>'MERCADO TUSD'!$U$2</f>
        <v>27600</v>
      </c>
      <c r="J5" s="15"/>
      <c r="L5" s="53">
        <f>'TUSD BE'!$L$5*'TUSD BE'!$L$59</f>
        <v>0</v>
      </c>
      <c r="M5" s="53">
        <f>'TUSD BE'!$M$5*'TUSD BE'!$M$59</f>
        <v>-3.6846798101543292E-3</v>
      </c>
      <c r="N5" s="53">
        <f ca="1">'TUSD BE'!$N$5*'TUSD BE'!$N$59</f>
        <v>1.6774856883181126E-12</v>
      </c>
      <c r="O5" s="53">
        <f>'TUSD BE'!$O$5*'TUSD BE'!$O$59</f>
        <v>0</v>
      </c>
      <c r="P5" s="53">
        <f>'TUSD BE'!$P$5*'TUSD BE'!$P$59</f>
        <v>0</v>
      </c>
      <c r="Q5" s="53">
        <f>'TUSD BE'!$Q$5*'TUSD BE'!$Q$59</f>
        <v>0</v>
      </c>
      <c r="R5" s="53">
        <f>'TUSD BE'!$R$5*'TUSD BE'!$R$59</f>
        <v>0</v>
      </c>
      <c r="S5" s="53">
        <f>'TUSD BE'!$R$5*'TUSD BE'!$S$59</f>
        <v>0</v>
      </c>
      <c r="T5" s="53">
        <f ca="1">SUM($L$5:$S$5)</f>
        <v>-3.6846798084768434E-3</v>
      </c>
      <c r="U5" s="53">
        <f>'TUSD BE'!$U$5*'TUSD BE'!$U$59</f>
        <v>0</v>
      </c>
      <c r="V5" s="53">
        <f>'TUSD BE'!$V$5*'TUSD BE'!$V$59</f>
        <v>0</v>
      </c>
      <c r="W5" s="53">
        <f>'TUSD BE'!$W$5*'TUSD BE'!$W$59</f>
        <v>0</v>
      </c>
      <c r="X5" s="53">
        <f>'TUSD BE'!$X$5*'TUSD BE'!$X$59</f>
        <v>0</v>
      </c>
      <c r="Y5" s="53">
        <f>'TUSD BE'!$Y$5*'TUSD BE'!$Y$59</f>
        <v>0</v>
      </c>
      <c r="Z5" s="53">
        <f>'TUSD BE'!$Z$5*'TUSD BE'!$Z$59</f>
        <v>0</v>
      </c>
      <c r="AA5" s="53">
        <f>'TUSD BE'!$AA$5*'TUSD BE'!$AA$59</f>
        <v>0</v>
      </c>
      <c r="AB5" s="53">
        <f>SUM($U$5:$AA$5)</f>
        <v>0</v>
      </c>
      <c r="AC5" s="53">
        <f>'TUSD BE'!$AC$5*'TUSD BE'!$AC$59</f>
        <v>-0.11517826139012903</v>
      </c>
      <c r="AD5" s="53">
        <f>SUM($AC$5:$AC$5)</f>
        <v>-0.11517826139012903</v>
      </c>
      <c r="AE5" s="53">
        <f ca="1">$AO$5*$AO$56</f>
        <v>-2.72354436550025</v>
      </c>
      <c r="AF5" s="53">
        <f ca="1">$AP$5*$AP$56</f>
        <v>0</v>
      </c>
      <c r="AG5" s="53">
        <f ca="1">SUM($AE$5:$AF$5)</f>
        <v>-2.72354436550025</v>
      </c>
      <c r="AH5" s="53">
        <f>'TUSD BE'!$AH$5*'TUSD BE'!$AH$59</f>
        <v>0</v>
      </c>
      <c r="AI5" s="53">
        <f>'TUSD BE'!$AI$5*'TUSD BE'!$AI$59</f>
        <v>0</v>
      </c>
      <c r="AJ5" s="53">
        <f ca="1">'TUSD BE'!$AJ$5*'TUSD BE'!$AJ$59</f>
        <v>0</v>
      </c>
      <c r="AK5" s="53">
        <f ca="1">'TUSD BE'!$AK$5*'TUSD BE'!$AK$59</f>
        <v>0</v>
      </c>
      <c r="AL5" s="53">
        <f ca="1">SUM($AH$5:$AK$5)</f>
        <v>0</v>
      </c>
      <c r="AM5" s="53">
        <f ca="1">SUMIF($L$4:$AL$4,"SUBTOTAL",$L$5:$AL$5)</f>
        <v>-2.8424073066988558</v>
      </c>
      <c r="AO5" s="76">
        <f>+'TUSD BE'!$T$5+'TUSD BE'!$AB$5+'TUSD BE'!$AD$5+'TUSD BE'!$AL$5</f>
        <v>14.583059933291283</v>
      </c>
      <c r="AP5" s="76">
        <f>+'TUSD BE'!$T$5+'TUSD BE'!$AB$5+'TUSD BE'!$AD$5+'TUSD BE'!$AL$5</f>
        <v>14.583059933291283</v>
      </c>
    </row>
    <row r="6" spans="1:42" ht="11.25" customHeight="1" x14ac:dyDescent="0.25">
      <c r="A6" s="131" t="s">
        <v>38</v>
      </c>
      <c r="B6" s="131" t="s">
        <v>39</v>
      </c>
      <c r="C6" s="131" t="s">
        <v>25</v>
      </c>
      <c r="D6" s="131" t="s">
        <v>25</v>
      </c>
      <c r="E6" s="131" t="s">
        <v>25</v>
      </c>
      <c r="F6" s="131" t="s">
        <v>25</v>
      </c>
      <c r="G6" s="74" t="s">
        <v>87</v>
      </c>
      <c r="H6" s="74" t="s">
        <v>80</v>
      </c>
      <c r="I6" s="74">
        <f>'MERCADO TUSD'!$U$3</f>
        <v>74530</v>
      </c>
      <c r="J6" s="15"/>
      <c r="L6" s="53">
        <f>'TUSD BE'!$L$6*'TUSD BE'!$L$59</f>
        <v>0</v>
      </c>
      <c r="M6" s="53">
        <f>'TUSD BE'!$M$6*'TUSD BE'!$M$59</f>
        <v>0</v>
      </c>
      <c r="N6" s="53">
        <f ca="1">'TUSD BE'!$N$6*'TUSD BE'!$N$59</f>
        <v>0</v>
      </c>
      <c r="O6" s="53">
        <f>'TUSD BE'!$O$6*'TUSD BE'!$O$59</f>
        <v>0</v>
      </c>
      <c r="P6" s="53">
        <f>'TUSD BE'!$P$6*'TUSD BE'!$P$59</f>
        <v>0</v>
      </c>
      <c r="Q6" s="53">
        <f>'TUSD BE'!$Q$6*'TUSD BE'!$Q$59</f>
        <v>0</v>
      </c>
      <c r="R6" s="53">
        <f>'TUSD BE'!$R$6*'TUSD BE'!$R$59</f>
        <v>0</v>
      </c>
      <c r="S6" s="53">
        <f>'TUSD BE'!$R$6*'TUSD BE'!$S$59</f>
        <v>0</v>
      </c>
      <c r="T6" s="53">
        <f ca="1">SUM($L$6:$S$6)</f>
        <v>0</v>
      </c>
      <c r="U6" s="53">
        <f>'TUSD BE'!$U$6*'TUSD BE'!$U$59</f>
        <v>-0.40725443134265971</v>
      </c>
      <c r="V6" s="53">
        <f>'TUSD BE'!$V$6*'TUSD BE'!$V$59</f>
        <v>7.3452540847505257E-2</v>
      </c>
      <c r="W6" s="53">
        <f>'TUSD BE'!$W$6*'TUSD BE'!$W$59</f>
        <v>-0.15295350606041819</v>
      </c>
      <c r="X6" s="53">
        <f>'TUSD BE'!$X$6*'TUSD BE'!$X$59</f>
        <v>0</v>
      </c>
      <c r="Y6" s="53">
        <f>'TUSD BE'!$Y$6*'TUSD BE'!$Y$59</f>
        <v>0</v>
      </c>
      <c r="Z6" s="53">
        <f>'TUSD BE'!$Z$6*'TUSD BE'!$Z$59</f>
        <v>0</v>
      </c>
      <c r="AA6" s="53">
        <f>'TUSD BE'!$AA$6*'TUSD BE'!$AA$59</f>
        <v>0</v>
      </c>
      <c r="AB6" s="53">
        <f>SUM($U$6:$AA$6)</f>
        <v>-0.48675539655557265</v>
      </c>
      <c r="AC6" s="53">
        <f>'TUSD BE'!$AC$6*'TUSD BE'!$AC$59</f>
        <v>-0.26471129332124754</v>
      </c>
      <c r="AD6" s="53">
        <f>SUM($AC$6:$AC$6)</f>
        <v>-0.26471129332124754</v>
      </c>
      <c r="AE6" s="53">
        <f ca="1">$AO$6*$AO$56</f>
        <v>-9.2057626729930533</v>
      </c>
      <c r="AF6" s="53">
        <f ca="1">$AP$6*$AP$56</f>
        <v>0</v>
      </c>
      <c r="AG6" s="53">
        <f ca="1">SUM($AE$6:$AF$6)</f>
        <v>-9.2057626729930533</v>
      </c>
      <c r="AH6" s="53">
        <f>'TUSD BE'!$AH$6*'TUSD BE'!$AH$59</f>
        <v>0</v>
      </c>
      <c r="AI6" s="53">
        <f>'TUSD BE'!$AI$6*'TUSD BE'!$AI$59</f>
        <v>0</v>
      </c>
      <c r="AJ6" s="53">
        <f ca="1">'TUSD BE'!$AJ$6*'TUSD BE'!$AJ$59</f>
        <v>0</v>
      </c>
      <c r="AK6" s="53">
        <f ca="1">'TUSD BE'!$AK$6*'TUSD BE'!$AK$59</f>
        <v>0</v>
      </c>
      <c r="AL6" s="53">
        <f ca="1">SUM($AH$6:$AK$6)</f>
        <v>0</v>
      </c>
      <c r="AM6" s="53">
        <f ca="1">SUMIF($L$4:$AL$4,"SUBTOTAL",$L$6:$AL$6)</f>
        <v>-9.9572293628698727</v>
      </c>
      <c r="AO6" s="76">
        <f ca="1">+'TUSD BE'!$T$6+'TUSD BE'!$AB$6+'TUSD BE'!$AD$6+'TUSD BE'!$AL$6</f>
        <v>49.291720925300687</v>
      </c>
      <c r="AP6" s="76">
        <f ca="1">+'TUSD BE'!$T$6+'TUSD BE'!$AB$6+'TUSD BE'!$AD$6+'TUSD BE'!$AL$6</f>
        <v>49.291720925300687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74" t="s">
        <v>88</v>
      </c>
      <c r="H7" s="74" t="s">
        <v>80</v>
      </c>
      <c r="I7" s="74">
        <f>'MERCADO TUSD'!$U$4</f>
        <v>78662</v>
      </c>
      <c r="J7" s="15"/>
      <c r="L7" s="53">
        <f>'TUSD BE'!$L$7*'TUSD BE'!$L$59</f>
        <v>0</v>
      </c>
      <c r="M7" s="53">
        <f>'TUSD BE'!$M$7*'TUSD BE'!$M$59</f>
        <v>0</v>
      </c>
      <c r="N7" s="53">
        <f ca="1">'TUSD BE'!$N$7*'TUSD BE'!$N$59</f>
        <v>0</v>
      </c>
      <c r="O7" s="53">
        <f>'TUSD BE'!$O$7*'TUSD BE'!$O$59</f>
        <v>0</v>
      </c>
      <c r="P7" s="53">
        <f>'TUSD BE'!$P$7*'TUSD BE'!$P$59</f>
        <v>0</v>
      </c>
      <c r="Q7" s="53">
        <f>'TUSD BE'!$Q$7*'TUSD BE'!$Q$59</f>
        <v>0</v>
      </c>
      <c r="R7" s="53">
        <f>'TUSD BE'!$R$7*'TUSD BE'!$R$59</f>
        <v>0</v>
      </c>
      <c r="S7" s="53">
        <f>'TUSD BE'!$R$7*'TUSD BE'!$S$59</f>
        <v>0</v>
      </c>
      <c r="T7" s="53">
        <f ca="1">SUM($L$7:$S$7)</f>
        <v>0</v>
      </c>
      <c r="U7" s="53">
        <f>'TUSD BE'!$U$7*'TUSD BE'!$U$59</f>
        <v>-0.26962620569690682</v>
      </c>
      <c r="V7" s="53">
        <f>'TUSD BE'!$V$7*'TUSD BE'!$V$59</f>
        <v>4.5514703551613307E-2</v>
      </c>
      <c r="W7" s="53">
        <f>'TUSD BE'!$W$7*'TUSD BE'!$W$59</f>
        <v>-8.9301738741501019E-2</v>
      </c>
      <c r="X7" s="53">
        <f>'TUSD BE'!$X$7*'TUSD BE'!$X$59</f>
        <v>0</v>
      </c>
      <c r="Y7" s="53">
        <f>'TUSD BE'!$Y$7*'TUSD BE'!$Y$59</f>
        <v>0</v>
      </c>
      <c r="Z7" s="53">
        <f>'TUSD BE'!$Z$7*'TUSD BE'!$Z$59</f>
        <v>0</v>
      </c>
      <c r="AA7" s="53">
        <f>'TUSD BE'!$AA$7*'TUSD BE'!$AA$59</f>
        <v>0</v>
      </c>
      <c r="AB7" s="53">
        <f>SUM($U$7:$AA$7)</f>
        <v>-0.31341324088679456</v>
      </c>
      <c r="AC7" s="53">
        <f>'TUSD BE'!$AC$7*'TUSD BE'!$AC$59</f>
        <v>-6.5909250593234867E-2</v>
      </c>
      <c r="AD7" s="53">
        <f>SUM($AC$7:$AC$7)</f>
        <v>-6.5909250593234867E-2</v>
      </c>
      <c r="AE7" s="53">
        <f ca="1">$AO$7*$AO$56</f>
        <v>-3.4491706909117097</v>
      </c>
      <c r="AF7" s="53">
        <f ca="1">$AP$7*$AP$56</f>
        <v>0</v>
      </c>
      <c r="AG7" s="53">
        <f ca="1">SUM($AE$7:$AF$7)</f>
        <v>-3.4491706909117097</v>
      </c>
      <c r="AH7" s="53">
        <f>'TUSD BE'!$AH$7*'TUSD BE'!$AH$59</f>
        <v>0</v>
      </c>
      <c r="AI7" s="53">
        <f>'TUSD BE'!$AI$7*'TUSD BE'!$AI$59</f>
        <v>0</v>
      </c>
      <c r="AJ7" s="53">
        <f ca="1">'TUSD BE'!$AJ$7*'TUSD BE'!$AJ$59</f>
        <v>0</v>
      </c>
      <c r="AK7" s="53">
        <f ca="1">'TUSD BE'!$AK$7*'TUSD BE'!$AK$59</f>
        <v>0</v>
      </c>
      <c r="AL7" s="53">
        <f ca="1">SUM($AH$7:$AK$7)</f>
        <v>0</v>
      </c>
      <c r="AM7" s="53">
        <f ca="1">SUMIF($L$4:$AL$4,"SUBTOTAL",$L$7:$AL$7)</f>
        <v>-3.828493182391739</v>
      </c>
      <c r="AO7" s="76">
        <f ca="1">+'TUSD BE'!$T$7+'TUSD BE'!$AB$7+'TUSD BE'!$AD$7+'TUSD BE'!$AL$7</f>
        <v>18.468383898155576</v>
      </c>
      <c r="AP7" s="76">
        <f ca="1">+'TUSD BE'!$T$7+'TUSD BE'!$AB$7+'TUSD BE'!$AD$7+'TUSD BE'!$AL$7</f>
        <v>18.468383898155576</v>
      </c>
    </row>
    <row r="8" spans="1:42" ht="11.25" customHeight="1" x14ac:dyDescent="0.25">
      <c r="A8" s="131"/>
      <c r="B8" s="131"/>
      <c r="C8" s="131"/>
      <c r="D8" s="131"/>
      <c r="E8" s="131"/>
      <c r="F8" s="131"/>
      <c r="G8" s="74" t="s">
        <v>86</v>
      </c>
      <c r="H8" s="74" t="s">
        <v>82</v>
      </c>
      <c r="I8" s="74">
        <f>'MERCADO TUSD'!$U$5</f>
        <v>35898.876000000004</v>
      </c>
      <c r="J8" s="15"/>
      <c r="L8" s="53">
        <f>'TUSD BE'!$L$8*'TUSD BE'!$L$59</f>
        <v>-0.35554476245293976</v>
      </c>
      <c r="M8" s="53">
        <f>'TUSD BE'!$M$8*'TUSD BE'!$M$59</f>
        <v>-3.0136442926313279E-2</v>
      </c>
      <c r="N8" s="53">
        <f ca="1">'TUSD BE'!$N$8*'TUSD BE'!$N$59</f>
        <v>2.535280601657733E-12</v>
      </c>
      <c r="O8" s="53">
        <f>'TUSD BE'!$O$8*'TUSD BE'!$O$59</f>
        <v>0</v>
      </c>
      <c r="P8" s="53">
        <f>'TUSD BE'!$P$8*'TUSD BE'!$P$59</f>
        <v>0</v>
      </c>
      <c r="Q8" s="53">
        <f>'TUSD BE'!$Q$8*'TUSD BE'!$Q$59</f>
        <v>1.1157675029528007</v>
      </c>
      <c r="R8" s="53">
        <f>'TUSD BE'!$R$8*'TUSD BE'!$R$59</f>
        <v>-1.3656761373948416</v>
      </c>
      <c r="S8" s="53">
        <f>'TUSD BE'!$R$8*'TUSD BE'!$S$59</f>
        <v>0</v>
      </c>
      <c r="T8" s="53">
        <f ca="1">SUM($L$8:$S$8)</f>
        <v>-0.63558983981875872</v>
      </c>
      <c r="U8" s="53">
        <f>'TUSD BE'!$U$8*'TUSD BE'!$U$59</f>
        <v>0</v>
      </c>
      <c r="V8" s="53">
        <f>'TUSD BE'!$V$8*'TUSD BE'!$V$59</f>
        <v>0</v>
      </c>
      <c r="W8" s="53">
        <f>'TUSD BE'!$W$8*'TUSD BE'!$W$59</f>
        <v>0</v>
      </c>
      <c r="X8" s="53">
        <f>'TUSD BE'!$X$8*'TUSD BE'!$X$59</f>
        <v>0</v>
      </c>
      <c r="Y8" s="53">
        <f>'TUSD BE'!$Y$8*'TUSD BE'!$Y$59</f>
        <v>0</v>
      </c>
      <c r="Z8" s="53">
        <f>'TUSD BE'!$Z$8*'TUSD BE'!$Z$59</f>
        <v>0</v>
      </c>
      <c r="AA8" s="53">
        <f>'TUSD BE'!$AA$8*'TUSD BE'!$AA$59</f>
        <v>0</v>
      </c>
      <c r="AB8" s="53">
        <f>SUM($U$8:$AA$8)</f>
        <v>0</v>
      </c>
      <c r="AC8" s="53">
        <f>'TUSD BE'!$AC$8*'TUSD BE'!$AC$59</f>
        <v>0</v>
      </c>
      <c r="AD8" s="53">
        <f>SUM($AC$8:$AC$8)</f>
        <v>0</v>
      </c>
      <c r="AE8" s="53">
        <f ca="1">$AO$8*$AO$56</f>
        <v>-19.247550180527909</v>
      </c>
      <c r="AF8" s="53">
        <f ca="1">$AP$8*$AP$56</f>
        <v>0</v>
      </c>
      <c r="AG8" s="53">
        <f ca="1">SUM($AE$8:$AF$8)</f>
        <v>-19.247550180527909</v>
      </c>
      <c r="AH8" s="53">
        <f>'TUSD BE'!$AH$8*'TUSD BE'!$AH$59</f>
        <v>-0.19639514211993864</v>
      </c>
      <c r="AI8" s="53">
        <f>'TUSD BE'!$AI$8*'TUSD BE'!$AI$59</f>
        <v>-6.7356097886891444E-3</v>
      </c>
      <c r="AJ8" s="53">
        <f ca="1">'TUSD BE'!$AJ$8*'TUSD BE'!$AJ$59</f>
        <v>-4.9432439962707575E-2</v>
      </c>
      <c r="AK8" s="53">
        <f ca="1">'TUSD BE'!$AK$8*'TUSD BE'!$AK$59</f>
        <v>1.4151288042821559E-2</v>
      </c>
      <c r="AL8" s="53">
        <f ca="1">SUM($AH$8:$AK$8)</f>
        <v>-0.23841190382851379</v>
      </c>
      <c r="AM8" s="53">
        <f ca="1">SUMIF($L$4:$AL$4,"SUBTOTAL",$L$8:$AL$8)</f>
        <v>-20.121551924175183</v>
      </c>
      <c r="AO8" s="76">
        <f ca="1">+'TUSD BE'!$T$8+'TUSD BE'!$AB$8+'TUSD BE'!$AD$8+'TUSD BE'!$AL$8</f>
        <v>103.05988821302503</v>
      </c>
      <c r="AP8" s="76">
        <f ca="1">+'TUSD BE'!$T$8+'TUSD BE'!$AB$8+'TUSD BE'!$AD$8+'TUSD BE'!$AL$8</f>
        <v>103.05988821302503</v>
      </c>
    </row>
    <row r="9" spans="1:42" ht="11.25" customHeight="1" x14ac:dyDescent="0.25">
      <c r="A9" s="131"/>
      <c r="B9" s="131"/>
      <c r="C9" s="131"/>
      <c r="D9" s="131"/>
      <c r="E9" s="73" t="s">
        <v>89</v>
      </c>
      <c r="F9" s="73" t="s">
        <v>25</v>
      </c>
      <c r="G9" s="74" t="s">
        <v>86</v>
      </c>
      <c r="H9" s="74" t="s">
        <v>82</v>
      </c>
      <c r="I9" s="74">
        <f>'MERCADO TUSD'!$U$6</f>
        <v>0</v>
      </c>
      <c r="J9" s="15"/>
      <c r="L9" s="53">
        <f>'TUSD BE'!$L$9*'TUSD BE'!$L$59</f>
        <v>0</v>
      </c>
      <c r="M9" s="53">
        <f>'TUSD BE'!$M$9*'TUSD BE'!$M$59</f>
        <v>-3.0136442926313279E-2</v>
      </c>
      <c r="N9" s="53">
        <f ca="1">'TUSD BE'!$N$9*'TUSD BE'!$N$59</f>
        <v>2.4314321272062679E-12</v>
      </c>
      <c r="O9" s="53">
        <f>'TUSD BE'!$O$9*'TUSD BE'!$O$59</f>
        <v>0</v>
      </c>
      <c r="P9" s="53">
        <f>'TUSD BE'!$P$9*'TUSD BE'!$P$59</f>
        <v>0</v>
      </c>
      <c r="Q9" s="53">
        <f>'TUSD BE'!$Q$9*'TUSD BE'!$Q$59</f>
        <v>0</v>
      </c>
      <c r="R9" s="53">
        <f>'TUSD BE'!$R$9*'TUSD BE'!$R$59</f>
        <v>0</v>
      </c>
      <c r="S9" s="53">
        <f>'TUSD BE'!$R$9*'TUSD BE'!$S$59</f>
        <v>0</v>
      </c>
      <c r="T9" s="53">
        <f ca="1">SUM($L$9:$S$9)</f>
        <v>-3.0136442923881845E-2</v>
      </c>
      <c r="U9" s="53">
        <f>'TUSD BE'!$U$9*'TUSD BE'!$U$59</f>
        <v>0</v>
      </c>
      <c r="V9" s="53">
        <f>'TUSD BE'!$V$9*'TUSD BE'!$V$59</f>
        <v>0</v>
      </c>
      <c r="W9" s="53">
        <f>'TUSD BE'!$W$9*'TUSD BE'!$W$59</f>
        <v>0</v>
      </c>
      <c r="X9" s="53">
        <f>'TUSD BE'!$X$9*'TUSD BE'!$X$59</f>
        <v>0</v>
      </c>
      <c r="Y9" s="53">
        <f>'TUSD BE'!$Y$9*'TUSD BE'!$Y$59</f>
        <v>0</v>
      </c>
      <c r="Z9" s="53">
        <f>'TUSD BE'!$Z$9*'TUSD BE'!$Z$59</f>
        <v>0</v>
      </c>
      <c r="AA9" s="53">
        <f>'TUSD BE'!$AA$9*'TUSD BE'!$AA$59</f>
        <v>0</v>
      </c>
      <c r="AB9" s="53">
        <f>SUM($U$9:$AA$9)</f>
        <v>0</v>
      </c>
      <c r="AC9" s="53">
        <f>'TUSD BE'!$AC$9*'TUSD BE'!$AC$59</f>
        <v>0</v>
      </c>
      <c r="AD9" s="53">
        <f>SUM($AC$9:$AC$9)</f>
        <v>0</v>
      </c>
      <c r="AE9" s="53">
        <f ca="1">$AO$9*$AO$56</f>
        <v>-1.8603709162607489</v>
      </c>
      <c r="AF9" s="53">
        <f ca="1">$AP$9*$AP$56</f>
        <v>0</v>
      </c>
      <c r="AG9" s="53">
        <f ca="1">SUM($AE$9:$AF$9)</f>
        <v>-1.8603709162607489</v>
      </c>
      <c r="AH9" s="53">
        <f>'TUSD BE'!$AH$9*'TUSD BE'!$AH$59</f>
        <v>-0.19639514211993864</v>
      </c>
      <c r="AI9" s="53">
        <f>'TUSD BE'!$AI$9*'TUSD BE'!$AI$59</f>
        <v>-6.7356097886891444E-3</v>
      </c>
      <c r="AJ9" s="53">
        <f ca="1">'TUSD BE'!$AJ$9*'TUSD BE'!$AJ$59</f>
        <v>-4.9432439962707575E-2</v>
      </c>
      <c r="AK9" s="53">
        <f ca="1">'TUSD BE'!$AK$9*'TUSD BE'!$AK$59</f>
        <v>1.4151288042821559E-2</v>
      </c>
      <c r="AL9" s="53">
        <f ca="1">SUM($AH$9:$AK$9)</f>
        <v>-0.23841190382851379</v>
      </c>
      <c r="AM9" s="53">
        <f ca="1">SUMIF($L$4:$AL$4,"SUBTOTAL",$L$9:$AL$9)</f>
        <v>-2.1289192630131448</v>
      </c>
      <c r="AO9" s="76">
        <f ca="1">+'TUSD BE'!$T$9+'TUSD BE'!$AB$9+'TUSD BE'!$AD$9+'TUSD BE'!$AL$9</f>
        <v>9.9612478921375693</v>
      </c>
      <c r="AP9" s="76">
        <f ca="1">+'TUSD BE'!$T$9+'TUSD BE'!$AB$9+'TUSD BE'!$AD$9+'TUSD BE'!$AL$9</f>
        <v>9.9612478921375693</v>
      </c>
    </row>
    <row r="10" spans="1:42" ht="11.25" customHeight="1" x14ac:dyDescent="0.25">
      <c r="A10" s="131"/>
      <c r="B10" s="73" t="s">
        <v>59</v>
      </c>
      <c r="C10" s="73" t="s">
        <v>25</v>
      </c>
      <c r="D10" s="73" t="s">
        <v>25</v>
      </c>
      <c r="E10" s="73" t="s">
        <v>25</v>
      </c>
      <c r="F10" s="73" t="s">
        <v>25</v>
      </c>
      <c r="G10" s="74" t="s">
        <v>9</v>
      </c>
      <c r="H10" s="74" t="s">
        <v>80</v>
      </c>
      <c r="I10" s="74">
        <f>'MERCADO TUSD'!$U$7</f>
        <v>15360</v>
      </c>
      <c r="J10" s="15"/>
      <c r="L10" s="53">
        <f>'TUSD BE'!$L$10*'TUSD BE'!$L$59</f>
        <v>0</v>
      </c>
      <c r="M10" s="53">
        <f>'TUSD BE'!$M$10*'TUSD BE'!$M$59</f>
        <v>-1.431959999488894E-3</v>
      </c>
      <c r="N10" s="53">
        <f ca="1">'TUSD BE'!$N$10*'TUSD BE'!$N$59</f>
        <v>5.5870479254888404E-13</v>
      </c>
      <c r="O10" s="53">
        <f>'TUSD BE'!$O$10*'TUSD BE'!$O$59</f>
        <v>0</v>
      </c>
      <c r="P10" s="53">
        <f>'TUSD BE'!$P$10*'TUSD BE'!$P$59</f>
        <v>0</v>
      </c>
      <c r="Q10" s="53">
        <f>'TUSD BE'!$Q$10*'TUSD BE'!$Q$59</f>
        <v>0</v>
      </c>
      <c r="R10" s="53">
        <f>'TUSD BE'!$R$10*'TUSD BE'!$R$59</f>
        <v>0</v>
      </c>
      <c r="S10" s="53">
        <f>'TUSD BE'!$R$10*'TUSD BE'!$S$59</f>
        <v>0</v>
      </c>
      <c r="T10" s="53">
        <f ca="1">SUM($L$10:$S$10)</f>
        <v>-1.4319599989301892E-3</v>
      </c>
      <c r="U10" s="53">
        <f>'TUSD BE'!$U$10*'TUSD BE'!$U$59</f>
        <v>0</v>
      </c>
      <c r="V10" s="53">
        <f>'TUSD BE'!$V$10*'TUSD BE'!$V$59</f>
        <v>0</v>
      </c>
      <c r="W10" s="53">
        <f>'TUSD BE'!$W$10*'TUSD BE'!$W$59</f>
        <v>0</v>
      </c>
      <c r="X10" s="53">
        <f>'TUSD BE'!$X$10*'TUSD BE'!$X$59</f>
        <v>0</v>
      </c>
      <c r="Y10" s="53">
        <f>'TUSD BE'!$Y$10*'TUSD BE'!$Y$59</f>
        <v>0</v>
      </c>
      <c r="Z10" s="53">
        <f>'TUSD BE'!$Z$10*'TUSD BE'!$Z$59</f>
        <v>0</v>
      </c>
      <c r="AA10" s="53">
        <f>'TUSD BE'!$AA$10*'TUSD BE'!$AA$59</f>
        <v>0</v>
      </c>
      <c r="AB10" s="53">
        <f>SUM($U$10:$AA$10)</f>
        <v>0</v>
      </c>
      <c r="AC10" s="53">
        <f>'TUSD BE'!$AC$10*'TUSD BE'!$AC$59</f>
        <v>-5.3654692763076675E-2</v>
      </c>
      <c r="AD10" s="53">
        <f>SUM($AC$10:$AC$10)</f>
        <v>-5.3654692763076675E-2</v>
      </c>
      <c r="AE10" s="53">
        <f ca="1">$AO$10*$AO$56</f>
        <v>-1.2644436324262018</v>
      </c>
      <c r="AF10" s="53">
        <f ca="1">$AP$10*$AP$56</f>
        <v>0</v>
      </c>
      <c r="AG10" s="53">
        <f ca="1">SUM($AE$10:$AF$10)</f>
        <v>-1.2644436324262018</v>
      </c>
      <c r="AH10" s="53">
        <f>'TUSD BE'!$AH$10*'TUSD BE'!$AH$59</f>
        <v>-1.7024913171656688E-5</v>
      </c>
      <c r="AI10" s="53">
        <f>'TUSD BE'!$AI$10*'TUSD BE'!$AI$59</f>
        <v>0</v>
      </c>
      <c r="AJ10" s="53">
        <f ca="1">'TUSD BE'!$AJ$10*'TUSD BE'!$AJ$59</f>
        <v>0</v>
      </c>
      <c r="AK10" s="53">
        <f ca="1">'TUSD BE'!$AK$10*'TUSD BE'!$AK$59</f>
        <v>0</v>
      </c>
      <c r="AL10" s="53">
        <f ca="1">SUM($AH$10:$AK$10)</f>
        <v>-1.7024913171656688E-5</v>
      </c>
      <c r="AM10" s="53">
        <f ca="1">SUMIF($L$4:$AL$4,"SUBTOTAL",$L$10:$AL$10)</f>
        <v>-1.3195473101013804</v>
      </c>
      <c r="AO10" s="76">
        <f ca="1">+'TUSD BE'!$T$10+'TUSD BE'!$AB$10+'TUSD BE'!$AD$10+'TUSD BE'!$AL$10</f>
        <v>6.7703899035083079</v>
      </c>
      <c r="AP10" s="76">
        <f ca="1">+'TUSD BE'!$T$10+'TUSD BE'!$AB$10+'TUSD BE'!$AD$10+'TUSD BE'!$AL$10</f>
        <v>6.7703899035083079</v>
      </c>
    </row>
    <row r="11" spans="1:42" ht="11.25" customHeight="1" x14ac:dyDescent="0.25">
      <c r="A11" s="131"/>
      <c r="B11" s="131" t="s">
        <v>40</v>
      </c>
      <c r="C11" s="131" t="s">
        <v>25</v>
      </c>
      <c r="D11" s="131" t="s">
        <v>25</v>
      </c>
      <c r="E11" s="131" t="s">
        <v>25</v>
      </c>
      <c r="F11" s="131" t="s">
        <v>25</v>
      </c>
      <c r="G11" s="74" t="s">
        <v>9</v>
      </c>
      <c r="H11" s="74" t="s">
        <v>80</v>
      </c>
      <c r="I11" s="74">
        <f>'MERCADO TUSD'!$U$8</f>
        <v>288308</v>
      </c>
      <c r="J11" s="15"/>
      <c r="L11" s="53">
        <f>'TUSD BE'!$L$11*'TUSD BE'!$L$59</f>
        <v>0</v>
      </c>
      <c r="M11" s="53">
        <f>'TUSD BE'!$M$11*'TUSD BE'!$M$59</f>
        <v>0</v>
      </c>
      <c r="N11" s="53">
        <f ca="1">'TUSD BE'!$N$11*'TUSD BE'!$N$59</f>
        <v>0</v>
      </c>
      <c r="O11" s="53">
        <f>'TUSD BE'!$O$11*'TUSD BE'!$O$59</f>
        <v>0</v>
      </c>
      <c r="P11" s="53">
        <f>'TUSD BE'!$P$11*'TUSD BE'!$P$59</f>
        <v>0</v>
      </c>
      <c r="Q11" s="53">
        <f>'TUSD BE'!$Q$11*'TUSD BE'!$Q$59</f>
        <v>0</v>
      </c>
      <c r="R11" s="53">
        <f>'TUSD BE'!$R$11*'TUSD BE'!$R$59</f>
        <v>0</v>
      </c>
      <c r="S11" s="53">
        <f>'TUSD BE'!$R$11*'TUSD BE'!$S$59</f>
        <v>0</v>
      </c>
      <c r="T11" s="53">
        <f ca="1">SUM($L$11:$S$11)</f>
        <v>0</v>
      </c>
      <c r="U11" s="53">
        <f>'TUSD BE'!$U$11*'TUSD BE'!$U$59</f>
        <v>-0.26962620569690682</v>
      </c>
      <c r="V11" s="53">
        <f>'TUSD BE'!$V$11*'TUSD BE'!$V$59</f>
        <v>4.5514703551613307E-2</v>
      </c>
      <c r="W11" s="53">
        <f>'TUSD BE'!$W$11*'TUSD BE'!$W$59</f>
        <v>-8.9301738741501019E-2</v>
      </c>
      <c r="X11" s="53">
        <f>'TUSD BE'!$X$11*'TUSD BE'!$X$59</f>
        <v>0</v>
      </c>
      <c r="Y11" s="53">
        <f>'TUSD BE'!$Y$11*'TUSD BE'!$Y$59</f>
        <v>0</v>
      </c>
      <c r="Z11" s="53">
        <f>'TUSD BE'!$Z$11*'TUSD BE'!$Z$59</f>
        <v>0</v>
      </c>
      <c r="AA11" s="53">
        <f>'TUSD BE'!$AA$11*'TUSD BE'!$AA$59</f>
        <v>0</v>
      </c>
      <c r="AB11" s="53">
        <f>SUM($U$11:$AA$11)</f>
        <v>-0.31341324088679456</v>
      </c>
      <c r="AC11" s="53">
        <f>'TUSD BE'!$AC$11*'TUSD BE'!$AC$59</f>
        <v>-6.5909250593234867E-2</v>
      </c>
      <c r="AD11" s="53">
        <f>SUM($AC$11:$AC$11)</f>
        <v>-6.5909250593234867E-2</v>
      </c>
      <c r="AE11" s="53">
        <f ca="1">$AO$11*$AO$56</f>
        <v>-3.4491706909117097</v>
      </c>
      <c r="AF11" s="53">
        <f ca="1">$AP$11*$AP$56</f>
        <v>0</v>
      </c>
      <c r="AG11" s="53">
        <f ca="1">SUM($AE$11:$AF$11)</f>
        <v>-3.4491706909117097</v>
      </c>
      <c r="AH11" s="53">
        <f>'TUSD BE'!$AH$11*'TUSD BE'!$AH$59</f>
        <v>0</v>
      </c>
      <c r="AI11" s="53">
        <f>'TUSD BE'!$AI$11*'TUSD BE'!$AI$59</f>
        <v>0</v>
      </c>
      <c r="AJ11" s="53">
        <f ca="1">'TUSD BE'!$AJ$11*'TUSD BE'!$AJ$59</f>
        <v>0</v>
      </c>
      <c r="AK11" s="53">
        <f ca="1">'TUSD BE'!$AK$11*'TUSD BE'!$AK$59</f>
        <v>0</v>
      </c>
      <c r="AL11" s="53">
        <f ca="1">SUM($AH$11:$AK$11)</f>
        <v>0</v>
      </c>
      <c r="AM11" s="53">
        <f ca="1">SUMIF($L$4:$AL$4,"SUBTOTAL",$L$11:$AL$11)</f>
        <v>-3.828493182391739</v>
      </c>
      <c r="AO11" s="76">
        <f ca="1">+'TUSD BE'!$T$11+'TUSD BE'!$AB$11+'TUSD BE'!$AD$11+'TUSD BE'!$AL$11</f>
        <v>18.468383898155576</v>
      </c>
      <c r="AP11" s="76">
        <f ca="1">+'TUSD BE'!$T$11+'TUSD BE'!$AB$11+'TUSD BE'!$AD$11+'TUSD BE'!$AL$11</f>
        <v>18.468383898155576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74" t="s">
        <v>83</v>
      </c>
      <c r="H12" s="74" t="s">
        <v>82</v>
      </c>
      <c r="I12" s="74">
        <f>'MERCADO TUSD'!$U$9</f>
        <v>4081.9879999999994</v>
      </c>
      <c r="J12" s="15"/>
      <c r="L12" s="53">
        <f>'TUSD BE'!$L$12*'TUSD BE'!$L$59</f>
        <v>-0.35554476245293976</v>
      </c>
      <c r="M12" s="53">
        <f>'TUSD BE'!$M$12*'TUSD BE'!$M$59</f>
        <v>-3.0136442926313279E-2</v>
      </c>
      <c r="N12" s="53">
        <f ca="1">'TUSD BE'!$N$12*'TUSD BE'!$N$59</f>
        <v>1.1193117440076129E-10</v>
      </c>
      <c r="O12" s="53">
        <f>'TUSD BE'!$O$12*'TUSD BE'!$O$59</f>
        <v>0</v>
      </c>
      <c r="P12" s="53">
        <f>'TUSD BE'!$P$12*'TUSD BE'!$P$59</f>
        <v>0</v>
      </c>
      <c r="Q12" s="53">
        <f>'TUSD BE'!$Q$12*'TUSD BE'!$Q$59</f>
        <v>1.1157675029528007</v>
      </c>
      <c r="R12" s="53">
        <f>'TUSD BE'!$R$12*'TUSD BE'!$R$59</f>
        <v>-1.3656761373948416</v>
      </c>
      <c r="S12" s="53">
        <f>'TUSD BE'!$R$12*'TUSD BE'!$S$59</f>
        <v>0</v>
      </c>
      <c r="T12" s="53">
        <f ca="1">SUM($L$12:$S$12)</f>
        <v>-0.63558983970936278</v>
      </c>
      <c r="U12" s="53">
        <f>'TUSD BE'!$U$12*'TUSD BE'!$U$59</f>
        <v>-9.7945120163421109</v>
      </c>
      <c r="V12" s="53">
        <f>'TUSD BE'!$V$12*'TUSD BE'!$V$59</f>
        <v>1.7665363662209441</v>
      </c>
      <c r="W12" s="53">
        <f>'TUSD BE'!$W$12*'TUSD BE'!$W$59</f>
        <v>-3.6785308281071041</v>
      </c>
      <c r="X12" s="53">
        <f>'TUSD BE'!$X$12*'TUSD BE'!$X$59</f>
        <v>0</v>
      </c>
      <c r="Y12" s="53">
        <f>'TUSD BE'!$Y$12*'TUSD BE'!$Y$59</f>
        <v>0</v>
      </c>
      <c r="Z12" s="53">
        <f>'TUSD BE'!$Z$12*'TUSD BE'!$Z$59</f>
        <v>0</v>
      </c>
      <c r="AA12" s="53">
        <f>'TUSD BE'!$AA$12*'TUSD BE'!$AA$59</f>
        <v>0</v>
      </c>
      <c r="AB12" s="53">
        <f>SUM($U$12:$AA$12)</f>
        <v>-11.70650647822827</v>
      </c>
      <c r="AC12" s="53">
        <f>'TUSD BE'!$AC$12*'TUSD BE'!$AC$59</f>
        <v>-6.3663163830616041</v>
      </c>
      <c r="AD12" s="53">
        <f>SUM($AC$12:$AC$12)</f>
        <v>-6.3663163830616041</v>
      </c>
      <c r="AE12" s="53">
        <f ca="1">$AO$12*$AO$56</f>
        <v>-242.42078335121207</v>
      </c>
      <c r="AF12" s="53">
        <f ca="1">$AP$12*$AP$56</f>
        <v>0</v>
      </c>
      <c r="AG12" s="53">
        <f ca="1">SUM($AE$12:$AF$12)</f>
        <v>-242.42078335121207</v>
      </c>
      <c r="AH12" s="53">
        <f>'TUSD BE'!$AH$12*'TUSD BE'!$AH$59</f>
        <v>-0.19639514211993864</v>
      </c>
      <c r="AI12" s="53">
        <f>'TUSD BE'!$AI$12*'TUSD BE'!$AI$59</f>
        <v>-6.7356097886891444E-3</v>
      </c>
      <c r="AJ12" s="53">
        <f ca="1">'TUSD BE'!$AJ$12*'TUSD BE'!$AJ$59</f>
        <v>-4.9432439962707575E-2</v>
      </c>
      <c r="AK12" s="53">
        <f ca="1">'TUSD BE'!$AK$12*'TUSD BE'!$AK$59</f>
        <v>1.4151288042821559E-2</v>
      </c>
      <c r="AL12" s="53">
        <f ca="1">SUM($AH$12:$AK$12)</f>
        <v>-0.23841190382851379</v>
      </c>
      <c r="AM12" s="53">
        <f ca="1">SUMIF($L$4:$AL$4,"SUBTOTAL",$L$12:$AL$12)</f>
        <v>-261.36760795603982</v>
      </c>
      <c r="AO12" s="76">
        <f ca="1">+'TUSD BE'!$T$12+'TUSD BE'!$AB$12+'TUSD BE'!$AD$12+'TUSD BE'!$AL$12</f>
        <v>1298.0279878924639</v>
      </c>
      <c r="AP12" s="76">
        <f ca="1">+'TUSD BE'!$T$12+'TUSD BE'!$AB$12+'TUSD BE'!$AD$12+'TUSD BE'!$AL$12</f>
        <v>1298.0279878924639</v>
      </c>
    </row>
    <row r="13" spans="1:42" ht="11.25" customHeight="1" x14ac:dyDescent="0.25">
      <c r="A13" s="131"/>
      <c r="B13" s="131"/>
      <c r="C13" s="131"/>
      <c r="D13" s="131"/>
      <c r="E13" s="131"/>
      <c r="F13" s="131"/>
      <c r="G13" s="74" t="s">
        <v>84</v>
      </c>
      <c r="H13" s="74" t="s">
        <v>82</v>
      </c>
      <c r="I13" s="74">
        <f>'MERCADO TUSD'!$U$10</f>
        <v>46975.044999999991</v>
      </c>
      <c r="J13" s="15"/>
      <c r="L13" s="53">
        <f>'TUSD BE'!$L$13*'TUSD BE'!$L$59</f>
        <v>-0.35554476245293976</v>
      </c>
      <c r="M13" s="53">
        <f>'TUSD BE'!$M$13*'TUSD BE'!$M$59</f>
        <v>-3.0136442926313279E-2</v>
      </c>
      <c r="N13" s="53">
        <f ca="1">'TUSD BE'!$N$13*'TUSD BE'!$N$59</f>
        <v>2.535280601657733E-12</v>
      </c>
      <c r="O13" s="53">
        <f>'TUSD BE'!$O$13*'TUSD BE'!$O$59</f>
        <v>0</v>
      </c>
      <c r="P13" s="53">
        <f>'TUSD BE'!$P$13*'TUSD BE'!$P$59</f>
        <v>0</v>
      </c>
      <c r="Q13" s="53">
        <f>'TUSD BE'!$Q$13*'TUSD BE'!$Q$59</f>
        <v>1.1157675029528007</v>
      </c>
      <c r="R13" s="53">
        <f>'TUSD BE'!$R$13*'TUSD BE'!$R$59</f>
        <v>-1.3656761373948416</v>
      </c>
      <c r="S13" s="53">
        <f>'TUSD BE'!$R$13*'TUSD BE'!$S$59</f>
        <v>0</v>
      </c>
      <c r="T13" s="53">
        <f ca="1">SUM($L$13:$S$13)</f>
        <v>-0.63558983981875872</v>
      </c>
      <c r="U13" s="53">
        <f>'TUSD BE'!$U$13*'TUSD BE'!$U$59</f>
        <v>0</v>
      </c>
      <c r="V13" s="53">
        <f>'TUSD BE'!$V$13*'TUSD BE'!$V$59</f>
        <v>0</v>
      </c>
      <c r="W13" s="53">
        <f>'TUSD BE'!$W$13*'TUSD BE'!$W$59</f>
        <v>0</v>
      </c>
      <c r="X13" s="53">
        <f>'TUSD BE'!$X$13*'TUSD BE'!$X$59</f>
        <v>0</v>
      </c>
      <c r="Y13" s="53">
        <f>'TUSD BE'!$Y$13*'TUSD BE'!$Y$59</f>
        <v>0</v>
      </c>
      <c r="Z13" s="53">
        <f>'TUSD BE'!$Z$13*'TUSD BE'!$Z$59</f>
        <v>0</v>
      </c>
      <c r="AA13" s="53">
        <f>'TUSD BE'!$AA$13*'TUSD BE'!$AA$59</f>
        <v>0</v>
      </c>
      <c r="AB13" s="53">
        <f>SUM($U$13:$AA$13)</f>
        <v>0</v>
      </c>
      <c r="AC13" s="53">
        <f>'TUSD BE'!$AC$13*'TUSD BE'!$AC$59</f>
        <v>0</v>
      </c>
      <c r="AD13" s="53">
        <f>SUM($AC$13:$AC$13)</f>
        <v>0</v>
      </c>
      <c r="AE13" s="53">
        <f ca="1">$AO$13*$AO$56</f>
        <v>-19.247550180527909</v>
      </c>
      <c r="AF13" s="53">
        <f ca="1">$AP$13*$AP$56</f>
        <v>0</v>
      </c>
      <c r="AG13" s="53">
        <f ca="1">SUM($AE$13:$AF$13)</f>
        <v>-19.247550180527909</v>
      </c>
      <c r="AH13" s="53">
        <f>'TUSD BE'!$AH$13*'TUSD BE'!$AH$59</f>
        <v>-0.19639514211993864</v>
      </c>
      <c r="AI13" s="53">
        <f>'TUSD BE'!$AI$13*'TUSD BE'!$AI$59</f>
        <v>-6.7356097886891444E-3</v>
      </c>
      <c r="AJ13" s="53">
        <f ca="1">'TUSD BE'!$AJ$13*'TUSD BE'!$AJ$59</f>
        <v>-4.9432439962707575E-2</v>
      </c>
      <c r="AK13" s="53">
        <f ca="1">'TUSD BE'!$AK$13*'TUSD BE'!$AK$59</f>
        <v>1.4151288042821559E-2</v>
      </c>
      <c r="AL13" s="53">
        <f ca="1">SUM($AH$13:$AK$13)</f>
        <v>-0.23841190382851379</v>
      </c>
      <c r="AM13" s="53">
        <f ca="1">SUMIF($L$4:$AL$4,"SUBTOTAL",$L$13:$AL$13)</f>
        <v>-20.121551924175183</v>
      </c>
      <c r="AO13" s="76">
        <f ca="1">+'TUSD BE'!$T$13+'TUSD BE'!$AB$13+'TUSD BE'!$AD$13+'TUSD BE'!$AL$13</f>
        <v>103.05988821302503</v>
      </c>
      <c r="AP13" s="76">
        <f ca="1">+'TUSD BE'!$T$13+'TUSD BE'!$AB$13+'TUSD BE'!$AD$13+'TUSD BE'!$AL$13</f>
        <v>103.05988821302503</v>
      </c>
    </row>
    <row r="14" spans="1:42" ht="11.25" customHeight="1" x14ac:dyDescent="0.25">
      <c r="A14" s="131"/>
      <c r="B14" s="131"/>
      <c r="C14" s="131"/>
      <c r="D14" s="131"/>
      <c r="E14" s="131" t="s">
        <v>89</v>
      </c>
      <c r="F14" s="131" t="s">
        <v>25</v>
      </c>
      <c r="G14" s="74" t="s">
        <v>83</v>
      </c>
      <c r="H14" s="74" t="s">
        <v>82</v>
      </c>
      <c r="I14" s="74">
        <f>'MERCADO TUSD'!$U$11</f>
        <v>0</v>
      </c>
      <c r="J14" s="15"/>
      <c r="L14" s="53">
        <f>'TUSD BE'!$L$14*'TUSD BE'!$L$59</f>
        <v>0</v>
      </c>
      <c r="M14" s="53">
        <f>'TUSD BE'!$M$14*'TUSD BE'!$M$59</f>
        <v>-3.0136442926313279E-2</v>
      </c>
      <c r="N14" s="53">
        <f ca="1">'TUSD BE'!$N$14*'TUSD BE'!$N$59</f>
        <v>1.1182732592630984E-10</v>
      </c>
      <c r="O14" s="53">
        <f>'TUSD BE'!$O$14*'TUSD BE'!$O$59</f>
        <v>0</v>
      </c>
      <c r="P14" s="53">
        <f>'TUSD BE'!$P$14*'TUSD BE'!$P$59</f>
        <v>0</v>
      </c>
      <c r="Q14" s="53">
        <f>'TUSD BE'!$Q$14*'TUSD BE'!$Q$59</f>
        <v>0</v>
      </c>
      <c r="R14" s="53">
        <f>'TUSD BE'!$R$14*'TUSD BE'!$R$59</f>
        <v>0</v>
      </c>
      <c r="S14" s="53">
        <f>'TUSD BE'!$R$14*'TUSD BE'!$S$59</f>
        <v>0</v>
      </c>
      <c r="T14" s="53">
        <f ca="1">SUM($L$14:$S$14)</f>
        <v>-3.0136442814485954E-2</v>
      </c>
      <c r="U14" s="53">
        <f>'TUSD BE'!$U$14*'TUSD BE'!$U$59</f>
        <v>-9.7945120163421109</v>
      </c>
      <c r="V14" s="53">
        <f>'TUSD BE'!$V$14*'TUSD BE'!$V$59</f>
        <v>1.7665363662209441</v>
      </c>
      <c r="W14" s="53">
        <f>'TUSD BE'!$W$14*'TUSD BE'!$W$59</f>
        <v>-3.6785308281071041</v>
      </c>
      <c r="X14" s="53">
        <f>'TUSD BE'!$X$14*'TUSD BE'!$X$59</f>
        <v>0</v>
      </c>
      <c r="Y14" s="53">
        <f>'TUSD BE'!$Y$14*'TUSD BE'!$Y$59</f>
        <v>0</v>
      </c>
      <c r="Z14" s="53">
        <f>'TUSD BE'!$Z$14*'TUSD BE'!$Z$59</f>
        <v>0</v>
      </c>
      <c r="AA14" s="53">
        <f>'TUSD BE'!$AA$14*'TUSD BE'!$AA$59</f>
        <v>0</v>
      </c>
      <c r="AB14" s="53">
        <f>SUM($U$14:$AA$14)</f>
        <v>-11.70650647822827</v>
      </c>
      <c r="AC14" s="53">
        <f>'TUSD BE'!$AC$14*'TUSD BE'!$AC$59</f>
        <v>-6.3663163830616041</v>
      </c>
      <c r="AD14" s="53">
        <f>SUM($AC$14:$AC$14)</f>
        <v>-6.3663163830616041</v>
      </c>
      <c r="AE14" s="53">
        <f ca="1">$AO$14*$AO$56</f>
        <v>-225.03360408694491</v>
      </c>
      <c r="AF14" s="53">
        <f ca="1">$AP$14*$AP$56</f>
        <v>0</v>
      </c>
      <c r="AG14" s="53">
        <f ca="1">SUM($AE$14:$AF$14)</f>
        <v>-225.03360408694491</v>
      </c>
      <c r="AH14" s="53">
        <f>'TUSD BE'!$AH$14*'TUSD BE'!$AH$59</f>
        <v>-0.19639514211993864</v>
      </c>
      <c r="AI14" s="53">
        <f>'TUSD BE'!$AI$14*'TUSD BE'!$AI$59</f>
        <v>-6.7356097886891444E-3</v>
      </c>
      <c r="AJ14" s="53">
        <f ca="1">'TUSD BE'!$AJ$14*'TUSD BE'!$AJ$59</f>
        <v>-4.9432439962707575E-2</v>
      </c>
      <c r="AK14" s="53">
        <f ca="1">'TUSD BE'!$AK$14*'TUSD BE'!$AK$59</f>
        <v>1.4151288042821559E-2</v>
      </c>
      <c r="AL14" s="53">
        <f ca="1">SUM($AH$14:$AK$14)</f>
        <v>-0.23841190382851379</v>
      </c>
      <c r="AM14" s="53">
        <f ca="1">SUMIF($L$4:$AL$4,"SUBTOTAL",$L$14:$AL$14)</f>
        <v>-243.37497529487777</v>
      </c>
      <c r="AO14" s="76">
        <f ca="1">+'TUSD BE'!$T$14+'TUSD BE'!$AB$14+'TUSD BE'!$AD$14+'TUSD BE'!$AL$14</f>
        <v>1204.9293475715765</v>
      </c>
      <c r="AP14" s="76">
        <f ca="1">+'TUSD BE'!$T$14+'TUSD BE'!$AB$14+'TUSD BE'!$AD$14+'TUSD BE'!$AL$14</f>
        <v>1204.9293475715765</v>
      </c>
    </row>
    <row r="15" spans="1:42" ht="11.25" customHeight="1" x14ac:dyDescent="0.25">
      <c r="A15" s="131"/>
      <c r="B15" s="131"/>
      <c r="C15" s="131"/>
      <c r="D15" s="131"/>
      <c r="E15" s="131"/>
      <c r="F15" s="131"/>
      <c r="G15" s="74" t="s">
        <v>84</v>
      </c>
      <c r="H15" s="74" t="s">
        <v>82</v>
      </c>
      <c r="I15" s="74">
        <f>'MERCADO TUSD'!$U$12</f>
        <v>0</v>
      </c>
      <c r="J15" s="15"/>
      <c r="L15" s="53">
        <f>'TUSD BE'!$L$15*'TUSD BE'!$L$59</f>
        <v>0</v>
      </c>
      <c r="M15" s="53">
        <f>'TUSD BE'!$M$15*'TUSD BE'!$M$59</f>
        <v>-3.0136442926313279E-2</v>
      </c>
      <c r="N15" s="53">
        <f ca="1">'TUSD BE'!$N$15*'TUSD BE'!$N$59</f>
        <v>2.4314321272062679E-12</v>
      </c>
      <c r="O15" s="53">
        <f>'TUSD BE'!$O$15*'TUSD BE'!$O$59</f>
        <v>0</v>
      </c>
      <c r="P15" s="53">
        <f>'TUSD BE'!$P$15*'TUSD BE'!$P$59</f>
        <v>0</v>
      </c>
      <c r="Q15" s="53">
        <f>'TUSD BE'!$Q$15*'TUSD BE'!$Q$59</f>
        <v>0</v>
      </c>
      <c r="R15" s="53">
        <f>'TUSD BE'!$R$15*'TUSD BE'!$R$59</f>
        <v>0</v>
      </c>
      <c r="S15" s="53">
        <f>'TUSD BE'!$R$15*'TUSD BE'!$S$59</f>
        <v>0</v>
      </c>
      <c r="T15" s="53">
        <f ca="1">SUM($L$15:$S$15)</f>
        <v>-3.0136442923881845E-2</v>
      </c>
      <c r="U15" s="53">
        <f>'TUSD BE'!$U$15*'TUSD BE'!$U$59</f>
        <v>0</v>
      </c>
      <c r="V15" s="53">
        <f>'TUSD BE'!$V$15*'TUSD BE'!$V$59</f>
        <v>0</v>
      </c>
      <c r="W15" s="53">
        <f>'TUSD BE'!$W$15*'TUSD BE'!$W$59</f>
        <v>0</v>
      </c>
      <c r="X15" s="53">
        <f>'TUSD BE'!$X$15*'TUSD BE'!$X$59</f>
        <v>0</v>
      </c>
      <c r="Y15" s="53">
        <f>'TUSD BE'!$Y$15*'TUSD BE'!$Y$59</f>
        <v>0</v>
      </c>
      <c r="Z15" s="53">
        <f>'TUSD BE'!$Z$15*'TUSD BE'!$Z$59</f>
        <v>0</v>
      </c>
      <c r="AA15" s="53">
        <f>'TUSD BE'!$AA$15*'TUSD BE'!$AA$59</f>
        <v>0</v>
      </c>
      <c r="AB15" s="53">
        <f>SUM($U$15:$AA$15)</f>
        <v>0</v>
      </c>
      <c r="AC15" s="53">
        <f>'TUSD BE'!$AC$15*'TUSD BE'!$AC$59</f>
        <v>0</v>
      </c>
      <c r="AD15" s="53">
        <f>SUM($AC$15:$AC$15)</f>
        <v>0</v>
      </c>
      <c r="AE15" s="53">
        <f ca="1">$AO$15*$AO$56</f>
        <v>-1.8603709162607489</v>
      </c>
      <c r="AF15" s="53">
        <f ca="1">$AP$15*$AP$56</f>
        <v>0</v>
      </c>
      <c r="AG15" s="53">
        <f ca="1">SUM($AE$15:$AF$15)</f>
        <v>-1.8603709162607489</v>
      </c>
      <c r="AH15" s="53">
        <f>'TUSD BE'!$AH$15*'TUSD BE'!$AH$59</f>
        <v>-0.19639514211993864</v>
      </c>
      <c r="AI15" s="53">
        <f>'TUSD BE'!$AI$15*'TUSD BE'!$AI$59</f>
        <v>-6.7356097886891444E-3</v>
      </c>
      <c r="AJ15" s="53">
        <f ca="1">'TUSD BE'!$AJ$15*'TUSD BE'!$AJ$59</f>
        <v>-4.9432439962707575E-2</v>
      </c>
      <c r="AK15" s="53">
        <f ca="1">'TUSD BE'!$AK$15*'TUSD BE'!$AK$59</f>
        <v>1.4151288042821559E-2</v>
      </c>
      <c r="AL15" s="53">
        <f ca="1">SUM($AH$15:$AK$15)</f>
        <v>-0.23841190382851379</v>
      </c>
      <c r="AM15" s="53">
        <f ca="1">SUMIF($L$4:$AL$4,"SUBTOTAL",$L$15:$AL$15)</f>
        <v>-2.1289192630131448</v>
      </c>
      <c r="AO15" s="76">
        <f ca="1">+'TUSD BE'!$T$15+'TUSD BE'!$AB$15+'TUSD BE'!$AD$15+'TUSD BE'!$AL$15</f>
        <v>9.9612478921375693</v>
      </c>
      <c r="AP15" s="76">
        <f ca="1">+'TUSD BE'!$T$15+'TUSD BE'!$AB$15+'TUSD BE'!$AD$15+'TUSD BE'!$AL$15</f>
        <v>9.9612478921375693</v>
      </c>
    </row>
    <row r="16" spans="1:42" ht="11.25" customHeight="1" x14ac:dyDescent="0.25">
      <c r="A16" s="131" t="s">
        <v>90</v>
      </c>
      <c r="B16" s="131" t="s">
        <v>59</v>
      </c>
      <c r="C16" s="131" t="s">
        <v>25</v>
      </c>
      <c r="D16" s="131" t="s">
        <v>25</v>
      </c>
      <c r="E16" s="73" t="s">
        <v>91</v>
      </c>
      <c r="F16" s="73" t="s">
        <v>25</v>
      </c>
      <c r="G16" s="74" t="s">
        <v>9</v>
      </c>
      <c r="H16" s="74" t="s">
        <v>80</v>
      </c>
      <c r="I16" s="74">
        <f>'MERCADO TUSD'!$U$13+0.00000001</f>
        <v>1E-8</v>
      </c>
      <c r="J16" s="15"/>
      <c r="L16" s="53">
        <f>'TUSD BE'!$L$16*'TUSD BE'!$L$59</f>
        <v>0</v>
      </c>
      <c r="M16" s="53">
        <f>'TUSD BE'!$M$16*'TUSD BE'!$M$59</f>
        <v>-8.498080370798576E-4</v>
      </c>
      <c r="N16" s="53">
        <f ca="1">'TUSD BE'!$N$16*'TUSD BE'!$N$59</f>
        <v>3.3127663350017472E-13</v>
      </c>
      <c r="O16" s="53">
        <f>'TUSD BE'!$O$16*'TUSD BE'!$O$59</f>
        <v>0</v>
      </c>
      <c r="P16" s="53">
        <f>'TUSD BE'!$P$16*'TUSD BE'!$P$59</f>
        <v>0</v>
      </c>
      <c r="Q16" s="53">
        <f>'TUSD BE'!$Q$16*'TUSD BE'!$Q$59</f>
        <v>0</v>
      </c>
      <c r="R16" s="53">
        <f>'TUSD BE'!$R$16*'TUSD BE'!$R$59</f>
        <v>0</v>
      </c>
      <c r="S16" s="53">
        <f>'TUSD BE'!$R$16*'TUSD BE'!$S$59</f>
        <v>0</v>
      </c>
      <c r="T16" s="53">
        <f ca="1">SUM($L$16:$S$16)</f>
        <v>-8.4980803674858092E-4</v>
      </c>
      <c r="U16" s="53">
        <f>'TUSD BE'!$U$16*'TUSD BE'!$U$59</f>
        <v>0</v>
      </c>
      <c r="V16" s="53">
        <f>'TUSD BE'!$V$16*'TUSD BE'!$V$59</f>
        <v>0</v>
      </c>
      <c r="W16" s="53">
        <f>'TUSD BE'!$W$16*'TUSD BE'!$W$59</f>
        <v>0</v>
      </c>
      <c r="X16" s="53">
        <f>'TUSD BE'!$X$16*'TUSD BE'!$X$59</f>
        <v>0</v>
      </c>
      <c r="Y16" s="53">
        <f>'TUSD BE'!$Y$16*'TUSD BE'!$Y$59</f>
        <v>0</v>
      </c>
      <c r="Z16" s="53">
        <f>'TUSD BE'!$Z$16*'TUSD BE'!$Z$59</f>
        <v>0</v>
      </c>
      <c r="AA16" s="53">
        <f>'TUSD BE'!$AA$16*'TUSD BE'!$AA$59</f>
        <v>0</v>
      </c>
      <c r="AB16" s="53">
        <f>SUM($U$16:$AA$16)</f>
        <v>0</v>
      </c>
      <c r="AC16" s="53">
        <f>'TUSD BE'!$AC$16*'TUSD BE'!$AC$59</f>
        <v>-2.8921258603308339E-2</v>
      </c>
      <c r="AD16" s="53">
        <f>SUM($AC$16:$AC$16)</f>
        <v>-2.8921258603308339E-2</v>
      </c>
      <c r="AE16" s="53">
        <f ca="1">$AO$16*$AO$56</f>
        <v>-0.68221241028403601</v>
      </c>
      <c r="AF16" s="53">
        <f ca="1">$AP$16*$AP$56</f>
        <v>0</v>
      </c>
      <c r="AG16" s="53">
        <f ca="1">SUM($AE$16:$AF$16)</f>
        <v>-0.68221241028403601</v>
      </c>
      <c r="AH16" s="53">
        <f>'TUSD BE'!$AH$16*'TUSD BE'!$AH$59</f>
        <v>0</v>
      </c>
      <c r="AI16" s="53">
        <f>'TUSD BE'!$AI$16*'TUSD BE'!$AI$59</f>
        <v>0</v>
      </c>
      <c r="AJ16" s="53">
        <f ca="1">'TUSD BE'!$AJ$16*'TUSD BE'!$AJ$59</f>
        <v>0</v>
      </c>
      <c r="AK16" s="53">
        <f ca="1">'TUSD BE'!$AK$16*'TUSD BE'!$AK$59</f>
        <v>0</v>
      </c>
      <c r="AL16" s="53">
        <f ca="1">SUM($AH$16:$AK$16)</f>
        <v>0</v>
      </c>
      <c r="AM16" s="53">
        <f ca="1">SUMIF($L$4:$AL$4,"SUBTOTAL",$L$16:$AL$16)</f>
        <v>-0.71198347692409292</v>
      </c>
      <c r="AO16" s="76">
        <f ca="1">+'TUSD BE'!$T$16+'TUSD BE'!$AB$16+'TUSD BE'!$AD$16+'TUSD BE'!$AL$16</f>
        <v>3.6528666807966066</v>
      </c>
      <c r="AP16" s="76">
        <f ca="1">+'TUSD BE'!$T$16+'TUSD BE'!$AB$16+'TUSD BE'!$AD$16+'TUSD BE'!$AL$16</f>
        <v>3.6528666807966066</v>
      </c>
    </row>
    <row r="17" spans="1:42" ht="11.25" customHeight="1" x14ac:dyDescent="0.25">
      <c r="A17" s="131"/>
      <c r="B17" s="131"/>
      <c r="C17" s="131"/>
      <c r="D17" s="131"/>
      <c r="E17" s="73" t="s">
        <v>92</v>
      </c>
      <c r="F17" s="73" t="s">
        <v>25</v>
      </c>
      <c r="G17" s="74" t="s">
        <v>9</v>
      </c>
      <c r="H17" s="74" t="s">
        <v>80</v>
      </c>
      <c r="I17" s="74">
        <f>'MERCADO TUSD'!$U$14+0.00000001</f>
        <v>1E-8</v>
      </c>
      <c r="J17" s="15"/>
      <c r="L17" s="53">
        <f>'TUSD BE'!$L$17*'TUSD BE'!$L$59</f>
        <v>0</v>
      </c>
      <c r="M17" s="53">
        <f>'TUSD BE'!$M$17*'TUSD BE'!$M$59</f>
        <v>-8.498080370798576E-4</v>
      </c>
      <c r="N17" s="53">
        <f ca="1">'TUSD BE'!$N$17*'TUSD BE'!$N$59</f>
        <v>3.3127663350017472E-13</v>
      </c>
      <c r="O17" s="53">
        <f>'TUSD BE'!$O$17*'TUSD BE'!$O$59</f>
        <v>0</v>
      </c>
      <c r="P17" s="53">
        <f>'TUSD BE'!$P$17*'TUSD BE'!$P$59</f>
        <v>0</v>
      </c>
      <c r="Q17" s="53">
        <f>'TUSD BE'!$Q$17*'TUSD BE'!$Q$59</f>
        <v>0</v>
      </c>
      <c r="R17" s="53">
        <f>'TUSD BE'!$R$17*'TUSD BE'!$R$59</f>
        <v>0</v>
      </c>
      <c r="S17" s="53">
        <f>'TUSD BE'!$R$17*'TUSD BE'!$S$59</f>
        <v>0</v>
      </c>
      <c r="T17" s="53">
        <f ca="1">SUM($L$17:$S$17)</f>
        <v>-8.4980803674858092E-4</v>
      </c>
      <c r="U17" s="53">
        <f>'TUSD BE'!$U$17*'TUSD BE'!$U$59</f>
        <v>0</v>
      </c>
      <c r="V17" s="53">
        <f>'TUSD BE'!$V$17*'TUSD BE'!$V$59</f>
        <v>0</v>
      </c>
      <c r="W17" s="53">
        <f>'TUSD BE'!$W$17*'TUSD BE'!$W$59</f>
        <v>0</v>
      </c>
      <c r="X17" s="53">
        <f>'TUSD BE'!$X$17*'TUSD BE'!$X$59</f>
        <v>0</v>
      </c>
      <c r="Y17" s="53">
        <f>'TUSD BE'!$Y$17*'TUSD BE'!$Y$59</f>
        <v>0</v>
      </c>
      <c r="Z17" s="53">
        <f>'TUSD BE'!$Z$17*'TUSD BE'!$Z$59</f>
        <v>0</v>
      </c>
      <c r="AA17" s="53">
        <f>'TUSD BE'!$AA$17*'TUSD BE'!$AA$59</f>
        <v>0</v>
      </c>
      <c r="AB17" s="53">
        <f>SUM($U$17:$AA$17)</f>
        <v>0</v>
      </c>
      <c r="AC17" s="53">
        <f>'TUSD BE'!$AC$17*'TUSD BE'!$AC$59</f>
        <v>-8.9228914226449074E-2</v>
      </c>
      <c r="AD17" s="53">
        <f>SUM($AC$17:$AC$17)</f>
        <v>-8.9228914226449074E-2</v>
      </c>
      <c r="AE17" s="53">
        <f ca="1">$AO$17*$AO$56</f>
        <v>-2.0886290626528652</v>
      </c>
      <c r="AF17" s="53">
        <f ca="1">$AP$17*$AP$56</f>
        <v>0</v>
      </c>
      <c r="AG17" s="53">
        <f ca="1">SUM($AE$17:$AF$17)</f>
        <v>-2.0886290626528652</v>
      </c>
      <c r="AH17" s="53">
        <f>'TUSD BE'!$AH$17*'TUSD BE'!$AH$59</f>
        <v>0</v>
      </c>
      <c r="AI17" s="53">
        <f>'TUSD BE'!$AI$17*'TUSD BE'!$AI$59</f>
        <v>0</v>
      </c>
      <c r="AJ17" s="53">
        <f ca="1">'TUSD BE'!$AJ$17*'TUSD BE'!$AJ$59</f>
        <v>0</v>
      </c>
      <c r="AK17" s="53">
        <f ca="1">'TUSD BE'!$AK$17*'TUSD BE'!$AK$59</f>
        <v>0</v>
      </c>
      <c r="AL17" s="53">
        <f ca="1">SUM($AH$17:$AK$17)</f>
        <v>0</v>
      </c>
      <c r="AM17" s="53">
        <f ca="1">SUMIF($L$4:$AL$4,"SUBTOTAL",$L$17:$AL$17)</f>
        <v>-2.178707784916063</v>
      </c>
      <c r="AO17" s="76">
        <f ca="1">+'TUSD BE'!$T$17+'TUSD BE'!$AB$17+'TUSD BE'!$AD$17+'TUSD BE'!$AL$17</f>
        <v>11.183442863977804</v>
      </c>
      <c r="AP17" s="76">
        <f ca="1">+'TUSD BE'!$T$17+'TUSD BE'!$AB$17+'TUSD BE'!$AD$17+'TUSD BE'!$AL$17</f>
        <v>11.183442863977804</v>
      </c>
    </row>
    <row r="18" spans="1:42" ht="11.25" customHeight="1" x14ac:dyDescent="0.25">
      <c r="A18" s="131" t="s">
        <v>22</v>
      </c>
      <c r="B18" s="131" t="s">
        <v>32</v>
      </c>
      <c r="C18" s="131" t="s">
        <v>24</v>
      </c>
      <c r="D18" s="131" t="s">
        <v>24</v>
      </c>
      <c r="E18" s="131" t="s">
        <v>25</v>
      </c>
      <c r="F18" s="131" t="s">
        <v>25</v>
      </c>
      <c r="G18" s="74" t="s">
        <v>83</v>
      </c>
      <c r="H18" s="74" t="s">
        <v>82</v>
      </c>
      <c r="I18" s="74">
        <f>'MERCADO TUSD'!$U$15</f>
        <v>1.103</v>
      </c>
      <c r="J18" s="15"/>
      <c r="L18" s="53">
        <f>'TUSD BE'!$L$18*'TUSD BE'!$L$59</f>
        <v>-0.4232675743487378</v>
      </c>
      <c r="M18" s="53">
        <f>'TUSD BE'!$M$18*'TUSD BE'!$M$59</f>
        <v>-5.6107009911459463E-2</v>
      </c>
      <c r="N18" s="53">
        <f ca="1">'TUSD BE'!$N$18*'TUSD BE'!$N$59</f>
        <v>8.828889609040144E-11</v>
      </c>
      <c r="O18" s="53">
        <f>'TUSD BE'!$O$18*'TUSD BE'!$O$59</f>
        <v>0</v>
      </c>
      <c r="P18" s="53">
        <f>'TUSD BE'!$P$18*'TUSD BE'!$P$59</f>
        <v>0</v>
      </c>
      <c r="Q18" s="53">
        <f>'TUSD BE'!$Q$18*'TUSD BE'!$Q$59</f>
        <v>1.3282946463723817</v>
      </c>
      <c r="R18" s="53">
        <f>'TUSD BE'!$R$18*'TUSD BE'!$R$59</f>
        <v>-1.3656761373948416</v>
      </c>
      <c r="S18" s="53">
        <f>'TUSD BE'!$R$18*'TUSD BE'!$S$59</f>
        <v>0</v>
      </c>
      <c r="T18" s="53">
        <f ca="1">SUM($L$18:$S$18)</f>
        <v>-0.51675607519436828</v>
      </c>
      <c r="U18" s="53">
        <f>'TUSD BE'!$U$18*'TUSD BE'!$U$59</f>
        <v>-5.8930866121374637</v>
      </c>
      <c r="V18" s="53">
        <f>'TUSD BE'!$V$18*'TUSD BE'!$V$59</f>
        <v>1.032277185655607</v>
      </c>
      <c r="W18" s="53">
        <f>'TUSD BE'!$W$18*'TUSD BE'!$W$59</f>
        <v>-2.0957573525527597</v>
      </c>
      <c r="X18" s="53">
        <f>'TUSD BE'!$X$18*'TUSD BE'!$X$59</f>
        <v>0</v>
      </c>
      <c r="Y18" s="53">
        <f>'TUSD BE'!$Y$18*'TUSD BE'!$Y$59</f>
        <v>0</v>
      </c>
      <c r="Z18" s="53">
        <f>'TUSD BE'!$Z$18*'TUSD BE'!$Z$59</f>
        <v>0</v>
      </c>
      <c r="AA18" s="53">
        <f>'TUSD BE'!$AA$18*'TUSD BE'!$AA$59</f>
        <v>0</v>
      </c>
      <c r="AB18" s="53">
        <f>SUM($U$18:$AA$18)</f>
        <v>-6.9565667790346168</v>
      </c>
      <c r="AC18" s="53">
        <f>'TUSD BE'!$AC$18*'TUSD BE'!$AC$59</f>
        <v>-5.3894263283130073</v>
      </c>
      <c r="AD18" s="53">
        <f>SUM($AC$18:$AC$18)</f>
        <v>-5.3894263283130073</v>
      </c>
      <c r="AE18" s="53">
        <f ca="1">$AO$18*$AO$56</f>
        <v>-194.02056537604295</v>
      </c>
      <c r="AF18" s="53">
        <f ca="1">$AP$18*$AP$56</f>
        <v>0</v>
      </c>
      <c r="AG18" s="53">
        <f ca="1">SUM($AE$18:$AF$18)</f>
        <v>-194.02056537604295</v>
      </c>
      <c r="AH18" s="53">
        <f>'TUSD BE'!$AH$18*'TUSD BE'!$AH$59</f>
        <v>-0.44707847611599749</v>
      </c>
      <c r="AI18" s="53">
        <f>'TUSD BE'!$AI$18*'TUSD BE'!$AI$59</f>
        <v>-1.5333099014231768E-2</v>
      </c>
      <c r="AJ18" s="53">
        <f ca="1">'TUSD BE'!$AJ$18*'TUSD BE'!$AJ$59</f>
        <v>-6.5823007027000266E-2</v>
      </c>
      <c r="AK18" s="53">
        <f ca="1">'TUSD BE'!$AK$18*'TUSD BE'!$AK$59</f>
        <v>1.8843503031338697E-2</v>
      </c>
      <c r="AL18" s="53">
        <f ca="1">SUM($AH$18:$AK$18)</f>
        <v>-0.50939107912589077</v>
      </c>
      <c r="AM18" s="53">
        <f ca="1">SUMIF($L$4:$AL$4,"SUBTOTAL",$L$18:$AL$18)</f>
        <v>-207.39270563771083</v>
      </c>
      <c r="AO18" s="76">
        <f ca="1">+'TUSD BE'!$T$18+'TUSD BE'!$AB$18+'TUSD BE'!$AD$18+'TUSD BE'!$AL$18</f>
        <v>1038.8718351757777</v>
      </c>
      <c r="AP18" s="76">
        <f ca="1">+'TUSD BE'!$T$18+'TUSD BE'!$AB$18+'TUSD BE'!$AD$18+'TUSD BE'!$AL$18</f>
        <v>1038.8718351757777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74" t="s">
        <v>93</v>
      </c>
      <c r="H19" s="74" t="s">
        <v>82</v>
      </c>
      <c r="I19" s="74">
        <f>'MERCADO TUSD'!$U$16</f>
        <v>0.64800000000000013</v>
      </c>
      <c r="J19" s="15"/>
      <c r="L19" s="53">
        <f>'TUSD BE'!$L$19*'TUSD BE'!$L$59</f>
        <v>-0.4232675743487378</v>
      </c>
      <c r="M19" s="53">
        <f>'TUSD BE'!$M$19*'TUSD BE'!$M$59</f>
        <v>-5.6107009911459463E-2</v>
      </c>
      <c r="N19" s="53">
        <f ca="1">'TUSD BE'!$N$19*'TUSD BE'!$N$59</f>
        <v>4.6715895751059055E-11</v>
      </c>
      <c r="O19" s="53">
        <f>'TUSD BE'!$O$19*'TUSD BE'!$O$59</f>
        <v>0</v>
      </c>
      <c r="P19" s="53">
        <f>'TUSD BE'!$P$19*'TUSD BE'!$P$59</f>
        <v>0</v>
      </c>
      <c r="Q19" s="53">
        <f>'TUSD BE'!$Q$19*'TUSD BE'!$Q$59</f>
        <v>1.3282946463723817</v>
      </c>
      <c r="R19" s="53">
        <f>'TUSD BE'!$R$19*'TUSD BE'!$R$59</f>
        <v>-1.3656761373948416</v>
      </c>
      <c r="S19" s="53">
        <f>'TUSD BE'!$R$19*'TUSD BE'!$S$59</f>
        <v>0</v>
      </c>
      <c r="T19" s="53">
        <f ca="1">SUM($L$19:$S$19)</f>
        <v>-0.51675607523594125</v>
      </c>
      <c r="U19" s="53">
        <f>'TUSD BE'!$U$19*'TUSD BE'!$U$59</f>
        <v>-2.9465410529101836</v>
      </c>
      <c r="V19" s="53">
        <f>'TUSD BE'!$V$19*'TUSD BE'!$V$59</f>
        <v>0.51613989561262374</v>
      </c>
      <c r="W19" s="53">
        <f>'TUSD BE'!$W$19*'TUSD BE'!$W$59</f>
        <v>-1.0478800825248131</v>
      </c>
      <c r="X19" s="53">
        <f>'TUSD BE'!$X$19*'TUSD BE'!$X$59</f>
        <v>0</v>
      </c>
      <c r="Y19" s="53">
        <f>'TUSD BE'!$Y$19*'TUSD BE'!$Y$59</f>
        <v>0</v>
      </c>
      <c r="Z19" s="53">
        <f>'TUSD BE'!$Z$19*'TUSD BE'!$Z$59</f>
        <v>0</v>
      </c>
      <c r="AA19" s="53">
        <f>'TUSD BE'!$AA$19*'TUSD BE'!$AA$59</f>
        <v>0</v>
      </c>
      <c r="AB19" s="53">
        <f>SUM($U$19:$AA$19)</f>
        <v>-3.4782812398223726</v>
      </c>
      <c r="AC19" s="53">
        <f>'TUSD BE'!$AC$19*'TUSD BE'!$AC$59</f>
        <v>-2.6947131641565036</v>
      </c>
      <c r="AD19" s="53">
        <f>SUM($AC$19:$AC$19)</f>
        <v>-2.6947131641565036</v>
      </c>
      <c r="AE19" s="53">
        <f ca="1">$AO$19*$AO$56</f>
        <v>-109.03257704638929</v>
      </c>
      <c r="AF19" s="53">
        <f ca="1">$AP$19*$AP$56</f>
        <v>0</v>
      </c>
      <c r="AG19" s="53">
        <f ca="1">SUM($AE$19:$AF$19)</f>
        <v>-109.03257704638929</v>
      </c>
      <c r="AH19" s="53">
        <f>'TUSD BE'!$AH$19*'TUSD BE'!$AH$59</f>
        <v>-0.44707847611599749</v>
      </c>
      <c r="AI19" s="53">
        <f>'TUSD BE'!$AI$19*'TUSD BE'!$AI$59</f>
        <v>-1.5333099014231768E-2</v>
      </c>
      <c r="AJ19" s="53">
        <f ca="1">'TUSD BE'!$AJ$19*'TUSD BE'!$AJ$59</f>
        <v>-6.5823007027000266E-2</v>
      </c>
      <c r="AK19" s="53">
        <f ca="1">'TUSD BE'!$AK$19*'TUSD BE'!$AK$59</f>
        <v>1.8843503031338697E-2</v>
      </c>
      <c r="AL19" s="53">
        <f ca="1">SUM($AH$19:$AK$19)</f>
        <v>-0.50939107912589077</v>
      </c>
      <c r="AM19" s="53">
        <f ca="1">SUMIF($L$4:$AL$4,"SUBTOTAL",$L$19:$AL$19)</f>
        <v>-116.23171860473001</v>
      </c>
      <c r="AO19" s="76">
        <f ca="1">+'TUSD BE'!$T$19+'TUSD BE'!$AB$19+'TUSD BE'!$AD$19+'TUSD BE'!$AL$19</f>
        <v>583.80859364361561</v>
      </c>
      <c r="AP19" s="76">
        <f ca="1">+'TUSD BE'!$T$19+'TUSD BE'!$AB$19+'TUSD BE'!$AD$19+'TUSD BE'!$AL$19</f>
        <v>583.80859364361561</v>
      </c>
    </row>
    <row r="20" spans="1:42" ht="11.25" customHeight="1" x14ac:dyDescent="0.25">
      <c r="A20" s="131"/>
      <c r="B20" s="131"/>
      <c r="C20" s="131"/>
      <c r="D20" s="131"/>
      <c r="E20" s="131"/>
      <c r="F20" s="131"/>
      <c r="G20" s="74" t="s">
        <v>84</v>
      </c>
      <c r="H20" s="74" t="s">
        <v>82</v>
      </c>
      <c r="I20" s="74">
        <f>'MERCADO TUSD'!$U$17</f>
        <v>11.868000000000002</v>
      </c>
      <c r="J20" s="15"/>
      <c r="L20" s="53">
        <f>'TUSD BE'!$L$20*'TUSD BE'!$L$59</f>
        <v>-0.4232675743487378</v>
      </c>
      <c r="M20" s="53">
        <f>'TUSD BE'!$M$20*'TUSD BE'!$M$59</f>
        <v>-5.6107009911459463E-2</v>
      </c>
      <c r="N20" s="53">
        <f ca="1">'TUSD BE'!$N$20*'TUSD BE'!$N$59</f>
        <v>1.3457486652464822E-11</v>
      </c>
      <c r="O20" s="53">
        <f>'TUSD BE'!$O$20*'TUSD BE'!$O$59</f>
        <v>0</v>
      </c>
      <c r="P20" s="53">
        <f>'TUSD BE'!$P$20*'TUSD BE'!$P$59</f>
        <v>0</v>
      </c>
      <c r="Q20" s="53">
        <f>'TUSD BE'!$Q$20*'TUSD BE'!$Q$59</f>
        <v>1.3282946463723817</v>
      </c>
      <c r="R20" s="53">
        <f>'TUSD BE'!$R$20*'TUSD BE'!$R$59</f>
        <v>-1.3656761373948416</v>
      </c>
      <c r="S20" s="53">
        <f>'TUSD BE'!$R$20*'TUSD BE'!$S$59</f>
        <v>0</v>
      </c>
      <c r="T20" s="53">
        <f ca="1">SUM($L$20:$S$20)</f>
        <v>-0.51675607526919964</v>
      </c>
      <c r="U20" s="53">
        <f>'TUSD BE'!$U$20*'TUSD BE'!$U$59</f>
        <v>-0.58930911184545598</v>
      </c>
      <c r="V20" s="53">
        <f>'TUSD BE'!$V$20*'TUSD BE'!$V$59</f>
        <v>0.10322745800859667</v>
      </c>
      <c r="W20" s="53">
        <f>'TUSD BE'!$W$20*'TUSD BE'!$W$59</f>
        <v>-0.2095760165049626</v>
      </c>
      <c r="X20" s="53">
        <f>'TUSD BE'!$X$20*'TUSD BE'!$X$59</f>
        <v>0</v>
      </c>
      <c r="Y20" s="53">
        <f>'TUSD BE'!$Y$20*'TUSD BE'!$Y$59</f>
        <v>0</v>
      </c>
      <c r="Z20" s="53">
        <f>'TUSD BE'!$Z$20*'TUSD BE'!$Z$59</f>
        <v>0</v>
      </c>
      <c r="AA20" s="53">
        <f>'TUSD BE'!$AA$20*'TUSD BE'!$AA$59</f>
        <v>0</v>
      </c>
      <c r="AB20" s="53">
        <f>SUM($U$20:$AA$20)</f>
        <v>-0.69565767034182191</v>
      </c>
      <c r="AC20" s="53">
        <f>'TUSD BE'!$AC$20*'TUSD BE'!$AC$59</f>
        <v>-0.53894247819162144</v>
      </c>
      <c r="AD20" s="53">
        <f>SUM($AC$20:$AC$20)</f>
        <v>-0.53894247819162144</v>
      </c>
      <c r="AE20" s="53">
        <f ca="1">$AO$20*$AO$56</f>
        <v>-41.04216859234365</v>
      </c>
      <c r="AF20" s="53">
        <f ca="1">$AP$20*$AP$56</f>
        <v>0</v>
      </c>
      <c r="AG20" s="53">
        <f ca="1">SUM($AE$20:$AF$20)</f>
        <v>-41.04216859234365</v>
      </c>
      <c r="AH20" s="53">
        <f>'TUSD BE'!$AH$20*'TUSD BE'!$AH$59</f>
        <v>-0.44707847611599749</v>
      </c>
      <c r="AI20" s="53">
        <f>'TUSD BE'!$AI$20*'TUSD BE'!$AI$59</f>
        <v>-1.5333099014231768E-2</v>
      </c>
      <c r="AJ20" s="53">
        <f ca="1">'TUSD BE'!$AJ$20*'TUSD BE'!$AJ$59</f>
        <v>-6.5823007027000266E-2</v>
      </c>
      <c r="AK20" s="53">
        <f ca="1">'TUSD BE'!$AK$20*'TUSD BE'!$AK$59</f>
        <v>1.8843503031338697E-2</v>
      </c>
      <c r="AL20" s="53">
        <f ca="1">SUM($AH$20:$AK$20)</f>
        <v>-0.50939107912589077</v>
      </c>
      <c r="AM20" s="53">
        <f ca="1">SUMIF($L$4:$AL$4,"SUBTOTAL",$L$20:$AL$20)</f>
        <v>-43.302915895272186</v>
      </c>
      <c r="AO20" s="76">
        <f ca="1">+'TUSD BE'!$T$20+'TUSD BE'!$AB$20+'TUSD BE'!$AD$20+'TUSD BE'!$AL$20</f>
        <v>219.75790516063748</v>
      </c>
      <c r="AP20" s="76">
        <f ca="1">+'TUSD BE'!$T$20+'TUSD BE'!$AB$20+'TUSD BE'!$AD$20+'TUSD BE'!$AL$20</f>
        <v>219.75790516063748</v>
      </c>
    </row>
    <row r="21" spans="1:42" ht="11.25" customHeight="1" x14ac:dyDescent="0.25">
      <c r="A21" s="131"/>
      <c r="B21" s="131" t="s">
        <v>23</v>
      </c>
      <c r="C21" s="131" t="s">
        <v>24</v>
      </c>
      <c r="D21" s="73" t="s">
        <v>24</v>
      </c>
      <c r="E21" s="73" t="s">
        <v>25</v>
      </c>
      <c r="F21" s="73" t="s">
        <v>25</v>
      </c>
      <c r="G21" s="74" t="s">
        <v>86</v>
      </c>
      <c r="H21" s="74" t="s">
        <v>82</v>
      </c>
      <c r="I21" s="74">
        <f>'MERCADO TUSD'!$U$18</f>
        <v>63212.388999999996</v>
      </c>
      <c r="J21" s="15"/>
      <c r="L21" s="53">
        <f>'TUSD BE'!$L$21*'TUSD BE'!$L$59</f>
        <v>-0.4232675743487378</v>
      </c>
      <c r="M21" s="53">
        <f>'TUSD BE'!$M$21*'TUSD BE'!$M$59</f>
        <v>-5.6107009911459463E-2</v>
      </c>
      <c r="N21" s="53">
        <f ca="1">'TUSD BE'!$N$21*'TUSD BE'!$N$59</f>
        <v>2.8239002788186737E-11</v>
      </c>
      <c r="O21" s="53">
        <f>'TUSD BE'!$O$21*'TUSD BE'!$O$59</f>
        <v>0</v>
      </c>
      <c r="P21" s="53">
        <f>'TUSD BE'!$P$21*'TUSD BE'!$P$59</f>
        <v>0</v>
      </c>
      <c r="Q21" s="53">
        <f>'TUSD BE'!$Q$21*'TUSD BE'!$Q$59</f>
        <v>1.3282946463723817</v>
      </c>
      <c r="R21" s="53">
        <f>'TUSD BE'!$R$21*'TUSD BE'!$R$59</f>
        <v>-1.3656761373948416</v>
      </c>
      <c r="S21" s="53">
        <f>'TUSD BE'!$R$21*'TUSD BE'!$S$59</f>
        <v>0</v>
      </c>
      <c r="T21" s="53">
        <f ca="1">SUM($L$21:$S$21)</f>
        <v>-0.51675607525441813</v>
      </c>
      <c r="U21" s="53">
        <f>'TUSD BE'!$U$21*'TUSD BE'!$U$59</f>
        <v>-1.6369692544243668</v>
      </c>
      <c r="V21" s="53">
        <f>'TUSD BE'!$V$21*'TUSD BE'!$V$59</f>
        <v>0.28674293891276859</v>
      </c>
      <c r="W21" s="53">
        <f>'TUSD BE'!$W$21*'TUSD BE'!$W$59</f>
        <v>-0.58215591390232568</v>
      </c>
      <c r="X21" s="53">
        <f>'TUSD BE'!$X$21*'TUSD BE'!$X$59</f>
        <v>0</v>
      </c>
      <c r="Y21" s="53">
        <f>'TUSD BE'!$Y$21*'TUSD BE'!$Y$59</f>
        <v>0</v>
      </c>
      <c r="Z21" s="53">
        <f>'TUSD BE'!$Z$21*'TUSD BE'!$Z$59</f>
        <v>0</v>
      </c>
      <c r="AA21" s="53">
        <f>'TUSD BE'!$AA$21*'TUSD BE'!$AA$59</f>
        <v>0</v>
      </c>
      <c r="AB21" s="53">
        <f>SUM($U$21:$AA$21)</f>
        <v>-1.9323822294139239</v>
      </c>
      <c r="AC21" s="53">
        <f>'TUSD BE'!$AC$21*'TUSD BE'!$AC$59</f>
        <v>-1.4970628689758352</v>
      </c>
      <c r="AD21" s="53">
        <f>SUM($AC$21:$AC$21)</f>
        <v>-1.4970628689758352</v>
      </c>
      <c r="AE21" s="53">
        <f ca="1">$AO$21*$AO$56</f>
        <v>-71.260129922992746</v>
      </c>
      <c r="AF21" s="53">
        <f ca="1">$AP$21*$AP$56</f>
        <v>0</v>
      </c>
      <c r="AG21" s="53">
        <f ca="1">SUM($AE$21:$AF$21)</f>
        <v>-71.260129922992746</v>
      </c>
      <c r="AH21" s="53">
        <f>'TUSD BE'!$AH$21*'TUSD BE'!$AH$59</f>
        <v>-0.44707847611599749</v>
      </c>
      <c r="AI21" s="53">
        <f>'TUSD BE'!$AI$21*'TUSD BE'!$AI$59</f>
        <v>-1.5333099014231768E-2</v>
      </c>
      <c r="AJ21" s="53">
        <f ca="1">'TUSD BE'!$AJ$21*'TUSD BE'!$AJ$59</f>
        <v>-6.5823007027000266E-2</v>
      </c>
      <c r="AK21" s="53">
        <f ca="1">'TUSD BE'!$AK$21*'TUSD BE'!$AK$59</f>
        <v>1.8843503031338697E-2</v>
      </c>
      <c r="AL21" s="53">
        <f ca="1">SUM($AH$21:$AK$21)</f>
        <v>-0.50939107912589077</v>
      </c>
      <c r="AM21" s="53">
        <f ca="1">SUMIF($L$4:$AL$4,"SUBTOTAL",$L$21:$AL$21)</f>
        <v>-75.715722175762821</v>
      </c>
      <c r="AO21" s="76">
        <f ca="1">+'TUSD BE'!$T$21+'TUSD BE'!$AB$21+'TUSD BE'!$AD$21+'TUSD BE'!$AL$21</f>
        <v>381.55822195694333</v>
      </c>
      <c r="AP21" s="76">
        <f ca="1">+'TUSD BE'!$T$21+'TUSD BE'!$AB$21+'TUSD BE'!$AD$21+'TUSD BE'!$AL$21</f>
        <v>381.55822195694333</v>
      </c>
    </row>
    <row r="22" spans="1:42" ht="11.25" customHeight="1" x14ac:dyDescent="0.25">
      <c r="A22" s="131"/>
      <c r="B22" s="131"/>
      <c r="C22" s="131"/>
      <c r="D22" s="73" t="s">
        <v>28</v>
      </c>
      <c r="E22" s="73" t="s">
        <v>25</v>
      </c>
      <c r="F22" s="73" t="s">
        <v>25</v>
      </c>
      <c r="G22" s="74" t="s">
        <v>86</v>
      </c>
      <c r="H22" s="74" t="s">
        <v>82</v>
      </c>
      <c r="I22" s="74">
        <f>'MERCADO TUSD'!$U$19</f>
        <v>258.12700000000001</v>
      </c>
      <c r="J22" s="15"/>
      <c r="L22" s="53">
        <f>'TUSD BE'!$L$22*'TUSD BE'!$L$59</f>
        <v>0</v>
      </c>
      <c r="M22" s="53">
        <f>'TUSD BE'!$M$22*'TUSD BE'!$M$59</f>
        <v>-5.6107009911459463E-2</v>
      </c>
      <c r="N22" s="53">
        <f ca="1">'TUSD BE'!$N$22*'TUSD BE'!$N$59</f>
        <v>2.8135154313735273E-11</v>
      </c>
      <c r="O22" s="53">
        <f>'TUSD BE'!$O$22*'TUSD BE'!$O$59</f>
        <v>0</v>
      </c>
      <c r="P22" s="53">
        <f>'TUSD BE'!$P$22*'TUSD BE'!$P$59</f>
        <v>0</v>
      </c>
      <c r="Q22" s="53">
        <f>'TUSD BE'!$Q$22*'TUSD BE'!$Q$59</f>
        <v>0</v>
      </c>
      <c r="R22" s="53">
        <f>'TUSD BE'!$R$22*'TUSD BE'!$R$59</f>
        <v>0</v>
      </c>
      <c r="S22" s="53">
        <f>'TUSD BE'!$R$22*'TUSD BE'!$S$59</f>
        <v>0</v>
      </c>
      <c r="T22" s="53">
        <f ca="1">SUM($L$22:$S$22)</f>
        <v>-5.6107009883324309E-2</v>
      </c>
      <c r="U22" s="53">
        <f>'TUSD BE'!$U$22*'TUSD BE'!$U$59</f>
        <v>-1.6369692544243668</v>
      </c>
      <c r="V22" s="53">
        <f>'TUSD BE'!$V$22*'TUSD BE'!$V$59</f>
        <v>0.28674293891276859</v>
      </c>
      <c r="W22" s="53">
        <f>'TUSD BE'!$W$22*'TUSD BE'!$W$59</f>
        <v>-0.58215591390232568</v>
      </c>
      <c r="X22" s="53">
        <f>'TUSD BE'!$X$22*'TUSD BE'!$X$59</f>
        <v>0</v>
      </c>
      <c r="Y22" s="53">
        <f>'TUSD BE'!$Y$22*'TUSD BE'!$Y$59</f>
        <v>0</v>
      </c>
      <c r="Z22" s="53">
        <f>'TUSD BE'!$Z$22*'TUSD BE'!$Z$59</f>
        <v>0</v>
      </c>
      <c r="AA22" s="53">
        <f>'TUSD BE'!$AA$22*'TUSD BE'!$AA$59</f>
        <v>0</v>
      </c>
      <c r="AB22" s="53">
        <f>SUM($U$22:$AA$22)</f>
        <v>-1.9323822294139239</v>
      </c>
      <c r="AC22" s="53">
        <f>'TUSD BE'!$AC$22*'TUSD BE'!$AC$59</f>
        <v>-1.4970628689758352</v>
      </c>
      <c r="AD22" s="53">
        <f>SUM($AC$22:$AC$22)</f>
        <v>-1.4970628689758352</v>
      </c>
      <c r="AE22" s="53">
        <f ca="1">$AO$22*$AO$56</f>
        <v>-51.055269028897861</v>
      </c>
      <c r="AF22" s="53">
        <f ca="1">$AP$22*$AP$56</f>
        <v>0</v>
      </c>
      <c r="AG22" s="53">
        <f ca="1">SUM($AE$22:$AF$22)</f>
        <v>-51.055269028897861</v>
      </c>
      <c r="AH22" s="53">
        <f>'TUSD BE'!$AH$22*'TUSD BE'!$AH$59</f>
        <v>-0.44707847611599749</v>
      </c>
      <c r="AI22" s="53">
        <f>'TUSD BE'!$AI$22*'TUSD BE'!$AI$59</f>
        <v>-1.5333099014231768E-2</v>
      </c>
      <c r="AJ22" s="53">
        <f ca="1">'TUSD BE'!$AJ$22*'TUSD BE'!$AJ$59</f>
        <v>-6.5823007027000266E-2</v>
      </c>
      <c r="AK22" s="53">
        <f ca="1">'TUSD BE'!$AK$22*'TUSD BE'!$AK$59</f>
        <v>1.8843503031338697E-2</v>
      </c>
      <c r="AL22" s="53">
        <f ca="1">SUM($AH$22:$AK$22)</f>
        <v>-0.50939107912589077</v>
      </c>
      <c r="AM22" s="53">
        <f ca="1">SUMIF($L$4:$AL$4,"SUBTOTAL",$L$22:$AL$22)</f>
        <v>-55.050212216296835</v>
      </c>
      <c r="AO22" s="76">
        <f ca="1">+'TUSD BE'!$T$22+'TUSD BE'!$AB$22+'TUSD BE'!$AD$22+'TUSD BE'!$AL$22</f>
        <v>273.37246919492463</v>
      </c>
      <c r="AP22" s="76">
        <f ca="1">+'TUSD BE'!$T$22+'TUSD BE'!$AB$22+'TUSD BE'!$AD$22+'TUSD BE'!$AL$22</f>
        <v>273.37246919492463</v>
      </c>
    </row>
    <row r="23" spans="1:42" ht="11.25" customHeight="1" x14ac:dyDescent="0.25">
      <c r="A23" s="131"/>
      <c r="B23" s="131"/>
      <c r="C23" s="131"/>
      <c r="D23" s="73" t="s">
        <v>29</v>
      </c>
      <c r="E23" s="73" t="s">
        <v>25</v>
      </c>
      <c r="F23" s="73" t="s">
        <v>25</v>
      </c>
      <c r="G23" s="74" t="s">
        <v>86</v>
      </c>
      <c r="H23" s="74" t="s">
        <v>82</v>
      </c>
      <c r="I23" s="74">
        <f>'MERCADO TUSD'!$U$20</f>
        <v>546.58100000000002</v>
      </c>
      <c r="J23" s="15"/>
      <c r="L23" s="53">
        <f>'TUSD BE'!$L$23*'TUSD BE'!$L$59</f>
        <v>0</v>
      </c>
      <c r="M23" s="53">
        <f>'TUSD BE'!$M$23*'TUSD BE'!$M$59</f>
        <v>-5.6107009911459463E-2</v>
      </c>
      <c r="N23" s="53">
        <f ca="1">'TUSD BE'!$N$23*'TUSD BE'!$N$59</f>
        <v>2.8135154313735273E-11</v>
      </c>
      <c r="O23" s="53">
        <f>'TUSD BE'!$O$23*'TUSD BE'!$O$59</f>
        <v>0</v>
      </c>
      <c r="P23" s="53">
        <f>'TUSD BE'!$P$23*'TUSD BE'!$P$59</f>
        <v>0</v>
      </c>
      <c r="Q23" s="53">
        <f>'TUSD BE'!$Q$23*'TUSD BE'!$Q$59</f>
        <v>0</v>
      </c>
      <c r="R23" s="53">
        <f>'TUSD BE'!$R$23*'TUSD BE'!$R$59</f>
        <v>0</v>
      </c>
      <c r="S23" s="53">
        <f>'TUSD BE'!$R$23*'TUSD BE'!$S$59</f>
        <v>0</v>
      </c>
      <c r="T23" s="53">
        <f ca="1">SUM($L$23:$S$23)</f>
        <v>-5.6107009883324309E-2</v>
      </c>
      <c r="U23" s="53">
        <f>'TUSD BE'!$U$23*'TUSD BE'!$U$59</f>
        <v>-1.6369692544243668</v>
      </c>
      <c r="V23" s="53">
        <f>'TUSD BE'!$V$23*'TUSD BE'!$V$59</f>
        <v>0.28674293891276859</v>
      </c>
      <c r="W23" s="53">
        <f>'TUSD BE'!$W$23*'TUSD BE'!$W$59</f>
        <v>-0.58215591390232568</v>
      </c>
      <c r="X23" s="53">
        <f>'TUSD BE'!$X$23*'TUSD BE'!$X$59</f>
        <v>0</v>
      </c>
      <c r="Y23" s="53">
        <f>'TUSD BE'!$Y$23*'TUSD BE'!$Y$59</f>
        <v>0</v>
      </c>
      <c r="Z23" s="53">
        <f>'TUSD BE'!$Z$23*'TUSD BE'!$Z$59</f>
        <v>0</v>
      </c>
      <c r="AA23" s="53">
        <f>'TUSD BE'!$AA$23*'TUSD BE'!$AA$59</f>
        <v>0</v>
      </c>
      <c r="AB23" s="53">
        <f>SUM($U$23:$AA$23)</f>
        <v>-1.9323822294139239</v>
      </c>
      <c r="AC23" s="53">
        <f>'TUSD BE'!$AC$23*'TUSD BE'!$AC$59</f>
        <v>-1.4970628689758352</v>
      </c>
      <c r="AD23" s="53">
        <f>SUM($AC$23:$AC$23)</f>
        <v>-1.4970628689758352</v>
      </c>
      <c r="AE23" s="53">
        <f ca="1">$AO$23*$AO$56</f>
        <v>-51.055269028897861</v>
      </c>
      <c r="AF23" s="53">
        <f ca="1">$AP$23*$AP$56</f>
        <v>0</v>
      </c>
      <c r="AG23" s="53">
        <f ca="1">SUM($AE$23:$AF$23)</f>
        <v>-51.055269028897861</v>
      </c>
      <c r="AH23" s="53">
        <f>'TUSD BE'!$AH$23*'TUSD BE'!$AH$59</f>
        <v>-0.44707847611599749</v>
      </c>
      <c r="AI23" s="53">
        <f>'TUSD BE'!$AI$23*'TUSD BE'!$AI$59</f>
        <v>-1.5333099014231768E-2</v>
      </c>
      <c r="AJ23" s="53">
        <f ca="1">'TUSD BE'!$AJ$23*'TUSD BE'!$AJ$59</f>
        <v>-6.5823007027000266E-2</v>
      </c>
      <c r="AK23" s="53">
        <f ca="1">'TUSD BE'!$AK$23*'TUSD BE'!$AK$59</f>
        <v>1.8843503031338697E-2</v>
      </c>
      <c r="AL23" s="53">
        <f ca="1">SUM($AH$23:$AK$23)</f>
        <v>-0.50939107912589077</v>
      </c>
      <c r="AM23" s="53">
        <f ca="1">SUMIF($L$4:$AL$4,"SUBTOTAL",$L$23:$AL$23)</f>
        <v>-55.050212216296835</v>
      </c>
      <c r="AO23" s="76">
        <f ca="1">+'TUSD BE'!$T$23+'TUSD BE'!$AB$23+'TUSD BE'!$AD$23+'TUSD BE'!$AL$23</f>
        <v>273.37246919492463</v>
      </c>
      <c r="AP23" s="76">
        <f ca="1">+'TUSD BE'!$T$23+'TUSD BE'!$AB$23+'TUSD BE'!$AD$23+'TUSD BE'!$AL$23</f>
        <v>273.37246919492463</v>
      </c>
    </row>
    <row r="24" spans="1:42" ht="11.25" customHeight="1" x14ac:dyDescent="0.25">
      <c r="A24" s="131"/>
      <c r="B24" s="131"/>
      <c r="C24" s="131"/>
      <c r="D24" s="73" t="s">
        <v>30</v>
      </c>
      <c r="E24" s="73" t="s">
        <v>25</v>
      </c>
      <c r="F24" s="73" t="s">
        <v>25</v>
      </c>
      <c r="G24" s="74" t="s">
        <v>86</v>
      </c>
      <c r="H24" s="74" t="s">
        <v>82</v>
      </c>
      <c r="I24" s="74">
        <f>'MERCADO TUSD'!$U$21</f>
        <v>537.75300000000004</v>
      </c>
      <c r="J24" s="15"/>
      <c r="L24" s="53">
        <f>'TUSD BE'!$L$24*'TUSD BE'!$L$59</f>
        <v>0</v>
      </c>
      <c r="M24" s="53">
        <f>'TUSD BE'!$M$24*'TUSD BE'!$M$59</f>
        <v>-5.6107009911459463E-2</v>
      </c>
      <c r="N24" s="53">
        <f ca="1">'TUSD BE'!$N$24*'TUSD BE'!$N$59</f>
        <v>2.8135154313735273E-11</v>
      </c>
      <c r="O24" s="53">
        <f>'TUSD BE'!$O$24*'TUSD BE'!$O$59</f>
        <v>0</v>
      </c>
      <c r="P24" s="53">
        <f>'TUSD BE'!$P$24*'TUSD BE'!$P$59</f>
        <v>0</v>
      </c>
      <c r="Q24" s="53">
        <f>'TUSD BE'!$Q$24*'TUSD BE'!$Q$59</f>
        <v>0</v>
      </c>
      <c r="R24" s="53">
        <f>'TUSD BE'!$R$24*'TUSD BE'!$R$59</f>
        <v>0</v>
      </c>
      <c r="S24" s="53">
        <f>'TUSD BE'!$R$24*'TUSD BE'!$S$59</f>
        <v>0</v>
      </c>
      <c r="T24" s="53">
        <f ca="1">SUM($L$24:$S$24)</f>
        <v>-5.6107009883324309E-2</v>
      </c>
      <c r="U24" s="53">
        <f>'TUSD BE'!$U$24*'TUSD BE'!$U$59</f>
        <v>-1.6369692544243668</v>
      </c>
      <c r="V24" s="53">
        <f>'TUSD BE'!$V$24*'TUSD BE'!$V$59</f>
        <v>0.28674293891276859</v>
      </c>
      <c r="W24" s="53">
        <f>'TUSD BE'!$W$24*'TUSD BE'!$W$59</f>
        <v>-0.58215591390232568</v>
      </c>
      <c r="X24" s="53">
        <f>'TUSD BE'!$X$24*'TUSD BE'!$X$59</f>
        <v>0</v>
      </c>
      <c r="Y24" s="53">
        <f>'TUSD BE'!$Y$24*'TUSD BE'!$Y$59</f>
        <v>0</v>
      </c>
      <c r="Z24" s="53">
        <f>'TUSD BE'!$Z$24*'TUSD BE'!$Z$59</f>
        <v>0</v>
      </c>
      <c r="AA24" s="53">
        <f>'TUSD BE'!$AA$24*'TUSD BE'!$AA$59</f>
        <v>0</v>
      </c>
      <c r="AB24" s="53">
        <f>SUM($U$24:$AA$24)</f>
        <v>-1.9323822294139239</v>
      </c>
      <c r="AC24" s="53">
        <f>'TUSD BE'!$AC$24*'TUSD BE'!$AC$59</f>
        <v>-1.4970628689758352</v>
      </c>
      <c r="AD24" s="53">
        <f>SUM($AC$24:$AC$24)</f>
        <v>-1.4970628689758352</v>
      </c>
      <c r="AE24" s="53">
        <f ca="1">$AO$24*$AO$56</f>
        <v>-51.055269028897861</v>
      </c>
      <c r="AF24" s="53">
        <f ca="1">$AP$24*$AP$56</f>
        <v>0</v>
      </c>
      <c r="AG24" s="53">
        <f ca="1">SUM($AE$24:$AF$24)</f>
        <v>-51.055269028897861</v>
      </c>
      <c r="AH24" s="53">
        <f>'TUSD BE'!$AH$24*'TUSD BE'!$AH$59</f>
        <v>-0.44707847611599749</v>
      </c>
      <c r="AI24" s="53">
        <f>'TUSD BE'!$AI$24*'TUSD BE'!$AI$59</f>
        <v>-1.5333099014231768E-2</v>
      </c>
      <c r="AJ24" s="53">
        <f ca="1">'TUSD BE'!$AJ$24*'TUSD BE'!$AJ$59</f>
        <v>-6.5823007027000266E-2</v>
      </c>
      <c r="AK24" s="53">
        <f ca="1">'TUSD BE'!$AK$24*'TUSD BE'!$AK$59</f>
        <v>1.8843503031338697E-2</v>
      </c>
      <c r="AL24" s="53">
        <f ca="1">SUM($AH$24:$AK$24)</f>
        <v>-0.50939107912589077</v>
      </c>
      <c r="AM24" s="53">
        <f ca="1">SUMIF($L$4:$AL$4,"SUBTOTAL",$L$24:$AL$24)</f>
        <v>-55.050212216296835</v>
      </c>
      <c r="AO24" s="76">
        <f ca="1">+'TUSD BE'!$T$24+'TUSD BE'!$AB$24+'TUSD BE'!$AD$24+'TUSD BE'!$AL$24</f>
        <v>273.37246919492463</v>
      </c>
      <c r="AP24" s="76">
        <f ca="1">+'TUSD BE'!$T$24+'TUSD BE'!$AB$24+'TUSD BE'!$AD$24+'TUSD BE'!$AL$24</f>
        <v>273.37246919492463</v>
      </c>
    </row>
    <row r="25" spans="1:42" ht="11.25" customHeight="1" x14ac:dyDescent="0.25">
      <c r="A25" s="131"/>
      <c r="B25" s="131"/>
      <c r="C25" s="131"/>
      <c r="D25" s="73" t="s">
        <v>31</v>
      </c>
      <c r="E25" s="73" t="s">
        <v>25</v>
      </c>
      <c r="F25" s="73" t="s">
        <v>25</v>
      </c>
      <c r="G25" s="74" t="s">
        <v>86</v>
      </c>
      <c r="H25" s="74" t="s">
        <v>82</v>
      </c>
      <c r="I25" s="74">
        <f>'MERCADO TUSD'!$U$22</f>
        <v>180.10599999999999</v>
      </c>
      <c r="J25" s="15"/>
      <c r="L25" s="53">
        <f>'TUSD BE'!$L$25*'TUSD BE'!$L$59</f>
        <v>0</v>
      </c>
      <c r="M25" s="53">
        <f>'TUSD BE'!$M$25*'TUSD BE'!$M$59</f>
        <v>-5.6107009911459463E-2</v>
      </c>
      <c r="N25" s="53">
        <f ca="1">'TUSD BE'!$N$25*'TUSD BE'!$N$59</f>
        <v>2.8135154313735273E-11</v>
      </c>
      <c r="O25" s="53">
        <f>'TUSD BE'!$O$25*'TUSD BE'!$O$59</f>
        <v>0</v>
      </c>
      <c r="P25" s="53">
        <f>'TUSD BE'!$P$25*'TUSD BE'!$P$59</f>
        <v>0</v>
      </c>
      <c r="Q25" s="53">
        <f>'TUSD BE'!$Q$25*'TUSD BE'!$Q$59</f>
        <v>0</v>
      </c>
      <c r="R25" s="53">
        <f>'TUSD BE'!$R$25*'TUSD BE'!$R$59</f>
        <v>0</v>
      </c>
      <c r="S25" s="53">
        <f>'TUSD BE'!$R$25*'TUSD BE'!$S$59</f>
        <v>0</v>
      </c>
      <c r="T25" s="53">
        <f ca="1">SUM($L$25:$S$25)</f>
        <v>-5.6107009883324309E-2</v>
      </c>
      <c r="U25" s="53">
        <f>'TUSD BE'!$U$25*'TUSD BE'!$U$59</f>
        <v>-1.6369692544243668</v>
      </c>
      <c r="V25" s="53">
        <f>'TUSD BE'!$V$25*'TUSD BE'!$V$59</f>
        <v>0.28674293891276859</v>
      </c>
      <c r="W25" s="53">
        <f>'TUSD BE'!$W$25*'TUSD BE'!$W$59</f>
        <v>-0.58215591390232568</v>
      </c>
      <c r="X25" s="53">
        <f>'TUSD BE'!$X$25*'TUSD BE'!$X$59</f>
        <v>0</v>
      </c>
      <c r="Y25" s="53">
        <f>'TUSD BE'!$Y$25*'TUSD BE'!$Y$59</f>
        <v>0</v>
      </c>
      <c r="Z25" s="53">
        <f>'TUSD BE'!$Z$25*'TUSD BE'!$Z$59</f>
        <v>0</v>
      </c>
      <c r="AA25" s="53">
        <f>'TUSD BE'!$AA$25*'TUSD BE'!$AA$59</f>
        <v>0</v>
      </c>
      <c r="AB25" s="53">
        <f>SUM($U$25:$AA$25)</f>
        <v>-1.9323822294139239</v>
      </c>
      <c r="AC25" s="53">
        <f>'TUSD BE'!$AC$25*'TUSD BE'!$AC$59</f>
        <v>-1.4970628689758352</v>
      </c>
      <c r="AD25" s="53">
        <f>SUM($AC$25:$AC$25)</f>
        <v>-1.4970628689758352</v>
      </c>
      <c r="AE25" s="53">
        <f ca="1">$AO$25*$AO$56</f>
        <v>-51.055269028897861</v>
      </c>
      <c r="AF25" s="53">
        <f ca="1">$AP$25*$AP$56</f>
        <v>0</v>
      </c>
      <c r="AG25" s="53">
        <f ca="1">SUM($AE$25:$AF$25)</f>
        <v>-51.055269028897861</v>
      </c>
      <c r="AH25" s="53">
        <f>'TUSD BE'!$AH$25*'TUSD BE'!$AH$59</f>
        <v>-0.44707847611599749</v>
      </c>
      <c r="AI25" s="53">
        <f>'TUSD BE'!$AI$25*'TUSD BE'!$AI$59</f>
        <v>-1.5333099014231768E-2</v>
      </c>
      <c r="AJ25" s="53">
        <f ca="1">'TUSD BE'!$AJ$25*'TUSD BE'!$AJ$59</f>
        <v>-6.5823007027000266E-2</v>
      </c>
      <c r="AK25" s="53">
        <f ca="1">'TUSD BE'!$AK$25*'TUSD BE'!$AK$59</f>
        <v>1.8843503031338697E-2</v>
      </c>
      <c r="AL25" s="53">
        <f ca="1">SUM($AH$25:$AK$25)</f>
        <v>-0.50939107912589077</v>
      </c>
      <c r="AM25" s="53">
        <f ca="1">SUMIF($L$4:$AL$4,"SUBTOTAL",$L$25:$AL$25)</f>
        <v>-55.050212216296835</v>
      </c>
      <c r="AO25" s="76">
        <f ca="1">+'TUSD BE'!$T$25+'TUSD BE'!$AB$25+'TUSD BE'!$AD$25+'TUSD BE'!$AL$25</f>
        <v>273.37246919492463</v>
      </c>
      <c r="AP25" s="76">
        <f ca="1">+'TUSD BE'!$T$25+'TUSD BE'!$AB$25+'TUSD BE'!$AD$25+'TUSD BE'!$AL$25</f>
        <v>273.37246919492463</v>
      </c>
    </row>
    <row r="26" spans="1:42" ht="11.25" customHeight="1" x14ac:dyDescent="0.25">
      <c r="A26" s="131"/>
      <c r="B26" s="131" t="s">
        <v>95</v>
      </c>
      <c r="C26" s="131" t="s">
        <v>24</v>
      </c>
      <c r="D26" s="73" t="s">
        <v>24</v>
      </c>
      <c r="E26" s="73" t="s">
        <v>25</v>
      </c>
      <c r="F26" s="73" t="s">
        <v>25</v>
      </c>
      <c r="G26" s="74" t="s">
        <v>86</v>
      </c>
      <c r="H26" s="74" t="s">
        <v>82</v>
      </c>
      <c r="I26" s="74">
        <f>'MERCADO TUSD'!$U$23</f>
        <v>0</v>
      </c>
      <c r="J26" s="15"/>
      <c r="L26" s="53">
        <f>'TUSD BE'!$L$26*'TUSD BE'!$L$59</f>
        <v>-0.4232675743487378</v>
      </c>
      <c r="M26" s="53">
        <f>'TUSD BE'!$M$26*'TUSD BE'!$M$59</f>
        <v>-5.6107009911459463E-2</v>
      </c>
      <c r="N26" s="53">
        <f ca="1">'TUSD BE'!$N$26*'TUSD BE'!$N$59</f>
        <v>2.8239002788186737E-11</v>
      </c>
      <c r="O26" s="53">
        <f>'TUSD BE'!$O$26*'TUSD BE'!$O$59</f>
        <v>0</v>
      </c>
      <c r="P26" s="53">
        <f>'TUSD BE'!$P$26*'TUSD BE'!$P$59</f>
        <v>0</v>
      </c>
      <c r="Q26" s="53">
        <f>'TUSD BE'!$Q$26*'TUSD BE'!$Q$59</f>
        <v>1.3282946463723817</v>
      </c>
      <c r="R26" s="53">
        <f>'TUSD BE'!$R$26*'TUSD BE'!$R$59</f>
        <v>-1.3656761373948416</v>
      </c>
      <c r="S26" s="53">
        <f>'TUSD BE'!$R$26*'TUSD BE'!$S$59</f>
        <v>0</v>
      </c>
      <c r="T26" s="53">
        <f ca="1">SUM($L$26:$S$26)</f>
        <v>-0.51675607525441813</v>
      </c>
      <c r="U26" s="53">
        <f>'TUSD BE'!$U$26*'TUSD BE'!$U$59</f>
        <v>-1.6369692544243668</v>
      </c>
      <c r="V26" s="53">
        <f>'TUSD BE'!$V$26*'TUSD BE'!$V$59</f>
        <v>0.28674293891276859</v>
      </c>
      <c r="W26" s="53">
        <f>'TUSD BE'!$W$26*'TUSD BE'!$W$59</f>
        <v>-0.58215591390232568</v>
      </c>
      <c r="X26" s="53">
        <f>'TUSD BE'!$X$26*'TUSD BE'!$X$59</f>
        <v>0</v>
      </c>
      <c r="Y26" s="53">
        <f>'TUSD BE'!$Y$26*'TUSD BE'!$Y$59</f>
        <v>0</v>
      </c>
      <c r="Z26" s="53">
        <f>'TUSD BE'!$Z$26*'TUSD BE'!$Z$59</f>
        <v>0</v>
      </c>
      <c r="AA26" s="53">
        <f>'TUSD BE'!$AA$26*'TUSD BE'!$AA$59</f>
        <v>0</v>
      </c>
      <c r="AB26" s="53">
        <f>SUM($U$26:$AA$26)</f>
        <v>-1.9323822294139239</v>
      </c>
      <c r="AC26" s="53">
        <f>'TUSD BE'!$AC$26*'TUSD BE'!$AC$59</f>
        <v>-1.4970628689758352</v>
      </c>
      <c r="AD26" s="53">
        <f>SUM($AC$26:$AC$26)</f>
        <v>-1.4970628689758352</v>
      </c>
      <c r="AE26" s="53">
        <f ca="1">$AO$26*$AO$56</f>
        <v>-71.260129922992746</v>
      </c>
      <c r="AF26" s="53">
        <f ca="1">$AP$26*$AP$56</f>
        <v>0</v>
      </c>
      <c r="AG26" s="53">
        <f ca="1">SUM($AE$26:$AF$26)</f>
        <v>-71.260129922992746</v>
      </c>
      <c r="AH26" s="53">
        <f>'TUSD BE'!$AH$26*'TUSD BE'!$AH$59</f>
        <v>-0.44707847611599749</v>
      </c>
      <c r="AI26" s="53">
        <f>'TUSD BE'!$AI$26*'TUSD BE'!$AI$59</f>
        <v>-1.5333099014231768E-2</v>
      </c>
      <c r="AJ26" s="53">
        <f ca="1">'TUSD BE'!$AJ$26*'TUSD BE'!$AJ$59</f>
        <v>-6.5823007027000266E-2</v>
      </c>
      <c r="AK26" s="53">
        <f ca="1">'TUSD BE'!$AK$26*'TUSD BE'!$AK$59</f>
        <v>1.8843503031338697E-2</v>
      </c>
      <c r="AL26" s="53">
        <f ca="1">SUM($AH$26:$AK$26)</f>
        <v>-0.50939107912589077</v>
      </c>
      <c r="AM26" s="53">
        <f ca="1">SUMIF($L$4:$AL$4,"SUBTOTAL",$L$26:$AL$26)</f>
        <v>-75.715722175762821</v>
      </c>
      <c r="AO26" s="76">
        <f ca="1">+'TUSD BE'!$T$26+'TUSD BE'!$AB$26+'TUSD BE'!$AD$26+'TUSD BE'!$AL$26</f>
        <v>381.55822195694333</v>
      </c>
      <c r="AP26" s="76">
        <f ca="1">+'TUSD BE'!$T$26+'TUSD BE'!$AB$26+'TUSD BE'!$AD$26+'TUSD BE'!$AL$26</f>
        <v>381.55822195694333</v>
      </c>
    </row>
    <row r="27" spans="1:42" ht="11.25" customHeight="1" x14ac:dyDescent="0.25">
      <c r="A27" s="131"/>
      <c r="B27" s="131"/>
      <c r="C27" s="131"/>
      <c r="D27" s="73" t="s">
        <v>28</v>
      </c>
      <c r="E27" s="73" t="s">
        <v>25</v>
      </c>
      <c r="F27" s="73" t="s">
        <v>25</v>
      </c>
      <c r="G27" s="74" t="s">
        <v>86</v>
      </c>
      <c r="H27" s="74" t="s">
        <v>82</v>
      </c>
      <c r="I27" s="74">
        <f>'MERCADO TUSD'!$U$24</f>
        <v>0</v>
      </c>
      <c r="J27" s="15"/>
      <c r="L27" s="53">
        <f>'TUSD BE'!$L$27*'TUSD BE'!$L$59</f>
        <v>0</v>
      </c>
      <c r="M27" s="53">
        <f>'TUSD BE'!$M$27*'TUSD BE'!$M$59</f>
        <v>-5.6107009911459463E-2</v>
      </c>
      <c r="N27" s="53">
        <f ca="1">'TUSD BE'!$N$27*'TUSD BE'!$N$59</f>
        <v>2.8135154313735273E-11</v>
      </c>
      <c r="O27" s="53">
        <f>'TUSD BE'!$O$27*'TUSD BE'!$O$59</f>
        <v>0</v>
      </c>
      <c r="P27" s="53">
        <f>'TUSD BE'!$P$27*'TUSD BE'!$P$59</f>
        <v>0</v>
      </c>
      <c r="Q27" s="53">
        <f>'TUSD BE'!$Q$27*'TUSD BE'!$Q$59</f>
        <v>0</v>
      </c>
      <c r="R27" s="53">
        <f>'TUSD BE'!$R$27*'TUSD BE'!$R$59</f>
        <v>0</v>
      </c>
      <c r="S27" s="53">
        <f>'TUSD BE'!$R$27*'TUSD BE'!$S$59</f>
        <v>0</v>
      </c>
      <c r="T27" s="53">
        <f ca="1">SUM($L$27:$S$27)</f>
        <v>-5.6107009883324309E-2</v>
      </c>
      <c r="U27" s="53">
        <f>'TUSD BE'!$U$27*'TUSD BE'!$U$59</f>
        <v>-1.6369692544243668</v>
      </c>
      <c r="V27" s="53">
        <f>'TUSD BE'!$V$27*'TUSD BE'!$V$59</f>
        <v>0.28674293891276859</v>
      </c>
      <c r="W27" s="53">
        <f>'TUSD BE'!$W$27*'TUSD BE'!$W$59</f>
        <v>-0.58215591390232568</v>
      </c>
      <c r="X27" s="53">
        <f>'TUSD BE'!$X$27*'TUSD BE'!$X$59</f>
        <v>0</v>
      </c>
      <c r="Y27" s="53">
        <f>'TUSD BE'!$Y$27*'TUSD BE'!$Y$59</f>
        <v>0</v>
      </c>
      <c r="Z27" s="53">
        <f>'TUSD BE'!$Z$27*'TUSD BE'!$Z$59</f>
        <v>0</v>
      </c>
      <c r="AA27" s="53">
        <f>'TUSD BE'!$AA$27*'TUSD BE'!$AA$59</f>
        <v>0</v>
      </c>
      <c r="AB27" s="53">
        <f>SUM($U$27:$AA$27)</f>
        <v>-1.9323822294139239</v>
      </c>
      <c r="AC27" s="53">
        <f>'TUSD BE'!$AC$27*'TUSD BE'!$AC$59</f>
        <v>-1.4970628689758352</v>
      </c>
      <c r="AD27" s="53">
        <f>SUM($AC$27:$AC$27)</f>
        <v>-1.4970628689758352</v>
      </c>
      <c r="AE27" s="53">
        <f ca="1">$AO$27*$AO$56</f>
        <v>-51.055269028897861</v>
      </c>
      <c r="AF27" s="53">
        <f ca="1">$AP$27*$AP$56</f>
        <v>0</v>
      </c>
      <c r="AG27" s="53">
        <f ca="1">SUM($AE$27:$AF$27)</f>
        <v>-51.055269028897861</v>
      </c>
      <c r="AH27" s="53">
        <f>'TUSD BE'!$AH$27*'TUSD BE'!$AH$59</f>
        <v>-0.44707847611599749</v>
      </c>
      <c r="AI27" s="53">
        <f>'TUSD BE'!$AI$27*'TUSD BE'!$AI$59</f>
        <v>-1.5333099014231768E-2</v>
      </c>
      <c r="AJ27" s="53">
        <f ca="1">'TUSD BE'!$AJ$27*'TUSD BE'!$AJ$59</f>
        <v>-6.5823007027000266E-2</v>
      </c>
      <c r="AK27" s="53">
        <f ca="1">'TUSD BE'!$AK$27*'TUSD BE'!$AK$59</f>
        <v>1.8843503031338697E-2</v>
      </c>
      <c r="AL27" s="53">
        <f ca="1">SUM($AH$27:$AK$27)</f>
        <v>-0.50939107912589077</v>
      </c>
      <c r="AM27" s="53">
        <f ca="1">SUMIF($L$4:$AL$4,"SUBTOTAL",$L$27:$AL$27)</f>
        <v>-55.050212216296835</v>
      </c>
      <c r="AO27" s="76">
        <f ca="1">+'TUSD BE'!$T$27+'TUSD BE'!$AB$27+'TUSD BE'!$AD$27+'TUSD BE'!$AL$27</f>
        <v>273.37246919492463</v>
      </c>
      <c r="AP27" s="76">
        <f ca="1">+'TUSD BE'!$T$27+'TUSD BE'!$AB$27+'TUSD BE'!$AD$27+'TUSD BE'!$AL$27</f>
        <v>273.37246919492463</v>
      </c>
    </row>
    <row r="28" spans="1:42" ht="11.25" customHeight="1" x14ac:dyDescent="0.25">
      <c r="A28" s="131"/>
      <c r="B28" s="131"/>
      <c r="C28" s="131"/>
      <c r="D28" s="73" t="s">
        <v>29</v>
      </c>
      <c r="E28" s="73" t="s">
        <v>25</v>
      </c>
      <c r="F28" s="73" t="s">
        <v>25</v>
      </c>
      <c r="G28" s="74" t="s">
        <v>86</v>
      </c>
      <c r="H28" s="74" t="s">
        <v>82</v>
      </c>
      <c r="I28" s="74">
        <f>'MERCADO TUSD'!$U$25</f>
        <v>0</v>
      </c>
      <c r="J28" s="15"/>
      <c r="L28" s="53">
        <f>'TUSD BE'!$L$28*'TUSD BE'!$L$59</f>
        <v>0</v>
      </c>
      <c r="M28" s="53">
        <f>'TUSD BE'!$M$28*'TUSD BE'!$M$59</f>
        <v>-5.6107009911459463E-2</v>
      </c>
      <c r="N28" s="53">
        <f ca="1">'TUSD BE'!$N$28*'TUSD BE'!$N$59</f>
        <v>2.8135154313735273E-11</v>
      </c>
      <c r="O28" s="53">
        <f>'TUSD BE'!$O$28*'TUSD BE'!$O$59</f>
        <v>0</v>
      </c>
      <c r="P28" s="53">
        <f>'TUSD BE'!$P$28*'TUSD BE'!$P$59</f>
        <v>0</v>
      </c>
      <c r="Q28" s="53">
        <f>'TUSD BE'!$Q$28*'TUSD BE'!$Q$59</f>
        <v>0</v>
      </c>
      <c r="R28" s="53">
        <f>'TUSD BE'!$R$28*'TUSD BE'!$R$59</f>
        <v>0</v>
      </c>
      <c r="S28" s="53">
        <f>'TUSD BE'!$R$28*'TUSD BE'!$S$59</f>
        <v>0</v>
      </c>
      <c r="T28" s="53">
        <f ca="1">SUM($L$28:$S$28)</f>
        <v>-5.6107009883324309E-2</v>
      </c>
      <c r="U28" s="53">
        <f>'TUSD BE'!$U$28*'TUSD BE'!$U$59</f>
        <v>-1.6369692544243668</v>
      </c>
      <c r="V28" s="53">
        <f>'TUSD BE'!$V$28*'TUSD BE'!$V$59</f>
        <v>0.28674293891276859</v>
      </c>
      <c r="W28" s="53">
        <f>'TUSD BE'!$W$28*'TUSD BE'!$W$59</f>
        <v>-0.58215591390232568</v>
      </c>
      <c r="X28" s="53">
        <f>'TUSD BE'!$X$28*'TUSD BE'!$X$59</f>
        <v>0</v>
      </c>
      <c r="Y28" s="53">
        <f>'TUSD BE'!$Y$28*'TUSD BE'!$Y$59</f>
        <v>0</v>
      </c>
      <c r="Z28" s="53">
        <f>'TUSD BE'!$Z$28*'TUSD BE'!$Z$59</f>
        <v>0</v>
      </c>
      <c r="AA28" s="53">
        <f>'TUSD BE'!$AA$28*'TUSD BE'!$AA$59</f>
        <v>0</v>
      </c>
      <c r="AB28" s="53">
        <f>SUM($U$28:$AA$28)</f>
        <v>-1.9323822294139239</v>
      </c>
      <c r="AC28" s="53">
        <f>'TUSD BE'!$AC$28*'TUSD BE'!$AC$59</f>
        <v>-1.4970628689758352</v>
      </c>
      <c r="AD28" s="53">
        <f>SUM($AC$28:$AC$28)</f>
        <v>-1.4970628689758352</v>
      </c>
      <c r="AE28" s="53">
        <f ca="1">$AO$28*$AO$56</f>
        <v>-51.055269028897861</v>
      </c>
      <c r="AF28" s="53">
        <f ca="1">$AP$28*$AP$56</f>
        <v>0</v>
      </c>
      <c r="AG28" s="53">
        <f ca="1">SUM($AE$28:$AF$28)</f>
        <v>-51.055269028897861</v>
      </c>
      <c r="AH28" s="53">
        <f>'TUSD BE'!$AH$28*'TUSD BE'!$AH$59</f>
        <v>-0.44707847611599749</v>
      </c>
      <c r="AI28" s="53">
        <f>'TUSD BE'!$AI$28*'TUSD BE'!$AI$59</f>
        <v>-1.5333099014231768E-2</v>
      </c>
      <c r="AJ28" s="53">
        <f ca="1">'TUSD BE'!$AJ$28*'TUSD BE'!$AJ$59</f>
        <v>-6.5823007027000266E-2</v>
      </c>
      <c r="AK28" s="53">
        <f ca="1">'TUSD BE'!$AK$28*'TUSD BE'!$AK$59</f>
        <v>1.8843503031338697E-2</v>
      </c>
      <c r="AL28" s="53">
        <f ca="1">SUM($AH$28:$AK$28)</f>
        <v>-0.50939107912589077</v>
      </c>
      <c r="AM28" s="53">
        <f ca="1">SUMIF($L$4:$AL$4,"SUBTOTAL",$L$28:$AL$28)</f>
        <v>-55.050212216296835</v>
      </c>
      <c r="AO28" s="76">
        <f ca="1">+'TUSD BE'!$T$28+'TUSD BE'!$AB$28+'TUSD BE'!$AD$28+'TUSD BE'!$AL$28</f>
        <v>273.37246919492463</v>
      </c>
      <c r="AP28" s="76">
        <f ca="1">+'TUSD BE'!$T$28+'TUSD BE'!$AB$28+'TUSD BE'!$AD$28+'TUSD BE'!$AL$28</f>
        <v>273.37246919492463</v>
      </c>
    </row>
    <row r="29" spans="1:42" ht="11.25" customHeight="1" x14ac:dyDescent="0.25">
      <c r="A29" s="131"/>
      <c r="B29" s="131"/>
      <c r="C29" s="131"/>
      <c r="D29" s="73" t="s">
        <v>30</v>
      </c>
      <c r="E29" s="73" t="s">
        <v>25</v>
      </c>
      <c r="F29" s="73" t="s">
        <v>25</v>
      </c>
      <c r="G29" s="74" t="s">
        <v>86</v>
      </c>
      <c r="H29" s="74" t="s">
        <v>82</v>
      </c>
      <c r="I29" s="74">
        <f>'MERCADO TUSD'!$U$26</f>
        <v>0</v>
      </c>
      <c r="J29" s="15"/>
      <c r="L29" s="53">
        <f>'TUSD BE'!$L$29*'TUSD BE'!$L$59</f>
        <v>0</v>
      </c>
      <c r="M29" s="53">
        <f>'TUSD BE'!$M$29*'TUSD BE'!$M$59</f>
        <v>-5.6107009911459463E-2</v>
      </c>
      <c r="N29" s="53">
        <f ca="1">'TUSD BE'!$N$29*'TUSD BE'!$N$59</f>
        <v>2.8135154313735273E-11</v>
      </c>
      <c r="O29" s="53">
        <f>'TUSD BE'!$O$29*'TUSD BE'!$O$59</f>
        <v>0</v>
      </c>
      <c r="P29" s="53">
        <f>'TUSD BE'!$P$29*'TUSD BE'!$P$59</f>
        <v>0</v>
      </c>
      <c r="Q29" s="53">
        <f>'TUSD BE'!$Q$29*'TUSD BE'!$Q$59</f>
        <v>0</v>
      </c>
      <c r="R29" s="53">
        <f>'TUSD BE'!$R$29*'TUSD BE'!$R$59</f>
        <v>0</v>
      </c>
      <c r="S29" s="53">
        <f>'TUSD BE'!$R$29*'TUSD BE'!$S$59</f>
        <v>0</v>
      </c>
      <c r="T29" s="53">
        <f ca="1">SUM($L$29:$S$29)</f>
        <v>-5.6107009883324309E-2</v>
      </c>
      <c r="U29" s="53">
        <f>'TUSD BE'!$U$29*'TUSD BE'!$U$59</f>
        <v>-1.6369692544243668</v>
      </c>
      <c r="V29" s="53">
        <f>'TUSD BE'!$V$29*'TUSD BE'!$V$59</f>
        <v>0.28674293891276859</v>
      </c>
      <c r="W29" s="53">
        <f>'TUSD BE'!$W$29*'TUSD BE'!$W$59</f>
        <v>-0.58215591390232568</v>
      </c>
      <c r="X29" s="53">
        <f>'TUSD BE'!$X$29*'TUSD BE'!$X$59</f>
        <v>0</v>
      </c>
      <c r="Y29" s="53">
        <f>'TUSD BE'!$Y$29*'TUSD BE'!$Y$59</f>
        <v>0</v>
      </c>
      <c r="Z29" s="53">
        <f>'TUSD BE'!$Z$29*'TUSD BE'!$Z$59</f>
        <v>0</v>
      </c>
      <c r="AA29" s="53">
        <f>'TUSD BE'!$AA$29*'TUSD BE'!$AA$59</f>
        <v>0</v>
      </c>
      <c r="AB29" s="53">
        <f>SUM($U$29:$AA$29)</f>
        <v>-1.9323822294139239</v>
      </c>
      <c r="AC29" s="53">
        <f>'TUSD BE'!$AC$29*'TUSD BE'!$AC$59</f>
        <v>-1.4970628689758352</v>
      </c>
      <c r="AD29" s="53">
        <f>SUM($AC$29:$AC$29)</f>
        <v>-1.4970628689758352</v>
      </c>
      <c r="AE29" s="53">
        <f ca="1">$AO$29*$AO$56</f>
        <v>-51.055269028897861</v>
      </c>
      <c r="AF29" s="53">
        <f ca="1">$AP$29*$AP$56</f>
        <v>0</v>
      </c>
      <c r="AG29" s="53">
        <f ca="1">SUM($AE$29:$AF$29)</f>
        <v>-51.055269028897861</v>
      </c>
      <c r="AH29" s="53">
        <f>'TUSD BE'!$AH$29*'TUSD BE'!$AH$59</f>
        <v>-0.44707847611599749</v>
      </c>
      <c r="AI29" s="53">
        <f>'TUSD BE'!$AI$29*'TUSD BE'!$AI$59</f>
        <v>-1.5333099014231768E-2</v>
      </c>
      <c r="AJ29" s="53">
        <f ca="1">'TUSD BE'!$AJ$29*'TUSD BE'!$AJ$59</f>
        <v>-6.5823007027000266E-2</v>
      </c>
      <c r="AK29" s="53">
        <f ca="1">'TUSD BE'!$AK$29*'TUSD BE'!$AK$59</f>
        <v>1.8843503031338697E-2</v>
      </c>
      <c r="AL29" s="53">
        <f ca="1">SUM($AH$29:$AK$29)</f>
        <v>-0.50939107912589077</v>
      </c>
      <c r="AM29" s="53">
        <f ca="1">SUMIF($L$4:$AL$4,"SUBTOTAL",$L$29:$AL$29)</f>
        <v>-55.050212216296835</v>
      </c>
      <c r="AO29" s="76">
        <f ca="1">+'TUSD BE'!$T$29+'TUSD BE'!$AB$29+'TUSD BE'!$AD$29+'TUSD BE'!$AL$29</f>
        <v>273.37246919492463</v>
      </c>
      <c r="AP29" s="76">
        <f ca="1">+'TUSD BE'!$T$29+'TUSD BE'!$AB$29+'TUSD BE'!$AD$29+'TUSD BE'!$AL$29</f>
        <v>273.37246919492463</v>
      </c>
    </row>
    <row r="30" spans="1:42" ht="11.25" customHeight="1" x14ac:dyDescent="0.25">
      <c r="A30" s="131"/>
      <c r="B30" s="131"/>
      <c r="C30" s="131"/>
      <c r="D30" s="73" t="s">
        <v>31</v>
      </c>
      <c r="E30" s="73" t="s">
        <v>25</v>
      </c>
      <c r="F30" s="73" t="s">
        <v>25</v>
      </c>
      <c r="G30" s="74" t="s">
        <v>86</v>
      </c>
      <c r="H30" s="74" t="s">
        <v>82</v>
      </c>
      <c r="I30" s="74">
        <f>'MERCADO TUSD'!$U$27</f>
        <v>0</v>
      </c>
      <c r="J30" s="15"/>
      <c r="L30" s="53">
        <f>'TUSD BE'!$L$30*'TUSD BE'!$L$59</f>
        <v>0</v>
      </c>
      <c r="M30" s="53">
        <f>'TUSD BE'!$M$30*'TUSD BE'!$M$59</f>
        <v>-5.6107009911459463E-2</v>
      </c>
      <c r="N30" s="53">
        <f ca="1">'TUSD BE'!$N$30*'TUSD BE'!$N$59</f>
        <v>2.8135154313735273E-11</v>
      </c>
      <c r="O30" s="53">
        <f>'TUSD BE'!$O$30*'TUSD BE'!$O$59</f>
        <v>0</v>
      </c>
      <c r="P30" s="53">
        <f>'TUSD BE'!$P$30*'TUSD BE'!$P$59</f>
        <v>0</v>
      </c>
      <c r="Q30" s="53">
        <f>'TUSD BE'!$Q$30*'TUSD BE'!$Q$59</f>
        <v>0</v>
      </c>
      <c r="R30" s="53">
        <f>'TUSD BE'!$R$30*'TUSD BE'!$R$59</f>
        <v>0</v>
      </c>
      <c r="S30" s="53">
        <f>'TUSD BE'!$R$30*'TUSD BE'!$S$59</f>
        <v>0</v>
      </c>
      <c r="T30" s="53">
        <f ca="1">SUM($L$30:$S$30)</f>
        <v>-5.6107009883324309E-2</v>
      </c>
      <c r="U30" s="53">
        <f>'TUSD BE'!$U$30*'TUSD BE'!$U$59</f>
        <v>-1.6369692544243668</v>
      </c>
      <c r="V30" s="53">
        <f>'TUSD BE'!$V$30*'TUSD BE'!$V$59</f>
        <v>0.28674293891276859</v>
      </c>
      <c r="W30" s="53">
        <f>'TUSD BE'!$W$30*'TUSD BE'!$W$59</f>
        <v>-0.58215591390232568</v>
      </c>
      <c r="X30" s="53">
        <f>'TUSD BE'!$X$30*'TUSD BE'!$X$59</f>
        <v>0</v>
      </c>
      <c r="Y30" s="53">
        <f>'TUSD BE'!$Y$30*'TUSD BE'!$Y$59</f>
        <v>0</v>
      </c>
      <c r="Z30" s="53">
        <f>'TUSD BE'!$Z$30*'TUSD BE'!$Z$59</f>
        <v>0</v>
      </c>
      <c r="AA30" s="53">
        <f>'TUSD BE'!$AA$30*'TUSD BE'!$AA$59</f>
        <v>0</v>
      </c>
      <c r="AB30" s="53">
        <f>SUM($U$30:$AA$30)</f>
        <v>-1.9323822294139239</v>
      </c>
      <c r="AC30" s="53">
        <f>'TUSD BE'!$AC$30*'TUSD BE'!$AC$59</f>
        <v>-1.4970628689758352</v>
      </c>
      <c r="AD30" s="53">
        <f>SUM($AC$30:$AC$30)</f>
        <v>-1.4970628689758352</v>
      </c>
      <c r="AE30" s="53">
        <f ca="1">$AO$30*$AO$56</f>
        <v>-51.055269028897861</v>
      </c>
      <c r="AF30" s="53">
        <f ca="1">$AP$30*$AP$56</f>
        <v>0</v>
      </c>
      <c r="AG30" s="53">
        <f ca="1">SUM($AE$30:$AF$30)</f>
        <v>-51.055269028897861</v>
      </c>
      <c r="AH30" s="53">
        <f>'TUSD BE'!$AH$30*'TUSD BE'!$AH$59</f>
        <v>-0.44707847611599749</v>
      </c>
      <c r="AI30" s="53">
        <f>'TUSD BE'!$AI$30*'TUSD BE'!$AI$59</f>
        <v>-1.5333099014231768E-2</v>
      </c>
      <c r="AJ30" s="53">
        <f ca="1">'TUSD BE'!$AJ$30*'TUSD BE'!$AJ$59</f>
        <v>-6.5823007027000266E-2</v>
      </c>
      <c r="AK30" s="53">
        <f ca="1">'TUSD BE'!$AK$30*'TUSD BE'!$AK$59</f>
        <v>1.8843503031338697E-2</v>
      </c>
      <c r="AL30" s="53">
        <f ca="1">SUM($AH$30:$AK$30)</f>
        <v>-0.50939107912589077</v>
      </c>
      <c r="AM30" s="53">
        <f ca="1">SUMIF($L$4:$AL$4,"SUBTOTAL",$L$30:$AL$30)</f>
        <v>-55.050212216296835</v>
      </c>
      <c r="AO30" s="76">
        <f ca="1">+'TUSD BE'!$T$30+'TUSD BE'!$AB$30+'TUSD BE'!$AD$30+'TUSD BE'!$AL$30</f>
        <v>273.37246919492463</v>
      </c>
      <c r="AP30" s="76">
        <f ca="1">+'TUSD BE'!$T$30+'TUSD BE'!$AB$30+'TUSD BE'!$AD$30+'TUSD BE'!$AL$30</f>
        <v>273.37246919492463</v>
      </c>
    </row>
    <row r="31" spans="1:42" ht="11.25" customHeight="1" x14ac:dyDescent="0.25">
      <c r="A31" s="131" t="s">
        <v>42</v>
      </c>
      <c r="B31" s="131" t="s">
        <v>32</v>
      </c>
      <c r="C31" s="131" t="s">
        <v>43</v>
      </c>
      <c r="D31" s="131" t="s">
        <v>25</v>
      </c>
      <c r="E31" s="131" t="s">
        <v>25</v>
      </c>
      <c r="F31" s="131" t="s">
        <v>25</v>
      </c>
      <c r="G31" s="74" t="s">
        <v>83</v>
      </c>
      <c r="H31" s="74" t="s">
        <v>82</v>
      </c>
      <c r="I31" s="74">
        <f>'MERCADO TUSD'!$U$28</f>
        <v>0</v>
      </c>
      <c r="J31" s="15"/>
      <c r="L31" s="53">
        <f>'TUSD BE'!$L$31*'TUSD BE'!$L$59</f>
        <v>-0.4232675743487378</v>
      </c>
      <c r="M31" s="53">
        <f>'TUSD BE'!$M$31*'TUSD BE'!$M$59</f>
        <v>-5.6107009911459463E-2</v>
      </c>
      <c r="N31" s="53">
        <f ca="1">'TUSD BE'!$N$31*'TUSD BE'!$N$59</f>
        <v>9.9836949778636463E-11</v>
      </c>
      <c r="O31" s="53">
        <f>'TUSD BE'!$O$31*'TUSD BE'!$O$59</f>
        <v>0</v>
      </c>
      <c r="P31" s="53">
        <f>'TUSD BE'!$P$31*'TUSD BE'!$P$59</f>
        <v>0</v>
      </c>
      <c r="Q31" s="53">
        <f>'TUSD BE'!$Q$31*'TUSD BE'!$Q$59</f>
        <v>1.3282946463723817</v>
      </c>
      <c r="R31" s="53">
        <f>'TUSD BE'!$R$31*'TUSD BE'!$R$59</f>
        <v>-1.3656761373948416</v>
      </c>
      <c r="S31" s="53">
        <f>'TUSD BE'!$R$31*'TUSD BE'!$S$59</f>
        <v>0</v>
      </c>
      <c r="T31" s="53">
        <f ca="1">SUM($L$31:$S$31)</f>
        <v>-0.51675607518282018</v>
      </c>
      <c r="U31" s="53">
        <f>'TUSD BE'!$U$31*'TUSD BE'!$U$59</f>
        <v>-6.7115689861911001</v>
      </c>
      <c r="V31" s="53">
        <f>'TUSD BE'!$V$31*'TUSD BE'!$V$59</f>
        <v>1.1756486551119913</v>
      </c>
      <c r="W31" s="53">
        <f>'TUSD BE'!$W$31*'TUSD BE'!$W$59</f>
        <v>-2.3868367157523558</v>
      </c>
      <c r="X31" s="53">
        <f>'TUSD BE'!$X$31*'TUSD BE'!$X$59</f>
        <v>0</v>
      </c>
      <c r="Y31" s="53">
        <f>'TUSD BE'!$Y$31*'TUSD BE'!$Y$59</f>
        <v>0</v>
      </c>
      <c r="Z31" s="53">
        <f>'TUSD BE'!$Z$31*'TUSD BE'!$Z$59</f>
        <v>0</v>
      </c>
      <c r="AA31" s="53">
        <f>'TUSD BE'!$AA$31*'TUSD BE'!$AA$59</f>
        <v>0</v>
      </c>
      <c r="AB31" s="53">
        <f>SUM($U$31:$AA$31)</f>
        <v>-7.9227570468314648</v>
      </c>
      <c r="AC31" s="53">
        <f>'TUSD BE'!$AC$31*'TUSD BE'!$AC$59</f>
        <v>-6.137957376201725</v>
      </c>
      <c r="AD31" s="53">
        <f>SUM($AC$31:$AC$31)</f>
        <v>-6.137957376201725</v>
      </c>
      <c r="AE31" s="53">
        <f ca="1">$AO$31*$AO$56</f>
        <v>-217.62833574472873</v>
      </c>
      <c r="AF31" s="53">
        <f ca="1">$AP$31*$AP$56</f>
        <v>0</v>
      </c>
      <c r="AG31" s="53">
        <f ca="1">SUM($AE$31:$AF$31)</f>
        <v>-217.62833574472873</v>
      </c>
      <c r="AH31" s="53">
        <f>'TUSD BE'!$AH$31*'TUSD BE'!$AH$59</f>
        <v>-0.44707847611599749</v>
      </c>
      <c r="AI31" s="53">
        <f>'TUSD BE'!$AI$31*'TUSD BE'!$AI$59</f>
        <v>-1.5333099014231768E-2</v>
      </c>
      <c r="AJ31" s="53">
        <f ca="1">'TUSD BE'!$AJ$31*'TUSD BE'!$AJ$59</f>
        <v>-6.5823007027000266E-2</v>
      </c>
      <c r="AK31" s="53">
        <f ca="1">'TUSD BE'!$AK$31*'TUSD BE'!$AK$59</f>
        <v>1.8843503031338697E-2</v>
      </c>
      <c r="AL31" s="53">
        <f ca="1">SUM($AH$31:$AK$31)</f>
        <v>-0.50939107912589077</v>
      </c>
      <c r="AM31" s="53">
        <f ca="1">SUMIF($L$4:$AL$4,"SUBTOTAL",$L$31:$AL$31)</f>
        <v>-232.71519732207062</v>
      </c>
      <c r="AO31" s="76">
        <f ca="1">+'TUSD BE'!$T$31+'TUSD BE'!$AB$31+'TUSD BE'!$AD$31+'TUSD BE'!$AL$31</f>
        <v>1165.2782688432123</v>
      </c>
      <c r="AP31" s="76">
        <f ca="1">+'TUSD BE'!$T$31+'TUSD BE'!$AB$31+'TUSD BE'!$AD$31+'TUSD BE'!$AL$31</f>
        <v>1165.2782688432123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74" t="s">
        <v>93</v>
      </c>
      <c r="H32" s="74" t="s">
        <v>82</v>
      </c>
      <c r="I32" s="74">
        <f>'MERCADO TUSD'!$U$29</f>
        <v>0</v>
      </c>
      <c r="J32" s="15"/>
      <c r="L32" s="53">
        <f>'TUSD BE'!$L$32*'TUSD BE'!$L$59</f>
        <v>-0.4232675743487378</v>
      </c>
      <c r="M32" s="53">
        <f>'TUSD BE'!$M$32*'TUSD BE'!$M$59</f>
        <v>-5.6107009911459463E-2</v>
      </c>
      <c r="N32" s="53">
        <f ca="1">'TUSD BE'!$N$32*'TUSD BE'!$N$59</f>
        <v>5.2489927008736741E-11</v>
      </c>
      <c r="O32" s="53">
        <f>'TUSD BE'!$O$32*'TUSD BE'!$O$59</f>
        <v>0</v>
      </c>
      <c r="P32" s="53">
        <f>'TUSD BE'!$P$32*'TUSD BE'!$P$59</f>
        <v>0</v>
      </c>
      <c r="Q32" s="53">
        <f>'TUSD BE'!$Q$32*'TUSD BE'!$Q$59</f>
        <v>1.3282946463723817</v>
      </c>
      <c r="R32" s="53">
        <f>'TUSD BE'!$R$32*'TUSD BE'!$R$59</f>
        <v>-1.3656761373948416</v>
      </c>
      <c r="S32" s="53">
        <f>'TUSD BE'!$R$32*'TUSD BE'!$S$59</f>
        <v>0</v>
      </c>
      <c r="T32" s="53">
        <f ca="1">SUM($L$32:$S$32)</f>
        <v>-0.5167560752301672</v>
      </c>
      <c r="U32" s="53">
        <f>'TUSD BE'!$U$32*'TUSD BE'!$U$59</f>
        <v>-3.3557867462540978</v>
      </c>
      <c r="V32" s="53">
        <f>'TUSD BE'!$V$32*'TUSD BE'!$V$59</f>
        <v>0.58782432755599567</v>
      </c>
      <c r="W32" s="53">
        <f>'TUSD BE'!$W$32*'TUSD BE'!$W$59</f>
        <v>-1.1934183578761779</v>
      </c>
      <c r="X32" s="53">
        <f>'TUSD BE'!$X$32*'TUSD BE'!$X$59</f>
        <v>0</v>
      </c>
      <c r="Y32" s="53">
        <f>'TUSD BE'!$Y$32*'TUSD BE'!$Y$59</f>
        <v>0</v>
      </c>
      <c r="Z32" s="53">
        <f>'TUSD BE'!$Z$32*'TUSD BE'!$Z$59</f>
        <v>0</v>
      </c>
      <c r="AA32" s="53">
        <f>'TUSD BE'!$AA$32*'TUSD BE'!$AA$59</f>
        <v>0</v>
      </c>
      <c r="AB32" s="53">
        <f>SUM($U$32:$AA$32)</f>
        <v>-3.9613807765742801</v>
      </c>
      <c r="AC32" s="53">
        <f>'TUSD BE'!$AC$32*'TUSD BE'!$AC$59</f>
        <v>-3.0689790747000614</v>
      </c>
      <c r="AD32" s="53">
        <f>SUM($AC$32:$AC$32)</f>
        <v>-3.0689790747000614</v>
      </c>
      <c r="AE32" s="53">
        <f ca="1">$AO$32*$AO$56</f>
        <v>-120.83647130785683</v>
      </c>
      <c r="AF32" s="53">
        <f ca="1">$AP$32*$AP$56</f>
        <v>0</v>
      </c>
      <c r="AG32" s="53">
        <f ca="1">SUM($AE$32:$AF$32)</f>
        <v>-120.83647130785683</v>
      </c>
      <c r="AH32" s="53">
        <f>'TUSD BE'!$AH$32*'TUSD BE'!$AH$59</f>
        <v>-0.44707847611599749</v>
      </c>
      <c r="AI32" s="53">
        <f>'TUSD BE'!$AI$32*'TUSD BE'!$AI$59</f>
        <v>-1.5333099014231768E-2</v>
      </c>
      <c r="AJ32" s="53">
        <f ca="1">'TUSD BE'!$AJ$32*'TUSD BE'!$AJ$59</f>
        <v>-6.5823007027000266E-2</v>
      </c>
      <c r="AK32" s="53">
        <f ca="1">'TUSD BE'!$AK$32*'TUSD BE'!$AK$59</f>
        <v>1.8843503031338697E-2</v>
      </c>
      <c r="AL32" s="53">
        <f ca="1">SUM($AH$32:$AK$32)</f>
        <v>-0.50939107912589077</v>
      </c>
      <c r="AM32" s="53">
        <f ca="1">SUMIF($L$4:$AL$4,"SUBTOTAL",$L$32:$AL$32)</f>
        <v>-128.89297831348722</v>
      </c>
      <c r="AO32" s="76">
        <f ca="1">+'TUSD BE'!$T$32+'TUSD BE'!$AB$32+'TUSD BE'!$AD$32+'TUSD BE'!$AL$32</f>
        <v>647.01185908026901</v>
      </c>
      <c r="AP32" s="76">
        <f ca="1">+'TUSD BE'!$T$32+'TUSD BE'!$AB$32+'TUSD BE'!$AD$32+'TUSD BE'!$AL$32</f>
        <v>647.01185908026901</v>
      </c>
    </row>
    <row r="33" spans="1:42" ht="11.25" customHeight="1" x14ac:dyDescent="0.25">
      <c r="A33" s="131"/>
      <c r="B33" s="131"/>
      <c r="C33" s="131"/>
      <c r="D33" s="131"/>
      <c r="E33" s="131"/>
      <c r="F33" s="131"/>
      <c r="G33" s="74" t="s">
        <v>84</v>
      </c>
      <c r="H33" s="74" t="s">
        <v>82</v>
      </c>
      <c r="I33" s="74">
        <f>'MERCADO TUSD'!$U$30</f>
        <v>0</v>
      </c>
      <c r="J33" s="15"/>
      <c r="L33" s="53">
        <f>'TUSD BE'!$L$33*'TUSD BE'!$L$59</f>
        <v>-0.4232675743487378</v>
      </c>
      <c r="M33" s="53">
        <f>'TUSD BE'!$M$33*'TUSD BE'!$M$59</f>
        <v>-5.6107009911459463E-2</v>
      </c>
      <c r="N33" s="53">
        <f ca="1">'TUSD BE'!$N$33*'TUSD BE'!$N$59</f>
        <v>1.4612294669424424E-11</v>
      </c>
      <c r="O33" s="53">
        <f>'TUSD BE'!$O$33*'TUSD BE'!$O$59</f>
        <v>0</v>
      </c>
      <c r="P33" s="53">
        <f>'TUSD BE'!$P$33*'TUSD BE'!$P$59</f>
        <v>0</v>
      </c>
      <c r="Q33" s="53">
        <f>'TUSD BE'!$Q$33*'TUSD BE'!$Q$59</f>
        <v>1.3282946463723817</v>
      </c>
      <c r="R33" s="53">
        <f>'TUSD BE'!$R$33*'TUSD BE'!$R$59</f>
        <v>-1.3656761373948416</v>
      </c>
      <c r="S33" s="53">
        <f>'TUSD BE'!$R$33*'TUSD BE'!$S$59</f>
        <v>0</v>
      </c>
      <c r="T33" s="53">
        <f ca="1">SUM($L$33:$S$33)</f>
        <v>-0.5167560752680449</v>
      </c>
      <c r="U33" s="53">
        <f>'TUSD BE'!$U$33*'TUSD BE'!$U$59</f>
        <v>-0.6711573492508196</v>
      </c>
      <c r="V33" s="53">
        <f>'TUSD BE'!$V$33*'TUSD BE'!$V$59</f>
        <v>0.11756590773905527</v>
      </c>
      <c r="W33" s="53">
        <f>'TUSD BE'!$W$33*'TUSD BE'!$W$59</f>
        <v>-0.23868254657648896</v>
      </c>
      <c r="X33" s="53">
        <f>'TUSD BE'!$X$33*'TUSD BE'!$X$59</f>
        <v>0</v>
      </c>
      <c r="Y33" s="53">
        <f>'TUSD BE'!$Y$33*'TUSD BE'!$Y$59</f>
        <v>0</v>
      </c>
      <c r="Z33" s="53">
        <f>'TUSD BE'!$Z$33*'TUSD BE'!$Z$59</f>
        <v>0</v>
      </c>
      <c r="AA33" s="53">
        <f>'TUSD BE'!$AA$33*'TUSD BE'!$AA$59</f>
        <v>0</v>
      </c>
      <c r="AB33" s="53">
        <f>SUM($U$33:$AA$33)</f>
        <v>-0.79227398808825322</v>
      </c>
      <c r="AC33" s="53">
        <f>'TUSD BE'!$AC$33*'TUSD BE'!$AC$59</f>
        <v>-0.61379581494001223</v>
      </c>
      <c r="AD33" s="53">
        <f>SUM($AC$33:$AC$33)</f>
        <v>-0.61379581494001223</v>
      </c>
      <c r="AE33" s="53">
        <f ca="1">$AO$33*$AO$56</f>
        <v>-43.402951078492947</v>
      </c>
      <c r="AF33" s="53">
        <f ca="1">$AP$33*$AP$56</f>
        <v>0</v>
      </c>
      <c r="AG33" s="53">
        <f ca="1">SUM($AE$33:$AF$33)</f>
        <v>-43.402951078492947</v>
      </c>
      <c r="AH33" s="53">
        <f>'TUSD BE'!$AH$33*'TUSD BE'!$AH$59</f>
        <v>-0.44707847611599749</v>
      </c>
      <c r="AI33" s="53">
        <f>'TUSD BE'!$AI$33*'TUSD BE'!$AI$59</f>
        <v>-1.5333099014231768E-2</v>
      </c>
      <c r="AJ33" s="53">
        <f ca="1">'TUSD BE'!$AJ$33*'TUSD BE'!$AJ$59</f>
        <v>-6.5823007027000266E-2</v>
      </c>
      <c r="AK33" s="53">
        <f ca="1">'TUSD BE'!$AK$33*'TUSD BE'!$AK$59</f>
        <v>1.8843503031338697E-2</v>
      </c>
      <c r="AL33" s="53">
        <f ca="1">SUM($AH$33:$AK$33)</f>
        <v>-0.50939107912589077</v>
      </c>
      <c r="AM33" s="53">
        <f ca="1">SUMIF($L$4:$AL$4,"SUBTOTAL",$L$33:$AL$33)</f>
        <v>-45.835168035915146</v>
      </c>
      <c r="AO33" s="76">
        <f ca="1">+'TUSD BE'!$T$33+'TUSD BE'!$AB$33+'TUSD BE'!$AD$33+'TUSD BE'!$AL$33</f>
        <v>232.39857770523767</v>
      </c>
      <c r="AP33" s="76">
        <f ca="1">+'TUSD BE'!$T$33+'TUSD BE'!$AB$33+'TUSD BE'!$AD$33+'TUSD BE'!$AL$33</f>
        <v>232.39857770523767</v>
      </c>
    </row>
    <row r="34" spans="1:42" ht="11.25" customHeight="1" x14ac:dyDescent="0.25">
      <c r="A34" s="131"/>
      <c r="B34" s="73" t="s">
        <v>23</v>
      </c>
      <c r="C34" s="73" t="s">
        <v>43</v>
      </c>
      <c r="D34" s="73" t="s">
        <v>25</v>
      </c>
      <c r="E34" s="73" t="s">
        <v>25</v>
      </c>
      <c r="F34" s="73" t="s">
        <v>25</v>
      </c>
      <c r="G34" s="74" t="s">
        <v>86</v>
      </c>
      <c r="H34" s="74" t="s">
        <v>82</v>
      </c>
      <c r="I34" s="74">
        <f>'MERCADO TUSD'!$U$31</f>
        <v>18727.453000000001</v>
      </c>
      <c r="J34" s="15"/>
      <c r="L34" s="53">
        <f>'TUSD BE'!$L$34*'TUSD BE'!$L$59</f>
        <v>-0.4232675743487378</v>
      </c>
      <c r="M34" s="53">
        <f>'TUSD BE'!$M$34*'TUSD BE'!$M$59</f>
        <v>-5.6107009911459463E-2</v>
      </c>
      <c r="N34" s="53">
        <f ca="1">'TUSD BE'!$N$34*'TUSD BE'!$N$59</f>
        <v>2.8239002788186737E-11</v>
      </c>
      <c r="O34" s="53">
        <f>'TUSD BE'!$O$34*'TUSD BE'!$O$59</f>
        <v>0</v>
      </c>
      <c r="P34" s="53">
        <f>'TUSD BE'!$P$34*'TUSD BE'!$P$59</f>
        <v>0</v>
      </c>
      <c r="Q34" s="53">
        <f>'TUSD BE'!$Q$34*'TUSD BE'!$Q$59</f>
        <v>1.3282946463723817</v>
      </c>
      <c r="R34" s="53">
        <f>'TUSD BE'!$R$34*'TUSD BE'!$R$59</f>
        <v>-1.3656761373948416</v>
      </c>
      <c r="S34" s="53">
        <f>'TUSD BE'!$R$34*'TUSD BE'!$S$59</f>
        <v>0</v>
      </c>
      <c r="T34" s="53">
        <f ca="1">SUM($L$34:$S$34)</f>
        <v>-0.51675607525441813</v>
      </c>
      <c r="U34" s="53">
        <f>'TUSD BE'!$U$34*'TUSD BE'!$U$59</f>
        <v>-1.6369692544243668</v>
      </c>
      <c r="V34" s="53">
        <f>'TUSD BE'!$V$34*'TUSD BE'!$V$59</f>
        <v>0.28674293891276859</v>
      </c>
      <c r="W34" s="53">
        <f>'TUSD BE'!$W$34*'TUSD BE'!$W$59</f>
        <v>-0.58215591390232568</v>
      </c>
      <c r="X34" s="53">
        <f>'TUSD BE'!$X$34*'TUSD BE'!$X$59</f>
        <v>0</v>
      </c>
      <c r="Y34" s="53">
        <f>'TUSD BE'!$Y$34*'TUSD BE'!$Y$59</f>
        <v>0</v>
      </c>
      <c r="Z34" s="53">
        <f>'TUSD BE'!$Z$34*'TUSD BE'!$Z$59</f>
        <v>0</v>
      </c>
      <c r="AA34" s="53">
        <f>'TUSD BE'!$AA$34*'TUSD BE'!$AA$59</f>
        <v>0</v>
      </c>
      <c r="AB34" s="53">
        <f>SUM($U$34:$AA$34)</f>
        <v>-1.9323822294139239</v>
      </c>
      <c r="AC34" s="53">
        <f>'TUSD BE'!$AC$34*'TUSD BE'!$AC$59</f>
        <v>-1.4970628689758352</v>
      </c>
      <c r="AD34" s="53">
        <f>SUM($AC$34:$AC$34)</f>
        <v>-1.4970628689758352</v>
      </c>
      <c r="AE34" s="53">
        <f ca="1">$AO$34*$AO$56</f>
        <v>-71.260129922992746</v>
      </c>
      <c r="AF34" s="53">
        <f ca="1">$AP$34*$AP$56</f>
        <v>0</v>
      </c>
      <c r="AG34" s="53">
        <f ca="1">SUM($AE$34:$AF$34)</f>
        <v>-71.260129922992746</v>
      </c>
      <c r="AH34" s="53">
        <f>'TUSD BE'!$AH$34*'TUSD BE'!$AH$59</f>
        <v>-0.44707847611599749</v>
      </c>
      <c r="AI34" s="53">
        <f>'TUSD BE'!$AI$34*'TUSD BE'!$AI$59</f>
        <v>-1.5333099014231768E-2</v>
      </c>
      <c r="AJ34" s="53">
        <f ca="1">'TUSD BE'!$AJ$34*'TUSD BE'!$AJ$59</f>
        <v>-6.5823007027000266E-2</v>
      </c>
      <c r="AK34" s="53">
        <f ca="1">'TUSD BE'!$AK$34*'TUSD BE'!$AK$59</f>
        <v>1.8843503031338697E-2</v>
      </c>
      <c r="AL34" s="53">
        <f ca="1">SUM($AH$34:$AK$34)</f>
        <v>-0.50939107912589077</v>
      </c>
      <c r="AM34" s="53">
        <f ca="1">SUMIF($L$4:$AL$4,"SUBTOTAL",$L$34:$AL$34)</f>
        <v>-75.715722175762821</v>
      </c>
      <c r="AO34" s="76">
        <f ca="1">+'TUSD BE'!$T$34+'TUSD BE'!$AB$34+'TUSD BE'!$AD$34+'TUSD BE'!$AL$34</f>
        <v>381.55822195694333</v>
      </c>
      <c r="AP34" s="76">
        <f ca="1">+'TUSD BE'!$T$34+'TUSD BE'!$AB$34+'TUSD BE'!$AD$34+'TUSD BE'!$AL$34</f>
        <v>381.55822195694333</v>
      </c>
    </row>
    <row r="35" spans="1:42" ht="11.25" customHeight="1" x14ac:dyDescent="0.25">
      <c r="A35" s="131"/>
      <c r="B35" s="131" t="s">
        <v>32</v>
      </c>
      <c r="C35" s="131" t="s">
        <v>43</v>
      </c>
      <c r="D35" s="131" t="s">
        <v>96</v>
      </c>
      <c r="E35" s="131" t="s">
        <v>25</v>
      </c>
      <c r="F35" s="131" t="s">
        <v>25</v>
      </c>
      <c r="G35" s="74" t="s">
        <v>83</v>
      </c>
      <c r="H35" s="74" t="s">
        <v>82</v>
      </c>
      <c r="I35" s="74">
        <f>'MERCADO TUSD'!$U$32</f>
        <v>0</v>
      </c>
      <c r="J35" s="15"/>
      <c r="L35" s="53">
        <f>'TUSD BE'!$L$35*'TUSD BE'!$L$59</f>
        <v>-0.4232675743487378</v>
      </c>
      <c r="M35" s="53">
        <f>'TUSD BE'!$M$35*'TUSD BE'!$M$59</f>
        <v>-5.6107009911459463E-2</v>
      </c>
      <c r="N35" s="53">
        <f ca="1">'TUSD BE'!$N$35*'TUSD BE'!$N$59</f>
        <v>9.9836949778636463E-11</v>
      </c>
      <c r="O35" s="53">
        <f>'TUSD BE'!$O$35*'TUSD BE'!$O$59</f>
        <v>0</v>
      </c>
      <c r="P35" s="53">
        <f>'TUSD BE'!$P$35*'TUSD BE'!$P$59</f>
        <v>0</v>
      </c>
      <c r="Q35" s="53">
        <f>'TUSD BE'!$Q$35*'TUSD BE'!$Q$59</f>
        <v>1.3282946463723817</v>
      </c>
      <c r="R35" s="53">
        <f>'TUSD BE'!$R$35*'TUSD BE'!$R$59</f>
        <v>-1.3656761373948416</v>
      </c>
      <c r="S35" s="53">
        <f>'TUSD BE'!$R$35*'TUSD BE'!$S$59</f>
        <v>0</v>
      </c>
      <c r="T35" s="53">
        <f ca="1">SUM($L$35:$S$35)</f>
        <v>-0.51675607518282018</v>
      </c>
      <c r="U35" s="53">
        <f>'TUSD BE'!$U$35*'TUSD BE'!$U$59</f>
        <v>-6.7115689861911001</v>
      </c>
      <c r="V35" s="53">
        <f>'TUSD BE'!$V$35*'TUSD BE'!$V$59</f>
        <v>1.1756486551119913</v>
      </c>
      <c r="W35" s="53">
        <f>'TUSD BE'!$W$35*'TUSD BE'!$W$59</f>
        <v>-2.3868367157523558</v>
      </c>
      <c r="X35" s="53">
        <f>'TUSD BE'!$X$35*'TUSD BE'!$X$59</f>
        <v>0</v>
      </c>
      <c r="Y35" s="53">
        <f>'TUSD BE'!$Y$35*'TUSD BE'!$Y$59</f>
        <v>0</v>
      </c>
      <c r="Z35" s="53">
        <f>'TUSD BE'!$Z$35*'TUSD BE'!$Z$59</f>
        <v>0</v>
      </c>
      <c r="AA35" s="53">
        <f>'TUSD BE'!$AA$35*'TUSD BE'!$AA$59</f>
        <v>0</v>
      </c>
      <c r="AB35" s="53">
        <f>SUM($U$35:$AA$35)</f>
        <v>-7.9227570468314648</v>
      </c>
      <c r="AC35" s="53">
        <f>'TUSD BE'!$AC$35*'TUSD BE'!$AC$59</f>
        <v>-6.137957376201725</v>
      </c>
      <c r="AD35" s="53">
        <f>SUM($AC$35:$AC$35)</f>
        <v>-6.137957376201725</v>
      </c>
      <c r="AE35" s="53">
        <f ca="1">$AO$35*$AO$56</f>
        <v>-217.62833574472873</v>
      </c>
      <c r="AF35" s="53">
        <f ca="1">$AP$35*$AP$56</f>
        <v>0</v>
      </c>
      <c r="AG35" s="53">
        <f ca="1">SUM($AE$35:$AF$35)</f>
        <v>-217.62833574472873</v>
      </c>
      <c r="AH35" s="53">
        <f>'TUSD BE'!$AH$35*'TUSD BE'!$AH$59</f>
        <v>-0.44707847611599749</v>
      </c>
      <c r="AI35" s="53">
        <f>'TUSD BE'!$AI$35*'TUSD BE'!$AI$59</f>
        <v>-1.5333099014231768E-2</v>
      </c>
      <c r="AJ35" s="53">
        <f ca="1">'TUSD BE'!$AJ$35*'TUSD BE'!$AJ$59</f>
        <v>-6.5823007027000266E-2</v>
      </c>
      <c r="AK35" s="53">
        <f ca="1">'TUSD BE'!$AK$35*'TUSD BE'!$AK$59</f>
        <v>1.8843503031338697E-2</v>
      </c>
      <c r="AL35" s="53">
        <f ca="1">SUM($AH$35:$AK$35)</f>
        <v>-0.50939107912589077</v>
      </c>
      <c r="AM35" s="53">
        <f ca="1">SUMIF($L$4:$AL$4,"SUBTOTAL",$L$35:$AL$35)</f>
        <v>-232.71519732207062</v>
      </c>
      <c r="AO35" s="76">
        <f ca="1">+'TUSD BE'!$T$35+'TUSD BE'!$AB$35+'TUSD BE'!$AD$35+'TUSD BE'!$AL$35</f>
        <v>1165.2782688432123</v>
      </c>
      <c r="AP35" s="76">
        <f ca="1">+'TUSD BE'!$T$35+'TUSD BE'!$AB$35+'TUSD BE'!$AD$35+'TUSD BE'!$AL$35</f>
        <v>1165.2782688432123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74" t="s">
        <v>93</v>
      </c>
      <c r="H36" s="74" t="s">
        <v>82</v>
      </c>
      <c r="I36" s="74">
        <f>'MERCADO TUSD'!$U$33</f>
        <v>0</v>
      </c>
      <c r="J36" s="15"/>
      <c r="L36" s="53">
        <f>'TUSD BE'!$L$36*'TUSD BE'!$L$59</f>
        <v>-0.4232675743487378</v>
      </c>
      <c r="M36" s="53">
        <f>'TUSD BE'!$M$36*'TUSD BE'!$M$59</f>
        <v>-5.6107009911459463E-2</v>
      </c>
      <c r="N36" s="53">
        <f ca="1">'TUSD BE'!$N$36*'TUSD BE'!$N$59</f>
        <v>5.2489927008736741E-11</v>
      </c>
      <c r="O36" s="53">
        <f>'TUSD BE'!$O$36*'TUSD BE'!$O$59</f>
        <v>0</v>
      </c>
      <c r="P36" s="53">
        <f>'TUSD BE'!$P$36*'TUSD BE'!$P$59</f>
        <v>0</v>
      </c>
      <c r="Q36" s="53">
        <f>'TUSD BE'!$Q$36*'TUSD BE'!$Q$59</f>
        <v>1.3282946463723817</v>
      </c>
      <c r="R36" s="53">
        <f>'TUSD BE'!$R$36*'TUSD BE'!$R$59</f>
        <v>-1.3656761373948416</v>
      </c>
      <c r="S36" s="53">
        <f>'TUSD BE'!$R$36*'TUSD BE'!$S$59</f>
        <v>0</v>
      </c>
      <c r="T36" s="53">
        <f ca="1">SUM($L$36:$S$36)</f>
        <v>-0.5167560752301672</v>
      </c>
      <c r="U36" s="53">
        <f>'TUSD BE'!$U$36*'TUSD BE'!$U$59</f>
        <v>-3.3557867462540978</v>
      </c>
      <c r="V36" s="53">
        <f>'TUSD BE'!$V$36*'TUSD BE'!$V$59</f>
        <v>0.58782432755599567</v>
      </c>
      <c r="W36" s="53">
        <f>'TUSD BE'!$W$36*'TUSD BE'!$W$59</f>
        <v>-1.1934183578761779</v>
      </c>
      <c r="X36" s="53">
        <f>'TUSD BE'!$X$36*'TUSD BE'!$X$59</f>
        <v>0</v>
      </c>
      <c r="Y36" s="53">
        <f>'TUSD BE'!$Y$36*'TUSD BE'!$Y$59</f>
        <v>0</v>
      </c>
      <c r="Z36" s="53">
        <f>'TUSD BE'!$Z$36*'TUSD BE'!$Z$59</f>
        <v>0</v>
      </c>
      <c r="AA36" s="53">
        <f>'TUSD BE'!$AA$36*'TUSD BE'!$AA$59</f>
        <v>0</v>
      </c>
      <c r="AB36" s="53">
        <f>SUM($U$36:$AA$36)</f>
        <v>-3.9613807765742801</v>
      </c>
      <c r="AC36" s="53">
        <f>'TUSD BE'!$AC$36*'TUSD BE'!$AC$59</f>
        <v>-3.0689790747000614</v>
      </c>
      <c r="AD36" s="53">
        <f>SUM($AC$36:$AC$36)</f>
        <v>-3.0689790747000614</v>
      </c>
      <c r="AE36" s="53">
        <f ca="1">$AO$36*$AO$56</f>
        <v>-120.83647130785683</v>
      </c>
      <c r="AF36" s="53">
        <f ca="1">$AP$36*$AP$56</f>
        <v>0</v>
      </c>
      <c r="AG36" s="53">
        <f ca="1">SUM($AE$36:$AF$36)</f>
        <v>-120.83647130785683</v>
      </c>
      <c r="AH36" s="53">
        <f>'TUSD BE'!$AH$36*'TUSD BE'!$AH$59</f>
        <v>-0.44707847611599749</v>
      </c>
      <c r="AI36" s="53">
        <f>'TUSD BE'!$AI$36*'TUSD BE'!$AI$59</f>
        <v>-1.5333099014231768E-2</v>
      </c>
      <c r="AJ36" s="53">
        <f ca="1">'TUSD BE'!$AJ$36*'TUSD BE'!$AJ$59</f>
        <v>-6.5823007027000266E-2</v>
      </c>
      <c r="AK36" s="53">
        <f ca="1">'TUSD BE'!$AK$36*'TUSD BE'!$AK$59</f>
        <v>1.8843503031338697E-2</v>
      </c>
      <c r="AL36" s="53">
        <f ca="1">SUM($AH$36:$AK$36)</f>
        <v>-0.50939107912589077</v>
      </c>
      <c r="AM36" s="53">
        <f ca="1">SUMIF($L$4:$AL$4,"SUBTOTAL",$L$36:$AL$36)</f>
        <v>-128.89297831348722</v>
      </c>
      <c r="AO36" s="76">
        <f ca="1">+'TUSD BE'!$T$36+'TUSD BE'!$AB$36+'TUSD BE'!$AD$36+'TUSD BE'!$AL$36</f>
        <v>647.01185908026901</v>
      </c>
      <c r="AP36" s="76">
        <f ca="1">+'TUSD BE'!$T$36+'TUSD BE'!$AB$36+'TUSD BE'!$AD$36+'TUSD BE'!$AL$36</f>
        <v>647.01185908026901</v>
      </c>
    </row>
    <row r="37" spans="1:42" ht="11.25" customHeight="1" x14ac:dyDescent="0.25">
      <c r="A37" s="131"/>
      <c r="B37" s="131"/>
      <c r="C37" s="131"/>
      <c r="D37" s="131"/>
      <c r="E37" s="131"/>
      <c r="F37" s="131"/>
      <c r="G37" s="74" t="s">
        <v>84</v>
      </c>
      <c r="H37" s="74" t="s">
        <v>82</v>
      </c>
      <c r="I37" s="74">
        <f>'MERCADO TUSD'!$U$34</f>
        <v>0</v>
      </c>
      <c r="J37" s="15"/>
      <c r="L37" s="53">
        <f>'TUSD BE'!$L$37*'TUSD BE'!$L$59</f>
        <v>-0.4232675743487378</v>
      </c>
      <c r="M37" s="53">
        <f>'TUSD BE'!$M$37*'TUSD BE'!$M$59</f>
        <v>-5.6107009911459463E-2</v>
      </c>
      <c r="N37" s="53">
        <f ca="1">'TUSD BE'!$N$37*'TUSD BE'!$N$59</f>
        <v>1.4612294669424424E-11</v>
      </c>
      <c r="O37" s="53">
        <f>'TUSD BE'!$O$37*'TUSD BE'!$O$59</f>
        <v>0</v>
      </c>
      <c r="P37" s="53">
        <f>'TUSD BE'!$P$37*'TUSD BE'!$P$59</f>
        <v>0</v>
      </c>
      <c r="Q37" s="53">
        <f>'TUSD BE'!$Q$37*'TUSD BE'!$Q$59</f>
        <v>1.3282946463723817</v>
      </c>
      <c r="R37" s="53">
        <f>'TUSD BE'!$R$37*'TUSD BE'!$R$59</f>
        <v>-1.3656761373948416</v>
      </c>
      <c r="S37" s="53">
        <f>'TUSD BE'!$R$37*'TUSD BE'!$S$59</f>
        <v>0</v>
      </c>
      <c r="T37" s="53">
        <f ca="1">SUM($L$37:$S$37)</f>
        <v>-0.5167560752680449</v>
      </c>
      <c r="U37" s="53">
        <f>'TUSD BE'!$U$37*'TUSD BE'!$U$59</f>
        <v>-0.6711573492508196</v>
      </c>
      <c r="V37" s="53">
        <f>'TUSD BE'!$V$37*'TUSD BE'!$V$59</f>
        <v>0.11756590773905527</v>
      </c>
      <c r="W37" s="53">
        <f>'TUSD BE'!$W$37*'TUSD BE'!$W$59</f>
        <v>-0.23868254657648896</v>
      </c>
      <c r="X37" s="53">
        <f>'TUSD BE'!$X$37*'TUSD BE'!$X$59</f>
        <v>0</v>
      </c>
      <c r="Y37" s="53">
        <f>'TUSD BE'!$Y$37*'TUSD BE'!$Y$59</f>
        <v>0</v>
      </c>
      <c r="Z37" s="53">
        <f>'TUSD BE'!$Z$37*'TUSD BE'!$Z$59</f>
        <v>0</v>
      </c>
      <c r="AA37" s="53">
        <f>'TUSD BE'!$AA$37*'TUSD BE'!$AA$59</f>
        <v>0</v>
      </c>
      <c r="AB37" s="53">
        <f>SUM($U$37:$AA$37)</f>
        <v>-0.79227398808825322</v>
      </c>
      <c r="AC37" s="53">
        <f>'TUSD BE'!$AC$37*'TUSD BE'!$AC$59</f>
        <v>-0.61379581494001223</v>
      </c>
      <c r="AD37" s="53">
        <f>SUM($AC$37:$AC$37)</f>
        <v>-0.61379581494001223</v>
      </c>
      <c r="AE37" s="53">
        <f ca="1">$AO$37*$AO$56</f>
        <v>-43.402951078492947</v>
      </c>
      <c r="AF37" s="53">
        <f ca="1">$AP$37*$AP$56</f>
        <v>0</v>
      </c>
      <c r="AG37" s="53">
        <f ca="1">SUM($AE$37:$AF$37)</f>
        <v>-43.402951078492947</v>
      </c>
      <c r="AH37" s="53">
        <f>'TUSD BE'!$AH$37*'TUSD BE'!$AH$59</f>
        <v>-0.44707847611599749</v>
      </c>
      <c r="AI37" s="53">
        <f>'TUSD BE'!$AI$37*'TUSD BE'!$AI$59</f>
        <v>-1.5333099014231768E-2</v>
      </c>
      <c r="AJ37" s="53">
        <f ca="1">'TUSD BE'!$AJ$37*'TUSD BE'!$AJ$59</f>
        <v>-6.5823007027000266E-2</v>
      </c>
      <c r="AK37" s="53">
        <f ca="1">'TUSD BE'!$AK$37*'TUSD BE'!$AK$59</f>
        <v>1.8843503031338697E-2</v>
      </c>
      <c r="AL37" s="53">
        <f ca="1">SUM($AH$37:$AK$37)</f>
        <v>-0.50939107912589077</v>
      </c>
      <c r="AM37" s="53">
        <f ca="1">SUMIF($L$4:$AL$4,"SUBTOTAL",$L$37:$AL$37)</f>
        <v>-45.835168035915146</v>
      </c>
      <c r="AO37" s="76">
        <f ca="1">+'TUSD BE'!$T$37+'TUSD BE'!$AB$37+'TUSD BE'!$AD$37+'TUSD BE'!$AL$37</f>
        <v>232.39857770523767</v>
      </c>
      <c r="AP37" s="76">
        <f ca="1">+'TUSD BE'!$T$37+'TUSD BE'!$AB$37+'TUSD BE'!$AD$37+'TUSD BE'!$AL$37</f>
        <v>232.39857770523767</v>
      </c>
    </row>
    <row r="38" spans="1:42" ht="11.25" customHeight="1" x14ac:dyDescent="0.25">
      <c r="A38" s="131"/>
      <c r="B38" s="73" t="s">
        <v>23</v>
      </c>
      <c r="C38" s="73" t="s">
        <v>43</v>
      </c>
      <c r="D38" s="73" t="s">
        <v>96</v>
      </c>
      <c r="E38" s="73" t="s">
        <v>25</v>
      </c>
      <c r="F38" s="73" t="s">
        <v>25</v>
      </c>
      <c r="G38" s="74" t="s">
        <v>86</v>
      </c>
      <c r="H38" s="74" t="s">
        <v>82</v>
      </c>
      <c r="I38" s="74">
        <f>'MERCADO TUSD'!$U$35</f>
        <v>0</v>
      </c>
      <c r="J38" s="15"/>
      <c r="L38" s="53">
        <f>'TUSD BE'!$L$38*'TUSD BE'!$L$59</f>
        <v>-0.4232675743487378</v>
      </c>
      <c r="M38" s="53">
        <f>'TUSD BE'!$M$38*'TUSD BE'!$M$59</f>
        <v>-5.6107009911459463E-2</v>
      </c>
      <c r="N38" s="53">
        <f ca="1">'TUSD BE'!$N$38*'TUSD BE'!$N$59</f>
        <v>2.8239002788186737E-11</v>
      </c>
      <c r="O38" s="53">
        <f>'TUSD BE'!$O$38*'TUSD BE'!$O$59</f>
        <v>0</v>
      </c>
      <c r="P38" s="53">
        <f>'TUSD BE'!$P$38*'TUSD BE'!$P$59</f>
        <v>0</v>
      </c>
      <c r="Q38" s="53">
        <f>'TUSD BE'!$Q$38*'TUSD BE'!$Q$59</f>
        <v>1.3282946463723817</v>
      </c>
      <c r="R38" s="53">
        <f>'TUSD BE'!$R$38*'TUSD BE'!$R$59</f>
        <v>-1.3656761373948416</v>
      </c>
      <c r="S38" s="53">
        <f>'TUSD BE'!$R$38*'TUSD BE'!$S$59</f>
        <v>0</v>
      </c>
      <c r="T38" s="53">
        <f ca="1">SUM($L$38:$S$38)</f>
        <v>-0.51675607525441813</v>
      </c>
      <c r="U38" s="53">
        <f>'TUSD BE'!$U$38*'TUSD BE'!$U$59</f>
        <v>-1.6369692544243668</v>
      </c>
      <c r="V38" s="53">
        <f>'TUSD BE'!$V$38*'TUSD BE'!$V$59</f>
        <v>0.28674293891276859</v>
      </c>
      <c r="W38" s="53">
        <f>'TUSD BE'!$W$38*'TUSD BE'!$W$59</f>
        <v>-0.58215591390232568</v>
      </c>
      <c r="X38" s="53">
        <f>'TUSD BE'!$X$38*'TUSD BE'!$X$59</f>
        <v>0</v>
      </c>
      <c r="Y38" s="53">
        <f>'TUSD BE'!$Y$38*'TUSD BE'!$Y$59</f>
        <v>0</v>
      </c>
      <c r="Z38" s="53">
        <f>'TUSD BE'!$Z$38*'TUSD BE'!$Z$59</f>
        <v>0</v>
      </c>
      <c r="AA38" s="53">
        <f>'TUSD BE'!$AA$38*'TUSD BE'!$AA$59</f>
        <v>0</v>
      </c>
      <c r="AB38" s="53">
        <f>SUM($U$38:$AA$38)</f>
        <v>-1.9323822294139239</v>
      </c>
      <c r="AC38" s="53">
        <f>'TUSD BE'!$AC$38*'TUSD BE'!$AC$59</f>
        <v>-1.4970628689758352</v>
      </c>
      <c r="AD38" s="53">
        <f>SUM($AC$38:$AC$38)</f>
        <v>-1.4970628689758352</v>
      </c>
      <c r="AE38" s="53">
        <f ca="1">$AO$38*$AO$56</f>
        <v>-71.260129922992746</v>
      </c>
      <c r="AF38" s="53">
        <f ca="1">$AP$38*$AP$56</f>
        <v>0</v>
      </c>
      <c r="AG38" s="53">
        <f ca="1">SUM($AE$38:$AF$38)</f>
        <v>-71.260129922992746</v>
      </c>
      <c r="AH38" s="53">
        <f>'TUSD BE'!$AH$38*'TUSD BE'!$AH$59</f>
        <v>-0.44707847611599749</v>
      </c>
      <c r="AI38" s="53">
        <f>'TUSD BE'!$AI$38*'TUSD BE'!$AI$59</f>
        <v>-1.5333099014231768E-2</v>
      </c>
      <c r="AJ38" s="53">
        <f ca="1">'TUSD BE'!$AJ$38*'TUSD BE'!$AJ$59</f>
        <v>-6.5823007027000266E-2</v>
      </c>
      <c r="AK38" s="53">
        <f ca="1">'TUSD BE'!$AK$38*'TUSD BE'!$AK$59</f>
        <v>1.8843503031338697E-2</v>
      </c>
      <c r="AL38" s="53">
        <f ca="1">SUM($AH$38:$AK$38)</f>
        <v>-0.50939107912589077</v>
      </c>
      <c r="AM38" s="53">
        <f ca="1">SUMIF($L$4:$AL$4,"SUBTOTAL",$L$38:$AL$38)</f>
        <v>-75.715722175762821</v>
      </c>
      <c r="AO38" s="76">
        <f ca="1">+'TUSD BE'!$T$38+'TUSD BE'!$AB$38+'TUSD BE'!$AD$38+'TUSD BE'!$AL$38</f>
        <v>381.55822195694333</v>
      </c>
      <c r="AP38" s="76">
        <f ca="1">+'TUSD BE'!$T$38+'TUSD BE'!$AB$38+'TUSD BE'!$AD$38+'TUSD BE'!$AL$38</f>
        <v>381.55822195694333</v>
      </c>
    </row>
    <row r="39" spans="1:42" ht="11.25" customHeight="1" x14ac:dyDescent="0.25">
      <c r="A39" s="131"/>
      <c r="B39" s="131" t="s">
        <v>32</v>
      </c>
      <c r="C39" s="131" t="s">
        <v>43</v>
      </c>
      <c r="D39" s="131" t="s">
        <v>97</v>
      </c>
      <c r="E39" s="131" t="s">
        <v>25</v>
      </c>
      <c r="F39" s="131" t="s">
        <v>25</v>
      </c>
      <c r="G39" s="74" t="s">
        <v>83</v>
      </c>
      <c r="H39" s="74" t="s">
        <v>82</v>
      </c>
      <c r="I39" s="74">
        <f>'MERCADO TUSD'!$U$36</f>
        <v>0</v>
      </c>
      <c r="J39" s="15"/>
      <c r="L39" s="53">
        <f>'TUSD BE'!$L$39*'TUSD BE'!$L$59</f>
        <v>-0.4232675743487378</v>
      </c>
      <c r="M39" s="53">
        <f>'TUSD BE'!$M$39*'TUSD BE'!$M$59</f>
        <v>-5.6107009911459463E-2</v>
      </c>
      <c r="N39" s="53">
        <f ca="1">'TUSD BE'!$N$39*'TUSD BE'!$N$59</f>
        <v>9.9836949778636463E-11</v>
      </c>
      <c r="O39" s="53">
        <f>'TUSD BE'!$O$39*'TUSD BE'!$O$59</f>
        <v>0</v>
      </c>
      <c r="P39" s="53">
        <f>'TUSD BE'!$P$39*'TUSD BE'!$P$59</f>
        <v>0</v>
      </c>
      <c r="Q39" s="53">
        <f>'TUSD BE'!$Q$39*'TUSD BE'!$Q$59</f>
        <v>1.3282946463723817</v>
      </c>
      <c r="R39" s="53">
        <f>'TUSD BE'!$R$39*'TUSD BE'!$R$59</f>
        <v>-1.3656761373948416</v>
      </c>
      <c r="S39" s="53">
        <f>'TUSD BE'!$R$39*'TUSD BE'!$S$59</f>
        <v>0</v>
      </c>
      <c r="T39" s="53">
        <f ca="1">SUM($L$39:$S$39)</f>
        <v>-0.51675607518282018</v>
      </c>
      <c r="U39" s="53">
        <f>'TUSD BE'!$U$39*'TUSD BE'!$U$59</f>
        <v>-6.7115689861911001</v>
      </c>
      <c r="V39" s="53">
        <f>'TUSD BE'!$V$39*'TUSD BE'!$V$59</f>
        <v>1.1756486551119913</v>
      </c>
      <c r="W39" s="53">
        <f>'TUSD BE'!$W$39*'TUSD BE'!$W$59</f>
        <v>-2.3868367157523558</v>
      </c>
      <c r="X39" s="53">
        <f>'TUSD BE'!$X$39*'TUSD BE'!$X$59</f>
        <v>0</v>
      </c>
      <c r="Y39" s="53">
        <f>'TUSD BE'!$Y$39*'TUSD BE'!$Y$59</f>
        <v>0</v>
      </c>
      <c r="Z39" s="53">
        <f>'TUSD BE'!$Z$39*'TUSD BE'!$Z$59</f>
        <v>0</v>
      </c>
      <c r="AA39" s="53">
        <f>'TUSD BE'!$AA$39*'TUSD BE'!$AA$59</f>
        <v>0</v>
      </c>
      <c r="AB39" s="53">
        <f>SUM($U$39:$AA$39)</f>
        <v>-7.9227570468314648</v>
      </c>
      <c r="AC39" s="53">
        <f>'TUSD BE'!$AC$39*'TUSD BE'!$AC$59</f>
        <v>-6.137957376201725</v>
      </c>
      <c r="AD39" s="53">
        <f>SUM($AC$39:$AC$39)</f>
        <v>-6.137957376201725</v>
      </c>
      <c r="AE39" s="53">
        <f ca="1">$AO$39*$AO$56</f>
        <v>-217.62833574472873</v>
      </c>
      <c r="AF39" s="53">
        <f ca="1">$AP$39*$AP$56</f>
        <v>0</v>
      </c>
      <c r="AG39" s="53">
        <f ca="1">SUM($AE$39:$AF$39)</f>
        <v>-217.62833574472873</v>
      </c>
      <c r="AH39" s="53">
        <f>'TUSD BE'!$AH$39*'TUSD BE'!$AH$59</f>
        <v>-0.44707847611599749</v>
      </c>
      <c r="AI39" s="53">
        <f>'TUSD BE'!$AI$39*'TUSD BE'!$AI$59</f>
        <v>-1.5333099014231768E-2</v>
      </c>
      <c r="AJ39" s="53">
        <f ca="1">'TUSD BE'!$AJ$39*'TUSD BE'!$AJ$59</f>
        <v>-6.5823007027000266E-2</v>
      </c>
      <c r="AK39" s="53">
        <f ca="1">'TUSD BE'!$AK$39*'TUSD BE'!$AK$59</f>
        <v>1.8843503031338697E-2</v>
      </c>
      <c r="AL39" s="53">
        <f ca="1">SUM($AH$39:$AK$39)</f>
        <v>-0.50939107912589077</v>
      </c>
      <c r="AM39" s="53">
        <f ca="1">SUMIF($L$4:$AL$4,"SUBTOTAL",$L$39:$AL$39)</f>
        <v>-232.71519732207062</v>
      </c>
      <c r="AO39" s="76">
        <f ca="1">+'TUSD BE'!$T$39+'TUSD BE'!$AB$39+'TUSD BE'!$AD$39+'TUSD BE'!$AL$39</f>
        <v>1165.2782688432123</v>
      </c>
      <c r="AP39" s="76">
        <f ca="1">+'TUSD BE'!$T$39+'TUSD BE'!$AB$39+'TUSD BE'!$AD$39+'TUSD BE'!$AL$39</f>
        <v>1165.2782688432123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74" t="s">
        <v>93</v>
      </c>
      <c r="H40" s="74" t="s">
        <v>82</v>
      </c>
      <c r="I40" s="74">
        <f>'MERCADO TUSD'!$U$37</f>
        <v>0</v>
      </c>
      <c r="J40" s="15"/>
      <c r="L40" s="53">
        <f>'TUSD BE'!$L$40*'TUSD BE'!$L$59</f>
        <v>-0.4232675743487378</v>
      </c>
      <c r="M40" s="53">
        <f>'TUSD BE'!$M$40*'TUSD BE'!$M$59</f>
        <v>-5.6107009911459463E-2</v>
      </c>
      <c r="N40" s="53">
        <f ca="1">'TUSD BE'!$N$40*'TUSD BE'!$N$59</f>
        <v>5.2489927008736741E-11</v>
      </c>
      <c r="O40" s="53">
        <f>'TUSD BE'!$O$40*'TUSD BE'!$O$59</f>
        <v>0</v>
      </c>
      <c r="P40" s="53">
        <f>'TUSD BE'!$P$40*'TUSD BE'!$P$59</f>
        <v>0</v>
      </c>
      <c r="Q40" s="53">
        <f>'TUSD BE'!$Q$40*'TUSD BE'!$Q$59</f>
        <v>1.3282946463723817</v>
      </c>
      <c r="R40" s="53">
        <f>'TUSD BE'!$R$40*'TUSD BE'!$R$59</f>
        <v>-1.3656761373948416</v>
      </c>
      <c r="S40" s="53">
        <f>'TUSD BE'!$R$40*'TUSD BE'!$S$59</f>
        <v>0</v>
      </c>
      <c r="T40" s="53">
        <f ca="1">SUM($L$40:$S$40)</f>
        <v>-0.5167560752301672</v>
      </c>
      <c r="U40" s="53">
        <f>'TUSD BE'!$U$40*'TUSD BE'!$U$59</f>
        <v>-3.3557867462540978</v>
      </c>
      <c r="V40" s="53">
        <f>'TUSD BE'!$V$40*'TUSD BE'!$V$59</f>
        <v>0.58782432755599567</v>
      </c>
      <c r="W40" s="53">
        <f>'TUSD BE'!$W$40*'TUSD BE'!$W$59</f>
        <v>-1.1934183578761779</v>
      </c>
      <c r="X40" s="53">
        <f>'TUSD BE'!$X$40*'TUSD BE'!$X$59</f>
        <v>0</v>
      </c>
      <c r="Y40" s="53">
        <f>'TUSD BE'!$Y$40*'TUSD BE'!$Y$59</f>
        <v>0</v>
      </c>
      <c r="Z40" s="53">
        <f>'TUSD BE'!$Z$40*'TUSD BE'!$Z$59</f>
        <v>0</v>
      </c>
      <c r="AA40" s="53">
        <f>'TUSD BE'!$AA$40*'TUSD BE'!$AA$59</f>
        <v>0</v>
      </c>
      <c r="AB40" s="53">
        <f>SUM($U$40:$AA$40)</f>
        <v>-3.9613807765742801</v>
      </c>
      <c r="AC40" s="53">
        <f>'TUSD BE'!$AC$40*'TUSD BE'!$AC$59</f>
        <v>-3.0689790747000614</v>
      </c>
      <c r="AD40" s="53">
        <f>SUM($AC$40:$AC$40)</f>
        <v>-3.0689790747000614</v>
      </c>
      <c r="AE40" s="53">
        <f ca="1">$AO$40*$AO$56</f>
        <v>-120.83647130785683</v>
      </c>
      <c r="AF40" s="53">
        <f ca="1">$AP$40*$AP$56</f>
        <v>0</v>
      </c>
      <c r="AG40" s="53">
        <f ca="1">SUM($AE$40:$AF$40)</f>
        <v>-120.83647130785683</v>
      </c>
      <c r="AH40" s="53">
        <f>'TUSD BE'!$AH$40*'TUSD BE'!$AH$59</f>
        <v>-0.44707847611599749</v>
      </c>
      <c r="AI40" s="53">
        <f>'TUSD BE'!$AI$40*'TUSD BE'!$AI$59</f>
        <v>-1.5333099014231768E-2</v>
      </c>
      <c r="AJ40" s="53">
        <f ca="1">'TUSD BE'!$AJ$40*'TUSD BE'!$AJ$59</f>
        <v>-6.5823007027000266E-2</v>
      </c>
      <c r="AK40" s="53">
        <f ca="1">'TUSD BE'!$AK$40*'TUSD BE'!$AK$59</f>
        <v>1.8843503031338697E-2</v>
      </c>
      <c r="AL40" s="53">
        <f ca="1">SUM($AH$40:$AK$40)</f>
        <v>-0.50939107912589077</v>
      </c>
      <c r="AM40" s="53">
        <f ca="1">SUMIF($L$4:$AL$4,"SUBTOTAL",$L$40:$AL$40)</f>
        <v>-128.89297831348722</v>
      </c>
      <c r="AO40" s="76">
        <f ca="1">+'TUSD BE'!$T$40+'TUSD BE'!$AB$40+'TUSD BE'!$AD$40+'TUSD BE'!$AL$40</f>
        <v>647.01185908026901</v>
      </c>
      <c r="AP40" s="76">
        <f ca="1">+'TUSD BE'!$T$40+'TUSD BE'!$AB$40+'TUSD BE'!$AD$40+'TUSD BE'!$AL$40</f>
        <v>647.01185908026901</v>
      </c>
    </row>
    <row r="41" spans="1:42" ht="11.25" customHeight="1" x14ac:dyDescent="0.25">
      <c r="A41" s="131"/>
      <c r="B41" s="131"/>
      <c r="C41" s="131"/>
      <c r="D41" s="131"/>
      <c r="E41" s="131"/>
      <c r="F41" s="131"/>
      <c r="G41" s="74" t="s">
        <v>84</v>
      </c>
      <c r="H41" s="74" t="s">
        <v>82</v>
      </c>
      <c r="I41" s="74">
        <f>'MERCADO TUSD'!$U$38</f>
        <v>0</v>
      </c>
      <c r="J41" s="15"/>
      <c r="L41" s="53">
        <f>'TUSD BE'!$L$41*'TUSD BE'!$L$59</f>
        <v>-0.4232675743487378</v>
      </c>
      <c r="M41" s="53">
        <f>'TUSD BE'!$M$41*'TUSD BE'!$M$59</f>
        <v>-5.6107009911459463E-2</v>
      </c>
      <c r="N41" s="53">
        <f ca="1">'TUSD BE'!$N$41*'TUSD BE'!$N$59</f>
        <v>1.4612294669424424E-11</v>
      </c>
      <c r="O41" s="53">
        <f>'TUSD BE'!$O$41*'TUSD BE'!$O$59</f>
        <v>0</v>
      </c>
      <c r="P41" s="53">
        <f>'TUSD BE'!$P$41*'TUSD BE'!$P$59</f>
        <v>0</v>
      </c>
      <c r="Q41" s="53">
        <f>'TUSD BE'!$Q$41*'TUSD BE'!$Q$59</f>
        <v>1.3282946463723817</v>
      </c>
      <c r="R41" s="53">
        <f>'TUSD BE'!$R$41*'TUSD BE'!$R$59</f>
        <v>-1.3656761373948416</v>
      </c>
      <c r="S41" s="53">
        <f>'TUSD BE'!$R$41*'TUSD BE'!$S$59</f>
        <v>0</v>
      </c>
      <c r="T41" s="53">
        <f ca="1">SUM($L$41:$S$41)</f>
        <v>-0.5167560752680449</v>
      </c>
      <c r="U41" s="53">
        <f>'TUSD BE'!$U$41*'TUSD BE'!$U$59</f>
        <v>-0.6711573492508196</v>
      </c>
      <c r="V41" s="53">
        <f>'TUSD BE'!$V$41*'TUSD BE'!$V$59</f>
        <v>0.11756590773905527</v>
      </c>
      <c r="W41" s="53">
        <f>'TUSD BE'!$W$41*'TUSD BE'!$W$59</f>
        <v>-0.23868254657648896</v>
      </c>
      <c r="X41" s="53">
        <f>'TUSD BE'!$X$41*'TUSD BE'!$X$59</f>
        <v>0</v>
      </c>
      <c r="Y41" s="53">
        <f>'TUSD BE'!$Y$41*'TUSD BE'!$Y$59</f>
        <v>0</v>
      </c>
      <c r="Z41" s="53">
        <f>'TUSD BE'!$Z$41*'TUSD BE'!$Z$59</f>
        <v>0</v>
      </c>
      <c r="AA41" s="53">
        <f>'TUSD BE'!$AA$41*'TUSD BE'!$AA$59</f>
        <v>0</v>
      </c>
      <c r="AB41" s="53">
        <f>SUM($U$41:$AA$41)</f>
        <v>-0.79227398808825322</v>
      </c>
      <c r="AC41" s="53">
        <f>'TUSD BE'!$AC$41*'TUSD BE'!$AC$59</f>
        <v>-0.61379581494001223</v>
      </c>
      <c r="AD41" s="53">
        <f>SUM($AC$41:$AC$41)</f>
        <v>-0.61379581494001223</v>
      </c>
      <c r="AE41" s="53">
        <f ca="1">$AO$41*$AO$56</f>
        <v>-43.402951078492947</v>
      </c>
      <c r="AF41" s="53">
        <f ca="1">$AP$41*$AP$56</f>
        <v>0</v>
      </c>
      <c r="AG41" s="53">
        <f ca="1">SUM($AE$41:$AF$41)</f>
        <v>-43.402951078492947</v>
      </c>
      <c r="AH41" s="53">
        <f>'TUSD BE'!$AH$41*'TUSD BE'!$AH$59</f>
        <v>-0.44707847611599749</v>
      </c>
      <c r="AI41" s="53">
        <f>'TUSD BE'!$AI$41*'TUSD BE'!$AI$59</f>
        <v>-1.5333099014231768E-2</v>
      </c>
      <c r="AJ41" s="53">
        <f ca="1">'TUSD BE'!$AJ$41*'TUSD BE'!$AJ$59</f>
        <v>-6.5823007027000266E-2</v>
      </c>
      <c r="AK41" s="53">
        <f ca="1">'TUSD BE'!$AK$41*'TUSD BE'!$AK$59</f>
        <v>1.8843503031338697E-2</v>
      </c>
      <c r="AL41" s="53">
        <f ca="1">SUM($AH$41:$AK$41)</f>
        <v>-0.50939107912589077</v>
      </c>
      <c r="AM41" s="53">
        <f ca="1">SUMIF($L$4:$AL$4,"SUBTOTAL",$L$41:$AL$41)</f>
        <v>-45.835168035915146</v>
      </c>
      <c r="AO41" s="76">
        <f ca="1">+'TUSD BE'!$T$41+'TUSD BE'!$AB$41+'TUSD BE'!$AD$41+'TUSD BE'!$AL$41</f>
        <v>232.39857770523767</v>
      </c>
      <c r="AP41" s="76">
        <f ca="1">+'TUSD BE'!$T$41+'TUSD BE'!$AB$41+'TUSD BE'!$AD$41+'TUSD BE'!$AL$41</f>
        <v>232.39857770523767</v>
      </c>
    </row>
    <row r="42" spans="1:42" ht="11.25" customHeight="1" x14ac:dyDescent="0.25">
      <c r="A42" s="131"/>
      <c r="B42" s="73" t="s">
        <v>23</v>
      </c>
      <c r="C42" s="73" t="s">
        <v>43</v>
      </c>
      <c r="D42" s="73" t="s">
        <v>97</v>
      </c>
      <c r="E42" s="73" t="s">
        <v>25</v>
      </c>
      <c r="F42" s="73" t="s">
        <v>25</v>
      </c>
      <c r="G42" s="74" t="s">
        <v>86</v>
      </c>
      <c r="H42" s="74" t="s">
        <v>82</v>
      </c>
      <c r="I42" s="74">
        <f>'MERCADO TUSD'!$U$39</f>
        <v>0</v>
      </c>
      <c r="J42" s="15"/>
      <c r="L42" s="53">
        <f>'TUSD BE'!$L$42*'TUSD BE'!$L$59</f>
        <v>-0.4232675743487378</v>
      </c>
      <c r="M42" s="53">
        <f>'TUSD BE'!$M$42*'TUSD BE'!$M$59</f>
        <v>-5.6107009911459463E-2</v>
      </c>
      <c r="N42" s="53">
        <f ca="1">'TUSD BE'!$N$42*'TUSD BE'!$N$59</f>
        <v>2.8239002788186737E-11</v>
      </c>
      <c r="O42" s="53">
        <f>'TUSD BE'!$O$42*'TUSD BE'!$O$59</f>
        <v>0</v>
      </c>
      <c r="P42" s="53">
        <f>'TUSD BE'!$P$42*'TUSD BE'!$P$59</f>
        <v>0</v>
      </c>
      <c r="Q42" s="53">
        <f>'TUSD BE'!$Q$42*'TUSD BE'!$Q$59</f>
        <v>1.3282946463723817</v>
      </c>
      <c r="R42" s="53">
        <f>'TUSD BE'!$R$42*'TUSD BE'!$R$59</f>
        <v>-1.3656761373948416</v>
      </c>
      <c r="S42" s="53">
        <f>'TUSD BE'!$R$42*'TUSD BE'!$S$59</f>
        <v>0</v>
      </c>
      <c r="T42" s="53">
        <f ca="1">SUM($L$42:$S$42)</f>
        <v>-0.51675607525441813</v>
      </c>
      <c r="U42" s="53">
        <f>'TUSD BE'!$U$42*'TUSD BE'!$U$59</f>
        <v>-1.6369692544243668</v>
      </c>
      <c r="V42" s="53">
        <f>'TUSD BE'!$V$42*'TUSD BE'!$V$59</f>
        <v>0.28674293891276859</v>
      </c>
      <c r="W42" s="53">
        <f>'TUSD BE'!$W$42*'TUSD BE'!$W$59</f>
        <v>-0.58215591390232568</v>
      </c>
      <c r="X42" s="53">
        <f>'TUSD BE'!$X$42*'TUSD BE'!$X$59</f>
        <v>0</v>
      </c>
      <c r="Y42" s="53">
        <f>'TUSD BE'!$Y$42*'TUSD BE'!$Y$59</f>
        <v>0</v>
      </c>
      <c r="Z42" s="53">
        <f>'TUSD BE'!$Z$42*'TUSD BE'!$Z$59</f>
        <v>0</v>
      </c>
      <c r="AA42" s="53">
        <f>'TUSD BE'!$AA$42*'TUSD BE'!$AA$59</f>
        <v>0</v>
      </c>
      <c r="AB42" s="53">
        <f>SUM($U$42:$AA$42)</f>
        <v>-1.9323822294139239</v>
      </c>
      <c r="AC42" s="53">
        <f>'TUSD BE'!$AC$42*'TUSD BE'!$AC$59</f>
        <v>-1.4970628689758352</v>
      </c>
      <c r="AD42" s="53">
        <f>SUM($AC$42:$AC$42)</f>
        <v>-1.4970628689758352</v>
      </c>
      <c r="AE42" s="53">
        <f ca="1">$AO$42*$AO$56</f>
        <v>-71.260129922992746</v>
      </c>
      <c r="AF42" s="53">
        <f ca="1">$AP$42*$AP$56</f>
        <v>0</v>
      </c>
      <c r="AG42" s="53">
        <f ca="1">SUM($AE$42:$AF$42)</f>
        <v>-71.260129922992746</v>
      </c>
      <c r="AH42" s="53">
        <f>'TUSD BE'!$AH$42*'TUSD BE'!$AH$59</f>
        <v>-0.44707847611599749</v>
      </c>
      <c r="AI42" s="53">
        <f>'TUSD BE'!$AI$42*'TUSD BE'!$AI$59</f>
        <v>-1.5333099014231768E-2</v>
      </c>
      <c r="AJ42" s="53">
        <f ca="1">'TUSD BE'!$AJ$42*'TUSD BE'!$AJ$59</f>
        <v>-6.5823007027000266E-2</v>
      </c>
      <c r="AK42" s="53">
        <f ca="1">'TUSD BE'!$AK$42*'TUSD BE'!$AK$59</f>
        <v>1.8843503031338697E-2</v>
      </c>
      <c r="AL42" s="53">
        <f ca="1">SUM($AH$42:$AK$42)</f>
        <v>-0.50939107912589077</v>
      </c>
      <c r="AM42" s="53">
        <f ca="1">SUMIF($L$4:$AL$4,"SUBTOTAL",$L$42:$AL$42)</f>
        <v>-75.715722175762821</v>
      </c>
      <c r="AO42" s="76">
        <f ca="1">+'TUSD BE'!$T$42+'TUSD BE'!$AB$42+'TUSD BE'!$AD$42+'TUSD BE'!$AL$42</f>
        <v>381.55822195694333</v>
      </c>
      <c r="AP42" s="76">
        <f ca="1">+'TUSD BE'!$T$42+'TUSD BE'!$AB$42+'TUSD BE'!$AD$42+'TUSD BE'!$AL$42</f>
        <v>381.55822195694333</v>
      </c>
    </row>
    <row r="43" spans="1:42" ht="11.25" customHeight="1" x14ac:dyDescent="0.25">
      <c r="A43" s="131"/>
      <c r="B43" s="131" t="s">
        <v>95</v>
      </c>
      <c r="C43" s="131" t="s">
        <v>43</v>
      </c>
      <c r="D43" s="73" t="s">
        <v>25</v>
      </c>
      <c r="E43" s="73" t="s">
        <v>25</v>
      </c>
      <c r="F43" s="73" t="s">
        <v>25</v>
      </c>
      <c r="G43" s="74" t="s">
        <v>86</v>
      </c>
      <c r="H43" s="74" t="s">
        <v>82</v>
      </c>
      <c r="I43" s="74">
        <f>'MERCADO TUSD'!$U$40</f>
        <v>0</v>
      </c>
      <c r="J43" s="15"/>
      <c r="L43" s="53">
        <f>'TUSD BE'!$L$43*'TUSD BE'!$L$59</f>
        <v>-0.4232675743487378</v>
      </c>
      <c r="M43" s="53">
        <f>'TUSD BE'!$M$43*'TUSD BE'!$M$59</f>
        <v>-5.6107009911459463E-2</v>
      </c>
      <c r="N43" s="53">
        <f ca="1">'TUSD BE'!$N$43*'TUSD BE'!$N$59</f>
        <v>2.8239002788186737E-11</v>
      </c>
      <c r="O43" s="53">
        <f>'TUSD BE'!$O$43*'TUSD BE'!$O$59</f>
        <v>0</v>
      </c>
      <c r="P43" s="53">
        <f>'TUSD BE'!$P$43*'TUSD BE'!$P$59</f>
        <v>0</v>
      </c>
      <c r="Q43" s="53">
        <f>'TUSD BE'!$Q$43*'TUSD BE'!$Q$59</f>
        <v>1.3282946463723817</v>
      </c>
      <c r="R43" s="53">
        <f>'TUSD BE'!$R$43*'TUSD BE'!$R$59</f>
        <v>-1.3656761373948416</v>
      </c>
      <c r="S43" s="53">
        <f>'TUSD BE'!$R$43*'TUSD BE'!$S$59</f>
        <v>0</v>
      </c>
      <c r="T43" s="53">
        <f ca="1">SUM($L$43:$S$43)</f>
        <v>-0.51675607525441813</v>
      </c>
      <c r="U43" s="53">
        <f>'TUSD BE'!$U$43*'TUSD BE'!$U$59</f>
        <v>-1.6369692544243668</v>
      </c>
      <c r="V43" s="53">
        <f>'TUSD BE'!$V$43*'TUSD BE'!$V$59</f>
        <v>0.28674293891276859</v>
      </c>
      <c r="W43" s="53">
        <f>'TUSD BE'!$W$43*'TUSD BE'!$W$59</f>
        <v>-0.58215591390232568</v>
      </c>
      <c r="X43" s="53">
        <f>'TUSD BE'!$X$43*'TUSD BE'!$X$59</f>
        <v>0</v>
      </c>
      <c r="Y43" s="53">
        <f>'TUSD BE'!$Y$43*'TUSD BE'!$Y$59</f>
        <v>0</v>
      </c>
      <c r="Z43" s="53">
        <f>'TUSD BE'!$Z$43*'TUSD BE'!$Z$59</f>
        <v>0</v>
      </c>
      <c r="AA43" s="53">
        <f>'TUSD BE'!$AA$43*'TUSD BE'!$AA$59</f>
        <v>0</v>
      </c>
      <c r="AB43" s="53">
        <f>SUM($U$43:$AA$43)</f>
        <v>-1.9323822294139239</v>
      </c>
      <c r="AC43" s="53">
        <f>'TUSD BE'!$AC$43*'TUSD BE'!$AC$59</f>
        <v>-1.4970628689758352</v>
      </c>
      <c r="AD43" s="53">
        <f>SUM($AC$43:$AC$43)</f>
        <v>-1.4970628689758352</v>
      </c>
      <c r="AE43" s="53">
        <f ca="1">$AO$43*$AO$56</f>
        <v>-71.260129922992746</v>
      </c>
      <c r="AF43" s="53">
        <f ca="1">$AP$43*$AP$56</f>
        <v>0</v>
      </c>
      <c r="AG43" s="53">
        <f ca="1">SUM($AE$43:$AF$43)</f>
        <v>-71.260129922992746</v>
      </c>
      <c r="AH43" s="53">
        <f>'TUSD BE'!$AH$43*'TUSD BE'!$AH$59</f>
        <v>-0.44707847611599749</v>
      </c>
      <c r="AI43" s="53">
        <f>'TUSD BE'!$AI$43*'TUSD BE'!$AI$59</f>
        <v>-1.5333099014231768E-2</v>
      </c>
      <c r="AJ43" s="53">
        <f ca="1">'TUSD BE'!$AJ$43*'TUSD BE'!$AJ$59</f>
        <v>-6.5823007027000266E-2</v>
      </c>
      <c r="AK43" s="53">
        <f ca="1">'TUSD BE'!$AK$43*'TUSD BE'!$AK$59</f>
        <v>1.8843503031338697E-2</v>
      </c>
      <c r="AL43" s="53">
        <f ca="1">SUM($AH$43:$AK$43)</f>
        <v>-0.50939107912589077</v>
      </c>
      <c r="AM43" s="53">
        <f ca="1">SUMIF($L$4:$AL$4,"SUBTOTAL",$L$43:$AL$43)</f>
        <v>-75.715722175762821</v>
      </c>
      <c r="AO43" s="76">
        <f ca="1">+'TUSD BE'!$T$43+'TUSD BE'!$AB$43+'TUSD BE'!$AD$43+'TUSD BE'!$AL$43</f>
        <v>381.55822195694333</v>
      </c>
      <c r="AP43" s="76">
        <f ca="1">+'TUSD BE'!$T$43+'TUSD BE'!$AB$43+'TUSD BE'!$AD$43+'TUSD BE'!$AL$43</f>
        <v>381.55822195694333</v>
      </c>
    </row>
    <row r="44" spans="1:42" ht="11.25" customHeight="1" x14ac:dyDescent="0.25">
      <c r="A44" s="131"/>
      <c r="B44" s="131"/>
      <c r="C44" s="131"/>
      <c r="D44" s="73" t="s">
        <v>96</v>
      </c>
      <c r="E44" s="73" t="s">
        <v>25</v>
      </c>
      <c r="F44" s="73" t="s">
        <v>25</v>
      </c>
      <c r="G44" s="74" t="s">
        <v>86</v>
      </c>
      <c r="H44" s="74" t="s">
        <v>82</v>
      </c>
      <c r="I44" s="74">
        <f>'MERCADO TUSD'!$U$41</f>
        <v>0</v>
      </c>
      <c r="J44" s="15"/>
      <c r="L44" s="53">
        <f>'TUSD BE'!$L$44*'TUSD BE'!$L$59</f>
        <v>-0.4232675743487378</v>
      </c>
      <c r="M44" s="53">
        <f>'TUSD BE'!$M$44*'TUSD BE'!$M$59</f>
        <v>-5.6107009911459463E-2</v>
      </c>
      <c r="N44" s="53">
        <f ca="1">'TUSD BE'!$N$44*'TUSD BE'!$N$59</f>
        <v>2.8239002788186737E-11</v>
      </c>
      <c r="O44" s="53">
        <f>'TUSD BE'!$O$44*'TUSD BE'!$O$59</f>
        <v>0</v>
      </c>
      <c r="P44" s="53">
        <f>'TUSD BE'!$P$44*'TUSD BE'!$P$59</f>
        <v>0</v>
      </c>
      <c r="Q44" s="53">
        <f>'TUSD BE'!$Q$44*'TUSD BE'!$Q$59</f>
        <v>1.3282946463723817</v>
      </c>
      <c r="R44" s="53">
        <f>'TUSD BE'!$R$44*'TUSD BE'!$R$59</f>
        <v>-1.3656761373948416</v>
      </c>
      <c r="S44" s="53">
        <f>'TUSD BE'!$R$44*'TUSD BE'!$S$59</f>
        <v>0</v>
      </c>
      <c r="T44" s="53">
        <f ca="1">SUM($L$44:$S$44)</f>
        <v>-0.51675607525441813</v>
      </c>
      <c r="U44" s="53">
        <f>'TUSD BE'!$U$44*'TUSD BE'!$U$59</f>
        <v>-1.6369692544243668</v>
      </c>
      <c r="V44" s="53">
        <f>'TUSD BE'!$V$44*'TUSD BE'!$V$59</f>
        <v>0.28674293891276859</v>
      </c>
      <c r="W44" s="53">
        <f>'TUSD BE'!$W$44*'TUSD BE'!$W$59</f>
        <v>-0.58215591390232568</v>
      </c>
      <c r="X44" s="53">
        <f>'TUSD BE'!$X$44*'TUSD BE'!$X$59</f>
        <v>0</v>
      </c>
      <c r="Y44" s="53">
        <f>'TUSD BE'!$Y$44*'TUSD BE'!$Y$59</f>
        <v>0</v>
      </c>
      <c r="Z44" s="53">
        <f>'TUSD BE'!$Z$44*'TUSD BE'!$Z$59</f>
        <v>0</v>
      </c>
      <c r="AA44" s="53">
        <f>'TUSD BE'!$AA$44*'TUSD BE'!$AA$59</f>
        <v>0</v>
      </c>
      <c r="AB44" s="53">
        <f>SUM($U$44:$AA$44)</f>
        <v>-1.9323822294139239</v>
      </c>
      <c r="AC44" s="53">
        <f>'TUSD BE'!$AC$44*'TUSD BE'!$AC$59</f>
        <v>-1.4970628689758352</v>
      </c>
      <c r="AD44" s="53">
        <f>SUM($AC$44:$AC$44)</f>
        <v>-1.4970628689758352</v>
      </c>
      <c r="AE44" s="53">
        <f ca="1">$AO$44*$AO$56</f>
        <v>-71.260129922992746</v>
      </c>
      <c r="AF44" s="53">
        <f ca="1">$AP$44*$AP$56</f>
        <v>0</v>
      </c>
      <c r="AG44" s="53">
        <f ca="1">SUM($AE$44:$AF$44)</f>
        <v>-71.260129922992746</v>
      </c>
      <c r="AH44" s="53">
        <f>'TUSD BE'!$AH$44*'TUSD BE'!$AH$59</f>
        <v>-0.44707847611599749</v>
      </c>
      <c r="AI44" s="53">
        <f>'TUSD BE'!$AI$44*'TUSD BE'!$AI$59</f>
        <v>-1.5333099014231768E-2</v>
      </c>
      <c r="AJ44" s="53">
        <f ca="1">'TUSD BE'!$AJ$44*'TUSD BE'!$AJ$59</f>
        <v>-6.5823007027000266E-2</v>
      </c>
      <c r="AK44" s="53">
        <f ca="1">'TUSD BE'!$AK$44*'TUSD BE'!$AK$59</f>
        <v>1.8843503031338697E-2</v>
      </c>
      <c r="AL44" s="53">
        <f ca="1">SUM($AH$44:$AK$44)</f>
        <v>-0.50939107912589077</v>
      </c>
      <c r="AM44" s="53">
        <f ca="1">SUMIF($L$4:$AL$4,"SUBTOTAL",$L$44:$AL$44)</f>
        <v>-75.715722175762821</v>
      </c>
      <c r="AO44" s="76">
        <f ca="1">+'TUSD BE'!$T$44+'TUSD BE'!$AB$44+'TUSD BE'!$AD$44+'TUSD BE'!$AL$44</f>
        <v>381.55822195694333</v>
      </c>
      <c r="AP44" s="76">
        <f ca="1">+'TUSD BE'!$T$44+'TUSD BE'!$AB$44+'TUSD BE'!$AD$44+'TUSD BE'!$AL$44</f>
        <v>381.55822195694333</v>
      </c>
    </row>
    <row r="45" spans="1:42" ht="11.25" customHeight="1" x14ac:dyDescent="0.25">
      <c r="A45" s="131"/>
      <c r="B45" s="131"/>
      <c r="C45" s="131"/>
      <c r="D45" s="73" t="s">
        <v>97</v>
      </c>
      <c r="E45" s="73" t="s">
        <v>25</v>
      </c>
      <c r="F45" s="73" t="s">
        <v>25</v>
      </c>
      <c r="G45" s="74" t="s">
        <v>86</v>
      </c>
      <c r="H45" s="74" t="s">
        <v>82</v>
      </c>
      <c r="I45" s="74">
        <f>'MERCADO TUSD'!$U$42</f>
        <v>0</v>
      </c>
      <c r="J45" s="15"/>
      <c r="L45" s="53">
        <f>'TUSD BE'!$L$45*'TUSD BE'!$L$59</f>
        <v>-0.4232675743487378</v>
      </c>
      <c r="M45" s="53">
        <f>'TUSD BE'!$M$45*'TUSD BE'!$M$59</f>
        <v>-5.6107009911459463E-2</v>
      </c>
      <c r="N45" s="53">
        <f ca="1">'TUSD BE'!$N$45*'TUSD BE'!$N$59</f>
        <v>2.8239002788186737E-11</v>
      </c>
      <c r="O45" s="53">
        <f>'TUSD BE'!$O$45*'TUSD BE'!$O$59</f>
        <v>0</v>
      </c>
      <c r="P45" s="53">
        <f>'TUSD BE'!$P$45*'TUSD BE'!$P$59</f>
        <v>0</v>
      </c>
      <c r="Q45" s="53">
        <f>'TUSD BE'!$Q$45*'TUSD BE'!$Q$59</f>
        <v>1.3282946463723817</v>
      </c>
      <c r="R45" s="53">
        <f>'TUSD BE'!$R$45*'TUSD BE'!$R$59</f>
        <v>-1.3656761373948416</v>
      </c>
      <c r="S45" s="53">
        <f>'TUSD BE'!$R$45*'TUSD BE'!$S$59</f>
        <v>0</v>
      </c>
      <c r="T45" s="53">
        <f ca="1">SUM($L$45:$S$45)</f>
        <v>-0.51675607525441813</v>
      </c>
      <c r="U45" s="53">
        <f>'TUSD BE'!$U$45*'TUSD BE'!$U$59</f>
        <v>-1.6369692544243668</v>
      </c>
      <c r="V45" s="53">
        <f>'TUSD BE'!$V$45*'TUSD BE'!$V$59</f>
        <v>0.28674293891276859</v>
      </c>
      <c r="W45" s="53">
        <f>'TUSD BE'!$W$45*'TUSD BE'!$W$59</f>
        <v>-0.58215591390232568</v>
      </c>
      <c r="X45" s="53">
        <f>'TUSD BE'!$X$45*'TUSD BE'!$X$59</f>
        <v>0</v>
      </c>
      <c r="Y45" s="53">
        <f>'TUSD BE'!$Y$45*'TUSD BE'!$Y$59</f>
        <v>0</v>
      </c>
      <c r="Z45" s="53">
        <f>'TUSD BE'!$Z$45*'TUSD BE'!$Z$59</f>
        <v>0</v>
      </c>
      <c r="AA45" s="53">
        <f>'TUSD BE'!$AA$45*'TUSD BE'!$AA$59</f>
        <v>0</v>
      </c>
      <c r="AB45" s="53">
        <f>SUM($U$45:$AA$45)</f>
        <v>-1.9323822294139239</v>
      </c>
      <c r="AC45" s="53">
        <f>'TUSD BE'!$AC$45*'TUSD BE'!$AC$59</f>
        <v>-1.4970628689758352</v>
      </c>
      <c r="AD45" s="53">
        <f>SUM($AC$45:$AC$45)</f>
        <v>-1.4970628689758352</v>
      </c>
      <c r="AE45" s="53">
        <f ca="1">$AO$45*$AO$56</f>
        <v>-71.260129922992746</v>
      </c>
      <c r="AF45" s="53">
        <f ca="1">$AP$45*$AP$56</f>
        <v>0</v>
      </c>
      <c r="AG45" s="53">
        <f ca="1">SUM($AE$45:$AF$45)</f>
        <v>-71.260129922992746</v>
      </c>
      <c r="AH45" s="53">
        <f>'TUSD BE'!$AH$45*'TUSD BE'!$AH$59</f>
        <v>-0.44707847611599749</v>
      </c>
      <c r="AI45" s="53">
        <f>'TUSD BE'!$AI$45*'TUSD BE'!$AI$59</f>
        <v>-1.5333099014231768E-2</v>
      </c>
      <c r="AJ45" s="53">
        <f ca="1">'TUSD BE'!$AJ$45*'TUSD BE'!$AJ$59</f>
        <v>-6.5823007027000266E-2</v>
      </c>
      <c r="AK45" s="53">
        <f ca="1">'TUSD BE'!$AK$45*'TUSD BE'!$AK$59</f>
        <v>1.8843503031338697E-2</v>
      </c>
      <c r="AL45" s="53">
        <f ca="1">SUM($AH$45:$AK$45)</f>
        <v>-0.50939107912589077</v>
      </c>
      <c r="AM45" s="53">
        <f ca="1">SUMIF($L$4:$AL$4,"SUBTOTAL",$L$45:$AL$45)</f>
        <v>-75.715722175762821</v>
      </c>
      <c r="AO45" s="76">
        <f ca="1">+'TUSD BE'!$T$45+'TUSD BE'!$AB$45+'TUSD BE'!$AD$45+'TUSD BE'!$AL$45</f>
        <v>381.55822195694333</v>
      </c>
      <c r="AP45" s="76">
        <f ca="1">+'TUSD BE'!$T$45+'TUSD BE'!$AB$45+'TUSD BE'!$AD$45+'TUSD BE'!$AL$45</f>
        <v>381.55822195694333</v>
      </c>
    </row>
    <row r="46" spans="1:42" ht="11.25" customHeight="1" x14ac:dyDescent="0.25">
      <c r="A46" s="131" t="s">
        <v>36</v>
      </c>
      <c r="B46" s="131" t="s">
        <v>32</v>
      </c>
      <c r="C46" s="131" t="s">
        <v>25</v>
      </c>
      <c r="D46" s="131" t="s">
        <v>25</v>
      </c>
      <c r="E46" s="131" t="s">
        <v>25</v>
      </c>
      <c r="F46" s="131" t="s">
        <v>25</v>
      </c>
      <c r="G46" s="74" t="s">
        <v>83</v>
      </c>
      <c r="H46" s="74" t="s">
        <v>82</v>
      </c>
      <c r="I46" s="74">
        <f>'MERCADO TUSD'!$U$43</f>
        <v>20.471999999999998</v>
      </c>
      <c r="J46" s="15"/>
      <c r="L46" s="53">
        <f>'TUSD BE'!$L$46*'TUSD BE'!$L$59</f>
        <v>-0.4232675743487378</v>
      </c>
      <c r="M46" s="53">
        <f>'TUSD BE'!$M$46*'TUSD BE'!$M$59</f>
        <v>-5.6107009911459463E-2</v>
      </c>
      <c r="N46" s="53">
        <f ca="1">'TUSD BE'!$N$46*'TUSD BE'!$N$59</f>
        <v>1.1600423553470995E-10</v>
      </c>
      <c r="O46" s="53">
        <f>'TUSD BE'!$O$46*'TUSD BE'!$O$59</f>
        <v>0</v>
      </c>
      <c r="P46" s="53">
        <f>'TUSD BE'!$P$46*'TUSD BE'!$P$59</f>
        <v>0</v>
      </c>
      <c r="Q46" s="53">
        <f>'TUSD BE'!$Q$46*'TUSD BE'!$Q$59</f>
        <v>1.3282946463723817</v>
      </c>
      <c r="R46" s="53">
        <f>'TUSD BE'!$R$46*'TUSD BE'!$R$59</f>
        <v>-1.3656761373948416</v>
      </c>
      <c r="S46" s="53">
        <f>'TUSD BE'!$R$46*'TUSD BE'!$S$59</f>
        <v>0</v>
      </c>
      <c r="T46" s="53">
        <f ca="1">SUM($L$46:$S$46)</f>
        <v>-0.5167560751666529</v>
      </c>
      <c r="U46" s="53">
        <f>'TUSD BE'!$U$46*'TUSD BE'!$U$59</f>
        <v>-7.8574488161832843</v>
      </c>
      <c r="V46" s="53">
        <f>'TUSD BE'!$V$46*'TUSD BE'!$V$59</f>
        <v>1.3763687123509294</v>
      </c>
      <c r="W46" s="53">
        <f>'TUSD BE'!$W$46*'TUSD BE'!$W$59</f>
        <v>-2.7943450117349236</v>
      </c>
      <c r="X46" s="53">
        <f>'TUSD BE'!$X$46*'TUSD BE'!$X$59</f>
        <v>0</v>
      </c>
      <c r="Y46" s="53">
        <f>'TUSD BE'!$Y$46*'TUSD BE'!$Y$59</f>
        <v>0</v>
      </c>
      <c r="Z46" s="53">
        <f>'TUSD BE'!$Z$46*'TUSD BE'!$Z$59</f>
        <v>0</v>
      </c>
      <c r="AA46" s="53">
        <f>'TUSD BE'!$AA$46*'TUSD BE'!$AA$59</f>
        <v>0</v>
      </c>
      <c r="AB46" s="53">
        <f>SUM($U$46:$AA$46)</f>
        <v>-9.2754251155672787</v>
      </c>
      <c r="AC46" s="53">
        <f>'TUSD BE'!$AC$46*'TUSD BE'!$AC$59</f>
        <v>-7.1859017710840085</v>
      </c>
      <c r="AD46" s="53">
        <f>SUM($AC$46:$AC$46)</f>
        <v>-7.1859017710840085</v>
      </c>
      <c r="AE46" s="53">
        <f ca="1">$AO$46*$AO$56</f>
        <v>-250.67923605716982</v>
      </c>
      <c r="AF46" s="53">
        <f ca="1">$AP$46*$AP$56</f>
        <v>0</v>
      </c>
      <c r="AG46" s="53">
        <f ca="1">SUM($AE$46:$AF$46)</f>
        <v>-250.67923605716982</v>
      </c>
      <c r="AH46" s="53">
        <f>'TUSD BE'!$AH$46*'TUSD BE'!$AH$59</f>
        <v>-0.44707847611599749</v>
      </c>
      <c r="AI46" s="53">
        <f>'TUSD BE'!$AI$46*'TUSD BE'!$AI$59</f>
        <v>-1.5333099014231768E-2</v>
      </c>
      <c r="AJ46" s="53">
        <f ca="1">'TUSD BE'!$AJ$46*'TUSD BE'!$AJ$59</f>
        <v>-6.5823007027000266E-2</v>
      </c>
      <c r="AK46" s="53">
        <f ca="1">'TUSD BE'!$AK$46*'TUSD BE'!$AK$59</f>
        <v>1.8843503031338697E-2</v>
      </c>
      <c r="AL46" s="53">
        <f ca="1">SUM($AH$46:$AK$46)</f>
        <v>-0.50939107912589077</v>
      </c>
      <c r="AM46" s="53">
        <f ca="1">SUMIF($L$4:$AL$4,"SUBTOTAL",$L$46:$AL$46)</f>
        <v>-268.1667100981137</v>
      </c>
      <c r="AO46" s="76">
        <f ca="1">+'TUSD BE'!$T$46+'TUSD BE'!$AB$46+'TUSD BE'!$AD$46+'TUSD BE'!$AL$46</f>
        <v>1342.24739268454</v>
      </c>
      <c r="AP46" s="76">
        <f ca="1">+'TUSD BE'!$T$46+'TUSD BE'!$AB$46+'TUSD BE'!$AD$46+'TUSD BE'!$AL$46</f>
        <v>1342.24739268454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74" t="s">
        <v>93</v>
      </c>
      <c r="H47" s="74" t="s">
        <v>82</v>
      </c>
      <c r="I47" s="74">
        <f>'MERCADO TUSD'!$U$44</f>
        <v>16.687999999999999</v>
      </c>
      <c r="J47" s="15"/>
      <c r="L47" s="53">
        <f>'TUSD BE'!$L$47*'TUSD BE'!$L$59</f>
        <v>-0.4232675743487378</v>
      </c>
      <c r="M47" s="53">
        <f>'TUSD BE'!$M$47*'TUSD BE'!$M$59</f>
        <v>-5.6107009911459463E-2</v>
      </c>
      <c r="N47" s="53">
        <f ca="1">'TUSD BE'!$N$47*'TUSD BE'!$N$59</f>
        <v>3.8401295683190584E-11</v>
      </c>
      <c r="O47" s="53">
        <f>'TUSD BE'!$O$47*'TUSD BE'!$O$59</f>
        <v>0</v>
      </c>
      <c r="P47" s="53">
        <f>'TUSD BE'!$P$47*'TUSD BE'!$P$59</f>
        <v>0</v>
      </c>
      <c r="Q47" s="53">
        <f>'TUSD BE'!$Q$47*'TUSD BE'!$Q$59</f>
        <v>1.3282946463723817</v>
      </c>
      <c r="R47" s="53">
        <f>'TUSD BE'!$R$47*'TUSD BE'!$R$59</f>
        <v>-1.3656761373948416</v>
      </c>
      <c r="S47" s="53">
        <f>'TUSD BE'!$R$47*'TUSD BE'!$S$59</f>
        <v>0</v>
      </c>
      <c r="T47" s="53">
        <f ca="1">SUM($L$47:$S$47)</f>
        <v>-0.51675607524425593</v>
      </c>
      <c r="U47" s="53">
        <f>'TUSD BE'!$U$47*'TUSD BE'!$U$59</f>
        <v>-2.3572364473818239</v>
      </c>
      <c r="V47" s="53">
        <f>'TUSD BE'!$V$47*'TUSD BE'!$V$59</f>
        <v>0.41290983203438669</v>
      </c>
      <c r="W47" s="53">
        <f>'TUSD BE'!$W$47*'TUSD BE'!$W$59</f>
        <v>-0.83830406601985041</v>
      </c>
      <c r="X47" s="53">
        <f>'TUSD BE'!$X$47*'TUSD BE'!$X$59</f>
        <v>0</v>
      </c>
      <c r="Y47" s="53">
        <f>'TUSD BE'!$Y$47*'TUSD BE'!$Y$59</f>
        <v>0</v>
      </c>
      <c r="Z47" s="53">
        <f>'TUSD BE'!$Z$47*'TUSD BE'!$Z$59</f>
        <v>0</v>
      </c>
      <c r="AA47" s="53">
        <f>'TUSD BE'!$AA$47*'TUSD BE'!$AA$59</f>
        <v>0</v>
      </c>
      <c r="AB47" s="53">
        <f>SUM($U$47:$AA$47)</f>
        <v>-2.7826306813672876</v>
      </c>
      <c r="AC47" s="53">
        <f>'TUSD BE'!$AC$47*'TUSD BE'!$AC$59</f>
        <v>-2.1557706859648817</v>
      </c>
      <c r="AD47" s="53">
        <f>SUM($AC$47:$AC$47)</f>
        <v>-2.1557706859648817</v>
      </c>
      <c r="AE47" s="53">
        <f ca="1">$AO$47*$AO$56</f>
        <v>-92.034979471229704</v>
      </c>
      <c r="AF47" s="53">
        <f ca="1">$AP$47*$AP$56</f>
        <v>0</v>
      </c>
      <c r="AG47" s="53">
        <f ca="1">SUM($AE$47:$AF$47)</f>
        <v>-92.034979471229704</v>
      </c>
      <c r="AH47" s="53">
        <f>'TUSD BE'!$AH$47*'TUSD BE'!$AH$59</f>
        <v>-0.44707847611599749</v>
      </c>
      <c r="AI47" s="53">
        <f>'TUSD BE'!$AI$47*'TUSD BE'!$AI$59</f>
        <v>-1.5333099014231768E-2</v>
      </c>
      <c r="AJ47" s="53">
        <f ca="1">'TUSD BE'!$AJ$47*'TUSD BE'!$AJ$59</f>
        <v>-6.5823007027000266E-2</v>
      </c>
      <c r="AK47" s="53">
        <f ca="1">'TUSD BE'!$AK$47*'TUSD BE'!$AK$59</f>
        <v>1.8843503031338697E-2</v>
      </c>
      <c r="AL47" s="53">
        <f ca="1">SUM($AH$47:$AK$47)</f>
        <v>-0.50939107912589077</v>
      </c>
      <c r="AM47" s="53">
        <f ca="1">SUMIF($L$4:$AL$4,"SUBTOTAL",$L$47:$AL$47)</f>
        <v>-97.999527992932016</v>
      </c>
      <c r="AO47" s="76">
        <f ca="1">+'TUSD BE'!$T$47+'TUSD BE'!$AB$47+'TUSD BE'!$AD$47+'TUSD BE'!$AL$47</f>
        <v>492.79594582321204</v>
      </c>
      <c r="AP47" s="76">
        <f ca="1">+'TUSD BE'!$T$47+'TUSD BE'!$AB$47+'TUSD BE'!$AD$47+'TUSD BE'!$AL$47</f>
        <v>492.79594582321204</v>
      </c>
    </row>
    <row r="48" spans="1:42" ht="11.25" customHeight="1" x14ac:dyDescent="0.25">
      <c r="A48" s="131"/>
      <c r="B48" s="131"/>
      <c r="C48" s="131"/>
      <c r="D48" s="131"/>
      <c r="E48" s="131"/>
      <c r="F48" s="131"/>
      <c r="G48" s="74" t="s">
        <v>84</v>
      </c>
      <c r="H48" s="74" t="s">
        <v>82</v>
      </c>
      <c r="I48" s="74">
        <f>'MERCADO TUSD'!$U$45</f>
        <v>216.36699999999999</v>
      </c>
      <c r="J48" s="15"/>
      <c r="L48" s="53">
        <f>'TUSD BE'!$L$48*'TUSD BE'!$L$59</f>
        <v>-0.4232675743487378</v>
      </c>
      <c r="M48" s="53">
        <f>'TUSD BE'!$M$48*'TUSD BE'!$M$59</f>
        <v>-5.6107009911459463E-2</v>
      </c>
      <c r="N48" s="53">
        <f ca="1">'TUSD BE'!$N$48*'TUSD BE'!$N$59</f>
        <v>1.6229025893167865E-11</v>
      </c>
      <c r="O48" s="53">
        <f>'TUSD BE'!$O$48*'TUSD BE'!$O$59</f>
        <v>0</v>
      </c>
      <c r="P48" s="53">
        <f>'TUSD BE'!$P$48*'TUSD BE'!$P$59</f>
        <v>0</v>
      </c>
      <c r="Q48" s="53">
        <f>'TUSD BE'!$Q$48*'TUSD BE'!$Q$59</f>
        <v>1.3282946463723817</v>
      </c>
      <c r="R48" s="53">
        <f>'TUSD BE'!$R$48*'TUSD BE'!$R$59</f>
        <v>-1.3656761373948416</v>
      </c>
      <c r="S48" s="53">
        <f>'TUSD BE'!$R$48*'TUSD BE'!$S$59</f>
        <v>0</v>
      </c>
      <c r="T48" s="53">
        <f ca="1">SUM($L$48:$S$48)</f>
        <v>-0.51675607526642819</v>
      </c>
      <c r="U48" s="53">
        <f>'TUSD BE'!$U$48*'TUSD BE'!$U$59</f>
        <v>-0.78574398035490944</v>
      </c>
      <c r="V48" s="53">
        <f>'TUSD BE'!$V$48*'TUSD BE'!$V$59</f>
        <v>0.13763661067812891</v>
      </c>
      <c r="W48" s="53">
        <f>'TUSD BE'!$W$48*'TUSD BE'!$W$59</f>
        <v>-0.27943562617223894</v>
      </c>
      <c r="X48" s="53">
        <f>'TUSD BE'!$X$48*'TUSD BE'!$X$59</f>
        <v>0</v>
      </c>
      <c r="Y48" s="53">
        <f>'TUSD BE'!$Y$48*'TUSD BE'!$Y$59</f>
        <v>0</v>
      </c>
      <c r="Z48" s="53">
        <f>'TUSD BE'!$Z$48*'TUSD BE'!$Z$59</f>
        <v>0</v>
      </c>
      <c r="AA48" s="53">
        <f>'TUSD BE'!$AA$48*'TUSD BE'!$AA$59</f>
        <v>0</v>
      </c>
      <c r="AB48" s="53">
        <f>SUM($U$48:$AA$48)</f>
        <v>-0.92754299584901945</v>
      </c>
      <c r="AC48" s="53">
        <f>'TUSD BE'!$AC$48*'TUSD BE'!$AC$59</f>
        <v>-0.71859048638775935</v>
      </c>
      <c r="AD48" s="53">
        <f>SUM($AC$48:$AC$48)</f>
        <v>-0.71859048638775935</v>
      </c>
      <c r="AE48" s="53">
        <f ca="1">$AO$48*$AO$56</f>
        <v>-46.708046569273499</v>
      </c>
      <c r="AF48" s="53">
        <f ca="1">$AP$48*$AP$56</f>
        <v>0</v>
      </c>
      <c r="AG48" s="53">
        <f ca="1">SUM($AE$48:$AF$48)</f>
        <v>-46.708046569273499</v>
      </c>
      <c r="AH48" s="53">
        <f>'TUSD BE'!$AH$48*'TUSD BE'!$AH$59</f>
        <v>-0.44707847611599749</v>
      </c>
      <c r="AI48" s="53">
        <f>'TUSD BE'!$AI$48*'TUSD BE'!$AI$59</f>
        <v>-1.5333099014231768E-2</v>
      </c>
      <c r="AJ48" s="53">
        <f ca="1">'TUSD BE'!$AJ$48*'TUSD BE'!$AJ$59</f>
        <v>-6.5823007027000266E-2</v>
      </c>
      <c r="AK48" s="53">
        <f ca="1">'TUSD BE'!$AK$48*'TUSD BE'!$AK$59</f>
        <v>1.8843503031338697E-2</v>
      </c>
      <c r="AL48" s="53">
        <f ca="1">SUM($AH$48:$AK$48)</f>
        <v>-0.50939107912589077</v>
      </c>
      <c r="AM48" s="53">
        <f ca="1">SUMIF($L$4:$AL$4,"SUBTOTAL",$L$48:$AL$48)</f>
        <v>-49.380327205902596</v>
      </c>
      <c r="AO48" s="76">
        <f ca="1">+'TUSD BE'!$T$48+'TUSD BE'!$AB$48+'TUSD BE'!$AD$48+'TUSD BE'!$AL$48</f>
        <v>250.09551932214086</v>
      </c>
      <c r="AP48" s="76">
        <f ca="1">+'TUSD BE'!$T$48+'TUSD BE'!$AB$48+'TUSD BE'!$AD$48+'TUSD BE'!$AL$48</f>
        <v>250.09551932214086</v>
      </c>
    </row>
    <row r="49" spans="1:42" ht="11.25" customHeight="1" x14ac:dyDescent="0.25">
      <c r="A49" s="131"/>
      <c r="B49" s="73" t="s">
        <v>23</v>
      </c>
      <c r="C49" s="73" t="s">
        <v>25</v>
      </c>
      <c r="D49" s="73" t="s">
        <v>25</v>
      </c>
      <c r="E49" s="73" t="s">
        <v>25</v>
      </c>
      <c r="F49" s="73" t="s">
        <v>25</v>
      </c>
      <c r="G49" s="74" t="s">
        <v>86</v>
      </c>
      <c r="H49" s="74" t="s">
        <v>82</v>
      </c>
      <c r="I49" s="74">
        <f>'MERCADO TUSD'!$U$46</f>
        <v>26125.533000000003</v>
      </c>
      <c r="J49" s="15"/>
      <c r="L49" s="53">
        <f>'TUSD BE'!$L$49*'TUSD BE'!$L$59</f>
        <v>-0.4232675743487378</v>
      </c>
      <c r="M49" s="53">
        <f>'TUSD BE'!$M$49*'TUSD BE'!$M$59</f>
        <v>-5.6107009911459463E-2</v>
      </c>
      <c r="N49" s="53">
        <f ca="1">'TUSD BE'!$N$49*'TUSD BE'!$N$59</f>
        <v>2.8239002788186737E-11</v>
      </c>
      <c r="O49" s="53">
        <f>'TUSD BE'!$O$49*'TUSD BE'!$O$59</f>
        <v>0</v>
      </c>
      <c r="P49" s="53">
        <f>'TUSD BE'!$P$49*'TUSD BE'!$P$59</f>
        <v>0</v>
      </c>
      <c r="Q49" s="53">
        <f>'TUSD BE'!$Q$49*'TUSD BE'!$Q$59</f>
        <v>1.3282946463723817</v>
      </c>
      <c r="R49" s="53">
        <f>'TUSD BE'!$R$49*'TUSD BE'!$R$59</f>
        <v>-1.3656761373948416</v>
      </c>
      <c r="S49" s="53">
        <f>'TUSD BE'!$R$49*'TUSD BE'!$S$59</f>
        <v>0</v>
      </c>
      <c r="T49" s="53">
        <f ca="1">SUM($L$49:$S$49)</f>
        <v>-0.51675607525441813</v>
      </c>
      <c r="U49" s="53">
        <f>'TUSD BE'!$U$49*'TUSD BE'!$U$59</f>
        <v>-1.6369692544243668</v>
      </c>
      <c r="V49" s="53">
        <f>'TUSD BE'!$V$49*'TUSD BE'!$V$59</f>
        <v>0.28674293891276859</v>
      </c>
      <c r="W49" s="53">
        <f>'TUSD BE'!$W$49*'TUSD BE'!$W$59</f>
        <v>-0.58215591390232568</v>
      </c>
      <c r="X49" s="53">
        <f>'TUSD BE'!$X$49*'TUSD BE'!$X$59</f>
        <v>0</v>
      </c>
      <c r="Y49" s="53">
        <f>'TUSD BE'!$Y$49*'TUSD BE'!$Y$59</f>
        <v>0</v>
      </c>
      <c r="Z49" s="53">
        <f>'TUSD BE'!$Z$49*'TUSD BE'!$Z$59</f>
        <v>0</v>
      </c>
      <c r="AA49" s="53">
        <f>'TUSD BE'!$AA$49*'TUSD BE'!$AA$59</f>
        <v>0</v>
      </c>
      <c r="AB49" s="53">
        <f>SUM($U$49:$AA$49)</f>
        <v>-1.9323822294139239</v>
      </c>
      <c r="AC49" s="53">
        <f>'TUSD BE'!$AC$49*'TUSD BE'!$AC$59</f>
        <v>-1.4970628689758352</v>
      </c>
      <c r="AD49" s="53">
        <f>SUM($AC$49:$AC$49)</f>
        <v>-1.4970628689758352</v>
      </c>
      <c r="AE49" s="53">
        <f ca="1">$AO$49*$AO$56</f>
        <v>-71.260129922992746</v>
      </c>
      <c r="AF49" s="53">
        <f ca="1">$AP$49*$AP$56</f>
        <v>0</v>
      </c>
      <c r="AG49" s="53">
        <f ca="1">SUM($AE$49:$AF$49)</f>
        <v>-71.260129922992746</v>
      </c>
      <c r="AH49" s="53">
        <f>'TUSD BE'!$AH$49*'TUSD BE'!$AH$59</f>
        <v>-0.44707847611599749</v>
      </c>
      <c r="AI49" s="53">
        <f>'TUSD BE'!$AI$49*'TUSD BE'!$AI$59</f>
        <v>-1.5333099014231768E-2</v>
      </c>
      <c r="AJ49" s="53">
        <f ca="1">'TUSD BE'!$AJ$49*'TUSD BE'!$AJ$59</f>
        <v>-6.5823007027000266E-2</v>
      </c>
      <c r="AK49" s="53">
        <f ca="1">'TUSD BE'!$AK$49*'TUSD BE'!$AK$59</f>
        <v>1.8843503031338697E-2</v>
      </c>
      <c r="AL49" s="53">
        <f ca="1">SUM($AH$49:$AK$49)</f>
        <v>-0.50939107912589077</v>
      </c>
      <c r="AM49" s="53">
        <f ca="1">SUMIF($L$4:$AL$4,"SUBTOTAL",$L$49:$AL$49)</f>
        <v>-75.715722175762821</v>
      </c>
      <c r="AO49" s="76">
        <f ca="1">+'TUSD BE'!$T$49+'TUSD BE'!$AB$49+'TUSD BE'!$AD$49+'TUSD BE'!$AL$49</f>
        <v>381.55822195694333</v>
      </c>
      <c r="AP49" s="76">
        <f ca="1">+'TUSD BE'!$T$49+'TUSD BE'!$AB$49+'TUSD BE'!$AD$49+'TUSD BE'!$AL$49</f>
        <v>381.55822195694333</v>
      </c>
    </row>
    <row r="50" spans="1:42" ht="11.25" customHeight="1" x14ac:dyDescent="0.25">
      <c r="A50" s="131"/>
      <c r="B50" s="73" t="s">
        <v>95</v>
      </c>
      <c r="C50" s="73" t="s">
        <v>25</v>
      </c>
      <c r="D50" s="73" t="s">
        <v>25</v>
      </c>
      <c r="E50" s="73" t="s">
        <v>25</v>
      </c>
      <c r="F50" s="73" t="s">
        <v>25</v>
      </c>
      <c r="G50" s="74" t="s">
        <v>86</v>
      </c>
      <c r="H50" s="74" t="s">
        <v>82</v>
      </c>
      <c r="I50" s="74">
        <f>'MERCADO TUSD'!$U$47</f>
        <v>0</v>
      </c>
      <c r="J50" s="15"/>
      <c r="L50" s="53">
        <f>'TUSD BE'!$L$50*'TUSD BE'!$L$59</f>
        <v>-0.4232675743487378</v>
      </c>
      <c r="M50" s="53">
        <f>'TUSD BE'!$M$50*'TUSD BE'!$M$59</f>
        <v>-5.6107009911459463E-2</v>
      </c>
      <c r="N50" s="53">
        <f ca="1">'TUSD BE'!$N$50*'TUSD BE'!$N$59</f>
        <v>2.8239002788186737E-11</v>
      </c>
      <c r="O50" s="53">
        <f>'TUSD BE'!$O$50*'TUSD BE'!$O$59</f>
        <v>0</v>
      </c>
      <c r="P50" s="53">
        <f>'TUSD BE'!$P$50*'TUSD BE'!$P$59</f>
        <v>0</v>
      </c>
      <c r="Q50" s="53">
        <f>'TUSD BE'!$Q$50*'TUSD BE'!$Q$59</f>
        <v>1.3282946463723817</v>
      </c>
      <c r="R50" s="53">
        <f>'TUSD BE'!$R$50*'TUSD BE'!$R$59</f>
        <v>-1.3656761373948416</v>
      </c>
      <c r="S50" s="53">
        <f>'TUSD BE'!$R$50*'TUSD BE'!$S$59</f>
        <v>0</v>
      </c>
      <c r="T50" s="53">
        <f ca="1">SUM($L$50:$S$50)</f>
        <v>-0.51675607525441813</v>
      </c>
      <c r="U50" s="53">
        <f>'TUSD BE'!$U$50*'TUSD BE'!$U$59</f>
        <v>-1.6369692544243668</v>
      </c>
      <c r="V50" s="53">
        <f>'TUSD BE'!$V$50*'TUSD BE'!$V$59</f>
        <v>0.28674293891276859</v>
      </c>
      <c r="W50" s="53">
        <f>'TUSD BE'!$W$50*'TUSD BE'!$W$59</f>
        <v>-0.58215591390232568</v>
      </c>
      <c r="X50" s="53">
        <f>'TUSD BE'!$X$50*'TUSD BE'!$X$59</f>
        <v>0</v>
      </c>
      <c r="Y50" s="53">
        <f>'TUSD BE'!$Y$50*'TUSD BE'!$Y$59</f>
        <v>0</v>
      </c>
      <c r="Z50" s="53">
        <f>'TUSD BE'!$Z$50*'TUSD BE'!$Z$59</f>
        <v>0</v>
      </c>
      <c r="AA50" s="53">
        <f>'TUSD BE'!$AA$50*'TUSD BE'!$AA$59</f>
        <v>0</v>
      </c>
      <c r="AB50" s="53">
        <f>SUM($U$50:$AA$50)</f>
        <v>-1.9323822294139239</v>
      </c>
      <c r="AC50" s="53">
        <f>'TUSD BE'!$AC$50*'TUSD BE'!$AC$59</f>
        <v>-1.4970628689758352</v>
      </c>
      <c r="AD50" s="53">
        <f>SUM($AC$50:$AC$50)</f>
        <v>-1.4970628689758352</v>
      </c>
      <c r="AE50" s="53">
        <f ca="1">$AO$50*$AO$56</f>
        <v>-71.260129922992746</v>
      </c>
      <c r="AF50" s="53">
        <f ca="1">$AP$50*$AP$56</f>
        <v>0</v>
      </c>
      <c r="AG50" s="53">
        <f ca="1">SUM($AE$50:$AF$50)</f>
        <v>-71.260129922992746</v>
      </c>
      <c r="AH50" s="53">
        <f>'TUSD BE'!$AH$50*'TUSD BE'!$AH$59</f>
        <v>-0.44707847611599749</v>
      </c>
      <c r="AI50" s="53">
        <f>'TUSD BE'!$AI$50*'TUSD BE'!$AI$59</f>
        <v>-1.5333099014231768E-2</v>
      </c>
      <c r="AJ50" s="53">
        <f ca="1">'TUSD BE'!$AJ$50*'TUSD BE'!$AJ$59</f>
        <v>-6.5823007027000266E-2</v>
      </c>
      <c r="AK50" s="53">
        <f ca="1">'TUSD BE'!$AK$50*'TUSD BE'!$AK$59</f>
        <v>1.8843503031338697E-2</v>
      </c>
      <c r="AL50" s="53">
        <f ca="1">SUM($AH$50:$AK$50)</f>
        <v>-0.50939107912589077</v>
      </c>
      <c r="AM50" s="53">
        <f ca="1">SUMIF($L$4:$AL$4,"SUBTOTAL",$L$50:$AL$50)</f>
        <v>-75.715722175762821</v>
      </c>
      <c r="AO50" s="76">
        <f ca="1">+'TUSD BE'!$T$50+'TUSD BE'!$AB$50+'TUSD BE'!$AD$50+'TUSD BE'!$AL$50</f>
        <v>381.55822195694333</v>
      </c>
      <c r="AP50" s="76">
        <f ca="1">+'TUSD BE'!$T$50+'TUSD BE'!$AB$50+'TUSD BE'!$AD$50+'TUSD BE'!$AL$50</f>
        <v>381.55822195694333</v>
      </c>
    </row>
    <row r="51" spans="1:42" ht="11.25" customHeight="1" x14ac:dyDescent="0.25">
      <c r="A51" s="131" t="s">
        <v>45</v>
      </c>
      <c r="B51" s="131" t="s">
        <v>23</v>
      </c>
      <c r="C51" s="131" t="s">
        <v>46</v>
      </c>
      <c r="D51" s="73" t="s">
        <v>47</v>
      </c>
      <c r="E51" s="73" t="s">
        <v>25</v>
      </c>
      <c r="F51" s="73" t="s">
        <v>25</v>
      </c>
      <c r="G51" s="74" t="s">
        <v>86</v>
      </c>
      <c r="H51" s="74" t="s">
        <v>82</v>
      </c>
      <c r="I51" s="74">
        <f>'MERCADO TUSD'!$U$48</f>
        <v>5474.732</v>
      </c>
      <c r="J51" s="15"/>
      <c r="L51" s="53">
        <f>'TUSD BE'!$L$51*'TUSD BE'!$L$59</f>
        <v>-0.2327971658918058</v>
      </c>
      <c r="M51" s="53">
        <f>'TUSD BE'!$M$51*'TUSD BE'!$M$59</f>
        <v>-3.0858855451302708E-2</v>
      </c>
      <c r="N51" s="53">
        <f ca="1">'TUSD BE'!$N$51*'TUSD BE'!$N$59</f>
        <v>1.5531451533502703E-11</v>
      </c>
      <c r="O51" s="53">
        <f>'TUSD BE'!$O$51*'TUSD BE'!$O$59</f>
        <v>0</v>
      </c>
      <c r="P51" s="53">
        <f>'TUSD BE'!$P$51*'TUSD BE'!$P$59</f>
        <v>0</v>
      </c>
      <c r="Q51" s="53">
        <f>'TUSD BE'!$Q$51*'TUSD BE'!$Q$59</f>
        <v>0.73056205550481002</v>
      </c>
      <c r="R51" s="53">
        <f>'TUSD BE'!$R$51*'TUSD BE'!$R$59</f>
        <v>-0.75112187556716303</v>
      </c>
      <c r="S51" s="53">
        <f>'TUSD BE'!$R$51*'TUSD BE'!$S$59</f>
        <v>0</v>
      </c>
      <c r="T51" s="53">
        <f ca="1">SUM($L$51:$S$51)</f>
        <v>-0.28421584138993006</v>
      </c>
      <c r="U51" s="53">
        <f>'TUSD BE'!$U$51*'TUSD BE'!$U$59</f>
        <v>-0.90033308993340189</v>
      </c>
      <c r="V51" s="53">
        <f>'TUSD BE'!$V$51*'TUSD BE'!$V$59</f>
        <v>0.15770861640202272</v>
      </c>
      <c r="W51" s="53">
        <f>'TUSD BE'!$W$51*'TUSD BE'!$W$59</f>
        <v>-0.32018575264627913</v>
      </c>
      <c r="X51" s="53">
        <f>'TUSD BE'!$X$51*'TUSD BE'!$X$59</f>
        <v>0</v>
      </c>
      <c r="Y51" s="53">
        <f>'TUSD BE'!$Y$51*'TUSD BE'!$Y$59</f>
        <v>0</v>
      </c>
      <c r="Z51" s="53">
        <f>'TUSD BE'!$Z$51*'TUSD BE'!$Z$59</f>
        <v>0</v>
      </c>
      <c r="AA51" s="53">
        <f>'TUSD BE'!$AA$51*'TUSD BE'!$AA$59</f>
        <v>0</v>
      </c>
      <c r="AB51" s="53">
        <f>SUM($U$51:$AA$51)</f>
        <v>-1.0628102261776582</v>
      </c>
      <c r="AC51" s="53">
        <f>'TUSD BE'!$AC$51*'TUSD BE'!$AC$59</f>
        <v>-0.82338457793670949</v>
      </c>
      <c r="AD51" s="53">
        <f>SUM($AC$51:$AC$51)</f>
        <v>-0.82338457793670949</v>
      </c>
      <c r="AE51" s="53">
        <f ca="1">$AO$51*$AO$56</f>
        <v>-39.193071457646013</v>
      </c>
      <c r="AF51" s="53">
        <f ca="1">$AP$51*$AP$56</f>
        <v>0</v>
      </c>
      <c r="AG51" s="53">
        <f ca="1">SUM($AE$51:$AF$51)</f>
        <v>-39.193071457646013</v>
      </c>
      <c r="AH51" s="53">
        <f>'TUSD BE'!$AH$51*'TUSD BE'!$AH$59</f>
        <v>-0.24589316186379864</v>
      </c>
      <c r="AI51" s="53">
        <f>'TUSD BE'!$AI$51*'TUSD BE'!$AI$59</f>
        <v>-8.4332044578274735E-3</v>
      </c>
      <c r="AJ51" s="53">
        <f ca="1">'TUSD BE'!$AJ$51*'TUSD BE'!$AJ$59</f>
        <v>-3.6202653864850151E-2</v>
      </c>
      <c r="AK51" s="53">
        <f ca="1">'TUSD BE'!$AK$51*'TUSD BE'!$AK$59</f>
        <v>1.0363926667236284E-2</v>
      </c>
      <c r="AL51" s="53">
        <f ca="1">SUM($AH$51:$AK$51)</f>
        <v>-0.28016509351924002</v>
      </c>
      <c r="AM51" s="53">
        <f ca="1">SUMIF($L$4:$AL$4,"SUBTOTAL",$L$51:$AL$51)</f>
        <v>-41.643647196669548</v>
      </c>
      <c r="AO51" s="76">
        <f ca="1">+'TUSD BE'!$T$51+'TUSD BE'!$AB$51+'TUSD BE'!$AD$51+'TUSD BE'!$AL$51</f>
        <v>209.85702207631883</v>
      </c>
      <c r="AP51" s="76">
        <f ca="1">+'TUSD BE'!$T$51+'TUSD BE'!$AB$51+'TUSD BE'!$AD$51+'TUSD BE'!$AL$51</f>
        <v>209.85702207631883</v>
      </c>
    </row>
    <row r="52" spans="1:42" ht="11.25" customHeight="1" x14ac:dyDescent="0.25">
      <c r="A52" s="131"/>
      <c r="B52" s="131"/>
      <c r="C52" s="131"/>
      <c r="D52" s="74" t="s">
        <v>98</v>
      </c>
      <c r="E52" s="74" t="s">
        <v>25</v>
      </c>
      <c r="F52" s="74" t="s">
        <v>25</v>
      </c>
      <c r="G52" s="74" t="s">
        <v>86</v>
      </c>
      <c r="H52" s="74" t="s">
        <v>82</v>
      </c>
      <c r="I52" s="74">
        <f>'MERCADO TUSD'!$U$49</f>
        <v>0</v>
      </c>
      <c r="J52" s="15"/>
      <c r="L52" s="53">
        <f>'TUSD BE'!$L$52*'TUSD BE'!$L$59</f>
        <v>-0.25396054460924267</v>
      </c>
      <c r="M52" s="53">
        <f>'TUSD BE'!$M$52*'TUSD BE'!$M$59</f>
        <v>-3.3664205946875678E-2</v>
      </c>
      <c r="N52" s="53">
        <f ca="1">'TUSD BE'!$N$52*'TUSD BE'!$N$59</f>
        <v>1.6943401672912043E-11</v>
      </c>
      <c r="O52" s="53">
        <f>'TUSD BE'!$O$52*'TUSD BE'!$O$59</f>
        <v>0</v>
      </c>
      <c r="P52" s="53">
        <f>'TUSD BE'!$P$52*'TUSD BE'!$P$59</f>
        <v>0</v>
      </c>
      <c r="Q52" s="53">
        <f>'TUSD BE'!$Q$52*'TUSD BE'!$Q$59</f>
        <v>0.79697678782342896</v>
      </c>
      <c r="R52" s="53">
        <f>'TUSD BE'!$R$52*'TUSD BE'!$R$59</f>
        <v>-0.81940568243690493</v>
      </c>
      <c r="S52" s="53">
        <f>'TUSD BE'!$R$52*'TUSD BE'!$S$59</f>
        <v>0</v>
      </c>
      <c r="T52" s="53">
        <f ca="1">SUM($L$52:$S$52)</f>
        <v>-0.31005364515265099</v>
      </c>
      <c r="U52" s="53">
        <f>'TUSD BE'!$U$52*'TUSD BE'!$U$59</f>
        <v>-0.98218155265461993</v>
      </c>
      <c r="V52" s="53">
        <f>'TUSD BE'!$V$52*'TUSD BE'!$V$59</f>
        <v>0.17204576334766117</v>
      </c>
      <c r="W52" s="53">
        <f>'TUSD BE'!$W$52*'TUSD BE'!$W$59</f>
        <v>-0.34929354834139537</v>
      </c>
      <c r="X52" s="53">
        <f>'TUSD BE'!$X$52*'TUSD BE'!$X$59</f>
        <v>0</v>
      </c>
      <c r="Y52" s="53">
        <f>'TUSD BE'!$Y$52*'TUSD BE'!$Y$59</f>
        <v>0</v>
      </c>
      <c r="Z52" s="53">
        <f>'TUSD BE'!$Z$52*'TUSD BE'!$Z$59</f>
        <v>0</v>
      </c>
      <c r="AA52" s="53">
        <f>'TUSD BE'!$AA$52*'TUSD BE'!$AA$59</f>
        <v>0</v>
      </c>
      <c r="AB52" s="53">
        <f>SUM($U$52:$AA$52)</f>
        <v>-1.159429337648354</v>
      </c>
      <c r="AC52" s="53">
        <f>'TUSD BE'!$AC$52*'TUSD BE'!$AC$59</f>
        <v>-0.89823772138550106</v>
      </c>
      <c r="AD52" s="53">
        <f>SUM($AC$52:$AC$52)</f>
        <v>-0.89823772138550106</v>
      </c>
      <c r="AE52" s="53">
        <f ca="1">$AO$52*$AO$56</f>
        <v>-42.756077953795639</v>
      </c>
      <c r="AF52" s="53">
        <f ca="1">$AP$52*$AP$56</f>
        <v>0</v>
      </c>
      <c r="AG52" s="53">
        <f ca="1">SUM($AE$52:$AF$52)</f>
        <v>-42.756077953795639</v>
      </c>
      <c r="AH52" s="53">
        <f>'TUSD BE'!$AH$52*'TUSD BE'!$AH$59</f>
        <v>-0.26824708566959848</v>
      </c>
      <c r="AI52" s="53">
        <f>'TUSD BE'!$AI$52*'TUSD BE'!$AI$59</f>
        <v>-9.1998594085390597E-3</v>
      </c>
      <c r="AJ52" s="53">
        <f ca="1">'TUSD BE'!$AJ$52*'TUSD BE'!$AJ$59</f>
        <v>-3.9493804216200155E-2</v>
      </c>
      <c r="AK52" s="53">
        <f ca="1">'TUSD BE'!$AK$52*'TUSD BE'!$AK$59</f>
        <v>1.1306101818803219E-2</v>
      </c>
      <c r="AL52" s="53">
        <f ca="1">SUM($AH$52:$AK$52)</f>
        <v>-0.30563464747553448</v>
      </c>
      <c r="AM52" s="53">
        <f ca="1">SUMIF($L$4:$AL$4,"SUBTOTAL",$L$52:$AL$52)</f>
        <v>-45.429433305457678</v>
      </c>
      <c r="AO52" s="76">
        <f ca="1">+'TUSD BE'!$T$52+'TUSD BE'!$AB$52+'TUSD BE'!$AD$52+'TUSD BE'!$AL$52</f>
        <v>228.93493317416593</v>
      </c>
      <c r="AP52" s="76">
        <f ca="1">+'TUSD BE'!$T$52+'TUSD BE'!$AB$52+'TUSD BE'!$AD$52+'TUSD BE'!$AL$52</f>
        <v>228.93493317416593</v>
      </c>
    </row>
    <row r="54" spans="1:42" ht="11.25" customHeight="1" x14ac:dyDescent="0.25">
      <c r="K54" s="68" t="s">
        <v>661</v>
      </c>
      <c r="L54" s="53">
        <f>SUMPRODUCT($I$5:$I52,$L$5:$L52)</f>
        <v>-78044.863489655312</v>
      </c>
      <c r="M54" s="53">
        <f>SUMPRODUCT($I$5:$I52,$M$5:$M52)</f>
        <v>-9076.818331699491</v>
      </c>
      <c r="N54" s="53">
        <f ca="1">SUMPRODUCT($I$5:$I52,$N$5:$N52)</f>
        <v>3.9082317569640104E-6</v>
      </c>
      <c r="O54" s="53">
        <f>SUMPRODUCT($I$5:$I52,$O$5:$O52)</f>
        <v>0</v>
      </c>
      <c r="P54" s="53">
        <f>SUMPRODUCT($I$5:$I52,$P$5:$P52)</f>
        <v>0</v>
      </c>
      <c r="Q54" s="53">
        <f>SUMPRODUCT($I$5:$I52,$Q$5:$Q52)</f>
        <v>244919.71658750251</v>
      </c>
      <c r="R54" s="53">
        <f>SUMPRODUCT($I$5:$I52,$R$5:$R52)</f>
        <v>-270812.93972837046</v>
      </c>
      <c r="S54" s="53">
        <f>SUMPRODUCT($I$5:$I52,$S$5:$S52)</f>
        <v>0</v>
      </c>
      <c r="T54" s="53">
        <f ca="1">SUMPRODUCT($I$5:$I52,$T$5:$T52)</f>
        <v>-113014.90495831451</v>
      </c>
      <c r="U54" s="53">
        <f>SUMPRODUCT($I$5:$I52,$U$5:$U52)</f>
        <v>-353985.26375235582</v>
      </c>
      <c r="V54" s="53">
        <f>SUMPRODUCT($I$5:$I52,$V$5:$V52)</f>
        <v>61742.455691510128</v>
      </c>
      <c r="W54" s="53">
        <f>SUMPRODUCT($I$5:$I52,$W$5:$W52)</f>
        <v>-124873.73627653578</v>
      </c>
      <c r="X54" s="53">
        <f>SUMPRODUCT($I$5:$I52,$X$5:$X52)</f>
        <v>0</v>
      </c>
      <c r="Y54" s="53">
        <f>SUMPRODUCT($I$5:$I52,$Y$5:$Y52)</f>
        <v>0</v>
      </c>
      <c r="Z54" s="53">
        <f>SUMPRODUCT($I$5:$I52,$Z$5:$Z52)</f>
        <v>0</v>
      </c>
      <c r="AA54" s="53">
        <f>SUMPRODUCT($I$5:$I52,$AA$5:$AA52)</f>
        <v>0</v>
      </c>
      <c r="AB54" s="53">
        <f>SUMPRODUCT($I$5:$I52,$AB$5:$AB52)</f>
        <v>-417116.54433738143</v>
      </c>
      <c r="AC54" s="53">
        <f>SUMPRODUCT($I$5:$I52,$AC$5:$AC52)</f>
        <v>-242826.43374005138</v>
      </c>
      <c r="AD54" s="53">
        <f>SUMPRODUCT($I$5:$I52,$AD$5:$AD52)</f>
        <v>-242826.43374005138</v>
      </c>
      <c r="AE54" s="53">
        <f ca="1">SUMPRODUCT($I$5:$I52,$AE$5:$AE52)</f>
        <v>-12641722.925023131</v>
      </c>
      <c r="AF54" s="53">
        <f ca="1">SUMPRODUCT($I$5:$I52,$AF$5:$AF52)</f>
        <v>0</v>
      </c>
      <c r="AG54" s="53">
        <f ca="1">SUMPRODUCT($I$5:$I52,$AG$5:$AG52)</f>
        <v>-12641722.925023131</v>
      </c>
      <c r="AH54" s="53">
        <f>SUMPRODUCT($I$5:$I52,$AH$5:$AH52)</f>
        <v>-67538.024107355493</v>
      </c>
      <c r="AI54" s="53">
        <f>SUMPRODUCT($I$5:$I52,$AI$5:$AI52)</f>
        <v>-2316.2895476737176</v>
      </c>
      <c r="AJ54" s="53">
        <f ca="1">SUMPRODUCT($I$5:$I52,$AJ$5:$AJ52)</f>
        <v>-11727.634808019715</v>
      </c>
      <c r="AK54" s="53">
        <f ca="1">SUMPRODUCT($I$5:$I52,$AK$5:$AK52)</f>
        <v>3357.332519991131</v>
      </c>
      <c r="AL54" s="53">
        <f ca="1">SUMPRODUCT($I$5:$I52,$AL$5:$AL52)</f>
        <v>-78224.615943057783</v>
      </c>
      <c r="AM54" s="53">
        <f ca="1">SUMPRODUCT($I$5:$I52,$AM$5:$AM52)</f>
        <v>-13492905.424001936</v>
      </c>
      <c r="AO54" s="74">
        <f ca="1">SUMPRODUCT($I$5:$I52,$AO$5:$AO52)</f>
        <v>67689370.296640322</v>
      </c>
      <c r="AP54" s="74">
        <f ca="1">SUMPRODUCT($I$5:$I52,$AP$5:$AP52)</f>
        <v>67689370.296640322</v>
      </c>
    </row>
    <row r="55" spans="1:42" ht="11.25" customHeight="1" x14ac:dyDescent="0.25">
      <c r="K55" s="68" t="s">
        <v>604</v>
      </c>
      <c r="L55" s="53">
        <f>'TR TUSD'!$L$57</f>
        <v>1142573.8820889951</v>
      </c>
      <c r="M55" s="53">
        <f>'TR TUSD'!$M$57</f>
        <v>135866.19550768039</v>
      </c>
      <c r="N55" s="53">
        <f>'TR TUSD'!$N$57</f>
        <v>339394.07104977674</v>
      </c>
      <c r="O55" s="53">
        <f>'TR TUSD'!$O$57</f>
        <v>0</v>
      </c>
      <c r="P55" s="53">
        <f>'TR TUSD'!$P$57</f>
        <v>0</v>
      </c>
      <c r="Q55" s="53">
        <f>'TR TUSD'!$Q$57</f>
        <v>16244058.449907003</v>
      </c>
      <c r="R55" s="53">
        <f>'TR TUSD'!$R$57</f>
        <v>2752849.9760466153</v>
      </c>
      <c r="S55" s="53">
        <f>'TR TUSD'!$S$57</f>
        <v>0</v>
      </c>
      <c r="T55" s="53">
        <f>'TR TUSD'!$T$57</f>
        <v>20614742.574600071</v>
      </c>
      <c r="U55" s="53">
        <f>'TR TUSD'!$U$57</f>
        <v>7372778.8000000007</v>
      </c>
      <c r="V55" s="53">
        <f>'TR TUSD'!$V$57</f>
        <v>2224972.7999999998</v>
      </c>
      <c r="W55" s="53">
        <f>'TR TUSD'!$W$57</f>
        <v>4170396.62053457</v>
      </c>
      <c r="X55" s="53">
        <f>'TR TUSD'!$X$57</f>
        <v>0</v>
      </c>
      <c r="Y55" s="53">
        <f>'TR TUSD'!$Y$57</f>
        <v>0</v>
      </c>
      <c r="Z55" s="53">
        <f>'TR TUSD'!$Z$57</f>
        <v>0</v>
      </c>
      <c r="AA55" s="53">
        <f>'TR TUSD'!$AA$57</f>
        <v>0</v>
      </c>
      <c r="AB55" s="53">
        <f>'TR TUSD'!$AB$57</f>
        <v>13768148.220534571</v>
      </c>
      <c r="AC55" s="53">
        <f>'TR TUSD'!$AC$57</f>
        <v>30321572.604258131</v>
      </c>
      <c r="AD55" s="53">
        <f>'TR TUSD'!$AD$57</f>
        <v>30321572.604258131</v>
      </c>
      <c r="AE55" s="53">
        <f>'TR TUSD'!$AE$57</f>
        <v>0</v>
      </c>
      <c r="AF55" s="53">
        <f>'TR TUSD'!$AF$57</f>
        <v>0</v>
      </c>
      <c r="AG55" s="53">
        <f>'TR TUSD'!$AG$57</f>
        <v>0</v>
      </c>
      <c r="AH55" s="53">
        <f>'TR TUSD'!$AH$57</f>
        <v>2427974.5024546832</v>
      </c>
      <c r="AI55" s="53">
        <f>'TR TUSD'!$AI$57</f>
        <v>83270.010285088894</v>
      </c>
      <c r="AJ55" s="53">
        <f>'TR TUSD'!$AJ$57</f>
        <v>421605.43877786858</v>
      </c>
      <c r="AK55" s="53">
        <f>'TR TUSD'!$AK$57</f>
        <v>52056.945729899133</v>
      </c>
      <c r="AL55" s="53">
        <f>'TR TUSD'!$AL$57</f>
        <v>2984906.8972475398</v>
      </c>
      <c r="AM55" s="53">
        <f>'TUSD BE'!$AM$55</f>
        <v>67689370.296640307</v>
      </c>
      <c r="AO55" s="74">
        <f>$AE$56</f>
        <v>-12641722.925023135</v>
      </c>
      <c r="AP55" s="74">
        <f>$AF$56</f>
        <v>0</v>
      </c>
    </row>
    <row r="56" spans="1:42" ht="11.25" customHeight="1" x14ac:dyDescent="0.25">
      <c r="K56" s="68" t="s">
        <v>605</v>
      </c>
      <c r="L56" s="53">
        <f>CUSTOS!$E$2</f>
        <v>-78044.863489655312</v>
      </c>
      <c r="M56" s="53">
        <f>CUSTOS!$E$3</f>
        <v>-9076.8183316994891</v>
      </c>
      <c r="N56" s="53">
        <f>CUSTOS!$E$4</f>
        <v>3.9082317569640096E-6</v>
      </c>
      <c r="O56" s="53">
        <f>CUSTOS!$E$5</f>
        <v>0</v>
      </c>
      <c r="P56" s="53">
        <f>CUSTOS!$E$6</f>
        <v>0</v>
      </c>
      <c r="Q56" s="53">
        <f>CUSTOS!$E$7</f>
        <v>244919.71658750251</v>
      </c>
      <c r="R56" s="53">
        <f>CUSTOS!$E$8</f>
        <v>-270812.93972837052</v>
      </c>
      <c r="S56" s="53">
        <f>CUSTOS!$E$9</f>
        <v>0</v>
      </c>
      <c r="T56" s="53">
        <f>CUSTOS!$E$10</f>
        <v>-113014.90495831455</v>
      </c>
      <c r="U56" s="53">
        <f>CUSTOS!$E$11</f>
        <v>-353985.26375235571</v>
      </c>
      <c r="V56" s="53">
        <f>CUSTOS!$E$12</f>
        <v>61742.455691510098</v>
      </c>
      <c r="W56" s="53">
        <f>CUSTOS!$E$13</f>
        <v>-124873.73627653578</v>
      </c>
      <c r="X56" s="53">
        <f>CUSTOS!$E$14</f>
        <v>0</v>
      </c>
      <c r="Y56" s="53">
        <f>CUSTOS!$E$15</f>
        <v>0</v>
      </c>
      <c r="Z56" s="53">
        <f>CUSTOS!$E$16</f>
        <v>0</v>
      </c>
      <c r="AA56" s="53">
        <f>CUSTOS!$E$17</f>
        <v>0</v>
      </c>
      <c r="AB56" s="53">
        <f>CUSTOS!$E$18</f>
        <v>-417116.54433738138</v>
      </c>
      <c r="AC56" s="53">
        <f>CUSTOS!$E$19</f>
        <v>-242826.43374005141</v>
      </c>
      <c r="AD56" s="53">
        <f>CUSTOS!$E$20</f>
        <v>-242826.43374005141</v>
      </c>
      <c r="AE56" s="53">
        <f>CUSTOS!$E$21</f>
        <v>-12641722.925023135</v>
      </c>
      <c r="AF56" s="53">
        <f>CUSTOS!$E$22</f>
        <v>0</v>
      </c>
      <c r="AG56" s="53">
        <f>CUSTOS!$E$23</f>
        <v>-12641722.925023135</v>
      </c>
      <c r="AH56" s="53">
        <f>CUSTOS!$E$24</f>
        <v>-67538.024107355508</v>
      </c>
      <c r="AI56" s="53">
        <f>CUSTOS!$E$25</f>
        <v>-2316.2895476737172</v>
      </c>
      <c r="AJ56" s="53">
        <f>CUSTOS!$E$26</f>
        <v>-11727.634808019713</v>
      </c>
      <c r="AK56" s="53">
        <f>CUSTOS!$E$27</f>
        <v>3357.3325199911305</v>
      </c>
      <c r="AL56" s="53">
        <f>CUSTOS!$E$28</f>
        <v>-78224.615943057797</v>
      </c>
      <c r="AM56" s="53">
        <f>CUSTOS!$E$29</f>
        <v>-13492905.42400194</v>
      </c>
      <c r="AO56" s="74">
        <f ca="1">IF(AO54&lt;&gt;0,AO55/AO54,0)</f>
        <v>-0.18676082920586115</v>
      </c>
      <c r="AP56" s="74">
        <f ca="1">IF(AP54&lt;&gt;0,AP55/AP54,0)</f>
        <v>0</v>
      </c>
    </row>
    <row r="57" spans="1:42" ht="11.25" customHeight="1" x14ac:dyDescent="0.25">
      <c r="K57" s="68" t="s">
        <v>606</v>
      </c>
      <c r="L57" s="53">
        <f>CUSTOS!$F$2</f>
        <v>74952.677252192239</v>
      </c>
      <c r="M57" s="53">
        <f>CUSTOS!$F$3</f>
        <v>0</v>
      </c>
      <c r="N57" s="53">
        <f>CUSTOS!$F$4</f>
        <v>0</v>
      </c>
      <c r="O57" s="53">
        <f>CUSTOS!$F$5</f>
        <v>0</v>
      </c>
      <c r="P57" s="53">
        <f>CUSTOS!$F$6</f>
        <v>0</v>
      </c>
      <c r="Q57" s="53">
        <f>CUSTOS!$F$7</f>
        <v>2778434.2493877113</v>
      </c>
      <c r="R57" s="53">
        <f>CUSTOS!$F$8</f>
        <v>643424.43138696544</v>
      </c>
      <c r="S57" s="53">
        <f>CUSTOS!$F$9</f>
        <v>0</v>
      </c>
      <c r="T57" s="53">
        <f>CUSTOS!$F$10</f>
        <v>3496811.3580268687</v>
      </c>
      <c r="U57" s="53">
        <f>CUSTOS!$F$11</f>
        <v>561973.09326562204</v>
      </c>
      <c r="V57" s="53">
        <f>CUSTOS!$F$12</f>
        <v>169593.43020678608</v>
      </c>
      <c r="W57" s="53">
        <f>CUSTOS!$F$13</f>
        <v>0</v>
      </c>
      <c r="X57" s="53">
        <f>CUSTOS!$F$14</f>
        <v>0</v>
      </c>
      <c r="Y57" s="53">
        <f>CUSTOS!$F$15</f>
        <v>0</v>
      </c>
      <c r="Z57" s="53">
        <f>CUSTOS!$F$16</f>
        <v>0</v>
      </c>
      <c r="AA57" s="53">
        <f>CUSTOS!$F$17</f>
        <v>0</v>
      </c>
      <c r="AB57" s="53">
        <f>CUSTOS!$F$18</f>
        <v>731566.52347240807</v>
      </c>
      <c r="AC57" s="53">
        <f>CUSTOS!$F$19</f>
        <v>0</v>
      </c>
      <c r="AD57" s="53">
        <f>CUSTOS!$F$20</f>
        <v>0</v>
      </c>
      <c r="AE57" s="53">
        <f>CUSTOS!$F$21</f>
        <v>0</v>
      </c>
      <c r="AF57" s="53">
        <f>CUSTOS!$F$22</f>
        <v>0</v>
      </c>
      <c r="AG57" s="53">
        <f>CUSTOS!$F$23</f>
        <v>0</v>
      </c>
      <c r="AH57" s="53">
        <f>CUSTOS!$F$24</f>
        <v>282249.11568224744</v>
      </c>
      <c r="AI57" s="53">
        <f>CUSTOS!$F$25</f>
        <v>9680.0385432617059</v>
      </c>
      <c r="AJ57" s="53">
        <f>CUSTOS!$F$26</f>
        <v>49011.125175150133</v>
      </c>
      <c r="AK57" s="53">
        <f>CUSTOS!$F$27</f>
        <v>0</v>
      </c>
      <c r="AL57" s="53">
        <f>CUSTOS!$F$28</f>
        <v>340940.27940065926</v>
      </c>
      <c r="AM57" s="53">
        <f>CUSTOS!$F$29</f>
        <v>4569318.1608999353</v>
      </c>
    </row>
    <row r="58" spans="1:42" ht="11.25" customHeight="1" x14ac:dyDescent="0.25">
      <c r="K58" s="68" t="s">
        <v>658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f>SUM($L$58:$S$58)</f>
        <v>0</v>
      </c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f>SUM($U$58:$AA$58)</f>
        <v>0</v>
      </c>
      <c r="AC58" s="53">
        <v>0</v>
      </c>
      <c r="AD58" s="53">
        <f>SUM($AC$58:$AC$58)</f>
        <v>0</v>
      </c>
      <c r="AE58" s="53">
        <v>0</v>
      </c>
      <c r="AF58" s="53">
        <v>0</v>
      </c>
      <c r="AG58" s="53">
        <f>SUM($AE$58:$AF$58)</f>
        <v>0</v>
      </c>
      <c r="AH58" s="53">
        <v>0</v>
      </c>
      <c r="AI58" s="53">
        <v>0</v>
      </c>
      <c r="AJ58" s="53">
        <v>0</v>
      </c>
      <c r="AK58" s="53">
        <v>0</v>
      </c>
      <c r="AL58" s="53">
        <f>SUM($AH$58:$AK$58)</f>
        <v>0</v>
      </c>
      <c r="AM58" s="53"/>
    </row>
    <row r="59" spans="1:42" ht="11.25" customHeight="1" x14ac:dyDescent="0.25">
      <c r="K59" s="68" t="s">
        <v>664</v>
      </c>
      <c r="L59" s="53">
        <f t="shared" ref="L59:R59" si="0">IF((L55-(0))&lt;&gt;0,(L57)/(L55-(0)),0)</f>
        <v>6.5599851727009967E-2</v>
      </c>
      <c r="M59" s="53">
        <f t="shared" si="0"/>
        <v>0</v>
      </c>
      <c r="N59" s="53">
        <f t="shared" si="0"/>
        <v>0</v>
      </c>
      <c r="O59" s="53">
        <f t="shared" si="0"/>
        <v>0</v>
      </c>
      <c r="P59" s="53">
        <f t="shared" si="0"/>
        <v>0</v>
      </c>
      <c r="Q59" s="53">
        <f t="shared" si="0"/>
        <v>0.17104310834363057</v>
      </c>
      <c r="R59" s="53">
        <f t="shared" si="0"/>
        <v>0.23373029296387274</v>
      </c>
      <c r="S59" s="53">
        <f>IF((R54-(0)&lt;&gt;0),(S56)/(R54-(0)),0)</f>
        <v>0</v>
      </c>
      <c r="T59" s="53"/>
      <c r="U59" s="53">
        <f t="shared" ref="U59:AA59" si="1">IF((U55-(0))&lt;&gt;0,(U57)/(U55-(0)),0)</f>
        <v>7.6222698186146853E-2</v>
      </c>
      <c r="V59" s="53">
        <f t="shared" si="1"/>
        <v>7.6222698186146853E-2</v>
      </c>
      <c r="W59" s="53">
        <f t="shared" si="1"/>
        <v>0</v>
      </c>
      <c r="X59" s="53">
        <f t="shared" si="1"/>
        <v>0</v>
      </c>
      <c r="Y59" s="53">
        <f t="shared" si="1"/>
        <v>0</v>
      </c>
      <c r="Z59" s="53">
        <f t="shared" si="1"/>
        <v>0</v>
      </c>
      <c r="AA59" s="53">
        <f t="shared" si="1"/>
        <v>0</v>
      </c>
      <c r="AB59" s="53"/>
      <c r="AC59" s="53">
        <f>IF((AC55-(0))&lt;&gt;0,(AC57)/(AC55-(0)),0)</f>
        <v>0</v>
      </c>
      <c r="AD59" s="53"/>
      <c r="AE59" s="53">
        <f ca="1">IF(($AM54-(0))&lt;&gt;0,(AE56)/($AM54-(0)),0)</f>
        <v>0.93691629250845632</v>
      </c>
      <c r="AF59" s="53">
        <f ca="1">IF(($AM54-(0))&lt;&gt;0,(AF56)/($AM54-(0)),0)</f>
        <v>0</v>
      </c>
      <c r="AG59" s="53"/>
      <c r="AH59" s="53">
        <f>IF((AH55-(0))&lt;&gt;0,(AH57)/(AH55-(0)),0)</f>
        <v>0.11624879725750557</v>
      </c>
      <c r="AI59" s="53">
        <f>IF((AI55-(0))&lt;&gt;0,(AI57)/(AI55-(0)),0)</f>
        <v>0.11624879725750561</v>
      </c>
      <c r="AJ59" s="53">
        <f>IF((AJ55-(0))&lt;&gt;0,(AJ57)/(AJ55-(0)),0)</f>
        <v>0.1162487972575056</v>
      </c>
      <c r="AK59" s="53">
        <f>IF((AK55-(0))&lt;&gt;0,(AK57)/(AK55-(0)),0)</f>
        <v>0</v>
      </c>
      <c r="AL59" s="53"/>
      <c r="AM59" s="53"/>
    </row>
  </sheetData>
  <mergeCells count="73">
    <mergeCell ref="E46:E48"/>
    <mergeCell ref="F46:F48"/>
    <mergeCell ref="A51:A52"/>
    <mergeCell ref="B51:B52"/>
    <mergeCell ref="C51:C52"/>
    <mergeCell ref="D46:D48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E18:E20"/>
    <mergeCell ref="F18:F20"/>
    <mergeCell ref="B21:B25"/>
    <mergeCell ref="C21:C25"/>
    <mergeCell ref="B26:B30"/>
    <mergeCell ref="C26:C30"/>
    <mergeCell ref="A16:A17"/>
    <mergeCell ref="B16:B17"/>
    <mergeCell ref="C16:C17"/>
    <mergeCell ref="D16:D17"/>
    <mergeCell ref="A18:A30"/>
    <mergeCell ref="B18:B20"/>
    <mergeCell ref="C18:C20"/>
    <mergeCell ref="D18:D20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4">
    <cfRule type="cellIs" dxfId="1237" priority="55" operator="notEqual">
      <formula>$L$56</formula>
    </cfRule>
    <cfRule type="cellIs" dxfId="1236" priority="56" operator="equal">
      <formula>$L$56</formula>
    </cfRule>
  </conditionalFormatting>
  <conditionalFormatting sqref="M54">
    <cfRule type="cellIs" dxfId="1235" priority="53" operator="notEqual">
      <formula>$M$56</formula>
    </cfRule>
    <cfRule type="cellIs" dxfId="1234" priority="54" operator="equal">
      <formula>$M$56</formula>
    </cfRule>
  </conditionalFormatting>
  <conditionalFormatting sqref="N54">
    <cfRule type="cellIs" dxfId="1233" priority="51" operator="notEqual">
      <formula>$N$56</formula>
    </cfRule>
    <cfRule type="cellIs" dxfId="1232" priority="52" operator="equal">
      <formula>$N$56</formula>
    </cfRule>
  </conditionalFormatting>
  <conditionalFormatting sqref="O54">
    <cfRule type="cellIs" dxfId="1231" priority="49" operator="notEqual">
      <formula>$O$56</formula>
    </cfRule>
    <cfRule type="cellIs" dxfId="1230" priority="50" operator="equal">
      <formula>$O$56</formula>
    </cfRule>
  </conditionalFormatting>
  <conditionalFormatting sqref="P54">
    <cfRule type="cellIs" dxfId="1229" priority="47" operator="notEqual">
      <formula>$P$56</formula>
    </cfRule>
    <cfRule type="cellIs" dxfId="1228" priority="48" operator="equal">
      <formula>$P$56</formula>
    </cfRule>
  </conditionalFormatting>
  <conditionalFormatting sqref="Q54">
    <cfRule type="cellIs" dxfId="1227" priority="45" operator="notEqual">
      <formula>$Q$56</formula>
    </cfRule>
    <cfRule type="cellIs" dxfId="1226" priority="46" operator="equal">
      <formula>$Q$56</formula>
    </cfRule>
  </conditionalFormatting>
  <conditionalFormatting sqref="R54">
    <cfRule type="cellIs" dxfId="1225" priority="43" operator="notEqual">
      <formula>$R$56</formula>
    </cfRule>
    <cfRule type="cellIs" dxfId="1224" priority="44" operator="equal">
      <formula>$R$56</formula>
    </cfRule>
  </conditionalFormatting>
  <conditionalFormatting sqref="S54">
    <cfRule type="cellIs" dxfId="1223" priority="41" operator="notEqual">
      <formula>$S$56</formula>
    </cfRule>
    <cfRule type="cellIs" dxfId="1222" priority="42" operator="equal">
      <formula>$S$56</formula>
    </cfRule>
  </conditionalFormatting>
  <conditionalFormatting sqref="T54">
    <cfRule type="cellIs" dxfId="1221" priority="39" operator="notEqual">
      <formula>$T$56</formula>
    </cfRule>
    <cfRule type="cellIs" dxfId="1220" priority="40" operator="equal">
      <formula>$T$56</formula>
    </cfRule>
  </conditionalFormatting>
  <conditionalFormatting sqref="U54">
    <cfRule type="cellIs" dxfId="1219" priority="37" operator="notEqual">
      <formula>$U$56</formula>
    </cfRule>
    <cfRule type="cellIs" dxfId="1218" priority="38" operator="equal">
      <formula>$U$56</formula>
    </cfRule>
  </conditionalFormatting>
  <conditionalFormatting sqref="V54">
    <cfRule type="cellIs" dxfId="1217" priority="35" operator="notEqual">
      <formula>$V$56</formula>
    </cfRule>
    <cfRule type="cellIs" dxfId="1216" priority="36" operator="equal">
      <formula>$V$56</formula>
    </cfRule>
  </conditionalFormatting>
  <conditionalFormatting sqref="W54">
    <cfRule type="cellIs" dxfId="1215" priority="33" operator="notEqual">
      <formula>$W$56</formula>
    </cfRule>
    <cfRule type="cellIs" dxfId="1214" priority="34" operator="equal">
      <formula>$W$56</formula>
    </cfRule>
  </conditionalFormatting>
  <conditionalFormatting sqref="X54">
    <cfRule type="cellIs" dxfId="1213" priority="31" operator="notEqual">
      <formula>$X$56</formula>
    </cfRule>
    <cfRule type="cellIs" dxfId="1212" priority="32" operator="equal">
      <formula>$X$56</formula>
    </cfRule>
  </conditionalFormatting>
  <conditionalFormatting sqref="Y54">
    <cfRule type="cellIs" dxfId="1211" priority="29" operator="notEqual">
      <formula>$Y$56</formula>
    </cfRule>
    <cfRule type="cellIs" dxfId="1210" priority="30" operator="equal">
      <formula>$Y$56</formula>
    </cfRule>
  </conditionalFormatting>
  <conditionalFormatting sqref="Z54">
    <cfRule type="cellIs" dxfId="1209" priority="27" operator="notEqual">
      <formula>$Z$56</formula>
    </cfRule>
    <cfRule type="cellIs" dxfId="1208" priority="28" operator="equal">
      <formula>$Z$56</formula>
    </cfRule>
  </conditionalFormatting>
  <conditionalFormatting sqref="AA54">
    <cfRule type="cellIs" dxfId="1207" priority="25" operator="notEqual">
      <formula>$AA$56</formula>
    </cfRule>
    <cfRule type="cellIs" dxfId="1206" priority="26" operator="equal">
      <formula>$AA$56</formula>
    </cfRule>
  </conditionalFormatting>
  <conditionalFormatting sqref="AB54">
    <cfRule type="cellIs" dxfId="1205" priority="23" operator="notEqual">
      <formula>$AB$56</formula>
    </cfRule>
    <cfRule type="cellIs" dxfId="1204" priority="24" operator="equal">
      <formula>$AB$56</formula>
    </cfRule>
  </conditionalFormatting>
  <conditionalFormatting sqref="AC54">
    <cfRule type="cellIs" dxfId="1203" priority="21" operator="notEqual">
      <formula>$AC$56</formula>
    </cfRule>
    <cfRule type="cellIs" dxfId="1202" priority="22" operator="equal">
      <formula>$AC$56</formula>
    </cfRule>
  </conditionalFormatting>
  <conditionalFormatting sqref="AD54">
    <cfRule type="cellIs" dxfId="1201" priority="19" operator="notEqual">
      <formula>$AD$56</formula>
    </cfRule>
    <cfRule type="cellIs" dxfId="1200" priority="20" operator="equal">
      <formula>$AD$56</formula>
    </cfRule>
  </conditionalFormatting>
  <conditionalFormatting sqref="AE54">
    <cfRule type="cellIs" dxfId="1199" priority="17" operator="notEqual">
      <formula>$AE$56</formula>
    </cfRule>
    <cfRule type="cellIs" dxfId="1198" priority="18" operator="equal">
      <formula>$AE$56</formula>
    </cfRule>
  </conditionalFormatting>
  <conditionalFormatting sqref="AF54">
    <cfRule type="cellIs" dxfId="1197" priority="16" operator="equal">
      <formula>$AF$56</formula>
    </cfRule>
  </conditionalFormatting>
  <conditionalFormatting sqref="AF54">
    <cfRule type="cellIs" dxfId="1196" priority="15" operator="notEqual">
      <formula>$AF$56</formula>
    </cfRule>
  </conditionalFormatting>
  <conditionalFormatting sqref="AG54">
    <cfRule type="cellIs" dxfId="1195" priority="14" operator="equal">
      <formula>$AG$56</formula>
    </cfRule>
  </conditionalFormatting>
  <conditionalFormatting sqref="AG54">
    <cfRule type="cellIs" dxfId="1194" priority="13" operator="notEqual">
      <formula>$AG$56</formula>
    </cfRule>
  </conditionalFormatting>
  <conditionalFormatting sqref="AH54">
    <cfRule type="cellIs" dxfId="1193" priority="12" operator="equal">
      <formula>$AH$56</formula>
    </cfRule>
  </conditionalFormatting>
  <conditionalFormatting sqref="AH54">
    <cfRule type="cellIs" dxfId="1192" priority="11" operator="notEqual">
      <formula>$AH$56</formula>
    </cfRule>
  </conditionalFormatting>
  <conditionalFormatting sqref="AI54">
    <cfRule type="cellIs" dxfId="1191" priority="10" operator="equal">
      <formula>$AI$56</formula>
    </cfRule>
  </conditionalFormatting>
  <conditionalFormatting sqref="AI54">
    <cfRule type="cellIs" dxfId="1190" priority="9" operator="notEqual">
      <formula>$AI$56</formula>
    </cfRule>
  </conditionalFormatting>
  <conditionalFormatting sqref="AJ54">
    <cfRule type="cellIs" dxfId="1189" priority="8" operator="equal">
      <formula>$AJ$56</formula>
    </cfRule>
  </conditionalFormatting>
  <conditionalFormatting sqref="AJ54">
    <cfRule type="cellIs" dxfId="1188" priority="7" operator="notEqual">
      <formula>$AJ$56</formula>
    </cfRule>
  </conditionalFormatting>
  <conditionalFormatting sqref="AK54">
    <cfRule type="cellIs" dxfId="1187" priority="6" operator="equal">
      <formula>$AK$56</formula>
    </cfRule>
  </conditionalFormatting>
  <conditionalFormatting sqref="AK54">
    <cfRule type="cellIs" dxfId="1186" priority="5" operator="notEqual">
      <formula>$AK$56</formula>
    </cfRule>
  </conditionalFormatting>
  <conditionalFormatting sqref="AL54">
    <cfRule type="cellIs" dxfId="1185" priority="4" operator="equal">
      <formula>$AL$56</formula>
    </cfRule>
  </conditionalFormatting>
  <conditionalFormatting sqref="AL54">
    <cfRule type="cellIs" dxfId="1184" priority="3" operator="notEqual">
      <formula>$AL$56</formula>
    </cfRule>
  </conditionalFormatting>
  <conditionalFormatting sqref="AM54">
    <cfRule type="cellIs" dxfId="1183" priority="2" operator="equal">
      <formula>$AM$56</formula>
    </cfRule>
  </conditionalFormatting>
  <conditionalFormatting sqref="AM54">
    <cfRule type="cellIs" dxfId="1182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4A1A7-3112-45B2-A47E-AE88B5B3B3A7}">
  <dimension ref="A1:AP58"/>
  <sheetViews>
    <sheetView showGridLines="0" topLeftCell="AB29" workbookViewId="0">
      <selection activeCell="AO54" sqref="AO54:AP5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8.710937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2" t="s">
        <v>71</v>
      </c>
      <c r="B1" s="132" t="s">
        <v>72</v>
      </c>
      <c r="C1" s="132" t="s">
        <v>73</v>
      </c>
      <c r="D1" s="132" t="s">
        <v>74</v>
      </c>
      <c r="E1" s="132" t="s">
        <v>75</v>
      </c>
      <c r="F1" s="132" t="s">
        <v>15</v>
      </c>
      <c r="G1" s="132" t="s">
        <v>77</v>
      </c>
      <c r="H1" s="132" t="s">
        <v>78</v>
      </c>
      <c r="I1" s="132" t="s">
        <v>652</v>
      </c>
      <c r="J1" s="125"/>
      <c r="L1" s="133" t="s">
        <v>666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76"/>
      <c r="AP1" s="136" t="s">
        <v>654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5"/>
      <c r="L2" s="133" t="s">
        <v>562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76"/>
      <c r="AP2" s="137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5"/>
      <c r="L3" s="133" t="s">
        <v>563</v>
      </c>
      <c r="M3" s="133"/>
      <c r="N3" s="133"/>
      <c r="O3" s="133"/>
      <c r="P3" s="133"/>
      <c r="Q3" s="133"/>
      <c r="R3" s="133"/>
      <c r="S3" s="133"/>
      <c r="T3" s="133"/>
      <c r="U3" s="133" t="s">
        <v>572</v>
      </c>
      <c r="V3" s="133"/>
      <c r="W3" s="133"/>
      <c r="X3" s="133"/>
      <c r="Y3" s="133"/>
      <c r="Z3" s="133"/>
      <c r="AA3" s="133"/>
      <c r="AB3" s="133"/>
      <c r="AC3" s="133" t="s">
        <v>580</v>
      </c>
      <c r="AD3" s="133"/>
      <c r="AE3" s="133" t="s">
        <v>582</v>
      </c>
      <c r="AF3" s="133"/>
      <c r="AG3" s="133"/>
      <c r="AH3" s="133" t="s">
        <v>585</v>
      </c>
      <c r="AI3" s="133"/>
      <c r="AJ3" s="133"/>
      <c r="AK3" s="133"/>
      <c r="AL3" s="133"/>
      <c r="AM3" s="133" t="s">
        <v>571</v>
      </c>
      <c r="AO3" s="76"/>
      <c r="AP3" s="137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5"/>
      <c r="L4" s="69" t="s">
        <v>648</v>
      </c>
      <c r="M4" s="69" t="s">
        <v>564</v>
      </c>
      <c r="N4" s="69" t="s">
        <v>565</v>
      </c>
      <c r="O4" s="69" t="s">
        <v>566</v>
      </c>
      <c r="P4" s="69" t="s">
        <v>567</v>
      </c>
      <c r="Q4" s="69" t="s">
        <v>568</v>
      </c>
      <c r="R4" s="69" t="s">
        <v>569</v>
      </c>
      <c r="S4" s="69" t="s">
        <v>570</v>
      </c>
      <c r="T4" s="69" t="s">
        <v>571</v>
      </c>
      <c r="U4" s="69" t="s">
        <v>573</v>
      </c>
      <c r="V4" s="69" t="s">
        <v>574</v>
      </c>
      <c r="W4" s="69" t="s">
        <v>575</v>
      </c>
      <c r="X4" s="69" t="s">
        <v>576</v>
      </c>
      <c r="Y4" s="69" t="s">
        <v>577</v>
      </c>
      <c r="Z4" s="69" t="s">
        <v>578</v>
      </c>
      <c r="AA4" s="69" t="s">
        <v>579</v>
      </c>
      <c r="AB4" s="69" t="s">
        <v>571</v>
      </c>
      <c r="AC4" s="69" t="s">
        <v>581</v>
      </c>
      <c r="AD4" s="69" t="s">
        <v>571</v>
      </c>
      <c r="AE4" s="69" t="s">
        <v>583</v>
      </c>
      <c r="AF4" s="69" t="s">
        <v>584</v>
      </c>
      <c r="AG4" s="69" t="s">
        <v>571</v>
      </c>
      <c r="AH4" s="69" t="s">
        <v>586</v>
      </c>
      <c r="AI4" s="69" t="s">
        <v>587</v>
      </c>
      <c r="AJ4" s="69" t="s">
        <v>588</v>
      </c>
      <c r="AK4" s="69" t="s">
        <v>589</v>
      </c>
      <c r="AL4" s="69" t="s">
        <v>571</v>
      </c>
      <c r="AM4" s="135"/>
      <c r="AO4" s="77" t="s">
        <v>665</v>
      </c>
      <c r="AP4" s="138"/>
    </row>
    <row r="5" spans="1:42" ht="11.25" customHeight="1" x14ac:dyDescent="0.25">
      <c r="A5" s="73" t="s">
        <v>62</v>
      </c>
      <c r="B5" s="73" t="s">
        <v>59</v>
      </c>
      <c r="C5" s="73" t="s">
        <v>25</v>
      </c>
      <c r="D5" s="73" t="s">
        <v>25</v>
      </c>
      <c r="E5" s="73" t="s">
        <v>25</v>
      </c>
      <c r="F5" s="73" t="s">
        <v>25</v>
      </c>
      <c r="G5" s="74" t="s">
        <v>9</v>
      </c>
      <c r="H5" s="74" t="s">
        <v>80</v>
      </c>
      <c r="I5" s="74">
        <f>'MERCADO TUSD'!$U$2</f>
        <v>27600</v>
      </c>
      <c r="J5" s="15"/>
      <c r="L5" s="53">
        <f>'TUSD BE'!$L$5*'TUSD BF'!$L$59</f>
        <v>0</v>
      </c>
      <c r="M5" s="53">
        <f>'TUSD BE'!$M$5*'TUSD BF'!$M$59</f>
        <v>0</v>
      </c>
      <c r="N5" s="53">
        <f>'TUSD BE'!$N$5*'TUSD BF'!$N$59</f>
        <v>0</v>
      </c>
      <c r="O5" s="53">
        <f>'TUSD BE'!$O$5*'TUSD BF'!$O$59</f>
        <v>0</v>
      </c>
      <c r="P5" s="53">
        <f>'TUSD BE'!$P$5*'TUSD BF'!$P$59</f>
        <v>0</v>
      </c>
      <c r="Q5" s="53">
        <f>'TUSD BE'!$Q$5*'TUSD BF'!$Q$59</f>
        <v>0</v>
      </c>
      <c r="R5" s="53">
        <f>'TUSD BE'!$R$5*'TUSD BF'!$R$59</f>
        <v>0</v>
      </c>
      <c r="S5" s="53">
        <f>'TUSD BE'!$R$5*'TUSD BF'!$S$59</f>
        <v>0</v>
      </c>
      <c r="T5" s="53">
        <f>SUM($L$5:$S$5)</f>
        <v>0</v>
      </c>
      <c r="U5" s="53">
        <f>'TUSD BE'!$U$5*'TUSD BF'!$U$59</f>
        <v>0</v>
      </c>
      <c r="V5" s="53">
        <f>'TUSD BE'!$V$5*'TUSD BF'!$V$59</f>
        <v>0</v>
      </c>
      <c r="W5" s="53">
        <f>'TUSD BE'!$W$5*'TUSD BF'!$W$59</f>
        <v>0</v>
      </c>
      <c r="X5" s="53">
        <f>'TUSD BE'!$X$5*'TUSD BF'!$X$59</f>
        <v>0</v>
      </c>
      <c r="Y5" s="53">
        <f>'TUSD BE'!$Y$5*'TUSD BF'!$Y$59</f>
        <v>0</v>
      </c>
      <c r="Z5" s="53">
        <f>'TUSD BE'!$Z$5*'TUSD BF'!$Z$59</f>
        <v>0</v>
      </c>
      <c r="AA5" s="53">
        <f>'TUSD BE'!$AA$5*'TUSD BF'!$AA$59</f>
        <v>0</v>
      </c>
      <c r="AB5" s="53">
        <f>SUM($U$5:$AA$5)</f>
        <v>0</v>
      </c>
      <c r="AC5" s="53">
        <f>'TUSD BE'!$AC$5*'TUSD BF'!$AC$59</f>
        <v>0</v>
      </c>
      <c r="AD5" s="53">
        <f>SUM($AC$5:$AC$5)</f>
        <v>0</v>
      </c>
      <c r="AE5" s="53">
        <f ca="1">$AO$5*$AO$56</f>
        <v>0</v>
      </c>
      <c r="AF5" s="53">
        <f ca="1">$AP$5*$AP$56</f>
        <v>0</v>
      </c>
      <c r="AG5" s="53">
        <f ca="1">SUM($AE$5:$AF$5)</f>
        <v>0</v>
      </c>
      <c r="AH5" s="53">
        <f>'TUSD BE'!$AH$5*'TUSD BF'!$AH$59</f>
        <v>0</v>
      </c>
      <c r="AI5" s="53">
        <f>'TUSD BE'!$AI$5*'TUSD BF'!$AI$59</f>
        <v>0</v>
      </c>
      <c r="AJ5" s="53">
        <f>'TUSD BE'!$AJ$5*'TUSD BF'!$AJ$59</f>
        <v>0</v>
      </c>
      <c r="AK5" s="53">
        <f>'TUSD BE'!$AK$5*'TUSD BF'!$AK$59</f>
        <v>0</v>
      </c>
      <c r="AL5" s="53">
        <f>SUM($AH$5:$AK$5)</f>
        <v>0</v>
      </c>
      <c r="AM5" s="53">
        <f ca="1">SUMIF($L$4:$AL$4,"SUBTOTAL",$L$5:$AL$5)</f>
        <v>0</v>
      </c>
      <c r="AO5" s="76">
        <f>+'TUSD BE'!$T$5+'TUSD BE'!$AB$5+'TUSD BE'!$AD$5+'TUSD BE'!$AL$5</f>
        <v>14.583059933291283</v>
      </c>
      <c r="AP5" s="76">
        <f>+'TUSD BE'!$T$5+'TUSD BE'!$AB$5+'TUSD BE'!$AD$5+'TUSD BE'!$AL$5</f>
        <v>14.583059933291283</v>
      </c>
    </row>
    <row r="6" spans="1:42" ht="11.25" customHeight="1" x14ac:dyDescent="0.25">
      <c r="A6" s="131" t="s">
        <v>38</v>
      </c>
      <c r="B6" s="131" t="s">
        <v>39</v>
      </c>
      <c r="C6" s="131" t="s">
        <v>25</v>
      </c>
      <c r="D6" s="131" t="s">
        <v>25</v>
      </c>
      <c r="E6" s="131" t="s">
        <v>25</v>
      </c>
      <c r="F6" s="131" t="s">
        <v>25</v>
      </c>
      <c r="G6" s="74" t="s">
        <v>87</v>
      </c>
      <c r="H6" s="74" t="s">
        <v>80</v>
      </c>
      <c r="I6" s="74">
        <f>'MERCADO TUSD'!$U$3</f>
        <v>74530</v>
      </c>
      <c r="J6" s="15"/>
      <c r="L6" s="53">
        <f>'TUSD BE'!$L$6*'TUSD BF'!$L$59</f>
        <v>0</v>
      </c>
      <c r="M6" s="53">
        <f>'TUSD BE'!$M$6*'TUSD BF'!$M$59</f>
        <v>0</v>
      </c>
      <c r="N6" s="53">
        <f ca="1">'TUSD BE'!$N$6*'TUSD BF'!$N$59</f>
        <v>0</v>
      </c>
      <c r="O6" s="53">
        <f>'TUSD BE'!$O$6*'TUSD BF'!$O$59</f>
        <v>0</v>
      </c>
      <c r="P6" s="53">
        <f>'TUSD BE'!$P$6*'TUSD BF'!$P$59</f>
        <v>0</v>
      </c>
      <c r="Q6" s="53">
        <f>'TUSD BE'!$Q$6*'TUSD BF'!$Q$59</f>
        <v>0</v>
      </c>
      <c r="R6" s="53">
        <f>'TUSD BE'!$R$6*'TUSD BF'!$R$59</f>
        <v>0</v>
      </c>
      <c r="S6" s="53">
        <f>'TUSD BE'!$R$6*'TUSD BF'!$S$59</f>
        <v>0</v>
      </c>
      <c r="T6" s="53">
        <f ca="1">SUM($L$6:$S$6)</f>
        <v>0</v>
      </c>
      <c r="U6" s="53">
        <f>'TUSD BE'!$U$6*'TUSD BF'!$U$59</f>
        <v>0.64654113027676363</v>
      </c>
      <c r="V6" s="53">
        <f>'TUSD BE'!$V$6*'TUSD BF'!$V$59</f>
        <v>0.2017585504206855</v>
      </c>
      <c r="W6" s="53">
        <f>'TUSD BE'!$W$6*'TUSD BF'!$W$59</f>
        <v>0</v>
      </c>
      <c r="X6" s="53">
        <f>'TUSD BE'!$X$6*'TUSD BF'!$X$59</f>
        <v>0</v>
      </c>
      <c r="Y6" s="53">
        <f>'TUSD BE'!$Y$6*'TUSD BF'!$Y$59</f>
        <v>0</v>
      </c>
      <c r="Z6" s="53">
        <f>'TUSD BE'!$Z$6*'TUSD BF'!$Z$59</f>
        <v>0</v>
      </c>
      <c r="AA6" s="53">
        <f>'TUSD BE'!$AA$6*'TUSD BF'!$AA$59</f>
        <v>0</v>
      </c>
      <c r="AB6" s="53">
        <f>SUM($U$6:$AA$6)</f>
        <v>0.8482996806974491</v>
      </c>
      <c r="AC6" s="53">
        <f>'TUSD BE'!$AC$6*'TUSD BF'!$AC$59</f>
        <v>0</v>
      </c>
      <c r="AD6" s="53">
        <f>SUM($AC$6:$AC$6)</f>
        <v>0</v>
      </c>
      <c r="AE6" s="53">
        <f ca="1">$AO$6*$AO$56</f>
        <v>0</v>
      </c>
      <c r="AF6" s="53">
        <f ca="1">$AP$6*$AP$56</f>
        <v>0</v>
      </c>
      <c r="AG6" s="53">
        <f ca="1">SUM($AE$6:$AF$6)</f>
        <v>0</v>
      </c>
      <c r="AH6" s="53">
        <f>'TUSD BE'!$AH$6*'TUSD BF'!$AH$59</f>
        <v>0</v>
      </c>
      <c r="AI6" s="53">
        <f>'TUSD BE'!$AI$6*'TUSD BF'!$AI$59</f>
        <v>0</v>
      </c>
      <c r="AJ6" s="53">
        <f ca="1">'TUSD BE'!$AJ$6*'TUSD BF'!$AJ$59</f>
        <v>0</v>
      </c>
      <c r="AK6" s="53">
        <f ca="1">'TUSD BE'!$AK$6*'TUSD BF'!$AK$59</f>
        <v>0</v>
      </c>
      <c r="AL6" s="53">
        <f ca="1">SUM($AH$6:$AK$6)</f>
        <v>0</v>
      </c>
      <c r="AM6" s="53">
        <f ca="1">SUMIF($L$4:$AL$4,"SUBTOTAL",$L$6:$AL$6)</f>
        <v>0.8482996806974491</v>
      </c>
      <c r="AO6" s="76">
        <f ca="1">+'TUSD BE'!$T$6+'TUSD BE'!$AB$6+'TUSD BE'!$AD$6+'TUSD BE'!$AL$6</f>
        <v>49.291720925300687</v>
      </c>
      <c r="AP6" s="76">
        <f ca="1">+'TUSD BE'!$T$6+'TUSD BE'!$AB$6+'TUSD BE'!$AD$6+'TUSD BE'!$AL$6</f>
        <v>49.291720925300687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74" t="s">
        <v>88</v>
      </c>
      <c r="H7" s="74" t="s">
        <v>80</v>
      </c>
      <c r="I7" s="74">
        <f>'MERCADO TUSD'!$U$4</f>
        <v>78662</v>
      </c>
      <c r="J7" s="15"/>
      <c r="L7" s="53">
        <f>'TUSD BE'!$L$7*'TUSD BF'!$L$59</f>
        <v>0</v>
      </c>
      <c r="M7" s="53">
        <f>'TUSD BE'!$M$7*'TUSD BF'!$M$59</f>
        <v>0</v>
      </c>
      <c r="N7" s="53">
        <f ca="1">'TUSD BE'!$N$7*'TUSD BF'!$N$59</f>
        <v>0</v>
      </c>
      <c r="O7" s="53">
        <f>'TUSD BE'!$O$7*'TUSD BF'!$O$59</f>
        <v>0</v>
      </c>
      <c r="P7" s="53">
        <f>'TUSD BE'!$P$7*'TUSD BF'!$P$59</f>
        <v>0</v>
      </c>
      <c r="Q7" s="53">
        <f>'TUSD BE'!$Q$7*'TUSD BF'!$Q$59</f>
        <v>0</v>
      </c>
      <c r="R7" s="53">
        <f>'TUSD BE'!$R$7*'TUSD BF'!$R$59</f>
        <v>0</v>
      </c>
      <c r="S7" s="53">
        <f>'TUSD BE'!$R$7*'TUSD BF'!$S$59</f>
        <v>0</v>
      </c>
      <c r="T7" s="53">
        <f ca="1">SUM($L$7:$S$7)</f>
        <v>0</v>
      </c>
      <c r="U7" s="53">
        <f>'TUSD BE'!$U$7*'TUSD BF'!$U$59</f>
        <v>0.42804796797125211</v>
      </c>
      <c r="V7" s="53">
        <f>'TUSD BE'!$V$7*'TUSD BF'!$V$59</f>
        <v>0.12501923698549111</v>
      </c>
      <c r="W7" s="53">
        <f>'TUSD BE'!$W$7*'TUSD BF'!$W$59</f>
        <v>0</v>
      </c>
      <c r="X7" s="53">
        <f>'TUSD BE'!$X$7*'TUSD BF'!$X$59</f>
        <v>0</v>
      </c>
      <c r="Y7" s="53">
        <f>'TUSD BE'!$Y$7*'TUSD BF'!$Y$59</f>
        <v>0</v>
      </c>
      <c r="Z7" s="53">
        <f>'TUSD BE'!$Z$7*'TUSD BF'!$Z$59</f>
        <v>0</v>
      </c>
      <c r="AA7" s="53">
        <f>'TUSD BE'!$AA$7*'TUSD BF'!$AA$59</f>
        <v>0</v>
      </c>
      <c r="AB7" s="53">
        <f>SUM($U$7:$AA$7)</f>
        <v>0.55306720495674322</v>
      </c>
      <c r="AC7" s="53">
        <f>'TUSD BE'!$AC$7*'TUSD BF'!$AC$59</f>
        <v>0</v>
      </c>
      <c r="AD7" s="53">
        <f>SUM($AC$7:$AC$7)</f>
        <v>0</v>
      </c>
      <c r="AE7" s="53">
        <f ca="1">$AO$7*$AO$56</f>
        <v>0</v>
      </c>
      <c r="AF7" s="53">
        <f ca="1">$AP$7*$AP$56</f>
        <v>0</v>
      </c>
      <c r="AG7" s="53">
        <f ca="1">SUM($AE$7:$AF$7)</f>
        <v>0</v>
      </c>
      <c r="AH7" s="53">
        <f>'TUSD BE'!$AH$7*'TUSD BF'!$AH$59</f>
        <v>0</v>
      </c>
      <c r="AI7" s="53">
        <f>'TUSD BE'!$AI$7*'TUSD BF'!$AI$59</f>
        <v>0</v>
      </c>
      <c r="AJ7" s="53">
        <f ca="1">'TUSD BE'!$AJ$7*'TUSD BF'!$AJ$59</f>
        <v>0</v>
      </c>
      <c r="AK7" s="53">
        <f ca="1">'TUSD BE'!$AK$7*'TUSD BF'!$AK$59</f>
        <v>0</v>
      </c>
      <c r="AL7" s="53">
        <f ca="1">SUM($AH$7:$AK$7)</f>
        <v>0</v>
      </c>
      <c r="AM7" s="53">
        <f ca="1">SUMIF($L$4:$AL$4,"SUBTOTAL",$L$7:$AL$7)</f>
        <v>0.55306720495674322</v>
      </c>
      <c r="AO7" s="76">
        <f ca="1">+'TUSD BE'!$T$7+'TUSD BE'!$AB$7+'TUSD BE'!$AD$7+'TUSD BE'!$AL$7</f>
        <v>18.468383898155576</v>
      </c>
      <c r="AP7" s="76">
        <f ca="1">+'TUSD BE'!$T$7+'TUSD BE'!$AB$7+'TUSD BE'!$AD$7+'TUSD BE'!$AL$7</f>
        <v>18.468383898155576</v>
      </c>
    </row>
    <row r="8" spans="1:42" ht="11.25" customHeight="1" x14ac:dyDescent="0.25">
      <c r="A8" s="131"/>
      <c r="B8" s="131"/>
      <c r="C8" s="131"/>
      <c r="D8" s="131"/>
      <c r="E8" s="131"/>
      <c r="F8" s="131"/>
      <c r="G8" s="74" t="s">
        <v>86</v>
      </c>
      <c r="H8" s="74" t="s">
        <v>82</v>
      </c>
      <c r="I8" s="74">
        <f>'MERCADO TUSD'!$U$5</f>
        <v>35898.876000000004</v>
      </c>
      <c r="J8" s="15"/>
      <c r="L8" s="53">
        <f>'TUSD BE'!$L$8*'TUSD BF'!$L$59</f>
        <v>0.34145785689502584</v>
      </c>
      <c r="M8" s="53">
        <f>'TUSD BE'!$M$8*'TUSD BF'!$M$59</f>
        <v>0</v>
      </c>
      <c r="N8" s="53">
        <f ca="1">'TUSD BE'!$N$8*'TUSD BF'!$N$59</f>
        <v>0</v>
      </c>
      <c r="O8" s="53">
        <f>'TUSD BE'!$O$8*'TUSD BF'!$O$59</f>
        <v>0</v>
      </c>
      <c r="P8" s="53">
        <f>'TUSD BE'!$P$8*'TUSD BF'!$P$59</f>
        <v>0</v>
      </c>
      <c r="Q8" s="53">
        <f>'TUSD BE'!$Q$8*'TUSD BF'!$Q$59</f>
        <v>12.657562599498993</v>
      </c>
      <c r="R8" s="53">
        <f>'TUSD BE'!$R$8*'TUSD BF'!$R$59</f>
        <v>3.2447097728911412</v>
      </c>
      <c r="S8" s="53">
        <f>'TUSD BE'!$R$8*'TUSD BF'!$S$59</f>
        <v>0</v>
      </c>
      <c r="T8" s="53">
        <f ca="1">SUM($L$8:$S$8)</f>
        <v>16.243730229285159</v>
      </c>
      <c r="U8" s="53">
        <f>'TUSD BE'!$U$8*'TUSD BF'!$U$59</f>
        <v>0</v>
      </c>
      <c r="V8" s="53">
        <f>'TUSD BE'!$V$8*'TUSD BF'!$V$59</f>
        <v>0</v>
      </c>
      <c r="W8" s="53">
        <f>'TUSD BE'!$W$8*'TUSD BF'!$W$59</f>
        <v>0</v>
      </c>
      <c r="X8" s="53">
        <f>'TUSD BE'!$X$8*'TUSD BF'!$X$59</f>
        <v>0</v>
      </c>
      <c r="Y8" s="53">
        <f>'TUSD BE'!$Y$8*'TUSD BF'!$Y$59</f>
        <v>0</v>
      </c>
      <c r="Z8" s="53">
        <f>'TUSD BE'!$Z$8*'TUSD BF'!$Z$59</f>
        <v>0</v>
      </c>
      <c r="AA8" s="53">
        <f>'TUSD BE'!$AA$8*'TUSD BF'!$AA$59</f>
        <v>0</v>
      </c>
      <c r="AB8" s="53">
        <f>SUM($U$8:$AA$8)</f>
        <v>0</v>
      </c>
      <c r="AC8" s="53">
        <f>'TUSD BE'!$AC$8*'TUSD BF'!$AC$59</f>
        <v>0</v>
      </c>
      <c r="AD8" s="53">
        <f>SUM($AC$8:$AC$8)</f>
        <v>0</v>
      </c>
      <c r="AE8" s="53">
        <f ca="1">$AO$8*$AO$56</f>
        <v>0</v>
      </c>
      <c r="AF8" s="53">
        <f ca="1">$AP$8*$AP$56</f>
        <v>0</v>
      </c>
      <c r="AG8" s="53">
        <f ca="1">SUM($AE$8:$AF$8)</f>
        <v>0</v>
      </c>
      <c r="AH8" s="53">
        <f>'TUSD BE'!$AH$8*'TUSD BF'!$AH$59</f>
        <v>0.82075772752144993</v>
      </c>
      <c r="AI8" s="53">
        <f>'TUSD BE'!$AI$8*'TUSD BF'!$AI$59</f>
        <v>2.8148882523069716E-2</v>
      </c>
      <c r="AJ8" s="53">
        <f ca="1">'TUSD BE'!$AJ$8*'TUSD BF'!$AJ$59</f>
        <v>0.20658381185851823</v>
      </c>
      <c r="AK8" s="53">
        <f ca="1">'TUSD BE'!$AK$8*'TUSD BF'!$AK$59</f>
        <v>0</v>
      </c>
      <c r="AL8" s="53">
        <f ca="1">SUM($AH$8:$AK$8)</f>
        <v>1.0554904219030379</v>
      </c>
      <c r="AM8" s="53">
        <f ca="1">SUMIF($L$4:$AL$4,"SUBTOTAL",$L$8:$AL$8)</f>
        <v>17.299220651188197</v>
      </c>
      <c r="AO8" s="76">
        <f ca="1">+'TUSD BE'!$T$8+'TUSD BE'!$AB$8+'TUSD BE'!$AD$8+'TUSD BE'!$AL$8</f>
        <v>103.05988821302503</v>
      </c>
      <c r="AP8" s="76">
        <f ca="1">+'TUSD BE'!$T$8+'TUSD BE'!$AB$8+'TUSD BE'!$AD$8+'TUSD BE'!$AL$8</f>
        <v>103.05988821302503</v>
      </c>
    </row>
    <row r="9" spans="1:42" ht="11.25" customHeight="1" x14ac:dyDescent="0.25">
      <c r="A9" s="131"/>
      <c r="B9" s="131"/>
      <c r="C9" s="131"/>
      <c r="D9" s="131"/>
      <c r="E9" s="73" t="s">
        <v>89</v>
      </c>
      <c r="F9" s="73" t="s">
        <v>25</v>
      </c>
      <c r="G9" s="74" t="s">
        <v>86</v>
      </c>
      <c r="H9" s="74" t="s">
        <v>82</v>
      </c>
      <c r="I9" s="74">
        <f>'MERCADO TUSD'!$U$6</f>
        <v>0</v>
      </c>
      <c r="J9" s="15"/>
      <c r="L9" s="53">
        <f>'TUSD BE'!$L$9*'TUSD BF'!$L$59</f>
        <v>0</v>
      </c>
      <c r="M9" s="53">
        <f>'TUSD BE'!$M$9*'TUSD BF'!$M$59</f>
        <v>0</v>
      </c>
      <c r="N9" s="53">
        <f ca="1">'TUSD BE'!$N$9*'TUSD BF'!$N$59</f>
        <v>0</v>
      </c>
      <c r="O9" s="53">
        <f>'TUSD BE'!$O$9*'TUSD BF'!$O$59</f>
        <v>0</v>
      </c>
      <c r="P9" s="53">
        <f>'TUSD BE'!$P$9*'TUSD BF'!$P$59</f>
        <v>0</v>
      </c>
      <c r="Q9" s="53">
        <f>'TUSD BE'!$Q$9*'TUSD BF'!$Q$59</f>
        <v>0</v>
      </c>
      <c r="R9" s="53">
        <f>'TUSD BE'!$R$9*'TUSD BF'!$R$59</f>
        <v>0</v>
      </c>
      <c r="S9" s="53">
        <f>'TUSD BE'!$R$9*'TUSD BF'!$S$59</f>
        <v>0</v>
      </c>
      <c r="T9" s="53">
        <f ca="1">SUM($L$9:$S$9)</f>
        <v>0</v>
      </c>
      <c r="U9" s="53">
        <f>'TUSD BE'!$U$9*'TUSD BF'!$U$59</f>
        <v>0</v>
      </c>
      <c r="V9" s="53">
        <f>'TUSD BE'!$V$9*'TUSD BF'!$V$59</f>
        <v>0</v>
      </c>
      <c r="W9" s="53">
        <f>'TUSD BE'!$W$9*'TUSD BF'!$W$59</f>
        <v>0</v>
      </c>
      <c r="X9" s="53">
        <f>'TUSD BE'!$X$9*'TUSD BF'!$X$59</f>
        <v>0</v>
      </c>
      <c r="Y9" s="53">
        <f>'TUSD BE'!$Y$9*'TUSD BF'!$Y$59</f>
        <v>0</v>
      </c>
      <c r="Z9" s="53">
        <f>'TUSD BE'!$Z$9*'TUSD BF'!$Z$59</f>
        <v>0</v>
      </c>
      <c r="AA9" s="53">
        <f>'TUSD BE'!$AA$9*'TUSD BF'!$AA$59</f>
        <v>0</v>
      </c>
      <c r="AB9" s="53">
        <f>SUM($U$9:$AA$9)</f>
        <v>0</v>
      </c>
      <c r="AC9" s="53">
        <f>'TUSD BE'!$AC$9*'TUSD BF'!$AC$59</f>
        <v>0</v>
      </c>
      <c r="AD9" s="53">
        <f>SUM($AC$9:$AC$9)</f>
        <v>0</v>
      </c>
      <c r="AE9" s="53">
        <f ca="1">$AO$9*$AO$56</f>
        <v>0</v>
      </c>
      <c r="AF9" s="53">
        <f ca="1">$AP$9*$AP$56</f>
        <v>0</v>
      </c>
      <c r="AG9" s="53">
        <f ca="1">SUM($AE$9:$AF$9)</f>
        <v>0</v>
      </c>
      <c r="AH9" s="53">
        <f>'TUSD BE'!$AH$9*'TUSD BF'!$AH$59</f>
        <v>0.82075772752144993</v>
      </c>
      <c r="AI9" s="53">
        <f>'TUSD BE'!$AI$9*'TUSD BF'!$AI$59</f>
        <v>2.8148882523069716E-2</v>
      </c>
      <c r="AJ9" s="53">
        <f ca="1">'TUSD BE'!$AJ$9*'TUSD BF'!$AJ$59</f>
        <v>0.20658381185851823</v>
      </c>
      <c r="AK9" s="53">
        <f ca="1">'TUSD BE'!$AK$9*'TUSD BF'!$AK$59</f>
        <v>0</v>
      </c>
      <c r="AL9" s="53">
        <f ca="1">SUM($AH$9:$AK$9)</f>
        <v>1.0554904219030379</v>
      </c>
      <c r="AM9" s="53">
        <f ca="1">SUMIF($L$4:$AL$4,"SUBTOTAL",$L$9:$AL$9)</f>
        <v>1.0554904219030379</v>
      </c>
      <c r="AO9" s="76">
        <f ca="1">+'TUSD BE'!$T$9+'TUSD BE'!$AB$9+'TUSD BE'!$AD$9+'TUSD BE'!$AL$9</f>
        <v>9.9612478921375693</v>
      </c>
      <c r="AP9" s="76">
        <f ca="1">+'TUSD BE'!$T$9+'TUSD BE'!$AB$9+'TUSD BE'!$AD$9+'TUSD BE'!$AL$9</f>
        <v>9.9612478921375693</v>
      </c>
    </row>
    <row r="10" spans="1:42" ht="11.25" customHeight="1" x14ac:dyDescent="0.25">
      <c r="A10" s="131"/>
      <c r="B10" s="73" t="s">
        <v>59</v>
      </c>
      <c r="C10" s="73" t="s">
        <v>25</v>
      </c>
      <c r="D10" s="73" t="s">
        <v>25</v>
      </c>
      <c r="E10" s="73" t="s">
        <v>25</v>
      </c>
      <c r="F10" s="73" t="s">
        <v>25</v>
      </c>
      <c r="G10" s="74" t="s">
        <v>9</v>
      </c>
      <c r="H10" s="74" t="s">
        <v>80</v>
      </c>
      <c r="I10" s="74">
        <f>'MERCADO TUSD'!$U$7</f>
        <v>15360</v>
      </c>
      <c r="J10" s="15"/>
      <c r="L10" s="53">
        <f>'TUSD BE'!$L$10*'TUSD BF'!$L$59</f>
        <v>0</v>
      </c>
      <c r="M10" s="53">
        <f>'TUSD BE'!$M$10*'TUSD BF'!$M$59</f>
        <v>0</v>
      </c>
      <c r="N10" s="53">
        <f ca="1">'TUSD BE'!$N$10*'TUSD BF'!$N$59</f>
        <v>0</v>
      </c>
      <c r="O10" s="53">
        <f>'TUSD BE'!$O$10*'TUSD BF'!$O$59</f>
        <v>0</v>
      </c>
      <c r="P10" s="53">
        <f>'TUSD BE'!$P$10*'TUSD BF'!$P$59</f>
        <v>0</v>
      </c>
      <c r="Q10" s="53">
        <f>'TUSD BE'!$Q$10*'TUSD BF'!$Q$59</f>
        <v>0</v>
      </c>
      <c r="R10" s="53">
        <f>'TUSD BE'!$R$10*'TUSD BF'!$R$59</f>
        <v>0</v>
      </c>
      <c r="S10" s="53">
        <f>'TUSD BE'!$R$10*'TUSD BF'!$S$59</f>
        <v>0</v>
      </c>
      <c r="T10" s="53">
        <f ca="1">SUM($L$10:$S$10)</f>
        <v>0</v>
      </c>
      <c r="U10" s="53">
        <f>'TUSD BE'!$U$10*'TUSD BF'!$U$59</f>
        <v>0</v>
      </c>
      <c r="V10" s="53">
        <f>'TUSD BE'!$V$10*'TUSD BF'!$V$59</f>
        <v>0</v>
      </c>
      <c r="W10" s="53">
        <f>'TUSD BE'!$W$10*'TUSD BF'!$W$59</f>
        <v>0</v>
      </c>
      <c r="X10" s="53">
        <f>'TUSD BE'!$X$10*'TUSD BF'!$X$59</f>
        <v>0</v>
      </c>
      <c r="Y10" s="53">
        <f>'TUSD BE'!$Y$10*'TUSD BF'!$Y$59</f>
        <v>0</v>
      </c>
      <c r="Z10" s="53">
        <f>'TUSD BE'!$Z$10*'TUSD BF'!$Z$59</f>
        <v>0</v>
      </c>
      <c r="AA10" s="53">
        <f>'TUSD BE'!$AA$10*'TUSD BF'!$AA$59</f>
        <v>0</v>
      </c>
      <c r="AB10" s="53">
        <f>SUM($U$10:$AA$10)</f>
        <v>0</v>
      </c>
      <c r="AC10" s="53">
        <f>'TUSD BE'!$AC$10*'TUSD BF'!$AC$59</f>
        <v>0</v>
      </c>
      <c r="AD10" s="53">
        <f>SUM($AC$10:$AC$10)</f>
        <v>0</v>
      </c>
      <c r="AE10" s="53">
        <f ca="1">$AO$10*$AO$56</f>
        <v>0</v>
      </c>
      <c r="AF10" s="53">
        <f ca="1">$AP$10*$AP$56</f>
        <v>0</v>
      </c>
      <c r="AG10" s="53">
        <f ca="1">SUM($AE$10:$AF$10)</f>
        <v>0</v>
      </c>
      <c r="AH10" s="53">
        <f>'TUSD BE'!$AH$10*'TUSD BF'!$AH$59</f>
        <v>7.1149056413449493E-5</v>
      </c>
      <c r="AI10" s="53">
        <f>'TUSD BE'!$AI$10*'TUSD BF'!$AI$59</f>
        <v>0</v>
      </c>
      <c r="AJ10" s="53">
        <f ca="1">'TUSD BE'!$AJ$10*'TUSD BF'!$AJ$59</f>
        <v>0</v>
      </c>
      <c r="AK10" s="53">
        <f ca="1">'TUSD BE'!$AK$10*'TUSD BF'!$AK$59</f>
        <v>0</v>
      </c>
      <c r="AL10" s="53">
        <f ca="1">SUM($AH$10:$AK$10)</f>
        <v>7.1149056413449493E-5</v>
      </c>
      <c r="AM10" s="53">
        <f ca="1">SUMIF($L$4:$AL$4,"SUBTOTAL",$L$10:$AL$10)</f>
        <v>7.1149056413449493E-5</v>
      </c>
      <c r="AO10" s="76">
        <f ca="1">+'TUSD BE'!$T$10+'TUSD BE'!$AB$10+'TUSD BE'!$AD$10+'TUSD BE'!$AL$10</f>
        <v>6.7703899035083079</v>
      </c>
      <c r="AP10" s="76">
        <f ca="1">+'TUSD BE'!$T$10+'TUSD BE'!$AB$10+'TUSD BE'!$AD$10+'TUSD BE'!$AL$10</f>
        <v>6.7703899035083079</v>
      </c>
    </row>
    <row r="11" spans="1:42" ht="11.25" customHeight="1" x14ac:dyDescent="0.25">
      <c r="A11" s="131"/>
      <c r="B11" s="131" t="s">
        <v>40</v>
      </c>
      <c r="C11" s="131" t="s">
        <v>25</v>
      </c>
      <c r="D11" s="131" t="s">
        <v>25</v>
      </c>
      <c r="E11" s="131" t="s">
        <v>25</v>
      </c>
      <c r="F11" s="131" t="s">
        <v>25</v>
      </c>
      <c r="G11" s="74" t="s">
        <v>9</v>
      </c>
      <c r="H11" s="74" t="s">
        <v>80</v>
      </c>
      <c r="I11" s="74">
        <f>'MERCADO TUSD'!$U$8</f>
        <v>288308</v>
      </c>
      <c r="J11" s="15"/>
      <c r="L11" s="53">
        <f>'TUSD BE'!$L$11*'TUSD BF'!$L$59</f>
        <v>0</v>
      </c>
      <c r="M11" s="53">
        <f>'TUSD BE'!$M$11*'TUSD BF'!$M$59</f>
        <v>0</v>
      </c>
      <c r="N11" s="53">
        <f ca="1">'TUSD BE'!$N$11*'TUSD BF'!$N$59</f>
        <v>0</v>
      </c>
      <c r="O11" s="53">
        <f>'TUSD BE'!$O$11*'TUSD BF'!$O$59</f>
        <v>0</v>
      </c>
      <c r="P11" s="53">
        <f>'TUSD BE'!$P$11*'TUSD BF'!$P$59</f>
        <v>0</v>
      </c>
      <c r="Q11" s="53">
        <f>'TUSD BE'!$Q$11*'TUSD BF'!$Q$59</f>
        <v>0</v>
      </c>
      <c r="R11" s="53">
        <f>'TUSD BE'!$R$11*'TUSD BF'!$R$59</f>
        <v>0</v>
      </c>
      <c r="S11" s="53">
        <f>'TUSD BE'!$R$11*'TUSD BF'!$S$59</f>
        <v>0</v>
      </c>
      <c r="T11" s="53">
        <f ca="1">SUM($L$11:$S$11)</f>
        <v>0</v>
      </c>
      <c r="U11" s="53">
        <f>'TUSD BE'!$U$11*'TUSD BF'!$U$59</f>
        <v>0.42804796797125211</v>
      </c>
      <c r="V11" s="53">
        <f>'TUSD BE'!$V$11*'TUSD BF'!$V$59</f>
        <v>0.12501923698549111</v>
      </c>
      <c r="W11" s="53">
        <f>'TUSD BE'!$W$11*'TUSD BF'!$W$59</f>
        <v>0</v>
      </c>
      <c r="X11" s="53">
        <f>'TUSD BE'!$X$11*'TUSD BF'!$X$59</f>
        <v>0</v>
      </c>
      <c r="Y11" s="53">
        <f>'TUSD BE'!$Y$11*'TUSD BF'!$Y$59</f>
        <v>0</v>
      </c>
      <c r="Z11" s="53">
        <f>'TUSD BE'!$Z$11*'TUSD BF'!$Z$59</f>
        <v>0</v>
      </c>
      <c r="AA11" s="53">
        <f>'TUSD BE'!$AA$11*'TUSD BF'!$AA$59</f>
        <v>0</v>
      </c>
      <c r="AB11" s="53">
        <f>SUM($U$11:$AA$11)</f>
        <v>0.55306720495674322</v>
      </c>
      <c r="AC11" s="53">
        <f>'TUSD BE'!$AC$11*'TUSD BF'!$AC$59</f>
        <v>0</v>
      </c>
      <c r="AD11" s="53">
        <f>SUM($AC$11:$AC$11)</f>
        <v>0</v>
      </c>
      <c r="AE11" s="53">
        <f ca="1">$AO$11*$AO$56</f>
        <v>0</v>
      </c>
      <c r="AF11" s="53">
        <f ca="1">$AP$11*$AP$56</f>
        <v>0</v>
      </c>
      <c r="AG11" s="53">
        <f ca="1">SUM($AE$11:$AF$11)</f>
        <v>0</v>
      </c>
      <c r="AH11" s="53">
        <f>'TUSD BE'!$AH$11*'TUSD BF'!$AH$59</f>
        <v>0</v>
      </c>
      <c r="AI11" s="53">
        <f>'TUSD BE'!$AI$11*'TUSD BF'!$AI$59</f>
        <v>0</v>
      </c>
      <c r="AJ11" s="53">
        <f ca="1">'TUSD BE'!$AJ$11*'TUSD BF'!$AJ$59</f>
        <v>0</v>
      </c>
      <c r="AK11" s="53">
        <f ca="1">'TUSD BE'!$AK$11*'TUSD BF'!$AK$59</f>
        <v>0</v>
      </c>
      <c r="AL11" s="53">
        <f ca="1">SUM($AH$11:$AK$11)</f>
        <v>0</v>
      </c>
      <c r="AM11" s="53">
        <f ca="1">SUMIF($L$4:$AL$4,"SUBTOTAL",$L$11:$AL$11)</f>
        <v>0.55306720495674322</v>
      </c>
      <c r="AO11" s="76">
        <f ca="1">+'TUSD BE'!$T$11+'TUSD BE'!$AB$11+'TUSD BE'!$AD$11+'TUSD BE'!$AL$11</f>
        <v>18.468383898155576</v>
      </c>
      <c r="AP11" s="76">
        <f ca="1">+'TUSD BE'!$T$11+'TUSD BE'!$AB$11+'TUSD BE'!$AD$11+'TUSD BE'!$AL$11</f>
        <v>18.468383898155576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74" t="s">
        <v>83</v>
      </c>
      <c r="H12" s="74" t="s">
        <v>82</v>
      </c>
      <c r="I12" s="74">
        <f>'MERCADO TUSD'!$U$9</f>
        <v>4081.9879999999994</v>
      </c>
      <c r="J12" s="15"/>
      <c r="L12" s="53">
        <f>'TUSD BE'!$L$12*'TUSD BF'!$L$59</f>
        <v>0.34145785689502584</v>
      </c>
      <c r="M12" s="53">
        <f>'TUSD BE'!$M$12*'TUSD BF'!$M$59</f>
        <v>0</v>
      </c>
      <c r="N12" s="53">
        <f ca="1">'TUSD BE'!$N$12*'TUSD BF'!$N$59</f>
        <v>0</v>
      </c>
      <c r="O12" s="53">
        <f>'TUSD BE'!$O$12*'TUSD BF'!$O$59</f>
        <v>0</v>
      </c>
      <c r="P12" s="53">
        <f>'TUSD BE'!$P$12*'TUSD BF'!$P$59</f>
        <v>0</v>
      </c>
      <c r="Q12" s="53">
        <f>'TUSD BE'!$Q$12*'TUSD BF'!$Q$59</f>
        <v>12.657562599498993</v>
      </c>
      <c r="R12" s="53">
        <f>'TUSD BE'!$R$12*'TUSD BF'!$R$59</f>
        <v>3.2447097728911412</v>
      </c>
      <c r="S12" s="53">
        <f>'TUSD BE'!$R$12*'TUSD BF'!$S$59</f>
        <v>0</v>
      </c>
      <c r="T12" s="53">
        <f ca="1">SUM($L$12:$S$12)</f>
        <v>16.243730229285159</v>
      </c>
      <c r="U12" s="53">
        <f>'TUSD BE'!$U$12*'TUSD BF'!$U$59</f>
        <v>15.549382357062742</v>
      </c>
      <c r="V12" s="53">
        <f>'TUSD BE'!$V$12*'TUSD BF'!$V$59</f>
        <v>4.8523007155615385</v>
      </c>
      <c r="W12" s="53">
        <f>'TUSD BE'!$W$12*'TUSD BF'!$W$59</f>
        <v>0</v>
      </c>
      <c r="X12" s="53">
        <f>'TUSD BE'!$X$12*'TUSD BF'!$X$59</f>
        <v>0</v>
      </c>
      <c r="Y12" s="53">
        <f>'TUSD BE'!$Y$12*'TUSD BF'!$Y$59</f>
        <v>0</v>
      </c>
      <c r="Z12" s="53">
        <f>'TUSD BE'!$Z$12*'TUSD BF'!$Z$59</f>
        <v>0</v>
      </c>
      <c r="AA12" s="53">
        <f>'TUSD BE'!$AA$12*'TUSD BF'!$AA$59</f>
        <v>0</v>
      </c>
      <c r="AB12" s="53">
        <f>SUM($U$12:$AA$12)</f>
        <v>20.40168307262428</v>
      </c>
      <c r="AC12" s="53">
        <f>'TUSD BE'!$AC$12*'TUSD BF'!$AC$59</f>
        <v>0</v>
      </c>
      <c r="AD12" s="53">
        <f>SUM($AC$12:$AC$12)</f>
        <v>0</v>
      </c>
      <c r="AE12" s="53">
        <f ca="1">$AO$12*$AO$56</f>
        <v>0</v>
      </c>
      <c r="AF12" s="53">
        <f ca="1">$AP$12*$AP$56</f>
        <v>0</v>
      </c>
      <c r="AG12" s="53">
        <f ca="1">SUM($AE$12:$AF$12)</f>
        <v>0</v>
      </c>
      <c r="AH12" s="53">
        <f>'TUSD BE'!$AH$12*'TUSD BF'!$AH$59</f>
        <v>0.82075772752144993</v>
      </c>
      <c r="AI12" s="53">
        <f>'TUSD BE'!$AI$12*'TUSD BF'!$AI$59</f>
        <v>2.8148882523069716E-2</v>
      </c>
      <c r="AJ12" s="53">
        <f ca="1">'TUSD BE'!$AJ$12*'TUSD BF'!$AJ$59</f>
        <v>0.20658381185851823</v>
      </c>
      <c r="AK12" s="53">
        <f ca="1">'TUSD BE'!$AK$12*'TUSD BF'!$AK$59</f>
        <v>0</v>
      </c>
      <c r="AL12" s="53">
        <f ca="1">SUM($AH$12:$AK$12)</f>
        <v>1.0554904219030379</v>
      </c>
      <c r="AM12" s="53">
        <f ca="1">SUMIF($L$4:$AL$4,"SUBTOTAL",$L$12:$AL$12)</f>
        <v>37.70090372381248</v>
      </c>
      <c r="AO12" s="76">
        <f ca="1">+'TUSD BE'!$T$12+'TUSD BE'!$AB$12+'TUSD BE'!$AD$12+'TUSD BE'!$AL$12</f>
        <v>1298.0279878924639</v>
      </c>
      <c r="AP12" s="76">
        <f ca="1">+'TUSD BE'!$T$12+'TUSD BE'!$AB$12+'TUSD BE'!$AD$12+'TUSD BE'!$AL$12</f>
        <v>1298.0279878924639</v>
      </c>
    </row>
    <row r="13" spans="1:42" ht="11.25" customHeight="1" x14ac:dyDescent="0.25">
      <c r="A13" s="131"/>
      <c r="B13" s="131"/>
      <c r="C13" s="131"/>
      <c r="D13" s="131"/>
      <c r="E13" s="131"/>
      <c r="F13" s="131"/>
      <c r="G13" s="74" t="s">
        <v>84</v>
      </c>
      <c r="H13" s="74" t="s">
        <v>82</v>
      </c>
      <c r="I13" s="74">
        <f>'MERCADO TUSD'!$U$10</f>
        <v>46975.044999999991</v>
      </c>
      <c r="J13" s="15"/>
      <c r="L13" s="53">
        <f>'TUSD BE'!$L$13*'TUSD BF'!$L$59</f>
        <v>0.34145785689502584</v>
      </c>
      <c r="M13" s="53">
        <f>'TUSD BE'!$M$13*'TUSD BF'!$M$59</f>
        <v>0</v>
      </c>
      <c r="N13" s="53">
        <f ca="1">'TUSD BE'!$N$13*'TUSD BF'!$N$59</f>
        <v>0</v>
      </c>
      <c r="O13" s="53">
        <f>'TUSD BE'!$O$13*'TUSD BF'!$O$59</f>
        <v>0</v>
      </c>
      <c r="P13" s="53">
        <f>'TUSD BE'!$P$13*'TUSD BF'!$P$59</f>
        <v>0</v>
      </c>
      <c r="Q13" s="53">
        <f>'TUSD BE'!$Q$13*'TUSD BF'!$Q$59</f>
        <v>12.657562599498993</v>
      </c>
      <c r="R13" s="53">
        <f>'TUSD BE'!$R$13*'TUSD BF'!$R$59</f>
        <v>3.2447097728911412</v>
      </c>
      <c r="S13" s="53">
        <f>'TUSD BE'!$R$13*'TUSD BF'!$S$59</f>
        <v>0</v>
      </c>
      <c r="T13" s="53">
        <f ca="1">SUM($L$13:$S$13)</f>
        <v>16.243730229285159</v>
      </c>
      <c r="U13" s="53">
        <f>'TUSD BE'!$U$13*'TUSD BF'!$U$59</f>
        <v>0</v>
      </c>
      <c r="V13" s="53">
        <f>'TUSD BE'!$V$13*'TUSD BF'!$V$59</f>
        <v>0</v>
      </c>
      <c r="W13" s="53">
        <f>'TUSD BE'!$W$13*'TUSD BF'!$W$59</f>
        <v>0</v>
      </c>
      <c r="X13" s="53">
        <f>'TUSD BE'!$X$13*'TUSD BF'!$X$59</f>
        <v>0</v>
      </c>
      <c r="Y13" s="53">
        <f>'TUSD BE'!$Y$13*'TUSD BF'!$Y$59</f>
        <v>0</v>
      </c>
      <c r="Z13" s="53">
        <f>'TUSD BE'!$Z$13*'TUSD BF'!$Z$59</f>
        <v>0</v>
      </c>
      <c r="AA13" s="53">
        <f>'TUSD BE'!$AA$13*'TUSD BF'!$AA$59</f>
        <v>0</v>
      </c>
      <c r="AB13" s="53">
        <f>SUM($U$13:$AA$13)</f>
        <v>0</v>
      </c>
      <c r="AC13" s="53">
        <f>'TUSD BE'!$AC$13*'TUSD BF'!$AC$59</f>
        <v>0</v>
      </c>
      <c r="AD13" s="53">
        <f>SUM($AC$13:$AC$13)</f>
        <v>0</v>
      </c>
      <c r="AE13" s="53">
        <f ca="1">$AO$13*$AO$56</f>
        <v>0</v>
      </c>
      <c r="AF13" s="53">
        <f ca="1">$AP$13*$AP$56</f>
        <v>0</v>
      </c>
      <c r="AG13" s="53">
        <f ca="1">SUM($AE$13:$AF$13)</f>
        <v>0</v>
      </c>
      <c r="AH13" s="53">
        <f>'TUSD BE'!$AH$13*'TUSD BF'!$AH$59</f>
        <v>0.82075772752144993</v>
      </c>
      <c r="AI13" s="53">
        <f>'TUSD BE'!$AI$13*'TUSD BF'!$AI$59</f>
        <v>2.8148882523069716E-2</v>
      </c>
      <c r="AJ13" s="53">
        <f ca="1">'TUSD BE'!$AJ$13*'TUSD BF'!$AJ$59</f>
        <v>0.20658381185851823</v>
      </c>
      <c r="AK13" s="53">
        <f ca="1">'TUSD BE'!$AK$13*'TUSD BF'!$AK$59</f>
        <v>0</v>
      </c>
      <c r="AL13" s="53">
        <f ca="1">SUM($AH$13:$AK$13)</f>
        <v>1.0554904219030379</v>
      </c>
      <c r="AM13" s="53">
        <f ca="1">SUMIF($L$4:$AL$4,"SUBTOTAL",$L$13:$AL$13)</f>
        <v>17.299220651188197</v>
      </c>
      <c r="AO13" s="76">
        <f ca="1">+'TUSD BE'!$T$13+'TUSD BE'!$AB$13+'TUSD BE'!$AD$13+'TUSD BE'!$AL$13</f>
        <v>103.05988821302503</v>
      </c>
      <c r="AP13" s="76">
        <f ca="1">+'TUSD BE'!$T$13+'TUSD BE'!$AB$13+'TUSD BE'!$AD$13+'TUSD BE'!$AL$13</f>
        <v>103.05988821302503</v>
      </c>
    </row>
    <row r="14" spans="1:42" ht="11.25" customHeight="1" x14ac:dyDescent="0.25">
      <c r="A14" s="131"/>
      <c r="B14" s="131"/>
      <c r="C14" s="131"/>
      <c r="D14" s="131"/>
      <c r="E14" s="131" t="s">
        <v>89</v>
      </c>
      <c r="F14" s="131" t="s">
        <v>25</v>
      </c>
      <c r="G14" s="74" t="s">
        <v>83</v>
      </c>
      <c r="H14" s="74" t="s">
        <v>82</v>
      </c>
      <c r="I14" s="74">
        <f>'MERCADO TUSD'!$U$11</f>
        <v>0</v>
      </c>
      <c r="J14" s="15"/>
      <c r="L14" s="53">
        <f>'TUSD BE'!$L$14*'TUSD BF'!$L$59</f>
        <v>0</v>
      </c>
      <c r="M14" s="53">
        <f>'TUSD BE'!$M$14*'TUSD BF'!$M$59</f>
        <v>0</v>
      </c>
      <c r="N14" s="53">
        <f ca="1">'TUSD BE'!$N$14*'TUSD BF'!$N$59</f>
        <v>0</v>
      </c>
      <c r="O14" s="53">
        <f>'TUSD BE'!$O$14*'TUSD BF'!$O$59</f>
        <v>0</v>
      </c>
      <c r="P14" s="53">
        <f>'TUSD BE'!$P$14*'TUSD BF'!$P$59</f>
        <v>0</v>
      </c>
      <c r="Q14" s="53">
        <f>'TUSD BE'!$Q$14*'TUSD BF'!$Q$59</f>
        <v>0</v>
      </c>
      <c r="R14" s="53">
        <f>'TUSD BE'!$R$14*'TUSD BF'!$R$59</f>
        <v>0</v>
      </c>
      <c r="S14" s="53">
        <f>'TUSD BE'!$R$14*'TUSD BF'!$S$59</f>
        <v>0</v>
      </c>
      <c r="T14" s="53">
        <f ca="1">SUM($L$14:$S$14)</f>
        <v>0</v>
      </c>
      <c r="U14" s="53">
        <f>'TUSD BE'!$U$14*'TUSD BF'!$U$59</f>
        <v>15.549382357062742</v>
      </c>
      <c r="V14" s="53">
        <f>'TUSD BE'!$V$14*'TUSD BF'!$V$59</f>
        <v>4.8523007155615385</v>
      </c>
      <c r="W14" s="53">
        <f>'TUSD BE'!$W$14*'TUSD BF'!$W$59</f>
        <v>0</v>
      </c>
      <c r="X14" s="53">
        <f>'TUSD BE'!$X$14*'TUSD BF'!$X$59</f>
        <v>0</v>
      </c>
      <c r="Y14" s="53">
        <f>'TUSD BE'!$Y$14*'TUSD BF'!$Y$59</f>
        <v>0</v>
      </c>
      <c r="Z14" s="53">
        <f>'TUSD BE'!$Z$14*'TUSD BF'!$Z$59</f>
        <v>0</v>
      </c>
      <c r="AA14" s="53">
        <f>'TUSD BE'!$AA$14*'TUSD BF'!$AA$59</f>
        <v>0</v>
      </c>
      <c r="AB14" s="53">
        <f>SUM($U$14:$AA$14)</f>
        <v>20.40168307262428</v>
      </c>
      <c r="AC14" s="53">
        <f>'TUSD BE'!$AC$14*'TUSD BF'!$AC$59</f>
        <v>0</v>
      </c>
      <c r="AD14" s="53">
        <f>SUM($AC$14:$AC$14)</f>
        <v>0</v>
      </c>
      <c r="AE14" s="53">
        <f ca="1">$AO$14*$AO$56</f>
        <v>0</v>
      </c>
      <c r="AF14" s="53">
        <f ca="1">$AP$14*$AP$56</f>
        <v>0</v>
      </c>
      <c r="AG14" s="53">
        <f ca="1">SUM($AE$14:$AF$14)</f>
        <v>0</v>
      </c>
      <c r="AH14" s="53">
        <f>'TUSD BE'!$AH$14*'TUSD BF'!$AH$59</f>
        <v>0.82075772752144993</v>
      </c>
      <c r="AI14" s="53">
        <f>'TUSD BE'!$AI$14*'TUSD BF'!$AI$59</f>
        <v>2.8148882523069716E-2</v>
      </c>
      <c r="AJ14" s="53">
        <f ca="1">'TUSD BE'!$AJ$14*'TUSD BF'!$AJ$59</f>
        <v>0.20658381185851823</v>
      </c>
      <c r="AK14" s="53">
        <f ca="1">'TUSD BE'!$AK$14*'TUSD BF'!$AK$59</f>
        <v>0</v>
      </c>
      <c r="AL14" s="53">
        <f ca="1">SUM($AH$14:$AK$14)</f>
        <v>1.0554904219030379</v>
      </c>
      <c r="AM14" s="53">
        <f ca="1">SUMIF($L$4:$AL$4,"SUBTOTAL",$L$14:$AL$14)</f>
        <v>21.457173494527318</v>
      </c>
      <c r="AO14" s="76">
        <f ca="1">+'TUSD BE'!$T$14+'TUSD BE'!$AB$14+'TUSD BE'!$AD$14+'TUSD BE'!$AL$14</f>
        <v>1204.9293475715765</v>
      </c>
      <c r="AP14" s="76">
        <f ca="1">+'TUSD BE'!$T$14+'TUSD BE'!$AB$14+'TUSD BE'!$AD$14+'TUSD BE'!$AL$14</f>
        <v>1204.9293475715765</v>
      </c>
    </row>
    <row r="15" spans="1:42" ht="11.25" customHeight="1" x14ac:dyDescent="0.25">
      <c r="A15" s="131"/>
      <c r="B15" s="131"/>
      <c r="C15" s="131"/>
      <c r="D15" s="131"/>
      <c r="E15" s="131"/>
      <c r="F15" s="131"/>
      <c r="G15" s="74" t="s">
        <v>84</v>
      </c>
      <c r="H15" s="74" t="s">
        <v>82</v>
      </c>
      <c r="I15" s="74">
        <f>'MERCADO TUSD'!$U$12</f>
        <v>0</v>
      </c>
      <c r="J15" s="15"/>
      <c r="L15" s="53">
        <f>'TUSD BE'!$L$15*'TUSD BF'!$L$59</f>
        <v>0</v>
      </c>
      <c r="M15" s="53">
        <f>'TUSD BE'!$M$15*'TUSD BF'!$M$59</f>
        <v>0</v>
      </c>
      <c r="N15" s="53">
        <f ca="1">'TUSD BE'!$N$15*'TUSD BF'!$N$59</f>
        <v>0</v>
      </c>
      <c r="O15" s="53">
        <f>'TUSD BE'!$O$15*'TUSD BF'!$O$59</f>
        <v>0</v>
      </c>
      <c r="P15" s="53">
        <f>'TUSD BE'!$P$15*'TUSD BF'!$P$59</f>
        <v>0</v>
      </c>
      <c r="Q15" s="53">
        <f>'TUSD BE'!$Q$15*'TUSD BF'!$Q$59</f>
        <v>0</v>
      </c>
      <c r="R15" s="53">
        <f>'TUSD BE'!$R$15*'TUSD BF'!$R$59</f>
        <v>0</v>
      </c>
      <c r="S15" s="53">
        <f>'TUSD BE'!$R$15*'TUSD BF'!$S$59</f>
        <v>0</v>
      </c>
      <c r="T15" s="53">
        <f ca="1">SUM($L$15:$S$15)</f>
        <v>0</v>
      </c>
      <c r="U15" s="53">
        <f>'TUSD BE'!$U$15*'TUSD BF'!$U$59</f>
        <v>0</v>
      </c>
      <c r="V15" s="53">
        <f>'TUSD BE'!$V$15*'TUSD BF'!$V$59</f>
        <v>0</v>
      </c>
      <c r="W15" s="53">
        <f>'TUSD BE'!$W$15*'TUSD BF'!$W$59</f>
        <v>0</v>
      </c>
      <c r="X15" s="53">
        <f>'TUSD BE'!$X$15*'TUSD BF'!$X$59</f>
        <v>0</v>
      </c>
      <c r="Y15" s="53">
        <f>'TUSD BE'!$Y$15*'TUSD BF'!$Y$59</f>
        <v>0</v>
      </c>
      <c r="Z15" s="53">
        <f>'TUSD BE'!$Z$15*'TUSD BF'!$Z$59</f>
        <v>0</v>
      </c>
      <c r="AA15" s="53">
        <f>'TUSD BE'!$AA$15*'TUSD BF'!$AA$59</f>
        <v>0</v>
      </c>
      <c r="AB15" s="53">
        <f>SUM($U$15:$AA$15)</f>
        <v>0</v>
      </c>
      <c r="AC15" s="53">
        <f>'TUSD BE'!$AC$15*'TUSD BF'!$AC$59</f>
        <v>0</v>
      </c>
      <c r="AD15" s="53">
        <f>SUM($AC$15:$AC$15)</f>
        <v>0</v>
      </c>
      <c r="AE15" s="53">
        <f ca="1">$AO$15*$AO$56</f>
        <v>0</v>
      </c>
      <c r="AF15" s="53">
        <f ca="1">$AP$15*$AP$56</f>
        <v>0</v>
      </c>
      <c r="AG15" s="53">
        <f ca="1">SUM($AE$15:$AF$15)</f>
        <v>0</v>
      </c>
      <c r="AH15" s="53">
        <f>'TUSD BE'!$AH$15*'TUSD BF'!$AH$59</f>
        <v>0.82075772752144993</v>
      </c>
      <c r="AI15" s="53">
        <f>'TUSD BE'!$AI$15*'TUSD BF'!$AI$59</f>
        <v>2.8148882523069716E-2</v>
      </c>
      <c r="AJ15" s="53">
        <f ca="1">'TUSD BE'!$AJ$15*'TUSD BF'!$AJ$59</f>
        <v>0.20658381185851823</v>
      </c>
      <c r="AK15" s="53">
        <f ca="1">'TUSD BE'!$AK$15*'TUSD BF'!$AK$59</f>
        <v>0</v>
      </c>
      <c r="AL15" s="53">
        <f ca="1">SUM($AH$15:$AK$15)</f>
        <v>1.0554904219030379</v>
      </c>
      <c r="AM15" s="53">
        <f ca="1">SUMIF($L$4:$AL$4,"SUBTOTAL",$L$15:$AL$15)</f>
        <v>1.0554904219030379</v>
      </c>
      <c r="AO15" s="76">
        <f ca="1">+'TUSD BE'!$T$15+'TUSD BE'!$AB$15+'TUSD BE'!$AD$15+'TUSD BE'!$AL$15</f>
        <v>9.9612478921375693</v>
      </c>
      <c r="AP15" s="76">
        <f ca="1">+'TUSD BE'!$T$15+'TUSD BE'!$AB$15+'TUSD BE'!$AD$15+'TUSD BE'!$AL$15</f>
        <v>9.9612478921375693</v>
      </c>
    </row>
    <row r="16" spans="1:42" ht="11.25" customHeight="1" x14ac:dyDescent="0.25">
      <c r="A16" s="131" t="s">
        <v>90</v>
      </c>
      <c r="B16" s="131" t="s">
        <v>59</v>
      </c>
      <c r="C16" s="131" t="s">
        <v>25</v>
      </c>
      <c r="D16" s="131" t="s">
        <v>25</v>
      </c>
      <c r="E16" s="73" t="s">
        <v>91</v>
      </c>
      <c r="F16" s="73" t="s">
        <v>25</v>
      </c>
      <c r="G16" s="74" t="s">
        <v>9</v>
      </c>
      <c r="H16" s="74" t="s">
        <v>80</v>
      </c>
      <c r="I16" s="74">
        <f>'MERCADO TUSD'!$U$13+0.00000001</f>
        <v>1E-8</v>
      </c>
      <c r="J16" s="15"/>
      <c r="L16" s="53">
        <f>'TUSD BE'!$L$16*'TUSD BF'!$L$59</f>
        <v>0</v>
      </c>
      <c r="M16" s="53">
        <f>'TUSD BE'!$M$16*'TUSD BF'!$M$59</f>
        <v>0</v>
      </c>
      <c r="N16" s="53">
        <f ca="1">'TUSD BE'!$N$16*'TUSD BF'!$N$59</f>
        <v>0</v>
      </c>
      <c r="O16" s="53">
        <f>'TUSD BE'!$O$16*'TUSD BF'!$O$59</f>
        <v>0</v>
      </c>
      <c r="P16" s="53">
        <f>'TUSD BE'!$P$16*'TUSD BF'!$P$59</f>
        <v>0</v>
      </c>
      <c r="Q16" s="53">
        <f>'TUSD BE'!$Q$16*'TUSD BF'!$Q$59</f>
        <v>0</v>
      </c>
      <c r="R16" s="53">
        <f>'TUSD BE'!$R$16*'TUSD BF'!$R$59</f>
        <v>0</v>
      </c>
      <c r="S16" s="53">
        <f>'TUSD BE'!$R$16*'TUSD BF'!$S$59</f>
        <v>0</v>
      </c>
      <c r="T16" s="53">
        <f ca="1">SUM($L$16:$S$16)</f>
        <v>0</v>
      </c>
      <c r="U16" s="53">
        <f>'TUSD BE'!$U$16*'TUSD BF'!$U$59</f>
        <v>0</v>
      </c>
      <c r="V16" s="53">
        <f>'TUSD BE'!$V$16*'TUSD BF'!$V$59</f>
        <v>0</v>
      </c>
      <c r="W16" s="53">
        <f>'TUSD BE'!$W$16*'TUSD BF'!$W$59</f>
        <v>0</v>
      </c>
      <c r="X16" s="53">
        <f>'TUSD BE'!$X$16*'TUSD BF'!$X$59</f>
        <v>0</v>
      </c>
      <c r="Y16" s="53">
        <f>'TUSD BE'!$Y$16*'TUSD BF'!$Y$59</f>
        <v>0</v>
      </c>
      <c r="Z16" s="53">
        <f>'TUSD BE'!$Z$16*'TUSD BF'!$Z$59</f>
        <v>0</v>
      </c>
      <c r="AA16" s="53">
        <f>'TUSD BE'!$AA$16*'TUSD BF'!$AA$59</f>
        <v>0</v>
      </c>
      <c r="AB16" s="53">
        <f>SUM($U$16:$AA$16)</f>
        <v>0</v>
      </c>
      <c r="AC16" s="53">
        <f>'TUSD BE'!$AC$16*'TUSD BF'!$AC$59</f>
        <v>0</v>
      </c>
      <c r="AD16" s="53">
        <f>SUM($AC$16:$AC$16)</f>
        <v>0</v>
      </c>
      <c r="AE16" s="53">
        <f ca="1">$AO$16*$AO$56</f>
        <v>0</v>
      </c>
      <c r="AF16" s="53">
        <f ca="1">$AP$16*$AP$56</f>
        <v>0</v>
      </c>
      <c r="AG16" s="53">
        <f ca="1">SUM($AE$16:$AF$16)</f>
        <v>0</v>
      </c>
      <c r="AH16" s="53">
        <f>'TUSD BE'!$AH$16*'TUSD BF'!$AH$59</f>
        <v>0</v>
      </c>
      <c r="AI16" s="53">
        <f>'TUSD BE'!$AI$16*'TUSD BF'!$AI$59</f>
        <v>0</v>
      </c>
      <c r="AJ16" s="53">
        <f ca="1">'TUSD BE'!$AJ$16*'TUSD BF'!$AJ$59</f>
        <v>0</v>
      </c>
      <c r="AK16" s="53">
        <f ca="1">'TUSD BE'!$AK$16*'TUSD BF'!$AK$59</f>
        <v>0</v>
      </c>
      <c r="AL16" s="53">
        <f ca="1">SUM($AH$16:$AK$16)</f>
        <v>0</v>
      </c>
      <c r="AM16" s="53">
        <f ca="1">SUMIF($L$4:$AL$4,"SUBTOTAL",$L$16:$AL$16)</f>
        <v>0</v>
      </c>
      <c r="AO16" s="76">
        <f ca="1">+'TUSD BE'!$T$16+'TUSD BE'!$AB$16+'TUSD BE'!$AD$16+'TUSD BE'!$AL$16</f>
        <v>3.6528666807966066</v>
      </c>
      <c r="AP16" s="76">
        <f ca="1">+'TUSD BE'!$T$16+'TUSD BE'!$AB$16+'TUSD BE'!$AD$16+'TUSD BE'!$AL$16</f>
        <v>3.6528666807966066</v>
      </c>
    </row>
    <row r="17" spans="1:42" ht="11.25" customHeight="1" x14ac:dyDescent="0.25">
      <c r="A17" s="131"/>
      <c r="B17" s="131"/>
      <c r="C17" s="131"/>
      <c r="D17" s="131"/>
      <c r="E17" s="73" t="s">
        <v>92</v>
      </c>
      <c r="F17" s="73" t="s">
        <v>25</v>
      </c>
      <c r="G17" s="74" t="s">
        <v>9</v>
      </c>
      <c r="H17" s="74" t="s">
        <v>80</v>
      </c>
      <c r="I17" s="74">
        <f>'MERCADO TUSD'!$U$14+0.00000001</f>
        <v>1E-8</v>
      </c>
      <c r="J17" s="15"/>
      <c r="L17" s="53">
        <f>'TUSD BE'!$L$17*'TUSD BF'!$L$59</f>
        <v>0</v>
      </c>
      <c r="M17" s="53">
        <f>'TUSD BE'!$M$17*'TUSD BF'!$M$59</f>
        <v>0</v>
      </c>
      <c r="N17" s="53">
        <f ca="1">'TUSD BE'!$N$17*'TUSD BF'!$N$59</f>
        <v>0</v>
      </c>
      <c r="O17" s="53">
        <f>'TUSD BE'!$O$17*'TUSD BF'!$O$59</f>
        <v>0</v>
      </c>
      <c r="P17" s="53">
        <f>'TUSD BE'!$P$17*'TUSD BF'!$P$59</f>
        <v>0</v>
      </c>
      <c r="Q17" s="53">
        <f>'TUSD BE'!$Q$17*'TUSD BF'!$Q$59</f>
        <v>0</v>
      </c>
      <c r="R17" s="53">
        <f>'TUSD BE'!$R$17*'TUSD BF'!$R$59</f>
        <v>0</v>
      </c>
      <c r="S17" s="53">
        <f>'TUSD BE'!$R$17*'TUSD BF'!$S$59</f>
        <v>0</v>
      </c>
      <c r="T17" s="53">
        <f ca="1">SUM($L$17:$S$17)</f>
        <v>0</v>
      </c>
      <c r="U17" s="53">
        <f>'TUSD BE'!$U$17*'TUSD BF'!$U$59</f>
        <v>0</v>
      </c>
      <c r="V17" s="53">
        <f>'TUSD BE'!$V$17*'TUSD BF'!$V$59</f>
        <v>0</v>
      </c>
      <c r="W17" s="53">
        <f>'TUSD BE'!$W$17*'TUSD BF'!$W$59</f>
        <v>0</v>
      </c>
      <c r="X17" s="53">
        <f>'TUSD BE'!$X$17*'TUSD BF'!$X$59</f>
        <v>0</v>
      </c>
      <c r="Y17" s="53">
        <f>'TUSD BE'!$Y$17*'TUSD BF'!$Y$59</f>
        <v>0</v>
      </c>
      <c r="Z17" s="53">
        <f>'TUSD BE'!$Z$17*'TUSD BF'!$Z$59</f>
        <v>0</v>
      </c>
      <c r="AA17" s="53">
        <f>'TUSD BE'!$AA$17*'TUSD BF'!$AA$59</f>
        <v>0</v>
      </c>
      <c r="AB17" s="53">
        <f>SUM($U$17:$AA$17)</f>
        <v>0</v>
      </c>
      <c r="AC17" s="53">
        <f>'TUSD BE'!$AC$17*'TUSD BF'!$AC$59</f>
        <v>0</v>
      </c>
      <c r="AD17" s="53">
        <f>SUM($AC$17:$AC$17)</f>
        <v>0</v>
      </c>
      <c r="AE17" s="53">
        <f ca="1">$AO$17*$AO$56</f>
        <v>0</v>
      </c>
      <c r="AF17" s="53">
        <f ca="1">$AP$17*$AP$56</f>
        <v>0</v>
      </c>
      <c r="AG17" s="53">
        <f ca="1">SUM($AE$17:$AF$17)</f>
        <v>0</v>
      </c>
      <c r="AH17" s="53">
        <f>'TUSD BE'!$AH$17*'TUSD BF'!$AH$59</f>
        <v>0</v>
      </c>
      <c r="AI17" s="53">
        <f>'TUSD BE'!$AI$17*'TUSD BF'!$AI$59</f>
        <v>0</v>
      </c>
      <c r="AJ17" s="53">
        <f ca="1">'TUSD BE'!$AJ$17*'TUSD BF'!$AJ$59</f>
        <v>0</v>
      </c>
      <c r="AK17" s="53">
        <f ca="1">'TUSD BE'!$AK$17*'TUSD BF'!$AK$59</f>
        <v>0</v>
      </c>
      <c r="AL17" s="53">
        <f ca="1">SUM($AH$17:$AK$17)</f>
        <v>0</v>
      </c>
      <c r="AM17" s="53">
        <f ca="1">SUMIF($L$4:$AL$4,"SUBTOTAL",$L$17:$AL$17)</f>
        <v>0</v>
      </c>
      <c r="AO17" s="76">
        <f ca="1">+'TUSD BE'!$T$17+'TUSD BE'!$AB$17+'TUSD BE'!$AD$17+'TUSD BE'!$AL$17</f>
        <v>11.183442863977804</v>
      </c>
      <c r="AP17" s="76">
        <f ca="1">+'TUSD BE'!$T$17+'TUSD BE'!$AB$17+'TUSD BE'!$AD$17+'TUSD BE'!$AL$17</f>
        <v>11.183442863977804</v>
      </c>
    </row>
    <row r="18" spans="1:42" ht="11.25" customHeight="1" x14ac:dyDescent="0.25">
      <c r="A18" s="131" t="s">
        <v>22</v>
      </c>
      <c r="B18" s="131" t="s">
        <v>32</v>
      </c>
      <c r="C18" s="131" t="s">
        <v>24</v>
      </c>
      <c r="D18" s="131" t="s">
        <v>24</v>
      </c>
      <c r="E18" s="131" t="s">
        <v>25</v>
      </c>
      <c r="F18" s="131" t="s">
        <v>25</v>
      </c>
      <c r="G18" s="74" t="s">
        <v>83</v>
      </c>
      <c r="H18" s="74" t="s">
        <v>82</v>
      </c>
      <c r="I18" s="74">
        <f>'MERCADO TUSD'!$U$15</f>
        <v>1.103</v>
      </c>
      <c r="J18" s="15"/>
      <c r="L18" s="53">
        <f>'TUSD BE'!$L$18*'TUSD BF'!$L$59</f>
        <v>0.40649744868455456</v>
      </c>
      <c r="M18" s="53">
        <f>'TUSD BE'!$M$18*'TUSD BF'!$M$59</f>
        <v>0</v>
      </c>
      <c r="N18" s="53">
        <f ca="1">'TUSD BE'!$N$18*'TUSD BF'!$N$59</f>
        <v>0</v>
      </c>
      <c r="O18" s="53">
        <f>'TUSD BE'!$O$18*'TUSD BF'!$O$59</f>
        <v>0</v>
      </c>
      <c r="P18" s="53">
        <f>'TUSD BE'!$P$18*'TUSD BF'!$P$59</f>
        <v>0</v>
      </c>
      <c r="Q18" s="53">
        <f>'TUSD BE'!$Q$18*'TUSD BF'!$Q$59</f>
        <v>15.068526904165468</v>
      </c>
      <c r="R18" s="53">
        <f>'TUSD BE'!$R$18*'TUSD BF'!$R$59</f>
        <v>3.2447097728911412</v>
      </c>
      <c r="S18" s="53">
        <f>'TUSD BE'!$R$18*'TUSD BF'!$S$59</f>
        <v>0</v>
      </c>
      <c r="T18" s="53">
        <f ca="1">SUM($L$18:$S$18)</f>
        <v>18.719734125741162</v>
      </c>
      <c r="U18" s="53">
        <f>'TUSD BE'!$U$18*'TUSD BF'!$U$59</f>
        <v>9.3556327096768204</v>
      </c>
      <c r="V18" s="53">
        <f>'TUSD BE'!$V$18*'TUSD BF'!$V$59</f>
        <v>2.8354464829557195</v>
      </c>
      <c r="W18" s="53">
        <f>'TUSD BE'!$W$18*'TUSD BF'!$W$59</f>
        <v>0</v>
      </c>
      <c r="X18" s="53">
        <f>'TUSD BE'!$X$18*'TUSD BF'!$X$59</f>
        <v>0</v>
      </c>
      <c r="Y18" s="53">
        <f>'TUSD BE'!$Y$18*'TUSD BF'!$Y$59</f>
        <v>0</v>
      </c>
      <c r="Z18" s="53">
        <f>'TUSD BE'!$Z$18*'TUSD BF'!$Z$59</f>
        <v>0</v>
      </c>
      <c r="AA18" s="53">
        <f>'TUSD BE'!$AA$18*'TUSD BF'!$AA$59</f>
        <v>0</v>
      </c>
      <c r="AB18" s="53">
        <f>SUM($U$18:$AA$18)</f>
        <v>12.191079192632539</v>
      </c>
      <c r="AC18" s="53">
        <f>'TUSD BE'!$AC$18*'TUSD BF'!$AC$59</f>
        <v>0</v>
      </c>
      <c r="AD18" s="53">
        <f>SUM($AC$18:$AC$18)</f>
        <v>0</v>
      </c>
      <c r="AE18" s="53">
        <f ca="1">$AO$18*$AO$56</f>
        <v>0</v>
      </c>
      <c r="AF18" s="53">
        <f ca="1">$AP$18*$AP$56</f>
        <v>0</v>
      </c>
      <c r="AG18" s="53">
        <f ca="1">SUM($AE$18:$AF$18)</f>
        <v>0</v>
      </c>
      <c r="AH18" s="53">
        <f>'TUSD BE'!$AH$18*'TUSD BF'!$AH$59</f>
        <v>1.8683920086812866</v>
      </c>
      <c r="AI18" s="53">
        <f>'TUSD BE'!$AI$18*'TUSD BF'!$AI$59</f>
        <v>6.4078771842007803E-2</v>
      </c>
      <c r="AJ18" s="53">
        <f ca="1">'TUSD BE'!$AJ$18*'TUSD BF'!$AJ$59</f>
        <v>0.27508186344607338</v>
      </c>
      <c r="AK18" s="53">
        <f ca="1">'TUSD BE'!$AK$18*'TUSD BF'!$AK$59</f>
        <v>0</v>
      </c>
      <c r="AL18" s="53">
        <f ca="1">SUM($AH$18:$AK$18)</f>
        <v>2.2075526439693678</v>
      </c>
      <c r="AM18" s="53">
        <f ca="1">SUMIF($L$4:$AL$4,"SUBTOTAL",$L$18:$AL$18)</f>
        <v>33.11836596234307</v>
      </c>
      <c r="AO18" s="76">
        <f ca="1">+'TUSD BE'!$T$18+'TUSD BE'!$AB$18+'TUSD BE'!$AD$18+'TUSD BE'!$AL$18</f>
        <v>1038.8718351757777</v>
      </c>
      <c r="AP18" s="76">
        <f ca="1">+'TUSD BE'!$T$18+'TUSD BE'!$AB$18+'TUSD BE'!$AD$18+'TUSD BE'!$AL$18</f>
        <v>1038.8718351757777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74" t="s">
        <v>93</v>
      </c>
      <c r="H19" s="74" t="s">
        <v>82</v>
      </c>
      <c r="I19" s="74">
        <f>'MERCADO TUSD'!$U$16</f>
        <v>0.64800000000000013</v>
      </c>
      <c r="J19" s="15"/>
      <c r="L19" s="53">
        <f>'TUSD BE'!$L$19*'TUSD BF'!$L$59</f>
        <v>0.40649744868455456</v>
      </c>
      <c r="M19" s="53">
        <f>'TUSD BE'!$M$19*'TUSD BF'!$M$59</f>
        <v>0</v>
      </c>
      <c r="N19" s="53">
        <f ca="1">'TUSD BE'!$N$19*'TUSD BF'!$N$59</f>
        <v>0</v>
      </c>
      <c r="O19" s="53">
        <f>'TUSD BE'!$O$19*'TUSD BF'!$O$59</f>
        <v>0</v>
      </c>
      <c r="P19" s="53">
        <f>'TUSD BE'!$P$19*'TUSD BF'!$P$59</f>
        <v>0</v>
      </c>
      <c r="Q19" s="53">
        <f>'TUSD BE'!$Q$19*'TUSD BF'!$Q$59</f>
        <v>15.068526904165468</v>
      </c>
      <c r="R19" s="53">
        <f>'TUSD BE'!$R$19*'TUSD BF'!$R$59</f>
        <v>3.2447097728911412</v>
      </c>
      <c r="S19" s="53">
        <f>'TUSD BE'!$R$19*'TUSD BF'!$S$59</f>
        <v>0</v>
      </c>
      <c r="T19" s="53">
        <f ca="1">SUM($L$19:$S$19)</f>
        <v>18.719734125741162</v>
      </c>
      <c r="U19" s="53">
        <f>'TUSD BE'!$U$19*'TUSD BF'!$U$59</f>
        <v>4.6778127778124468</v>
      </c>
      <c r="V19" s="53">
        <f>'TUSD BE'!$V$19*'TUSD BF'!$V$59</f>
        <v>1.4177268199514401</v>
      </c>
      <c r="W19" s="53">
        <f>'TUSD BE'!$W$19*'TUSD BF'!$W$59</f>
        <v>0</v>
      </c>
      <c r="X19" s="53">
        <f>'TUSD BE'!$X$19*'TUSD BF'!$X$59</f>
        <v>0</v>
      </c>
      <c r="Y19" s="53">
        <f>'TUSD BE'!$Y$19*'TUSD BF'!$Y$59</f>
        <v>0</v>
      </c>
      <c r="Z19" s="53">
        <f>'TUSD BE'!$Z$19*'TUSD BF'!$Z$59</f>
        <v>0</v>
      </c>
      <c r="AA19" s="53">
        <f>'TUSD BE'!$AA$19*'TUSD BF'!$AA$59</f>
        <v>0</v>
      </c>
      <c r="AB19" s="53">
        <f>SUM($U$19:$AA$19)</f>
        <v>6.0955395977638869</v>
      </c>
      <c r="AC19" s="53">
        <f>'TUSD BE'!$AC$19*'TUSD BF'!$AC$59</f>
        <v>0</v>
      </c>
      <c r="AD19" s="53">
        <f>SUM($AC$19:$AC$19)</f>
        <v>0</v>
      </c>
      <c r="AE19" s="53">
        <f ca="1">$AO$19*$AO$56</f>
        <v>0</v>
      </c>
      <c r="AF19" s="53">
        <f ca="1">$AP$19*$AP$56</f>
        <v>0</v>
      </c>
      <c r="AG19" s="53">
        <f ca="1">SUM($AE$19:$AF$19)</f>
        <v>0</v>
      </c>
      <c r="AH19" s="53">
        <f>'TUSD BE'!$AH$19*'TUSD BF'!$AH$59</f>
        <v>1.8683920086812866</v>
      </c>
      <c r="AI19" s="53">
        <f>'TUSD BE'!$AI$19*'TUSD BF'!$AI$59</f>
        <v>6.4078771842007803E-2</v>
      </c>
      <c r="AJ19" s="53">
        <f ca="1">'TUSD BE'!$AJ$19*'TUSD BF'!$AJ$59</f>
        <v>0.27508186344607338</v>
      </c>
      <c r="AK19" s="53">
        <f ca="1">'TUSD BE'!$AK$19*'TUSD BF'!$AK$59</f>
        <v>0</v>
      </c>
      <c r="AL19" s="53">
        <f ca="1">SUM($AH$19:$AK$19)</f>
        <v>2.2075526439693678</v>
      </c>
      <c r="AM19" s="53">
        <f ca="1">SUMIF($L$4:$AL$4,"SUBTOTAL",$L$19:$AL$19)</f>
        <v>27.022826367474419</v>
      </c>
      <c r="AO19" s="76">
        <f ca="1">+'TUSD BE'!$T$19+'TUSD BE'!$AB$19+'TUSD BE'!$AD$19+'TUSD BE'!$AL$19</f>
        <v>583.80859364361561</v>
      </c>
      <c r="AP19" s="76">
        <f ca="1">+'TUSD BE'!$T$19+'TUSD BE'!$AB$19+'TUSD BE'!$AD$19+'TUSD BE'!$AL$19</f>
        <v>583.80859364361561</v>
      </c>
    </row>
    <row r="20" spans="1:42" ht="11.25" customHeight="1" x14ac:dyDescent="0.25">
      <c r="A20" s="131"/>
      <c r="B20" s="131"/>
      <c r="C20" s="131"/>
      <c r="D20" s="131"/>
      <c r="E20" s="131"/>
      <c r="F20" s="131"/>
      <c r="G20" s="74" t="s">
        <v>84</v>
      </c>
      <c r="H20" s="74" t="s">
        <v>82</v>
      </c>
      <c r="I20" s="74">
        <f>'MERCADO TUSD'!$U$17</f>
        <v>11.868000000000002</v>
      </c>
      <c r="J20" s="15"/>
      <c r="L20" s="53">
        <f>'TUSD BE'!$L$20*'TUSD BF'!$L$59</f>
        <v>0.40649744868455456</v>
      </c>
      <c r="M20" s="53">
        <f>'TUSD BE'!$M$20*'TUSD BF'!$M$59</f>
        <v>0</v>
      </c>
      <c r="N20" s="53">
        <f ca="1">'TUSD BE'!$N$20*'TUSD BF'!$N$59</f>
        <v>0</v>
      </c>
      <c r="O20" s="53">
        <f>'TUSD BE'!$O$20*'TUSD BF'!$O$59</f>
        <v>0</v>
      </c>
      <c r="P20" s="53">
        <f>'TUSD BE'!$P$20*'TUSD BF'!$P$59</f>
        <v>0</v>
      </c>
      <c r="Q20" s="53">
        <f>'TUSD BE'!$Q$20*'TUSD BF'!$Q$59</f>
        <v>15.068526904165468</v>
      </c>
      <c r="R20" s="53">
        <f>'TUSD BE'!$R$20*'TUSD BF'!$R$59</f>
        <v>3.2447097728911412</v>
      </c>
      <c r="S20" s="53">
        <f>'TUSD BE'!$R$20*'TUSD BF'!$S$59</f>
        <v>0</v>
      </c>
      <c r="T20" s="53">
        <f ca="1">SUM($L$20:$S$20)</f>
        <v>18.719734125741162</v>
      </c>
      <c r="U20" s="53">
        <f>'TUSD BE'!$U$20*'TUSD BF'!$U$59</f>
        <v>0.93556398637287441</v>
      </c>
      <c r="V20" s="53">
        <f>'TUSD BE'!$V$20*'TUSD BF'!$V$59</f>
        <v>0.28354393260085592</v>
      </c>
      <c r="W20" s="53">
        <f>'TUSD BE'!$W$20*'TUSD BF'!$W$59</f>
        <v>0</v>
      </c>
      <c r="X20" s="53">
        <f>'TUSD BE'!$X$20*'TUSD BF'!$X$59</f>
        <v>0</v>
      </c>
      <c r="Y20" s="53">
        <f>'TUSD BE'!$Y$20*'TUSD BF'!$Y$59</f>
        <v>0</v>
      </c>
      <c r="Z20" s="53">
        <f>'TUSD BE'!$Z$20*'TUSD BF'!$Z$59</f>
        <v>0</v>
      </c>
      <c r="AA20" s="53">
        <f>'TUSD BE'!$AA$20*'TUSD BF'!$AA$59</f>
        <v>0</v>
      </c>
      <c r="AB20" s="53">
        <f>SUM($U$20:$AA$20)</f>
        <v>1.2191079189737304</v>
      </c>
      <c r="AC20" s="53">
        <f>'TUSD BE'!$AC$20*'TUSD BF'!$AC$59</f>
        <v>0</v>
      </c>
      <c r="AD20" s="53">
        <f>SUM($AC$20:$AC$20)</f>
        <v>0</v>
      </c>
      <c r="AE20" s="53">
        <f ca="1">$AO$20*$AO$56</f>
        <v>0</v>
      </c>
      <c r="AF20" s="53">
        <f ca="1">$AP$20*$AP$56</f>
        <v>0</v>
      </c>
      <c r="AG20" s="53">
        <f ca="1">SUM($AE$20:$AF$20)</f>
        <v>0</v>
      </c>
      <c r="AH20" s="53">
        <f>'TUSD BE'!$AH$20*'TUSD BF'!$AH$59</f>
        <v>1.8683920086812866</v>
      </c>
      <c r="AI20" s="53">
        <f>'TUSD BE'!$AI$20*'TUSD BF'!$AI$59</f>
        <v>6.4078771842007803E-2</v>
      </c>
      <c r="AJ20" s="53">
        <f ca="1">'TUSD BE'!$AJ$20*'TUSD BF'!$AJ$59</f>
        <v>0.27508186344607338</v>
      </c>
      <c r="AK20" s="53">
        <f ca="1">'TUSD BE'!$AK$20*'TUSD BF'!$AK$59</f>
        <v>0</v>
      </c>
      <c r="AL20" s="53">
        <f ca="1">SUM($AH$20:$AK$20)</f>
        <v>2.2075526439693678</v>
      </c>
      <c r="AM20" s="53">
        <f ca="1">SUMIF($L$4:$AL$4,"SUBTOTAL",$L$20:$AL$20)</f>
        <v>22.146394688684261</v>
      </c>
      <c r="AO20" s="76">
        <f ca="1">+'TUSD BE'!$T$20+'TUSD BE'!$AB$20+'TUSD BE'!$AD$20+'TUSD BE'!$AL$20</f>
        <v>219.75790516063748</v>
      </c>
      <c r="AP20" s="76">
        <f ca="1">+'TUSD BE'!$T$20+'TUSD BE'!$AB$20+'TUSD BE'!$AD$20+'TUSD BE'!$AL$20</f>
        <v>219.75790516063748</v>
      </c>
    </row>
    <row r="21" spans="1:42" ht="11.25" customHeight="1" x14ac:dyDescent="0.25">
      <c r="A21" s="131"/>
      <c r="B21" s="131" t="s">
        <v>23</v>
      </c>
      <c r="C21" s="131" t="s">
        <v>24</v>
      </c>
      <c r="D21" s="73" t="s">
        <v>24</v>
      </c>
      <c r="E21" s="73" t="s">
        <v>25</v>
      </c>
      <c r="F21" s="73" t="s">
        <v>25</v>
      </c>
      <c r="G21" s="74" t="s">
        <v>86</v>
      </c>
      <c r="H21" s="74" t="s">
        <v>82</v>
      </c>
      <c r="I21" s="74">
        <f>'MERCADO TUSD'!$U$18</f>
        <v>63212.388999999996</v>
      </c>
      <c r="J21" s="15"/>
      <c r="L21" s="53">
        <f>'TUSD BE'!$L$21*'TUSD BF'!$L$59</f>
        <v>0.40649744868455456</v>
      </c>
      <c r="M21" s="53">
        <f>'TUSD BE'!$M$21*'TUSD BF'!$M$59</f>
        <v>0</v>
      </c>
      <c r="N21" s="53">
        <f ca="1">'TUSD BE'!$N$21*'TUSD BF'!$N$59</f>
        <v>0</v>
      </c>
      <c r="O21" s="53">
        <f>'TUSD BE'!$O$21*'TUSD BF'!$O$59</f>
        <v>0</v>
      </c>
      <c r="P21" s="53">
        <f>'TUSD BE'!$P$21*'TUSD BF'!$P$59</f>
        <v>0</v>
      </c>
      <c r="Q21" s="53">
        <f>'TUSD BE'!$Q$21*'TUSD BF'!$Q$59</f>
        <v>15.068526904165468</v>
      </c>
      <c r="R21" s="53">
        <f>'TUSD BE'!$R$21*'TUSD BF'!$R$59</f>
        <v>3.2447097728911412</v>
      </c>
      <c r="S21" s="53">
        <f>'TUSD BE'!$R$21*'TUSD BF'!$S$59</f>
        <v>0</v>
      </c>
      <c r="T21" s="53">
        <f ca="1">SUM($L$21:$S$21)</f>
        <v>18.719734125741162</v>
      </c>
      <c r="U21" s="53">
        <f>'TUSD BE'!$U$21*'TUSD BF'!$U$59</f>
        <v>2.5987880561411036</v>
      </c>
      <c r="V21" s="53">
        <f>'TUSD BE'!$V$21*'TUSD BF'!$V$59</f>
        <v>0.78762203500237771</v>
      </c>
      <c r="W21" s="53">
        <f>'TUSD BE'!$W$21*'TUSD BF'!$W$59</f>
        <v>0</v>
      </c>
      <c r="X21" s="53">
        <f>'TUSD BE'!$X$21*'TUSD BF'!$X$59</f>
        <v>0</v>
      </c>
      <c r="Y21" s="53">
        <f>'TUSD BE'!$Y$21*'TUSD BF'!$Y$59</f>
        <v>0</v>
      </c>
      <c r="Z21" s="53">
        <f>'TUSD BE'!$Z$21*'TUSD BF'!$Z$59</f>
        <v>0</v>
      </c>
      <c r="AA21" s="53">
        <f>'TUSD BE'!$AA$21*'TUSD BF'!$AA$59</f>
        <v>0</v>
      </c>
      <c r="AB21" s="53">
        <f>SUM($U$21:$AA$21)</f>
        <v>3.3864100911434813</v>
      </c>
      <c r="AC21" s="53">
        <f>'TUSD BE'!$AC$21*'TUSD BF'!$AC$59</f>
        <v>0</v>
      </c>
      <c r="AD21" s="53">
        <f>SUM($AC$21:$AC$21)</f>
        <v>0</v>
      </c>
      <c r="AE21" s="53">
        <f ca="1">$AO$21*$AO$56</f>
        <v>0</v>
      </c>
      <c r="AF21" s="53">
        <f ca="1">$AP$21*$AP$56</f>
        <v>0</v>
      </c>
      <c r="AG21" s="53">
        <f ca="1">SUM($AE$21:$AF$21)</f>
        <v>0</v>
      </c>
      <c r="AH21" s="53">
        <f>'TUSD BE'!$AH$21*'TUSD BF'!$AH$59</f>
        <v>1.8683920086812866</v>
      </c>
      <c r="AI21" s="53">
        <f>'TUSD BE'!$AI$21*'TUSD BF'!$AI$59</f>
        <v>6.4078771842007803E-2</v>
      </c>
      <c r="AJ21" s="53">
        <f ca="1">'TUSD BE'!$AJ$21*'TUSD BF'!$AJ$59</f>
        <v>0.27508186344607338</v>
      </c>
      <c r="AK21" s="53">
        <f ca="1">'TUSD BE'!$AK$21*'TUSD BF'!$AK$59</f>
        <v>0</v>
      </c>
      <c r="AL21" s="53">
        <f ca="1">SUM($AH$21:$AK$21)</f>
        <v>2.2075526439693678</v>
      </c>
      <c r="AM21" s="53">
        <f ca="1">SUMIF($L$4:$AL$4,"SUBTOTAL",$L$21:$AL$21)</f>
        <v>24.313696860854012</v>
      </c>
      <c r="AO21" s="76">
        <f ca="1">+'TUSD BE'!$T$21+'TUSD BE'!$AB$21+'TUSD BE'!$AD$21+'TUSD BE'!$AL$21</f>
        <v>381.55822195694333</v>
      </c>
      <c r="AP21" s="76">
        <f ca="1">+'TUSD BE'!$T$21+'TUSD BE'!$AB$21+'TUSD BE'!$AD$21+'TUSD BE'!$AL$21</f>
        <v>381.55822195694333</v>
      </c>
    </row>
    <row r="22" spans="1:42" ht="11.25" customHeight="1" x14ac:dyDescent="0.25">
      <c r="A22" s="131"/>
      <c r="B22" s="131"/>
      <c r="C22" s="131"/>
      <c r="D22" s="73" t="s">
        <v>28</v>
      </c>
      <c r="E22" s="73" t="s">
        <v>25</v>
      </c>
      <c r="F22" s="73" t="s">
        <v>25</v>
      </c>
      <c r="G22" s="74" t="s">
        <v>86</v>
      </c>
      <c r="H22" s="74" t="s">
        <v>82</v>
      </c>
      <c r="I22" s="74">
        <f>'MERCADO TUSD'!$U$19</f>
        <v>258.12700000000001</v>
      </c>
      <c r="J22" s="15"/>
      <c r="L22" s="53">
        <f>'TUSD BE'!$L$22*'TUSD BF'!$L$59</f>
        <v>0</v>
      </c>
      <c r="M22" s="53">
        <f>'TUSD BE'!$M$22*'TUSD BF'!$M$59</f>
        <v>0</v>
      </c>
      <c r="N22" s="53">
        <f ca="1">'TUSD BE'!$N$22*'TUSD BF'!$N$59</f>
        <v>0</v>
      </c>
      <c r="O22" s="53">
        <f>'TUSD BE'!$O$22*'TUSD BF'!$O$59</f>
        <v>0</v>
      </c>
      <c r="P22" s="53">
        <f>'TUSD BE'!$P$22*'TUSD BF'!$P$59</f>
        <v>0</v>
      </c>
      <c r="Q22" s="53">
        <f>'TUSD BE'!$Q$22*'TUSD BF'!$Q$59</f>
        <v>0</v>
      </c>
      <c r="R22" s="53">
        <f>'TUSD BE'!$R$22*'TUSD BF'!$R$59</f>
        <v>0</v>
      </c>
      <c r="S22" s="53">
        <f>'TUSD BE'!$R$22*'TUSD BF'!$S$59</f>
        <v>0</v>
      </c>
      <c r="T22" s="53">
        <f ca="1">SUM($L$22:$S$22)</f>
        <v>0</v>
      </c>
      <c r="U22" s="53">
        <f>'TUSD BE'!$U$22*'TUSD BF'!$U$59</f>
        <v>2.5987880561411036</v>
      </c>
      <c r="V22" s="53">
        <f>'TUSD BE'!$V$22*'TUSD BF'!$V$59</f>
        <v>0.78762203500237771</v>
      </c>
      <c r="W22" s="53">
        <f>'TUSD BE'!$W$22*'TUSD BF'!$W$59</f>
        <v>0</v>
      </c>
      <c r="X22" s="53">
        <f>'TUSD BE'!$X$22*'TUSD BF'!$X$59</f>
        <v>0</v>
      </c>
      <c r="Y22" s="53">
        <f>'TUSD BE'!$Y$22*'TUSD BF'!$Y$59</f>
        <v>0</v>
      </c>
      <c r="Z22" s="53">
        <f>'TUSD BE'!$Z$22*'TUSD BF'!$Z$59</f>
        <v>0</v>
      </c>
      <c r="AA22" s="53">
        <f>'TUSD BE'!$AA$22*'TUSD BF'!$AA$59</f>
        <v>0</v>
      </c>
      <c r="AB22" s="53">
        <f>SUM($U$22:$AA$22)</f>
        <v>3.3864100911434813</v>
      </c>
      <c r="AC22" s="53">
        <f>'TUSD BE'!$AC$22*'TUSD BF'!$AC$59</f>
        <v>0</v>
      </c>
      <c r="AD22" s="53">
        <f>SUM($AC$22:$AC$22)</f>
        <v>0</v>
      </c>
      <c r="AE22" s="53">
        <f ca="1">$AO$22*$AO$56</f>
        <v>0</v>
      </c>
      <c r="AF22" s="53">
        <f ca="1">$AP$22*$AP$56</f>
        <v>0</v>
      </c>
      <c r="AG22" s="53">
        <f ca="1">SUM($AE$22:$AF$22)</f>
        <v>0</v>
      </c>
      <c r="AH22" s="53">
        <f>'TUSD BE'!$AH$22*'TUSD BF'!$AH$59</f>
        <v>1.8683920086812866</v>
      </c>
      <c r="AI22" s="53">
        <f>'TUSD BE'!$AI$22*'TUSD BF'!$AI$59</f>
        <v>6.4078771842007803E-2</v>
      </c>
      <c r="AJ22" s="53">
        <f ca="1">'TUSD BE'!$AJ$22*'TUSD BF'!$AJ$59</f>
        <v>0.27508186344607338</v>
      </c>
      <c r="AK22" s="53">
        <f ca="1">'TUSD BE'!$AK$22*'TUSD BF'!$AK$59</f>
        <v>0</v>
      </c>
      <c r="AL22" s="53">
        <f ca="1">SUM($AH$22:$AK$22)</f>
        <v>2.2075526439693678</v>
      </c>
      <c r="AM22" s="53">
        <f ca="1">SUMIF($L$4:$AL$4,"SUBTOTAL",$L$22:$AL$22)</f>
        <v>5.5939627351128491</v>
      </c>
      <c r="AO22" s="76">
        <f ca="1">+'TUSD BE'!$T$22+'TUSD BE'!$AB$22+'TUSD BE'!$AD$22+'TUSD BE'!$AL$22</f>
        <v>273.37246919492463</v>
      </c>
      <c r="AP22" s="76">
        <f ca="1">+'TUSD BE'!$T$22+'TUSD BE'!$AB$22+'TUSD BE'!$AD$22+'TUSD BE'!$AL$22</f>
        <v>273.37246919492463</v>
      </c>
    </row>
    <row r="23" spans="1:42" ht="11.25" customHeight="1" x14ac:dyDescent="0.25">
      <c r="A23" s="131"/>
      <c r="B23" s="131"/>
      <c r="C23" s="131"/>
      <c r="D23" s="73" t="s">
        <v>29</v>
      </c>
      <c r="E23" s="73" t="s">
        <v>25</v>
      </c>
      <c r="F23" s="73" t="s">
        <v>25</v>
      </c>
      <c r="G23" s="74" t="s">
        <v>86</v>
      </c>
      <c r="H23" s="74" t="s">
        <v>82</v>
      </c>
      <c r="I23" s="74">
        <f>'MERCADO TUSD'!$U$20</f>
        <v>546.58100000000002</v>
      </c>
      <c r="J23" s="15"/>
      <c r="L23" s="53">
        <f>'TUSD BE'!$L$23*'TUSD BF'!$L$59</f>
        <v>0</v>
      </c>
      <c r="M23" s="53">
        <f>'TUSD BE'!$M$23*'TUSD BF'!$M$59</f>
        <v>0</v>
      </c>
      <c r="N23" s="53">
        <f ca="1">'TUSD BE'!$N$23*'TUSD BF'!$N$59</f>
        <v>0</v>
      </c>
      <c r="O23" s="53">
        <f>'TUSD BE'!$O$23*'TUSD BF'!$O$59</f>
        <v>0</v>
      </c>
      <c r="P23" s="53">
        <f>'TUSD BE'!$P$23*'TUSD BF'!$P$59</f>
        <v>0</v>
      </c>
      <c r="Q23" s="53">
        <f>'TUSD BE'!$Q$23*'TUSD BF'!$Q$59</f>
        <v>0</v>
      </c>
      <c r="R23" s="53">
        <f>'TUSD BE'!$R$23*'TUSD BF'!$R$59</f>
        <v>0</v>
      </c>
      <c r="S23" s="53">
        <f>'TUSD BE'!$R$23*'TUSD BF'!$S$59</f>
        <v>0</v>
      </c>
      <c r="T23" s="53">
        <f ca="1">SUM($L$23:$S$23)</f>
        <v>0</v>
      </c>
      <c r="U23" s="53">
        <f>'TUSD BE'!$U$23*'TUSD BF'!$U$59</f>
        <v>2.5987880561411036</v>
      </c>
      <c r="V23" s="53">
        <f>'TUSD BE'!$V$23*'TUSD BF'!$V$59</f>
        <v>0.78762203500237771</v>
      </c>
      <c r="W23" s="53">
        <f>'TUSD BE'!$W$23*'TUSD BF'!$W$59</f>
        <v>0</v>
      </c>
      <c r="X23" s="53">
        <f>'TUSD BE'!$X$23*'TUSD BF'!$X$59</f>
        <v>0</v>
      </c>
      <c r="Y23" s="53">
        <f>'TUSD BE'!$Y$23*'TUSD BF'!$Y$59</f>
        <v>0</v>
      </c>
      <c r="Z23" s="53">
        <f>'TUSD BE'!$Z$23*'TUSD BF'!$Z$59</f>
        <v>0</v>
      </c>
      <c r="AA23" s="53">
        <f>'TUSD BE'!$AA$23*'TUSD BF'!$AA$59</f>
        <v>0</v>
      </c>
      <c r="AB23" s="53">
        <f>SUM($U$23:$AA$23)</f>
        <v>3.3864100911434813</v>
      </c>
      <c r="AC23" s="53">
        <f>'TUSD BE'!$AC$23*'TUSD BF'!$AC$59</f>
        <v>0</v>
      </c>
      <c r="AD23" s="53">
        <f>SUM($AC$23:$AC$23)</f>
        <v>0</v>
      </c>
      <c r="AE23" s="53">
        <f ca="1">$AO$23*$AO$56</f>
        <v>0</v>
      </c>
      <c r="AF23" s="53">
        <f ca="1">$AP$23*$AP$56</f>
        <v>0</v>
      </c>
      <c r="AG23" s="53">
        <f ca="1">SUM($AE$23:$AF$23)</f>
        <v>0</v>
      </c>
      <c r="AH23" s="53">
        <f>'TUSD BE'!$AH$23*'TUSD BF'!$AH$59</f>
        <v>1.8683920086812866</v>
      </c>
      <c r="AI23" s="53">
        <f>'TUSD BE'!$AI$23*'TUSD BF'!$AI$59</f>
        <v>6.4078771842007803E-2</v>
      </c>
      <c r="AJ23" s="53">
        <f ca="1">'TUSD BE'!$AJ$23*'TUSD BF'!$AJ$59</f>
        <v>0.27508186344607338</v>
      </c>
      <c r="AK23" s="53">
        <f ca="1">'TUSD BE'!$AK$23*'TUSD BF'!$AK$59</f>
        <v>0</v>
      </c>
      <c r="AL23" s="53">
        <f ca="1">SUM($AH$23:$AK$23)</f>
        <v>2.2075526439693678</v>
      </c>
      <c r="AM23" s="53">
        <f ca="1">SUMIF($L$4:$AL$4,"SUBTOTAL",$L$23:$AL$23)</f>
        <v>5.5939627351128491</v>
      </c>
      <c r="AO23" s="76">
        <f ca="1">+'TUSD BE'!$T$23+'TUSD BE'!$AB$23+'TUSD BE'!$AD$23+'TUSD BE'!$AL$23</f>
        <v>273.37246919492463</v>
      </c>
      <c r="AP23" s="76">
        <f ca="1">+'TUSD BE'!$T$23+'TUSD BE'!$AB$23+'TUSD BE'!$AD$23+'TUSD BE'!$AL$23</f>
        <v>273.37246919492463</v>
      </c>
    </row>
    <row r="24" spans="1:42" ht="11.25" customHeight="1" x14ac:dyDescent="0.25">
      <c r="A24" s="131"/>
      <c r="B24" s="131"/>
      <c r="C24" s="131"/>
      <c r="D24" s="73" t="s">
        <v>30</v>
      </c>
      <c r="E24" s="73" t="s">
        <v>25</v>
      </c>
      <c r="F24" s="73" t="s">
        <v>25</v>
      </c>
      <c r="G24" s="74" t="s">
        <v>86</v>
      </c>
      <c r="H24" s="74" t="s">
        <v>82</v>
      </c>
      <c r="I24" s="74">
        <f>'MERCADO TUSD'!$U$21</f>
        <v>537.75300000000004</v>
      </c>
      <c r="J24" s="15"/>
      <c r="L24" s="53">
        <f>'TUSD BE'!$L$24*'TUSD BF'!$L$59</f>
        <v>0</v>
      </c>
      <c r="M24" s="53">
        <f>'TUSD BE'!$M$24*'TUSD BF'!$M$59</f>
        <v>0</v>
      </c>
      <c r="N24" s="53">
        <f ca="1">'TUSD BE'!$N$24*'TUSD BF'!$N$59</f>
        <v>0</v>
      </c>
      <c r="O24" s="53">
        <f>'TUSD BE'!$O$24*'TUSD BF'!$O$59</f>
        <v>0</v>
      </c>
      <c r="P24" s="53">
        <f>'TUSD BE'!$P$24*'TUSD BF'!$P$59</f>
        <v>0</v>
      </c>
      <c r="Q24" s="53">
        <f>'TUSD BE'!$Q$24*'TUSD BF'!$Q$59</f>
        <v>0</v>
      </c>
      <c r="R24" s="53">
        <f>'TUSD BE'!$R$24*'TUSD BF'!$R$59</f>
        <v>0</v>
      </c>
      <c r="S24" s="53">
        <f>'TUSD BE'!$R$24*'TUSD BF'!$S$59</f>
        <v>0</v>
      </c>
      <c r="T24" s="53">
        <f ca="1">SUM($L$24:$S$24)</f>
        <v>0</v>
      </c>
      <c r="U24" s="53">
        <f>'TUSD BE'!$U$24*'TUSD BF'!$U$59</f>
        <v>2.5987880561411036</v>
      </c>
      <c r="V24" s="53">
        <f>'TUSD BE'!$V$24*'TUSD BF'!$V$59</f>
        <v>0.78762203500237771</v>
      </c>
      <c r="W24" s="53">
        <f>'TUSD BE'!$W$24*'TUSD BF'!$W$59</f>
        <v>0</v>
      </c>
      <c r="X24" s="53">
        <f>'TUSD BE'!$X$24*'TUSD BF'!$X$59</f>
        <v>0</v>
      </c>
      <c r="Y24" s="53">
        <f>'TUSD BE'!$Y$24*'TUSD BF'!$Y$59</f>
        <v>0</v>
      </c>
      <c r="Z24" s="53">
        <f>'TUSD BE'!$Z$24*'TUSD BF'!$Z$59</f>
        <v>0</v>
      </c>
      <c r="AA24" s="53">
        <f>'TUSD BE'!$AA$24*'TUSD BF'!$AA$59</f>
        <v>0</v>
      </c>
      <c r="AB24" s="53">
        <f>SUM($U$24:$AA$24)</f>
        <v>3.3864100911434813</v>
      </c>
      <c r="AC24" s="53">
        <f>'TUSD BE'!$AC$24*'TUSD BF'!$AC$59</f>
        <v>0</v>
      </c>
      <c r="AD24" s="53">
        <f>SUM($AC$24:$AC$24)</f>
        <v>0</v>
      </c>
      <c r="AE24" s="53">
        <f ca="1">$AO$24*$AO$56</f>
        <v>0</v>
      </c>
      <c r="AF24" s="53">
        <f ca="1">$AP$24*$AP$56</f>
        <v>0</v>
      </c>
      <c r="AG24" s="53">
        <f ca="1">SUM($AE$24:$AF$24)</f>
        <v>0</v>
      </c>
      <c r="AH24" s="53">
        <f>'TUSD BE'!$AH$24*'TUSD BF'!$AH$59</f>
        <v>1.8683920086812866</v>
      </c>
      <c r="AI24" s="53">
        <f>'TUSD BE'!$AI$24*'TUSD BF'!$AI$59</f>
        <v>6.4078771842007803E-2</v>
      </c>
      <c r="AJ24" s="53">
        <f ca="1">'TUSD BE'!$AJ$24*'TUSD BF'!$AJ$59</f>
        <v>0.27508186344607338</v>
      </c>
      <c r="AK24" s="53">
        <f ca="1">'TUSD BE'!$AK$24*'TUSD BF'!$AK$59</f>
        <v>0</v>
      </c>
      <c r="AL24" s="53">
        <f ca="1">SUM($AH$24:$AK$24)</f>
        <v>2.2075526439693678</v>
      </c>
      <c r="AM24" s="53">
        <f ca="1">SUMIF($L$4:$AL$4,"SUBTOTAL",$L$24:$AL$24)</f>
        <v>5.5939627351128491</v>
      </c>
      <c r="AO24" s="76">
        <f ca="1">+'TUSD BE'!$T$24+'TUSD BE'!$AB$24+'TUSD BE'!$AD$24+'TUSD BE'!$AL$24</f>
        <v>273.37246919492463</v>
      </c>
      <c r="AP24" s="76">
        <f ca="1">+'TUSD BE'!$T$24+'TUSD BE'!$AB$24+'TUSD BE'!$AD$24+'TUSD BE'!$AL$24</f>
        <v>273.37246919492463</v>
      </c>
    </row>
    <row r="25" spans="1:42" ht="11.25" customHeight="1" x14ac:dyDescent="0.25">
      <c r="A25" s="131"/>
      <c r="B25" s="131"/>
      <c r="C25" s="131"/>
      <c r="D25" s="73" t="s">
        <v>31</v>
      </c>
      <c r="E25" s="73" t="s">
        <v>25</v>
      </c>
      <c r="F25" s="73" t="s">
        <v>25</v>
      </c>
      <c r="G25" s="74" t="s">
        <v>86</v>
      </c>
      <c r="H25" s="74" t="s">
        <v>82</v>
      </c>
      <c r="I25" s="74">
        <f>'MERCADO TUSD'!$U$22</f>
        <v>180.10599999999999</v>
      </c>
      <c r="J25" s="15"/>
      <c r="L25" s="53">
        <f>'TUSD BE'!$L$25*'TUSD BF'!$L$59</f>
        <v>0</v>
      </c>
      <c r="M25" s="53">
        <f>'TUSD BE'!$M$25*'TUSD BF'!$M$59</f>
        <v>0</v>
      </c>
      <c r="N25" s="53">
        <f ca="1">'TUSD BE'!$N$25*'TUSD BF'!$N$59</f>
        <v>0</v>
      </c>
      <c r="O25" s="53">
        <f>'TUSD BE'!$O$25*'TUSD BF'!$O$59</f>
        <v>0</v>
      </c>
      <c r="P25" s="53">
        <f>'TUSD BE'!$P$25*'TUSD BF'!$P$59</f>
        <v>0</v>
      </c>
      <c r="Q25" s="53">
        <f>'TUSD BE'!$Q$25*'TUSD BF'!$Q$59</f>
        <v>0</v>
      </c>
      <c r="R25" s="53">
        <f>'TUSD BE'!$R$25*'TUSD BF'!$R$59</f>
        <v>0</v>
      </c>
      <c r="S25" s="53">
        <f>'TUSD BE'!$R$25*'TUSD BF'!$S$59</f>
        <v>0</v>
      </c>
      <c r="T25" s="53">
        <f ca="1">SUM($L$25:$S$25)</f>
        <v>0</v>
      </c>
      <c r="U25" s="53">
        <f>'TUSD BE'!$U$25*'TUSD BF'!$U$59</f>
        <v>2.5987880561411036</v>
      </c>
      <c r="V25" s="53">
        <f>'TUSD BE'!$V$25*'TUSD BF'!$V$59</f>
        <v>0.78762203500237771</v>
      </c>
      <c r="W25" s="53">
        <f>'TUSD BE'!$W$25*'TUSD BF'!$W$59</f>
        <v>0</v>
      </c>
      <c r="X25" s="53">
        <f>'TUSD BE'!$X$25*'TUSD BF'!$X$59</f>
        <v>0</v>
      </c>
      <c r="Y25" s="53">
        <f>'TUSD BE'!$Y$25*'TUSD BF'!$Y$59</f>
        <v>0</v>
      </c>
      <c r="Z25" s="53">
        <f>'TUSD BE'!$Z$25*'TUSD BF'!$Z$59</f>
        <v>0</v>
      </c>
      <c r="AA25" s="53">
        <f>'TUSD BE'!$AA$25*'TUSD BF'!$AA$59</f>
        <v>0</v>
      </c>
      <c r="AB25" s="53">
        <f>SUM($U$25:$AA$25)</f>
        <v>3.3864100911434813</v>
      </c>
      <c r="AC25" s="53">
        <f>'TUSD BE'!$AC$25*'TUSD BF'!$AC$59</f>
        <v>0</v>
      </c>
      <c r="AD25" s="53">
        <f>SUM($AC$25:$AC$25)</f>
        <v>0</v>
      </c>
      <c r="AE25" s="53">
        <f ca="1">$AO$25*$AO$56</f>
        <v>0</v>
      </c>
      <c r="AF25" s="53">
        <f ca="1">$AP$25*$AP$56</f>
        <v>0</v>
      </c>
      <c r="AG25" s="53">
        <f ca="1">SUM($AE$25:$AF$25)</f>
        <v>0</v>
      </c>
      <c r="AH25" s="53">
        <f>'TUSD BE'!$AH$25*'TUSD BF'!$AH$59</f>
        <v>1.8683920086812866</v>
      </c>
      <c r="AI25" s="53">
        <f>'TUSD BE'!$AI$25*'TUSD BF'!$AI$59</f>
        <v>6.4078771842007803E-2</v>
      </c>
      <c r="AJ25" s="53">
        <f ca="1">'TUSD BE'!$AJ$25*'TUSD BF'!$AJ$59</f>
        <v>0.27508186344607338</v>
      </c>
      <c r="AK25" s="53">
        <f ca="1">'TUSD BE'!$AK$25*'TUSD BF'!$AK$59</f>
        <v>0</v>
      </c>
      <c r="AL25" s="53">
        <f ca="1">SUM($AH$25:$AK$25)</f>
        <v>2.2075526439693678</v>
      </c>
      <c r="AM25" s="53">
        <f ca="1">SUMIF($L$4:$AL$4,"SUBTOTAL",$L$25:$AL$25)</f>
        <v>5.5939627351128491</v>
      </c>
      <c r="AO25" s="76">
        <f ca="1">+'TUSD BE'!$T$25+'TUSD BE'!$AB$25+'TUSD BE'!$AD$25+'TUSD BE'!$AL$25</f>
        <v>273.37246919492463</v>
      </c>
      <c r="AP25" s="76">
        <f ca="1">+'TUSD BE'!$T$25+'TUSD BE'!$AB$25+'TUSD BE'!$AD$25+'TUSD BE'!$AL$25</f>
        <v>273.37246919492463</v>
      </c>
    </row>
    <row r="26" spans="1:42" ht="11.25" customHeight="1" x14ac:dyDescent="0.25">
      <c r="A26" s="131"/>
      <c r="B26" s="131" t="s">
        <v>95</v>
      </c>
      <c r="C26" s="131" t="s">
        <v>24</v>
      </c>
      <c r="D26" s="73" t="s">
        <v>24</v>
      </c>
      <c r="E26" s="73" t="s">
        <v>25</v>
      </c>
      <c r="F26" s="73" t="s">
        <v>25</v>
      </c>
      <c r="G26" s="74" t="s">
        <v>86</v>
      </c>
      <c r="H26" s="74" t="s">
        <v>82</v>
      </c>
      <c r="I26" s="74">
        <f>'MERCADO TUSD'!$U$23</f>
        <v>0</v>
      </c>
      <c r="J26" s="15"/>
      <c r="L26" s="53">
        <f>'TUSD BE'!$L$26*'TUSD BF'!$L$59</f>
        <v>0.40649744868455456</v>
      </c>
      <c r="M26" s="53">
        <f>'TUSD BE'!$M$26*'TUSD BF'!$M$59</f>
        <v>0</v>
      </c>
      <c r="N26" s="53">
        <f ca="1">'TUSD BE'!$N$26*'TUSD BF'!$N$59</f>
        <v>0</v>
      </c>
      <c r="O26" s="53">
        <f>'TUSD BE'!$O$26*'TUSD BF'!$O$59</f>
        <v>0</v>
      </c>
      <c r="P26" s="53">
        <f>'TUSD BE'!$P$26*'TUSD BF'!$P$59</f>
        <v>0</v>
      </c>
      <c r="Q26" s="53">
        <f>'TUSD BE'!$Q$26*'TUSD BF'!$Q$59</f>
        <v>15.068526904165468</v>
      </c>
      <c r="R26" s="53">
        <f>'TUSD BE'!$R$26*'TUSD BF'!$R$59</f>
        <v>3.2447097728911412</v>
      </c>
      <c r="S26" s="53">
        <f>'TUSD BE'!$R$26*'TUSD BF'!$S$59</f>
        <v>0</v>
      </c>
      <c r="T26" s="53">
        <f ca="1">SUM($L$26:$S$26)</f>
        <v>18.719734125741162</v>
      </c>
      <c r="U26" s="53">
        <f>'TUSD BE'!$U$26*'TUSD BF'!$U$59</f>
        <v>2.5987880561411036</v>
      </c>
      <c r="V26" s="53">
        <f>'TUSD BE'!$V$26*'TUSD BF'!$V$59</f>
        <v>0.78762203500237771</v>
      </c>
      <c r="W26" s="53">
        <f>'TUSD BE'!$W$26*'TUSD BF'!$W$59</f>
        <v>0</v>
      </c>
      <c r="X26" s="53">
        <f>'TUSD BE'!$X$26*'TUSD BF'!$X$59</f>
        <v>0</v>
      </c>
      <c r="Y26" s="53">
        <f>'TUSD BE'!$Y$26*'TUSD BF'!$Y$59</f>
        <v>0</v>
      </c>
      <c r="Z26" s="53">
        <f>'TUSD BE'!$Z$26*'TUSD BF'!$Z$59</f>
        <v>0</v>
      </c>
      <c r="AA26" s="53">
        <f>'TUSD BE'!$AA$26*'TUSD BF'!$AA$59</f>
        <v>0</v>
      </c>
      <c r="AB26" s="53">
        <f>SUM($U$26:$AA$26)</f>
        <v>3.3864100911434813</v>
      </c>
      <c r="AC26" s="53">
        <f>'TUSD BE'!$AC$26*'TUSD BF'!$AC$59</f>
        <v>0</v>
      </c>
      <c r="AD26" s="53">
        <f>SUM($AC$26:$AC$26)</f>
        <v>0</v>
      </c>
      <c r="AE26" s="53">
        <f ca="1">$AO$26*$AO$56</f>
        <v>0</v>
      </c>
      <c r="AF26" s="53">
        <f ca="1">$AP$26*$AP$56</f>
        <v>0</v>
      </c>
      <c r="AG26" s="53">
        <f ca="1">SUM($AE$26:$AF$26)</f>
        <v>0</v>
      </c>
      <c r="AH26" s="53">
        <f>'TUSD BE'!$AH$26*'TUSD BF'!$AH$59</f>
        <v>1.8683920086812866</v>
      </c>
      <c r="AI26" s="53">
        <f>'TUSD BE'!$AI$26*'TUSD BF'!$AI$59</f>
        <v>6.4078771842007803E-2</v>
      </c>
      <c r="AJ26" s="53">
        <f ca="1">'TUSD BE'!$AJ$26*'TUSD BF'!$AJ$59</f>
        <v>0.27508186344607338</v>
      </c>
      <c r="AK26" s="53">
        <f ca="1">'TUSD BE'!$AK$26*'TUSD BF'!$AK$59</f>
        <v>0</v>
      </c>
      <c r="AL26" s="53">
        <f ca="1">SUM($AH$26:$AK$26)</f>
        <v>2.2075526439693678</v>
      </c>
      <c r="AM26" s="53">
        <f ca="1">SUMIF($L$4:$AL$4,"SUBTOTAL",$L$26:$AL$26)</f>
        <v>24.313696860854012</v>
      </c>
      <c r="AO26" s="76">
        <f ca="1">+'TUSD BE'!$T$26+'TUSD BE'!$AB$26+'TUSD BE'!$AD$26+'TUSD BE'!$AL$26</f>
        <v>381.55822195694333</v>
      </c>
      <c r="AP26" s="76">
        <f ca="1">+'TUSD BE'!$T$26+'TUSD BE'!$AB$26+'TUSD BE'!$AD$26+'TUSD BE'!$AL$26</f>
        <v>381.55822195694333</v>
      </c>
    </row>
    <row r="27" spans="1:42" ht="11.25" customHeight="1" x14ac:dyDescent="0.25">
      <c r="A27" s="131"/>
      <c r="B27" s="131"/>
      <c r="C27" s="131"/>
      <c r="D27" s="73" t="s">
        <v>28</v>
      </c>
      <c r="E27" s="73" t="s">
        <v>25</v>
      </c>
      <c r="F27" s="73" t="s">
        <v>25</v>
      </c>
      <c r="G27" s="74" t="s">
        <v>86</v>
      </c>
      <c r="H27" s="74" t="s">
        <v>82</v>
      </c>
      <c r="I27" s="74">
        <f>'MERCADO TUSD'!$U$24</f>
        <v>0</v>
      </c>
      <c r="J27" s="15"/>
      <c r="L27" s="53">
        <f>'TUSD BE'!$L$27*'TUSD BF'!$L$59</f>
        <v>0</v>
      </c>
      <c r="M27" s="53">
        <f>'TUSD BE'!$M$27*'TUSD BF'!$M$59</f>
        <v>0</v>
      </c>
      <c r="N27" s="53">
        <f ca="1">'TUSD BE'!$N$27*'TUSD BF'!$N$59</f>
        <v>0</v>
      </c>
      <c r="O27" s="53">
        <f>'TUSD BE'!$O$27*'TUSD BF'!$O$59</f>
        <v>0</v>
      </c>
      <c r="P27" s="53">
        <f>'TUSD BE'!$P$27*'TUSD BF'!$P$59</f>
        <v>0</v>
      </c>
      <c r="Q27" s="53">
        <f>'TUSD BE'!$Q$27*'TUSD BF'!$Q$59</f>
        <v>0</v>
      </c>
      <c r="R27" s="53">
        <f>'TUSD BE'!$R$27*'TUSD BF'!$R$59</f>
        <v>0</v>
      </c>
      <c r="S27" s="53">
        <f>'TUSD BE'!$R$27*'TUSD BF'!$S$59</f>
        <v>0</v>
      </c>
      <c r="T27" s="53">
        <f ca="1">SUM($L$27:$S$27)</f>
        <v>0</v>
      </c>
      <c r="U27" s="53">
        <f>'TUSD BE'!$U$27*'TUSD BF'!$U$59</f>
        <v>2.5987880561411036</v>
      </c>
      <c r="V27" s="53">
        <f>'TUSD BE'!$V$27*'TUSD BF'!$V$59</f>
        <v>0.78762203500237771</v>
      </c>
      <c r="W27" s="53">
        <f>'TUSD BE'!$W$27*'TUSD BF'!$W$59</f>
        <v>0</v>
      </c>
      <c r="X27" s="53">
        <f>'TUSD BE'!$X$27*'TUSD BF'!$X$59</f>
        <v>0</v>
      </c>
      <c r="Y27" s="53">
        <f>'TUSD BE'!$Y$27*'TUSD BF'!$Y$59</f>
        <v>0</v>
      </c>
      <c r="Z27" s="53">
        <f>'TUSD BE'!$Z$27*'TUSD BF'!$Z$59</f>
        <v>0</v>
      </c>
      <c r="AA27" s="53">
        <f>'TUSD BE'!$AA$27*'TUSD BF'!$AA$59</f>
        <v>0</v>
      </c>
      <c r="AB27" s="53">
        <f>SUM($U$27:$AA$27)</f>
        <v>3.3864100911434813</v>
      </c>
      <c r="AC27" s="53">
        <f>'TUSD BE'!$AC$27*'TUSD BF'!$AC$59</f>
        <v>0</v>
      </c>
      <c r="AD27" s="53">
        <f>SUM($AC$27:$AC$27)</f>
        <v>0</v>
      </c>
      <c r="AE27" s="53">
        <f ca="1">$AO$27*$AO$56</f>
        <v>0</v>
      </c>
      <c r="AF27" s="53">
        <f ca="1">$AP$27*$AP$56</f>
        <v>0</v>
      </c>
      <c r="AG27" s="53">
        <f ca="1">SUM($AE$27:$AF$27)</f>
        <v>0</v>
      </c>
      <c r="AH27" s="53">
        <f>'TUSD BE'!$AH$27*'TUSD BF'!$AH$59</f>
        <v>1.8683920086812866</v>
      </c>
      <c r="AI27" s="53">
        <f>'TUSD BE'!$AI$27*'TUSD BF'!$AI$59</f>
        <v>6.4078771842007803E-2</v>
      </c>
      <c r="AJ27" s="53">
        <f ca="1">'TUSD BE'!$AJ$27*'TUSD BF'!$AJ$59</f>
        <v>0.27508186344607338</v>
      </c>
      <c r="AK27" s="53">
        <f ca="1">'TUSD BE'!$AK$27*'TUSD BF'!$AK$59</f>
        <v>0</v>
      </c>
      <c r="AL27" s="53">
        <f ca="1">SUM($AH$27:$AK$27)</f>
        <v>2.2075526439693678</v>
      </c>
      <c r="AM27" s="53">
        <f ca="1">SUMIF($L$4:$AL$4,"SUBTOTAL",$L$27:$AL$27)</f>
        <v>5.5939627351128491</v>
      </c>
      <c r="AO27" s="76">
        <f ca="1">+'TUSD BE'!$T$27+'TUSD BE'!$AB$27+'TUSD BE'!$AD$27+'TUSD BE'!$AL$27</f>
        <v>273.37246919492463</v>
      </c>
      <c r="AP27" s="76">
        <f ca="1">+'TUSD BE'!$T$27+'TUSD BE'!$AB$27+'TUSD BE'!$AD$27+'TUSD BE'!$AL$27</f>
        <v>273.37246919492463</v>
      </c>
    </row>
    <row r="28" spans="1:42" ht="11.25" customHeight="1" x14ac:dyDescent="0.25">
      <c r="A28" s="131"/>
      <c r="B28" s="131"/>
      <c r="C28" s="131"/>
      <c r="D28" s="73" t="s">
        <v>29</v>
      </c>
      <c r="E28" s="73" t="s">
        <v>25</v>
      </c>
      <c r="F28" s="73" t="s">
        <v>25</v>
      </c>
      <c r="G28" s="74" t="s">
        <v>86</v>
      </c>
      <c r="H28" s="74" t="s">
        <v>82</v>
      </c>
      <c r="I28" s="74">
        <f>'MERCADO TUSD'!$U$25</f>
        <v>0</v>
      </c>
      <c r="J28" s="15"/>
      <c r="L28" s="53">
        <f>'TUSD BE'!$L$28*'TUSD BF'!$L$59</f>
        <v>0</v>
      </c>
      <c r="M28" s="53">
        <f>'TUSD BE'!$M$28*'TUSD BF'!$M$59</f>
        <v>0</v>
      </c>
      <c r="N28" s="53">
        <f ca="1">'TUSD BE'!$N$28*'TUSD BF'!$N$59</f>
        <v>0</v>
      </c>
      <c r="O28" s="53">
        <f>'TUSD BE'!$O$28*'TUSD BF'!$O$59</f>
        <v>0</v>
      </c>
      <c r="P28" s="53">
        <f>'TUSD BE'!$P$28*'TUSD BF'!$P$59</f>
        <v>0</v>
      </c>
      <c r="Q28" s="53">
        <f>'TUSD BE'!$Q$28*'TUSD BF'!$Q$59</f>
        <v>0</v>
      </c>
      <c r="R28" s="53">
        <f>'TUSD BE'!$R$28*'TUSD BF'!$R$59</f>
        <v>0</v>
      </c>
      <c r="S28" s="53">
        <f>'TUSD BE'!$R$28*'TUSD BF'!$S$59</f>
        <v>0</v>
      </c>
      <c r="T28" s="53">
        <f ca="1">SUM($L$28:$S$28)</f>
        <v>0</v>
      </c>
      <c r="U28" s="53">
        <f>'TUSD BE'!$U$28*'TUSD BF'!$U$59</f>
        <v>2.5987880561411036</v>
      </c>
      <c r="V28" s="53">
        <f>'TUSD BE'!$V$28*'TUSD BF'!$V$59</f>
        <v>0.78762203500237771</v>
      </c>
      <c r="W28" s="53">
        <f>'TUSD BE'!$W$28*'TUSD BF'!$W$59</f>
        <v>0</v>
      </c>
      <c r="X28" s="53">
        <f>'TUSD BE'!$X$28*'TUSD BF'!$X$59</f>
        <v>0</v>
      </c>
      <c r="Y28" s="53">
        <f>'TUSD BE'!$Y$28*'TUSD BF'!$Y$59</f>
        <v>0</v>
      </c>
      <c r="Z28" s="53">
        <f>'TUSD BE'!$Z$28*'TUSD BF'!$Z$59</f>
        <v>0</v>
      </c>
      <c r="AA28" s="53">
        <f>'TUSD BE'!$AA$28*'TUSD BF'!$AA$59</f>
        <v>0</v>
      </c>
      <c r="AB28" s="53">
        <f>SUM($U$28:$AA$28)</f>
        <v>3.3864100911434813</v>
      </c>
      <c r="AC28" s="53">
        <f>'TUSD BE'!$AC$28*'TUSD BF'!$AC$59</f>
        <v>0</v>
      </c>
      <c r="AD28" s="53">
        <f>SUM($AC$28:$AC$28)</f>
        <v>0</v>
      </c>
      <c r="AE28" s="53">
        <f ca="1">$AO$28*$AO$56</f>
        <v>0</v>
      </c>
      <c r="AF28" s="53">
        <f ca="1">$AP$28*$AP$56</f>
        <v>0</v>
      </c>
      <c r="AG28" s="53">
        <f ca="1">SUM($AE$28:$AF$28)</f>
        <v>0</v>
      </c>
      <c r="AH28" s="53">
        <f>'TUSD BE'!$AH$28*'TUSD BF'!$AH$59</f>
        <v>1.8683920086812866</v>
      </c>
      <c r="AI28" s="53">
        <f>'TUSD BE'!$AI$28*'TUSD BF'!$AI$59</f>
        <v>6.4078771842007803E-2</v>
      </c>
      <c r="AJ28" s="53">
        <f ca="1">'TUSD BE'!$AJ$28*'TUSD BF'!$AJ$59</f>
        <v>0.27508186344607338</v>
      </c>
      <c r="AK28" s="53">
        <f ca="1">'TUSD BE'!$AK$28*'TUSD BF'!$AK$59</f>
        <v>0</v>
      </c>
      <c r="AL28" s="53">
        <f ca="1">SUM($AH$28:$AK$28)</f>
        <v>2.2075526439693678</v>
      </c>
      <c r="AM28" s="53">
        <f ca="1">SUMIF($L$4:$AL$4,"SUBTOTAL",$L$28:$AL$28)</f>
        <v>5.5939627351128491</v>
      </c>
      <c r="AO28" s="76">
        <f ca="1">+'TUSD BE'!$T$28+'TUSD BE'!$AB$28+'TUSD BE'!$AD$28+'TUSD BE'!$AL$28</f>
        <v>273.37246919492463</v>
      </c>
      <c r="AP28" s="76">
        <f ca="1">+'TUSD BE'!$T$28+'TUSD BE'!$AB$28+'TUSD BE'!$AD$28+'TUSD BE'!$AL$28</f>
        <v>273.37246919492463</v>
      </c>
    </row>
    <row r="29" spans="1:42" ht="11.25" customHeight="1" x14ac:dyDescent="0.25">
      <c r="A29" s="131"/>
      <c r="B29" s="131"/>
      <c r="C29" s="131"/>
      <c r="D29" s="73" t="s">
        <v>30</v>
      </c>
      <c r="E29" s="73" t="s">
        <v>25</v>
      </c>
      <c r="F29" s="73" t="s">
        <v>25</v>
      </c>
      <c r="G29" s="74" t="s">
        <v>86</v>
      </c>
      <c r="H29" s="74" t="s">
        <v>82</v>
      </c>
      <c r="I29" s="74">
        <f>'MERCADO TUSD'!$U$26</f>
        <v>0</v>
      </c>
      <c r="J29" s="15"/>
      <c r="L29" s="53">
        <f>'TUSD BE'!$L$29*'TUSD BF'!$L$59</f>
        <v>0</v>
      </c>
      <c r="M29" s="53">
        <f>'TUSD BE'!$M$29*'TUSD BF'!$M$59</f>
        <v>0</v>
      </c>
      <c r="N29" s="53">
        <f ca="1">'TUSD BE'!$N$29*'TUSD BF'!$N$59</f>
        <v>0</v>
      </c>
      <c r="O29" s="53">
        <f>'TUSD BE'!$O$29*'TUSD BF'!$O$59</f>
        <v>0</v>
      </c>
      <c r="P29" s="53">
        <f>'TUSD BE'!$P$29*'TUSD BF'!$P$59</f>
        <v>0</v>
      </c>
      <c r="Q29" s="53">
        <f>'TUSD BE'!$Q$29*'TUSD BF'!$Q$59</f>
        <v>0</v>
      </c>
      <c r="R29" s="53">
        <f>'TUSD BE'!$R$29*'TUSD BF'!$R$59</f>
        <v>0</v>
      </c>
      <c r="S29" s="53">
        <f>'TUSD BE'!$R$29*'TUSD BF'!$S$59</f>
        <v>0</v>
      </c>
      <c r="T29" s="53">
        <f ca="1">SUM($L$29:$S$29)</f>
        <v>0</v>
      </c>
      <c r="U29" s="53">
        <f>'TUSD BE'!$U$29*'TUSD BF'!$U$59</f>
        <v>2.5987880561411036</v>
      </c>
      <c r="V29" s="53">
        <f>'TUSD BE'!$V$29*'TUSD BF'!$V$59</f>
        <v>0.78762203500237771</v>
      </c>
      <c r="W29" s="53">
        <f>'TUSD BE'!$W$29*'TUSD BF'!$W$59</f>
        <v>0</v>
      </c>
      <c r="X29" s="53">
        <f>'TUSD BE'!$X$29*'TUSD BF'!$X$59</f>
        <v>0</v>
      </c>
      <c r="Y29" s="53">
        <f>'TUSD BE'!$Y$29*'TUSD BF'!$Y$59</f>
        <v>0</v>
      </c>
      <c r="Z29" s="53">
        <f>'TUSD BE'!$Z$29*'TUSD BF'!$Z$59</f>
        <v>0</v>
      </c>
      <c r="AA29" s="53">
        <f>'TUSD BE'!$AA$29*'TUSD BF'!$AA$59</f>
        <v>0</v>
      </c>
      <c r="AB29" s="53">
        <f>SUM($U$29:$AA$29)</f>
        <v>3.3864100911434813</v>
      </c>
      <c r="AC29" s="53">
        <f>'TUSD BE'!$AC$29*'TUSD BF'!$AC$59</f>
        <v>0</v>
      </c>
      <c r="AD29" s="53">
        <f>SUM($AC$29:$AC$29)</f>
        <v>0</v>
      </c>
      <c r="AE29" s="53">
        <f ca="1">$AO$29*$AO$56</f>
        <v>0</v>
      </c>
      <c r="AF29" s="53">
        <f ca="1">$AP$29*$AP$56</f>
        <v>0</v>
      </c>
      <c r="AG29" s="53">
        <f ca="1">SUM($AE$29:$AF$29)</f>
        <v>0</v>
      </c>
      <c r="AH29" s="53">
        <f>'TUSD BE'!$AH$29*'TUSD BF'!$AH$59</f>
        <v>1.8683920086812866</v>
      </c>
      <c r="AI29" s="53">
        <f>'TUSD BE'!$AI$29*'TUSD BF'!$AI$59</f>
        <v>6.4078771842007803E-2</v>
      </c>
      <c r="AJ29" s="53">
        <f ca="1">'TUSD BE'!$AJ$29*'TUSD BF'!$AJ$59</f>
        <v>0.27508186344607338</v>
      </c>
      <c r="AK29" s="53">
        <f ca="1">'TUSD BE'!$AK$29*'TUSD BF'!$AK$59</f>
        <v>0</v>
      </c>
      <c r="AL29" s="53">
        <f ca="1">SUM($AH$29:$AK$29)</f>
        <v>2.2075526439693678</v>
      </c>
      <c r="AM29" s="53">
        <f ca="1">SUMIF($L$4:$AL$4,"SUBTOTAL",$L$29:$AL$29)</f>
        <v>5.5939627351128491</v>
      </c>
      <c r="AO29" s="76">
        <f ca="1">+'TUSD BE'!$T$29+'TUSD BE'!$AB$29+'TUSD BE'!$AD$29+'TUSD BE'!$AL$29</f>
        <v>273.37246919492463</v>
      </c>
      <c r="AP29" s="76">
        <f ca="1">+'TUSD BE'!$T$29+'TUSD BE'!$AB$29+'TUSD BE'!$AD$29+'TUSD BE'!$AL$29</f>
        <v>273.37246919492463</v>
      </c>
    </row>
    <row r="30" spans="1:42" ht="11.25" customHeight="1" x14ac:dyDescent="0.25">
      <c r="A30" s="131"/>
      <c r="B30" s="131"/>
      <c r="C30" s="131"/>
      <c r="D30" s="73" t="s">
        <v>31</v>
      </c>
      <c r="E30" s="73" t="s">
        <v>25</v>
      </c>
      <c r="F30" s="73" t="s">
        <v>25</v>
      </c>
      <c r="G30" s="74" t="s">
        <v>86</v>
      </c>
      <c r="H30" s="74" t="s">
        <v>82</v>
      </c>
      <c r="I30" s="74">
        <f>'MERCADO TUSD'!$U$27</f>
        <v>0</v>
      </c>
      <c r="J30" s="15"/>
      <c r="L30" s="53">
        <f>'TUSD BE'!$L$30*'TUSD BF'!$L$59</f>
        <v>0</v>
      </c>
      <c r="M30" s="53">
        <f>'TUSD BE'!$M$30*'TUSD BF'!$M$59</f>
        <v>0</v>
      </c>
      <c r="N30" s="53">
        <f ca="1">'TUSD BE'!$N$30*'TUSD BF'!$N$59</f>
        <v>0</v>
      </c>
      <c r="O30" s="53">
        <f>'TUSD BE'!$O$30*'TUSD BF'!$O$59</f>
        <v>0</v>
      </c>
      <c r="P30" s="53">
        <f>'TUSD BE'!$P$30*'TUSD BF'!$P$59</f>
        <v>0</v>
      </c>
      <c r="Q30" s="53">
        <f>'TUSD BE'!$Q$30*'TUSD BF'!$Q$59</f>
        <v>0</v>
      </c>
      <c r="R30" s="53">
        <f>'TUSD BE'!$R$30*'TUSD BF'!$R$59</f>
        <v>0</v>
      </c>
      <c r="S30" s="53">
        <f>'TUSD BE'!$R$30*'TUSD BF'!$S$59</f>
        <v>0</v>
      </c>
      <c r="T30" s="53">
        <f ca="1">SUM($L$30:$S$30)</f>
        <v>0</v>
      </c>
      <c r="U30" s="53">
        <f>'TUSD BE'!$U$30*'TUSD BF'!$U$59</f>
        <v>2.5987880561411036</v>
      </c>
      <c r="V30" s="53">
        <f>'TUSD BE'!$V$30*'TUSD BF'!$V$59</f>
        <v>0.78762203500237771</v>
      </c>
      <c r="W30" s="53">
        <f>'TUSD BE'!$W$30*'TUSD BF'!$W$59</f>
        <v>0</v>
      </c>
      <c r="X30" s="53">
        <f>'TUSD BE'!$X$30*'TUSD BF'!$X$59</f>
        <v>0</v>
      </c>
      <c r="Y30" s="53">
        <f>'TUSD BE'!$Y$30*'TUSD BF'!$Y$59</f>
        <v>0</v>
      </c>
      <c r="Z30" s="53">
        <f>'TUSD BE'!$Z$30*'TUSD BF'!$Z$59</f>
        <v>0</v>
      </c>
      <c r="AA30" s="53">
        <f>'TUSD BE'!$AA$30*'TUSD BF'!$AA$59</f>
        <v>0</v>
      </c>
      <c r="AB30" s="53">
        <f>SUM($U$30:$AA$30)</f>
        <v>3.3864100911434813</v>
      </c>
      <c r="AC30" s="53">
        <f>'TUSD BE'!$AC$30*'TUSD BF'!$AC$59</f>
        <v>0</v>
      </c>
      <c r="AD30" s="53">
        <f>SUM($AC$30:$AC$30)</f>
        <v>0</v>
      </c>
      <c r="AE30" s="53">
        <f ca="1">$AO$30*$AO$56</f>
        <v>0</v>
      </c>
      <c r="AF30" s="53">
        <f ca="1">$AP$30*$AP$56</f>
        <v>0</v>
      </c>
      <c r="AG30" s="53">
        <f ca="1">SUM($AE$30:$AF$30)</f>
        <v>0</v>
      </c>
      <c r="AH30" s="53">
        <f>'TUSD BE'!$AH$30*'TUSD BF'!$AH$59</f>
        <v>1.8683920086812866</v>
      </c>
      <c r="AI30" s="53">
        <f>'TUSD BE'!$AI$30*'TUSD BF'!$AI$59</f>
        <v>6.4078771842007803E-2</v>
      </c>
      <c r="AJ30" s="53">
        <f ca="1">'TUSD BE'!$AJ$30*'TUSD BF'!$AJ$59</f>
        <v>0.27508186344607338</v>
      </c>
      <c r="AK30" s="53">
        <f ca="1">'TUSD BE'!$AK$30*'TUSD BF'!$AK$59</f>
        <v>0</v>
      </c>
      <c r="AL30" s="53">
        <f ca="1">SUM($AH$30:$AK$30)</f>
        <v>2.2075526439693678</v>
      </c>
      <c r="AM30" s="53">
        <f ca="1">SUMIF($L$4:$AL$4,"SUBTOTAL",$L$30:$AL$30)</f>
        <v>5.5939627351128491</v>
      </c>
      <c r="AO30" s="76">
        <f ca="1">+'TUSD BE'!$T$30+'TUSD BE'!$AB$30+'TUSD BE'!$AD$30+'TUSD BE'!$AL$30</f>
        <v>273.37246919492463</v>
      </c>
      <c r="AP30" s="76">
        <f ca="1">+'TUSD BE'!$T$30+'TUSD BE'!$AB$30+'TUSD BE'!$AD$30+'TUSD BE'!$AL$30</f>
        <v>273.37246919492463</v>
      </c>
    </row>
    <row r="31" spans="1:42" ht="11.25" customHeight="1" x14ac:dyDescent="0.25">
      <c r="A31" s="131" t="s">
        <v>42</v>
      </c>
      <c r="B31" s="131" t="s">
        <v>32</v>
      </c>
      <c r="C31" s="131" t="s">
        <v>43</v>
      </c>
      <c r="D31" s="131" t="s">
        <v>25</v>
      </c>
      <c r="E31" s="131" t="s">
        <v>25</v>
      </c>
      <c r="F31" s="131" t="s">
        <v>25</v>
      </c>
      <c r="G31" s="74" t="s">
        <v>83</v>
      </c>
      <c r="H31" s="74" t="s">
        <v>82</v>
      </c>
      <c r="I31" s="74">
        <f>'MERCADO TUSD'!$U$28</f>
        <v>0</v>
      </c>
      <c r="J31" s="15"/>
      <c r="L31" s="53">
        <f>'TUSD BE'!$L$31*'TUSD BF'!$L$59</f>
        <v>0.40649744868455456</v>
      </c>
      <c r="M31" s="53">
        <f>'TUSD BE'!$M$31*'TUSD BF'!$M$59</f>
        <v>0</v>
      </c>
      <c r="N31" s="53">
        <f ca="1">'TUSD BE'!$N$31*'TUSD BF'!$N$59</f>
        <v>0</v>
      </c>
      <c r="O31" s="53">
        <f>'TUSD BE'!$O$31*'TUSD BF'!$O$59</f>
        <v>0</v>
      </c>
      <c r="P31" s="53">
        <f>'TUSD BE'!$P$31*'TUSD BF'!$P$59</f>
        <v>0</v>
      </c>
      <c r="Q31" s="53">
        <f>'TUSD BE'!$Q$31*'TUSD BF'!$Q$59</f>
        <v>15.068526904165468</v>
      </c>
      <c r="R31" s="53">
        <f>'TUSD BE'!$R$31*'TUSD BF'!$R$59</f>
        <v>3.2447097728911412</v>
      </c>
      <c r="S31" s="53">
        <f>'TUSD BE'!$R$31*'TUSD BF'!$S$59</f>
        <v>0</v>
      </c>
      <c r="T31" s="53">
        <f ca="1">SUM($L$31:$S$31)</f>
        <v>18.719734125741162</v>
      </c>
      <c r="U31" s="53">
        <f>'TUSD BE'!$U$31*'TUSD BF'!$U$59</f>
        <v>10.655023160721411</v>
      </c>
      <c r="V31" s="53">
        <f>'TUSD BE'!$V$31*'TUSD BF'!$V$59</f>
        <v>3.2292575004569088</v>
      </c>
      <c r="W31" s="53">
        <f>'TUSD BE'!$W$31*'TUSD BF'!$W$59</f>
        <v>0</v>
      </c>
      <c r="X31" s="53">
        <f>'TUSD BE'!$X$31*'TUSD BF'!$X$59</f>
        <v>0</v>
      </c>
      <c r="Y31" s="53">
        <f>'TUSD BE'!$Y$31*'TUSD BF'!$Y$59</f>
        <v>0</v>
      </c>
      <c r="Z31" s="53">
        <f>'TUSD BE'!$Z$31*'TUSD BF'!$Z$59</f>
        <v>0</v>
      </c>
      <c r="AA31" s="53">
        <f>'TUSD BE'!$AA$31*'TUSD BF'!$AA$59</f>
        <v>0</v>
      </c>
      <c r="AB31" s="53">
        <f>SUM($U$31:$AA$31)</f>
        <v>13.88428066117832</v>
      </c>
      <c r="AC31" s="53">
        <f>'TUSD BE'!$AC$31*'TUSD BF'!$AC$59</f>
        <v>0</v>
      </c>
      <c r="AD31" s="53">
        <f>SUM($AC$31:$AC$31)</f>
        <v>0</v>
      </c>
      <c r="AE31" s="53">
        <f ca="1">$AO$31*$AO$56</f>
        <v>0</v>
      </c>
      <c r="AF31" s="53">
        <f ca="1">$AP$31*$AP$56</f>
        <v>0</v>
      </c>
      <c r="AG31" s="53">
        <f ca="1">SUM($AE$31:$AF$31)</f>
        <v>0</v>
      </c>
      <c r="AH31" s="53">
        <f>'TUSD BE'!$AH$31*'TUSD BF'!$AH$59</f>
        <v>1.8683920086812866</v>
      </c>
      <c r="AI31" s="53">
        <f>'TUSD BE'!$AI$31*'TUSD BF'!$AI$59</f>
        <v>6.4078771842007803E-2</v>
      </c>
      <c r="AJ31" s="53">
        <f ca="1">'TUSD BE'!$AJ$31*'TUSD BF'!$AJ$59</f>
        <v>0.27508186344607338</v>
      </c>
      <c r="AK31" s="53">
        <f ca="1">'TUSD BE'!$AK$31*'TUSD BF'!$AK$59</f>
        <v>0</v>
      </c>
      <c r="AL31" s="53">
        <f ca="1">SUM($AH$31:$AK$31)</f>
        <v>2.2075526439693678</v>
      </c>
      <c r="AM31" s="53">
        <f ca="1">SUMIF($L$4:$AL$4,"SUBTOTAL",$L$31:$AL$31)</f>
        <v>34.811567430888843</v>
      </c>
      <c r="AO31" s="76">
        <f ca="1">+'TUSD BE'!$T$31+'TUSD BE'!$AB$31+'TUSD BE'!$AD$31+'TUSD BE'!$AL$31</f>
        <v>1165.2782688432123</v>
      </c>
      <c r="AP31" s="76">
        <f ca="1">+'TUSD BE'!$T$31+'TUSD BE'!$AB$31+'TUSD BE'!$AD$31+'TUSD BE'!$AL$31</f>
        <v>1165.2782688432123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74" t="s">
        <v>93</v>
      </c>
      <c r="H32" s="74" t="s">
        <v>82</v>
      </c>
      <c r="I32" s="74">
        <f>'MERCADO TUSD'!$U$29</f>
        <v>0</v>
      </c>
      <c r="J32" s="15"/>
      <c r="L32" s="53">
        <f>'TUSD BE'!$L$32*'TUSD BF'!$L$59</f>
        <v>0.40649744868455456</v>
      </c>
      <c r="M32" s="53">
        <f>'TUSD BE'!$M$32*'TUSD BF'!$M$59</f>
        <v>0</v>
      </c>
      <c r="N32" s="53">
        <f ca="1">'TUSD BE'!$N$32*'TUSD BF'!$N$59</f>
        <v>0</v>
      </c>
      <c r="O32" s="53">
        <f>'TUSD BE'!$O$32*'TUSD BF'!$O$59</f>
        <v>0</v>
      </c>
      <c r="P32" s="53">
        <f>'TUSD BE'!$P$32*'TUSD BF'!$P$59</f>
        <v>0</v>
      </c>
      <c r="Q32" s="53">
        <f>'TUSD BE'!$Q$32*'TUSD BF'!$Q$59</f>
        <v>15.068526904165468</v>
      </c>
      <c r="R32" s="53">
        <f>'TUSD BE'!$R$32*'TUSD BF'!$R$59</f>
        <v>3.2447097728911412</v>
      </c>
      <c r="S32" s="53">
        <f>'TUSD BE'!$R$32*'TUSD BF'!$S$59</f>
        <v>0</v>
      </c>
      <c r="T32" s="53">
        <f ca="1">SUM($L$32:$S$32)</f>
        <v>18.719734125741162</v>
      </c>
      <c r="U32" s="53">
        <f>'TUSD BE'!$U$32*'TUSD BF'!$U$59</f>
        <v>5.3275151573866681</v>
      </c>
      <c r="V32" s="53">
        <f>'TUSD BE'!$V$32*'TUSD BF'!$V$59</f>
        <v>1.6146287502284544</v>
      </c>
      <c r="W32" s="53">
        <f>'TUSD BE'!$W$32*'TUSD BF'!$W$59</f>
        <v>0</v>
      </c>
      <c r="X32" s="53">
        <f>'TUSD BE'!$X$32*'TUSD BF'!$X$59</f>
        <v>0</v>
      </c>
      <c r="Y32" s="53">
        <f>'TUSD BE'!$Y$32*'TUSD BF'!$Y$59</f>
        <v>0</v>
      </c>
      <c r="Z32" s="53">
        <f>'TUSD BE'!$Z$32*'TUSD BF'!$Z$59</f>
        <v>0</v>
      </c>
      <c r="AA32" s="53">
        <f>'TUSD BE'!$AA$32*'TUSD BF'!$AA$59</f>
        <v>0</v>
      </c>
      <c r="AB32" s="53">
        <f>SUM($U$32:$AA$32)</f>
        <v>6.9421439076151223</v>
      </c>
      <c r="AC32" s="53">
        <f>'TUSD BE'!$AC$32*'TUSD BF'!$AC$59</f>
        <v>0</v>
      </c>
      <c r="AD32" s="53">
        <f>SUM($AC$32:$AC$32)</f>
        <v>0</v>
      </c>
      <c r="AE32" s="53">
        <f ca="1">$AO$32*$AO$56</f>
        <v>0</v>
      </c>
      <c r="AF32" s="53">
        <f ca="1">$AP$32*$AP$56</f>
        <v>0</v>
      </c>
      <c r="AG32" s="53">
        <f ca="1">SUM($AE$32:$AF$32)</f>
        <v>0</v>
      </c>
      <c r="AH32" s="53">
        <f>'TUSD BE'!$AH$32*'TUSD BF'!$AH$59</f>
        <v>1.8683920086812866</v>
      </c>
      <c r="AI32" s="53">
        <f>'TUSD BE'!$AI$32*'TUSD BF'!$AI$59</f>
        <v>6.4078771842007803E-2</v>
      </c>
      <c r="AJ32" s="53">
        <f ca="1">'TUSD BE'!$AJ$32*'TUSD BF'!$AJ$59</f>
        <v>0.27508186344607338</v>
      </c>
      <c r="AK32" s="53">
        <f ca="1">'TUSD BE'!$AK$32*'TUSD BF'!$AK$59</f>
        <v>0</v>
      </c>
      <c r="AL32" s="53">
        <f ca="1">SUM($AH$32:$AK$32)</f>
        <v>2.2075526439693678</v>
      </c>
      <c r="AM32" s="53">
        <f ca="1">SUMIF($L$4:$AL$4,"SUBTOTAL",$L$32:$AL$32)</f>
        <v>27.869430677325653</v>
      </c>
      <c r="AO32" s="76">
        <f ca="1">+'TUSD BE'!$T$32+'TUSD BE'!$AB$32+'TUSD BE'!$AD$32+'TUSD BE'!$AL$32</f>
        <v>647.01185908026901</v>
      </c>
      <c r="AP32" s="76">
        <f ca="1">+'TUSD BE'!$T$32+'TUSD BE'!$AB$32+'TUSD BE'!$AD$32+'TUSD BE'!$AL$32</f>
        <v>647.01185908026901</v>
      </c>
    </row>
    <row r="33" spans="1:42" ht="11.25" customHeight="1" x14ac:dyDescent="0.25">
      <c r="A33" s="131"/>
      <c r="B33" s="131"/>
      <c r="C33" s="131"/>
      <c r="D33" s="131"/>
      <c r="E33" s="131"/>
      <c r="F33" s="131"/>
      <c r="G33" s="74" t="s">
        <v>84</v>
      </c>
      <c r="H33" s="74" t="s">
        <v>82</v>
      </c>
      <c r="I33" s="74">
        <f>'MERCADO TUSD'!$U$30</f>
        <v>0</v>
      </c>
      <c r="J33" s="15"/>
      <c r="L33" s="53">
        <f>'TUSD BE'!$L$33*'TUSD BF'!$L$59</f>
        <v>0.40649744868455456</v>
      </c>
      <c r="M33" s="53">
        <f>'TUSD BE'!$M$33*'TUSD BF'!$M$59</f>
        <v>0</v>
      </c>
      <c r="N33" s="53">
        <f ca="1">'TUSD BE'!$N$33*'TUSD BF'!$N$59</f>
        <v>0</v>
      </c>
      <c r="O33" s="53">
        <f>'TUSD BE'!$O$33*'TUSD BF'!$O$59</f>
        <v>0</v>
      </c>
      <c r="P33" s="53">
        <f>'TUSD BE'!$P$33*'TUSD BF'!$P$59</f>
        <v>0</v>
      </c>
      <c r="Q33" s="53">
        <f>'TUSD BE'!$Q$33*'TUSD BF'!$Q$59</f>
        <v>15.068526904165468</v>
      </c>
      <c r="R33" s="53">
        <f>'TUSD BE'!$R$33*'TUSD BF'!$R$59</f>
        <v>3.2447097728911412</v>
      </c>
      <c r="S33" s="53">
        <f>'TUSD BE'!$R$33*'TUSD BF'!$S$59</f>
        <v>0</v>
      </c>
      <c r="T33" s="53">
        <f ca="1">SUM($L$33:$S$33)</f>
        <v>18.719734125741162</v>
      </c>
      <c r="U33" s="53">
        <f>'TUSD BE'!$U$33*'TUSD BF'!$U$59</f>
        <v>1.0655030314773335</v>
      </c>
      <c r="V33" s="53">
        <f>'TUSD BE'!$V$33*'TUSD BF'!$V$59</f>
        <v>0.32292861282455509</v>
      </c>
      <c r="W33" s="53">
        <f>'TUSD BE'!$W$33*'TUSD BF'!$W$59</f>
        <v>0</v>
      </c>
      <c r="X33" s="53">
        <f>'TUSD BE'!$X$33*'TUSD BF'!$X$59</f>
        <v>0</v>
      </c>
      <c r="Y33" s="53">
        <f>'TUSD BE'!$Y$33*'TUSD BF'!$Y$59</f>
        <v>0</v>
      </c>
      <c r="Z33" s="53">
        <f>'TUSD BE'!$Z$33*'TUSD BF'!$Z$59</f>
        <v>0</v>
      </c>
      <c r="AA33" s="53">
        <f>'TUSD BE'!$AA$33*'TUSD BF'!$AA$59</f>
        <v>0</v>
      </c>
      <c r="AB33" s="53">
        <f>SUM($U$33:$AA$33)</f>
        <v>1.3884316443018885</v>
      </c>
      <c r="AC33" s="53">
        <f>'TUSD BE'!$AC$33*'TUSD BF'!$AC$59</f>
        <v>0</v>
      </c>
      <c r="AD33" s="53">
        <f>SUM($AC$33:$AC$33)</f>
        <v>0</v>
      </c>
      <c r="AE33" s="53">
        <f ca="1">$AO$33*$AO$56</f>
        <v>0</v>
      </c>
      <c r="AF33" s="53">
        <f ca="1">$AP$33*$AP$56</f>
        <v>0</v>
      </c>
      <c r="AG33" s="53">
        <f ca="1">SUM($AE$33:$AF$33)</f>
        <v>0</v>
      </c>
      <c r="AH33" s="53">
        <f>'TUSD BE'!$AH$33*'TUSD BF'!$AH$59</f>
        <v>1.8683920086812866</v>
      </c>
      <c r="AI33" s="53">
        <f>'TUSD BE'!$AI$33*'TUSD BF'!$AI$59</f>
        <v>6.4078771842007803E-2</v>
      </c>
      <c r="AJ33" s="53">
        <f ca="1">'TUSD BE'!$AJ$33*'TUSD BF'!$AJ$59</f>
        <v>0.27508186344607338</v>
      </c>
      <c r="AK33" s="53">
        <f ca="1">'TUSD BE'!$AK$33*'TUSD BF'!$AK$59</f>
        <v>0</v>
      </c>
      <c r="AL33" s="53">
        <f ca="1">SUM($AH$33:$AK$33)</f>
        <v>2.2075526439693678</v>
      </c>
      <c r="AM33" s="53">
        <f ca="1">SUMIF($L$4:$AL$4,"SUBTOTAL",$L$33:$AL$33)</f>
        <v>22.315718414012419</v>
      </c>
      <c r="AO33" s="76">
        <f ca="1">+'TUSD BE'!$T$33+'TUSD BE'!$AB$33+'TUSD BE'!$AD$33+'TUSD BE'!$AL$33</f>
        <v>232.39857770523767</v>
      </c>
      <c r="AP33" s="76">
        <f ca="1">+'TUSD BE'!$T$33+'TUSD BE'!$AB$33+'TUSD BE'!$AD$33+'TUSD BE'!$AL$33</f>
        <v>232.39857770523767</v>
      </c>
    </row>
    <row r="34" spans="1:42" ht="11.25" customHeight="1" x14ac:dyDescent="0.25">
      <c r="A34" s="131"/>
      <c r="B34" s="73" t="s">
        <v>23</v>
      </c>
      <c r="C34" s="73" t="s">
        <v>43</v>
      </c>
      <c r="D34" s="73" t="s">
        <v>25</v>
      </c>
      <c r="E34" s="73" t="s">
        <v>25</v>
      </c>
      <c r="F34" s="73" t="s">
        <v>25</v>
      </c>
      <c r="G34" s="74" t="s">
        <v>86</v>
      </c>
      <c r="H34" s="74" t="s">
        <v>82</v>
      </c>
      <c r="I34" s="74">
        <f>'MERCADO TUSD'!$U$31</f>
        <v>18727.453000000001</v>
      </c>
      <c r="J34" s="15"/>
      <c r="L34" s="53">
        <f>'TUSD BE'!$L$34*'TUSD BF'!$L$59</f>
        <v>0.40649744868455456</v>
      </c>
      <c r="M34" s="53">
        <f>'TUSD BE'!$M$34*'TUSD BF'!$M$59</f>
        <v>0</v>
      </c>
      <c r="N34" s="53">
        <f ca="1">'TUSD BE'!$N$34*'TUSD BF'!$N$59</f>
        <v>0</v>
      </c>
      <c r="O34" s="53">
        <f>'TUSD BE'!$O$34*'TUSD BF'!$O$59</f>
        <v>0</v>
      </c>
      <c r="P34" s="53">
        <f>'TUSD BE'!$P$34*'TUSD BF'!$P$59</f>
        <v>0</v>
      </c>
      <c r="Q34" s="53">
        <f>'TUSD BE'!$Q$34*'TUSD BF'!$Q$59</f>
        <v>15.068526904165468</v>
      </c>
      <c r="R34" s="53">
        <f>'TUSD BE'!$R$34*'TUSD BF'!$R$59</f>
        <v>3.2447097728911412</v>
      </c>
      <c r="S34" s="53">
        <f>'TUSD BE'!$R$34*'TUSD BF'!$S$59</f>
        <v>0</v>
      </c>
      <c r="T34" s="53">
        <f ca="1">SUM($L$34:$S$34)</f>
        <v>18.719734125741162</v>
      </c>
      <c r="U34" s="53">
        <f>'TUSD BE'!$U$34*'TUSD BF'!$U$59</f>
        <v>2.5987880561411036</v>
      </c>
      <c r="V34" s="53">
        <f>'TUSD BE'!$V$34*'TUSD BF'!$V$59</f>
        <v>0.78762203500237771</v>
      </c>
      <c r="W34" s="53">
        <f>'TUSD BE'!$W$34*'TUSD BF'!$W$59</f>
        <v>0</v>
      </c>
      <c r="X34" s="53">
        <f>'TUSD BE'!$X$34*'TUSD BF'!$X$59</f>
        <v>0</v>
      </c>
      <c r="Y34" s="53">
        <f>'TUSD BE'!$Y$34*'TUSD BF'!$Y$59</f>
        <v>0</v>
      </c>
      <c r="Z34" s="53">
        <f>'TUSD BE'!$Z$34*'TUSD BF'!$Z$59</f>
        <v>0</v>
      </c>
      <c r="AA34" s="53">
        <f>'TUSD BE'!$AA$34*'TUSD BF'!$AA$59</f>
        <v>0</v>
      </c>
      <c r="AB34" s="53">
        <f>SUM($U$34:$AA$34)</f>
        <v>3.3864100911434813</v>
      </c>
      <c r="AC34" s="53">
        <f>'TUSD BE'!$AC$34*'TUSD BF'!$AC$59</f>
        <v>0</v>
      </c>
      <c r="AD34" s="53">
        <f>SUM($AC$34:$AC$34)</f>
        <v>0</v>
      </c>
      <c r="AE34" s="53">
        <f ca="1">$AO$34*$AO$56</f>
        <v>0</v>
      </c>
      <c r="AF34" s="53">
        <f ca="1">$AP$34*$AP$56</f>
        <v>0</v>
      </c>
      <c r="AG34" s="53">
        <f ca="1">SUM($AE$34:$AF$34)</f>
        <v>0</v>
      </c>
      <c r="AH34" s="53">
        <f>'TUSD BE'!$AH$34*'TUSD BF'!$AH$59</f>
        <v>1.8683920086812866</v>
      </c>
      <c r="AI34" s="53">
        <f>'TUSD BE'!$AI$34*'TUSD BF'!$AI$59</f>
        <v>6.4078771842007803E-2</v>
      </c>
      <c r="AJ34" s="53">
        <f ca="1">'TUSD BE'!$AJ$34*'TUSD BF'!$AJ$59</f>
        <v>0.27508186344607338</v>
      </c>
      <c r="AK34" s="53">
        <f ca="1">'TUSD BE'!$AK$34*'TUSD BF'!$AK$59</f>
        <v>0</v>
      </c>
      <c r="AL34" s="53">
        <f ca="1">SUM($AH$34:$AK$34)</f>
        <v>2.2075526439693678</v>
      </c>
      <c r="AM34" s="53">
        <f ca="1">SUMIF($L$4:$AL$4,"SUBTOTAL",$L$34:$AL$34)</f>
        <v>24.313696860854012</v>
      </c>
      <c r="AO34" s="76">
        <f ca="1">+'TUSD BE'!$T$34+'TUSD BE'!$AB$34+'TUSD BE'!$AD$34+'TUSD BE'!$AL$34</f>
        <v>381.55822195694333</v>
      </c>
      <c r="AP34" s="76">
        <f ca="1">+'TUSD BE'!$T$34+'TUSD BE'!$AB$34+'TUSD BE'!$AD$34+'TUSD BE'!$AL$34</f>
        <v>381.55822195694333</v>
      </c>
    </row>
    <row r="35" spans="1:42" ht="11.25" customHeight="1" x14ac:dyDescent="0.25">
      <c r="A35" s="131"/>
      <c r="B35" s="131" t="s">
        <v>32</v>
      </c>
      <c r="C35" s="131" t="s">
        <v>43</v>
      </c>
      <c r="D35" s="131" t="s">
        <v>96</v>
      </c>
      <c r="E35" s="131" t="s">
        <v>25</v>
      </c>
      <c r="F35" s="131" t="s">
        <v>25</v>
      </c>
      <c r="G35" s="74" t="s">
        <v>83</v>
      </c>
      <c r="H35" s="74" t="s">
        <v>82</v>
      </c>
      <c r="I35" s="74">
        <f>'MERCADO TUSD'!$U$32</f>
        <v>0</v>
      </c>
      <c r="J35" s="15"/>
      <c r="L35" s="53">
        <f>'TUSD BE'!$L$35*'TUSD BF'!$L$59</f>
        <v>0.40649744868455456</v>
      </c>
      <c r="M35" s="53">
        <f>'TUSD BE'!$M$35*'TUSD BF'!$M$59</f>
        <v>0</v>
      </c>
      <c r="N35" s="53">
        <f ca="1">'TUSD BE'!$N$35*'TUSD BF'!$N$59</f>
        <v>0</v>
      </c>
      <c r="O35" s="53">
        <f>'TUSD BE'!$O$35*'TUSD BF'!$O$59</f>
        <v>0</v>
      </c>
      <c r="P35" s="53">
        <f>'TUSD BE'!$P$35*'TUSD BF'!$P$59</f>
        <v>0</v>
      </c>
      <c r="Q35" s="53">
        <f>'TUSD BE'!$Q$35*'TUSD BF'!$Q$59</f>
        <v>15.068526904165468</v>
      </c>
      <c r="R35" s="53">
        <f>'TUSD BE'!$R$35*'TUSD BF'!$R$59</f>
        <v>3.2447097728911412</v>
      </c>
      <c r="S35" s="53">
        <f>'TUSD BE'!$R$35*'TUSD BF'!$S$59</f>
        <v>0</v>
      </c>
      <c r="T35" s="53">
        <f ca="1">SUM($L$35:$S$35)</f>
        <v>18.719734125741162</v>
      </c>
      <c r="U35" s="53">
        <f>'TUSD BE'!$U$35*'TUSD BF'!$U$59</f>
        <v>10.655023160721411</v>
      </c>
      <c r="V35" s="53">
        <f>'TUSD BE'!$V$35*'TUSD BF'!$V$59</f>
        <v>3.2292575004569088</v>
      </c>
      <c r="W35" s="53">
        <f>'TUSD BE'!$W$35*'TUSD BF'!$W$59</f>
        <v>0</v>
      </c>
      <c r="X35" s="53">
        <f>'TUSD BE'!$X$35*'TUSD BF'!$X$59</f>
        <v>0</v>
      </c>
      <c r="Y35" s="53">
        <f>'TUSD BE'!$Y$35*'TUSD BF'!$Y$59</f>
        <v>0</v>
      </c>
      <c r="Z35" s="53">
        <f>'TUSD BE'!$Z$35*'TUSD BF'!$Z$59</f>
        <v>0</v>
      </c>
      <c r="AA35" s="53">
        <f>'TUSD BE'!$AA$35*'TUSD BF'!$AA$59</f>
        <v>0</v>
      </c>
      <c r="AB35" s="53">
        <f>SUM($U$35:$AA$35)</f>
        <v>13.88428066117832</v>
      </c>
      <c r="AC35" s="53">
        <f>'TUSD BE'!$AC$35*'TUSD BF'!$AC$59</f>
        <v>0</v>
      </c>
      <c r="AD35" s="53">
        <f>SUM($AC$35:$AC$35)</f>
        <v>0</v>
      </c>
      <c r="AE35" s="53">
        <f ca="1">$AO$35*$AO$56</f>
        <v>0</v>
      </c>
      <c r="AF35" s="53">
        <f ca="1">$AP$35*$AP$56</f>
        <v>0</v>
      </c>
      <c r="AG35" s="53">
        <f ca="1">SUM($AE$35:$AF$35)</f>
        <v>0</v>
      </c>
      <c r="AH35" s="53">
        <f>'TUSD BE'!$AH$35*'TUSD BF'!$AH$59</f>
        <v>1.8683920086812866</v>
      </c>
      <c r="AI35" s="53">
        <f>'TUSD BE'!$AI$35*'TUSD BF'!$AI$59</f>
        <v>6.4078771842007803E-2</v>
      </c>
      <c r="AJ35" s="53">
        <f ca="1">'TUSD BE'!$AJ$35*'TUSD BF'!$AJ$59</f>
        <v>0.27508186344607338</v>
      </c>
      <c r="AK35" s="53">
        <f ca="1">'TUSD BE'!$AK$35*'TUSD BF'!$AK$59</f>
        <v>0</v>
      </c>
      <c r="AL35" s="53">
        <f ca="1">SUM($AH$35:$AK$35)</f>
        <v>2.2075526439693678</v>
      </c>
      <c r="AM35" s="53">
        <f ca="1">SUMIF($L$4:$AL$4,"SUBTOTAL",$L$35:$AL$35)</f>
        <v>34.811567430888843</v>
      </c>
      <c r="AO35" s="76">
        <f ca="1">+'TUSD BE'!$T$35+'TUSD BE'!$AB$35+'TUSD BE'!$AD$35+'TUSD BE'!$AL$35</f>
        <v>1165.2782688432123</v>
      </c>
      <c r="AP35" s="76">
        <f ca="1">+'TUSD BE'!$T$35+'TUSD BE'!$AB$35+'TUSD BE'!$AD$35+'TUSD BE'!$AL$35</f>
        <v>1165.2782688432123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74" t="s">
        <v>93</v>
      </c>
      <c r="H36" s="74" t="s">
        <v>82</v>
      </c>
      <c r="I36" s="74">
        <f>'MERCADO TUSD'!$U$33</f>
        <v>0</v>
      </c>
      <c r="J36" s="15"/>
      <c r="L36" s="53">
        <f>'TUSD BE'!$L$36*'TUSD BF'!$L$59</f>
        <v>0.40649744868455456</v>
      </c>
      <c r="M36" s="53">
        <f>'TUSD BE'!$M$36*'TUSD BF'!$M$59</f>
        <v>0</v>
      </c>
      <c r="N36" s="53">
        <f ca="1">'TUSD BE'!$N$36*'TUSD BF'!$N$59</f>
        <v>0</v>
      </c>
      <c r="O36" s="53">
        <f>'TUSD BE'!$O$36*'TUSD BF'!$O$59</f>
        <v>0</v>
      </c>
      <c r="P36" s="53">
        <f>'TUSD BE'!$P$36*'TUSD BF'!$P$59</f>
        <v>0</v>
      </c>
      <c r="Q36" s="53">
        <f>'TUSD BE'!$Q$36*'TUSD BF'!$Q$59</f>
        <v>15.068526904165468</v>
      </c>
      <c r="R36" s="53">
        <f>'TUSD BE'!$R$36*'TUSD BF'!$R$59</f>
        <v>3.2447097728911412</v>
      </c>
      <c r="S36" s="53">
        <f>'TUSD BE'!$R$36*'TUSD BF'!$S$59</f>
        <v>0</v>
      </c>
      <c r="T36" s="53">
        <f ca="1">SUM($L$36:$S$36)</f>
        <v>18.719734125741162</v>
      </c>
      <c r="U36" s="53">
        <f>'TUSD BE'!$U$36*'TUSD BF'!$U$59</f>
        <v>5.3275151573866681</v>
      </c>
      <c r="V36" s="53">
        <f>'TUSD BE'!$V$36*'TUSD BF'!$V$59</f>
        <v>1.6146287502284544</v>
      </c>
      <c r="W36" s="53">
        <f>'TUSD BE'!$W$36*'TUSD BF'!$W$59</f>
        <v>0</v>
      </c>
      <c r="X36" s="53">
        <f>'TUSD BE'!$X$36*'TUSD BF'!$X$59</f>
        <v>0</v>
      </c>
      <c r="Y36" s="53">
        <f>'TUSD BE'!$Y$36*'TUSD BF'!$Y$59</f>
        <v>0</v>
      </c>
      <c r="Z36" s="53">
        <f>'TUSD BE'!$Z$36*'TUSD BF'!$Z$59</f>
        <v>0</v>
      </c>
      <c r="AA36" s="53">
        <f>'TUSD BE'!$AA$36*'TUSD BF'!$AA$59</f>
        <v>0</v>
      </c>
      <c r="AB36" s="53">
        <f>SUM($U$36:$AA$36)</f>
        <v>6.9421439076151223</v>
      </c>
      <c r="AC36" s="53">
        <f>'TUSD BE'!$AC$36*'TUSD BF'!$AC$59</f>
        <v>0</v>
      </c>
      <c r="AD36" s="53">
        <f>SUM($AC$36:$AC$36)</f>
        <v>0</v>
      </c>
      <c r="AE36" s="53">
        <f ca="1">$AO$36*$AO$56</f>
        <v>0</v>
      </c>
      <c r="AF36" s="53">
        <f ca="1">$AP$36*$AP$56</f>
        <v>0</v>
      </c>
      <c r="AG36" s="53">
        <f ca="1">SUM($AE$36:$AF$36)</f>
        <v>0</v>
      </c>
      <c r="AH36" s="53">
        <f>'TUSD BE'!$AH$36*'TUSD BF'!$AH$59</f>
        <v>1.8683920086812866</v>
      </c>
      <c r="AI36" s="53">
        <f>'TUSD BE'!$AI$36*'TUSD BF'!$AI$59</f>
        <v>6.4078771842007803E-2</v>
      </c>
      <c r="AJ36" s="53">
        <f ca="1">'TUSD BE'!$AJ$36*'TUSD BF'!$AJ$59</f>
        <v>0.27508186344607338</v>
      </c>
      <c r="AK36" s="53">
        <f ca="1">'TUSD BE'!$AK$36*'TUSD BF'!$AK$59</f>
        <v>0</v>
      </c>
      <c r="AL36" s="53">
        <f ca="1">SUM($AH$36:$AK$36)</f>
        <v>2.2075526439693678</v>
      </c>
      <c r="AM36" s="53">
        <f ca="1">SUMIF($L$4:$AL$4,"SUBTOTAL",$L$36:$AL$36)</f>
        <v>27.869430677325653</v>
      </c>
      <c r="AO36" s="76">
        <f ca="1">+'TUSD BE'!$T$36+'TUSD BE'!$AB$36+'TUSD BE'!$AD$36+'TUSD BE'!$AL$36</f>
        <v>647.01185908026901</v>
      </c>
      <c r="AP36" s="76">
        <f ca="1">+'TUSD BE'!$T$36+'TUSD BE'!$AB$36+'TUSD BE'!$AD$36+'TUSD BE'!$AL$36</f>
        <v>647.01185908026901</v>
      </c>
    </row>
    <row r="37" spans="1:42" ht="11.25" customHeight="1" x14ac:dyDescent="0.25">
      <c r="A37" s="131"/>
      <c r="B37" s="131"/>
      <c r="C37" s="131"/>
      <c r="D37" s="131"/>
      <c r="E37" s="131"/>
      <c r="F37" s="131"/>
      <c r="G37" s="74" t="s">
        <v>84</v>
      </c>
      <c r="H37" s="74" t="s">
        <v>82</v>
      </c>
      <c r="I37" s="74">
        <f>'MERCADO TUSD'!$U$34</f>
        <v>0</v>
      </c>
      <c r="J37" s="15"/>
      <c r="L37" s="53">
        <f>'TUSD BE'!$L$37*'TUSD BF'!$L$59</f>
        <v>0.40649744868455456</v>
      </c>
      <c r="M37" s="53">
        <f>'TUSD BE'!$M$37*'TUSD BF'!$M$59</f>
        <v>0</v>
      </c>
      <c r="N37" s="53">
        <f ca="1">'TUSD BE'!$N$37*'TUSD BF'!$N$59</f>
        <v>0</v>
      </c>
      <c r="O37" s="53">
        <f>'TUSD BE'!$O$37*'TUSD BF'!$O$59</f>
        <v>0</v>
      </c>
      <c r="P37" s="53">
        <f>'TUSD BE'!$P$37*'TUSD BF'!$P$59</f>
        <v>0</v>
      </c>
      <c r="Q37" s="53">
        <f>'TUSD BE'!$Q$37*'TUSD BF'!$Q$59</f>
        <v>15.068526904165468</v>
      </c>
      <c r="R37" s="53">
        <f>'TUSD BE'!$R$37*'TUSD BF'!$R$59</f>
        <v>3.2447097728911412</v>
      </c>
      <c r="S37" s="53">
        <f>'TUSD BE'!$R$37*'TUSD BF'!$S$59</f>
        <v>0</v>
      </c>
      <c r="T37" s="53">
        <f ca="1">SUM($L$37:$S$37)</f>
        <v>18.719734125741162</v>
      </c>
      <c r="U37" s="53">
        <f>'TUSD BE'!$U$37*'TUSD BF'!$U$59</f>
        <v>1.0655030314773335</v>
      </c>
      <c r="V37" s="53">
        <f>'TUSD BE'!$V$37*'TUSD BF'!$V$59</f>
        <v>0.32292861282455509</v>
      </c>
      <c r="W37" s="53">
        <f>'TUSD BE'!$W$37*'TUSD BF'!$W$59</f>
        <v>0</v>
      </c>
      <c r="X37" s="53">
        <f>'TUSD BE'!$X$37*'TUSD BF'!$X$59</f>
        <v>0</v>
      </c>
      <c r="Y37" s="53">
        <f>'TUSD BE'!$Y$37*'TUSD BF'!$Y$59</f>
        <v>0</v>
      </c>
      <c r="Z37" s="53">
        <f>'TUSD BE'!$Z$37*'TUSD BF'!$Z$59</f>
        <v>0</v>
      </c>
      <c r="AA37" s="53">
        <f>'TUSD BE'!$AA$37*'TUSD BF'!$AA$59</f>
        <v>0</v>
      </c>
      <c r="AB37" s="53">
        <f>SUM($U$37:$AA$37)</f>
        <v>1.3884316443018885</v>
      </c>
      <c r="AC37" s="53">
        <f>'TUSD BE'!$AC$37*'TUSD BF'!$AC$59</f>
        <v>0</v>
      </c>
      <c r="AD37" s="53">
        <f>SUM($AC$37:$AC$37)</f>
        <v>0</v>
      </c>
      <c r="AE37" s="53">
        <f ca="1">$AO$37*$AO$56</f>
        <v>0</v>
      </c>
      <c r="AF37" s="53">
        <f ca="1">$AP$37*$AP$56</f>
        <v>0</v>
      </c>
      <c r="AG37" s="53">
        <f ca="1">SUM($AE$37:$AF$37)</f>
        <v>0</v>
      </c>
      <c r="AH37" s="53">
        <f>'TUSD BE'!$AH$37*'TUSD BF'!$AH$59</f>
        <v>1.8683920086812866</v>
      </c>
      <c r="AI37" s="53">
        <f>'TUSD BE'!$AI$37*'TUSD BF'!$AI$59</f>
        <v>6.4078771842007803E-2</v>
      </c>
      <c r="AJ37" s="53">
        <f ca="1">'TUSD BE'!$AJ$37*'TUSD BF'!$AJ$59</f>
        <v>0.27508186344607338</v>
      </c>
      <c r="AK37" s="53">
        <f ca="1">'TUSD BE'!$AK$37*'TUSD BF'!$AK$59</f>
        <v>0</v>
      </c>
      <c r="AL37" s="53">
        <f ca="1">SUM($AH$37:$AK$37)</f>
        <v>2.2075526439693678</v>
      </c>
      <c r="AM37" s="53">
        <f ca="1">SUMIF($L$4:$AL$4,"SUBTOTAL",$L$37:$AL$37)</f>
        <v>22.315718414012419</v>
      </c>
      <c r="AO37" s="76">
        <f ca="1">+'TUSD BE'!$T$37+'TUSD BE'!$AB$37+'TUSD BE'!$AD$37+'TUSD BE'!$AL$37</f>
        <v>232.39857770523767</v>
      </c>
      <c r="AP37" s="76">
        <f ca="1">+'TUSD BE'!$T$37+'TUSD BE'!$AB$37+'TUSD BE'!$AD$37+'TUSD BE'!$AL$37</f>
        <v>232.39857770523767</v>
      </c>
    </row>
    <row r="38" spans="1:42" ht="11.25" customHeight="1" x14ac:dyDescent="0.25">
      <c r="A38" s="131"/>
      <c r="B38" s="73" t="s">
        <v>23</v>
      </c>
      <c r="C38" s="73" t="s">
        <v>43</v>
      </c>
      <c r="D38" s="73" t="s">
        <v>96</v>
      </c>
      <c r="E38" s="73" t="s">
        <v>25</v>
      </c>
      <c r="F38" s="73" t="s">
        <v>25</v>
      </c>
      <c r="G38" s="74" t="s">
        <v>86</v>
      </c>
      <c r="H38" s="74" t="s">
        <v>82</v>
      </c>
      <c r="I38" s="74">
        <f>'MERCADO TUSD'!$U$35</f>
        <v>0</v>
      </c>
      <c r="J38" s="15"/>
      <c r="L38" s="53">
        <f>'TUSD BE'!$L$38*'TUSD BF'!$L$59</f>
        <v>0.40649744868455456</v>
      </c>
      <c r="M38" s="53">
        <f>'TUSD BE'!$M$38*'TUSD BF'!$M$59</f>
        <v>0</v>
      </c>
      <c r="N38" s="53">
        <f ca="1">'TUSD BE'!$N$38*'TUSD BF'!$N$59</f>
        <v>0</v>
      </c>
      <c r="O38" s="53">
        <f>'TUSD BE'!$O$38*'TUSD BF'!$O$59</f>
        <v>0</v>
      </c>
      <c r="P38" s="53">
        <f>'TUSD BE'!$P$38*'TUSD BF'!$P$59</f>
        <v>0</v>
      </c>
      <c r="Q38" s="53">
        <f>'TUSD BE'!$Q$38*'TUSD BF'!$Q$59</f>
        <v>15.068526904165468</v>
      </c>
      <c r="R38" s="53">
        <f>'TUSD BE'!$R$38*'TUSD BF'!$R$59</f>
        <v>3.2447097728911412</v>
      </c>
      <c r="S38" s="53">
        <f>'TUSD BE'!$R$38*'TUSD BF'!$S$59</f>
        <v>0</v>
      </c>
      <c r="T38" s="53">
        <f ca="1">SUM($L$38:$S$38)</f>
        <v>18.719734125741162</v>
      </c>
      <c r="U38" s="53">
        <f>'TUSD BE'!$U$38*'TUSD BF'!$U$59</f>
        <v>2.5987880561411036</v>
      </c>
      <c r="V38" s="53">
        <f>'TUSD BE'!$V$38*'TUSD BF'!$V$59</f>
        <v>0.78762203500237771</v>
      </c>
      <c r="W38" s="53">
        <f>'TUSD BE'!$W$38*'TUSD BF'!$W$59</f>
        <v>0</v>
      </c>
      <c r="X38" s="53">
        <f>'TUSD BE'!$X$38*'TUSD BF'!$X$59</f>
        <v>0</v>
      </c>
      <c r="Y38" s="53">
        <f>'TUSD BE'!$Y$38*'TUSD BF'!$Y$59</f>
        <v>0</v>
      </c>
      <c r="Z38" s="53">
        <f>'TUSD BE'!$Z$38*'TUSD BF'!$Z$59</f>
        <v>0</v>
      </c>
      <c r="AA38" s="53">
        <f>'TUSD BE'!$AA$38*'TUSD BF'!$AA$59</f>
        <v>0</v>
      </c>
      <c r="AB38" s="53">
        <f>SUM($U$38:$AA$38)</f>
        <v>3.3864100911434813</v>
      </c>
      <c r="AC38" s="53">
        <f>'TUSD BE'!$AC$38*'TUSD BF'!$AC$59</f>
        <v>0</v>
      </c>
      <c r="AD38" s="53">
        <f>SUM($AC$38:$AC$38)</f>
        <v>0</v>
      </c>
      <c r="AE38" s="53">
        <f ca="1">$AO$38*$AO$56</f>
        <v>0</v>
      </c>
      <c r="AF38" s="53">
        <f ca="1">$AP$38*$AP$56</f>
        <v>0</v>
      </c>
      <c r="AG38" s="53">
        <f ca="1">SUM($AE$38:$AF$38)</f>
        <v>0</v>
      </c>
      <c r="AH38" s="53">
        <f>'TUSD BE'!$AH$38*'TUSD BF'!$AH$59</f>
        <v>1.8683920086812866</v>
      </c>
      <c r="AI38" s="53">
        <f>'TUSD BE'!$AI$38*'TUSD BF'!$AI$59</f>
        <v>6.4078771842007803E-2</v>
      </c>
      <c r="AJ38" s="53">
        <f ca="1">'TUSD BE'!$AJ$38*'TUSD BF'!$AJ$59</f>
        <v>0.27508186344607338</v>
      </c>
      <c r="AK38" s="53">
        <f ca="1">'TUSD BE'!$AK$38*'TUSD BF'!$AK$59</f>
        <v>0</v>
      </c>
      <c r="AL38" s="53">
        <f ca="1">SUM($AH$38:$AK$38)</f>
        <v>2.2075526439693678</v>
      </c>
      <c r="AM38" s="53">
        <f ca="1">SUMIF($L$4:$AL$4,"SUBTOTAL",$L$38:$AL$38)</f>
        <v>24.313696860854012</v>
      </c>
      <c r="AO38" s="76">
        <f ca="1">+'TUSD BE'!$T$38+'TUSD BE'!$AB$38+'TUSD BE'!$AD$38+'TUSD BE'!$AL$38</f>
        <v>381.55822195694333</v>
      </c>
      <c r="AP38" s="76">
        <f ca="1">+'TUSD BE'!$T$38+'TUSD BE'!$AB$38+'TUSD BE'!$AD$38+'TUSD BE'!$AL$38</f>
        <v>381.55822195694333</v>
      </c>
    </row>
    <row r="39" spans="1:42" ht="11.25" customHeight="1" x14ac:dyDescent="0.25">
      <c r="A39" s="131"/>
      <c r="B39" s="131" t="s">
        <v>32</v>
      </c>
      <c r="C39" s="131" t="s">
        <v>43</v>
      </c>
      <c r="D39" s="131" t="s">
        <v>97</v>
      </c>
      <c r="E39" s="131" t="s">
        <v>25</v>
      </c>
      <c r="F39" s="131" t="s">
        <v>25</v>
      </c>
      <c r="G39" s="74" t="s">
        <v>83</v>
      </c>
      <c r="H39" s="74" t="s">
        <v>82</v>
      </c>
      <c r="I39" s="74">
        <f>'MERCADO TUSD'!$U$36</f>
        <v>0</v>
      </c>
      <c r="J39" s="15"/>
      <c r="L39" s="53">
        <f>'TUSD BE'!$L$39*'TUSD BF'!$L$59</f>
        <v>0.40649744868455456</v>
      </c>
      <c r="M39" s="53">
        <f>'TUSD BE'!$M$39*'TUSD BF'!$M$59</f>
        <v>0</v>
      </c>
      <c r="N39" s="53">
        <f ca="1">'TUSD BE'!$N$39*'TUSD BF'!$N$59</f>
        <v>0</v>
      </c>
      <c r="O39" s="53">
        <f>'TUSD BE'!$O$39*'TUSD BF'!$O$59</f>
        <v>0</v>
      </c>
      <c r="P39" s="53">
        <f>'TUSD BE'!$P$39*'TUSD BF'!$P$59</f>
        <v>0</v>
      </c>
      <c r="Q39" s="53">
        <f>'TUSD BE'!$Q$39*'TUSD BF'!$Q$59</f>
        <v>15.068526904165468</v>
      </c>
      <c r="R39" s="53">
        <f>'TUSD BE'!$R$39*'TUSD BF'!$R$59</f>
        <v>3.2447097728911412</v>
      </c>
      <c r="S39" s="53">
        <f>'TUSD BE'!$R$39*'TUSD BF'!$S$59</f>
        <v>0</v>
      </c>
      <c r="T39" s="53">
        <f ca="1">SUM($L$39:$S$39)</f>
        <v>18.719734125741162</v>
      </c>
      <c r="U39" s="53">
        <f>'TUSD BE'!$U$39*'TUSD BF'!$U$59</f>
        <v>10.655023160721411</v>
      </c>
      <c r="V39" s="53">
        <f>'TUSD BE'!$V$39*'TUSD BF'!$V$59</f>
        <v>3.2292575004569088</v>
      </c>
      <c r="W39" s="53">
        <f>'TUSD BE'!$W$39*'TUSD BF'!$W$59</f>
        <v>0</v>
      </c>
      <c r="X39" s="53">
        <f>'TUSD BE'!$X$39*'TUSD BF'!$X$59</f>
        <v>0</v>
      </c>
      <c r="Y39" s="53">
        <f>'TUSD BE'!$Y$39*'TUSD BF'!$Y$59</f>
        <v>0</v>
      </c>
      <c r="Z39" s="53">
        <f>'TUSD BE'!$Z$39*'TUSD BF'!$Z$59</f>
        <v>0</v>
      </c>
      <c r="AA39" s="53">
        <f>'TUSD BE'!$AA$39*'TUSD BF'!$AA$59</f>
        <v>0</v>
      </c>
      <c r="AB39" s="53">
        <f>SUM($U$39:$AA$39)</f>
        <v>13.88428066117832</v>
      </c>
      <c r="AC39" s="53">
        <f>'TUSD BE'!$AC$39*'TUSD BF'!$AC$59</f>
        <v>0</v>
      </c>
      <c r="AD39" s="53">
        <f>SUM($AC$39:$AC$39)</f>
        <v>0</v>
      </c>
      <c r="AE39" s="53">
        <f ca="1">$AO$39*$AO$56</f>
        <v>0</v>
      </c>
      <c r="AF39" s="53">
        <f ca="1">$AP$39*$AP$56</f>
        <v>0</v>
      </c>
      <c r="AG39" s="53">
        <f ca="1">SUM($AE$39:$AF$39)</f>
        <v>0</v>
      </c>
      <c r="AH39" s="53">
        <f>'TUSD BE'!$AH$39*'TUSD BF'!$AH$59</f>
        <v>1.8683920086812866</v>
      </c>
      <c r="AI39" s="53">
        <f>'TUSD BE'!$AI$39*'TUSD BF'!$AI$59</f>
        <v>6.4078771842007803E-2</v>
      </c>
      <c r="AJ39" s="53">
        <f ca="1">'TUSD BE'!$AJ$39*'TUSD BF'!$AJ$59</f>
        <v>0.27508186344607338</v>
      </c>
      <c r="AK39" s="53">
        <f ca="1">'TUSD BE'!$AK$39*'TUSD BF'!$AK$59</f>
        <v>0</v>
      </c>
      <c r="AL39" s="53">
        <f ca="1">SUM($AH$39:$AK$39)</f>
        <v>2.2075526439693678</v>
      </c>
      <c r="AM39" s="53">
        <f ca="1">SUMIF($L$4:$AL$4,"SUBTOTAL",$L$39:$AL$39)</f>
        <v>34.811567430888843</v>
      </c>
      <c r="AO39" s="76">
        <f ca="1">+'TUSD BE'!$T$39+'TUSD BE'!$AB$39+'TUSD BE'!$AD$39+'TUSD BE'!$AL$39</f>
        <v>1165.2782688432123</v>
      </c>
      <c r="AP39" s="76">
        <f ca="1">+'TUSD BE'!$T$39+'TUSD BE'!$AB$39+'TUSD BE'!$AD$39+'TUSD BE'!$AL$39</f>
        <v>1165.2782688432123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74" t="s">
        <v>93</v>
      </c>
      <c r="H40" s="74" t="s">
        <v>82</v>
      </c>
      <c r="I40" s="74">
        <f>'MERCADO TUSD'!$U$37</f>
        <v>0</v>
      </c>
      <c r="J40" s="15"/>
      <c r="L40" s="53">
        <f>'TUSD BE'!$L$40*'TUSD BF'!$L$59</f>
        <v>0.40649744868455456</v>
      </c>
      <c r="M40" s="53">
        <f>'TUSD BE'!$M$40*'TUSD BF'!$M$59</f>
        <v>0</v>
      </c>
      <c r="N40" s="53">
        <f ca="1">'TUSD BE'!$N$40*'TUSD BF'!$N$59</f>
        <v>0</v>
      </c>
      <c r="O40" s="53">
        <f>'TUSD BE'!$O$40*'TUSD BF'!$O$59</f>
        <v>0</v>
      </c>
      <c r="P40" s="53">
        <f>'TUSD BE'!$P$40*'TUSD BF'!$P$59</f>
        <v>0</v>
      </c>
      <c r="Q40" s="53">
        <f>'TUSD BE'!$Q$40*'TUSD BF'!$Q$59</f>
        <v>15.068526904165468</v>
      </c>
      <c r="R40" s="53">
        <f>'TUSD BE'!$R$40*'TUSD BF'!$R$59</f>
        <v>3.2447097728911412</v>
      </c>
      <c r="S40" s="53">
        <f>'TUSD BE'!$R$40*'TUSD BF'!$S$59</f>
        <v>0</v>
      </c>
      <c r="T40" s="53">
        <f ca="1">SUM($L$40:$S$40)</f>
        <v>18.719734125741162</v>
      </c>
      <c r="U40" s="53">
        <f>'TUSD BE'!$U$40*'TUSD BF'!$U$59</f>
        <v>5.3275151573866681</v>
      </c>
      <c r="V40" s="53">
        <f>'TUSD BE'!$V$40*'TUSD BF'!$V$59</f>
        <v>1.6146287502284544</v>
      </c>
      <c r="W40" s="53">
        <f>'TUSD BE'!$W$40*'TUSD BF'!$W$59</f>
        <v>0</v>
      </c>
      <c r="X40" s="53">
        <f>'TUSD BE'!$X$40*'TUSD BF'!$X$59</f>
        <v>0</v>
      </c>
      <c r="Y40" s="53">
        <f>'TUSD BE'!$Y$40*'TUSD BF'!$Y$59</f>
        <v>0</v>
      </c>
      <c r="Z40" s="53">
        <f>'TUSD BE'!$Z$40*'TUSD BF'!$Z$59</f>
        <v>0</v>
      </c>
      <c r="AA40" s="53">
        <f>'TUSD BE'!$AA$40*'TUSD BF'!$AA$59</f>
        <v>0</v>
      </c>
      <c r="AB40" s="53">
        <f>SUM($U$40:$AA$40)</f>
        <v>6.9421439076151223</v>
      </c>
      <c r="AC40" s="53">
        <f>'TUSD BE'!$AC$40*'TUSD BF'!$AC$59</f>
        <v>0</v>
      </c>
      <c r="AD40" s="53">
        <f>SUM($AC$40:$AC$40)</f>
        <v>0</v>
      </c>
      <c r="AE40" s="53">
        <f ca="1">$AO$40*$AO$56</f>
        <v>0</v>
      </c>
      <c r="AF40" s="53">
        <f ca="1">$AP$40*$AP$56</f>
        <v>0</v>
      </c>
      <c r="AG40" s="53">
        <f ca="1">SUM($AE$40:$AF$40)</f>
        <v>0</v>
      </c>
      <c r="AH40" s="53">
        <f>'TUSD BE'!$AH$40*'TUSD BF'!$AH$59</f>
        <v>1.8683920086812866</v>
      </c>
      <c r="AI40" s="53">
        <f>'TUSD BE'!$AI$40*'TUSD BF'!$AI$59</f>
        <v>6.4078771842007803E-2</v>
      </c>
      <c r="AJ40" s="53">
        <f ca="1">'TUSD BE'!$AJ$40*'TUSD BF'!$AJ$59</f>
        <v>0.27508186344607338</v>
      </c>
      <c r="AK40" s="53">
        <f ca="1">'TUSD BE'!$AK$40*'TUSD BF'!$AK$59</f>
        <v>0</v>
      </c>
      <c r="AL40" s="53">
        <f ca="1">SUM($AH$40:$AK$40)</f>
        <v>2.2075526439693678</v>
      </c>
      <c r="AM40" s="53">
        <f ca="1">SUMIF($L$4:$AL$4,"SUBTOTAL",$L$40:$AL$40)</f>
        <v>27.869430677325653</v>
      </c>
      <c r="AO40" s="76">
        <f ca="1">+'TUSD BE'!$T$40+'TUSD BE'!$AB$40+'TUSD BE'!$AD$40+'TUSD BE'!$AL$40</f>
        <v>647.01185908026901</v>
      </c>
      <c r="AP40" s="76">
        <f ca="1">+'TUSD BE'!$T$40+'TUSD BE'!$AB$40+'TUSD BE'!$AD$40+'TUSD BE'!$AL$40</f>
        <v>647.01185908026901</v>
      </c>
    </row>
    <row r="41" spans="1:42" ht="11.25" customHeight="1" x14ac:dyDescent="0.25">
      <c r="A41" s="131"/>
      <c r="B41" s="131"/>
      <c r="C41" s="131"/>
      <c r="D41" s="131"/>
      <c r="E41" s="131"/>
      <c r="F41" s="131"/>
      <c r="G41" s="74" t="s">
        <v>84</v>
      </c>
      <c r="H41" s="74" t="s">
        <v>82</v>
      </c>
      <c r="I41" s="74">
        <f>'MERCADO TUSD'!$U$38</f>
        <v>0</v>
      </c>
      <c r="J41" s="15"/>
      <c r="L41" s="53">
        <f>'TUSD BE'!$L$41*'TUSD BF'!$L$59</f>
        <v>0.40649744868455456</v>
      </c>
      <c r="M41" s="53">
        <f>'TUSD BE'!$M$41*'TUSD BF'!$M$59</f>
        <v>0</v>
      </c>
      <c r="N41" s="53">
        <f ca="1">'TUSD BE'!$N$41*'TUSD BF'!$N$59</f>
        <v>0</v>
      </c>
      <c r="O41" s="53">
        <f>'TUSD BE'!$O$41*'TUSD BF'!$O$59</f>
        <v>0</v>
      </c>
      <c r="P41" s="53">
        <f>'TUSD BE'!$P$41*'TUSD BF'!$P$59</f>
        <v>0</v>
      </c>
      <c r="Q41" s="53">
        <f>'TUSD BE'!$Q$41*'TUSD BF'!$Q$59</f>
        <v>15.068526904165468</v>
      </c>
      <c r="R41" s="53">
        <f>'TUSD BE'!$R$41*'TUSD BF'!$R$59</f>
        <v>3.2447097728911412</v>
      </c>
      <c r="S41" s="53">
        <f>'TUSD BE'!$R$41*'TUSD BF'!$S$59</f>
        <v>0</v>
      </c>
      <c r="T41" s="53">
        <f ca="1">SUM($L$41:$S$41)</f>
        <v>18.719734125741162</v>
      </c>
      <c r="U41" s="53">
        <f>'TUSD BE'!$U$41*'TUSD BF'!$U$59</f>
        <v>1.0655030314773335</v>
      </c>
      <c r="V41" s="53">
        <f>'TUSD BE'!$V$41*'TUSD BF'!$V$59</f>
        <v>0.32292861282455509</v>
      </c>
      <c r="W41" s="53">
        <f>'TUSD BE'!$W$41*'TUSD BF'!$W$59</f>
        <v>0</v>
      </c>
      <c r="X41" s="53">
        <f>'TUSD BE'!$X$41*'TUSD BF'!$X$59</f>
        <v>0</v>
      </c>
      <c r="Y41" s="53">
        <f>'TUSD BE'!$Y$41*'TUSD BF'!$Y$59</f>
        <v>0</v>
      </c>
      <c r="Z41" s="53">
        <f>'TUSD BE'!$Z$41*'TUSD BF'!$Z$59</f>
        <v>0</v>
      </c>
      <c r="AA41" s="53">
        <f>'TUSD BE'!$AA$41*'TUSD BF'!$AA$59</f>
        <v>0</v>
      </c>
      <c r="AB41" s="53">
        <f>SUM($U$41:$AA$41)</f>
        <v>1.3884316443018885</v>
      </c>
      <c r="AC41" s="53">
        <f>'TUSD BE'!$AC$41*'TUSD BF'!$AC$59</f>
        <v>0</v>
      </c>
      <c r="AD41" s="53">
        <f>SUM($AC$41:$AC$41)</f>
        <v>0</v>
      </c>
      <c r="AE41" s="53">
        <f ca="1">$AO$41*$AO$56</f>
        <v>0</v>
      </c>
      <c r="AF41" s="53">
        <f ca="1">$AP$41*$AP$56</f>
        <v>0</v>
      </c>
      <c r="AG41" s="53">
        <f ca="1">SUM($AE$41:$AF$41)</f>
        <v>0</v>
      </c>
      <c r="AH41" s="53">
        <f>'TUSD BE'!$AH$41*'TUSD BF'!$AH$59</f>
        <v>1.8683920086812866</v>
      </c>
      <c r="AI41" s="53">
        <f>'TUSD BE'!$AI$41*'TUSD BF'!$AI$59</f>
        <v>6.4078771842007803E-2</v>
      </c>
      <c r="AJ41" s="53">
        <f ca="1">'TUSD BE'!$AJ$41*'TUSD BF'!$AJ$59</f>
        <v>0.27508186344607338</v>
      </c>
      <c r="AK41" s="53">
        <f ca="1">'TUSD BE'!$AK$41*'TUSD BF'!$AK$59</f>
        <v>0</v>
      </c>
      <c r="AL41" s="53">
        <f ca="1">SUM($AH$41:$AK$41)</f>
        <v>2.2075526439693678</v>
      </c>
      <c r="AM41" s="53">
        <f ca="1">SUMIF($L$4:$AL$4,"SUBTOTAL",$L$41:$AL$41)</f>
        <v>22.315718414012419</v>
      </c>
      <c r="AO41" s="76">
        <f ca="1">+'TUSD BE'!$T$41+'TUSD BE'!$AB$41+'TUSD BE'!$AD$41+'TUSD BE'!$AL$41</f>
        <v>232.39857770523767</v>
      </c>
      <c r="AP41" s="76">
        <f ca="1">+'TUSD BE'!$T$41+'TUSD BE'!$AB$41+'TUSD BE'!$AD$41+'TUSD BE'!$AL$41</f>
        <v>232.39857770523767</v>
      </c>
    </row>
    <row r="42" spans="1:42" ht="11.25" customHeight="1" x14ac:dyDescent="0.25">
      <c r="A42" s="131"/>
      <c r="B42" s="73" t="s">
        <v>23</v>
      </c>
      <c r="C42" s="73" t="s">
        <v>43</v>
      </c>
      <c r="D42" s="73" t="s">
        <v>97</v>
      </c>
      <c r="E42" s="73" t="s">
        <v>25</v>
      </c>
      <c r="F42" s="73" t="s">
        <v>25</v>
      </c>
      <c r="G42" s="74" t="s">
        <v>86</v>
      </c>
      <c r="H42" s="74" t="s">
        <v>82</v>
      </c>
      <c r="I42" s="74">
        <f>'MERCADO TUSD'!$U$39</f>
        <v>0</v>
      </c>
      <c r="J42" s="15"/>
      <c r="L42" s="53">
        <f>'TUSD BE'!$L$42*'TUSD BF'!$L$59</f>
        <v>0.40649744868455456</v>
      </c>
      <c r="M42" s="53">
        <f>'TUSD BE'!$M$42*'TUSD BF'!$M$59</f>
        <v>0</v>
      </c>
      <c r="N42" s="53">
        <f ca="1">'TUSD BE'!$N$42*'TUSD BF'!$N$59</f>
        <v>0</v>
      </c>
      <c r="O42" s="53">
        <f>'TUSD BE'!$O$42*'TUSD BF'!$O$59</f>
        <v>0</v>
      </c>
      <c r="P42" s="53">
        <f>'TUSD BE'!$P$42*'TUSD BF'!$P$59</f>
        <v>0</v>
      </c>
      <c r="Q42" s="53">
        <f>'TUSD BE'!$Q$42*'TUSD BF'!$Q$59</f>
        <v>15.068526904165468</v>
      </c>
      <c r="R42" s="53">
        <f>'TUSD BE'!$R$42*'TUSD BF'!$R$59</f>
        <v>3.2447097728911412</v>
      </c>
      <c r="S42" s="53">
        <f>'TUSD BE'!$R$42*'TUSD BF'!$S$59</f>
        <v>0</v>
      </c>
      <c r="T42" s="53">
        <f ca="1">SUM($L$42:$S$42)</f>
        <v>18.719734125741162</v>
      </c>
      <c r="U42" s="53">
        <f>'TUSD BE'!$U$42*'TUSD BF'!$U$59</f>
        <v>2.5987880561411036</v>
      </c>
      <c r="V42" s="53">
        <f>'TUSD BE'!$V$42*'TUSD BF'!$V$59</f>
        <v>0.78762203500237771</v>
      </c>
      <c r="W42" s="53">
        <f>'TUSD BE'!$W$42*'TUSD BF'!$W$59</f>
        <v>0</v>
      </c>
      <c r="X42" s="53">
        <f>'TUSD BE'!$X$42*'TUSD BF'!$X$59</f>
        <v>0</v>
      </c>
      <c r="Y42" s="53">
        <f>'TUSD BE'!$Y$42*'TUSD BF'!$Y$59</f>
        <v>0</v>
      </c>
      <c r="Z42" s="53">
        <f>'TUSD BE'!$Z$42*'TUSD BF'!$Z$59</f>
        <v>0</v>
      </c>
      <c r="AA42" s="53">
        <f>'TUSD BE'!$AA$42*'TUSD BF'!$AA$59</f>
        <v>0</v>
      </c>
      <c r="AB42" s="53">
        <f>SUM($U$42:$AA$42)</f>
        <v>3.3864100911434813</v>
      </c>
      <c r="AC42" s="53">
        <f>'TUSD BE'!$AC$42*'TUSD BF'!$AC$59</f>
        <v>0</v>
      </c>
      <c r="AD42" s="53">
        <f>SUM($AC$42:$AC$42)</f>
        <v>0</v>
      </c>
      <c r="AE42" s="53">
        <f ca="1">$AO$42*$AO$56</f>
        <v>0</v>
      </c>
      <c r="AF42" s="53">
        <f ca="1">$AP$42*$AP$56</f>
        <v>0</v>
      </c>
      <c r="AG42" s="53">
        <f ca="1">SUM($AE$42:$AF$42)</f>
        <v>0</v>
      </c>
      <c r="AH42" s="53">
        <f>'TUSD BE'!$AH$42*'TUSD BF'!$AH$59</f>
        <v>1.8683920086812866</v>
      </c>
      <c r="AI42" s="53">
        <f>'TUSD BE'!$AI$42*'TUSD BF'!$AI$59</f>
        <v>6.4078771842007803E-2</v>
      </c>
      <c r="AJ42" s="53">
        <f ca="1">'TUSD BE'!$AJ$42*'TUSD BF'!$AJ$59</f>
        <v>0.27508186344607338</v>
      </c>
      <c r="AK42" s="53">
        <f ca="1">'TUSD BE'!$AK$42*'TUSD BF'!$AK$59</f>
        <v>0</v>
      </c>
      <c r="AL42" s="53">
        <f ca="1">SUM($AH$42:$AK$42)</f>
        <v>2.2075526439693678</v>
      </c>
      <c r="AM42" s="53">
        <f ca="1">SUMIF($L$4:$AL$4,"SUBTOTAL",$L$42:$AL$42)</f>
        <v>24.313696860854012</v>
      </c>
      <c r="AO42" s="76">
        <f ca="1">+'TUSD BE'!$T$42+'TUSD BE'!$AB$42+'TUSD BE'!$AD$42+'TUSD BE'!$AL$42</f>
        <v>381.55822195694333</v>
      </c>
      <c r="AP42" s="76">
        <f ca="1">+'TUSD BE'!$T$42+'TUSD BE'!$AB$42+'TUSD BE'!$AD$42+'TUSD BE'!$AL$42</f>
        <v>381.55822195694333</v>
      </c>
    </row>
    <row r="43" spans="1:42" ht="11.25" customHeight="1" x14ac:dyDescent="0.25">
      <c r="A43" s="131"/>
      <c r="B43" s="131" t="s">
        <v>95</v>
      </c>
      <c r="C43" s="131" t="s">
        <v>43</v>
      </c>
      <c r="D43" s="73" t="s">
        <v>25</v>
      </c>
      <c r="E43" s="73" t="s">
        <v>25</v>
      </c>
      <c r="F43" s="73" t="s">
        <v>25</v>
      </c>
      <c r="G43" s="74" t="s">
        <v>86</v>
      </c>
      <c r="H43" s="74" t="s">
        <v>82</v>
      </c>
      <c r="I43" s="74">
        <f>'MERCADO TUSD'!$U$40</f>
        <v>0</v>
      </c>
      <c r="J43" s="15"/>
      <c r="L43" s="53">
        <f>'TUSD BE'!$L$43*'TUSD BF'!$L$59</f>
        <v>0.40649744868455456</v>
      </c>
      <c r="M43" s="53">
        <f>'TUSD BE'!$M$43*'TUSD BF'!$M$59</f>
        <v>0</v>
      </c>
      <c r="N43" s="53">
        <f ca="1">'TUSD BE'!$N$43*'TUSD BF'!$N$59</f>
        <v>0</v>
      </c>
      <c r="O43" s="53">
        <f>'TUSD BE'!$O$43*'TUSD BF'!$O$59</f>
        <v>0</v>
      </c>
      <c r="P43" s="53">
        <f>'TUSD BE'!$P$43*'TUSD BF'!$P$59</f>
        <v>0</v>
      </c>
      <c r="Q43" s="53">
        <f>'TUSD BE'!$Q$43*'TUSD BF'!$Q$59</f>
        <v>15.068526904165468</v>
      </c>
      <c r="R43" s="53">
        <f>'TUSD BE'!$R$43*'TUSD BF'!$R$59</f>
        <v>3.2447097728911412</v>
      </c>
      <c r="S43" s="53">
        <f>'TUSD BE'!$R$43*'TUSD BF'!$S$59</f>
        <v>0</v>
      </c>
      <c r="T43" s="53">
        <f ca="1">SUM($L$43:$S$43)</f>
        <v>18.719734125741162</v>
      </c>
      <c r="U43" s="53">
        <f>'TUSD BE'!$U$43*'TUSD BF'!$U$59</f>
        <v>2.5987880561411036</v>
      </c>
      <c r="V43" s="53">
        <f>'TUSD BE'!$V$43*'TUSD BF'!$V$59</f>
        <v>0.78762203500237771</v>
      </c>
      <c r="W43" s="53">
        <f>'TUSD BE'!$W$43*'TUSD BF'!$W$59</f>
        <v>0</v>
      </c>
      <c r="X43" s="53">
        <f>'TUSD BE'!$X$43*'TUSD BF'!$X$59</f>
        <v>0</v>
      </c>
      <c r="Y43" s="53">
        <f>'TUSD BE'!$Y$43*'TUSD BF'!$Y$59</f>
        <v>0</v>
      </c>
      <c r="Z43" s="53">
        <f>'TUSD BE'!$Z$43*'TUSD BF'!$Z$59</f>
        <v>0</v>
      </c>
      <c r="AA43" s="53">
        <f>'TUSD BE'!$AA$43*'TUSD BF'!$AA$59</f>
        <v>0</v>
      </c>
      <c r="AB43" s="53">
        <f>SUM($U$43:$AA$43)</f>
        <v>3.3864100911434813</v>
      </c>
      <c r="AC43" s="53">
        <f>'TUSD BE'!$AC$43*'TUSD BF'!$AC$59</f>
        <v>0</v>
      </c>
      <c r="AD43" s="53">
        <f>SUM($AC$43:$AC$43)</f>
        <v>0</v>
      </c>
      <c r="AE43" s="53">
        <f ca="1">$AO$43*$AO$56</f>
        <v>0</v>
      </c>
      <c r="AF43" s="53">
        <f ca="1">$AP$43*$AP$56</f>
        <v>0</v>
      </c>
      <c r="AG43" s="53">
        <f ca="1">SUM($AE$43:$AF$43)</f>
        <v>0</v>
      </c>
      <c r="AH43" s="53">
        <f>'TUSD BE'!$AH$43*'TUSD BF'!$AH$59</f>
        <v>1.8683920086812866</v>
      </c>
      <c r="AI43" s="53">
        <f>'TUSD BE'!$AI$43*'TUSD BF'!$AI$59</f>
        <v>6.4078771842007803E-2</v>
      </c>
      <c r="AJ43" s="53">
        <f ca="1">'TUSD BE'!$AJ$43*'TUSD BF'!$AJ$59</f>
        <v>0.27508186344607338</v>
      </c>
      <c r="AK43" s="53">
        <f ca="1">'TUSD BE'!$AK$43*'TUSD BF'!$AK$59</f>
        <v>0</v>
      </c>
      <c r="AL43" s="53">
        <f ca="1">SUM($AH$43:$AK$43)</f>
        <v>2.2075526439693678</v>
      </c>
      <c r="AM43" s="53">
        <f ca="1">SUMIF($L$4:$AL$4,"SUBTOTAL",$L$43:$AL$43)</f>
        <v>24.313696860854012</v>
      </c>
      <c r="AO43" s="76">
        <f ca="1">+'TUSD BE'!$T$43+'TUSD BE'!$AB$43+'TUSD BE'!$AD$43+'TUSD BE'!$AL$43</f>
        <v>381.55822195694333</v>
      </c>
      <c r="AP43" s="76">
        <f ca="1">+'TUSD BE'!$T$43+'TUSD BE'!$AB$43+'TUSD BE'!$AD$43+'TUSD BE'!$AL$43</f>
        <v>381.55822195694333</v>
      </c>
    </row>
    <row r="44" spans="1:42" ht="11.25" customHeight="1" x14ac:dyDescent="0.25">
      <c r="A44" s="131"/>
      <c r="B44" s="131"/>
      <c r="C44" s="131"/>
      <c r="D44" s="73" t="s">
        <v>96</v>
      </c>
      <c r="E44" s="73" t="s">
        <v>25</v>
      </c>
      <c r="F44" s="73" t="s">
        <v>25</v>
      </c>
      <c r="G44" s="74" t="s">
        <v>86</v>
      </c>
      <c r="H44" s="74" t="s">
        <v>82</v>
      </c>
      <c r="I44" s="74">
        <f>'MERCADO TUSD'!$U$41</f>
        <v>0</v>
      </c>
      <c r="J44" s="15"/>
      <c r="L44" s="53">
        <f>'TUSD BE'!$L$44*'TUSD BF'!$L$59</f>
        <v>0.40649744868455456</v>
      </c>
      <c r="M44" s="53">
        <f>'TUSD BE'!$M$44*'TUSD BF'!$M$59</f>
        <v>0</v>
      </c>
      <c r="N44" s="53">
        <f ca="1">'TUSD BE'!$N$44*'TUSD BF'!$N$59</f>
        <v>0</v>
      </c>
      <c r="O44" s="53">
        <f>'TUSD BE'!$O$44*'TUSD BF'!$O$59</f>
        <v>0</v>
      </c>
      <c r="P44" s="53">
        <f>'TUSD BE'!$P$44*'TUSD BF'!$P$59</f>
        <v>0</v>
      </c>
      <c r="Q44" s="53">
        <f>'TUSD BE'!$Q$44*'TUSD BF'!$Q$59</f>
        <v>15.068526904165468</v>
      </c>
      <c r="R44" s="53">
        <f>'TUSD BE'!$R$44*'TUSD BF'!$R$59</f>
        <v>3.2447097728911412</v>
      </c>
      <c r="S44" s="53">
        <f>'TUSD BE'!$R$44*'TUSD BF'!$S$59</f>
        <v>0</v>
      </c>
      <c r="T44" s="53">
        <f ca="1">SUM($L$44:$S$44)</f>
        <v>18.719734125741162</v>
      </c>
      <c r="U44" s="53">
        <f>'TUSD BE'!$U$44*'TUSD BF'!$U$59</f>
        <v>2.5987880561411036</v>
      </c>
      <c r="V44" s="53">
        <f>'TUSD BE'!$V$44*'TUSD BF'!$V$59</f>
        <v>0.78762203500237771</v>
      </c>
      <c r="W44" s="53">
        <f>'TUSD BE'!$W$44*'TUSD BF'!$W$59</f>
        <v>0</v>
      </c>
      <c r="X44" s="53">
        <f>'TUSD BE'!$X$44*'TUSD BF'!$X$59</f>
        <v>0</v>
      </c>
      <c r="Y44" s="53">
        <f>'TUSD BE'!$Y$44*'TUSD BF'!$Y$59</f>
        <v>0</v>
      </c>
      <c r="Z44" s="53">
        <f>'TUSD BE'!$Z$44*'TUSD BF'!$Z$59</f>
        <v>0</v>
      </c>
      <c r="AA44" s="53">
        <f>'TUSD BE'!$AA$44*'TUSD BF'!$AA$59</f>
        <v>0</v>
      </c>
      <c r="AB44" s="53">
        <f>SUM($U$44:$AA$44)</f>
        <v>3.3864100911434813</v>
      </c>
      <c r="AC44" s="53">
        <f>'TUSD BE'!$AC$44*'TUSD BF'!$AC$59</f>
        <v>0</v>
      </c>
      <c r="AD44" s="53">
        <f>SUM($AC$44:$AC$44)</f>
        <v>0</v>
      </c>
      <c r="AE44" s="53">
        <f ca="1">$AO$44*$AO$56</f>
        <v>0</v>
      </c>
      <c r="AF44" s="53">
        <f ca="1">$AP$44*$AP$56</f>
        <v>0</v>
      </c>
      <c r="AG44" s="53">
        <f ca="1">SUM($AE$44:$AF$44)</f>
        <v>0</v>
      </c>
      <c r="AH44" s="53">
        <f>'TUSD BE'!$AH$44*'TUSD BF'!$AH$59</f>
        <v>1.8683920086812866</v>
      </c>
      <c r="AI44" s="53">
        <f>'TUSD BE'!$AI$44*'TUSD BF'!$AI$59</f>
        <v>6.4078771842007803E-2</v>
      </c>
      <c r="AJ44" s="53">
        <f ca="1">'TUSD BE'!$AJ$44*'TUSD BF'!$AJ$59</f>
        <v>0.27508186344607338</v>
      </c>
      <c r="AK44" s="53">
        <f ca="1">'TUSD BE'!$AK$44*'TUSD BF'!$AK$59</f>
        <v>0</v>
      </c>
      <c r="AL44" s="53">
        <f ca="1">SUM($AH$44:$AK$44)</f>
        <v>2.2075526439693678</v>
      </c>
      <c r="AM44" s="53">
        <f ca="1">SUMIF($L$4:$AL$4,"SUBTOTAL",$L$44:$AL$44)</f>
        <v>24.313696860854012</v>
      </c>
      <c r="AO44" s="76">
        <f ca="1">+'TUSD BE'!$T$44+'TUSD BE'!$AB$44+'TUSD BE'!$AD$44+'TUSD BE'!$AL$44</f>
        <v>381.55822195694333</v>
      </c>
      <c r="AP44" s="76">
        <f ca="1">+'TUSD BE'!$T$44+'TUSD BE'!$AB$44+'TUSD BE'!$AD$44+'TUSD BE'!$AL$44</f>
        <v>381.55822195694333</v>
      </c>
    </row>
    <row r="45" spans="1:42" ht="11.25" customHeight="1" x14ac:dyDescent="0.25">
      <c r="A45" s="131"/>
      <c r="B45" s="131"/>
      <c r="C45" s="131"/>
      <c r="D45" s="73" t="s">
        <v>97</v>
      </c>
      <c r="E45" s="73" t="s">
        <v>25</v>
      </c>
      <c r="F45" s="73" t="s">
        <v>25</v>
      </c>
      <c r="G45" s="74" t="s">
        <v>86</v>
      </c>
      <c r="H45" s="74" t="s">
        <v>82</v>
      </c>
      <c r="I45" s="74">
        <f>'MERCADO TUSD'!$U$42</f>
        <v>0</v>
      </c>
      <c r="J45" s="15"/>
      <c r="L45" s="53">
        <f>'TUSD BE'!$L$45*'TUSD BF'!$L$59</f>
        <v>0.40649744868455456</v>
      </c>
      <c r="M45" s="53">
        <f>'TUSD BE'!$M$45*'TUSD BF'!$M$59</f>
        <v>0</v>
      </c>
      <c r="N45" s="53">
        <f ca="1">'TUSD BE'!$N$45*'TUSD BF'!$N$59</f>
        <v>0</v>
      </c>
      <c r="O45" s="53">
        <f>'TUSD BE'!$O$45*'TUSD BF'!$O$59</f>
        <v>0</v>
      </c>
      <c r="P45" s="53">
        <f>'TUSD BE'!$P$45*'TUSD BF'!$P$59</f>
        <v>0</v>
      </c>
      <c r="Q45" s="53">
        <f>'TUSD BE'!$Q$45*'TUSD BF'!$Q$59</f>
        <v>15.068526904165468</v>
      </c>
      <c r="R45" s="53">
        <f>'TUSD BE'!$R$45*'TUSD BF'!$R$59</f>
        <v>3.2447097728911412</v>
      </c>
      <c r="S45" s="53">
        <f>'TUSD BE'!$R$45*'TUSD BF'!$S$59</f>
        <v>0</v>
      </c>
      <c r="T45" s="53">
        <f ca="1">SUM($L$45:$S$45)</f>
        <v>18.719734125741162</v>
      </c>
      <c r="U45" s="53">
        <f>'TUSD BE'!$U$45*'TUSD BF'!$U$59</f>
        <v>2.5987880561411036</v>
      </c>
      <c r="V45" s="53">
        <f>'TUSD BE'!$V$45*'TUSD BF'!$V$59</f>
        <v>0.78762203500237771</v>
      </c>
      <c r="W45" s="53">
        <f>'TUSD BE'!$W$45*'TUSD BF'!$W$59</f>
        <v>0</v>
      </c>
      <c r="X45" s="53">
        <f>'TUSD BE'!$X$45*'TUSD BF'!$X$59</f>
        <v>0</v>
      </c>
      <c r="Y45" s="53">
        <f>'TUSD BE'!$Y$45*'TUSD BF'!$Y$59</f>
        <v>0</v>
      </c>
      <c r="Z45" s="53">
        <f>'TUSD BE'!$Z$45*'TUSD BF'!$Z$59</f>
        <v>0</v>
      </c>
      <c r="AA45" s="53">
        <f>'TUSD BE'!$AA$45*'TUSD BF'!$AA$59</f>
        <v>0</v>
      </c>
      <c r="AB45" s="53">
        <f>SUM($U$45:$AA$45)</f>
        <v>3.3864100911434813</v>
      </c>
      <c r="AC45" s="53">
        <f>'TUSD BE'!$AC$45*'TUSD BF'!$AC$59</f>
        <v>0</v>
      </c>
      <c r="AD45" s="53">
        <f>SUM($AC$45:$AC$45)</f>
        <v>0</v>
      </c>
      <c r="AE45" s="53">
        <f ca="1">$AO$45*$AO$56</f>
        <v>0</v>
      </c>
      <c r="AF45" s="53">
        <f ca="1">$AP$45*$AP$56</f>
        <v>0</v>
      </c>
      <c r="AG45" s="53">
        <f ca="1">SUM($AE$45:$AF$45)</f>
        <v>0</v>
      </c>
      <c r="AH45" s="53">
        <f>'TUSD BE'!$AH$45*'TUSD BF'!$AH$59</f>
        <v>1.8683920086812866</v>
      </c>
      <c r="AI45" s="53">
        <f>'TUSD BE'!$AI$45*'TUSD BF'!$AI$59</f>
        <v>6.4078771842007803E-2</v>
      </c>
      <c r="AJ45" s="53">
        <f ca="1">'TUSD BE'!$AJ$45*'TUSD BF'!$AJ$59</f>
        <v>0.27508186344607338</v>
      </c>
      <c r="AK45" s="53">
        <f ca="1">'TUSD BE'!$AK$45*'TUSD BF'!$AK$59</f>
        <v>0</v>
      </c>
      <c r="AL45" s="53">
        <f ca="1">SUM($AH$45:$AK$45)</f>
        <v>2.2075526439693678</v>
      </c>
      <c r="AM45" s="53">
        <f ca="1">SUMIF($L$4:$AL$4,"SUBTOTAL",$L$45:$AL$45)</f>
        <v>24.313696860854012</v>
      </c>
      <c r="AO45" s="76">
        <f ca="1">+'TUSD BE'!$T$45+'TUSD BE'!$AB$45+'TUSD BE'!$AD$45+'TUSD BE'!$AL$45</f>
        <v>381.55822195694333</v>
      </c>
      <c r="AP45" s="76">
        <f ca="1">+'TUSD BE'!$T$45+'TUSD BE'!$AB$45+'TUSD BE'!$AD$45+'TUSD BE'!$AL$45</f>
        <v>381.55822195694333</v>
      </c>
    </row>
    <row r="46" spans="1:42" ht="11.25" customHeight="1" x14ac:dyDescent="0.25">
      <c r="A46" s="131" t="s">
        <v>36</v>
      </c>
      <c r="B46" s="131" t="s">
        <v>32</v>
      </c>
      <c r="C46" s="131" t="s">
        <v>25</v>
      </c>
      <c r="D46" s="131" t="s">
        <v>25</v>
      </c>
      <c r="E46" s="131" t="s">
        <v>25</v>
      </c>
      <c r="F46" s="131" t="s">
        <v>25</v>
      </c>
      <c r="G46" s="74" t="s">
        <v>83</v>
      </c>
      <c r="H46" s="74" t="s">
        <v>82</v>
      </c>
      <c r="I46" s="74">
        <f>'MERCADO TUSD'!$U$43</f>
        <v>20.471999999999998</v>
      </c>
      <c r="J46" s="15"/>
      <c r="L46" s="53">
        <f>'TUSD BE'!$L$46*'TUSD BF'!$L$59</f>
        <v>0.40649744868455456</v>
      </c>
      <c r="M46" s="53">
        <f>'TUSD BE'!$M$46*'TUSD BF'!$M$59</f>
        <v>0</v>
      </c>
      <c r="N46" s="53">
        <f ca="1">'TUSD BE'!$N$46*'TUSD BF'!$N$59</f>
        <v>0</v>
      </c>
      <c r="O46" s="53">
        <f>'TUSD BE'!$O$46*'TUSD BF'!$O$59</f>
        <v>0</v>
      </c>
      <c r="P46" s="53">
        <f>'TUSD BE'!$P$46*'TUSD BF'!$P$59</f>
        <v>0</v>
      </c>
      <c r="Q46" s="53">
        <f>'TUSD BE'!$Q$46*'TUSD BF'!$Q$59</f>
        <v>15.068526904165468</v>
      </c>
      <c r="R46" s="53">
        <f>'TUSD BE'!$R$46*'TUSD BF'!$R$59</f>
        <v>3.2447097728911412</v>
      </c>
      <c r="S46" s="53">
        <f>'TUSD BE'!$R$46*'TUSD BF'!$S$59</f>
        <v>0</v>
      </c>
      <c r="T46" s="53">
        <f ca="1">SUM($L$46:$S$46)</f>
        <v>18.719734125741162</v>
      </c>
      <c r="U46" s="53">
        <f>'TUSD BE'!$U$46*'TUSD BF'!$U$59</f>
        <v>12.474176946235758</v>
      </c>
      <c r="V46" s="53">
        <f>'TUSD BE'!$V$46*'TUSD BF'!$V$59</f>
        <v>3.7805929249585732</v>
      </c>
      <c r="W46" s="53">
        <f>'TUSD BE'!$W$46*'TUSD BF'!$W$59</f>
        <v>0</v>
      </c>
      <c r="X46" s="53">
        <f>'TUSD BE'!$X$46*'TUSD BF'!$X$59</f>
        <v>0</v>
      </c>
      <c r="Y46" s="53">
        <f>'TUSD BE'!$Y$46*'TUSD BF'!$Y$59</f>
        <v>0</v>
      </c>
      <c r="Z46" s="53">
        <f>'TUSD BE'!$Z$46*'TUSD BF'!$Z$59</f>
        <v>0</v>
      </c>
      <c r="AA46" s="53">
        <f>'TUSD BE'!$AA$46*'TUSD BF'!$AA$59</f>
        <v>0</v>
      </c>
      <c r="AB46" s="53">
        <f>SUM($U$46:$AA$46)</f>
        <v>16.25476987119433</v>
      </c>
      <c r="AC46" s="53">
        <f>'TUSD BE'!$AC$46*'TUSD BF'!$AC$59</f>
        <v>0</v>
      </c>
      <c r="AD46" s="53">
        <f>SUM($AC$46:$AC$46)</f>
        <v>0</v>
      </c>
      <c r="AE46" s="53">
        <f ca="1">$AO$46*$AO$56</f>
        <v>0</v>
      </c>
      <c r="AF46" s="53">
        <f ca="1">$AP$46*$AP$56</f>
        <v>0</v>
      </c>
      <c r="AG46" s="53">
        <f ca="1">SUM($AE$46:$AF$46)</f>
        <v>0</v>
      </c>
      <c r="AH46" s="53">
        <f>'TUSD BE'!$AH$46*'TUSD BF'!$AH$59</f>
        <v>1.8683920086812866</v>
      </c>
      <c r="AI46" s="53">
        <f>'TUSD BE'!$AI$46*'TUSD BF'!$AI$59</f>
        <v>6.4078771842007803E-2</v>
      </c>
      <c r="AJ46" s="53">
        <f ca="1">'TUSD BE'!$AJ$46*'TUSD BF'!$AJ$59</f>
        <v>0.27508186344607338</v>
      </c>
      <c r="AK46" s="53">
        <f ca="1">'TUSD BE'!$AK$46*'TUSD BF'!$AK$59</f>
        <v>0</v>
      </c>
      <c r="AL46" s="53">
        <f ca="1">SUM($AH$46:$AK$46)</f>
        <v>2.2075526439693678</v>
      </c>
      <c r="AM46" s="53">
        <f ca="1">SUMIF($L$4:$AL$4,"SUBTOTAL",$L$46:$AL$46)</f>
        <v>37.182056640904861</v>
      </c>
      <c r="AO46" s="76">
        <f ca="1">+'TUSD BE'!$T$46+'TUSD BE'!$AB$46+'TUSD BE'!$AD$46+'TUSD BE'!$AL$46</f>
        <v>1342.24739268454</v>
      </c>
      <c r="AP46" s="76">
        <f ca="1">+'TUSD BE'!$T$46+'TUSD BE'!$AB$46+'TUSD BE'!$AD$46+'TUSD BE'!$AL$46</f>
        <v>1342.24739268454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74" t="s">
        <v>93</v>
      </c>
      <c r="H47" s="74" t="s">
        <v>82</v>
      </c>
      <c r="I47" s="74">
        <f>'MERCADO TUSD'!$U$44</f>
        <v>16.687999999999999</v>
      </c>
      <c r="J47" s="15"/>
      <c r="L47" s="53">
        <f>'TUSD BE'!$L$47*'TUSD BF'!$L$59</f>
        <v>0.40649744868455456</v>
      </c>
      <c r="M47" s="53">
        <f>'TUSD BE'!$M$47*'TUSD BF'!$M$59</f>
        <v>0</v>
      </c>
      <c r="N47" s="53">
        <f ca="1">'TUSD BE'!$N$47*'TUSD BF'!$N$59</f>
        <v>0</v>
      </c>
      <c r="O47" s="53">
        <f>'TUSD BE'!$O$47*'TUSD BF'!$O$59</f>
        <v>0</v>
      </c>
      <c r="P47" s="53">
        <f>'TUSD BE'!$P$47*'TUSD BF'!$P$59</f>
        <v>0</v>
      </c>
      <c r="Q47" s="53">
        <f>'TUSD BE'!$Q$47*'TUSD BF'!$Q$59</f>
        <v>15.068526904165468</v>
      </c>
      <c r="R47" s="53">
        <f>'TUSD BE'!$R$47*'TUSD BF'!$R$59</f>
        <v>3.2447097728911412</v>
      </c>
      <c r="S47" s="53">
        <f>'TUSD BE'!$R$47*'TUSD BF'!$S$59</f>
        <v>0</v>
      </c>
      <c r="T47" s="53">
        <f ca="1">SUM($L$47:$S$47)</f>
        <v>18.719734125741162</v>
      </c>
      <c r="U47" s="53">
        <f>'TUSD BE'!$U$47*'TUSD BF'!$U$59</f>
        <v>3.7422559454914976</v>
      </c>
      <c r="V47" s="53">
        <f>'TUSD BE'!$V$47*'TUSD BF'!$V$59</f>
        <v>1.1341757304034237</v>
      </c>
      <c r="W47" s="53">
        <f>'TUSD BE'!$W$47*'TUSD BF'!$W$59</f>
        <v>0</v>
      </c>
      <c r="X47" s="53">
        <f>'TUSD BE'!$X$47*'TUSD BF'!$X$59</f>
        <v>0</v>
      </c>
      <c r="Y47" s="53">
        <f>'TUSD BE'!$Y$47*'TUSD BF'!$Y$59</f>
        <v>0</v>
      </c>
      <c r="Z47" s="53">
        <f>'TUSD BE'!$Z$47*'TUSD BF'!$Z$59</f>
        <v>0</v>
      </c>
      <c r="AA47" s="53">
        <f>'TUSD BE'!$AA$47*'TUSD BF'!$AA$59</f>
        <v>0</v>
      </c>
      <c r="AB47" s="53">
        <f>SUM($U$47:$AA$47)</f>
        <v>4.8764316758949215</v>
      </c>
      <c r="AC47" s="53">
        <f>'TUSD BE'!$AC$47*'TUSD BF'!$AC$59</f>
        <v>0</v>
      </c>
      <c r="AD47" s="53">
        <f>SUM($AC$47:$AC$47)</f>
        <v>0</v>
      </c>
      <c r="AE47" s="53">
        <f ca="1">$AO$47*$AO$56</f>
        <v>0</v>
      </c>
      <c r="AF47" s="53">
        <f ca="1">$AP$47*$AP$56</f>
        <v>0</v>
      </c>
      <c r="AG47" s="53">
        <f ca="1">SUM($AE$47:$AF$47)</f>
        <v>0</v>
      </c>
      <c r="AH47" s="53">
        <f>'TUSD BE'!$AH$47*'TUSD BF'!$AH$59</f>
        <v>1.8683920086812866</v>
      </c>
      <c r="AI47" s="53">
        <f>'TUSD BE'!$AI$47*'TUSD BF'!$AI$59</f>
        <v>6.4078771842007803E-2</v>
      </c>
      <c r="AJ47" s="53">
        <f ca="1">'TUSD BE'!$AJ$47*'TUSD BF'!$AJ$59</f>
        <v>0.27508186344607338</v>
      </c>
      <c r="AK47" s="53">
        <f ca="1">'TUSD BE'!$AK$47*'TUSD BF'!$AK$59</f>
        <v>0</v>
      </c>
      <c r="AL47" s="53">
        <f ca="1">SUM($AH$47:$AK$47)</f>
        <v>2.2075526439693678</v>
      </c>
      <c r="AM47" s="53">
        <f ca="1">SUMIF($L$4:$AL$4,"SUBTOTAL",$L$47:$AL$47)</f>
        <v>25.803718445605451</v>
      </c>
      <c r="AO47" s="76">
        <f ca="1">+'TUSD BE'!$T$47+'TUSD BE'!$AB$47+'TUSD BE'!$AD$47+'TUSD BE'!$AL$47</f>
        <v>492.79594582321204</v>
      </c>
      <c r="AP47" s="76">
        <f ca="1">+'TUSD BE'!$T$47+'TUSD BE'!$AB$47+'TUSD BE'!$AD$47+'TUSD BE'!$AL$47</f>
        <v>492.79594582321204</v>
      </c>
    </row>
    <row r="48" spans="1:42" ht="11.25" customHeight="1" x14ac:dyDescent="0.25">
      <c r="A48" s="131"/>
      <c r="B48" s="131"/>
      <c r="C48" s="131"/>
      <c r="D48" s="131"/>
      <c r="E48" s="131"/>
      <c r="F48" s="131"/>
      <c r="G48" s="74" t="s">
        <v>84</v>
      </c>
      <c r="H48" s="74" t="s">
        <v>82</v>
      </c>
      <c r="I48" s="74">
        <f>'MERCADO TUSD'!$U$45</f>
        <v>216.36699999999999</v>
      </c>
      <c r="J48" s="15"/>
      <c r="L48" s="53">
        <f>'TUSD BE'!$L$48*'TUSD BF'!$L$59</f>
        <v>0.40649744868455456</v>
      </c>
      <c r="M48" s="53">
        <f>'TUSD BE'!$M$48*'TUSD BF'!$M$59</f>
        <v>0</v>
      </c>
      <c r="N48" s="53">
        <f ca="1">'TUSD BE'!$N$48*'TUSD BF'!$N$59</f>
        <v>0</v>
      </c>
      <c r="O48" s="53">
        <f>'TUSD BE'!$O$48*'TUSD BF'!$O$59</f>
        <v>0</v>
      </c>
      <c r="P48" s="53">
        <f>'TUSD BE'!$P$48*'TUSD BF'!$P$59</f>
        <v>0</v>
      </c>
      <c r="Q48" s="53">
        <f>'TUSD BE'!$Q$48*'TUSD BF'!$Q$59</f>
        <v>15.068526904165468</v>
      </c>
      <c r="R48" s="53">
        <f>'TUSD BE'!$R$48*'TUSD BF'!$R$59</f>
        <v>3.2447097728911412</v>
      </c>
      <c r="S48" s="53">
        <f>'TUSD BE'!$R$48*'TUSD BF'!$S$59</f>
        <v>0</v>
      </c>
      <c r="T48" s="53">
        <f ca="1">SUM($L$48:$S$48)</f>
        <v>18.719734125741162</v>
      </c>
      <c r="U48" s="53">
        <f>'TUSD BE'!$U$48*'TUSD BF'!$U$59</f>
        <v>1.2474162638131912</v>
      </c>
      <c r="V48" s="53">
        <f>'TUSD BE'!$V$48*'TUSD BF'!$V$59</f>
        <v>0.37805857680114124</v>
      </c>
      <c r="W48" s="53">
        <f>'TUSD BE'!$W$48*'TUSD BF'!$W$59</f>
        <v>0</v>
      </c>
      <c r="X48" s="53">
        <f>'TUSD BE'!$X$48*'TUSD BF'!$X$59</f>
        <v>0</v>
      </c>
      <c r="Y48" s="53">
        <f>'TUSD BE'!$Y$48*'TUSD BF'!$Y$59</f>
        <v>0</v>
      </c>
      <c r="Z48" s="53">
        <f>'TUSD BE'!$Z$48*'TUSD BF'!$Z$59</f>
        <v>0</v>
      </c>
      <c r="AA48" s="53">
        <f>'TUSD BE'!$AA$48*'TUSD BF'!$AA$59</f>
        <v>0</v>
      </c>
      <c r="AB48" s="53">
        <f>SUM($U$48:$AA$48)</f>
        <v>1.6254748406143325</v>
      </c>
      <c r="AC48" s="53">
        <f>'TUSD BE'!$AC$48*'TUSD BF'!$AC$59</f>
        <v>0</v>
      </c>
      <c r="AD48" s="53">
        <f>SUM($AC$48:$AC$48)</f>
        <v>0</v>
      </c>
      <c r="AE48" s="53">
        <f ca="1">$AO$48*$AO$56</f>
        <v>0</v>
      </c>
      <c r="AF48" s="53">
        <f ca="1">$AP$48*$AP$56</f>
        <v>0</v>
      </c>
      <c r="AG48" s="53">
        <f ca="1">SUM($AE$48:$AF$48)</f>
        <v>0</v>
      </c>
      <c r="AH48" s="53">
        <f>'TUSD BE'!$AH$48*'TUSD BF'!$AH$59</f>
        <v>1.8683920086812866</v>
      </c>
      <c r="AI48" s="53">
        <f>'TUSD BE'!$AI$48*'TUSD BF'!$AI$59</f>
        <v>6.4078771842007803E-2</v>
      </c>
      <c r="AJ48" s="53">
        <f ca="1">'TUSD BE'!$AJ$48*'TUSD BF'!$AJ$59</f>
        <v>0.27508186344607338</v>
      </c>
      <c r="AK48" s="53">
        <f ca="1">'TUSD BE'!$AK$48*'TUSD BF'!$AK$59</f>
        <v>0</v>
      </c>
      <c r="AL48" s="53">
        <f ca="1">SUM($AH$48:$AK$48)</f>
        <v>2.2075526439693678</v>
      </c>
      <c r="AM48" s="53">
        <f ca="1">SUMIF($L$4:$AL$4,"SUBTOTAL",$L$48:$AL$48)</f>
        <v>22.552761610324861</v>
      </c>
      <c r="AO48" s="76">
        <f ca="1">+'TUSD BE'!$T$48+'TUSD BE'!$AB$48+'TUSD BE'!$AD$48+'TUSD BE'!$AL$48</f>
        <v>250.09551932214086</v>
      </c>
      <c r="AP48" s="76">
        <f ca="1">+'TUSD BE'!$T$48+'TUSD BE'!$AB$48+'TUSD BE'!$AD$48+'TUSD BE'!$AL$48</f>
        <v>250.09551932214086</v>
      </c>
    </row>
    <row r="49" spans="1:42" ht="11.25" customHeight="1" x14ac:dyDescent="0.25">
      <c r="A49" s="131"/>
      <c r="B49" s="73" t="s">
        <v>23</v>
      </c>
      <c r="C49" s="73" t="s">
        <v>25</v>
      </c>
      <c r="D49" s="73" t="s">
        <v>25</v>
      </c>
      <c r="E49" s="73" t="s">
        <v>25</v>
      </c>
      <c r="F49" s="73" t="s">
        <v>25</v>
      </c>
      <c r="G49" s="74" t="s">
        <v>86</v>
      </c>
      <c r="H49" s="74" t="s">
        <v>82</v>
      </c>
      <c r="I49" s="74">
        <f>'MERCADO TUSD'!$U$46</f>
        <v>26125.533000000003</v>
      </c>
      <c r="J49" s="15"/>
      <c r="L49" s="53">
        <f>'TUSD BE'!$L$49*'TUSD BF'!$L$59</f>
        <v>0.40649744868455456</v>
      </c>
      <c r="M49" s="53">
        <f>'TUSD BE'!$M$49*'TUSD BF'!$M$59</f>
        <v>0</v>
      </c>
      <c r="N49" s="53">
        <f ca="1">'TUSD BE'!$N$49*'TUSD BF'!$N$59</f>
        <v>0</v>
      </c>
      <c r="O49" s="53">
        <f>'TUSD BE'!$O$49*'TUSD BF'!$O$59</f>
        <v>0</v>
      </c>
      <c r="P49" s="53">
        <f>'TUSD BE'!$P$49*'TUSD BF'!$P$59</f>
        <v>0</v>
      </c>
      <c r="Q49" s="53">
        <f>'TUSD BE'!$Q$49*'TUSD BF'!$Q$59</f>
        <v>15.068526904165468</v>
      </c>
      <c r="R49" s="53">
        <f>'TUSD BE'!$R$49*'TUSD BF'!$R$59</f>
        <v>3.2447097728911412</v>
      </c>
      <c r="S49" s="53">
        <f>'TUSD BE'!$R$49*'TUSD BF'!$S$59</f>
        <v>0</v>
      </c>
      <c r="T49" s="53">
        <f ca="1">SUM($L$49:$S$49)</f>
        <v>18.719734125741162</v>
      </c>
      <c r="U49" s="53">
        <f>'TUSD BE'!$U$49*'TUSD BF'!$U$59</f>
        <v>2.5987880561411036</v>
      </c>
      <c r="V49" s="53">
        <f>'TUSD BE'!$V$49*'TUSD BF'!$V$59</f>
        <v>0.78762203500237771</v>
      </c>
      <c r="W49" s="53">
        <f>'TUSD BE'!$W$49*'TUSD BF'!$W$59</f>
        <v>0</v>
      </c>
      <c r="X49" s="53">
        <f>'TUSD BE'!$X$49*'TUSD BF'!$X$59</f>
        <v>0</v>
      </c>
      <c r="Y49" s="53">
        <f>'TUSD BE'!$Y$49*'TUSD BF'!$Y$59</f>
        <v>0</v>
      </c>
      <c r="Z49" s="53">
        <f>'TUSD BE'!$Z$49*'TUSD BF'!$Z$59</f>
        <v>0</v>
      </c>
      <c r="AA49" s="53">
        <f>'TUSD BE'!$AA$49*'TUSD BF'!$AA$59</f>
        <v>0</v>
      </c>
      <c r="AB49" s="53">
        <f>SUM($U$49:$AA$49)</f>
        <v>3.3864100911434813</v>
      </c>
      <c r="AC49" s="53">
        <f>'TUSD BE'!$AC$49*'TUSD BF'!$AC$59</f>
        <v>0</v>
      </c>
      <c r="AD49" s="53">
        <f>SUM($AC$49:$AC$49)</f>
        <v>0</v>
      </c>
      <c r="AE49" s="53">
        <f ca="1">$AO$49*$AO$56</f>
        <v>0</v>
      </c>
      <c r="AF49" s="53">
        <f ca="1">$AP$49*$AP$56</f>
        <v>0</v>
      </c>
      <c r="AG49" s="53">
        <f ca="1">SUM($AE$49:$AF$49)</f>
        <v>0</v>
      </c>
      <c r="AH49" s="53">
        <f>'TUSD BE'!$AH$49*'TUSD BF'!$AH$59</f>
        <v>1.8683920086812866</v>
      </c>
      <c r="AI49" s="53">
        <f>'TUSD BE'!$AI$49*'TUSD BF'!$AI$59</f>
        <v>6.4078771842007803E-2</v>
      </c>
      <c r="AJ49" s="53">
        <f ca="1">'TUSD BE'!$AJ$49*'TUSD BF'!$AJ$59</f>
        <v>0.27508186344607338</v>
      </c>
      <c r="AK49" s="53">
        <f ca="1">'TUSD BE'!$AK$49*'TUSD BF'!$AK$59</f>
        <v>0</v>
      </c>
      <c r="AL49" s="53">
        <f ca="1">SUM($AH$49:$AK$49)</f>
        <v>2.2075526439693678</v>
      </c>
      <c r="AM49" s="53">
        <f ca="1">SUMIF($L$4:$AL$4,"SUBTOTAL",$L$49:$AL$49)</f>
        <v>24.313696860854012</v>
      </c>
      <c r="AO49" s="76">
        <f ca="1">+'TUSD BE'!$T$49+'TUSD BE'!$AB$49+'TUSD BE'!$AD$49+'TUSD BE'!$AL$49</f>
        <v>381.55822195694333</v>
      </c>
      <c r="AP49" s="76">
        <f ca="1">+'TUSD BE'!$T$49+'TUSD BE'!$AB$49+'TUSD BE'!$AD$49+'TUSD BE'!$AL$49</f>
        <v>381.55822195694333</v>
      </c>
    </row>
    <row r="50" spans="1:42" ht="11.25" customHeight="1" x14ac:dyDescent="0.25">
      <c r="A50" s="131"/>
      <c r="B50" s="73" t="s">
        <v>95</v>
      </c>
      <c r="C50" s="73" t="s">
        <v>25</v>
      </c>
      <c r="D50" s="73" t="s">
        <v>25</v>
      </c>
      <c r="E50" s="73" t="s">
        <v>25</v>
      </c>
      <c r="F50" s="73" t="s">
        <v>25</v>
      </c>
      <c r="G50" s="74" t="s">
        <v>86</v>
      </c>
      <c r="H50" s="74" t="s">
        <v>82</v>
      </c>
      <c r="I50" s="74">
        <f>'MERCADO TUSD'!$U$47</f>
        <v>0</v>
      </c>
      <c r="J50" s="15"/>
      <c r="L50" s="53">
        <f>'TUSD BE'!$L$50*'TUSD BF'!$L$59</f>
        <v>0.40649744868455456</v>
      </c>
      <c r="M50" s="53">
        <f>'TUSD BE'!$M$50*'TUSD BF'!$M$59</f>
        <v>0</v>
      </c>
      <c r="N50" s="53">
        <f ca="1">'TUSD BE'!$N$50*'TUSD BF'!$N$59</f>
        <v>0</v>
      </c>
      <c r="O50" s="53">
        <f>'TUSD BE'!$O$50*'TUSD BF'!$O$59</f>
        <v>0</v>
      </c>
      <c r="P50" s="53">
        <f>'TUSD BE'!$P$50*'TUSD BF'!$P$59</f>
        <v>0</v>
      </c>
      <c r="Q50" s="53">
        <f>'TUSD BE'!$Q$50*'TUSD BF'!$Q$59</f>
        <v>15.068526904165468</v>
      </c>
      <c r="R50" s="53">
        <f>'TUSD BE'!$R$50*'TUSD BF'!$R$59</f>
        <v>3.2447097728911412</v>
      </c>
      <c r="S50" s="53">
        <f>'TUSD BE'!$R$50*'TUSD BF'!$S$59</f>
        <v>0</v>
      </c>
      <c r="T50" s="53">
        <f ca="1">SUM($L$50:$S$50)</f>
        <v>18.719734125741162</v>
      </c>
      <c r="U50" s="53">
        <f>'TUSD BE'!$U$50*'TUSD BF'!$U$59</f>
        <v>2.5987880561411036</v>
      </c>
      <c r="V50" s="53">
        <f>'TUSD BE'!$V$50*'TUSD BF'!$V$59</f>
        <v>0.78762203500237771</v>
      </c>
      <c r="W50" s="53">
        <f>'TUSD BE'!$W$50*'TUSD BF'!$W$59</f>
        <v>0</v>
      </c>
      <c r="X50" s="53">
        <f>'TUSD BE'!$X$50*'TUSD BF'!$X$59</f>
        <v>0</v>
      </c>
      <c r="Y50" s="53">
        <f>'TUSD BE'!$Y$50*'TUSD BF'!$Y$59</f>
        <v>0</v>
      </c>
      <c r="Z50" s="53">
        <f>'TUSD BE'!$Z$50*'TUSD BF'!$Z$59</f>
        <v>0</v>
      </c>
      <c r="AA50" s="53">
        <f>'TUSD BE'!$AA$50*'TUSD BF'!$AA$59</f>
        <v>0</v>
      </c>
      <c r="AB50" s="53">
        <f>SUM($U$50:$AA$50)</f>
        <v>3.3864100911434813</v>
      </c>
      <c r="AC50" s="53">
        <f>'TUSD BE'!$AC$50*'TUSD BF'!$AC$59</f>
        <v>0</v>
      </c>
      <c r="AD50" s="53">
        <f>SUM($AC$50:$AC$50)</f>
        <v>0</v>
      </c>
      <c r="AE50" s="53">
        <f ca="1">$AO$50*$AO$56</f>
        <v>0</v>
      </c>
      <c r="AF50" s="53">
        <f ca="1">$AP$50*$AP$56</f>
        <v>0</v>
      </c>
      <c r="AG50" s="53">
        <f ca="1">SUM($AE$50:$AF$50)</f>
        <v>0</v>
      </c>
      <c r="AH50" s="53">
        <f>'TUSD BE'!$AH$50*'TUSD BF'!$AH$59</f>
        <v>1.8683920086812866</v>
      </c>
      <c r="AI50" s="53">
        <f>'TUSD BE'!$AI$50*'TUSD BF'!$AI$59</f>
        <v>6.4078771842007803E-2</v>
      </c>
      <c r="AJ50" s="53">
        <f ca="1">'TUSD BE'!$AJ$50*'TUSD BF'!$AJ$59</f>
        <v>0.27508186344607338</v>
      </c>
      <c r="AK50" s="53">
        <f ca="1">'TUSD BE'!$AK$50*'TUSD BF'!$AK$59</f>
        <v>0</v>
      </c>
      <c r="AL50" s="53">
        <f ca="1">SUM($AH$50:$AK$50)</f>
        <v>2.2075526439693678</v>
      </c>
      <c r="AM50" s="53">
        <f ca="1">SUMIF($L$4:$AL$4,"SUBTOTAL",$L$50:$AL$50)</f>
        <v>24.313696860854012</v>
      </c>
      <c r="AO50" s="76">
        <f ca="1">+'TUSD BE'!$T$50+'TUSD BE'!$AB$50+'TUSD BE'!$AD$50+'TUSD BE'!$AL$50</f>
        <v>381.55822195694333</v>
      </c>
      <c r="AP50" s="76">
        <f ca="1">+'TUSD BE'!$T$50+'TUSD BE'!$AB$50+'TUSD BE'!$AD$50+'TUSD BE'!$AL$50</f>
        <v>381.55822195694333</v>
      </c>
    </row>
    <row r="51" spans="1:42" ht="11.25" customHeight="1" x14ac:dyDescent="0.25">
      <c r="A51" s="131" t="s">
        <v>45</v>
      </c>
      <c r="B51" s="131" t="s">
        <v>23</v>
      </c>
      <c r="C51" s="131" t="s">
        <v>46</v>
      </c>
      <c r="D51" s="73" t="s">
        <v>47</v>
      </c>
      <c r="E51" s="73" t="s">
        <v>25</v>
      </c>
      <c r="F51" s="73" t="s">
        <v>25</v>
      </c>
      <c r="G51" s="74" t="s">
        <v>86</v>
      </c>
      <c r="H51" s="74" t="s">
        <v>82</v>
      </c>
      <c r="I51" s="74">
        <f>'MERCADO TUSD'!$U$48</f>
        <v>5474.732</v>
      </c>
      <c r="J51" s="15"/>
      <c r="L51" s="53">
        <f>'TUSD BE'!$L$51*'TUSD BF'!$L$59</f>
        <v>0.22357359677650504</v>
      </c>
      <c r="M51" s="53">
        <f>'TUSD BE'!$M$51*'TUSD BF'!$M$59</f>
        <v>0</v>
      </c>
      <c r="N51" s="53">
        <f ca="1">'TUSD BE'!$N$51*'TUSD BF'!$N$59</f>
        <v>0</v>
      </c>
      <c r="O51" s="53">
        <f>'TUSD BE'!$O$51*'TUSD BF'!$O$59</f>
        <v>0</v>
      </c>
      <c r="P51" s="53">
        <f>'TUSD BE'!$P$51*'TUSD BF'!$P$59</f>
        <v>0</v>
      </c>
      <c r="Q51" s="53">
        <f>'TUSD BE'!$Q$51*'TUSD BF'!$Q$59</f>
        <v>8.2876897972910086</v>
      </c>
      <c r="R51" s="53">
        <f>'TUSD BE'!$R$51*'TUSD BF'!$R$59</f>
        <v>1.7845903750901277</v>
      </c>
      <c r="S51" s="53">
        <f>'TUSD BE'!$R$51*'TUSD BF'!$S$59</f>
        <v>0</v>
      </c>
      <c r="T51" s="53">
        <f ca="1">SUM($L$51:$S$51)</f>
        <v>10.295853769157642</v>
      </c>
      <c r="U51" s="53">
        <f>'TUSD BE'!$U$51*'TUSD BF'!$U$59</f>
        <v>1.4293334308776073</v>
      </c>
      <c r="V51" s="53">
        <f>'TUSD BE'!$V$51*'TUSD BF'!$V$59</f>
        <v>0.43319211925130768</v>
      </c>
      <c r="W51" s="53">
        <f>'TUSD BE'!$W$51*'TUSD BF'!$W$59</f>
        <v>0</v>
      </c>
      <c r="X51" s="53">
        <f>'TUSD BE'!$X$51*'TUSD BF'!$X$59</f>
        <v>0</v>
      </c>
      <c r="Y51" s="53">
        <f>'TUSD BE'!$Y$51*'TUSD BF'!$Y$59</f>
        <v>0</v>
      </c>
      <c r="Z51" s="53">
        <f>'TUSD BE'!$Z$51*'TUSD BF'!$Z$59</f>
        <v>0</v>
      </c>
      <c r="AA51" s="53">
        <f>'TUSD BE'!$AA$51*'TUSD BF'!$AA$59</f>
        <v>0</v>
      </c>
      <c r="AB51" s="53">
        <f>SUM($U$51:$AA$51)</f>
        <v>1.8625255501289151</v>
      </c>
      <c r="AC51" s="53">
        <f>'TUSD BE'!$AC$51*'TUSD BF'!$AC$59</f>
        <v>0</v>
      </c>
      <c r="AD51" s="53">
        <f>SUM($AC$51:$AC$51)</f>
        <v>0</v>
      </c>
      <c r="AE51" s="53">
        <f ca="1">$AO$51*$AO$56</f>
        <v>0</v>
      </c>
      <c r="AF51" s="53">
        <f ca="1">$AP$51*$AP$56</f>
        <v>0</v>
      </c>
      <c r="AG51" s="53">
        <f ca="1">SUM($AE$51:$AF$51)</f>
        <v>0</v>
      </c>
      <c r="AH51" s="53">
        <f>'TUSD BE'!$AH$51*'TUSD BF'!$AH$59</f>
        <v>1.0276156047747078</v>
      </c>
      <c r="AI51" s="53">
        <f>'TUSD BE'!$AI$51*'TUSD BF'!$AI$59</f>
        <v>3.5243324513104295E-2</v>
      </c>
      <c r="AJ51" s="53">
        <f ca="1">'TUSD BE'!$AJ$51*'TUSD BF'!$AJ$59</f>
        <v>0.15129502489534041</v>
      </c>
      <c r="AK51" s="53">
        <f ca="1">'TUSD BE'!$AK$51*'TUSD BF'!$AK$59</f>
        <v>0</v>
      </c>
      <c r="AL51" s="53">
        <f ca="1">SUM($AH$51:$AK$51)</f>
        <v>1.2141539541831525</v>
      </c>
      <c r="AM51" s="53">
        <f ca="1">SUMIF($L$4:$AL$4,"SUBTOTAL",$L$51:$AL$51)</f>
        <v>13.37253327346971</v>
      </c>
      <c r="AO51" s="76">
        <f ca="1">+'TUSD BE'!$T$51+'TUSD BE'!$AB$51+'TUSD BE'!$AD$51+'TUSD BE'!$AL$51</f>
        <v>209.85702207631883</v>
      </c>
      <c r="AP51" s="76">
        <f ca="1">+'TUSD BE'!$T$51+'TUSD BE'!$AB$51+'TUSD BE'!$AD$51+'TUSD BE'!$AL$51</f>
        <v>209.85702207631883</v>
      </c>
    </row>
    <row r="52" spans="1:42" ht="11.25" customHeight="1" x14ac:dyDescent="0.25">
      <c r="A52" s="131"/>
      <c r="B52" s="131"/>
      <c r="C52" s="131"/>
      <c r="D52" s="74" t="s">
        <v>98</v>
      </c>
      <c r="E52" s="74" t="s">
        <v>25</v>
      </c>
      <c r="F52" s="74" t="s">
        <v>25</v>
      </c>
      <c r="G52" s="74" t="s">
        <v>86</v>
      </c>
      <c r="H52" s="74" t="s">
        <v>82</v>
      </c>
      <c r="I52" s="74">
        <f>'MERCADO TUSD'!$U$49</f>
        <v>0</v>
      </c>
      <c r="J52" s="15"/>
      <c r="L52" s="53">
        <f>'TUSD BE'!$L$52*'TUSD BF'!$L$59</f>
        <v>0.24389846921073274</v>
      </c>
      <c r="M52" s="53">
        <f>'TUSD BE'!$M$52*'TUSD BF'!$M$59</f>
        <v>0</v>
      </c>
      <c r="N52" s="53">
        <f ca="1">'TUSD BE'!$N$52*'TUSD BF'!$N$59</f>
        <v>0</v>
      </c>
      <c r="O52" s="53">
        <f>'TUSD BE'!$O$52*'TUSD BF'!$O$59</f>
        <v>0</v>
      </c>
      <c r="P52" s="53">
        <f>'TUSD BE'!$P$52*'TUSD BF'!$P$59</f>
        <v>0</v>
      </c>
      <c r="Q52" s="53">
        <f>'TUSD BE'!$Q$52*'TUSD BF'!$Q$59</f>
        <v>9.0411161424992805</v>
      </c>
      <c r="R52" s="53">
        <f>'TUSD BE'!$R$52*'TUSD BF'!$R$59</f>
        <v>1.9468258637346847</v>
      </c>
      <c r="S52" s="53">
        <f>'TUSD BE'!$R$52*'TUSD BF'!$S$59</f>
        <v>0</v>
      </c>
      <c r="T52" s="53">
        <f ca="1">SUM($L$52:$S$52)</f>
        <v>11.231840475444697</v>
      </c>
      <c r="U52" s="53">
        <f>'TUSD BE'!$U$52*'TUSD BF'!$U$59</f>
        <v>1.559272833684662</v>
      </c>
      <c r="V52" s="53">
        <f>'TUSD BE'!$V$52*'TUSD BF'!$V$59</f>
        <v>0.47257322100142668</v>
      </c>
      <c r="W52" s="53">
        <f>'TUSD BE'!$W$52*'TUSD BF'!$W$59</f>
        <v>0</v>
      </c>
      <c r="X52" s="53">
        <f>'TUSD BE'!$X$52*'TUSD BF'!$X$59</f>
        <v>0</v>
      </c>
      <c r="Y52" s="53">
        <f>'TUSD BE'!$Y$52*'TUSD BF'!$Y$59</f>
        <v>0</v>
      </c>
      <c r="Z52" s="53">
        <f>'TUSD BE'!$Z$52*'TUSD BF'!$Z$59</f>
        <v>0</v>
      </c>
      <c r="AA52" s="53">
        <f>'TUSD BE'!$AA$52*'TUSD BF'!$AA$59</f>
        <v>0</v>
      </c>
      <c r="AB52" s="53">
        <f>SUM($U$52:$AA$52)</f>
        <v>2.0318460546860888</v>
      </c>
      <c r="AC52" s="53">
        <f>'TUSD BE'!$AC$52*'TUSD BF'!$AC$59</f>
        <v>0</v>
      </c>
      <c r="AD52" s="53">
        <f>SUM($AC$52:$AC$52)</f>
        <v>0</v>
      </c>
      <c r="AE52" s="53">
        <f ca="1">$AO$52*$AO$56</f>
        <v>0</v>
      </c>
      <c r="AF52" s="53">
        <f ca="1">$AP$52*$AP$56</f>
        <v>0</v>
      </c>
      <c r="AG52" s="53">
        <f ca="1">SUM($AE$52:$AF$52)</f>
        <v>0</v>
      </c>
      <c r="AH52" s="53">
        <f>'TUSD BE'!$AH$52*'TUSD BF'!$AH$59</f>
        <v>1.121035205208772</v>
      </c>
      <c r="AI52" s="53">
        <f>'TUSD BE'!$AI$52*'TUSD BF'!$AI$59</f>
        <v>3.8447263105204674E-2</v>
      </c>
      <c r="AJ52" s="53">
        <f ca="1">'TUSD BE'!$AJ$52*'TUSD BF'!$AJ$59</f>
        <v>0.16504911806764402</v>
      </c>
      <c r="AK52" s="53">
        <f ca="1">'TUSD BE'!$AK$52*'TUSD BF'!$AK$59</f>
        <v>0</v>
      </c>
      <c r="AL52" s="53">
        <f ca="1">SUM($AH$52:$AK$52)</f>
        <v>1.3245315863816207</v>
      </c>
      <c r="AM52" s="53">
        <f ca="1">SUMIF($L$4:$AL$4,"SUBTOTAL",$L$52:$AL$52)</f>
        <v>14.588218116512406</v>
      </c>
      <c r="AO52" s="76">
        <f ca="1">+'TUSD BE'!$T$52+'TUSD BE'!$AB$52+'TUSD BE'!$AD$52+'TUSD BE'!$AL$52</f>
        <v>228.93493317416593</v>
      </c>
      <c r="AP52" s="76">
        <f ca="1">+'TUSD BE'!$T$52+'TUSD BE'!$AB$52+'TUSD BE'!$AD$52+'TUSD BE'!$AL$52</f>
        <v>228.93493317416593</v>
      </c>
    </row>
    <row r="54" spans="1:42" ht="11.25" customHeight="1" x14ac:dyDescent="0.25">
      <c r="K54" s="68" t="s">
        <v>661</v>
      </c>
      <c r="L54" s="53">
        <f>SUMPRODUCT($I$5:$I52,$L$5:$L52)</f>
        <v>74952.677252192239</v>
      </c>
      <c r="M54" s="53">
        <f>SUMPRODUCT($I$5:$I52,$M$5:$M52)</f>
        <v>0</v>
      </c>
      <c r="N54" s="53">
        <f ca="1">SUMPRODUCT($I$5:$I52,$N$5:$N52)</f>
        <v>0</v>
      </c>
      <c r="O54" s="53">
        <f>SUMPRODUCT($I$5:$I52,$O$5:$O52)</f>
        <v>0</v>
      </c>
      <c r="P54" s="53">
        <f>SUMPRODUCT($I$5:$I52,$P$5:$P52)</f>
        <v>0</v>
      </c>
      <c r="Q54" s="53">
        <f>SUMPRODUCT($I$5:$I52,$Q$5:$Q52)</f>
        <v>2778434.2493877108</v>
      </c>
      <c r="R54" s="53">
        <f>SUMPRODUCT($I$5:$I52,$R$5:$R52)</f>
        <v>643424.43138696533</v>
      </c>
      <c r="S54" s="53">
        <f>SUMPRODUCT($I$5:$I52,$S$5:$S52)</f>
        <v>0</v>
      </c>
      <c r="T54" s="53">
        <f ca="1">SUMPRODUCT($I$5:$I52,$T$5:$T52)</f>
        <v>3496811.3580268687</v>
      </c>
      <c r="U54" s="53">
        <f>SUMPRODUCT($I$5:$I52,$U$5:$U52)</f>
        <v>561973.09326562192</v>
      </c>
      <c r="V54" s="53">
        <f>SUMPRODUCT($I$5:$I52,$V$5:$V52)</f>
        <v>169593.43020678603</v>
      </c>
      <c r="W54" s="53">
        <f>SUMPRODUCT($I$5:$I52,$W$5:$W52)</f>
        <v>0</v>
      </c>
      <c r="X54" s="53">
        <f>SUMPRODUCT($I$5:$I52,$X$5:$X52)</f>
        <v>0</v>
      </c>
      <c r="Y54" s="53">
        <f>SUMPRODUCT($I$5:$I52,$Y$5:$Y52)</f>
        <v>0</v>
      </c>
      <c r="Z54" s="53">
        <f>SUMPRODUCT($I$5:$I52,$Z$5:$Z52)</f>
        <v>0</v>
      </c>
      <c r="AA54" s="53">
        <f>SUMPRODUCT($I$5:$I52,$AA$5:$AA52)</f>
        <v>0</v>
      </c>
      <c r="AB54" s="53">
        <f>SUMPRODUCT($I$5:$I52,$AB$5:$AB52)</f>
        <v>731566.52347240818</v>
      </c>
      <c r="AC54" s="53">
        <f>SUMPRODUCT($I$5:$I52,$AC$5:$AC52)</f>
        <v>0</v>
      </c>
      <c r="AD54" s="53">
        <f>SUMPRODUCT($I$5:$I52,$AD$5:$AD52)</f>
        <v>0</v>
      </c>
      <c r="AE54" s="53">
        <f ca="1">SUMPRODUCT($I$5:$I52,$AE$5:$AE52)</f>
        <v>0</v>
      </c>
      <c r="AF54" s="53">
        <f ca="1">SUMPRODUCT($I$5:$I52,$AF$5:$AF52)</f>
        <v>0</v>
      </c>
      <c r="AG54" s="53">
        <f ca="1">SUMPRODUCT($I$5:$I52,$AG$5:$AG52)</f>
        <v>0</v>
      </c>
      <c r="AH54" s="53">
        <f>SUMPRODUCT($I$5:$I52,$AH$5:$AH52)</f>
        <v>282249.11568224744</v>
      </c>
      <c r="AI54" s="53">
        <f>SUMPRODUCT($I$5:$I52,$AI$5:$AI52)</f>
        <v>9680.0385432617077</v>
      </c>
      <c r="AJ54" s="53">
        <f ca="1">SUMPRODUCT($I$5:$I52,$AJ$5:$AJ52)</f>
        <v>49011.125175150133</v>
      </c>
      <c r="AK54" s="53">
        <f ca="1">SUMPRODUCT($I$5:$I52,$AK$5:$AK52)</f>
        <v>0</v>
      </c>
      <c r="AL54" s="53">
        <f ca="1">SUMPRODUCT($I$5:$I52,$AL$5:$AL52)</f>
        <v>340940.2794006592</v>
      </c>
      <c r="AM54" s="53">
        <f ca="1">SUMPRODUCT($I$5:$I52,$AM$5:$AM52)</f>
        <v>4569318.1608999353</v>
      </c>
      <c r="AO54" s="74">
        <f ca="1">SUMPRODUCT($I$5:$I52,$AO$5:$AO52)</f>
        <v>67689370.296640322</v>
      </c>
      <c r="AP54" s="74">
        <f ca="1">SUMPRODUCT($I$5:$I52,$AP$5:$AP52)</f>
        <v>67689370.296640322</v>
      </c>
    </row>
    <row r="55" spans="1:42" ht="11.25" customHeight="1" x14ac:dyDescent="0.25">
      <c r="K55" s="68" t="s">
        <v>604</v>
      </c>
      <c r="L55" s="53">
        <f>'TR TUSD'!$L$57</f>
        <v>1142573.8820889951</v>
      </c>
      <c r="M55" s="53">
        <f>'TR TUSD'!$M$57</f>
        <v>135866.19550768039</v>
      </c>
      <c r="N55" s="53">
        <f>'TR TUSD'!$N$57</f>
        <v>339394.07104977674</v>
      </c>
      <c r="O55" s="53">
        <f>'TR TUSD'!$O$57</f>
        <v>0</v>
      </c>
      <c r="P55" s="53">
        <f>'TR TUSD'!$P$57</f>
        <v>0</v>
      </c>
      <c r="Q55" s="53">
        <f>'TR TUSD'!$Q$57</f>
        <v>16244058.449907003</v>
      </c>
      <c r="R55" s="53">
        <f>'TR TUSD'!$R$57</f>
        <v>2752849.9760466153</v>
      </c>
      <c r="S55" s="53">
        <f>'TR TUSD'!$S$57</f>
        <v>0</v>
      </c>
      <c r="T55" s="53">
        <f>'TR TUSD'!$T$57</f>
        <v>20614742.574600071</v>
      </c>
      <c r="U55" s="53">
        <f>'TR TUSD'!$U$57</f>
        <v>7372778.8000000007</v>
      </c>
      <c r="V55" s="53">
        <f>'TR TUSD'!$V$57</f>
        <v>2224972.7999999998</v>
      </c>
      <c r="W55" s="53">
        <f>'TR TUSD'!$W$57</f>
        <v>4170396.62053457</v>
      </c>
      <c r="X55" s="53">
        <f>'TR TUSD'!$X$57</f>
        <v>0</v>
      </c>
      <c r="Y55" s="53">
        <f>'TR TUSD'!$Y$57</f>
        <v>0</v>
      </c>
      <c r="Z55" s="53">
        <f>'TR TUSD'!$Z$57</f>
        <v>0</v>
      </c>
      <c r="AA55" s="53">
        <f>'TR TUSD'!$AA$57</f>
        <v>0</v>
      </c>
      <c r="AB55" s="53">
        <f>'TR TUSD'!$AB$57</f>
        <v>13768148.220534571</v>
      </c>
      <c r="AC55" s="53">
        <f>'TR TUSD'!$AC$57</f>
        <v>30321572.604258131</v>
      </c>
      <c r="AD55" s="53">
        <f>'TR TUSD'!$AD$57</f>
        <v>30321572.604258131</v>
      </c>
      <c r="AE55" s="53">
        <f>'TR TUSD'!$AE$57</f>
        <v>0</v>
      </c>
      <c r="AF55" s="53">
        <f>'TR TUSD'!$AF$57</f>
        <v>0</v>
      </c>
      <c r="AG55" s="53">
        <f>'TR TUSD'!$AG$57</f>
        <v>0</v>
      </c>
      <c r="AH55" s="53">
        <f>'TR TUSD'!$AH$57</f>
        <v>2427974.5024546832</v>
      </c>
      <c r="AI55" s="53">
        <f>'TR TUSD'!$AI$57</f>
        <v>83270.010285088894</v>
      </c>
      <c r="AJ55" s="53">
        <f>'TR TUSD'!$AJ$57</f>
        <v>421605.43877786858</v>
      </c>
      <c r="AK55" s="53">
        <f>'TR TUSD'!$AK$57</f>
        <v>52056.945729899133</v>
      </c>
      <c r="AL55" s="53">
        <f>'TR TUSD'!$AL$57</f>
        <v>2984906.8972475398</v>
      </c>
      <c r="AM55" s="53">
        <f>CUSTOS!$D$29</f>
        <v>67689370.296640307</v>
      </c>
      <c r="AO55" s="74">
        <f>$AE$57</f>
        <v>0</v>
      </c>
      <c r="AP55" s="74">
        <f>$AF$57</f>
        <v>0</v>
      </c>
    </row>
    <row r="56" spans="1:42" ht="11.25" customHeight="1" x14ac:dyDescent="0.25">
      <c r="K56" s="68" t="s">
        <v>605</v>
      </c>
      <c r="L56" s="53">
        <f>CUSTOS!$E$2</f>
        <v>-78044.863489655312</v>
      </c>
      <c r="M56" s="53">
        <f>CUSTOS!$E$3</f>
        <v>-9076.8183316994891</v>
      </c>
      <c r="N56" s="53">
        <f>CUSTOS!$E$4</f>
        <v>3.9082317569640096E-6</v>
      </c>
      <c r="O56" s="53">
        <f>CUSTOS!$E$5</f>
        <v>0</v>
      </c>
      <c r="P56" s="53">
        <f>CUSTOS!$E$6</f>
        <v>0</v>
      </c>
      <c r="Q56" s="53">
        <f>CUSTOS!$E$7</f>
        <v>244919.71658750251</v>
      </c>
      <c r="R56" s="53">
        <f>CUSTOS!$E$8</f>
        <v>-270812.93972837052</v>
      </c>
      <c r="S56" s="53">
        <f>CUSTOS!$E$9</f>
        <v>0</v>
      </c>
      <c r="T56" s="53">
        <f>CUSTOS!$E$10</f>
        <v>-113014.90495831455</v>
      </c>
      <c r="U56" s="53">
        <f>CUSTOS!$E$11</f>
        <v>-353985.26375235571</v>
      </c>
      <c r="V56" s="53">
        <f>CUSTOS!$E$12</f>
        <v>61742.455691510098</v>
      </c>
      <c r="W56" s="53">
        <f>CUSTOS!$E$13</f>
        <v>-124873.73627653578</v>
      </c>
      <c r="X56" s="53">
        <f>CUSTOS!$E$14</f>
        <v>0</v>
      </c>
      <c r="Y56" s="53">
        <f>CUSTOS!$E$15</f>
        <v>0</v>
      </c>
      <c r="Z56" s="53">
        <f>CUSTOS!$E$16</f>
        <v>0</v>
      </c>
      <c r="AA56" s="53">
        <f>CUSTOS!$E$17</f>
        <v>0</v>
      </c>
      <c r="AB56" s="53">
        <f>CUSTOS!$E$18</f>
        <v>-417116.54433738138</v>
      </c>
      <c r="AC56" s="53">
        <f>CUSTOS!$E$19</f>
        <v>-242826.43374005141</v>
      </c>
      <c r="AD56" s="53">
        <f>CUSTOS!$E$20</f>
        <v>-242826.43374005141</v>
      </c>
      <c r="AE56" s="53">
        <f>CUSTOS!$E$21</f>
        <v>-12641722.925023135</v>
      </c>
      <c r="AF56" s="53">
        <f>CUSTOS!$E$22</f>
        <v>0</v>
      </c>
      <c r="AG56" s="53">
        <f>CUSTOS!$E$23</f>
        <v>-12641722.925023135</v>
      </c>
      <c r="AH56" s="53">
        <f>CUSTOS!$E$24</f>
        <v>-67538.024107355508</v>
      </c>
      <c r="AI56" s="53">
        <f>CUSTOS!$E$25</f>
        <v>-2316.2895476737172</v>
      </c>
      <c r="AJ56" s="53">
        <f>CUSTOS!$E$26</f>
        <v>-11727.634808019713</v>
      </c>
      <c r="AK56" s="53">
        <f>CUSTOS!$E$27</f>
        <v>3357.3325199911305</v>
      </c>
      <c r="AL56" s="53">
        <f>CUSTOS!$E$28</f>
        <v>-78224.615943057797</v>
      </c>
      <c r="AM56" s="53">
        <f>CUSTOS!$E$29</f>
        <v>-13492905.42400194</v>
      </c>
      <c r="AO56" s="74">
        <f ca="1">IF(AO54&lt;&gt;0,AO55/AO54,0)</f>
        <v>0</v>
      </c>
      <c r="AP56" s="74">
        <f ca="1">IF(AP54&lt;&gt;0,AP55/AP54,0)</f>
        <v>0</v>
      </c>
    </row>
    <row r="57" spans="1:42" ht="11.25" customHeight="1" x14ac:dyDescent="0.25">
      <c r="K57" s="68" t="s">
        <v>606</v>
      </c>
      <c r="L57" s="53">
        <f>CUSTOS!$F$2</f>
        <v>74952.677252192239</v>
      </c>
      <c r="M57" s="53">
        <f>CUSTOS!$F$3</f>
        <v>0</v>
      </c>
      <c r="N57" s="53">
        <f>CUSTOS!$F$4</f>
        <v>0</v>
      </c>
      <c r="O57" s="53">
        <f>CUSTOS!$F$5</f>
        <v>0</v>
      </c>
      <c r="P57" s="53">
        <f>CUSTOS!$F$6</f>
        <v>0</v>
      </c>
      <c r="Q57" s="53">
        <f>CUSTOS!$F$7</f>
        <v>2778434.2493877113</v>
      </c>
      <c r="R57" s="53">
        <f>CUSTOS!$F$8</f>
        <v>643424.43138696544</v>
      </c>
      <c r="S57" s="53">
        <f>CUSTOS!$F$9</f>
        <v>0</v>
      </c>
      <c r="T57" s="53">
        <f>CUSTOS!$F$10</f>
        <v>3496811.3580268687</v>
      </c>
      <c r="U57" s="53">
        <f>CUSTOS!$F$11</f>
        <v>561973.09326562204</v>
      </c>
      <c r="V57" s="53">
        <f>CUSTOS!$F$12</f>
        <v>169593.43020678608</v>
      </c>
      <c r="W57" s="53">
        <f>CUSTOS!$F$13</f>
        <v>0</v>
      </c>
      <c r="X57" s="53">
        <f>CUSTOS!$F$14</f>
        <v>0</v>
      </c>
      <c r="Y57" s="53">
        <f>CUSTOS!$F$15</f>
        <v>0</v>
      </c>
      <c r="Z57" s="53">
        <f>CUSTOS!$F$16</f>
        <v>0</v>
      </c>
      <c r="AA57" s="53">
        <f>CUSTOS!$F$17</f>
        <v>0</v>
      </c>
      <c r="AB57" s="53">
        <f>CUSTOS!$F$18</f>
        <v>731566.52347240807</v>
      </c>
      <c r="AC57" s="53">
        <f>CUSTOS!$F$19</f>
        <v>0</v>
      </c>
      <c r="AD57" s="53">
        <f>CUSTOS!$F$20</f>
        <v>0</v>
      </c>
      <c r="AE57" s="53">
        <f>CUSTOS!$F$21</f>
        <v>0</v>
      </c>
      <c r="AF57" s="53">
        <f>CUSTOS!$F$22</f>
        <v>0</v>
      </c>
      <c r="AG57" s="53">
        <f>CUSTOS!$F$23</f>
        <v>0</v>
      </c>
      <c r="AH57" s="53">
        <f>CUSTOS!$F$24</f>
        <v>282249.11568224744</v>
      </c>
      <c r="AI57" s="53">
        <f>CUSTOS!$F$25</f>
        <v>9680.0385432617059</v>
      </c>
      <c r="AJ57" s="53">
        <f>CUSTOS!$F$26</f>
        <v>49011.125175150133</v>
      </c>
      <c r="AK57" s="53">
        <f>CUSTOS!$F$27</f>
        <v>0</v>
      </c>
      <c r="AL57" s="53">
        <f>CUSTOS!$F$28</f>
        <v>340940.27940065926</v>
      </c>
      <c r="AM57" s="53">
        <f>CUSTOS!$F$29</f>
        <v>4569318.1608999353</v>
      </c>
    </row>
    <row r="58" spans="1:42" ht="11.25" customHeight="1" x14ac:dyDescent="0.25">
      <c r="K58" s="68" t="s">
        <v>658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/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/>
      <c r="AC58" s="53">
        <v>0</v>
      </c>
      <c r="AD58" s="53"/>
      <c r="AE58" s="53">
        <v>0</v>
      </c>
      <c r="AF58" s="53">
        <v>0</v>
      </c>
      <c r="AG58" s="53"/>
      <c r="AH58" s="53">
        <v>0</v>
      </c>
      <c r="AI58" s="53">
        <v>0</v>
      </c>
      <c r="AJ58" s="53">
        <v>0</v>
      </c>
      <c r="AK58" s="53">
        <v>0</v>
      </c>
      <c r="AL58" s="53"/>
      <c r="AM58" s="53"/>
    </row>
  </sheetData>
  <mergeCells count="73">
    <mergeCell ref="E46:E48"/>
    <mergeCell ref="F46:F48"/>
    <mergeCell ref="A51:A52"/>
    <mergeCell ref="B51:B52"/>
    <mergeCell ref="C51:C52"/>
    <mergeCell ref="D46:D48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E18:E20"/>
    <mergeCell ref="F18:F20"/>
    <mergeCell ref="B21:B25"/>
    <mergeCell ref="C21:C25"/>
    <mergeCell ref="B26:B30"/>
    <mergeCell ref="C26:C30"/>
    <mergeCell ref="A16:A17"/>
    <mergeCell ref="B16:B17"/>
    <mergeCell ref="C16:C17"/>
    <mergeCell ref="D16:D17"/>
    <mergeCell ref="A18:A30"/>
    <mergeCell ref="B18:B20"/>
    <mergeCell ref="C18:C20"/>
    <mergeCell ref="D18:D20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4">
    <cfRule type="cellIs" dxfId="1181" priority="55" operator="notEqual">
      <formula>$L$57</formula>
    </cfRule>
    <cfRule type="cellIs" dxfId="1180" priority="56" operator="equal">
      <formula>$L$57</formula>
    </cfRule>
  </conditionalFormatting>
  <conditionalFormatting sqref="M54">
    <cfRule type="cellIs" dxfId="1179" priority="53" operator="notEqual">
      <formula>$M$57</formula>
    </cfRule>
    <cfRule type="cellIs" dxfId="1178" priority="54" operator="equal">
      <formula>$M$57</formula>
    </cfRule>
  </conditionalFormatting>
  <conditionalFormatting sqref="N54">
    <cfRule type="cellIs" dxfId="1177" priority="51" operator="notEqual">
      <formula>$N$57</formula>
    </cfRule>
    <cfRule type="cellIs" dxfId="1176" priority="52" operator="equal">
      <formula>$N$57</formula>
    </cfRule>
  </conditionalFormatting>
  <conditionalFormatting sqref="O54">
    <cfRule type="cellIs" dxfId="1175" priority="49" operator="notEqual">
      <formula>$O$57</formula>
    </cfRule>
    <cfRule type="cellIs" dxfId="1174" priority="50" operator="equal">
      <formula>$O$57</formula>
    </cfRule>
  </conditionalFormatting>
  <conditionalFormatting sqref="P54">
    <cfRule type="cellIs" dxfId="1173" priority="47" operator="notEqual">
      <formula>$P$57</formula>
    </cfRule>
    <cfRule type="cellIs" dxfId="1172" priority="48" operator="equal">
      <formula>$P$57</formula>
    </cfRule>
  </conditionalFormatting>
  <conditionalFormatting sqref="Q54">
    <cfRule type="cellIs" dxfId="1171" priority="45" operator="notEqual">
      <formula>$Q$57</formula>
    </cfRule>
    <cfRule type="cellIs" dxfId="1170" priority="46" operator="equal">
      <formula>$Q$57</formula>
    </cfRule>
  </conditionalFormatting>
  <conditionalFormatting sqref="R54">
    <cfRule type="cellIs" dxfId="1169" priority="43" operator="notEqual">
      <formula>$R$57</formula>
    </cfRule>
    <cfRule type="cellIs" dxfId="1168" priority="44" operator="equal">
      <formula>$R$57</formula>
    </cfRule>
  </conditionalFormatting>
  <conditionalFormatting sqref="S54">
    <cfRule type="cellIs" dxfId="1167" priority="41" operator="notEqual">
      <formula>$S$57</formula>
    </cfRule>
    <cfRule type="cellIs" dxfId="1166" priority="42" operator="equal">
      <formula>$S$57</formula>
    </cfRule>
  </conditionalFormatting>
  <conditionalFormatting sqref="T54">
    <cfRule type="cellIs" dxfId="1165" priority="39" operator="notEqual">
      <formula>$T$57</formula>
    </cfRule>
    <cfRule type="cellIs" dxfId="1164" priority="40" operator="equal">
      <formula>$T$57</formula>
    </cfRule>
  </conditionalFormatting>
  <conditionalFormatting sqref="U54">
    <cfRule type="cellIs" dxfId="1163" priority="37" operator="notEqual">
      <formula>$U$57</formula>
    </cfRule>
    <cfRule type="cellIs" dxfId="1162" priority="38" operator="equal">
      <formula>$U$57</formula>
    </cfRule>
  </conditionalFormatting>
  <conditionalFormatting sqref="V54">
    <cfRule type="cellIs" dxfId="1161" priority="35" operator="notEqual">
      <formula>$V$57</formula>
    </cfRule>
    <cfRule type="cellIs" dxfId="1160" priority="36" operator="equal">
      <formula>$V$57</formula>
    </cfRule>
  </conditionalFormatting>
  <conditionalFormatting sqref="W54">
    <cfRule type="cellIs" dxfId="1159" priority="33" operator="notEqual">
      <formula>$W$57</formula>
    </cfRule>
    <cfRule type="cellIs" dxfId="1158" priority="34" operator="equal">
      <formula>$W$57</formula>
    </cfRule>
  </conditionalFormatting>
  <conditionalFormatting sqref="X54">
    <cfRule type="cellIs" dxfId="1157" priority="31" operator="notEqual">
      <formula>$X$57</formula>
    </cfRule>
    <cfRule type="cellIs" dxfId="1156" priority="32" operator="equal">
      <formula>$X$57</formula>
    </cfRule>
  </conditionalFormatting>
  <conditionalFormatting sqref="Y54">
    <cfRule type="cellIs" dxfId="1155" priority="29" operator="notEqual">
      <formula>$Y$57</formula>
    </cfRule>
    <cfRule type="cellIs" dxfId="1154" priority="30" operator="equal">
      <formula>$Y$57</formula>
    </cfRule>
  </conditionalFormatting>
  <conditionalFormatting sqref="Z54">
    <cfRule type="cellIs" dxfId="1153" priority="27" operator="notEqual">
      <formula>$Z$57</formula>
    </cfRule>
    <cfRule type="cellIs" dxfId="1152" priority="28" operator="equal">
      <formula>$Z$57</formula>
    </cfRule>
  </conditionalFormatting>
  <conditionalFormatting sqref="AA54">
    <cfRule type="cellIs" dxfId="1151" priority="25" operator="notEqual">
      <formula>$AA$57</formula>
    </cfRule>
    <cfRule type="cellIs" dxfId="1150" priority="26" operator="equal">
      <formula>$AA$57</formula>
    </cfRule>
  </conditionalFormatting>
  <conditionalFormatting sqref="AB54">
    <cfRule type="cellIs" dxfId="1149" priority="23" operator="notEqual">
      <formula>$AB$57</formula>
    </cfRule>
    <cfRule type="cellIs" dxfId="1148" priority="24" operator="equal">
      <formula>$AB$57</formula>
    </cfRule>
  </conditionalFormatting>
  <conditionalFormatting sqref="AC54">
    <cfRule type="cellIs" dxfId="1147" priority="21" operator="notEqual">
      <formula>$AC$57</formula>
    </cfRule>
    <cfRule type="cellIs" dxfId="1146" priority="22" operator="equal">
      <formula>$AC$57</formula>
    </cfRule>
  </conditionalFormatting>
  <conditionalFormatting sqref="AD54">
    <cfRule type="cellIs" dxfId="1145" priority="19" operator="notEqual">
      <formula>$AD$57</formula>
    </cfRule>
    <cfRule type="cellIs" dxfId="1144" priority="20" operator="equal">
      <formula>$AD$57</formula>
    </cfRule>
  </conditionalFormatting>
  <conditionalFormatting sqref="AE54">
    <cfRule type="cellIs" dxfId="1143" priority="17" operator="notEqual">
      <formula>$AE$57</formula>
    </cfRule>
    <cfRule type="cellIs" dxfId="1142" priority="18" operator="equal">
      <formula>$AE$57</formula>
    </cfRule>
  </conditionalFormatting>
  <conditionalFormatting sqref="AF54">
    <cfRule type="cellIs" dxfId="1141" priority="16" operator="equal">
      <formula>$AF$57</formula>
    </cfRule>
  </conditionalFormatting>
  <conditionalFormatting sqref="AF54">
    <cfRule type="cellIs" dxfId="1140" priority="15" operator="notEqual">
      <formula>$AF$57</formula>
    </cfRule>
  </conditionalFormatting>
  <conditionalFormatting sqref="AG54">
    <cfRule type="cellIs" dxfId="1139" priority="14" operator="equal">
      <formula>$AG$57</formula>
    </cfRule>
  </conditionalFormatting>
  <conditionalFormatting sqref="AG54">
    <cfRule type="cellIs" dxfId="1138" priority="13" operator="notEqual">
      <formula>$AG$57</formula>
    </cfRule>
  </conditionalFormatting>
  <conditionalFormatting sqref="AH54">
    <cfRule type="cellIs" dxfId="1137" priority="12" operator="equal">
      <formula>$AH$57</formula>
    </cfRule>
  </conditionalFormatting>
  <conditionalFormatting sqref="AH54">
    <cfRule type="cellIs" dxfId="1136" priority="11" operator="notEqual">
      <formula>$AH$57</formula>
    </cfRule>
  </conditionalFormatting>
  <conditionalFormatting sqref="AI54">
    <cfRule type="cellIs" dxfId="1135" priority="10" operator="equal">
      <formula>$AI$57</formula>
    </cfRule>
  </conditionalFormatting>
  <conditionalFormatting sqref="AI54">
    <cfRule type="cellIs" dxfId="1134" priority="9" operator="notEqual">
      <formula>$AI$57</formula>
    </cfRule>
  </conditionalFormatting>
  <conditionalFormatting sqref="AJ54">
    <cfRule type="cellIs" dxfId="1133" priority="8" operator="equal">
      <formula>$AJ$57</formula>
    </cfRule>
  </conditionalFormatting>
  <conditionalFormatting sqref="AJ54">
    <cfRule type="cellIs" dxfId="1132" priority="7" operator="notEqual">
      <formula>$AJ$57</formula>
    </cfRule>
  </conditionalFormatting>
  <conditionalFormatting sqref="AK54">
    <cfRule type="cellIs" dxfId="1131" priority="6" operator="equal">
      <formula>$AK$57</formula>
    </cfRule>
  </conditionalFormatting>
  <conditionalFormatting sqref="AK54">
    <cfRule type="cellIs" dxfId="1130" priority="5" operator="notEqual">
      <formula>$AK$57</formula>
    </cfRule>
  </conditionalFormatting>
  <conditionalFormatting sqref="AL54">
    <cfRule type="cellIs" dxfId="1129" priority="4" operator="equal">
      <formula>$AL$57</formula>
    </cfRule>
  </conditionalFormatting>
  <conditionalFormatting sqref="AL54">
    <cfRule type="cellIs" dxfId="1128" priority="3" operator="notEqual">
      <formula>$AL$57</formula>
    </cfRule>
  </conditionalFormatting>
  <conditionalFormatting sqref="AM54">
    <cfRule type="cellIs" dxfId="1127" priority="2" operator="equal">
      <formula>$AM$57</formula>
    </cfRule>
  </conditionalFormatting>
  <conditionalFormatting sqref="AM54">
    <cfRule type="cellIs" dxfId="1126" priority="1" operator="notEqual">
      <formula>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E0A3-CC8F-45A2-BD58-30AA0CBF7D94}">
  <dimension ref="A1:AB50"/>
  <sheetViews>
    <sheetView showGridLines="0" workbookViewId="0">
      <selection activeCell="K44" sqref="K44:AB5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1" t="s">
        <v>71</v>
      </c>
      <c r="B1" s="141" t="s">
        <v>72</v>
      </c>
      <c r="C1" s="141" t="s">
        <v>73</v>
      </c>
      <c r="D1" s="141" t="s">
        <v>74</v>
      </c>
      <c r="E1" s="141" t="s">
        <v>75</v>
      </c>
      <c r="F1" s="141" t="s">
        <v>15</v>
      </c>
      <c r="G1" s="141" t="s">
        <v>77</v>
      </c>
      <c r="H1" s="141" t="s">
        <v>78</v>
      </c>
      <c r="I1" s="141" t="s">
        <v>652</v>
      </c>
      <c r="J1" s="125"/>
      <c r="L1" s="139" t="s">
        <v>667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spans="1:28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5"/>
      <c r="L2" s="139" t="s">
        <v>590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spans="1:28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5"/>
      <c r="L3" s="139" t="s">
        <v>563</v>
      </c>
      <c r="M3" s="139"/>
      <c r="N3" s="139"/>
      <c r="O3" s="139"/>
      <c r="P3" s="139"/>
      <c r="Q3" s="139"/>
      <c r="R3" s="139" t="s">
        <v>594</v>
      </c>
      <c r="S3" s="139"/>
      <c r="T3" s="139" t="s">
        <v>572</v>
      </c>
      <c r="U3" s="139"/>
      <c r="V3" s="139"/>
      <c r="W3" s="139"/>
      <c r="X3" s="139" t="s">
        <v>582</v>
      </c>
      <c r="Y3" s="139"/>
      <c r="Z3" s="139" t="s">
        <v>585</v>
      </c>
      <c r="AA3" s="139"/>
      <c r="AB3" s="139" t="s">
        <v>571</v>
      </c>
    </row>
    <row r="4" spans="1:28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5"/>
      <c r="L4" s="80" t="s">
        <v>565</v>
      </c>
      <c r="M4" s="80" t="s">
        <v>591</v>
      </c>
      <c r="N4" s="80" t="s">
        <v>592</v>
      </c>
      <c r="O4" s="80" t="s">
        <v>651</v>
      </c>
      <c r="P4" s="80" t="s">
        <v>593</v>
      </c>
      <c r="Q4" s="80" t="s">
        <v>571</v>
      </c>
      <c r="R4" s="80" t="s">
        <v>595</v>
      </c>
      <c r="S4" s="80" t="s">
        <v>571</v>
      </c>
      <c r="T4" s="80" t="s">
        <v>596</v>
      </c>
      <c r="U4" s="80" t="s">
        <v>597</v>
      </c>
      <c r="V4" s="80" t="s">
        <v>598</v>
      </c>
      <c r="W4" s="80" t="s">
        <v>571</v>
      </c>
      <c r="X4" s="80" t="s">
        <v>583</v>
      </c>
      <c r="Y4" s="80" t="s">
        <v>571</v>
      </c>
      <c r="Z4" s="80" t="s">
        <v>599</v>
      </c>
      <c r="AA4" s="80" t="s">
        <v>571</v>
      </c>
      <c r="AB4" s="140"/>
    </row>
    <row r="5" spans="1:28" ht="11.25" customHeight="1" x14ac:dyDescent="0.25">
      <c r="A5" s="142" t="s">
        <v>38</v>
      </c>
      <c r="B5" s="142" t="s">
        <v>81</v>
      </c>
      <c r="C5" s="142" t="s">
        <v>25</v>
      </c>
      <c r="D5" s="142" t="s">
        <v>25</v>
      </c>
      <c r="E5" s="142" t="s">
        <v>25</v>
      </c>
      <c r="F5" s="142" t="s">
        <v>25</v>
      </c>
      <c r="G5" s="78" t="s">
        <v>83</v>
      </c>
      <c r="H5" s="78" t="s">
        <v>82</v>
      </c>
      <c r="I5" s="78">
        <f>'MERCADO TE'!$U$2</f>
        <v>2005.008</v>
      </c>
      <c r="J5" s="15"/>
      <c r="L5" s="76">
        <v>1</v>
      </c>
      <c r="M5" s="76">
        <v>1</v>
      </c>
      <c r="N5" s="76">
        <v>1</v>
      </c>
      <c r="O5" s="76">
        <v>1</v>
      </c>
      <c r="P5" s="76">
        <v>1</v>
      </c>
      <c r="Q5" s="76"/>
      <c r="R5" s="76">
        <v>1.72</v>
      </c>
      <c r="S5" s="76"/>
      <c r="T5" s="76">
        <v>1</v>
      </c>
      <c r="U5" s="76">
        <v>1</v>
      </c>
      <c r="V5" s="76">
        <v>1</v>
      </c>
      <c r="W5" s="76"/>
      <c r="X5" s="76"/>
      <c r="Y5" s="76"/>
      <c r="Z5" s="76">
        <v>1</v>
      </c>
      <c r="AA5" s="76"/>
      <c r="AB5" s="76"/>
    </row>
    <row r="6" spans="1:28" ht="11.25" customHeight="1" x14ac:dyDescent="0.25">
      <c r="A6" s="142"/>
      <c r="B6" s="142"/>
      <c r="C6" s="142"/>
      <c r="D6" s="142"/>
      <c r="E6" s="142"/>
      <c r="F6" s="142"/>
      <c r="G6" s="78" t="s">
        <v>84</v>
      </c>
      <c r="H6" s="78" t="s">
        <v>82</v>
      </c>
      <c r="I6" s="78">
        <f>'MERCADO TE'!$U$3</f>
        <v>28500.967999999997</v>
      </c>
      <c r="J6" s="15"/>
      <c r="L6" s="76">
        <v>1</v>
      </c>
      <c r="M6" s="76">
        <v>1</v>
      </c>
      <c r="N6" s="76">
        <v>1</v>
      </c>
      <c r="O6" s="76">
        <v>1</v>
      </c>
      <c r="P6" s="76">
        <v>1</v>
      </c>
      <c r="Q6" s="76"/>
      <c r="R6" s="76">
        <v>1</v>
      </c>
      <c r="S6" s="76"/>
      <c r="T6" s="76">
        <v>1</v>
      </c>
      <c r="U6" s="76">
        <v>1</v>
      </c>
      <c r="V6" s="76">
        <v>1</v>
      </c>
      <c r="W6" s="76"/>
      <c r="X6" s="76"/>
      <c r="Y6" s="76"/>
      <c r="Z6" s="76">
        <v>1</v>
      </c>
      <c r="AA6" s="76"/>
      <c r="AB6" s="76"/>
    </row>
    <row r="7" spans="1:28" ht="11.25" customHeight="1" x14ac:dyDescent="0.25">
      <c r="A7" s="142"/>
      <c r="B7" s="79" t="s">
        <v>85</v>
      </c>
      <c r="C7" s="79" t="s">
        <v>25</v>
      </c>
      <c r="D7" s="79" t="s">
        <v>25</v>
      </c>
      <c r="E7" s="79" t="s">
        <v>25</v>
      </c>
      <c r="F7" s="79" t="s">
        <v>25</v>
      </c>
      <c r="G7" s="78" t="s">
        <v>86</v>
      </c>
      <c r="H7" s="78" t="s">
        <v>82</v>
      </c>
      <c r="I7" s="78">
        <f>'MERCADO TE'!$U$4</f>
        <v>0</v>
      </c>
      <c r="J7" s="15"/>
      <c r="L7" s="76">
        <v>1</v>
      </c>
      <c r="M7" s="76">
        <v>1</v>
      </c>
      <c r="N7" s="76">
        <v>1</v>
      </c>
      <c r="O7" s="76">
        <v>1</v>
      </c>
      <c r="P7" s="76">
        <v>1</v>
      </c>
      <c r="Q7" s="76"/>
      <c r="R7" s="76">
        <v>1.06</v>
      </c>
      <c r="S7" s="76"/>
      <c r="T7" s="76">
        <v>1</v>
      </c>
      <c r="U7" s="76">
        <v>1</v>
      </c>
      <c r="V7" s="76">
        <v>1</v>
      </c>
      <c r="W7" s="76"/>
      <c r="X7" s="76"/>
      <c r="Y7" s="76"/>
      <c r="Z7" s="76">
        <v>1</v>
      </c>
      <c r="AA7" s="76"/>
      <c r="AB7" s="76"/>
    </row>
    <row r="8" spans="1:28" ht="11.25" customHeight="1" x14ac:dyDescent="0.25">
      <c r="A8" s="142" t="s">
        <v>22</v>
      </c>
      <c r="B8" s="142" t="s">
        <v>81</v>
      </c>
      <c r="C8" s="142" t="s">
        <v>24</v>
      </c>
      <c r="D8" s="142" t="s">
        <v>24</v>
      </c>
      <c r="E8" s="142" t="s">
        <v>25</v>
      </c>
      <c r="F8" s="142" t="s">
        <v>25</v>
      </c>
      <c r="G8" s="78" t="s">
        <v>83</v>
      </c>
      <c r="H8" s="78" t="s">
        <v>82</v>
      </c>
      <c r="I8" s="78">
        <f>'MERCADO TE'!$U$5</f>
        <v>1.103</v>
      </c>
      <c r="J8" s="15"/>
      <c r="L8" s="76">
        <v>1</v>
      </c>
      <c r="M8" s="76">
        <v>1</v>
      </c>
      <c r="N8" s="76">
        <v>1</v>
      </c>
      <c r="O8" s="76">
        <v>1</v>
      </c>
      <c r="P8" s="76">
        <v>1</v>
      </c>
      <c r="Q8" s="76"/>
      <c r="R8" s="76">
        <v>1.72</v>
      </c>
      <c r="S8" s="76"/>
      <c r="T8" s="76">
        <v>1</v>
      </c>
      <c r="U8" s="76">
        <v>1</v>
      </c>
      <c r="V8" s="76">
        <v>1</v>
      </c>
      <c r="W8" s="76"/>
      <c r="X8" s="76"/>
      <c r="Y8" s="76"/>
      <c r="Z8" s="76">
        <v>1</v>
      </c>
      <c r="AA8" s="76"/>
      <c r="AB8" s="76"/>
    </row>
    <row r="9" spans="1:28" ht="11.25" customHeight="1" x14ac:dyDescent="0.25">
      <c r="A9" s="142"/>
      <c r="B9" s="142"/>
      <c r="C9" s="142"/>
      <c r="D9" s="142"/>
      <c r="E9" s="142"/>
      <c r="F9" s="142"/>
      <c r="G9" s="78" t="s">
        <v>93</v>
      </c>
      <c r="H9" s="78" t="s">
        <v>82</v>
      </c>
      <c r="I9" s="78">
        <f>'MERCADO TE'!$U$6</f>
        <v>0.64800000000000013</v>
      </c>
      <c r="J9" s="15"/>
      <c r="L9" s="76">
        <v>1</v>
      </c>
      <c r="M9" s="76">
        <v>1</v>
      </c>
      <c r="N9" s="76">
        <v>1</v>
      </c>
      <c r="O9" s="76">
        <v>1</v>
      </c>
      <c r="P9" s="76">
        <v>1</v>
      </c>
      <c r="Q9" s="76"/>
      <c r="R9" s="76">
        <v>1</v>
      </c>
      <c r="S9" s="76"/>
      <c r="T9" s="76">
        <v>1</v>
      </c>
      <c r="U9" s="76">
        <v>1</v>
      </c>
      <c r="V9" s="76">
        <v>1</v>
      </c>
      <c r="W9" s="76"/>
      <c r="X9" s="76"/>
      <c r="Y9" s="76"/>
      <c r="Z9" s="76">
        <v>1</v>
      </c>
      <c r="AA9" s="76"/>
      <c r="AB9" s="76"/>
    </row>
    <row r="10" spans="1:28" ht="11.25" customHeight="1" x14ac:dyDescent="0.25">
      <c r="A10" s="142"/>
      <c r="B10" s="142"/>
      <c r="C10" s="142"/>
      <c r="D10" s="142"/>
      <c r="E10" s="142"/>
      <c r="F10" s="142"/>
      <c r="G10" s="78" t="s">
        <v>84</v>
      </c>
      <c r="H10" s="78" t="s">
        <v>82</v>
      </c>
      <c r="I10" s="78">
        <f>'MERCADO TE'!$U$7</f>
        <v>11.868000000000002</v>
      </c>
      <c r="J10" s="15"/>
      <c r="L10" s="76">
        <v>1</v>
      </c>
      <c r="M10" s="76">
        <v>1</v>
      </c>
      <c r="N10" s="76">
        <v>1</v>
      </c>
      <c r="O10" s="76">
        <v>1</v>
      </c>
      <c r="P10" s="76">
        <v>1</v>
      </c>
      <c r="Q10" s="76"/>
      <c r="R10" s="76">
        <v>1</v>
      </c>
      <c r="S10" s="76"/>
      <c r="T10" s="76">
        <v>1</v>
      </c>
      <c r="U10" s="76">
        <v>1</v>
      </c>
      <c r="V10" s="76">
        <v>1</v>
      </c>
      <c r="W10" s="76"/>
      <c r="X10" s="76"/>
      <c r="Y10" s="76"/>
      <c r="Z10" s="76">
        <v>1</v>
      </c>
      <c r="AA10" s="76"/>
      <c r="AB10" s="76"/>
    </row>
    <row r="11" spans="1:28" ht="11.25" customHeight="1" x14ac:dyDescent="0.25">
      <c r="A11" s="142"/>
      <c r="B11" s="142" t="s">
        <v>85</v>
      </c>
      <c r="C11" s="142" t="s">
        <v>24</v>
      </c>
      <c r="D11" s="79" t="s">
        <v>24</v>
      </c>
      <c r="E11" s="79" t="s">
        <v>25</v>
      </c>
      <c r="F11" s="79" t="s">
        <v>25</v>
      </c>
      <c r="G11" s="78" t="s">
        <v>86</v>
      </c>
      <c r="H11" s="78" t="s">
        <v>82</v>
      </c>
      <c r="I11" s="78">
        <f>'MERCADO TE'!$U$8</f>
        <v>63212.388999999996</v>
      </c>
      <c r="J11" s="15"/>
      <c r="L11" s="76">
        <v>1</v>
      </c>
      <c r="M11" s="76">
        <v>1</v>
      </c>
      <c r="N11" s="76">
        <v>1</v>
      </c>
      <c r="O11" s="76">
        <v>1</v>
      </c>
      <c r="P11" s="76">
        <v>1</v>
      </c>
      <c r="Q11" s="76"/>
      <c r="R11" s="76">
        <v>1.06</v>
      </c>
      <c r="S11" s="76"/>
      <c r="T11" s="76">
        <v>1</v>
      </c>
      <c r="U11" s="76">
        <v>1</v>
      </c>
      <c r="V11" s="76">
        <v>1</v>
      </c>
      <c r="W11" s="76"/>
      <c r="X11" s="76"/>
      <c r="Y11" s="76"/>
      <c r="Z11" s="76">
        <v>1</v>
      </c>
      <c r="AA11" s="76"/>
      <c r="AB11" s="76"/>
    </row>
    <row r="12" spans="1:28" ht="11.25" customHeight="1" x14ac:dyDescent="0.25">
      <c r="A12" s="142"/>
      <c r="B12" s="142"/>
      <c r="C12" s="142"/>
      <c r="D12" s="79" t="s">
        <v>28</v>
      </c>
      <c r="E12" s="79" t="s">
        <v>25</v>
      </c>
      <c r="F12" s="79" t="s">
        <v>25</v>
      </c>
      <c r="G12" s="78" t="s">
        <v>86</v>
      </c>
      <c r="H12" s="78" t="s">
        <v>82</v>
      </c>
      <c r="I12" s="78">
        <f>'MERCADO TE'!$U$9</f>
        <v>258.12700000000001</v>
      </c>
      <c r="J12" s="15"/>
      <c r="L12" s="76">
        <f>1 - CUSTOS!$M$24</f>
        <v>1</v>
      </c>
      <c r="M12" s="76">
        <f>1 - CUSTOS!$M$24</f>
        <v>1</v>
      </c>
      <c r="N12" s="76">
        <f>1 - CUSTOS!$M$24</f>
        <v>1</v>
      </c>
      <c r="O12" s="76">
        <f>1 - CUSTOS!$M$24</f>
        <v>1</v>
      </c>
      <c r="P12" s="76">
        <f>1 - CUSTOS!$M$24</f>
        <v>1</v>
      </c>
      <c r="Q12" s="76"/>
      <c r="R12" s="76">
        <f>(1 - CUSTOS!$M$24)*1.06</f>
        <v>1.06</v>
      </c>
      <c r="S12" s="76"/>
      <c r="T12" s="76">
        <f>1 - CUSTOS!$M$24</f>
        <v>1</v>
      </c>
      <c r="U12" s="76">
        <f>1 - CUSTOS!$M$24</f>
        <v>1</v>
      </c>
      <c r="V12" s="76">
        <f>1 - CUSTOS!$M$24</f>
        <v>1</v>
      </c>
      <c r="W12" s="76"/>
      <c r="X12" s="76"/>
      <c r="Y12" s="76"/>
      <c r="Z12" s="76">
        <f>1 - CUSTOS!$M$24</f>
        <v>1</v>
      </c>
      <c r="AA12" s="76"/>
      <c r="AB12" s="76"/>
    </row>
    <row r="13" spans="1:28" ht="11.25" customHeight="1" x14ac:dyDescent="0.25">
      <c r="A13" s="142"/>
      <c r="B13" s="142"/>
      <c r="C13" s="142"/>
      <c r="D13" s="79" t="s">
        <v>29</v>
      </c>
      <c r="E13" s="79" t="s">
        <v>25</v>
      </c>
      <c r="F13" s="79" t="s">
        <v>25</v>
      </c>
      <c r="G13" s="78" t="s">
        <v>86</v>
      </c>
      <c r="H13" s="78" t="s">
        <v>82</v>
      </c>
      <c r="I13" s="78">
        <f>'MERCADO TE'!$U$10</f>
        <v>546.58100000000002</v>
      </c>
      <c r="J13" s="15"/>
      <c r="L13" s="76">
        <f>1 - CUSTOS!$M$25</f>
        <v>1</v>
      </c>
      <c r="M13" s="76">
        <f>1 - CUSTOS!$M$25</f>
        <v>1</v>
      </c>
      <c r="N13" s="76">
        <f>1 - CUSTOS!$M$25</f>
        <v>1</v>
      </c>
      <c r="O13" s="76">
        <f>1 - CUSTOS!$M$25</f>
        <v>1</v>
      </c>
      <c r="P13" s="76">
        <f>1 - CUSTOS!$M$25</f>
        <v>1</v>
      </c>
      <c r="Q13" s="76"/>
      <c r="R13" s="76">
        <f>(1 - CUSTOS!$M$25)*1.06</f>
        <v>1.06</v>
      </c>
      <c r="S13" s="76"/>
      <c r="T13" s="76">
        <f>1 - CUSTOS!$M$25</f>
        <v>1</v>
      </c>
      <c r="U13" s="76">
        <f>1 - CUSTOS!$M$25</f>
        <v>1</v>
      </c>
      <c r="V13" s="76">
        <f>1 - CUSTOS!$M$25</f>
        <v>1</v>
      </c>
      <c r="W13" s="76"/>
      <c r="X13" s="76"/>
      <c r="Y13" s="76"/>
      <c r="Z13" s="76">
        <f>1 - CUSTOS!$M$25</f>
        <v>1</v>
      </c>
      <c r="AA13" s="76"/>
      <c r="AB13" s="76"/>
    </row>
    <row r="14" spans="1:28" ht="11.25" customHeight="1" x14ac:dyDescent="0.25">
      <c r="A14" s="142"/>
      <c r="B14" s="142"/>
      <c r="C14" s="142"/>
      <c r="D14" s="79" t="s">
        <v>30</v>
      </c>
      <c r="E14" s="79" t="s">
        <v>25</v>
      </c>
      <c r="F14" s="79" t="s">
        <v>25</v>
      </c>
      <c r="G14" s="78" t="s">
        <v>86</v>
      </c>
      <c r="H14" s="78" t="s">
        <v>82</v>
      </c>
      <c r="I14" s="78">
        <f>'MERCADO TE'!$U$11</f>
        <v>537.75300000000004</v>
      </c>
      <c r="J14" s="15"/>
      <c r="L14" s="76">
        <f>1 - CUSTOS!$M$26</f>
        <v>1</v>
      </c>
      <c r="M14" s="76">
        <f>1 - CUSTOS!$M$26</f>
        <v>1</v>
      </c>
      <c r="N14" s="76">
        <f>1 - CUSTOS!$M$26</f>
        <v>1</v>
      </c>
      <c r="O14" s="76">
        <f>1 - CUSTOS!$M$26</f>
        <v>1</v>
      </c>
      <c r="P14" s="76">
        <f>1 - CUSTOS!$M$26</f>
        <v>1</v>
      </c>
      <c r="Q14" s="76"/>
      <c r="R14" s="76">
        <f>(1 - CUSTOS!$M$26)*1.06</f>
        <v>1.06</v>
      </c>
      <c r="S14" s="76"/>
      <c r="T14" s="76">
        <f>1 - CUSTOS!$M$26</f>
        <v>1</v>
      </c>
      <c r="U14" s="76">
        <f>1 - CUSTOS!$M$26</f>
        <v>1</v>
      </c>
      <c r="V14" s="76">
        <f>1 - CUSTOS!$M$26</f>
        <v>1</v>
      </c>
      <c r="W14" s="76"/>
      <c r="X14" s="76"/>
      <c r="Y14" s="76"/>
      <c r="Z14" s="76">
        <f>1 - CUSTOS!$M$26</f>
        <v>1</v>
      </c>
      <c r="AA14" s="76"/>
      <c r="AB14" s="76"/>
    </row>
    <row r="15" spans="1:28" ht="11.25" customHeight="1" x14ac:dyDescent="0.25">
      <c r="A15" s="142"/>
      <c r="B15" s="142"/>
      <c r="C15" s="142"/>
      <c r="D15" s="79" t="s">
        <v>31</v>
      </c>
      <c r="E15" s="79" t="s">
        <v>25</v>
      </c>
      <c r="F15" s="79" t="s">
        <v>25</v>
      </c>
      <c r="G15" s="78" t="s">
        <v>86</v>
      </c>
      <c r="H15" s="78" t="s">
        <v>82</v>
      </c>
      <c r="I15" s="78">
        <f>'MERCADO TE'!$U$12</f>
        <v>180.10599999999999</v>
      </c>
      <c r="J15" s="15"/>
      <c r="L15" s="76">
        <f>1 - CUSTOS!$M$27</f>
        <v>1</v>
      </c>
      <c r="M15" s="76">
        <f>1 - CUSTOS!$M$27</f>
        <v>1</v>
      </c>
      <c r="N15" s="76">
        <f>1 - CUSTOS!$M$27</f>
        <v>1</v>
      </c>
      <c r="O15" s="76">
        <f>1 - CUSTOS!$M$27</f>
        <v>1</v>
      </c>
      <c r="P15" s="76">
        <f>1 - CUSTOS!$M$27</f>
        <v>1</v>
      </c>
      <c r="Q15" s="76"/>
      <c r="R15" s="76">
        <f>(1 - CUSTOS!$M$27)*1.06</f>
        <v>1.06</v>
      </c>
      <c r="S15" s="76"/>
      <c r="T15" s="76">
        <f>1 - CUSTOS!$M$27</f>
        <v>1</v>
      </c>
      <c r="U15" s="76">
        <f>1 - CUSTOS!$M$27</f>
        <v>1</v>
      </c>
      <c r="V15" s="76">
        <f>1 - CUSTOS!$M$27</f>
        <v>1</v>
      </c>
      <c r="W15" s="76"/>
      <c r="X15" s="76"/>
      <c r="Y15" s="76"/>
      <c r="Z15" s="76">
        <f>1 - CUSTOS!$M$27</f>
        <v>1</v>
      </c>
      <c r="AA15" s="76"/>
      <c r="AB15" s="76"/>
    </row>
    <row r="16" spans="1:28" ht="11.25" customHeight="1" x14ac:dyDescent="0.25">
      <c r="A16" s="142"/>
      <c r="B16" s="142" t="s">
        <v>94</v>
      </c>
      <c r="C16" s="142" t="s">
        <v>24</v>
      </c>
      <c r="D16" s="79" t="s">
        <v>24</v>
      </c>
      <c r="E16" s="79" t="s">
        <v>25</v>
      </c>
      <c r="F16" s="79" t="s">
        <v>25</v>
      </c>
      <c r="G16" s="78" t="s">
        <v>86</v>
      </c>
      <c r="H16" s="78" t="s">
        <v>82</v>
      </c>
      <c r="I16" s="78">
        <f>'MERCADO TE'!$U$13</f>
        <v>0</v>
      </c>
      <c r="J16" s="15"/>
      <c r="L16" s="76">
        <v>1</v>
      </c>
      <c r="M16" s="76">
        <v>1</v>
      </c>
      <c r="N16" s="76">
        <v>1</v>
      </c>
      <c r="O16" s="76">
        <v>1</v>
      </c>
      <c r="P16" s="76">
        <v>1</v>
      </c>
      <c r="Q16" s="76"/>
      <c r="R16" s="76">
        <v>1.06</v>
      </c>
      <c r="S16" s="76"/>
      <c r="T16" s="76">
        <v>1</v>
      </c>
      <c r="U16" s="76">
        <v>1</v>
      </c>
      <c r="V16" s="76">
        <v>1</v>
      </c>
      <c r="W16" s="76"/>
      <c r="X16" s="76"/>
      <c r="Y16" s="76"/>
      <c r="Z16" s="76">
        <v>1</v>
      </c>
      <c r="AA16" s="76"/>
      <c r="AB16" s="76"/>
    </row>
    <row r="17" spans="1:28" ht="11.25" customHeight="1" x14ac:dyDescent="0.25">
      <c r="A17" s="142"/>
      <c r="B17" s="142"/>
      <c r="C17" s="142"/>
      <c r="D17" s="79" t="s">
        <v>28</v>
      </c>
      <c r="E17" s="79" t="s">
        <v>25</v>
      </c>
      <c r="F17" s="79" t="s">
        <v>25</v>
      </c>
      <c r="G17" s="78" t="s">
        <v>86</v>
      </c>
      <c r="H17" s="78" t="s">
        <v>82</v>
      </c>
      <c r="I17" s="78">
        <f>'MERCADO TE'!$U$14</f>
        <v>0</v>
      </c>
      <c r="J17" s="15"/>
      <c r="L17" s="76">
        <f>1 - CUSTOS!$M$24</f>
        <v>1</v>
      </c>
      <c r="M17" s="76">
        <f>1 - CUSTOS!$M$24</f>
        <v>1</v>
      </c>
      <c r="N17" s="76">
        <f>1 - CUSTOS!$M$24</f>
        <v>1</v>
      </c>
      <c r="O17" s="76">
        <f>1 - CUSTOS!$M$24</f>
        <v>1</v>
      </c>
      <c r="P17" s="76">
        <f>1 - CUSTOS!$M$24</f>
        <v>1</v>
      </c>
      <c r="Q17" s="76"/>
      <c r="R17" s="76">
        <f>(1 - CUSTOS!$M$24)*1.06</f>
        <v>1.06</v>
      </c>
      <c r="S17" s="76"/>
      <c r="T17" s="76">
        <f>1 - CUSTOS!$M$24</f>
        <v>1</v>
      </c>
      <c r="U17" s="76">
        <f>1 - CUSTOS!$M$24</f>
        <v>1</v>
      </c>
      <c r="V17" s="76">
        <f>1 - CUSTOS!$M$24</f>
        <v>1</v>
      </c>
      <c r="W17" s="76"/>
      <c r="X17" s="76"/>
      <c r="Y17" s="76"/>
      <c r="Z17" s="76">
        <f>1 - CUSTOS!$M$24</f>
        <v>1</v>
      </c>
      <c r="AA17" s="76"/>
      <c r="AB17" s="76"/>
    </row>
    <row r="18" spans="1:28" ht="11.25" customHeight="1" x14ac:dyDescent="0.25">
      <c r="A18" s="142"/>
      <c r="B18" s="142"/>
      <c r="C18" s="142"/>
      <c r="D18" s="79" t="s">
        <v>29</v>
      </c>
      <c r="E18" s="79" t="s">
        <v>25</v>
      </c>
      <c r="F18" s="79" t="s">
        <v>25</v>
      </c>
      <c r="G18" s="78" t="s">
        <v>86</v>
      </c>
      <c r="H18" s="78" t="s">
        <v>82</v>
      </c>
      <c r="I18" s="78">
        <f>'MERCADO TE'!$U$15</f>
        <v>0</v>
      </c>
      <c r="J18" s="15"/>
      <c r="L18" s="76">
        <f>1 - CUSTOS!$M$25</f>
        <v>1</v>
      </c>
      <c r="M18" s="76">
        <f>1 - CUSTOS!$M$25</f>
        <v>1</v>
      </c>
      <c r="N18" s="76">
        <f>1 - CUSTOS!$M$25</f>
        <v>1</v>
      </c>
      <c r="O18" s="76">
        <f>1 - CUSTOS!$M$25</f>
        <v>1</v>
      </c>
      <c r="P18" s="76">
        <f>1 - CUSTOS!$M$25</f>
        <v>1</v>
      </c>
      <c r="Q18" s="76"/>
      <c r="R18" s="76">
        <f>(1 - CUSTOS!$M$25)*1.06</f>
        <v>1.06</v>
      </c>
      <c r="S18" s="76"/>
      <c r="T18" s="76">
        <f>1 - CUSTOS!$M$25</f>
        <v>1</v>
      </c>
      <c r="U18" s="76">
        <f>1 - CUSTOS!$M$25</f>
        <v>1</v>
      </c>
      <c r="V18" s="76">
        <f>1 - CUSTOS!$M$25</f>
        <v>1</v>
      </c>
      <c r="W18" s="76"/>
      <c r="X18" s="76"/>
      <c r="Y18" s="76"/>
      <c r="Z18" s="76">
        <f>1 - CUSTOS!$M$25</f>
        <v>1</v>
      </c>
      <c r="AA18" s="76"/>
      <c r="AB18" s="76"/>
    </row>
    <row r="19" spans="1:28" ht="11.25" customHeight="1" x14ac:dyDescent="0.25">
      <c r="A19" s="142"/>
      <c r="B19" s="142"/>
      <c r="C19" s="142"/>
      <c r="D19" s="79" t="s">
        <v>30</v>
      </c>
      <c r="E19" s="79" t="s">
        <v>25</v>
      </c>
      <c r="F19" s="79" t="s">
        <v>25</v>
      </c>
      <c r="G19" s="78" t="s">
        <v>86</v>
      </c>
      <c r="H19" s="78" t="s">
        <v>82</v>
      </c>
      <c r="I19" s="78">
        <f>'MERCADO TE'!$U$16</f>
        <v>0</v>
      </c>
      <c r="J19" s="15"/>
      <c r="L19" s="76">
        <f>1 - CUSTOS!$M$26</f>
        <v>1</v>
      </c>
      <c r="M19" s="76">
        <f>1 - CUSTOS!$M$26</f>
        <v>1</v>
      </c>
      <c r="N19" s="76">
        <f>1 - CUSTOS!$M$26</f>
        <v>1</v>
      </c>
      <c r="O19" s="76">
        <f>1 - CUSTOS!$M$26</f>
        <v>1</v>
      </c>
      <c r="P19" s="76">
        <f>1 - CUSTOS!$M$26</f>
        <v>1</v>
      </c>
      <c r="Q19" s="76"/>
      <c r="R19" s="76">
        <f>(1 - CUSTOS!$M$26)*1.06</f>
        <v>1.06</v>
      </c>
      <c r="S19" s="76"/>
      <c r="T19" s="76">
        <f>1 - CUSTOS!$M$26</f>
        <v>1</v>
      </c>
      <c r="U19" s="76">
        <f>1 - CUSTOS!$M$26</f>
        <v>1</v>
      </c>
      <c r="V19" s="76">
        <f>1 - CUSTOS!$M$26</f>
        <v>1</v>
      </c>
      <c r="W19" s="76"/>
      <c r="X19" s="76"/>
      <c r="Y19" s="76"/>
      <c r="Z19" s="76">
        <f>1 - CUSTOS!$M$26</f>
        <v>1</v>
      </c>
      <c r="AA19" s="76"/>
      <c r="AB19" s="76"/>
    </row>
    <row r="20" spans="1:28" ht="11.25" customHeight="1" x14ac:dyDescent="0.25">
      <c r="A20" s="142"/>
      <c r="B20" s="142"/>
      <c r="C20" s="142"/>
      <c r="D20" s="79" t="s">
        <v>31</v>
      </c>
      <c r="E20" s="79" t="s">
        <v>25</v>
      </c>
      <c r="F20" s="79" t="s">
        <v>25</v>
      </c>
      <c r="G20" s="78" t="s">
        <v>86</v>
      </c>
      <c r="H20" s="78" t="s">
        <v>82</v>
      </c>
      <c r="I20" s="78">
        <f>'MERCADO TE'!$U$17</f>
        <v>0</v>
      </c>
      <c r="J20" s="15"/>
      <c r="L20" s="76">
        <f>1 - CUSTOS!$M$27</f>
        <v>1</v>
      </c>
      <c r="M20" s="76">
        <f>1 - CUSTOS!$M$27</f>
        <v>1</v>
      </c>
      <c r="N20" s="76">
        <f>1 - CUSTOS!$M$27</f>
        <v>1</v>
      </c>
      <c r="O20" s="76">
        <f>1 - CUSTOS!$M$27</f>
        <v>1</v>
      </c>
      <c r="P20" s="76">
        <f>1 - CUSTOS!$M$27</f>
        <v>1</v>
      </c>
      <c r="Q20" s="76"/>
      <c r="R20" s="76">
        <f>(1 - CUSTOS!$M$27)*1.06</f>
        <v>1.06</v>
      </c>
      <c r="S20" s="76"/>
      <c r="T20" s="76">
        <f>1 - CUSTOS!$M$27</f>
        <v>1</v>
      </c>
      <c r="U20" s="76">
        <f>1 - CUSTOS!$M$27</f>
        <v>1</v>
      </c>
      <c r="V20" s="76">
        <f>1 - CUSTOS!$M$27</f>
        <v>1</v>
      </c>
      <c r="W20" s="76"/>
      <c r="X20" s="76"/>
      <c r="Y20" s="76"/>
      <c r="Z20" s="76">
        <f>1 - CUSTOS!$M$27</f>
        <v>1</v>
      </c>
      <c r="AA20" s="76"/>
      <c r="AB20" s="76"/>
    </row>
    <row r="21" spans="1:28" ht="11.25" customHeight="1" x14ac:dyDescent="0.25">
      <c r="A21" s="142" t="s">
        <v>42</v>
      </c>
      <c r="B21" s="142" t="s">
        <v>81</v>
      </c>
      <c r="C21" s="142" t="s">
        <v>43</v>
      </c>
      <c r="D21" s="142" t="s">
        <v>25</v>
      </c>
      <c r="E21" s="142" t="s">
        <v>25</v>
      </c>
      <c r="F21" s="142" t="s">
        <v>25</v>
      </c>
      <c r="G21" s="78" t="s">
        <v>83</v>
      </c>
      <c r="H21" s="78" t="s">
        <v>82</v>
      </c>
      <c r="I21" s="78">
        <f>'MERCADO TE'!$U$18</f>
        <v>0</v>
      </c>
      <c r="J21" s="15"/>
      <c r="L21" s="76">
        <f>1 - CUSTOS!$M$28</f>
        <v>1</v>
      </c>
      <c r="M21" s="76">
        <f>1 - CUSTOS!$M$28</f>
        <v>1</v>
      </c>
      <c r="N21" s="76">
        <f>1 - CUSTOS!$M$28</f>
        <v>1</v>
      </c>
      <c r="O21" s="76">
        <f>1 - CUSTOS!$M$28</f>
        <v>1</v>
      </c>
      <c r="P21" s="76">
        <f>1 - CUSTOS!$M$28</f>
        <v>1</v>
      </c>
      <c r="Q21" s="76"/>
      <c r="R21" s="76">
        <f>(1 - CUSTOS!$M$28)*1.72</f>
        <v>1.72</v>
      </c>
      <c r="S21" s="76"/>
      <c r="T21" s="76">
        <f>1 - CUSTOS!$M$28</f>
        <v>1</v>
      </c>
      <c r="U21" s="76">
        <f>1 - CUSTOS!$M$28</f>
        <v>1</v>
      </c>
      <c r="V21" s="76">
        <f>1 - CUSTOS!$M$28</f>
        <v>1</v>
      </c>
      <c r="W21" s="76"/>
      <c r="X21" s="76"/>
      <c r="Y21" s="76"/>
      <c r="Z21" s="76">
        <f>1 - CUSTOS!$M$28</f>
        <v>1</v>
      </c>
      <c r="AA21" s="76"/>
      <c r="AB21" s="76"/>
    </row>
    <row r="22" spans="1:28" ht="11.25" customHeight="1" x14ac:dyDescent="0.25">
      <c r="A22" s="142"/>
      <c r="B22" s="142"/>
      <c r="C22" s="142"/>
      <c r="D22" s="142"/>
      <c r="E22" s="142"/>
      <c r="F22" s="142"/>
      <c r="G22" s="78" t="s">
        <v>93</v>
      </c>
      <c r="H22" s="78" t="s">
        <v>82</v>
      </c>
      <c r="I22" s="78">
        <f>'MERCADO TE'!$U$19</f>
        <v>0</v>
      </c>
      <c r="J22" s="15"/>
      <c r="L22" s="76">
        <f>1 - CUSTOS!$M$28</f>
        <v>1</v>
      </c>
      <c r="M22" s="76">
        <f>1 - CUSTOS!$M$28</f>
        <v>1</v>
      </c>
      <c r="N22" s="76">
        <f>1 - CUSTOS!$M$28</f>
        <v>1</v>
      </c>
      <c r="O22" s="76">
        <f>1 - CUSTOS!$M$28</f>
        <v>1</v>
      </c>
      <c r="P22" s="76">
        <f>1 - CUSTOS!$M$28</f>
        <v>1</v>
      </c>
      <c r="Q22" s="76"/>
      <c r="R22" s="76">
        <f>(1 - CUSTOS!$M$28)*1</f>
        <v>1</v>
      </c>
      <c r="S22" s="76"/>
      <c r="T22" s="76">
        <f>1 - CUSTOS!$M$28</f>
        <v>1</v>
      </c>
      <c r="U22" s="76">
        <f>1 - CUSTOS!$M$28</f>
        <v>1</v>
      </c>
      <c r="V22" s="76">
        <f>1 - CUSTOS!$M$28</f>
        <v>1</v>
      </c>
      <c r="W22" s="76"/>
      <c r="X22" s="76"/>
      <c r="Y22" s="76"/>
      <c r="Z22" s="76">
        <f>1 - CUSTOS!$M$28</f>
        <v>1</v>
      </c>
      <c r="AA22" s="76"/>
      <c r="AB22" s="76"/>
    </row>
    <row r="23" spans="1:28" ht="11.25" customHeight="1" x14ac:dyDescent="0.25">
      <c r="A23" s="142"/>
      <c r="B23" s="142"/>
      <c r="C23" s="142"/>
      <c r="D23" s="142"/>
      <c r="E23" s="142"/>
      <c r="F23" s="142"/>
      <c r="G23" s="78" t="s">
        <v>84</v>
      </c>
      <c r="H23" s="78" t="s">
        <v>82</v>
      </c>
      <c r="I23" s="78">
        <f>'MERCADO TE'!$U$20</f>
        <v>0</v>
      </c>
      <c r="J23" s="15"/>
      <c r="L23" s="76">
        <f>1 - CUSTOS!$M$28</f>
        <v>1</v>
      </c>
      <c r="M23" s="76">
        <f>1 - CUSTOS!$M$28</f>
        <v>1</v>
      </c>
      <c r="N23" s="76">
        <f>1 - CUSTOS!$M$28</f>
        <v>1</v>
      </c>
      <c r="O23" s="76">
        <f>1 - CUSTOS!$M$28</f>
        <v>1</v>
      </c>
      <c r="P23" s="76">
        <f>1 - CUSTOS!$M$28</f>
        <v>1</v>
      </c>
      <c r="Q23" s="76"/>
      <c r="R23" s="76">
        <f>(1 - CUSTOS!$M$28)*1</f>
        <v>1</v>
      </c>
      <c r="S23" s="76"/>
      <c r="T23" s="76">
        <f>1 - CUSTOS!$M$28</f>
        <v>1</v>
      </c>
      <c r="U23" s="76">
        <f>1 - CUSTOS!$M$28</f>
        <v>1</v>
      </c>
      <c r="V23" s="76">
        <f>1 - CUSTOS!$M$28</f>
        <v>1</v>
      </c>
      <c r="W23" s="76"/>
      <c r="X23" s="76"/>
      <c r="Y23" s="76"/>
      <c r="Z23" s="76">
        <f>1 - CUSTOS!$M$28</f>
        <v>1</v>
      </c>
      <c r="AA23" s="76"/>
      <c r="AB23" s="76"/>
    </row>
    <row r="24" spans="1:28" ht="11.25" customHeight="1" x14ac:dyDescent="0.25">
      <c r="A24" s="142"/>
      <c r="B24" s="79" t="s">
        <v>85</v>
      </c>
      <c r="C24" s="79" t="s">
        <v>43</v>
      </c>
      <c r="D24" s="79" t="s">
        <v>25</v>
      </c>
      <c r="E24" s="79" t="s">
        <v>25</v>
      </c>
      <c r="F24" s="79" t="s">
        <v>25</v>
      </c>
      <c r="G24" s="78" t="s">
        <v>86</v>
      </c>
      <c r="H24" s="78" t="s">
        <v>82</v>
      </c>
      <c r="I24" s="78">
        <f>'MERCADO TE'!$U$21</f>
        <v>18727.453000000001</v>
      </c>
      <c r="J24" s="15"/>
      <c r="L24" s="76">
        <f>1 - CUSTOS!$M$28</f>
        <v>1</v>
      </c>
      <c r="M24" s="76">
        <f>1 - CUSTOS!$M$28</f>
        <v>1</v>
      </c>
      <c r="N24" s="76">
        <f>1 - CUSTOS!$M$28</f>
        <v>1</v>
      </c>
      <c r="O24" s="76">
        <f>1 - CUSTOS!$M$28</f>
        <v>1</v>
      </c>
      <c r="P24" s="76">
        <f>1 - CUSTOS!$M$28</f>
        <v>1</v>
      </c>
      <c r="Q24" s="76"/>
      <c r="R24" s="76">
        <f>(1 - CUSTOS!$M$28)*1.06</f>
        <v>1.06</v>
      </c>
      <c r="S24" s="76"/>
      <c r="T24" s="76">
        <f>1 - CUSTOS!$M$28</f>
        <v>1</v>
      </c>
      <c r="U24" s="76">
        <f>1 - CUSTOS!$M$28</f>
        <v>1</v>
      </c>
      <c r="V24" s="76">
        <f>1 - CUSTOS!$M$28</f>
        <v>1</v>
      </c>
      <c r="W24" s="76"/>
      <c r="X24" s="76"/>
      <c r="Y24" s="76"/>
      <c r="Z24" s="76">
        <f>1 - CUSTOS!$M$28</f>
        <v>1</v>
      </c>
      <c r="AA24" s="76"/>
      <c r="AB24" s="76"/>
    </row>
    <row r="25" spans="1:28" ht="11.25" customHeight="1" x14ac:dyDescent="0.25">
      <c r="A25" s="142"/>
      <c r="B25" s="142" t="s">
        <v>81</v>
      </c>
      <c r="C25" s="142" t="s">
        <v>43</v>
      </c>
      <c r="D25" s="142" t="s">
        <v>96</v>
      </c>
      <c r="E25" s="142" t="s">
        <v>25</v>
      </c>
      <c r="F25" s="142" t="s">
        <v>25</v>
      </c>
      <c r="G25" s="78" t="s">
        <v>83</v>
      </c>
      <c r="H25" s="78" t="s">
        <v>82</v>
      </c>
      <c r="I25" s="78">
        <f>'MERCADO TE'!$U$22</f>
        <v>0</v>
      </c>
      <c r="J25" s="15"/>
      <c r="L25" s="76">
        <f>1 - CUSTOS!$M$29</f>
        <v>1</v>
      </c>
      <c r="M25" s="76">
        <f>1 - CUSTOS!$M$29</f>
        <v>1</v>
      </c>
      <c r="N25" s="76">
        <f>1 - CUSTOS!$M$29</f>
        <v>1</v>
      </c>
      <c r="O25" s="76">
        <f>1 - CUSTOS!$M$29</f>
        <v>1</v>
      </c>
      <c r="P25" s="76">
        <f>1 - CUSTOS!$M$29</f>
        <v>1</v>
      </c>
      <c r="Q25" s="76"/>
      <c r="R25" s="76">
        <f>(1 - CUSTOS!$M$29)*1.72</f>
        <v>1.72</v>
      </c>
      <c r="S25" s="76"/>
      <c r="T25" s="76">
        <f>1 - CUSTOS!$M$29</f>
        <v>1</v>
      </c>
      <c r="U25" s="76">
        <f>1 - CUSTOS!$M$29</f>
        <v>1</v>
      </c>
      <c r="V25" s="76">
        <f>1 - CUSTOS!$M$29</f>
        <v>1</v>
      </c>
      <c r="W25" s="76"/>
      <c r="X25" s="76"/>
      <c r="Y25" s="76"/>
      <c r="Z25" s="76">
        <f>1 - CUSTOS!$M$29</f>
        <v>1</v>
      </c>
      <c r="AA25" s="76"/>
      <c r="AB25" s="76"/>
    </row>
    <row r="26" spans="1:28" ht="11.25" customHeight="1" x14ac:dyDescent="0.25">
      <c r="A26" s="142"/>
      <c r="B26" s="142"/>
      <c r="C26" s="142"/>
      <c r="D26" s="142"/>
      <c r="E26" s="142"/>
      <c r="F26" s="142"/>
      <c r="G26" s="78" t="s">
        <v>93</v>
      </c>
      <c r="H26" s="78" t="s">
        <v>82</v>
      </c>
      <c r="I26" s="78">
        <f>'MERCADO TE'!$U$23</f>
        <v>0</v>
      </c>
      <c r="J26" s="15"/>
      <c r="L26" s="76">
        <f>1 - CUSTOS!$M$29</f>
        <v>1</v>
      </c>
      <c r="M26" s="76">
        <f>1 - CUSTOS!$M$29</f>
        <v>1</v>
      </c>
      <c r="N26" s="76">
        <f>1 - CUSTOS!$M$29</f>
        <v>1</v>
      </c>
      <c r="O26" s="76">
        <f>1 - CUSTOS!$M$29</f>
        <v>1</v>
      </c>
      <c r="P26" s="76">
        <f>1 - CUSTOS!$M$29</f>
        <v>1</v>
      </c>
      <c r="Q26" s="76"/>
      <c r="R26" s="76">
        <f>(1 - CUSTOS!$M$29)*1</f>
        <v>1</v>
      </c>
      <c r="S26" s="76"/>
      <c r="T26" s="76">
        <f>1 - CUSTOS!$M$29</f>
        <v>1</v>
      </c>
      <c r="U26" s="76">
        <f>1 - CUSTOS!$M$29</f>
        <v>1</v>
      </c>
      <c r="V26" s="76">
        <f>1 - CUSTOS!$M$29</f>
        <v>1</v>
      </c>
      <c r="W26" s="76"/>
      <c r="X26" s="76"/>
      <c r="Y26" s="76"/>
      <c r="Z26" s="76">
        <f>1 - CUSTOS!$M$29</f>
        <v>1</v>
      </c>
      <c r="AA26" s="76"/>
      <c r="AB26" s="76"/>
    </row>
    <row r="27" spans="1:28" ht="11.25" customHeight="1" x14ac:dyDescent="0.25">
      <c r="A27" s="142"/>
      <c r="B27" s="142"/>
      <c r="C27" s="142"/>
      <c r="D27" s="142"/>
      <c r="E27" s="142"/>
      <c r="F27" s="142"/>
      <c r="G27" s="78" t="s">
        <v>84</v>
      </c>
      <c r="H27" s="78" t="s">
        <v>82</v>
      </c>
      <c r="I27" s="78">
        <f>'MERCADO TE'!$U$24</f>
        <v>0</v>
      </c>
      <c r="J27" s="15"/>
      <c r="L27" s="76">
        <f>1 - CUSTOS!$M$29</f>
        <v>1</v>
      </c>
      <c r="M27" s="76">
        <f>1 - CUSTOS!$M$29</f>
        <v>1</v>
      </c>
      <c r="N27" s="76">
        <f>1 - CUSTOS!$M$29</f>
        <v>1</v>
      </c>
      <c r="O27" s="76">
        <f>1 - CUSTOS!$M$29</f>
        <v>1</v>
      </c>
      <c r="P27" s="76">
        <f>1 - CUSTOS!$M$29</f>
        <v>1</v>
      </c>
      <c r="Q27" s="76"/>
      <c r="R27" s="76">
        <f>(1 - CUSTOS!$M$29)*1</f>
        <v>1</v>
      </c>
      <c r="S27" s="76"/>
      <c r="T27" s="76">
        <f>1 - CUSTOS!$M$29</f>
        <v>1</v>
      </c>
      <c r="U27" s="76">
        <f>1 - CUSTOS!$M$29</f>
        <v>1</v>
      </c>
      <c r="V27" s="76">
        <f>1 - CUSTOS!$M$29</f>
        <v>1</v>
      </c>
      <c r="W27" s="76"/>
      <c r="X27" s="76"/>
      <c r="Y27" s="76"/>
      <c r="Z27" s="76">
        <f>1 - CUSTOS!$M$29</f>
        <v>1</v>
      </c>
      <c r="AA27" s="76"/>
      <c r="AB27" s="76"/>
    </row>
    <row r="28" spans="1:28" ht="11.25" customHeight="1" x14ac:dyDescent="0.25">
      <c r="A28" s="142"/>
      <c r="B28" s="79" t="s">
        <v>85</v>
      </c>
      <c r="C28" s="79" t="s">
        <v>43</v>
      </c>
      <c r="D28" s="79" t="s">
        <v>96</v>
      </c>
      <c r="E28" s="79" t="s">
        <v>25</v>
      </c>
      <c r="F28" s="79" t="s">
        <v>25</v>
      </c>
      <c r="G28" s="78" t="s">
        <v>86</v>
      </c>
      <c r="H28" s="78" t="s">
        <v>82</v>
      </c>
      <c r="I28" s="78">
        <f>'MERCADO TE'!$U$25</f>
        <v>0</v>
      </c>
      <c r="J28" s="15"/>
      <c r="L28" s="76">
        <f>1 - CUSTOS!$M$29</f>
        <v>1</v>
      </c>
      <c r="M28" s="76">
        <f>1 - CUSTOS!$M$29</f>
        <v>1</v>
      </c>
      <c r="N28" s="76">
        <f>1 - CUSTOS!$M$29</f>
        <v>1</v>
      </c>
      <c r="O28" s="76">
        <f>1 - CUSTOS!$M$29</f>
        <v>1</v>
      </c>
      <c r="P28" s="76">
        <f>1 - CUSTOS!$M$29</f>
        <v>1</v>
      </c>
      <c r="Q28" s="76"/>
      <c r="R28" s="76">
        <f>(1 - CUSTOS!$M$29)*1.06</f>
        <v>1.06</v>
      </c>
      <c r="S28" s="76"/>
      <c r="T28" s="76">
        <f>1 - CUSTOS!$M$29</f>
        <v>1</v>
      </c>
      <c r="U28" s="76">
        <f>1 - CUSTOS!$M$29</f>
        <v>1</v>
      </c>
      <c r="V28" s="76">
        <f>1 - CUSTOS!$M$29</f>
        <v>1</v>
      </c>
      <c r="W28" s="76"/>
      <c r="X28" s="76"/>
      <c r="Y28" s="76"/>
      <c r="Z28" s="76">
        <f>1 - CUSTOS!$M$29</f>
        <v>1</v>
      </c>
      <c r="AA28" s="76"/>
      <c r="AB28" s="76"/>
    </row>
    <row r="29" spans="1:28" ht="11.25" customHeight="1" x14ac:dyDescent="0.25">
      <c r="A29" s="142"/>
      <c r="B29" s="142" t="s">
        <v>81</v>
      </c>
      <c r="C29" s="142" t="s">
        <v>43</v>
      </c>
      <c r="D29" s="142" t="s">
        <v>97</v>
      </c>
      <c r="E29" s="142" t="s">
        <v>25</v>
      </c>
      <c r="F29" s="142" t="s">
        <v>25</v>
      </c>
      <c r="G29" s="78" t="s">
        <v>83</v>
      </c>
      <c r="H29" s="78" t="s">
        <v>82</v>
      </c>
      <c r="I29" s="78">
        <f>'MERCADO TE'!$U$26</f>
        <v>0</v>
      </c>
      <c r="J29" s="15"/>
      <c r="L29" s="76">
        <f>1 - CUSTOS!$M$30</f>
        <v>1</v>
      </c>
      <c r="M29" s="76">
        <f>1 - CUSTOS!$M$30</f>
        <v>1</v>
      </c>
      <c r="N29" s="76">
        <f>1 - CUSTOS!$M$30</f>
        <v>1</v>
      </c>
      <c r="O29" s="76">
        <f>1 - CUSTOS!$M$30</f>
        <v>1</v>
      </c>
      <c r="P29" s="76">
        <f>1 - CUSTOS!$M$30</f>
        <v>1</v>
      </c>
      <c r="Q29" s="76"/>
      <c r="R29" s="76">
        <f>(1 - CUSTOS!$M$30)*1.72</f>
        <v>1.72</v>
      </c>
      <c r="S29" s="76"/>
      <c r="T29" s="76">
        <f>1 - CUSTOS!$M$30</f>
        <v>1</v>
      </c>
      <c r="U29" s="76">
        <f>1 - CUSTOS!$M$30</f>
        <v>1</v>
      </c>
      <c r="V29" s="76">
        <f>1 - CUSTOS!$M$30</f>
        <v>1</v>
      </c>
      <c r="W29" s="76"/>
      <c r="X29" s="76"/>
      <c r="Y29" s="76"/>
      <c r="Z29" s="76">
        <f>1 - CUSTOS!$M$30</f>
        <v>1</v>
      </c>
      <c r="AA29" s="76"/>
      <c r="AB29" s="76"/>
    </row>
    <row r="30" spans="1:28" ht="11.25" customHeight="1" x14ac:dyDescent="0.25">
      <c r="A30" s="142"/>
      <c r="B30" s="142"/>
      <c r="C30" s="142"/>
      <c r="D30" s="142"/>
      <c r="E30" s="142"/>
      <c r="F30" s="142"/>
      <c r="G30" s="78" t="s">
        <v>93</v>
      </c>
      <c r="H30" s="78" t="s">
        <v>82</v>
      </c>
      <c r="I30" s="78">
        <f>'MERCADO TE'!$U$27</f>
        <v>0</v>
      </c>
      <c r="J30" s="15"/>
      <c r="L30" s="76">
        <f>1 - CUSTOS!$M$30</f>
        <v>1</v>
      </c>
      <c r="M30" s="76">
        <f>1 - CUSTOS!$M$30</f>
        <v>1</v>
      </c>
      <c r="N30" s="76">
        <f>1 - CUSTOS!$M$30</f>
        <v>1</v>
      </c>
      <c r="O30" s="76">
        <f>1 - CUSTOS!$M$30</f>
        <v>1</v>
      </c>
      <c r="P30" s="76">
        <f>1 - CUSTOS!$M$30</f>
        <v>1</v>
      </c>
      <c r="Q30" s="76"/>
      <c r="R30" s="76">
        <f>(1 - CUSTOS!$M$30)*1</f>
        <v>1</v>
      </c>
      <c r="S30" s="76"/>
      <c r="T30" s="76">
        <f>1 - CUSTOS!$M$30</f>
        <v>1</v>
      </c>
      <c r="U30" s="76">
        <f>1 - CUSTOS!$M$30</f>
        <v>1</v>
      </c>
      <c r="V30" s="76">
        <f>1 - CUSTOS!$M$30</f>
        <v>1</v>
      </c>
      <c r="W30" s="76"/>
      <c r="X30" s="76"/>
      <c r="Y30" s="76"/>
      <c r="Z30" s="76">
        <f>1 - CUSTOS!$M$30</f>
        <v>1</v>
      </c>
      <c r="AA30" s="76"/>
      <c r="AB30" s="76"/>
    </row>
    <row r="31" spans="1:28" ht="11.25" customHeight="1" x14ac:dyDescent="0.25">
      <c r="A31" s="142"/>
      <c r="B31" s="142"/>
      <c r="C31" s="142"/>
      <c r="D31" s="142"/>
      <c r="E31" s="142"/>
      <c r="F31" s="142"/>
      <c r="G31" s="78" t="s">
        <v>84</v>
      </c>
      <c r="H31" s="78" t="s">
        <v>82</v>
      </c>
      <c r="I31" s="78">
        <f>'MERCADO TE'!$U$28</f>
        <v>0</v>
      </c>
      <c r="J31" s="15"/>
      <c r="L31" s="76">
        <f>1 - CUSTOS!$M$30</f>
        <v>1</v>
      </c>
      <c r="M31" s="76">
        <f>1 - CUSTOS!$M$30</f>
        <v>1</v>
      </c>
      <c r="N31" s="76">
        <f>1 - CUSTOS!$M$30</f>
        <v>1</v>
      </c>
      <c r="O31" s="76">
        <f>1 - CUSTOS!$M$30</f>
        <v>1</v>
      </c>
      <c r="P31" s="76">
        <f>1 - CUSTOS!$M$30</f>
        <v>1</v>
      </c>
      <c r="Q31" s="76"/>
      <c r="R31" s="76">
        <f>(1 - CUSTOS!$M$30)*1</f>
        <v>1</v>
      </c>
      <c r="S31" s="76"/>
      <c r="T31" s="76">
        <f>1 - CUSTOS!$M$30</f>
        <v>1</v>
      </c>
      <c r="U31" s="76">
        <f>1 - CUSTOS!$M$30</f>
        <v>1</v>
      </c>
      <c r="V31" s="76">
        <f>1 - CUSTOS!$M$30</f>
        <v>1</v>
      </c>
      <c r="W31" s="76"/>
      <c r="X31" s="76"/>
      <c r="Y31" s="76"/>
      <c r="Z31" s="76">
        <f>1 - CUSTOS!$M$30</f>
        <v>1</v>
      </c>
      <c r="AA31" s="76"/>
      <c r="AB31" s="76"/>
    </row>
    <row r="32" spans="1:28" ht="11.25" customHeight="1" x14ac:dyDescent="0.25">
      <c r="A32" s="142"/>
      <c r="B32" s="79" t="s">
        <v>85</v>
      </c>
      <c r="C32" s="79" t="s">
        <v>43</v>
      </c>
      <c r="D32" s="79" t="s">
        <v>97</v>
      </c>
      <c r="E32" s="79" t="s">
        <v>25</v>
      </c>
      <c r="F32" s="79" t="s">
        <v>25</v>
      </c>
      <c r="G32" s="78" t="s">
        <v>86</v>
      </c>
      <c r="H32" s="78" t="s">
        <v>82</v>
      </c>
      <c r="I32" s="78">
        <f>'MERCADO TE'!$U$29</f>
        <v>0</v>
      </c>
      <c r="J32" s="15"/>
      <c r="L32" s="76">
        <f>1 - CUSTOS!$M$30</f>
        <v>1</v>
      </c>
      <c r="M32" s="76">
        <f>1 - CUSTOS!$M$30</f>
        <v>1</v>
      </c>
      <c r="N32" s="76">
        <f>1 - CUSTOS!$M$30</f>
        <v>1</v>
      </c>
      <c r="O32" s="76">
        <f>1 - CUSTOS!$M$30</f>
        <v>1</v>
      </c>
      <c r="P32" s="76">
        <f>1 - CUSTOS!$M$30</f>
        <v>1</v>
      </c>
      <c r="Q32" s="76"/>
      <c r="R32" s="76">
        <f>(1 - CUSTOS!$M$30)*1.06</f>
        <v>1.06</v>
      </c>
      <c r="S32" s="76"/>
      <c r="T32" s="76">
        <f>1 - CUSTOS!$M$30</f>
        <v>1</v>
      </c>
      <c r="U32" s="76">
        <f>1 - CUSTOS!$M$30</f>
        <v>1</v>
      </c>
      <c r="V32" s="76">
        <f>1 - CUSTOS!$M$30</f>
        <v>1</v>
      </c>
      <c r="W32" s="76"/>
      <c r="X32" s="76"/>
      <c r="Y32" s="76"/>
      <c r="Z32" s="76">
        <f>1 - CUSTOS!$M$30</f>
        <v>1</v>
      </c>
      <c r="AA32" s="76"/>
      <c r="AB32" s="76"/>
    </row>
    <row r="33" spans="1:28" ht="11.25" customHeight="1" x14ac:dyDescent="0.25">
      <c r="A33" s="142"/>
      <c r="B33" s="142" t="s">
        <v>94</v>
      </c>
      <c r="C33" s="142" t="s">
        <v>43</v>
      </c>
      <c r="D33" s="79" t="s">
        <v>25</v>
      </c>
      <c r="E33" s="79" t="s">
        <v>25</v>
      </c>
      <c r="F33" s="79" t="s">
        <v>25</v>
      </c>
      <c r="G33" s="78" t="s">
        <v>86</v>
      </c>
      <c r="H33" s="78" t="s">
        <v>82</v>
      </c>
      <c r="I33" s="78">
        <f>'MERCADO TE'!$U$30</f>
        <v>0</v>
      </c>
      <c r="J33" s="15"/>
      <c r="L33" s="76">
        <f>1 - CUSTOS!$M$28</f>
        <v>1</v>
      </c>
      <c r="M33" s="76">
        <f>1 - CUSTOS!$M$28</f>
        <v>1</v>
      </c>
      <c r="N33" s="76">
        <f>1 - CUSTOS!$M$28</f>
        <v>1</v>
      </c>
      <c r="O33" s="76">
        <f>1 - CUSTOS!$M$28</f>
        <v>1</v>
      </c>
      <c r="P33" s="76">
        <f>1 - CUSTOS!$M$28</f>
        <v>1</v>
      </c>
      <c r="Q33" s="76"/>
      <c r="R33" s="76">
        <f>(1 - CUSTOS!$M$28)*1.06</f>
        <v>1.06</v>
      </c>
      <c r="S33" s="76"/>
      <c r="T33" s="76">
        <f>1 - CUSTOS!$M$28</f>
        <v>1</v>
      </c>
      <c r="U33" s="76">
        <f>1 - CUSTOS!$M$28</f>
        <v>1</v>
      </c>
      <c r="V33" s="76">
        <f>1 - CUSTOS!$M$28</f>
        <v>1</v>
      </c>
      <c r="W33" s="76"/>
      <c r="X33" s="76"/>
      <c r="Y33" s="76"/>
      <c r="Z33" s="76">
        <f>1 - CUSTOS!$M$28</f>
        <v>1</v>
      </c>
      <c r="AA33" s="76"/>
      <c r="AB33" s="76"/>
    </row>
    <row r="34" spans="1:28" ht="11.25" customHeight="1" x14ac:dyDescent="0.25">
      <c r="A34" s="142"/>
      <c r="B34" s="142"/>
      <c r="C34" s="142"/>
      <c r="D34" s="79" t="s">
        <v>96</v>
      </c>
      <c r="E34" s="79" t="s">
        <v>25</v>
      </c>
      <c r="F34" s="79" t="s">
        <v>25</v>
      </c>
      <c r="G34" s="78" t="s">
        <v>86</v>
      </c>
      <c r="H34" s="78" t="s">
        <v>82</v>
      </c>
      <c r="I34" s="78">
        <f>'MERCADO TE'!$U$31</f>
        <v>0</v>
      </c>
      <c r="J34" s="15"/>
      <c r="L34" s="76">
        <f>1 - CUSTOS!$M$29</f>
        <v>1</v>
      </c>
      <c r="M34" s="76">
        <f>1 - CUSTOS!$M$29</f>
        <v>1</v>
      </c>
      <c r="N34" s="76">
        <f>1 - CUSTOS!$M$29</f>
        <v>1</v>
      </c>
      <c r="O34" s="76">
        <f>1 - CUSTOS!$M$29</f>
        <v>1</v>
      </c>
      <c r="P34" s="76">
        <f>1 - CUSTOS!$M$29</f>
        <v>1</v>
      </c>
      <c r="Q34" s="76"/>
      <c r="R34" s="76">
        <f>(1 - CUSTOS!$M$29)*1.06</f>
        <v>1.06</v>
      </c>
      <c r="S34" s="76"/>
      <c r="T34" s="76">
        <f>1 - CUSTOS!$M$29</f>
        <v>1</v>
      </c>
      <c r="U34" s="76">
        <f>1 - CUSTOS!$M$29</f>
        <v>1</v>
      </c>
      <c r="V34" s="76">
        <f>1 - CUSTOS!$M$29</f>
        <v>1</v>
      </c>
      <c r="W34" s="76"/>
      <c r="X34" s="76"/>
      <c r="Y34" s="76"/>
      <c r="Z34" s="76">
        <f>1 - CUSTOS!$M$29</f>
        <v>1</v>
      </c>
      <c r="AA34" s="76"/>
      <c r="AB34" s="76"/>
    </row>
    <row r="35" spans="1:28" ht="11.25" customHeight="1" x14ac:dyDescent="0.25">
      <c r="A35" s="142"/>
      <c r="B35" s="142"/>
      <c r="C35" s="142"/>
      <c r="D35" s="79" t="s">
        <v>97</v>
      </c>
      <c r="E35" s="79" t="s">
        <v>25</v>
      </c>
      <c r="F35" s="79" t="s">
        <v>25</v>
      </c>
      <c r="G35" s="78" t="s">
        <v>86</v>
      </c>
      <c r="H35" s="78" t="s">
        <v>82</v>
      </c>
      <c r="I35" s="78">
        <f>'MERCADO TE'!$U$32</f>
        <v>0</v>
      </c>
      <c r="J35" s="15"/>
      <c r="L35" s="76">
        <f>1 - CUSTOS!$M$30</f>
        <v>1</v>
      </c>
      <c r="M35" s="76">
        <f>1 - CUSTOS!$M$30</f>
        <v>1</v>
      </c>
      <c r="N35" s="76">
        <f>1 - CUSTOS!$M$30</f>
        <v>1</v>
      </c>
      <c r="O35" s="76">
        <f>1 - CUSTOS!$M$30</f>
        <v>1</v>
      </c>
      <c r="P35" s="76">
        <f>1 - CUSTOS!$M$30</f>
        <v>1</v>
      </c>
      <c r="Q35" s="76"/>
      <c r="R35" s="76">
        <f>(1 - CUSTOS!$M$30)*1.06</f>
        <v>1.06</v>
      </c>
      <c r="S35" s="76"/>
      <c r="T35" s="76">
        <f>1 - CUSTOS!$M$30</f>
        <v>1</v>
      </c>
      <c r="U35" s="76">
        <f>1 - CUSTOS!$M$30</f>
        <v>1</v>
      </c>
      <c r="V35" s="76">
        <f>1 - CUSTOS!$M$30</f>
        <v>1</v>
      </c>
      <c r="W35" s="76"/>
      <c r="X35" s="76"/>
      <c r="Y35" s="76"/>
      <c r="Z35" s="76">
        <f>1 - CUSTOS!$M$30</f>
        <v>1</v>
      </c>
      <c r="AA35" s="76"/>
      <c r="AB35" s="76"/>
    </row>
    <row r="36" spans="1:28" ht="11.25" customHeight="1" x14ac:dyDescent="0.25">
      <c r="A36" s="142" t="s">
        <v>36</v>
      </c>
      <c r="B36" s="142" t="s">
        <v>81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78" t="s">
        <v>83</v>
      </c>
      <c r="H36" s="78" t="s">
        <v>82</v>
      </c>
      <c r="I36" s="78">
        <f>'MERCADO TE'!$U$33</f>
        <v>20.471999999999998</v>
      </c>
      <c r="J36" s="15"/>
      <c r="L36" s="76">
        <f>1 - CUSTOS!$M$31</f>
        <v>1</v>
      </c>
      <c r="M36" s="76">
        <f>1 - CUSTOS!$M$31</f>
        <v>1</v>
      </c>
      <c r="N36" s="76">
        <f>1 - CUSTOS!$M$31</f>
        <v>1</v>
      </c>
      <c r="O36" s="76">
        <f>1 - CUSTOS!$M$31</f>
        <v>1</v>
      </c>
      <c r="P36" s="76">
        <f>1 - CUSTOS!$M$31</f>
        <v>1</v>
      </c>
      <c r="Q36" s="76"/>
      <c r="R36" s="76">
        <f>(1 - CUSTOS!$M$31)*1.72</f>
        <v>1.72</v>
      </c>
      <c r="S36" s="76"/>
      <c r="T36" s="76">
        <f>1 - CUSTOS!$M$31</f>
        <v>1</v>
      </c>
      <c r="U36" s="76">
        <f>1 - CUSTOS!$M$31</f>
        <v>1</v>
      </c>
      <c r="V36" s="76">
        <f>1 - CUSTOS!$M$31</f>
        <v>1</v>
      </c>
      <c r="W36" s="76"/>
      <c r="X36" s="76"/>
      <c r="Y36" s="76"/>
      <c r="Z36" s="76">
        <f>1 - CUSTOS!$M$31</f>
        <v>1</v>
      </c>
      <c r="AA36" s="76"/>
      <c r="AB36" s="76"/>
    </row>
    <row r="37" spans="1:28" ht="11.25" customHeight="1" x14ac:dyDescent="0.25">
      <c r="A37" s="142"/>
      <c r="B37" s="142"/>
      <c r="C37" s="142"/>
      <c r="D37" s="142"/>
      <c r="E37" s="142"/>
      <c r="F37" s="142"/>
      <c r="G37" s="78" t="s">
        <v>93</v>
      </c>
      <c r="H37" s="78" t="s">
        <v>82</v>
      </c>
      <c r="I37" s="78">
        <f>'MERCADO TE'!$U$34</f>
        <v>16.687999999999999</v>
      </c>
      <c r="J37" s="15"/>
      <c r="L37" s="76">
        <f>1 - CUSTOS!$M$31</f>
        <v>1</v>
      </c>
      <c r="M37" s="76">
        <f>1 - CUSTOS!$M$31</f>
        <v>1</v>
      </c>
      <c r="N37" s="76">
        <f>1 - CUSTOS!$M$31</f>
        <v>1</v>
      </c>
      <c r="O37" s="76">
        <f>1 - CUSTOS!$M$31</f>
        <v>1</v>
      </c>
      <c r="P37" s="76">
        <f>1 - CUSTOS!$M$31</f>
        <v>1</v>
      </c>
      <c r="Q37" s="76"/>
      <c r="R37" s="76">
        <f>(1 - CUSTOS!$M$31)*1</f>
        <v>1</v>
      </c>
      <c r="S37" s="76"/>
      <c r="T37" s="76">
        <f>1 - CUSTOS!$M$31</f>
        <v>1</v>
      </c>
      <c r="U37" s="76">
        <f>1 - CUSTOS!$M$31</f>
        <v>1</v>
      </c>
      <c r="V37" s="76">
        <f>1 - CUSTOS!$M$31</f>
        <v>1</v>
      </c>
      <c r="W37" s="76"/>
      <c r="X37" s="76"/>
      <c r="Y37" s="76"/>
      <c r="Z37" s="76">
        <f>1 - CUSTOS!$M$31</f>
        <v>1</v>
      </c>
      <c r="AA37" s="76"/>
      <c r="AB37" s="76"/>
    </row>
    <row r="38" spans="1:28" ht="11.25" customHeight="1" x14ac:dyDescent="0.25">
      <c r="A38" s="142"/>
      <c r="B38" s="142"/>
      <c r="C38" s="142"/>
      <c r="D38" s="142"/>
      <c r="E38" s="142"/>
      <c r="F38" s="142"/>
      <c r="G38" s="78" t="s">
        <v>84</v>
      </c>
      <c r="H38" s="78" t="s">
        <v>82</v>
      </c>
      <c r="I38" s="78">
        <f>'MERCADO TE'!$U$35</f>
        <v>216.36699999999999</v>
      </c>
      <c r="J38" s="15"/>
      <c r="L38" s="76">
        <f>1 - CUSTOS!$M$31</f>
        <v>1</v>
      </c>
      <c r="M38" s="76">
        <f>1 - CUSTOS!$M$31</f>
        <v>1</v>
      </c>
      <c r="N38" s="76">
        <f>1 - CUSTOS!$M$31</f>
        <v>1</v>
      </c>
      <c r="O38" s="76">
        <f>1 - CUSTOS!$M$31</f>
        <v>1</v>
      </c>
      <c r="P38" s="76">
        <f>1 - CUSTOS!$M$31</f>
        <v>1</v>
      </c>
      <c r="Q38" s="76"/>
      <c r="R38" s="76">
        <f>(1 - CUSTOS!$M$31)*1</f>
        <v>1</v>
      </c>
      <c r="S38" s="76"/>
      <c r="T38" s="76">
        <f>1 - CUSTOS!$M$31</f>
        <v>1</v>
      </c>
      <c r="U38" s="76">
        <f>1 - CUSTOS!$M$31</f>
        <v>1</v>
      </c>
      <c r="V38" s="76">
        <f>1 - CUSTOS!$M$31</f>
        <v>1</v>
      </c>
      <c r="W38" s="76"/>
      <c r="X38" s="76"/>
      <c r="Y38" s="76"/>
      <c r="Z38" s="76">
        <f>1 - CUSTOS!$M$31</f>
        <v>1</v>
      </c>
      <c r="AA38" s="76"/>
      <c r="AB38" s="76"/>
    </row>
    <row r="39" spans="1:28" ht="11.25" customHeight="1" x14ac:dyDescent="0.25">
      <c r="A39" s="142"/>
      <c r="B39" s="79" t="s">
        <v>85</v>
      </c>
      <c r="C39" s="79" t="s">
        <v>25</v>
      </c>
      <c r="D39" s="79" t="s">
        <v>25</v>
      </c>
      <c r="E39" s="79" t="s">
        <v>25</v>
      </c>
      <c r="F39" s="79" t="s">
        <v>25</v>
      </c>
      <c r="G39" s="78" t="s">
        <v>86</v>
      </c>
      <c r="H39" s="78" t="s">
        <v>82</v>
      </c>
      <c r="I39" s="78">
        <f>'MERCADO TE'!$U$36</f>
        <v>26125.533000000003</v>
      </c>
      <c r="J39" s="15"/>
      <c r="L39" s="76">
        <f>1 - CUSTOS!$M$31</f>
        <v>1</v>
      </c>
      <c r="M39" s="76">
        <f>1 - CUSTOS!$M$31</f>
        <v>1</v>
      </c>
      <c r="N39" s="76">
        <f>1 - CUSTOS!$M$31</f>
        <v>1</v>
      </c>
      <c r="O39" s="76">
        <f>1 - CUSTOS!$M$31</f>
        <v>1</v>
      </c>
      <c r="P39" s="76">
        <f>1 - CUSTOS!$M$31</f>
        <v>1</v>
      </c>
      <c r="Q39" s="76"/>
      <c r="R39" s="76">
        <f>(1 - CUSTOS!$M$31)*1.06</f>
        <v>1.06</v>
      </c>
      <c r="S39" s="76"/>
      <c r="T39" s="76">
        <f>1 - CUSTOS!$M$31</f>
        <v>1</v>
      </c>
      <c r="U39" s="76">
        <f>1 - CUSTOS!$M$31</f>
        <v>1</v>
      </c>
      <c r="V39" s="76">
        <f>1 - CUSTOS!$M$31</f>
        <v>1</v>
      </c>
      <c r="W39" s="76"/>
      <c r="X39" s="76"/>
      <c r="Y39" s="76"/>
      <c r="Z39" s="76">
        <f>1 - CUSTOS!$M$31</f>
        <v>1</v>
      </c>
      <c r="AA39" s="76"/>
      <c r="AB39" s="76"/>
    </row>
    <row r="40" spans="1:28" ht="11.25" customHeight="1" x14ac:dyDescent="0.25">
      <c r="A40" s="142"/>
      <c r="B40" s="79" t="s">
        <v>94</v>
      </c>
      <c r="C40" s="79" t="s">
        <v>25</v>
      </c>
      <c r="D40" s="79" t="s">
        <v>25</v>
      </c>
      <c r="E40" s="79" t="s">
        <v>25</v>
      </c>
      <c r="F40" s="79" t="s">
        <v>25</v>
      </c>
      <c r="G40" s="78" t="s">
        <v>86</v>
      </c>
      <c r="H40" s="78" t="s">
        <v>82</v>
      </c>
      <c r="I40" s="78">
        <f>'MERCADO TE'!$U$37</f>
        <v>0</v>
      </c>
      <c r="J40" s="15"/>
      <c r="L40" s="76">
        <f>1 - CUSTOS!$M$31</f>
        <v>1</v>
      </c>
      <c r="M40" s="76">
        <f>1 - CUSTOS!$M$31</f>
        <v>1</v>
      </c>
      <c r="N40" s="76">
        <f>1 - CUSTOS!$M$31</f>
        <v>1</v>
      </c>
      <c r="O40" s="76">
        <f>1 - CUSTOS!$M$31</f>
        <v>1</v>
      </c>
      <c r="P40" s="76">
        <f>1 - CUSTOS!$M$31</f>
        <v>1</v>
      </c>
      <c r="Q40" s="76"/>
      <c r="R40" s="76">
        <f>(1 - CUSTOS!$M$31)*1.06</f>
        <v>1.06</v>
      </c>
      <c r="S40" s="76"/>
      <c r="T40" s="76">
        <f>1 - CUSTOS!$M$31</f>
        <v>1</v>
      </c>
      <c r="U40" s="76">
        <f>1 - CUSTOS!$M$31</f>
        <v>1</v>
      </c>
      <c r="V40" s="76">
        <f>1 - CUSTOS!$M$31</f>
        <v>1</v>
      </c>
      <c r="W40" s="76"/>
      <c r="X40" s="76"/>
      <c r="Y40" s="76"/>
      <c r="Z40" s="76">
        <f>1 - CUSTOS!$M$31</f>
        <v>1</v>
      </c>
      <c r="AA40" s="76"/>
      <c r="AB40" s="76"/>
    </row>
    <row r="41" spans="1:28" ht="11.25" customHeight="1" x14ac:dyDescent="0.25">
      <c r="A41" s="142" t="s">
        <v>45</v>
      </c>
      <c r="B41" s="142" t="s">
        <v>85</v>
      </c>
      <c r="C41" s="142" t="s">
        <v>46</v>
      </c>
      <c r="D41" s="79" t="s">
        <v>47</v>
      </c>
      <c r="E41" s="79" t="s">
        <v>25</v>
      </c>
      <c r="F41" s="79" t="s">
        <v>25</v>
      </c>
      <c r="G41" s="78" t="s">
        <v>86</v>
      </c>
      <c r="H41" s="78" t="s">
        <v>82</v>
      </c>
      <c r="I41" s="78">
        <f>'MERCADO TE'!$U$38</f>
        <v>5474.732</v>
      </c>
      <c r="J41" s="15"/>
      <c r="L41" s="76">
        <f>1 - CUSTOS!$M$32</f>
        <v>0.55000000000000004</v>
      </c>
      <c r="M41" s="76">
        <f>1 - CUSTOS!$M$32</f>
        <v>0.55000000000000004</v>
      </c>
      <c r="N41" s="76">
        <f>1 - CUSTOS!$M$32</f>
        <v>0.55000000000000004</v>
      </c>
      <c r="O41" s="76">
        <f>1 - CUSTOS!$M$32</f>
        <v>0.55000000000000004</v>
      </c>
      <c r="P41" s="76">
        <f>1 - CUSTOS!$M$32</f>
        <v>0.55000000000000004</v>
      </c>
      <c r="Q41" s="76"/>
      <c r="R41" s="76">
        <f>(1 - CUSTOS!$M$32)*1.06</f>
        <v>0.58300000000000007</v>
      </c>
      <c r="S41" s="76"/>
      <c r="T41" s="76">
        <f>1 - CUSTOS!$M$32</f>
        <v>0.55000000000000004</v>
      </c>
      <c r="U41" s="76">
        <f>1 - CUSTOS!$M$32</f>
        <v>0.55000000000000004</v>
      </c>
      <c r="V41" s="76">
        <f>1 - CUSTOS!$M$32</f>
        <v>0.55000000000000004</v>
      </c>
      <c r="W41" s="76"/>
      <c r="X41" s="76"/>
      <c r="Y41" s="76"/>
      <c r="Z41" s="76">
        <f>1 - CUSTOS!$M$32</f>
        <v>0.55000000000000004</v>
      </c>
      <c r="AA41" s="76"/>
      <c r="AB41" s="76"/>
    </row>
    <row r="42" spans="1:28" ht="11.25" customHeight="1" x14ac:dyDescent="0.25">
      <c r="A42" s="142"/>
      <c r="B42" s="142"/>
      <c r="C42" s="142"/>
      <c r="D42" s="78" t="s">
        <v>98</v>
      </c>
      <c r="E42" s="78" t="s">
        <v>25</v>
      </c>
      <c r="F42" s="78" t="s">
        <v>25</v>
      </c>
      <c r="G42" s="78" t="s">
        <v>86</v>
      </c>
      <c r="H42" s="78" t="s">
        <v>82</v>
      </c>
      <c r="I42" s="78">
        <f>'MERCADO TE'!$U$39</f>
        <v>0</v>
      </c>
      <c r="J42" s="15"/>
      <c r="L42" s="76">
        <f>1 - CUSTOS!$M$33</f>
        <v>0.6</v>
      </c>
      <c r="M42" s="76">
        <f>1 - CUSTOS!$M$33</f>
        <v>0.6</v>
      </c>
      <c r="N42" s="76">
        <f>1 - CUSTOS!$M$33</f>
        <v>0.6</v>
      </c>
      <c r="O42" s="76">
        <f>1 - CUSTOS!$M$33</f>
        <v>0.6</v>
      </c>
      <c r="P42" s="76">
        <f>1 - CUSTOS!$M$33</f>
        <v>0.6</v>
      </c>
      <c r="Q42" s="76"/>
      <c r="R42" s="76">
        <f>(1 - CUSTOS!$M$33)*1.06</f>
        <v>0.63600000000000001</v>
      </c>
      <c r="S42" s="76"/>
      <c r="T42" s="76">
        <f>1 - CUSTOS!$M$33</f>
        <v>0.6</v>
      </c>
      <c r="U42" s="76">
        <f>1 - CUSTOS!$M$33</f>
        <v>0.6</v>
      </c>
      <c r="V42" s="76">
        <f>1 - CUSTOS!$M$33</f>
        <v>0.6</v>
      </c>
      <c r="W42" s="76"/>
      <c r="X42" s="76"/>
      <c r="Y42" s="76"/>
      <c r="Z42" s="76">
        <f>1 - CUSTOS!$M$33</f>
        <v>0.6</v>
      </c>
      <c r="AA42" s="76"/>
      <c r="AB42" s="76"/>
    </row>
    <row r="44" spans="1:28" ht="11.25" customHeight="1" x14ac:dyDescent="0.25">
      <c r="K44" s="81" t="s">
        <v>668</v>
      </c>
      <c r="L44" s="76">
        <f t="shared" ref="L44:AB44" si="0">SUMPRODUCT($I$5:$I$42,L$5:L$42)</f>
        <v>143372.1666</v>
      </c>
      <c r="M44" s="76">
        <f t="shared" si="0"/>
        <v>143372.1666</v>
      </c>
      <c r="N44" s="76">
        <f t="shared" si="0"/>
        <v>143372.1666</v>
      </c>
      <c r="O44" s="76">
        <f t="shared" si="0"/>
        <v>143372.1666</v>
      </c>
      <c r="P44" s="76">
        <f t="shared" si="0"/>
        <v>143372.1666</v>
      </c>
      <c r="Q44" s="76">
        <f t="shared" si="0"/>
        <v>0</v>
      </c>
      <c r="R44" s="76">
        <f t="shared" si="0"/>
        <v>151587.24903599999</v>
      </c>
      <c r="S44" s="76">
        <f t="shared" si="0"/>
        <v>0</v>
      </c>
      <c r="T44" s="76">
        <f t="shared" si="0"/>
        <v>143372.1666</v>
      </c>
      <c r="U44" s="76">
        <f t="shared" si="0"/>
        <v>143372.1666</v>
      </c>
      <c r="V44" s="76">
        <f t="shared" si="0"/>
        <v>143372.1666</v>
      </c>
      <c r="W44" s="76">
        <f t="shared" si="0"/>
        <v>0</v>
      </c>
      <c r="X44" s="76">
        <f t="shared" si="0"/>
        <v>0</v>
      </c>
      <c r="Y44" s="76">
        <f t="shared" si="0"/>
        <v>0</v>
      </c>
      <c r="Z44" s="76">
        <f t="shared" si="0"/>
        <v>143372.1666</v>
      </c>
      <c r="AA44" s="76">
        <f t="shared" si="0"/>
        <v>0</v>
      </c>
      <c r="AB44" s="76">
        <f t="shared" si="0"/>
        <v>0</v>
      </c>
    </row>
    <row r="45" spans="1:28" ht="11.25" customHeight="1" x14ac:dyDescent="0.25">
      <c r="K45" s="81" t="s">
        <v>604</v>
      </c>
      <c r="L45" s="76">
        <f>CUSTOS!$D$30</f>
        <v>380193.13466568384</v>
      </c>
      <c r="M45" s="76">
        <f>CUSTOS!$D$31</f>
        <v>3540154.7326409174</v>
      </c>
      <c r="N45" s="76">
        <f>CUSTOS!$D$32</f>
        <v>0</v>
      </c>
      <c r="O45" s="76">
        <f>CUSTOS!$D$33</f>
        <v>1286311.6925648036</v>
      </c>
      <c r="P45" s="76">
        <f>CUSTOS!$D$34</f>
        <v>-2730000</v>
      </c>
      <c r="Q45" s="76">
        <f>CUSTOS!$D$35</f>
        <v>2476659.5598714054</v>
      </c>
      <c r="R45" s="76">
        <f>CUSTOS!$D$36</f>
        <v>31323047.97811934</v>
      </c>
      <c r="S45" s="76">
        <f>CUSTOS!$D$37</f>
        <v>31323047.97811934</v>
      </c>
      <c r="T45" s="76">
        <f>CUSTOS!$D$38</f>
        <v>952522.70574198291</v>
      </c>
      <c r="U45" s="76">
        <f>CUSTOS!$D$39</f>
        <v>666777.72477291885</v>
      </c>
      <c r="V45" s="76">
        <f>CUSTOS!$D$40</f>
        <v>0</v>
      </c>
      <c r="W45" s="76">
        <f>CUSTOS!$D$41</f>
        <v>1619300.4305149019</v>
      </c>
      <c r="X45" s="76">
        <f>CUSTOS!$D$42</f>
        <v>0</v>
      </c>
      <c r="Y45" s="76">
        <f>CUSTOS!$D$43</f>
        <v>0</v>
      </c>
      <c r="Z45" s="76">
        <f>CUSTOS!$D$44</f>
        <v>915317.54893324873</v>
      </c>
      <c r="AA45" s="76">
        <f>CUSTOS!$D$45</f>
        <v>915317.54893324873</v>
      </c>
      <c r="AB45" s="76">
        <f>CUSTOS!$D$46</f>
        <v>36334325.517438896</v>
      </c>
    </row>
    <row r="46" spans="1:28" ht="11.25" customHeight="1" x14ac:dyDescent="0.25">
      <c r="K46" s="81" t="s">
        <v>605</v>
      </c>
      <c r="L46" s="76">
        <f>CUSTOS!$E$30</f>
        <v>4.3780460810177056E-6</v>
      </c>
      <c r="M46" s="76">
        <f>CUSTOS!$E$31</f>
        <v>-2035895.6828898285</v>
      </c>
      <c r="N46" s="76">
        <f>CUSTOS!$E$32</f>
        <v>0</v>
      </c>
      <c r="O46" s="76">
        <f>CUSTOS!$E$33</f>
        <v>26862.969905276041</v>
      </c>
      <c r="P46" s="76">
        <f>CUSTOS!$E$34</f>
        <v>0</v>
      </c>
      <c r="Q46" s="76">
        <f>CUSTOS!$E$35</f>
        <v>-2009032.7129801742</v>
      </c>
      <c r="R46" s="76">
        <f>CUSTOS!$E$36</f>
        <v>-871301.0648683951</v>
      </c>
      <c r="S46" s="76">
        <f>CUSTOS!$E$37</f>
        <v>-871301.0648683951</v>
      </c>
      <c r="T46" s="76">
        <f>CUSTOS!$E$38</f>
        <v>84574.565464148531</v>
      </c>
      <c r="U46" s="76">
        <f>CUSTOS!$E$39</f>
        <v>90445.106924342981</v>
      </c>
      <c r="V46" s="76">
        <f>CUSTOS!$E$40</f>
        <v>0</v>
      </c>
      <c r="W46" s="76">
        <f>CUSTOS!$E$41</f>
        <v>175019.67238849151</v>
      </c>
      <c r="X46" s="76">
        <f>CUSTOS!$E$42</f>
        <v>-6785828.7622725684</v>
      </c>
      <c r="Y46" s="76">
        <f>CUSTOS!$E$43</f>
        <v>-6785828.7622725684</v>
      </c>
      <c r="Z46" s="76">
        <f>CUSTOS!$E$44</f>
        <v>-25461.032899332571</v>
      </c>
      <c r="AA46" s="76">
        <f>CUSTOS!$E$45</f>
        <v>-25461.032899332571</v>
      </c>
      <c r="AB46" s="76">
        <f>CUSTOS!$E$46</f>
        <v>-9516603.9006319791</v>
      </c>
    </row>
    <row r="47" spans="1:28" ht="11.25" customHeight="1" x14ac:dyDescent="0.25">
      <c r="K47" s="81" t="s">
        <v>606</v>
      </c>
      <c r="L47" s="76">
        <f>CUSTOS!$F$30</f>
        <v>0</v>
      </c>
      <c r="M47" s="76">
        <f>CUSTOS!$F$31</f>
        <v>2049587.6786991188</v>
      </c>
      <c r="N47" s="76">
        <f>CUSTOS!$F$32</f>
        <v>0</v>
      </c>
      <c r="O47" s="76">
        <f>CUSTOS!$F$33</f>
        <v>84381.856306970352</v>
      </c>
      <c r="P47" s="76">
        <f>CUSTOS!$F$34</f>
        <v>0</v>
      </c>
      <c r="Q47" s="76">
        <f>CUSTOS!$F$35</f>
        <v>2133969.5350060891</v>
      </c>
      <c r="R47" s="76">
        <f>CUSTOS!$F$36</f>
        <v>3641266.6538955159</v>
      </c>
      <c r="S47" s="76">
        <f>CUSTOS!$F$37</f>
        <v>3641266.6538955159</v>
      </c>
      <c r="T47" s="76">
        <f>CUSTOS!$F$38</f>
        <v>236789.4070889373</v>
      </c>
      <c r="U47" s="76">
        <f>CUSTOS!$F$39</f>
        <v>50823.597272611893</v>
      </c>
      <c r="V47" s="76">
        <f>CUSTOS!$F$40</f>
        <v>0</v>
      </c>
      <c r="W47" s="76">
        <f>CUSTOS!$F$41</f>
        <v>287613.00436154916</v>
      </c>
      <c r="X47" s="76">
        <f>CUSTOS!$F$42</f>
        <v>0</v>
      </c>
      <c r="Y47" s="76">
        <f>CUSTOS!$F$43</f>
        <v>0</v>
      </c>
      <c r="Z47" s="76">
        <f>CUSTOS!$F$44</f>
        <v>106404.56417217819</v>
      </c>
      <c r="AA47" s="76">
        <f>CUSTOS!$F$45</f>
        <v>106404.56417217819</v>
      </c>
      <c r="AB47" s="76">
        <f>CUSTOS!$F$46</f>
        <v>6169253.757435333</v>
      </c>
    </row>
    <row r="48" spans="1:28" ht="11.25" customHeight="1" x14ac:dyDescent="0.25">
      <c r="K48" s="81" t="s">
        <v>669</v>
      </c>
      <c r="L48" s="76">
        <f>IF(SUMPRODUCT($I$5:$I$42,$L$5:$L$42)&lt;&gt;0,L45/SUMPRODUCT($I$5:$I$42,$L$5:$L$42),0)</f>
        <v>2.6517917925199566</v>
      </c>
      <c r="M48" s="76">
        <f>IF(SUMPRODUCT($I$5:$I$42,$M$5:$M$42)&lt;&gt;0,M45/SUMPRODUCT($I$5:$I$42,$M$5:$M$42),0)</f>
        <v>24.692064133464225</v>
      </c>
      <c r="N48" s="76">
        <f>IF(SUMPRODUCT($I$5:$I$42,$N$5:$N$42)&lt;&gt;0,N45/SUMPRODUCT($I$5:$I$42,$N$5:$N$42),0)</f>
        <v>0</v>
      </c>
      <c r="O48" s="76">
        <f>IF(SUMPRODUCT($I$5:$I$42,$O$5:$O$42)&lt;&gt;0,O45/SUMPRODUCT($I$5:$I$42,$O$5:$O$42),0)</f>
        <v>8.9718368848644001</v>
      </c>
      <c r="P48" s="76">
        <f>IF(SUMPRODUCT($I$5:$I$42,$P$5:$P$42)&lt;&gt;0,P45/SUMPRODUCT($I$5:$I$42,$P$5:$P$42),0)</f>
        <v>-19.041352758632303</v>
      </c>
      <c r="Q48" s="76"/>
      <c r="R48" s="76">
        <f>IF((CUSTOS!$M$12-CUSTOS!$M$13)&lt;&gt;0,(CUSTOS!$M$12*CUSTOS!$M$14)/(CUSTOS!$M$12-CUSTOS!$M$13),0)</f>
        <v>219.40298602635227</v>
      </c>
      <c r="S48" s="76"/>
      <c r="T48" s="76">
        <f>IF(SUMPRODUCT($I$5:$I$42,$T$5:$T$42)&lt;&gt;0,T45/SUMPRODUCT($I$5:$I$42,$T$5:$T$42),0)</f>
        <v>6.6437072712967078</v>
      </c>
      <c r="U48" s="76">
        <f>IF(SUMPRODUCT($I$5:$I$42,$U$5:$U$42)&lt;&gt;0,U45/SUMPRODUCT($I$5:$I$42,$U$5:$U$42),0)</f>
        <v>4.6506776076920833</v>
      </c>
      <c r="V48" s="76">
        <f>IF(SUMPRODUCT($I$5:$I$42,$V$5:$V$42)&lt;&gt;0,V45/SUMPRODUCT($I$5:$I$42,$V$5:$V$42),0)</f>
        <v>0</v>
      </c>
      <c r="W48" s="76"/>
      <c r="X48" s="76">
        <f>IF(SUMPRODUCT($I$5:$I$42,$X$5:$X$42)&lt;&gt;0,X45/SUMPRODUCT($I$5:$I$42,$X$5:$X$42),0)</f>
        <v>0</v>
      </c>
      <c r="Y48" s="76"/>
      <c r="Z48" s="76">
        <f>IF(SUMPRODUCT($I$5:$I$42,$Z$5:$Z$42)&lt;&gt;0,Z45/SUMPRODUCT($I$5:$I$42,$Z$5:$Z$42),0)</f>
        <v>6.3842067162654477</v>
      </c>
      <c r="AA48" s="76"/>
      <c r="AB48" s="76"/>
    </row>
    <row r="49" spans="11:28" ht="11.25" customHeight="1" x14ac:dyDescent="0.25">
      <c r="K49" s="81" t="s">
        <v>670</v>
      </c>
      <c r="L49" s="76">
        <f>IF(L44&lt;&gt;0,(L45-L48*0)/(L44-0),0)</f>
        <v>2.6517917925199566</v>
      </c>
      <c r="M49" s="76">
        <f>IF(M44&lt;&gt;0,(M45-M48*0)/(M44-0),0)</f>
        <v>24.692064133464225</v>
      </c>
      <c r="N49" s="76">
        <f>IF(N44&lt;&gt;0,(N45-N48*0)/(N44-0),0)</f>
        <v>0</v>
      </c>
      <c r="O49" s="76">
        <f>IF(O44&lt;&gt;0,(O45-O48*0)/(O44-0),0)</f>
        <v>8.9718368848644001</v>
      </c>
      <c r="P49" s="76">
        <f>IF(P44&lt;&gt;0,(P45-P48*0)/(P44-0),0)</f>
        <v>-19.041352758632303</v>
      </c>
      <c r="Q49" s="76"/>
      <c r="R49" s="76">
        <f>IF(R44&lt;&gt;0,(R45-R48*0)/(R44-0),0)</f>
        <v>206.63379128069357</v>
      </c>
      <c r="S49" s="76"/>
      <c r="T49" s="76">
        <f>IF(T44&lt;&gt;0,(T45-T48*0)/(T44-0),0)</f>
        <v>6.6437072712967078</v>
      </c>
      <c r="U49" s="76">
        <f>IF(U44&lt;&gt;0,(U45-U48*0)/(U44-0),0)</f>
        <v>4.6506776076920833</v>
      </c>
      <c r="V49" s="76">
        <f>IF(V44&lt;&gt;0,(V45-V48*0)/(V44-0),0)</f>
        <v>0</v>
      </c>
      <c r="W49" s="76"/>
      <c r="X49" s="76">
        <f>IF(X44&lt;&gt;0,(X45-X48*0)/(X44-0),0)</f>
        <v>0</v>
      </c>
      <c r="Y49" s="76"/>
      <c r="Z49" s="76">
        <f>IF(Z44&lt;&gt;0,(Z45-Z48*0)/(Z44-0),0)</f>
        <v>6.3842067162654477</v>
      </c>
      <c r="AA49" s="76"/>
      <c r="AB49" s="76"/>
    </row>
    <row r="50" spans="11:28" ht="11.25" customHeight="1" x14ac:dyDescent="0.25">
      <c r="K50" s="81" t="s">
        <v>671</v>
      </c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</row>
  </sheetData>
  <mergeCells count="61">
    <mergeCell ref="F5:F6"/>
    <mergeCell ref="A5:A7"/>
    <mergeCell ref="B5:B6"/>
    <mergeCell ref="C5:C6"/>
    <mergeCell ref="D5:D6"/>
    <mergeCell ref="E5:E6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2BFB-ECFE-4580-ABD6-E1BDA3559637}">
  <dimension ref="A1:AB50"/>
  <sheetViews>
    <sheetView showGridLines="0" topLeftCell="L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1" t="s">
        <v>71</v>
      </c>
      <c r="B1" s="141" t="s">
        <v>72</v>
      </c>
      <c r="C1" s="141" t="s">
        <v>73</v>
      </c>
      <c r="D1" s="141" t="s">
        <v>74</v>
      </c>
      <c r="E1" s="141" t="s">
        <v>75</v>
      </c>
      <c r="F1" s="141" t="s">
        <v>15</v>
      </c>
      <c r="G1" s="141" t="s">
        <v>77</v>
      </c>
      <c r="H1" s="141" t="s">
        <v>78</v>
      </c>
      <c r="I1" s="141" t="s">
        <v>652</v>
      </c>
      <c r="J1" s="125"/>
      <c r="L1" s="139" t="s">
        <v>672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spans="1:28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5"/>
      <c r="L2" s="139" t="s">
        <v>590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spans="1:28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5"/>
      <c r="L3" s="139" t="s">
        <v>563</v>
      </c>
      <c r="M3" s="139"/>
      <c r="N3" s="139"/>
      <c r="O3" s="139"/>
      <c r="P3" s="139"/>
      <c r="Q3" s="139"/>
      <c r="R3" s="139" t="s">
        <v>594</v>
      </c>
      <c r="S3" s="139"/>
      <c r="T3" s="139" t="s">
        <v>572</v>
      </c>
      <c r="U3" s="139"/>
      <c r="V3" s="139"/>
      <c r="W3" s="139"/>
      <c r="X3" s="139" t="s">
        <v>582</v>
      </c>
      <c r="Y3" s="139"/>
      <c r="Z3" s="139" t="s">
        <v>585</v>
      </c>
      <c r="AA3" s="139"/>
      <c r="AB3" s="139" t="s">
        <v>571</v>
      </c>
    </row>
    <row r="4" spans="1:28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5"/>
      <c r="L4" s="80" t="s">
        <v>565</v>
      </c>
      <c r="M4" s="80" t="s">
        <v>591</v>
      </c>
      <c r="N4" s="80" t="s">
        <v>592</v>
      </c>
      <c r="O4" s="80" t="s">
        <v>651</v>
      </c>
      <c r="P4" s="80" t="s">
        <v>593</v>
      </c>
      <c r="Q4" s="80" t="s">
        <v>571</v>
      </c>
      <c r="R4" s="80" t="s">
        <v>595</v>
      </c>
      <c r="S4" s="80" t="s">
        <v>571</v>
      </c>
      <c r="T4" s="80" t="s">
        <v>596</v>
      </c>
      <c r="U4" s="80" t="s">
        <v>597</v>
      </c>
      <c r="V4" s="80" t="s">
        <v>598</v>
      </c>
      <c r="W4" s="80" t="s">
        <v>571</v>
      </c>
      <c r="X4" s="80" t="s">
        <v>583</v>
      </c>
      <c r="Y4" s="80" t="s">
        <v>571</v>
      </c>
      <c r="Z4" s="80" t="s">
        <v>599</v>
      </c>
      <c r="AA4" s="80" t="s">
        <v>571</v>
      </c>
      <c r="AB4" s="140"/>
    </row>
    <row r="5" spans="1:28" ht="11.25" customHeight="1" x14ac:dyDescent="0.25">
      <c r="A5" s="142" t="s">
        <v>38</v>
      </c>
      <c r="B5" s="142" t="s">
        <v>81</v>
      </c>
      <c r="C5" s="142" t="s">
        <v>25</v>
      </c>
      <c r="D5" s="142" t="s">
        <v>25</v>
      </c>
      <c r="E5" s="142" t="s">
        <v>25</v>
      </c>
      <c r="F5" s="142" t="s">
        <v>25</v>
      </c>
      <c r="G5" s="78" t="s">
        <v>83</v>
      </c>
      <c r="H5" s="78" t="s">
        <v>82</v>
      </c>
      <c r="I5" s="78">
        <f>'MERCADO TE'!$U$2</f>
        <v>2005.008</v>
      </c>
      <c r="J5" s="15"/>
      <c r="L5" s="76">
        <f>'TR TE'!$L$5*'TR TE'!$L$49</f>
        <v>2.6517917925199566</v>
      </c>
      <c r="M5" s="76">
        <f>'TR TE'!$M$5*'TR TE'!$M$49</f>
        <v>24.692064133464225</v>
      </c>
      <c r="N5" s="76">
        <f>'TR TE'!$N$5*'TR TE'!$N$49</f>
        <v>0</v>
      </c>
      <c r="O5" s="76">
        <f>'TR TE'!$O$5*'TR TE'!$O$49</f>
        <v>8.9718368848644001</v>
      </c>
      <c r="P5" s="76">
        <f>'TR TE'!$P$5*'TR TE'!$P$49</f>
        <v>-19.041352758632303</v>
      </c>
      <c r="Q5" s="76">
        <f>SUM($L$5:$P$5)</f>
        <v>17.274340052216278</v>
      </c>
      <c r="R5" s="76">
        <f>'TR TE'!$R$5*'TR TE'!$R$49</f>
        <v>355.41012100279295</v>
      </c>
      <c r="S5" s="76">
        <f>SUM($R$5:$R$5)</f>
        <v>355.41012100279295</v>
      </c>
      <c r="T5" s="76">
        <f>'TR TE'!$T$5*'TR TE'!$T$49</f>
        <v>6.6437072712967078</v>
      </c>
      <c r="U5" s="76">
        <f>'TR TE'!$U$5*'TR TE'!$U$49</f>
        <v>4.6506776076920833</v>
      </c>
      <c r="V5" s="76">
        <f>'TR TE'!$V$5*'TR TE'!$V$49</f>
        <v>0</v>
      </c>
      <c r="W5" s="76">
        <f>SUM($T$5:$V$5)</f>
        <v>11.29438487898879</v>
      </c>
      <c r="X5" s="76"/>
      <c r="Y5" s="76">
        <f>SUM($X$5:$X$5)</f>
        <v>0</v>
      </c>
      <c r="Z5" s="76">
        <f>'TR TE'!$Z$5*'TR TE'!$Z$49</f>
        <v>6.3842067162654477</v>
      </c>
      <c r="AA5" s="76">
        <f>SUM($Z$5:$Z$5)</f>
        <v>6.3842067162654477</v>
      </c>
      <c r="AB5" s="76">
        <f>SUMIF($L$4:$AA$4,"SUBTOTAL",$L$5:$AA$5)</f>
        <v>390.36305265026351</v>
      </c>
    </row>
    <row r="6" spans="1:28" ht="11.25" customHeight="1" x14ac:dyDescent="0.25">
      <c r="A6" s="142"/>
      <c r="B6" s="142"/>
      <c r="C6" s="142"/>
      <c r="D6" s="142"/>
      <c r="E6" s="142"/>
      <c r="F6" s="142"/>
      <c r="G6" s="78" t="s">
        <v>84</v>
      </c>
      <c r="H6" s="78" t="s">
        <v>82</v>
      </c>
      <c r="I6" s="78">
        <f>'MERCADO TE'!$U$3</f>
        <v>28500.967999999997</v>
      </c>
      <c r="J6" s="15"/>
      <c r="L6" s="76">
        <f>'TR TE'!$L$6*'TR TE'!$L$49</f>
        <v>2.6517917925199566</v>
      </c>
      <c r="M6" s="76">
        <f>'TR TE'!$M$6*'TR TE'!$M$49</f>
        <v>24.692064133464225</v>
      </c>
      <c r="N6" s="76">
        <f>'TR TE'!$N$6*'TR TE'!$N$49</f>
        <v>0</v>
      </c>
      <c r="O6" s="76">
        <f>'TR TE'!$O$6*'TR TE'!$O$49</f>
        <v>8.9718368848644001</v>
      </c>
      <c r="P6" s="76">
        <f>'TR TE'!$P$6*'TR TE'!$P$49</f>
        <v>-19.041352758632303</v>
      </c>
      <c r="Q6" s="76">
        <f>SUM($L$6:$P$6)</f>
        <v>17.274340052216278</v>
      </c>
      <c r="R6" s="76">
        <f>'TR TE'!$R$6*'TR TE'!$R$49</f>
        <v>206.63379128069357</v>
      </c>
      <c r="S6" s="76">
        <f>SUM($R$6:$R$6)</f>
        <v>206.63379128069357</v>
      </c>
      <c r="T6" s="76">
        <f>'TR TE'!$T$6*'TR TE'!$T$49</f>
        <v>6.6437072712967078</v>
      </c>
      <c r="U6" s="76">
        <f>'TR TE'!$U$6*'TR TE'!$U$49</f>
        <v>4.6506776076920833</v>
      </c>
      <c r="V6" s="76">
        <f>'TR TE'!$V$6*'TR TE'!$V$49</f>
        <v>0</v>
      </c>
      <c r="W6" s="76">
        <f>SUM($T$6:$V$6)</f>
        <v>11.29438487898879</v>
      </c>
      <c r="X6" s="76"/>
      <c r="Y6" s="76">
        <f>SUM($X$6:$X$6)</f>
        <v>0</v>
      </c>
      <c r="Z6" s="76">
        <f>'TR TE'!$Z$6*'TR TE'!$Z$49</f>
        <v>6.3842067162654477</v>
      </c>
      <c r="AA6" s="76">
        <f>SUM($Z$6:$Z$6)</f>
        <v>6.3842067162654477</v>
      </c>
      <c r="AB6" s="76">
        <f>SUMIF($L$4:$AA$4,"SUBTOTAL",$L$6:$AA$6)</f>
        <v>241.58672292816408</v>
      </c>
    </row>
    <row r="7" spans="1:28" ht="11.25" customHeight="1" x14ac:dyDescent="0.25">
      <c r="A7" s="142"/>
      <c r="B7" s="79" t="s">
        <v>85</v>
      </c>
      <c r="C7" s="79" t="s">
        <v>25</v>
      </c>
      <c r="D7" s="79" t="s">
        <v>25</v>
      </c>
      <c r="E7" s="79" t="s">
        <v>25</v>
      </c>
      <c r="F7" s="79" t="s">
        <v>25</v>
      </c>
      <c r="G7" s="78" t="s">
        <v>86</v>
      </c>
      <c r="H7" s="78" t="s">
        <v>82</v>
      </c>
      <c r="I7" s="78">
        <f>'MERCADO TE'!$U$4</f>
        <v>0</v>
      </c>
      <c r="J7" s="15"/>
      <c r="L7" s="76">
        <f>'TR TE'!$L$7*'TR TE'!$L$49</f>
        <v>2.6517917925199566</v>
      </c>
      <c r="M7" s="76">
        <f>'TR TE'!$M$7*'TR TE'!$M$49</f>
        <v>24.692064133464225</v>
      </c>
      <c r="N7" s="76">
        <f>'TR TE'!$N$7*'TR TE'!$N$49</f>
        <v>0</v>
      </c>
      <c r="O7" s="76">
        <f>'TR TE'!$O$7*'TR TE'!$O$49</f>
        <v>8.9718368848644001</v>
      </c>
      <c r="P7" s="76">
        <f>'TR TE'!$P$7*'TR TE'!$P$49</f>
        <v>-19.041352758632303</v>
      </c>
      <c r="Q7" s="76">
        <f>SUM($L$7:$P$7)</f>
        <v>17.274340052216278</v>
      </c>
      <c r="R7" s="76">
        <f>'TR TE'!$R$7*'TR TE'!$R$49</f>
        <v>219.03181875753521</v>
      </c>
      <c r="S7" s="76">
        <f>SUM($R$7:$R$7)</f>
        <v>219.03181875753521</v>
      </c>
      <c r="T7" s="76">
        <f>'TR TE'!$T$7*'TR TE'!$T$49</f>
        <v>6.6437072712967078</v>
      </c>
      <c r="U7" s="76">
        <f>'TR TE'!$U$7*'TR TE'!$U$49</f>
        <v>4.6506776076920833</v>
      </c>
      <c r="V7" s="76">
        <f>'TR TE'!$V$7*'TR TE'!$V$49</f>
        <v>0</v>
      </c>
      <c r="W7" s="76">
        <f>SUM($T$7:$V$7)</f>
        <v>11.29438487898879</v>
      </c>
      <c r="X7" s="76"/>
      <c r="Y7" s="76">
        <f>SUM($X$7:$X$7)</f>
        <v>0</v>
      </c>
      <c r="Z7" s="76">
        <f>'TR TE'!$Z$7*'TR TE'!$Z$49</f>
        <v>6.3842067162654477</v>
      </c>
      <c r="AA7" s="76">
        <f>SUM($Z$7:$Z$7)</f>
        <v>6.3842067162654477</v>
      </c>
      <c r="AB7" s="76">
        <f>SUMIF($L$4:$AA$4,"SUBTOTAL",$L$7:$AA$7)</f>
        <v>253.98475040500571</v>
      </c>
    </row>
    <row r="8" spans="1:28" ht="11.25" customHeight="1" x14ac:dyDescent="0.25">
      <c r="A8" s="142" t="s">
        <v>22</v>
      </c>
      <c r="B8" s="142" t="s">
        <v>81</v>
      </c>
      <c r="C8" s="142" t="s">
        <v>24</v>
      </c>
      <c r="D8" s="142" t="s">
        <v>24</v>
      </c>
      <c r="E8" s="142" t="s">
        <v>25</v>
      </c>
      <c r="F8" s="142" t="s">
        <v>25</v>
      </c>
      <c r="G8" s="78" t="s">
        <v>83</v>
      </c>
      <c r="H8" s="78" t="s">
        <v>82</v>
      </c>
      <c r="I8" s="78">
        <f>'MERCADO TE'!$U$5</f>
        <v>1.103</v>
      </c>
      <c r="J8" s="15"/>
      <c r="L8" s="76">
        <f>'TR TE'!$L$8*'TR TE'!$L$49</f>
        <v>2.6517917925199566</v>
      </c>
      <c r="M8" s="76">
        <f>'TR TE'!$M$8*'TR TE'!$M$49</f>
        <v>24.692064133464225</v>
      </c>
      <c r="N8" s="76">
        <f>'TR TE'!$N$8*'TR TE'!$N$49</f>
        <v>0</v>
      </c>
      <c r="O8" s="76">
        <f>'TR TE'!$O$8*'TR TE'!$O$49</f>
        <v>8.9718368848644001</v>
      </c>
      <c r="P8" s="76">
        <f>'TR TE'!$P$8*'TR TE'!$P$49</f>
        <v>-19.041352758632303</v>
      </c>
      <c r="Q8" s="76">
        <f>SUM($L$8:$P$8)</f>
        <v>17.274340052216278</v>
      </c>
      <c r="R8" s="76">
        <f>'TR TE'!$R$8*'TR TE'!$R$49</f>
        <v>355.41012100279295</v>
      </c>
      <c r="S8" s="76">
        <f>SUM($R$8:$R$8)</f>
        <v>355.41012100279295</v>
      </c>
      <c r="T8" s="76">
        <f>'TR TE'!$T$8*'TR TE'!$T$49</f>
        <v>6.6437072712967078</v>
      </c>
      <c r="U8" s="76">
        <f>'TR TE'!$U$8*'TR TE'!$U$49</f>
        <v>4.6506776076920833</v>
      </c>
      <c r="V8" s="76">
        <f>'TR TE'!$V$8*'TR TE'!$V$49</f>
        <v>0</v>
      </c>
      <c r="W8" s="76">
        <f>SUM($T$8:$V$8)</f>
        <v>11.29438487898879</v>
      </c>
      <c r="X8" s="76"/>
      <c r="Y8" s="76">
        <f>SUM($X$8:$X$8)</f>
        <v>0</v>
      </c>
      <c r="Z8" s="76">
        <f>'TR TE'!$Z$8*'TR TE'!$Z$49</f>
        <v>6.3842067162654477</v>
      </c>
      <c r="AA8" s="76">
        <f>SUM($Z$8:$Z$8)</f>
        <v>6.3842067162654477</v>
      </c>
      <c r="AB8" s="76">
        <f>SUMIF($L$4:$AA$4,"SUBTOTAL",$L$8:$AA$8)</f>
        <v>390.36305265026351</v>
      </c>
    </row>
    <row r="9" spans="1:28" ht="11.25" customHeight="1" x14ac:dyDescent="0.25">
      <c r="A9" s="142"/>
      <c r="B9" s="142"/>
      <c r="C9" s="142"/>
      <c r="D9" s="142"/>
      <c r="E9" s="142"/>
      <c r="F9" s="142"/>
      <c r="G9" s="78" t="s">
        <v>93</v>
      </c>
      <c r="H9" s="78" t="s">
        <v>82</v>
      </c>
      <c r="I9" s="78">
        <f>'MERCADO TE'!$U$6</f>
        <v>0.64800000000000013</v>
      </c>
      <c r="J9" s="15"/>
      <c r="L9" s="76">
        <f>'TR TE'!$L$9*'TR TE'!$L$49</f>
        <v>2.6517917925199566</v>
      </c>
      <c r="M9" s="76">
        <f>'TR TE'!$M$9*'TR TE'!$M$49</f>
        <v>24.692064133464225</v>
      </c>
      <c r="N9" s="76">
        <f>'TR TE'!$N$9*'TR TE'!$N$49</f>
        <v>0</v>
      </c>
      <c r="O9" s="76">
        <f>'TR TE'!$O$9*'TR TE'!$O$49</f>
        <v>8.9718368848644001</v>
      </c>
      <c r="P9" s="76">
        <f>'TR TE'!$P$9*'TR TE'!$P$49</f>
        <v>-19.041352758632303</v>
      </c>
      <c r="Q9" s="76">
        <f>SUM($L$9:$P$9)</f>
        <v>17.274340052216278</v>
      </c>
      <c r="R9" s="76">
        <f>'TR TE'!$R$9*'TR TE'!$R$49</f>
        <v>206.63379128069357</v>
      </c>
      <c r="S9" s="76">
        <f>SUM($R$9:$R$9)</f>
        <v>206.63379128069357</v>
      </c>
      <c r="T9" s="76">
        <f>'TR TE'!$T$9*'TR TE'!$T$49</f>
        <v>6.6437072712967078</v>
      </c>
      <c r="U9" s="76">
        <f>'TR TE'!$U$9*'TR TE'!$U$49</f>
        <v>4.6506776076920833</v>
      </c>
      <c r="V9" s="76">
        <f>'TR TE'!$V$9*'TR TE'!$V$49</f>
        <v>0</v>
      </c>
      <c r="W9" s="76">
        <f>SUM($T$9:$V$9)</f>
        <v>11.29438487898879</v>
      </c>
      <c r="X9" s="76"/>
      <c r="Y9" s="76">
        <f>SUM($X$9:$X$9)</f>
        <v>0</v>
      </c>
      <c r="Z9" s="76">
        <f>'TR TE'!$Z$9*'TR TE'!$Z$49</f>
        <v>6.3842067162654477</v>
      </c>
      <c r="AA9" s="76">
        <f>SUM($Z$9:$Z$9)</f>
        <v>6.3842067162654477</v>
      </c>
      <c r="AB9" s="76">
        <f>SUMIF($L$4:$AA$4,"SUBTOTAL",$L$9:$AA$9)</f>
        <v>241.58672292816408</v>
      </c>
    </row>
    <row r="10" spans="1:28" ht="11.25" customHeight="1" x14ac:dyDescent="0.25">
      <c r="A10" s="142"/>
      <c r="B10" s="142"/>
      <c r="C10" s="142"/>
      <c r="D10" s="142"/>
      <c r="E10" s="142"/>
      <c r="F10" s="142"/>
      <c r="G10" s="78" t="s">
        <v>84</v>
      </c>
      <c r="H10" s="78" t="s">
        <v>82</v>
      </c>
      <c r="I10" s="78">
        <f>'MERCADO TE'!$U$7</f>
        <v>11.868000000000002</v>
      </c>
      <c r="J10" s="15"/>
      <c r="L10" s="76">
        <f>'TR TE'!$L$10*'TR TE'!$L$49</f>
        <v>2.6517917925199566</v>
      </c>
      <c r="M10" s="76">
        <f>'TR TE'!$M$10*'TR TE'!$M$49</f>
        <v>24.692064133464225</v>
      </c>
      <c r="N10" s="76">
        <f>'TR TE'!$N$10*'TR TE'!$N$49</f>
        <v>0</v>
      </c>
      <c r="O10" s="76">
        <f>'TR TE'!$O$10*'TR TE'!$O$49</f>
        <v>8.9718368848644001</v>
      </c>
      <c r="P10" s="76">
        <f>'TR TE'!$P$10*'TR TE'!$P$49</f>
        <v>-19.041352758632303</v>
      </c>
      <c r="Q10" s="76">
        <f>SUM($L$10:$P$10)</f>
        <v>17.274340052216278</v>
      </c>
      <c r="R10" s="76">
        <f>'TR TE'!$R$10*'TR TE'!$R$49</f>
        <v>206.63379128069357</v>
      </c>
      <c r="S10" s="76">
        <f>SUM($R$10:$R$10)</f>
        <v>206.63379128069357</v>
      </c>
      <c r="T10" s="76">
        <f>'TR TE'!$T$10*'TR TE'!$T$49</f>
        <v>6.6437072712967078</v>
      </c>
      <c r="U10" s="76">
        <f>'TR TE'!$U$10*'TR TE'!$U$49</f>
        <v>4.6506776076920833</v>
      </c>
      <c r="V10" s="76">
        <f>'TR TE'!$V$10*'TR TE'!$V$49</f>
        <v>0</v>
      </c>
      <c r="W10" s="76">
        <f>SUM($T$10:$V$10)</f>
        <v>11.29438487898879</v>
      </c>
      <c r="X10" s="76"/>
      <c r="Y10" s="76">
        <f>SUM($X$10:$X$10)</f>
        <v>0</v>
      </c>
      <c r="Z10" s="76">
        <f>'TR TE'!$Z$10*'TR TE'!$Z$49</f>
        <v>6.3842067162654477</v>
      </c>
      <c r="AA10" s="76">
        <f>SUM($Z$10:$Z$10)</f>
        <v>6.3842067162654477</v>
      </c>
      <c r="AB10" s="76">
        <f>SUMIF($L$4:$AA$4,"SUBTOTAL",$L$10:$AA$10)</f>
        <v>241.58672292816408</v>
      </c>
    </row>
    <row r="11" spans="1:28" ht="11.25" customHeight="1" x14ac:dyDescent="0.25">
      <c r="A11" s="142"/>
      <c r="B11" s="142" t="s">
        <v>85</v>
      </c>
      <c r="C11" s="142" t="s">
        <v>24</v>
      </c>
      <c r="D11" s="79" t="s">
        <v>24</v>
      </c>
      <c r="E11" s="79" t="s">
        <v>25</v>
      </c>
      <c r="F11" s="79" t="s">
        <v>25</v>
      </c>
      <c r="G11" s="78" t="s">
        <v>86</v>
      </c>
      <c r="H11" s="78" t="s">
        <v>82</v>
      </c>
      <c r="I11" s="78">
        <f>'MERCADO TE'!$U$8</f>
        <v>63212.388999999996</v>
      </c>
      <c r="J11" s="15"/>
      <c r="L11" s="76">
        <f>'TR TE'!$L$11*'TR TE'!$L$49</f>
        <v>2.6517917925199566</v>
      </c>
      <c r="M11" s="76">
        <f>'TR TE'!$M$11*'TR TE'!$M$49</f>
        <v>24.692064133464225</v>
      </c>
      <c r="N11" s="76">
        <f>'TR TE'!$N$11*'TR TE'!$N$49</f>
        <v>0</v>
      </c>
      <c r="O11" s="76">
        <f>'TR TE'!$O$11*'TR TE'!$O$49</f>
        <v>8.9718368848644001</v>
      </c>
      <c r="P11" s="76">
        <f>'TR TE'!$P$11*'TR TE'!$P$49</f>
        <v>-19.041352758632303</v>
      </c>
      <c r="Q11" s="76">
        <f>SUM($L$11:$P$11)</f>
        <v>17.274340052216278</v>
      </c>
      <c r="R11" s="76">
        <f>'TR TE'!$R$11*'TR TE'!$R$49</f>
        <v>219.03181875753521</v>
      </c>
      <c r="S11" s="76">
        <f>SUM($R$11:$R$11)</f>
        <v>219.03181875753521</v>
      </c>
      <c r="T11" s="76">
        <f>'TR TE'!$T$11*'TR TE'!$T$49</f>
        <v>6.6437072712967078</v>
      </c>
      <c r="U11" s="76">
        <f>'TR TE'!$U$11*'TR TE'!$U$49</f>
        <v>4.6506776076920833</v>
      </c>
      <c r="V11" s="76">
        <f>'TR TE'!$V$11*'TR TE'!$V$49</f>
        <v>0</v>
      </c>
      <c r="W11" s="76">
        <f>SUM($T$11:$V$11)</f>
        <v>11.29438487898879</v>
      </c>
      <c r="X11" s="76"/>
      <c r="Y11" s="76">
        <f>SUM($X$11:$X$11)</f>
        <v>0</v>
      </c>
      <c r="Z11" s="76">
        <f>'TR TE'!$Z$11*'TR TE'!$Z$49</f>
        <v>6.3842067162654477</v>
      </c>
      <c r="AA11" s="76">
        <f>SUM($Z$11:$Z$11)</f>
        <v>6.3842067162654477</v>
      </c>
      <c r="AB11" s="76">
        <f>SUMIF($L$4:$AA$4,"SUBTOTAL",$L$11:$AA$11)</f>
        <v>253.98475040500571</v>
      </c>
    </row>
    <row r="12" spans="1:28" ht="11.25" customHeight="1" x14ac:dyDescent="0.25">
      <c r="A12" s="142"/>
      <c r="B12" s="142"/>
      <c r="C12" s="142"/>
      <c r="D12" s="79" t="s">
        <v>28</v>
      </c>
      <c r="E12" s="79" t="s">
        <v>25</v>
      </c>
      <c r="F12" s="79" t="s">
        <v>25</v>
      </c>
      <c r="G12" s="78" t="s">
        <v>86</v>
      </c>
      <c r="H12" s="78" t="s">
        <v>82</v>
      </c>
      <c r="I12" s="78">
        <f>'MERCADO TE'!$U$9</f>
        <v>258.12700000000001</v>
      </c>
      <c r="J12" s="15"/>
      <c r="L12" s="76">
        <f>'TR TE'!$L$12*'TR TE'!$L$49</f>
        <v>2.6517917925199566</v>
      </c>
      <c r="M12" s="76">
        <f>'TR TE'!$M$12*'TR TE'!$M$49</f>
        <v>24.692064133464225</v>
      </c>
      <c r="N12" s="76">
        <f>'TR TE'!$N$12*'TR TE'!$N$49</f>
        <v>0</v>
      </c>
      <c r="O12" s="76">
        <f>'TR TE'!$O$12*'TR TE'!$O$49</f>
        <v>8.9718368848644001</v>
      </c>
      <c r="P12" s="76">
        <f>'TR TE'!$P$12*'TR TE'!$P$49</f>
        <v>-19.041352758632303</v>
      </c>
      <c r="Q12" s="76">
        <f>SUM($L$12:$P$12)</f>
        <v>17.274340052216278</v>
      </c>
      <c r="R12" s="76">
        <f>'TR TE'!$R$12*'TR TE'!$R$49</f>
        <v>219.03181875753521</v>
      </c>
      <c r="S12" s="76">
        <f>SUM($R$12:$R$12)</f>
        <v>219.03181875753521</v>
      </c>
      <c r="T12" s="76">
        <f>'TR TE'!$T$12*'TR TE'!$T$49</f>
        <v>6.6437072712967078</v>
      </c>
      <c r="U12" s="76">
        <f>'TR TE'!$U$12*'TR TE'!$U$49</f>
        <v>4.6506776076920833</v>
      </c>
      <c r="V12" s="76">
        <f>'TR TE'!$V$12*'TR TE'!$V$49</f>
        <v>0</v>
      </c>
      <c r="W12" s="76">
        <f>SUM($T$12:$V$12)</f>
        <v>11.29438487898879</v>
      </c>
      <c r="X12" s="76"/>
      <c r="Y12" s="76">
        <f>SUM($X$12:$X$12)</f>
        <v>0</v>
      </c>
      <c r="Z12" s="76">
        <f>'TR TE'!$Z$12*'TR TE'!$Z$49</f>
        <v>6.3842067162654477</v>
      </c>
      <c r="AA12" s="76">
        <f>SUM($Z$12:$Z$12)</f>
        <v>6.3842067162654477</v>
      </c>
      <c r="AB12" s="76">
        <f>SUMIF($L$4:$AA$4,"SUBTOTAL",$L$12:$AA$12)</f>
        <v>253.98475040500571</v>
      </c>
    </row>
    <row r="13" spans="1:28" ht="11.25" customHeight="1" x14ac:dyDescent="0.25">
      <c r="A13" s="142"/>
      <c r="B13" s="142"/>
      <c r="C13" s="142"/>
      <c r="D13" s="79" t="s">
        <v>29</v>
      </c>
      <c r="E13" s="79" t="s">
        <v>25</v>
      </c>
      <c r="F13" s="79" t="s">
        <v>25</v>
      </c>
      <c r="G13" s="78" t="s">
        <v>86</v>
      </c>
      <c r="H13" s="78" t="s">
        <v>82</v>
      </c>
      <c r="I13" s="78">
        <f>'MERCADO TE'!$U$10</f>
        <v>546.58100000000002</v>
      </c>
      <c r="J13" s="15"/>
      <c r="L13" s="76">
        <f>'TR TE'!$L$13*'TR TE'!$L$49</f>
        <v>2.6517917925199566</v>
      </c>
      <c r="M13" s="76">
        <f>'TR TE'!$M$13*'TR TE'!$M$49</f>
        <v>24.692064133464225</v>
      </c>
      <c r="N13" s="76">
        <f>'TR TE'!$N$13*'TR TE'!$N$49</f>
        <v>0</v>
      </c>
      <c r="O13" s="76">
        <f>'TR TE'!$O$13*'TR TE'!$O$49</f>
        <v>8.9718368848644001</v>
      </c>
      <c r="P13" s="76">
        <f>'TR TE'!$P$13*'TR TE'!$P$49</f>
        <v>-19.041352758632303</v>
      </c>
      <c r="Q13" s="76">
        <f>SUM($L$13:$P$13)</f>
        <v>17.274340052216278</v>
      </c>
      <c r="R13" s="76">
        <f>'TR TE'!$R$13*'TR TE'!$R$49</f>
        <v>219.03181875753521</v>
      </c>
      <c r="S13" s="76">
        <f>SUM($R$13:$R$13)</f>
        <v>219.03181875753521</v>
      </c>
      <c r="T13" s="76">
        <f>'TR TE'!$T$13*'TR TE'!$T$49</f>
        <v>6.6437072712967078</v>
      </c>
      <c r="U13" s="76">
        <f>'TR TE'!$U$13*'TR TE'!$U$49</f>
        <v>4.6506776076920833</v>
      </c>
      <c r="V13" s="76">
        <f>'TR TE'!$V$13*'TR TE'!$V$49</f>
        <v>0</v>
      </c>
      <c r="W13" s="76">
        <f>SUM($T$13:$V$13)</f>
        <v>11.29438487898879</v>
      </c>
      <c r="X13" s="76"/>
      <c r="Y13" s="76">
        <f>SUM($X$13:$X$13)</f>
        <v>0</v>
      </c>
      <c r="Z13" s="76">
        <f>'TR TE'!$Z$13*'TR TE'!$Z$49</f>
        <v>6.3842067162654477</v>
      </c>
      <c r="AA13" s="76">
        <f>SUM($Z$13:$Z$13)</f>
        <v>6.3842067162654477</v>
      </c>
      <c r="AB13" s="76">
        <f>SUMIF($L$4:$AA$4,"SUBTOTAL",$L$13:$AA$13)</f>
        <v>253.98475040500571</v>
      </c>
    </row>
    <row r="14" spans="1:28" ht="11.25" customHeight="1" x14ac:dyDescent="0.25">
      <c r="A14" s="142"/>
      <c r="B14" s="142"/>
      <c r="C14" s="142"/>
      <c r="D14" s="79" t="s">
        <v>30</v>
      </c>
      <c r="E14" s="79" t="s">
        <v>25</v>
      </c>
      <c r="F14" s="79" t="s">
        <v>25</v>
      </c>
      <c r="G14" s="78" t="s">
        <v>86</v>
      </c>
      <c r="H14" s="78" t="s">
        <v>82</v>
      </c>
      <c r="I14" s="78">
        <f>'MERCADO TE'!$U$11</f>
        <v>537.75300000000004</v>
      </c>
      <c r="J14" s="15"/>
      <c r="L14" s="76">
        <f>'TR TE'!$L$14*'TR TE'!$L$49</f>
        <v>2.6517917925199566</v>
      </c>
      <c r="M14" s="76">
        <f>'TR TE'!$M$14*'TR TE'!$M$49</f>
        <v>24.692064133464225</v>
      </c>
      <c r="N14" s="76">
        <f>'TR TE'!$N$14*'TR TE'!$N$49</f>
        <v>0</v>
      </c>
      <c r="O14" s="76">
        <f>'TR TE'!$O$14*'TR TE'!$O$49</f>
        <v>8.9718368848644001</v>
      </c>
      <c r="P14" s="76">
        <f>'TR TE'!$P$14*'TR TE'!$P$49</f>
        <v>-19.041352758632303</v>
      </c>
      <c r="Q14" s="76">
        <f>SUM($L$14:$P$14)</f>
        <v>17.274340052216278</v>
      </c>
      <c r="R14" s="76">
        <f>'TR TE'!$R$14*'TR TE'!$R$49</f>
        <v>219.03181875753521</v>
      </c>
      <c r="S14" s="76">
        <f>SUM($R$14:$R$14)</f>
        <v>219.03181875753521</v>
      </c>
      <c r="T14" s="76">
        <f>'TR TE'!$T$14*'TR TE'!$T$49</f>
        <v>6.6437072712967078</v>
      </c>
      <c r="U14" s="76">
        <f>'TR TE'!$U$14*'TR TE'!$U$49</f>
        <v>4.6506776076920833</v>
      </c>
      <c r="V14" s="76">
        <f>'TR TE'!$V$14*'TR TE'!$V$49</f>
        <v>0</v>
      </c>
      <c r="W14" s="76">
        <f>SUM($T$14:$V$14)</f>
        <v>11.29438487898879</v>
      </c>
      <c r="X14" s="76"/>
      <c r="Y14" s="76">
        <f>SUM($X$14:$X$14)</f>
        <v>0</v>
      </c>
      <c r="Z14" s="76">
        <f>'TR TE'!$Z$14*'TR TE'!$Z$49</f>
        <v>6.3842067162654477</v>
      </c>
      <c r="AA14" s="76">
        <f>SUM($Z$14:$Z$14)</f>
        <v>6.3842067162654477</v>
      </c>
      <c r="AB14" s="76">
        <f>SUMIF($L$4:$AA$4,"SUBTOTAL",$L$14:$AA$14)</f>
        <v>253.98475040500571</v>
      </c>
    </row>
    <row r="15" spans="1:28" ht="11.25" customHeight="1" x14ac:dyDescent="0.25">
      <c r="A15" s="142"/>
      <c r="B15" s="142"/>
      <c r="C15" s="142"/>
      <c r="D15" s="79" t="s">
        <v>31</v>
      </c>
      <c r="E15" s="79" t="s">
        <v>25</v>
      </c>
      <c r="F15" s="79" t="s">
        <v>25</v>
      </c>
      <c r="G15" s="78" t="s">
        <v>86</v>
      </c>
      <c r="H15" s="78" t="s">
        <v>82</v>
      </c>
      <c r="I15" s="78">
        <f>'MERCADO TE'!$U$12</f>
        <v>180.10599999999999</v>
      </c>
      <c r="J15" s="15"/>
      <c r="L15" s="76">
        <f>'TR TE'!$L$15*'TR TE'!$L$49</f>
        <v>2.6517917925199566</v>
      </c>
      <c r="M15" s="76">
        <f>'TR TE'!$M$15*'TR TE'!$M$49</f>
        <v>24.692064133464225</v>
      </c>
      <c r="N15" s="76">
        <f>'TR TE'!$N$15*'TR TE'!$N$49</f>
        <v>0</v>
      </c>
      <c r="O15" s="76">
        <f>'TR TE'!$O$15*'TR TE'!$O$49</f>
        <v>8.9718368848644001</v>
      </c>
      <c r="P15" s="76">
        <f>'TR TE'!$P$15*'TR TE'!$P$49</f>
        <v>-19.041352758632303</v>
      </c>
      <c r="Q15" s="76">
        <f>SUM($L$15:$P$15)</f>
        <v>17.274340052216278</v>
      </c>
      <c r="R15" s="76">
        <f>'TR TE'!$R$15*'TR TE'!$R$49</f>
        <v>219.03181875753521</v>
      </c>
      <c r="S15" s="76">
        <f>SUM($R$15:$R$15)</f>
        <v>219.03181875753521</v>
      </c>
      <c r="T15" s="76">
        <f>'TR TE'!$T$15*'TR TE'!$T$49</f>
        <v>6.6437072712967078</v>
      </c>
      <c r="U15" s="76">
        <f>'TR TE'!$U$15*'TR TE'!$U$49</f>
        <v>4.6506776076920833</v>
      </c>
      <c r="V15" s="76">
        <f>'TR TE'!$V$15*'TR TE'!$V$49</f>
        <v>0</v>
      </c>
      <c r="W15" s="76">
        <f>SUM($T$15:$V$15)</f>
        <v>11.29438487898879</v>
      </c>
      <c r="X15" s="76"/>
      <c r="Y15" s="76">
        <f>SUM($X$15:$X$15)</f>
        <v>0</v>
      </c>
      <c r="Z15" s="76">
        <f>'TR TE'!$Z$15*'TR TE'!$Z$49</f>
        <v>6.3842067162654477</v>
      </c>
      <c r="AA15" s="76">
        <f>SUM($Z$15:$Z$15)</f>
        <v>6.3842067162654477</v>
      </c>
      <c r="AB15" s="76">
        <f>SUMIF($L$4:$AA$4,"SUBTOTAL",$L$15:$AA$15)</f>
        <v>253.98475040500571</v>
      </c>
    </row>
    <row r="16" spans="1:28" ht="11.25" customHeight="1" x14ac:dyDescent="0.25">
      <c r="A16" s="142"/>
      <c r="B16" s="142" t="s">
        <v>94</v>
      </c>
      <c r="C16" s="142" t="s">
        <v>24</v>
      </c>
      <c r="D16" s="79" t="s">
        <v>24</v>
      </c>
      <c r="E16" s="79" t="s">
        <v>25</v>
      </c>
      <c r="F16" s="79" t="s">
        <v>25</v>
      </c>
      <c r="G16" s="78" t="s">
        <v>86</v>
      </c>
      <c r="H16" s="78" t="s">
        <v>82</v>
      </c>
      <c r="I16" s="78">
        <f>'MERCADO TE'!$U$13</f>
        <v>0</v>
      </c>
      <c r="J16" s="15"/>
      <c r="L16" s="76">
        <f>'TR TE'!$L$16*'TR TE'!$L$49</f>
        <v>2.6517917925199566</v>
      </c>
      <c r="M16" s="76">
        <f>'TR TE'!$M$16*'TR TE'!$M$49</f>
        <v>24.692064133464225</v>
      </c>
      <c r="N16" s="76">
        <f>'TR TE'!$N$16*'TR TE'!$N$49</f>
        <v>0</v>
      </c>
      <c r="O16" s="76">
        <f>'TR TE'!$O$16*'TR TE'!$O$49</f>
        <v>8.9718368848644001</v>
      </c>
      <c r="P16" s="76">
        <f>'TR TE'!$P$16*'TR TE'!$P$49</f>
        <v>-19.041352758632303</v>
      </c>
      <c r="Q16" s="76">
        <f>SUM($L$16:$P$16)</f>
        <v>17.274340052216278</v>
      </c>
      <c r="R16" s="76">
        <f>'TR TE'!$R$16*'TR TE'!$R$49</f>
        <v>219.03181875753521</v>
      </c>
      <c r="S16" s="76">
        <f>SUM($R$16:$R$16)</f>
        <v>219.03181875753521</v>
      </c>
      <c r="T16" s="76">
        <f>'TR TE'!$T$16*'TR TE'!$T$49</f>
        <v>6.6437072712967078</v>
      </c>
      <c r="U16" s="76">
        <f>'TR TE'!$U$16*'TR TE'!$U$49</f>
        <v>4.6506776076920833</v>
      </c>
      <c r="V16" s="76">
        <f>'TR TE'!$V$16*'TR TE'!$V$49</f>
        <v>0</v>
      </c>
      <c r="W16" s="76">
        <f>SUM($T$16:$V$16)</f>
        <v>11.29438487898879</v>
      </c>
      <c r="X16" s="76"/>
      <c r="Y16" s="76">
        <f>SUM($X$16:$X$16)</f>
        <v>0</v>
      </c>
      <c r="Z16" s="76">
        <f>'TR TE'!$Z$16*'TR TE'!$Z$49</f>
        <v>6.3842067162654477</v>
      </c>
      <c r="AA16" s="76">
        <f>SUM($Z$16:$Z$16)</f>
        <v>6.3842067162654477</v>
      </c>
      <c r="AB16" s="76">
        <f>SUMIF($L$4:$AA$4,"SUBTOTAL",$L$16:$AA$16)</f>
        <v>253.98475040500571</v>
      </c>
    </row>
    <row r="17" spans="1:28" ht="11.25" customHeight="1" x14ac:dyDescent="0.25">
      <c r="A17" s="142"/>
      <c r="B17" s="142"/>
      <c r="C17" s="142"/>
      <c r="D17" s="79" t="s">
        <v>28</v>
      </c>
      <c r="E17" s="79" t="s">
        <v>25</v>
      </c>
      <c r="F17" s="79" t="s">
        <v>25</v>
      </c>
      <c r="G17" s="78" t="s">
        <v>86</v>
      </c>
      <c r="H17" s="78" t="s">
        <v>82</v>
      </c>
      <c r="I17" s="78">
        <f>'MERCADO TE'!$U$14</f>
        <v>0</v>
      </c>
      <c r="J17" s="15"/>
      <c r="L17" s="76">
        <f>'TR TE'!$L$17*'TR TE'!$L$49</f>
        <v>2.6517917925199566</v>
      </c>
      <c r="M17" s="76">
        <f>'TR TE'!$M$17*'TR TE'!$M$49</f>
        <v>24.692064133464225</v>
      </c>
      <c r="N17" s="76">
        <f>'TR TE'!$N$17*'TR TE'!$N$49</f>
        <v>0</v>
      </c>
      <c r="O17" s="76">
        <f>'TR TE'!$O$17*'TR TE'!$O$49</f>
        <v>8.9718368848644001</v>
      </c>
      <c r="P17" s="76">
        <f>'TR TE'!$P$17*'TR TE'!$P$49</f>
        <v>-19.041352758632303</v>
      </c>
      <c r="Q17" s="76">
        <f>SUM($L$17:$P$17)</f>
        <v>17.274340052216278</v>
      </c>
      <c r="R17" s="76">
        <f>'TR TE'!$R$17*'TR TE'!$R$49</f>
        <v>219.03181875753521</v>
      </c>
      <c r="S17" s="76">
        <f>SUM($R$17:$R$17)</f>
        <v>219.03181875753521</v>
      </c>
      <c r="T17" s="76">
        <f>'TR TE'!$T$17*'TR TE'!$T$49</f>
        <v>6.6437072712967078</v>
      </c>
      <c r="U17" s="76">
        <f>'TR TE'!$U$17*'TR TE'!$U$49</f>
        <v>4.6506776076920833</v>
      </c>
      <c r="V17" s="76">
        <f>'TR TE'!$V$17*'TR TE'!$V$49</f>
        <v>0</v>
      </c>
      <c r="W17" s="76">
        <f>SUM($T$17:$V$17)</f>
        <v>11.29438487898879</v>
      </c>
      <c r="X17" s="76"/>
      <c r="Y17" s="76">
        <f>SUM($X$17:$X$17)</f>
        <v>0</v>
      </c>
      <c r="Z17" s="76">
        <f>'TR TE'!$Z$17*'TR TE'!$Z$49</f>
        <v>6.3842067162654477</v>
      </c>
      <c r="AA17" s="76">
        <f>SUM($Z$17:$Z$17)</f>
        <v>6.3842067162654477</v>
      </c>
      <c r="AB17" s="76">
        <f>SUMIF($L$4:$AA$4,"SUBTOTAL",$L$17:$AA$17)</f>
        <v>253.98475040500571</v>
      </c>
    </row>
    <row r="18" spans="1:28" ht="11.25" customHeight="1" x14ac:dyDescent="0.25">
      <c r="A18" s="142"/>
      <c r="B18" s="142"/>
      <c r="C18" s="142"/>
      <c r="D18" s="79" t="s">
        <v>29</v>
      </c>
      <c r="E18" s="79" t="s">
        <v>25</v>
      </c>
      <c r="F18" s="79" t="s">
        <v>25</v>
      </c>
      <c r="G18" s="78" t="s">
        <v>86</v>
      </c>
      <c r="H18" s="78" t="s">
        <v>82</v>
      </c>
      <c r="I18" s="78">
        <f>'MERCADO TE'!$U$15</f>
        <v>0</v>
      </c>
      <c r="J18" s="15"/>
      <c r="L18" s="76">
        <f>'TR TE'!$L$18*'TR TE'!$L$49</f>
        <v>2.6517917925199566</v>
      </c>
      <c r="M18" s="76">
        <f>'TR TE'!$M$18*'TR TE'!$M$49</f>
        <v>24.692064133464225</v>
      </c>
      <c r="N18" s="76">
        <f>'TR TE'!$N$18*'TR TE'!$N$49</f>
        <v>0</v>
      </c>
      <c r="O18" s="76">
        <f>'TR TE'!$O$18*'TR TE'!$O$49</f>
        <v>8.9718368848644001</v>
      </c>
      <c r="P18" s="76">
        <f>'TR TE'!$P$18*'TR TE'!$P$49</f>
        <v>-19.041352758632303</v>
      </c>
      <c r="Q18" s="76">
        <f>SUM($L$18:$P$18)</f>
        <v>17.274340052216278</v>
      </c>
      <c r="R18" s="76">
        <f>'TR TE'!$R$18*'TR TE'!$R$49</f>
        <v>219.03181875753521</v>
      </c>
      <c r="S18" s="76">
        <f>SUM($R$18:$R$18)</f>
        <v>219.03181875753521</v>
      </c>
      <c r="T18" s="76">
        <f>'TR TE'!$T$18*'TR TE'!$T$49</f>
        <v>6.6437072712967078</v>
      </c>
      <c r="U18" s="76">
        <f>'TR TE'!$U$18*'TR TE'!$U$49</f>
        <v>4.6506776076920833</v>
      </c>
      <c r="V18" s="76">
        <f>'TR TE'!$V$18*'TR TE'!$V$49</f>
        <v>0</v>
      </c>
      <c r="W18" s="76">
        <f>SUM($T$18:$V$18)</f>
        <v>11.29438487898879</v>
      </c>
      <c r="X18" s="76"/>
      <c r="Y18" s="76">
        <f>SUM($X$18:$X$18)</f>
        <v>0</v>
      </c>
      <c r="Z18" s="76">
        <f>'TR TE'!$Z$18*'TR TE'!$Z$49</f>
        <v>6.3842067162654477</v>
      </c>
      <c r="AA18" s="76">
        <f>SUM($Z$18:$Z$18)</f>
        <v>6.3842067162654477</v>
      </c>
      <c r="AB18" s="76">
        <f>SUMIF($L$4:$AA$4,"SUBTOTAL",$L$18:$AA$18)</f>
        <v>253.98475040500571</v>
      </c>
    </row>
    <row r="19" spans="1:28" ht="11.25" customHeight="1" x14ac:dyDescent="0.25">
      <c r="A19" s="142"/>
      <c r="B19" s="142"/>
      <c r="C19" s="142"/>
      <c r="D19" s="79" t="s">
        <v>30</v>
      </c>
      <c r="E19" s="79" t="s">
        <v>25</v>
      </c>
      <c r="F19" s="79" t="s">
        <v>25</v>
      </c>
      <c r="G19" s="78" t="s">
        <v>86</v>
      </c>
      <c r="H19" s="78" t="s">
        <v>82</v>
      </c>
      <c r="I19" s="78">
        <f>'MERCADO TE'!$U$16</f>
        <v>0</v>
      </c>
      <c r="J19" s="15"/>
      <c r="L19" s="76">
        <f>'TR TE'!$L$19*'TR TE'!$L$49</f>
        <v>2.6517917925199566</v>
      </c>
      <c r="M19" s="76">
        <f>'TR TE'!$M$19*'TR TE'!$M$49</f>
        <v>24.692064133464225</v>
      </c>
      <c r="N19" s="76">
        <f>'TR TE'!$N$19*'TR TE'!$N$49</f>
        <v>0</v>
      </c>
      <c r="O19" s="76">
        <f>'TR TE'!$O$19*'TR TE'!$O$49</f>
        <v>8.9718368848644001</v>
      </c>
      <c r="P19" s="76">
        <f>'TR TE'!$P$19*'TR TE'!$P$49</f>
        <v>-19.041352758632303</v>
      </c>
      <c r="Q19" s="76">
        <f>SUM($L$19:$P$19)</f>
        <v>17.274340052216278</v>
      </c>
      <c r="R19" s="76">
        <f>'TR TE'!$R$19*'TR TE'!$R$49</f>
        <v>219.03181875753521</v>
      </c>
      <c r="S19" s="76">
        <f>SUM($R$19:$R$19)</f>
        <v>219.03181875753521</v>
      </c>
      <c r="T19" s="76">
        <f>'TR TE'!$T$19*'TR TE'!$T$49</f>
        <v>6.6437072712967078</v>
      </c>
      <c r="U19" s="76">
        <f>'TR TE'!$U$19*'TR TE'!$U$49</f>
        <v>4.6506776076920833</v>
      </c>
      <c r="V19" s="76">
        <f>'TR TE'!$V$19*'TR TE'!$V$49</f>
        <v>0</v>
      </c>
      <c r="W19" s="76">
        <f>SUM($T$19:$V$19)</f>
        <v>11.29438487898879</v>
      </c>
      <c r="X19" s="76"/>
      <c r="Y19" s="76">
        <f>SUM($X$19:$X$19)</f>
        <v>0</v>
      </c>
      <c r="Z19" s="76">
        <f>'TR TE'!$Z$19*'TR TE'!$Z$49</f>
        <v>6.3842067162654477</v>
      </c>
      <c r="AA19" s="76">
        <f>SUM($Z$19:$Z$19)</f>
        <v>6.3842067162654477</v>
      </c>
      <c r="AB19" s="76">
        <f>SUMIF($L$4:$AA$4,"SUBTOTAL",$L$19:$AA$19)</f>
        <v>253.98475040500571</v>
      </c>
    </row>
    <row r="20" spans="1:28" ht="11.25" customHeight="1" x14ac:dyDescent="0.25">
      <c r="A20" s="142"/>
      <c r="B20" s="142"/>
      <c r="C20" s="142"/>
      <c r="D20" s="79" t="s">
        <v>31</v>
      </c>
      <c r="E20" s="79" t="s">
        <v>25</v>
      </c>
      <c r="F20" s="79" t="s">
        <v>25</v>
      </c>
      <c r="G20" s="78" t="s">
        <v>86</v>
      </c>
      <c r="H20" s="78" t="s">
        <v>82</v>
      </c>
      <c r="I20" s="78">
        <f>'MERCADO TE'!$U$17</f>
        <v>0</v>
      </c>
      <c r="J20" s="15"/>
      <c r="L20" s="76">
        <f>'TR TE'!$L$20*'TR TE'!$L$49</f>
        <v>2.6517917925199566</v>
      </c>
      <c r="M20" s="76">
        <f>'TR TE'!$M$20*'TR TE'!$M$49</f>
        <v>24.692064133464225</v>
      </c>
      <c r="N20" s="76">
        <f>'TR TE'!$N$20*'TR TE'!$N$49</f>
        <v>0</v>
      </c>
      <c r="O20" s="76">
        <f>'TR TE'!$O$20*'TR TE'!$O$49</f>
        <v>8.9718368848644001</v>
      </c>
      <c r="P20" s="76">
        <f>'TR TE'!$P$20*'TR TE'!$P$49</f>
        <v>-19.041352758632303</v>
      </c>
      <c r="Q20" s="76">
        <f>SUM($L$20:$P$20)</f>
        <v>17.274340052216278</v>
      </c>
      <c r="R20" s="76">
        <f>'TR TE'!$R$20*'TR TE'!$R$49</f>
        <v>219.03181875753521</v>
      </c>
      <c r="S20" s="76">
        <f>SUM($R$20:$R$20)</f>
        <v>219.03181875753521</v>
      </c>
      <c r="T20" s="76">
        <f>'TR TE'!$T$20*'TR TE'!$T$49</f>
        <v>6.6437072712967078</v>
      </c>
      <c r="U20" s="76">
        <f>'TR TE'!$U$20*'TR TE'!$U$49</f>
        <v>4.6506776076920833</v>
      </c>
      <c r="V20" s="76">
        <f>'TR TE'!$V$20*'TR TE'!$V$49</f>
        <v>0</v>
      </c>
      <c r="W20" s="76">
        <f>SUM($T$20:$V$20)</f>
        <v>11.29438487898879</v>
      </c>
      <c r="X20" s="76"/>
      <c r="Y20" s="76">
        <f>SUM($X$20:$X$20)</f>
        <v>0</v>
      </c>
      <c r="Z20" s="76">
        <f>'TR TE'!$Z$20*'TR TE'!$Z$49</f>
        <v>6.3842067162654477</v>
      </c>
      <c r="AA20" s="76">
        <f>SUM($Z$20:$Z$20)</f>
        <v>6.3842067162654477</v>
      </c>
      <c r="AB20" s="76">
        <f>SUMIF($L$4:$AA$4,"SUBTOTAL",$L$20:$AA$20)</f>
        <v>253.98475040500571</v>
      </c>
    </row>
    <row r="21" spans="1:28" ht="11.25" customHeight="1" x14ac:dyDescent="0.25">
      <c r="A21" s="142" t="s">
        <v>42</v>
      </c>
      <c r="B21" s="142" t="s">
        <v>81</v>
      </c>
      <c r="C21" s="142" t="s">
        <v>43</v>
      </c>
      <c r="D21" s="142" t="s">
        <v>25</v>
      </c>
      <c r="E21" s="142" t="s">
        <v>25</v>
      </c>
      <c r="F21" s="142" t="s">
        <v>25</v>
      </c>
      <c r="G21" s="78" t="s">
        <v>83</v>
      </c>
      <c r="H21" s="78" t="s">
        <v>82</v>
      </c>
      <c r="I21" s="78">
        <f>'MERCADO TE'!$U$18</f>
        <v>0</v>
      </c>
      <c r="J21" s="15"/>
      <c r="L21" s="76">
        <f>'TR TE'!$L$21*'TR TE'!$L$49</f>
        <v>2.6517917925199566</v>
      </c>
      <c r="M21" s="76">
        <f>'TR TE'!$M$21*'TR TE'!$M$49</f>
        <v>24.692064133464225</v>
      </c>
      <c r="N21" s="76">
        <f>'TR TE'!$N$21*'TR TE'!$N$49</f>
        <v>0</v>
      </c>
      <c r="O21" s="76">
        <f>'TR TE'!$O$21*'TR TE'!$O$49</f>
        <v>8.9718368848644001</v>
      </c>
      <c r="P21" s="76">
        <f>'TR TE'!$P$21*'TR TE'!$P$49</f>
        <v>-19.041352758632303</v>
      </c>
      <c r="Q21" s="76">
        <f>SUM($L$21:$P$21)</f>
        <v>17.274340052216278</v>
      </c>
      <c r="R21" s="76">
        <f>'TR TE'!$R$21*'TR TE'!$R$49</f>
        <v>355.41012100279295</v>
      </c>
      <c r="S21" s="76">
        <f>SUM($R$21:$R$21)</f>
        <v>355.41012100279295</v>
      </c>
      <c r="T21" s="76">
        <f>'TR TE'!$T$21*'TR TE'!$T$49</f>
        <v>6.6437072712967078</v>
      </c>
      <c r="U21" s="76">
        <f>'TR TE'!$U$21*'TR TE'!$U$49</f>
        <v>4.6506776076920833</v>
      </c>
      <c r="V21" s="76">
        <f>'TR TE'!$V$21*'TR TE'!$V$49</f>
        <v>0</v>
      </c>
      <c r="W21" s="76">
        <f>SUM($T$21:$V$21)</f>
        <v>11.29438487898879</v>
      </c>
      <c r="X21" s="76"/>
      <c r="Y21" s="76">
        <f>SUM($X$21:$X$21)</f>
        <v>0</v>
      </c>
      <c r="Z21" s="76">
        <f>'TR TE'!$Z$21*'TR TE'!$Z$49</f>
        <v>6.3842067162654477</v>
      </c>
      <c r="AA21" s="76">
        <f>SUM($Z$21:$Z$21)</f>
        <v>6.3842067162654477</v>
      </c>
      <c r="AB21" s="76">
        <f>SUMIF($L$4:$AA$4,"SUBTOTAL",$L$21:$AA$21)</f>
        <v>390.36305265026351</v>
      </c>
    </row>
    <row r="22" spans="1:28" ht="11.25" customHeight="1" x14ac:dyDescent="0.25">
      <c r="A22" s="142"/>
      <c r="B22" s="142"/>
      <c r="C22" s="142"/>
      <c r="D22" s="142"/>
      <c r="E22" s="142"/>
      <c r="F22" s="142"/>
      <c r="G22" s="78" t="s">
        <v>93</v>
      </c>
      <c r="H22" s="78" t="s">
        <v>82</v>
      </c>
      <c r="I22" s="78">
        <f>'MERCADO TE'!$U$19</f>
        <v>0</v>
      </c>
      <c r="J22" s="15"/>
      <c r="L22" s="76">
        <f>'TR TE'!$L$22*'TR TE'!$L$49</f>
        <v>2.6517917925199566</v>
      </c>
      <c r="M22" s="76">
        <f>'TR TE'!$M$22*'TR TE'!$M$49</f>
        <v>24.692064133464225</v>
      </c>
      <c r="N22" s="76">
        <f>'TR TE'!$N$22*'TR TE'!$N$49</f>
        <v>0</v>
      </c>
      <c r="O22" s="76">
        <f>'TR TE'!$O$22*'TR TE'!$O$49</f>
        <v>8.9718368848644001</v>
      </c>
      <c r="P22" s="76">
        <f>'TR TE'!$P$22*'TR TE'!$P$49</f>
        <v>-19.041352758632303</v>
      </c>
      <c r="Q22" s="76">
        <f>SUM($L$22:$P$22)</f>
        <v>17.274340052216278</v>
      </c>
      <c r="R22" s="76">
        <f>'TR TE'!$R$22*'TR TE'!$R$49</f>
        <v>206.63379128069357</v>
      </c>
      <c r="S22" s="76">
        <f>SUM($R$22:$R$22)</f>
        <v>206.63379128069357</v>
      </c>
      <c r="T22" s="76">
        <f>'TR TE'!$T$22*'TR TE'!$T$49</f>
        <v>6.6437072712967078</v>
      </c>
      <c r="U22" s="76">
        <f>'TR TE'!$U$22*'TR TE'!$U$49</f>
        <v>4.6506776076920833</v>
      </c>
      <c r="V22" s="76">
        <f>'TR TE'!$V$22*'TR TE'!$V$49</f>
        <v>0</v>
      </c>
      <c r="W22" s="76">
        <f>SUM($T$22:$V$22)</f>
        <v>11.29438487898879</v>
      </c>
      <c r="X22" s="76"/>
      <c r="Y22" s="76">
        <f>SUM($X$22:$X$22)</f>
        <v>0</v>
      </c>
      <c r="Z22" s="76">
        <f>'TR TE'!$Z$22*'TR TE'!$Z$49</f>
        <v>6.3842067162654477</v>
      </c>
      <c r="AA22" s="76">
        <f>SUM($Z$22:$Z$22)</f>
        <v>6.3842067162654477</v>
      </c>
      <c r="AB22" s="76">
        <f>SUMIF($L$4:$AA$4,"SUBTOTAL",$L$22:$AA$22)</f>
        <v>241.58672292816408</v>
      </c>
    </row>
    <row r="23" spans="1:28" ht="11.25" customHeight="1" x14ac:dyDescent="0.25">
      <c r="A23" s="142"/>
      <c r="B23" s="142"/>
      <c r="C23" s="142"/>
      <c r="D23" s="142"/>
      <c r="E23" s="142"/>
      <c r="F23" s="142"/>
      <c r="G23" s="78" t="s">
        <v>84</v>
      </c>
      <c r="H23" s="78" t="s">
        <v>82</v>
      </c>
      <c r="I23" s="78">
        <f>'MERCADO TE'!$U$20</f>
        <v>0</v>
      </c>
      <c r="J23" s="15"/>
      <c r="L23" s="76">
        <f>'TR TE'!$L$23*'TR TE'!$L$49</f>
        <v>2.6517917925199566</v>
      </c>
      <c r="M23" s="76">
        <f>'TR TE'!$M$23*'TR TE'!$M$49</f>
        <v>24.692064133464225</v>
      </c>
      <c r="N23" s="76">
        <f>'TR TE'!$N$23*'TR TE'!$N$49</f>
        <v>0</v>
      </c>
      <c r="O23" s="76">
        <f>'TR TE'!$O$23*'TR TE'!$O$49</f>
        <v>8.9718368848644001</v>
      </c>
      <c r="P23" s="76">
        <f>'TR TE'!$P$23*'TR TE'!$P$49</f>
        <v>-19.041352758632303</v>
      </c>
      <c r="Q23" s="76">
        <f>SUM($L$23:$P$23)</f>
        <v>17.274340052216278</v>
      </c>
      <c r="R23" s="76">
        <f>'TR TE'!$R$23*'TR TE'!$R$49</f>
        <v>206.63379128069357</v>
      </c>
      <c r="S23" s="76">
        <f>SUM($R$23:$R$23)</f>
        <v>206.63379128069357</v>
      </c>
      <c r="T23" s="76">
        <f>'TR TE'!$T$23*'TR TE'!$T$49</f>
        <v>6.6437072712967078</v>
      </c>
      <c r="U23" s="76">
        <f>'TR TE'!$U$23*'TR TE'!$U$49</f>
        <v>4.6506776076920833</v>
      </c>
      <c r="V23" s="76">
        <f>'TR TE'!$V$23*'TR TE'!$V$49</f>
        <v>0</v>
      </c>
      <c r="W23" s="76">
        <f>SUM($T$23:$V$23)</f>
        <v>11.29438487898879</v>
      </c>
      <c r="X23" s="76"/>
      <c r="Y23" s="76">
        <f>SUM($X$23:$X$23)</f>
        <v>0</v>
      </c>
      <c r="Z23" s="76">
        <f>'TR TE'!$Z$23*'TR TE'!$Z$49</f>
        <v>6.3842067162654477</v>
      </c>
      <c r="AA23" s="76">
        <f>SUM($Z$23:$Z$23)</f>
        <v>6.3842067162654477</v>
      </c>
      <c r="AB23" s="76">
        <f>SUMIF($L$4:$AA$4,"SUBTOTAL",$L$23:$AA$23)</f>
        <v>241.58672292816408</v>
      </c>
    </row>
    <row r="24" spans="1:28" ht="11.25" customHeight="1" x14ac:dyDescent="0.25">
      <c r="A24" s="142"/>
      <c r="B24" s="79" t="s">
        <v>85</v>
      </c>
      <c r="C24" s="79" t="s">
        <v>43</v>
      </c>
      <c r="D24" s="79" t="s">
        <v>25</v>
      </c>
      <c r="E24" s="79" t="s">
        <v>25</v>
      </c>
      <c r="F24" s="79" t="s">
        <v>25</v>
      </c>
      <c r="G24" s="78" t="s">
        <v>86</v>
      </c>
      <c r="H24" s="78" t="s">
        <v>82</v>
      </c>
      <c r="I24" s="78">
        <f>'MERCADO TE'!$U$21</f>
        <v>18727.453000000001</v>
      </c>
      <c r="J24" s="15"/>
      <c r="L24" s="76">
        <f>'TR TE'!$L$24*'TR TE'!$L$49</f>
        <v>2.6517917925199566</v>
      </c>
      <c r="M24" s="76">
        <f>'TR TE'!$M$24*'TR TE'!$M$49</f>
        <v>24.692064133464225</v>
      </c>
      <c r="N24" s="76">
        <f>'TR TE'!$N$24*'TR TE'!$N$49</f>
        <v>0</v>
      </c>
      <c r="O24" s="76">
        <f>'TR TE'!$O$24*'TR TE'!$O$49</f>
        <v>8.9718368848644001</v>
      </c>
      <c r="P24" s="76">
        <f>'TR TE'!$P$24*'TR TE'!$P$49</f>
        <v>-19.041352758632303</v>
      </c>
      <c r="Q24" s="76">
        <f>SUM($L$24:$P$24)</f>
        <v>17.274340052216278</v>
      </c>
      <c r="R24" s="76">
        <f>'TR TE'!$R$24*'TR TE'!$R$49</f>
        <v>219.03181875753521</v>
      </c>
      <c r="S24" s="76">
        <f>SUM($R$24:$R$24)</f>
        <v>219.03181875753521</v>
      </c>
      <c r="T24" s="76">
        <f>'TR TE'!$T$24*'TR TE'!$T$49</f>
        <v>6.6437072712967078</v>
      </c>
      <c r="U24" s="76">
        <f>'TR TE'!$U$24*'TR TE'!$U$49</f>
        <v>4.6506776076920833</v>
      </c>
      <c r="V24" s="76">
        <f>'TR TE'!$V$24*'TR TE'!$V$49</f>
        <v>0</v>
      </c>
      <c r="W24" s="76">
        <f>SUM($T$24:$V$24)</f>
        <v>11.29438487898879</v>
      </c>
      <c r="X24" s="76"/>
      <c r="Y24" s="76">
        <f>SUM($X$24:$X$24)</f>
        <v>0</v>
      </c>
      <c r="Z24" s="76">
        <f>'TR TE'!$Z$24*'TR TE'!$Z$49</f>
        <v>6.3842067162654477</v>
      </c>
      <c r="AA24" s="76">
        <f>SUM($Z$24:$Z$24)</f>
        <v>6.3842067162654477</v>
      </c>
      <c r="AB24" s="76">
        <f>SUMIF($L$4:$AA$4,"SUBTOTAL",$L$24:$AA$24)</f>
        <v>253.98475040500571</v>
      </c>
    </row>
    <row r="25" spans="1:28" ht="11.25" customHeight="1" x14ac:dyDescent="0.25">
      <c r="A25" s="142"/>
      <c r="B25" s="142" t="s">
        <v>81</v>
      </c>
      <c r="C25" s="142" t="s">
        <v>43</v>
      </c>
      <c r="D25" s="142" t="s">
        <v>96</v>
      </c>
      <c r="E25" s="142" t="s">
        <v>25</v>
      </c>
      <c r="F25" s="142" t="s">
        <v>25</v>
      </c>
      <c r="G25" s="78" t="s">
        <v>83</v>
      </c>
      <c r="H25" s="78" t="s">
        <v>82</v>
      </c>
      <c r="I25" s="78">
        <f>'MERCADO TE'!$U$22</f>
        <v>0</v>
      </c>
      <c r="J25" s="15"/>
      <c r="L25" s="76">
        <f>'TR TE'!$L$25*'TR TE'!$L$49</f>
        <v>2.6517917925199566</v>
      </c>
      <c r="M25" s="76">
        <f>'TR TE'!$M$25*'TR TE'!$M$49</f>
        <v>24.692064133464225</v>
      </c>
      <c r="N25" s="76">
        <f>'TR TE'!$N$25*'TR TE'!$N$49</f>
        <v>0</v>
      </c>
      <c r="O25" s="76">
        <f>'TR TE'!$O$25*'TR TE'!$O$49</f>
        <v>8.9718368848644001</v>
      </c>
      <c r="P25" s="76">
        <f>'TR TE'!$P$25*'TR TE'!$P$49</f>
        <v>-19.041352758632303</v>
      </c>
      <c r="Q25" s="76">
        <f>SUM($L$25:$P$25)</f>
        <v>17.274340052216278</v>
      </c>
      <c r="R25" s="76">
        <f>'TR TE'!$R$25*'TR TE'!$R$49</f>
        <v>355.41012100279295</v>
      </c>
      <c r="S25" s="76">
        <f>SUM($R$25:$R$25)</f>
        <v>355.41012100279295</v>
      </c>
      <c r="T25" s="76">
        <f>'TR TE'!$T$25*'TR TE'!$T$49</f>
        <v>6.6437072712967078</v>
      </c>
      <c r="U25" s="76">
        <f>'TR TE'!$U$25*'TR TE'!$U$49</f>
        <v>4.6506776076920833</v>
      </c>
      <c r="V25" s="76">
        <f>'TR TE'!$V$25*'TR TE'!$V$49</f>
        <v>0</v>
      </c>
      <c r="W25" s="76">
        <f>SUM($T$25:$V$25)</f>
        <v>11.29438487898879</v>
      </c>
      <c r="X25" s="76"/>
      <c r="Y25" s="76">
        <f>SUM($X$25:$X$25)</f>
        <v>0</v>
      </c>
      <c r="Z25" s="76">
        <f>'TR TE'!$Z$25*'TR TE'!$Z$49</f>
        <v>6.3842067162654477</v>
      </c>
      <c r="AA25" s="76">
        <f>SUM($Z$25:$Z$25)</f>
        <v>6.3842067162654477</v>
      </c>
      <c r="AB25" s="76">
        <f>SUMIF($L$4:$AA$4,"SUBTOTAL",$L$25:$AA$25)</f>
        <v>390.36305265026351</v>
      </c>
    </row>
    <row r="26" spans="1:28" ht="11.25" customHeight="1" x14ac:dyDescent="0.25">
      <c r="A26" s="142"/>
      <c r="B26" s="142"/>
      <c r="C26" s="142"/>
      <c r="D26" s="142"/>
      <c r="E26" s="142"/>
      <c r="F26" s="142"/>
      <c r="G26" s="78" t="s">
        <v>93</v>
      </c>
      <c r="H26" s="78" t="s">
        <v>82</v>
      </c>
      <c r="I26" s="78">
        <f>'MERCADO TE'!$U$23</f>
        <v>0</v>
      </c>
      <c r="J26" s="15"/>
      <c r="L26" s="76">
        <f>'TR TE'!$L$26*'TR TE'!$L$49</f>
        <v>2.6517917925199566</v>
      </c>
      <c r="M26" s="76">
        <f>'TR TE'!$M$26*'TR TE'!$M$49</f>
        <v>24.692064133464225</v>
      </c>
      <c r="N26" s="76">
        <f>'TR TE'!$N$26*'TR TE'!$N$49</f>
        <v>0</v>
      </c>
      <c r="O26" s="76">
        <f>'TR TE'!$O$26*'TR TE'!$O$49</f>
        <v>8.9718368848644001</v>
      </c>
      <c r="P26" s="76">
        <f>'TR TE'!$P$26*'TR TE'!$P$49</f>
        <v>-19.041352758632303</v>
      </c>
      <c r="Q26" s="76">
        <f>SUM($L$26:$P$26)</f>
        <v>17.274340052216278</v>
      </c>
      <c r="R26" s="76">
        <f>'TR TE'!$R$26*'TR TE'!$R$49</f>
        <v>206.63379128069357</v>
      </c>
      <c r="S26" s="76">
        <f>SUM($R$26:$R$26)</f>
        <v>206.63379128069357</v>
      </c>
      <c r="T26" s="76">
        <f>'TR TE'!$T$26*'TR TE'!$T$49</f>
        <v>6.6437072712967078</v>
      </c>
      <c r="U26" s="76">
        <f>'TR TE'!$U$26*'TR TE'!$U$49</f>
        <v>4.6506776076920833</v>
      </c>
      <c r="V26" s="76">
        <f>'TR TE'!$V$26*'TR TE'!$V$49</f>
        <v>0</v>
      </c>
      <c r="W26" s="76">
        <f>SUM($T$26:$V$26)</f>
        <v>11.29438487898879</v>
      </c>
      <c r="X26" s="76"/>
      <c r="Y26" s="76">
        <f>SUM($X$26:$X$26)</f>
        <v>0</v>
      </c>
      <c r="Z26" s="76">
        <f>'TR TE'!$Z$26*'TR TE'!$Z$49</f>
        <v>6.3842067162654477</v>
      </c>
      <c r="AA26" s="76">
        <f>SUM($Z$26:$Z$26)</f>
        <v>6.3842067162654477</v>
      </c>
      <c r="AB26" s="76">
        <f>SUMIF($L$4:$AA$4,"SUBTOTAL",$L$26:$AA$26)</f>
        <v>241.58672292816408</v>
      </c>
    </row>
    <row r="27" spans="1:28" ht="11.25" customHeight="1" x14ac:dyDescent="0.25">
      <c r="A27" s="142"/>
      <c r="B27" s="142"/>
      <c r="C27" s="142"/>
      <c r="D27" s="142"/>
      <c r="E27" s="142"/>
      <c r="F27" s="142"/>
      <c r="G27" s="78" t="s">
        <v>84</v>
      </c>
      <c r="H27" s="78" t="s">
        <v>82</v>
      </c>
      <c r="I27" s="78">
        <f>'MERCADO TE'!$U$24</f>
        <v>0</v>
      </c>
      <c r="J27" s="15"/>
      <c r="L27" s="76">
        <f>'TR TE'!$L$27*'TR TE'!$L$49</f>
        <v>2.6517917925199566</v>
      </c>
      <c r="M27" s="76">
        <f>'TR TE'!$M$27*'TR TE'!$M$49</f>
        <v>24.692064133464225</v>
      </c>
      <c r="N27" s="76">
        <f>'TR TE'!$N$27*'TR TE'!$N$49</f>
        <v>0</v>
      </c>
      <c r="O27" s="76">
        <f>'TR TE'!$O$27*'TR TE'!$O$49</f>
        <v>8.9718368848644001</v>
      </c>
      <c r="P27" s="76">
        <f>'TR TE'!$P$27*'TR TE'!$P$49</f>
        <v>-19.041352758632303</v>
      </c>
      <c r="Q27" s="76">
        <f>SUM($L$27:$P$27)</f>
        <v>17.274340052216278</v>
      </c>
      <c r="R27" s="76">
        <f>'TR TE'!$R$27*'TR TE'!$R$49</f>
        <v>206.63379128069357</v>
      </c>
      <c r="S27" s="76">
        <f>SUM($R$27:$R$27)</f>
        <v>206.63379128069357</v>
      </c>
      <c r="T27" s="76">
        <f>'TR TE'!$T$27*'TR TE'!$T$49</f>
        <v>6.6437072712967078</v>
      </c>
      <c r="U27" s="76">
        <f>'TR TE'!$U$27*'TR TE'!$U$49</f>
        <v>4.6506776076920833</v>
      </c>
      <c r="V27" s="76">
        <f>'TR TE'!$V$27*'TR TE'!$V$49</f>
        <v>0</v>
      </c>
      <c r="W27" s="76">
        <f>SUM($T$27:$V$27)</f>
        <v>11.29438487898879</v>
      </c>
      <c r="X27" s="76"/>
      <c r="Y27" s="76">
        <f>SUM($X$27:$X$27)</f>
        <v>0</v>
      </c>
      <c r="Z27" s="76">
        <f>'TR TE'!$Z$27*'TR TE'!$Z$49</f>
        <v>6.3842067162654477</v>
      </c>
      <c r="AA27" s="76">
        <f>SUM($Z$27:$Z$27)</f>
        <v>6.3842067162654477</v>
      </c>
      <c r="AB27" s="76">
        <f>SUMIF($L$4:$AA$4,"SUBTOTAL",$L$27:$AA$27)</f>
        <v>241.58672292816408</v>
      </c>
    </row>
    <row r="28" spans="1:28" ht="11.25" customHeight="1" x14ac:dyDescent="0.25">
      <c r="A28" s="142"/>
      <c r="B28" s="79" t="s">
        <v>85</v>
      </c>
      <c r="C28" s="79" t="s">
        <v>43</v>
      </c>
      <c r="D28" s="79" t="s">
        <v>96</v>
      </c>
      <c r="E28" s="79" t="s">
        <v>25</v>
      </c>
      <c r="F28" s="79" t="s">
        <v>25</v>
      </c>
      <c r="G28" s="78" t="s">
        <v>86</v>
      </c>
      <c r="H28" s="78" t="s">
        <v>82</v>
      </c>
      <c r="I28" s="78">
        <f>'MERCADO TE'!$U$25</f>
        <v>0</v>
      </c>
      <c r="J28" s="15"/>
      <c r="L28" s="76">
        <f>'TR TE'!$L$28*'TR TE'!$L$49</f>
        <v>2.6517917925199566</v>
      </c>
      <c r="M28" s="76">
        <f>'TR TE'!$M$28*'TR TE'!$M$49</f>
        <v>24.692064133464225</v>
      </c>
      <c r="N28" s="76">
        <f>'TR TE'!$N$28*'TR TE'!$N$49</f>
        <v>0</v>
      </c>
      <c r="O28" s="76">
        <f>'TR TE'!$O$28*'TR TE'!$O$49</f>
        <v>8.9718368848644001</v>
      </c>
      <c r="P28" s="76">
        <f>'TR TE'!$P$28*'TR TE'!$P$49</f>
        <v>-19.041352758632303</v>
      </c>
      <c r="Q28" s="76">
        <f>SUM($L$28:$P$28)</f>
        <v>17.274340052216278</v>
      </c>
      <c r="R28" s="76">
        <f>'TR TE'!$R$28*'TR TE'!$R$49</f>
        <v>219.03181875753521</v>
      </c>
      <c r="S28" s="76">
        <f>SUM($R$28:$R$28)</f>
        <v>219.03181875753521</v>
      </c>
      <c r="T28" s="76">
        <f>'TR TE'!$T$28*'TR TE'!$T$49</f>
        <v>6.6437072712967078</v>
      </c>
      <c r="U28" s="76">
        <f>'TR TE'!$U$28*'TR TE'!$U$49</f>
        <v>4.6506776076920833</v>
      </c>
      <c r="V28" s="76">
        <f>'TR TE'!$V$28*'TR TE'!$V$49</f>
        <v>0</v>
      </c>
      <c r="W28" s="76">
        <f>SUM($T$28:$V$28)</f>
        <v>11.29438487898879</v>
      </c>
      <c r="X28" s="76"/>
      <c r="Y28" s="76">
        <f>SUM($X$28:$X$28)</f>
        <v>0</v>
      </c>
      <c r="Z28" s="76">
        <f>'TR TE'!$Z$28*'TR TE'!$Z$49</f>
        <v>6.3842067162654477</v>
      </c>
      <c r="AA28" s="76">
        <f>SUM($Z$28:$Z$28)</f>
        <v>6.3842067162654477</v>
      </c>
      <c r="AB28" s="76">
        <f>SUMIF($L$4:$AA$4,"SUBTOTAL",$L$28:$AA$28)</f>
        <v>253.98475040500571</v>
      </c>
    </row>
    <row r="29" spans="1:28" ht="11.25" customHeight="1" x14ac:dyDescent="0.25">
      <c r="A29" s="142"/>
      <c r="B29" s="142" t="s">
        <v>81</v>
      </c>
      <c r="C29" s="142" t="s">
        <v>43</v>
      </c>
      <c r="D29" s="142" t="s">
        <v>97</v>
      </c>
      <c r="E29" s="142" t="s">
        <v>25</v>
      </c>
      <c r="F29" s="142" t="s">
        <v>25</v>
      </c>
      <c r="G29" s="78" t="s">
        <v>83</v>
      </c>
      <c r="H29" s="78" t="s">
        <v>82</v>
      </c>
      <c r="I29" s="78">
        <f>'MERCADO TE'!$U$26</f>
        <v>0</v>
      </c>
      <c r="J29" s="15"/>
      <c r="L29" s="76">
        <f>'TR TE'!$L$29*'TR TE'!$L$49</f>
        <v>2.6517917925199566</v>
      </c>
      <c r="M29" s="76">
        <f>'TR TE'!$M$29*'TR TE'!$M$49</f>
        <v>24.692064133464225</v>
      </c>
      <c r="N29" s="76">
        <f>'TR TE'!$N$29*'TR TE'!$N$49</f>
        <v>0</v>
      </c>
      <c r="O29" s="76">
        <f>'TR TE'!$O$29*'TR TE'!$O$49</f>
        <v>8.9718368848644001</v>
      </c>
      <c r="P29" s="76">
        <f>'TR TE'!$P$29*'TR TE'!$P$49</f>
        <v>-19.041352758632303</v>
      </c>
      <c r="Q29" s="76">
        <f>SUM($L$29:$P$29)</f>
        <v>17.274340052216278</v>
      </c>
      <c r="R29" s="76">
        <f>'TR TE'!$R$29*'TR TE'!$R$49</f>
        <v>355.41012100279295</v>
      </c>
      <c r="S29" s="76">
        <f>SUM($R$29:$R$29)</f>
        <v>355.41012100279295</v>
      </c>
      <c r="T29" s="76">
        <f>'TR TE'!$T$29*'TR TE'!$T$49</f>
        <v>6.6437072712967078</v>
      </c>
      <c r="U29" s="76">
        <f>'TR TE'!$U$29*'TR TE'!$U$49</f>
        <v>4.6506776076920833</v>
      </c>
      <c r="V29" s="76">
        <f>'TR TE'!$V$29*'TR TE'!$V$49</f>
        <v>0</v>
      </c>
      <c r="W29" s="76">
        <f>SUM($T$29:$V$29)</f>
        <v>11.29438487898879</v>
      </c>
      <c r="X29" s="76"/>
      <c r="Y29" s="76">
        <f>SUM($X$29:$X$29)</f>
        <v>0</v>
      </c>
      <c r="Z29" s="76">
        <f>'TR TE'!$Z$29*'TR TE'!$Z$49</f>
        <v>6.3842067162654477</v>
      </c>
      <c r="AA29" s="76">
        <f>SUM($Z$29:$Z$29)</f>
        <v>6.3842067162654477</v>
      </c>
      <c r="AB29" s="76">
        <f>SUMIF($L$4:$AA$4,"SUBTOTAL",$L$29:$AA$29)</f>
        <v>390.36305265026351</v>
      </c>
    </row>
    <row r="30" spans="1:28" ht="11.25" customHeight="1" x14ac:dyDescent="0.25">
      <c r="A30" s="142"/>
      <c r="B30" s="142"/>
      <c r="C30" s="142"/>
      <c r="D30" s="142"/>
      <c r="E30" s="142"/>
      <c r="F30" s="142"/>
      <c r="G30" s="78" t="s">
        <v>93</v>
      </c>
      <c r="H30" s="78" t="s">
        <v>82</v>
      </c>
      <c r="I30" s="78">
        <f>'MERCADO TE'!$U$27</f>
        <v>0</v>
      </c>
      <c r="J30" s="15"/>
      <c r="L30" s="76">
        <f>'TR TE'!$L$30*'TR TE'!$L$49</f>
        <v>2.6517917925199566</v>
      </c>
      <c r="M30" s="76">
        <f>'TR TE'!$M$30*'TR TE'!$M$49</f>
        <v>24.692064133464225</v>
      </c>
      <c r="N30" s="76">
        <f>'TR TE'!$N$30*'TR TE'!$N$49</f>
        <v>0</v>
      </c>
      <c r="O30" s="76">
        <f>'TR TE'!$O$30*'TR TE'!$O$49</f>
        <v>8.9718368848644001</v>
      </c>
      <c r="P30" s="76">
        <f>'TR TE'!$P$30*'TR TE'!$P$49</f>
        <v>-19.041352758632303</v>
      </c>
      <c r="Q30" s="76">
        <f>SUM($L$30:$P$30)</f>
        <v>17.274340052216278</v>
      </c>
      <c r="R30" s="76">
        <f>'TR TE'!$R$30*'TR TE'!$R$49</f>
        <v>206.63379128069357</v>
      </c>
      <c r="S30" s="76">
        <f>SUM($R$30:$R$30)</f>
        <v>206.63379128069357</v>
      </c>
      <c r="T30" s="76">
        <f>'TR TE'!$T$30*'TR TE'!$T$49</f>
        <v>6.6437072712967078</v>
      </c>
      <c r="U30" s="76">
        <f>'TR TE'!$U$30*'TR TE'!$U$49</f>
        <v>4.6506776076920833</v>
      </c>
      <c r="V30" s="76">
        <f>'TR TE'!$V$30*'TR TE'!$V$49</f>
        <v>0</v>
      </c>
      <c r="W30" s="76">
        <f>SUM($T$30:$V$30)</f>
        <v>11.29438487898879</v>
      </c>
      <c r="X30" s="76"/>
      <c r="Y30" s="76">
        <f>SUM($X$30:$X$30)</f>
        <v>0</v>
      </c>
      <c r="Z30" s="76">
        <f>'TR TE'!$Z$30*'TR TE'!$Z$49</f>
        <v>6.3842067162654477</v>
      </c>
      <c r="AA30" s="76">
        <f>SUM($Z$30:$Z$30)</f>
        <v>6.3842067162654477</v>
      </c>
      <c r="AB30" s="76">
        <f>SUMIF($L$4:$AA$4,"SUBTOTAL",$L$30:$AA$30)</f>
        <v>241.58672292816408</v>
      </c>
    </row>
    <row r="31" spans="1:28" ht="11.25" customHeight="1" x14ac:dyDescent="0.25">
      <c r="A31" s="142"/>
      <c r="B31" s="142"/>
      <c r="C31" s="142"/>
      <c r="D31" s="142"/>
      <c r="E31" s="142"/>
      <c r="F31" s="142"/>
      <c r="G31" s="78" t="s">
        <v>84</v>
      </c>
      <c r="H31" s="78" t="s">
        <v>82</v>
      </c>
      <c r="I31" s="78">
        <f>'MERCADO TE'!$U$28</f>
        <v>0</v>
      </c>
      <c r="J31" s="15"/>
      <c r="L31" s="76">
        <f>'TR TE'!$L$31*'TR TE'!$L$49</f>
        <v>2.6517917925199566</v>
      </c>
      <c r="M31" s="76">
        <f>'TR TE'!$M$31*'TR TE'!$M$49</f>
        <v>24.692064133464225</v>
      </c>
      <c r="N31" s="76">
        <f>'TR TE'!$N$31*'TR TE'!$N$49</f>
        <v>0</v>
      </c>
      <c r="O31" s="76">
        <f>'TR TE'!$O$31*'TR TE'!$O$49</f>
        <v>8.9718368848644001</v>
      </c>
      <c r="P31" s="76">
        <f>'TR TE'!$P$31*'TR TE'!$P$49</f>
        <v>-19.041352758632303</v>
      </c>
      <c r="Q31" s="76">
        <f>SUM($L$31:$P$31)</f>
        <v>17.274340052216278</v>
      </c>
      <c r="R31" s="76">
        <f>'TR TE'!$R$31*'TR TE'!$R$49</f>
        <v>206.63379128069357</v>
      </c>
      <c r="S31" s="76">
        <f>SUM($R$31:$R$31)</f>
        <v>206.63379128069357</v>
      </c>
      <c r="T31" s="76">
        <f>'TR TE'!$T$31*'TR TE'!$T$49</f>
        <v>6.6437072712967078</v>
      </c>
      <c r="U31" s="76">
        <f>'TR TE'!$U$31*'TR TE'!$U$49</f>
        <v>4.6506776076920833</v>
      </c>
      <c r="V31" s="76">
        <f>'TR TE'!$V$31*'TR TE'!$V$49</f>
        <v>0</v>
      </c>
      <c r="W31" s="76">
        <f>SUM($T$31:$V$31)</f>
        <v>11.29438487898879</v>
      </c>
      <c r="X31" s="76"/>
      <c r="Y31" s="76">
        <f>SUM($X$31:$X$31)</f>
        <v>0</v>
      </c>
      <c r="Z31" s="76">
        <f>'TR TE'!$Z$31*'TR TE'!$Z$49</f>
        <v>6.3842067162654477</v>
      </c>
      <c r="AA31" s="76">
        <f>SUM($Z$31:$Z$31)</f>
        <v>6.3842067162654477</v>
      </c>
      <c r="AB31" s="76">
        <f>SUMIF($L$4:$AA$4,"SUBTOTAL",$L$31:$AA$31)</f>
        <v>241.58672292816408</v>
      </c>
    </row>
    <row r="32" spans="1:28" ht="11.25" customHeight="1" x14ac:dyDescent="0.25">
      <c r="A32" s="142"/>
      <c r="B32" s="79" t="s">
        <v>85</v>
      </c>
      <c r="C32" s="79" t="s">
        <v>43</v>
      </c>
      <c r="D32" s="79" t="s">
        <v>97</v>
      </c>
      <c r="E32" s="79" t="s">
        <v>25</v>
      </c>
      <c r="F32" s="79" t="s">
        <v>25</v>
      </c>
      <c r="G32" s="78" t="s">
        <v>86</v>
      </c>
      <c r="H32" s="78" t="s">
        <v>82</v>
      </c>
      <c r="I32" s="78">
        <f>'MERCADO TE'!$U$29</f>
        <v>0</v>
      </c>
      <c r="J32" s="15"/>
      <c r="L32" s="76">
        <f>'TR TE'!$L$32*'TR TE'!$L$49</f>
        <v>2.6517917925199566</v>
      </c>
      <c r="M32" s="76">
        <f>'TR TE'!$M$32*'TR TE'!$M$49</f>
        <v>24.692064133464225</v>
      </c>
      <c r="N32" s="76">
        <f>'TR TE'!$N$32*'TR TE'!$N$49</f>
        <v>0</v>
      </c>
      <c r="O32" s="76">
        <f>'TR TE'!$O$32*'TR TE'!$O$49</f>
        <v>8.9718368848644001</v>
      </c>
      <c r="P32" s="76">
        <f>'TR TE'!$P$32*'TR TE'!$P$49</f>
        <v>-19.041352758632303</v>
      </c>
      <c r="Q32" s="76">
        <f>SUM($L$32:$P$32)</f>
        <v>17.274340052216278</v>
      </c>
      <c r="R32" s="76">
        <f>'TR TE'!$R$32*'TR TE'!$R$49</f>
        <v>219.03181875753521</v>
      </c>
      <c r="S32" s="76">
        <f>SUM($R$32:$R$32)</f>
        <v>219.03181875753521</v>
      </c>
      <c r="T32" s="76">
        <f>'TR TE'!$T$32*'TR TE'!$T$49</f>
        <v>6.6437072712967078</v>
      </c>
      <c r="U32" s="76">
        <f>'TR TE'!$U$32*'TR TE'!$U$49</f>
        <v>4.6506776076920833</v>
      </c>
      <c r="V32" s="76">
        <f>'TR TE'!$V$32*'TR TE'!$V$49</f>
        <v>0</v>
      </c>
      <c r="W32" s="76">
        <f>SUM($T$32:$V$32)</f>
        <v>11.29438487898879</v>
      </c>
      <c r="X32" s="76"/>
      <c r="Y32" s="76">
        <f>SUM($X$32:$X$32)</f>
        <v>0</v>
      </c>
      <c r="Z32" s="76">
        <f>'TR TE'!$Z$32*'TR TE'!$Z$49</f>
        <v>6.3842067162654477</v>
      </c>
      <c r="AA32" s="76">
        <f>SUM($Z$32:$Z$32)</f>
        <v>6.3842067162654477</v>
      </c>
      <c r="AB32" s="76">
        <f>SUMIF($L$4:$AA$4,"SUBTOTAL",$L$32:$AA$32)</f>
        <v>253.98475040500571</v>
      </c>
    </row>
    <row r="33" spans="1:28" ht="11.25" customHeight="1" x14ac:dyDescent="0.25">
      <c r="A33" s="142"/>
      <c r="B33" s="142" t="s">
        <v>94</v>
      </c>
      <c r="C33" s="142" t="s">
        <v>43</v>
      </c>
      <c r="D33" s="79" t="s">
        <v>25</v>
      </c>
      <c r="E33" s="79" t="s">
        <v>25</v>
      </c>
      <c r="F33" s="79" t="s">
        <v>25</v>
      </c>
      <c r="G33" s="78" t="s">
        <v>86</v>
      </c>
      <c r="H33" s="78" t="s">
        <v>82</v>
      </c>
      <c r="I33" s="78">
        <f>'MERCADO TE'!$U$30</f>
        <v>0</v>
      </c>
      <c r="J33" s="15"/>
      <c r="L33" s="76">
        <f>'TR TE'!$L$33*'TR TE'!$L$49</f>
        <v>2.6517917925199566</v>
      </c>
      <c r="M33" s="76">
        <f>'TR TE'!$M$33*'TR TE'!$M$49</f>
        <v>24.692064133464225</v>
      </c>
      <c r="N33" s="76">
        <f>'TR TE'!$N$33*'TR TE'!$N$49</f>
        <v>0</v>
      </c>
      <c r="O33" s="76">
        <f>'TR TE'!$O$33*'TR TE'!$O$49</f>
        <v>8.9718368848644001</v>
      </c>
      <c r="P33" s="76">
        <f>'TR TE'!$P$33*'TR TE'!$P$49</f>
        <v>-19.041352758632303</v>
      </c>
      <c r="Q33" s="76">
        <f>SUM($L$33:$P$33)</f>
        <v>17.274340052216278</v>
      </c>
      <c r="R33" s="76">
        <f>'TR TE'!$R$33*'TR TE'!$R$49</f>
        <v>219.03181875753521</v>
      </c>
      <c r="S33" s="76">
        <f>SUM($R$33:$R$33)</f>
        <v>219.03181875753521</v>
      </c>
      <c r="T33" s="76">
        <f>'TR TE'!$T$33*'TR TE'!$T$49</f>
        <v>6.6437072712967078</v>
      </c>
      <c r="U33" s="76">
        <f>'TR TE'!$U$33*'TR TE'!$U$49</f>
        <v>4.6506776076920833</v>
      </c>
      <c r="V33" s="76">
        <f>'TR TE'!$V$33*'TR TE'!$V$49</f>
        <v>0</v>
      </c>
      <c r="W33" s="76">
        <f>SUM($T$33:$V$33)</f>
        <v>11.29438487898879</v>
      </c>
      <c r="X33" s="76"/>
      <c r="Y33" s="76">
        <f>SUM($X$33:$X$33)</f>
        <v>0</v>
      </c>
      <c r="Z33" s="76">
        <f>'TR TE'!$Z$33*'TR TE'!$Z$49</f>
        <v>6.3842067162654477</v>
      </c>
      <c r="AA33" s="76">
        <f>SUM($Z$33:$Z$33)</f>
        <v>6.3842067162654477</v>
      </c>
      <c r="AB33" s="76">
        <f>SUMIF($L$4:$AA$4,"SUBTOTAL",$L$33:$AA$33)</f>
        <v>253.98475040500571</v>
      </c>
    </row>
    <row r="34" spans="1:28" ht="11.25" customHeight="1" x14ac:dyDescent="0.25">
      <c r="A34" s="142"/>
      <c r="B34" s="142"/>
      <c r="C34" s="142"/>
      <c r="D34" s="79" t="s">
        <v>96</v>
      </c>
      <c r="E34" s="79" t="s">
        <v>25</v>
      </c>
      <c r="F34" s="79" t="s">
        <v>25</v>
      </c>
      <c r="G34" s="78" t="s">
        <v>86</v>
      </c>
      <c r="H34" s="78" t="s">
        <v>82</v>
      </c>
      <c r="I34" s="78">
        <f>'MERCADO TE'!$U$31</f>
        <v>0</v>
      </c>
      <c r="J34" s="15"/>
      <c r="L34" s="76">
        <f>'TR TE'!$L$34*'TR TE'!$L$49</f>
        <v>2.6517917925199566</v>
      </c>
      <c r="M34" s="76">
        <f>'TR TE'!$M$34*'TR TE'!$M$49</f>
        <v>24.692064133464225</v>
      </c>
      <c r="N34" s="76">
        <f>'TR TE'!$N$34*'TR TE'!$N$49</f>
        <v>0</v>
      </c>
      <c r="O34" s="76">
        <f>'TR TE'!$O$34*'TR TE'!$O$49</f>
        <v>8.9718368848644001</v>
      </c>
      <c r="P34" s="76">
        <f>'TR TE'!$P$34*'TR TE'!$P$49</f>
        <v>-19.041352758632303</v>
      </c>
      <c r="Q34" s="76">
        <f>SUM($L$34:$P$34)</f>
        <v>17.274340052216278</v>
      </c>
      <c r="R34" s="76">
        <f>'TR TE'!$R$34*'TR TE'!$R$49</f>
        <v>219.03181875753521</v>
      </c>
      <c r="S34" s="76">
        <f>SUM($R$34:$R$34)</f>
        <v>219.03181875753521</v>
      </c>
      <c r="T34" s="76">
        <f>'TR TE'!$T$34*'TR TE'!$T$49</f>
        <v>6.6437072712967078</v>
      </c>
      <c r="U34" s="76">
        <f>'TR TE'!$U$34*'TR TE'!$U$49</f>
        <v>4.6506776076920833</v>
      </c>
      <c r="V34" s="76">
        <f>'TR TE'!$V$34*'TR TE'!$V$49</f>
        <v>0</v>
      </c>
      <c r="W34" s="76">
        <f>SUM($T$34:$V$34)</f>
        <v>11.29438487898879</v>
      </c>
      <c r="X34" s="76"/>
      <c r="Y34" s="76">
        <f>SUM($X$34:$X$34)</f>
        <v>0</v>
      </c>
      <c r="Z34" s="76">
        <f>'TR TE'!$Z$34*'TR TE'!$Z$49</f>
        <v>6.3842067162654477</v>
      </c>
      <c r="AA34" s="76">
        <f>SUM($Z$34:$Z$34)</f>
        <v>6.3842067162654477</v>
      </c>
      <c r="AB34" s="76">
        <f>SUMIF($L$4:$AA$4,"SUBTOTAL",$L$34:$AA$34)</f>
        <v>253.98475040500571</v>
      </c>
    </row>
    <row r="35" spans="1:28" ht="11.25" customHeight="1" x14ac:dyDescent="0.25">
      <c r="A35" s="142"/>
      <c r="B35" s="142"/>
      <c r="C35" s="142"/>
      <c r="D35" s="79" t="s">
        <v>97</v>
      </c>
      <c r="E35" s="79" t="s">
        <v>25</v>
      </c>
      <c r="F35" s="79" t="s">
        <v>25</v>
      </c>
      <c r="G35" s="78" t="s">
        <v>86</v>
      </c>
      <c r="H35" s="78" t="s">
        <v>82</v>
      </c>
      <c r="I35" s="78">
        <f>'MERCADO TE'!$U$32</f>
        <v>0</v>
      </c>
      <c r="J35" s="15"/>
      <c r="L35" s="76">
        <f>'TR TE'!$L$35*'TR TE'!$L$49</f>
        <v>2.6517917925199566</v>
      </c>
      <c r="M35" s="76">
        <f>'TR TE'!$M$35*'TR TE'!$M$49</f>
        <v>24.692064133464225</v>
      </c>
      <c r="N35" s="76">
        <f>'TR TE'!$N$35*'TR TE'!$N$49</f>
        <v>0</v>
      </c>
      <c r="O35" s="76">
        <f>'TR TE'!$O$35*'TR TE'!$O$49</f>
        <v>8.9718368848644001</v>
      </c>
      <c r="P35" s="76">
        <f>'TR TE'!$P$35*'TR TE'!$P$49</f>
        <v>-19.041352758632303</v>
      </c>
      <c r="Q35" s="76">
        <f>SUM($L$35:$P$35)</f>
        <v>17.274340052216278</v>
      </c>
      <c r="R35" s="76">
        <f>'TR TE'!$R$35*'TR TE'!$R$49</f>
        <v>219.03181875753521</v>
      </c>
      <c r="S35" s="76">
        <f>SUM($R$35:$R$35)</f>
        <v>219.03181875753521</v>
      </c>
      <c r="T35" s="76">
        <f>'TR TE'!$T$35*'TR TE'!$T$49</f>
        <v>6.6437072712967078</v>
      </c>
      <c r="U35" s="76">
        <f>'TR TE'!$U$35*'TR TE'!$U$49</f>
        <v>4.6506776076920833</v>
      </c>
      <c r="V35" s="76">
        <f>'TR TE'!$V$35*'TR TE'!$V$49</f>
        <v>0</v>
      </c>
      <c r="W35" s="76">
        <f>SUM($T$35:$V$35)</f>
        <v>11.29438487898879</v>
      </c>
      <c r="X35" s="76"/>
      <c r="Y35" s="76">
        <f>SUM($X$35:$X$35)</f>
        <v>0</v>
      </c>
      <c r="Z35" s="76">
        <f>'TR TE'!$Z$35*'TR TE'!$Z$49</f>
        <v>6.3842067162654477</v>
      </c>
      <c r="AA35" s="76">
        <f>SUM($Z$35:$Z$35)</f>
        <v>6.3842067162654477</v>
      </c>
      <c r="AB35" s="76">
        <f>SUMIF($L$4:$AA$4,"SUBTOTAL",$L$35:$AA$35)</f>
        <v>253.98475040500571</v>
      </c>
    </row>
    <row r="36" spans="1:28" ht="11.25" customHeight="1" x14ac:dyDescent="0.25">
      <c r="A36" s="142" t="s">
        <v>36</v>
      </c>
      <c r="B36" s="142" t="s">
        <v>81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78" t="s">
        <v>83</v>
      </c>
      <c r="H36" s="78" t="s">
        <v>82</v>
      </c>
      <c r="I36" s="78">
        <f>'MERCADO TE'!$U$33</f>
        <v>20.471999999999998</v>
      </c>
      <c r="J36" s="15"/>
      <c r="L36" s="76">
        <f>'TR TE'!$L$36*'TR TE'!$L$49</f>
        <v>2.6517917925199566</v>
      </c>
      <c r="M36" s="76">
        <f>'TR TE'!$M$36*'TR TE'!$M$49</f>
        <v>24.692064133464225</v>
      </c>
      <c r="N36" s="76">
        <f>'TR TE'!$N$36*'TR TE'!$N$49</f>
        <v>0</v>
      </c>
      <c r="O36" s="76">
        <f>'TR TE'!$O$36*'TR TE'!$O$49</f>
        <v>8.9718368848644001</v>
      </c>
      <c r="P36" s="76">
        <f>'TR TE'!$P$36*'TR TE'!$P$49</f>
        <v>-19.041352758632303</v>
      </c>
      <c r="Q36" s="76">
        <f>SUM($L$36:$P$36)</f>
        <v>17.274340052216278</v>
      </c>
      <c r="R36" s="76">
        <f>'TR TE'!$R$36*'TR TE'!$R$49</f>
        <v>355.41012100279295</v>
      </c>
      <c r="S36" s="76">
        <f>SUM($R$36:$R$36)</f>
        <v>355.41012100279295</v>
      </c>
      <c r="T36" s="76">
        <f>'TR TE'!$T$36*'TR TE'!$T$49</f>
        <v>6.6437072712967078</v>
      </c>
      <c r="U36" s="76">
        <f>'TR TE'!$U$36*'TR TE'!$U$49</f>
        <v>4.6506776076920833</v>
      </c>
      <c r="V36" s="76">
        <f>'TR TE'!$V$36*'TR TE'!$V$49</f>
        <v>0</v>
      </c>
      <c r="W36" s="76">
        <f>SUM($T$36:$V$36)</f>
        <v>11.29438487898879</v>
      </c>
      <c r="X36" s="76"/>
      <c r="Y36" s="76">
        <f>SUM($X$36:$X$36)</f>
        <v>0</v>
      </c>
      <c r="Z36" s="76">
        <f>'TR TE'!$Z$36*'TR TE'!$Z$49</f>
        <v>6.3842067162654477</v>
      </c>
      <c r="AA36" s="76">
        <f>SUM($Z$36:$Z$36)</f>
        <v>6.3842067162654477</v>
      </c>
      <c r="AB36" s="76">
        <f>SUMIF($L$4:$AA$4,"SUBTOTAL",$L$36:$AA$36)</f>
        <v>390.36305265026351</v>
      </c>
    </row>
    <row r="37" spans="1:28" ht="11.25" customHeight="1" x14ac:dyDescent="0.25">
      <c r="A37" s="142"/>
      <c r="B37" s="142"/>
      <c r="C37" s="142"/>
      <c r="D37" s="142"/>
      <c r="E37" s="142"/>
      <c r="F37" s="142"/>
      <c r="G37" s="78" t="s">
        <v>93</v>
      </c>
      <c r="H37" s="78" t="s">
        <v>82</v>
      </c>
      <c r="I37" s="78">
        <f>'MERCADO TE'!$U$34</f>
        <v>16.687999999999999</v>
      </c>
      <c r="J37" s="15"/>
      <c r="L37" s="76">
        <f>'TR TE'!$L$37*'TR TE'!$L$49</f>
        <v>2.6517917925199566</v>
      </c>
      <c r="M37" s="76">
        <f>'TR TE'!$M$37*'TR TE'!$M$49</f>
        <v>24.692064133464225</v>
      </c>
      <c r="N37" s="76">
        <f>'TR TE'!$N$37*'TR TE'!$N$49</f>
        <v>0</v>
      </c>
      <c r="O37" s="76">
        <f>'TR TE'!$O$37*'TR TE'!$O$49</f>
        <v>8.9718368848644001</v>
      </c>
      <c r="P37" s="76">
        <f>'TR TE'!$P$37*'TR TE'!$P$49</f>
        <v>-19.041352758632303</v>
      </c>
      <c r="Q37" s="76">
        <f>SUM($L$37:$P$37)</f>
        <v>17.274340052216278</v>
      </c>
      <c r="R37" s="76">
        <f>'TR TE'!$R$37*'TR TE'!$R$49</f>
        <v>206.63379128069357</v>
      </c>
      <c r="S37" s="76">
        <f>SUM($R$37:$R$37)</f>
        <v>206.63379128069357</v>
      </c>
      <c r="T37" s="76">
        <f>'TR TE'!$T$37*'TR TE'!$T$49</f>
        <v>6.6437072712967078</v>
      </c>
      <c r="U37" s="76">
        <f>'TR TE'!$U$37*'TR TE'!$U$49</f>
        <v>4.6506776076920833</v>
      </c>
      <c r="V37" s="76">
        <f>'TR TE'!$V$37*'TR TE'!$V$49</f>
        <v>0</v>
      </c>
      <c r="W37" s="76">
        <f>SUM($T$37:$V$37)</f>
        <v>11.29438487898879</v>
      </c>
      <c r="X37" s="76"/>
      <c r="Y37" s="76">
        <f>SUM($X$37:$X$37)</f>
        <v>0</v>
      </c>
      <c r="Z37" s="76">
        <f>'TR TE'!$Z$37*'TR TE'!$Z$49</f>
        <v>6.3842067162654477</v>
      </c>
      <c r="AA37" s="76">
        <f>SUM($Z$37:$Z$37)</f>
        <v>6.3842067162654477</v>
      </c>
      <c r="AB37" s="76">
        <f>SUMIF($L$4:$AA$4,"SUBTOTAL",$L$37:$AA$37)</f>
        <v>241.58672292816408</v>
      </c>
    </row>
    <row r="38" spans="1:28" ht="11.25" customHeight="1" x14ac:dyDescent="0.25">
      <c r="A38" s="142"/>
      <c r="B38" s="142"/>
      <c r="C38" s="142"/>
      <c r="D38" s="142"/>
      <c r="E38" s="142"/>
      <c r="F38" s="142"/>
      <c r="G38" s="78" t="s">
        <v>84</v>
      </c>
      <c r="H38" s="78" t="s">
        <v>82</v>
      </c>
      <c r="I38" s="78">
        <f>'MERCADO TE'!$U$35</f>
        <v>216.36699999999999</v>
      </c>
      <c r="J38" s="15"/>
      <c r="L38" s="76">
        <f>'TR TE'!$L$38*'TR TE'!$L$49</f>
        <v>2.6517917925199566</v>
      </c>
      <c r="M38" s="76">
        <f>'TR TE'!$M$38*'TR TE'!$M$49</f>
        <v>24.692064133464225</v>
      </c>
      <c r="N38" s="76">
        <f>'TR TE'!$N$38*'TR TE'!$N$49</f>
        <v>0</v>
      </c>
      <c r="O38" s="76">
        <f>'TR TE'!$O$38*'TR TE'!$O$49</f>
        <v>8.9718368848644001</v>
      </c>
      <c r="P38" s="76">
        <f>'TR TE'!$P$38*'TR TE'!$P$49</f>
        <v>-19.041352758632303</v>
      </c>
      <c r="Q38" s="76">
        <f>SUM($L$38:$P$38)</f>
        <v>17.274340052216278</v>
      </c>
      <c r="R38" s="76">
        <f>'TR TE'!$R$38*'TR TE'!$R$49</f>
        <v>206.63379128069357</v>
      </c>
      <c r="S38" s="76">
        <f>SUM($R$38:$R$38)</f>
        <v>206.63379128069357</v>
      </c>
      <c r="T38" s="76">
        <f>'TR TE'!$T$38*'TR TE'!$T$49</f>
        <v>6.6437072712967078</v>
      </c>
      <c r="U38" s="76">
        <f>'TR TE'!$U$38*'TR TE'!$U$49</f>
        <v>4.6506776076920833</v>
      </c>
      <c r="V38" s="76">
        <f>'TR TE'!$V$38*'TR TE'!$V$49</f>
        <v>0</v>
      </c>
      <c r="W38" s="76">
        <f>SUM($T$38:$V$38)</f>
        <v>11.29438487898879</v>
      </c>
      <c r="X38" s="76"/>
      <c r="Y38" s="76">
        <f>SUM($X$38:$X$38)</f>
        <v>0</v>
      </c>
      <c r="Z38" s="76">
        <f>'TR TE'!$Z$38*'TR TE'!$Z$49</f>
        <v>6.3842067162654477</v>
      </c>
      <c r="AA38" s="76">
        <f>SUM($Z$38:$Z$38)</f>
        <v>6.3842067162654477</v>
      </c>
      <c r="AB38" s="76">
        <f>SUMIF($L$4:$AA$4,"SUBTOTAL",$L$38:$AA$38)</f>
        <v>241.58672292816408</v>
      </c>
    </row>
    <row r="39" spans="1:28" ht="11.25" customHeight="1" x14ac:dyDescent="0.25">
      <c r="A39" s="142"/>
      <c r="B39" s="79" t="s">
        <v>85</v>
      </c>
      <c r="C39" s="79" t="s">
        <v>25</v>
      </c>
      <c r="D39" s="79" t="s">
        <v>25</v>
      </c>
      <c r="E39" s="79" t="s">
        <v>25</v>
      </c>
      <c r="F39" s="79" t="s">
        <v>25</v>
      </c>
      <c r="G39" s="78" t="s">
        <v>86</v>
      </c>
      <c r="H39" s="78" t="s">
        <v>82</v>
      </c>
      <c r="I39" s="78">
        <f>'MERCADO TE'!$U$36</f>
        <v>26125.533000000003</v>
      </c>
      <c r="J39" s="15"/>
      <c r="L39" s="76">
        <f>'TR TE'!$L$39*'TR TE'!$L$49</f>
        <v>2.6517917925199566</v>
      </c>
      <c r="M39" s="76">
        <f>'TR TE'!$M$39*'TR TE'!$M$49</f>
        <v>24.692064133464225</v>
      </c>
      <c r="N39" s="76">
        <f>'TR TE'!$N$39*'TR TE'!$N$49</f>
        <v>0</v>
      </c>
      <c r="O39" s="76">
        <f>'TR TE'!$O$39*'TR TE'!$O$49</f>
        <v>8.9718368848644001</v>
      </c>
      <c r="P39" s="76">
        <f>'TR TE'!$P$39*'TR TE'!$P$49</f>
        <v>-19.041352758632303</v>
      </c>
      <c r="Q39" s="76">
        <f>SUM($L$39:$P$39)</f>
        <v>17.274340052216278</v>
      </c>
      <c r="R39" s="76">
        <f>'TR TE'!$R$39*'TR TE'!$R$49</f>
        <v>219.03181875753521</v>
      </c>
      <c r="S39" s="76">
        <f>SUM($R$39:$R$39)</f>
        <v>219.03181875753521</v>
      </c>
      <c r="T39" s="76">
        <f>'TR TE'!$T$39*'TR TE'!$T$49</f>
        <v>6.6437072712967078</v>
      </c>
      <c r="U39" s="76">
        <f>'TR TE'!$U$39*'TR TE'!$U$49</f>
        <v>4.6506776076920833</v>
      </c>
      <c r="V39" s="76">
        <f>'TR TE'!$V$39*'TR TE'!$V$49</f>
        <v>0</v>
      </c>
      <c r="W39" s="76">
        <f>SUM($T$39:$V$39)</f>
        <v>11.29438487898879</v>
      </c>
      <c r="X39" s="76"/>
      <c r="Y39" s="76">
        <f>SUM($X$39:$X$39)</f>
        <v>0</v>
      </c>
      <c r="Z39" s="76">
        <f>'TR TE'!$Z$39*'TR TE'!$Z$49</f>
        <v>6.3842067162654477</v>
      </c>
      <c r="AA39" s="76">
        <f>SUM($Z$39:$Z$39)</f>
        <v>6.3842067162654477</v>
      </c>
      <c r="AB39" s="76">
        <f>SUMIF($L$4:$AA$4,"SUBTOTAL",$L$39:$AA$39)</f>
        <v>253.98475040500571</v>
      </c>
    </row>
    <row r="40" spans="1:28" ht="11.25" customHeight="1" x14ac:dyDescent="0.25">
      <c r="A40" s="142"/>
      <c r="B40" s="79" t="s">
        <v>94</v>
      </c>
      <c r="C40" s="79" t="s">
        <v>25</v>
      </c>
      <c r="D40" s="79" t="s">
        <v>25</v>
      </c>
      <c r="E40" s="79" t="s">
        <v>25</v>
      </c>
      <c r="F40" s="79" t="s">
        <v>25</v>
      </c>
      <c r="G40" s="78" t="s">
        <v>86</v>
      </c>
      <c r="H40" s="78" t="s">
        <v>82</v>
      </c>
      <c r="I40" s="78">
        <f>'MERCADO TE'!$U$37</f>
        <v>0</v>
      </c>
      <c r="J40" s="15"/>
      <c r="L40" s="76">
        <f>'TR TE'!$L$40*'TR TE'!$L$49</f>
        <v>2.6517917925199566</v>
      </c>
      <c r="M40" s="76">
        <f>'TR TE'!$M$40*'TR TE'!$M$49</f>
        <v>24.692064133464225</v>
      </c>
      <c r="N40" s="76">
        <f>'TR TE'!$N$40*'TR TE'!$N$49</f>
        <v>0</v>
      </c>
      <c r="O40" s="76">
        <f>'TR TE'!$O$40*'TR TE'!$O$49</f>
        <v>8.9718368848644001</v>
      </c>
      <c r="P40" s="76">
        <f>'TR TE'!$P$40*'TR TE'!$P$49</f>
        <v>-19.041352758632303</v>
      </c>
      <c r="Q40" s="76">
        <f>SUM($L$40:$P$40)</f>
        <v>17.274340052216278</v>
      </c>
      <c r="R40" s="76">
        <f>'TR TE'!$R$40*'TR TE'!$R$49</f>
        <v>219.03181875753521</v>
      </c>
      <c r="S40" s="76">
        <f>SUM($R$40:$R$40)</f>
        <v>219.03181875753521</v>
      </c>
      <c r="T40" s="76">
        <f>'TR TE'!$T$40*'TR TE'!$T$49</f>
        <v>6.6437072712967078</v>
      </c>
      <c r="U40" s="76">
        <f>'TR TE'!$U$40*'TR TE'!$U$49</f>
        <v>4.6506776076920833</v>
      </c>
      <c r="V40" s="76">
        <f>'TR TE'!$V$40*'TR TE'!$V$49</f>
        <v>0</v>
      </c>
      <c r="W40" s="76">
        <f>SUM($T$40:$V$40)</f>
        <v>11.29438487898879</v>
      </c>
      <c r="X40" s="76"/>
      <c r="Y40" s="76">
        <f>SUM($X$40:$X$40)</f>
        <v>0</v>
      </c>
      <c r="Z40" s="76">
        <f>'TR TE'!$Z$40*'TR TE'!$Z$49</f>
        <v>6.3842067162654477</v>
      </c>
      <c r="AA40" s="76">
        <f>SUM($Z$40:$Z$40)</f>
        <v>6.3842067162654477</v>
      </c>
      <c r="AB40" s="76">
        <f>SUMIF($L$4:$AA$4,"SUBTOTAL",$L$40:$AA$40)</f>
        <v>253.98475040500571</v>
      </c>
    </row>
    <row r="41" spans="1:28" ht="11.25" customHeight="1" x14ac:dyDescent="0.25">
      <c r="A41" s="142" t="s">
        <v>45</v>
      </c>
      <c r="B41" s="142" t="s">
        <v>85</v>
      </c>
      <c r="C41" s="142" t="s">
        <v>46</v>
      </c>
      <c r="D41" s="79" t="s">
        <v>47</v>
      </c>
      <c r="E41" s="79" t="s">
        <v>25</v>
      </c>
      <c r="F41" s="79" t="s">
        <v>25</v>
      </c>
      <c r="G41" s="78" t="s">
        <v>86</v>
      </c>
      <c r="H41" s="78" t="s">
        <v>82</v>
      </c>
      <c r="I41" s="78">
        <f>'MERCADO TE'!$U$38</f>
        <v>5474.732</v>
      </c>
      <c r="J41" s="15"/>
      <c r="L41" s="76">
        <f>'TR TE'!$L$41*'TR TE'!$L$49</f>
        <v>1.4584854858859762</v>
      </c>
      <c r="M41" s="76">
        <f>'TR TE'!$M$41*'TR TE'!$M$49</f>
        <v>13.580635273405324</v>
      </c>
      <c r="N41" s="76">
        <f>'TR TE'!$N$41*'TR TE'!$N$49</f>
        <v>0</v>
      </c>
      <c r="O41" s="76">
        <f>'TR TE'!$O$41*'TR TE'!$O$49</f>
        <v>4.9345102866754207</v>
      </c>
      <c r="P41" s="76">
        <f>'TR TE'!$P$41*'TR TE'!$P$49</f>
        <v>-10.472744017247768</v>
      </c>
      <c r="Q41" s="76">
        <f>SUM($L$41:$P$41)</f>
        <v>9.5008870287189513</v>
      </c>
      <c r="R41" s="76">
        <f>'TR TE'!$R$41*'TR TE'!$R$49</f>
        <v>120.46750031664436</v>
      </c>
      <c r="S41" s="76">
        <f>SUM($R$41:$R$41)</f>
        <v>120.46750031664436</v>
      </c>
      <c r="T41" s="76">
        <f>'TR TE'!$T$41*'TR TE'!$T$49</f>
        <v>3.6540389992131894</v>
      </c>
      <c r="U41" s="76">
        <f>'TR TE'!$U$41*'TR TE'!$U$49</f>
        <v>2.5578726842306461</v>
      </c>
      <c r="V41" s="76">
        <f>'TR TE'!$V$41*'TR TE'!$V$49</f>
        <v>0</v>
      </c>
      <c r="W41" s="76">
        <f>SUM($T$41:$V$41)</f>
        <v>6.2119116834438355</v>
      </c>
      <c r="X41" s="76"/>
      <c r="Y41" s="76">
        <f>SUM($X$41:$X$41)</f>
        <v>0</v>
      </c>
      <c r="Z41" s="76">
        <f>'TR TE'!$Z$41*'TR TE'!$Z$49</f>
        <v>3.5113136939459966</v>
      </c>
      <c r="AA41" s="76">
        <f>SUM($Z$41:$Z$41)</f>
        <v>3.5113136939459966</v>
      </c>
      <c r="AB41" s="76">
        <f>SUMIF($L$4:$AA$4,"SUBTOTAL",$L$41:$AA$41)</f>
        <v>139.69161272275315</v>
      </c>
    </row>
    <row r="42" spans="1:28" ht="11.25" customHeight="1" x14ac:dyDescent="0.25">
      <c r="A42" s="142"/>
      <c r="B42" s="142"/>
      <c r="C42" s="142"/>
      <c r="D42" s="78" t="s">
        <v>98</v>
      </c>
      <c r="E42" s="78" t="s">
        <v>25</v>
      </c>
      <c r="F42" s="78" t="s">
        <v>25</v>
      </c>
      <c r="G42" s="78" t="s">
        <v>86</v>
      </c>
      <c r="H42" s="78" t="s">
        <v>82</v>
      </c>
      <c r="I42" s="78">
        <f>'MERCADO TE'!$U$39</f>
        <v>0</v>
      </c>
      <c r="J42" s="15"/>
      <c r="L42" s="76">
        <f>'TR TE'!$L$42*'TR TE'!$L$49</f>
        <v>1.5910750755119738</v>
      </c>
      <c r="M42" s="76">
        <f>'TR TE'!$M$42*'TR TE'!$M$49</f>
        <v>14.815238480078534</v>
      </c>
      <c r="N42" s="76">
        <f>'TR TE'!$N$42*'TR TE'!$N$49</f>
        <v>0</v>
      </c>
      <c r="O42" s="76">
        <f>'TR TE'!$O$42*'TR TE'!$O$49</f>
        <v>5.3831021309186395</v>
      </c>
      <c r="P42" s="76">
        <f>'TR TE'!$P$42*'TR TE'!$P$49</f>
        <v>-11.424811655179381</v>
      </c>
      <c r="Q42" s="76">
        <f>SUM($L$42:$P$42)</f>
        <v>10.364604031329767</v>
      </c>
      <c r="R42" s="76">
        <f>'TR TE'!$R$42*'TR TE'!$R$49</f>
        <v>131.41909125452111</v>
      </c>
      <c r="S42" s="76">
        <f>SUM($R$42:$R$42)</f>
        <v>131.41909125452111</v>
      </c>
      <c r="T42" s="76">
        <f>'TR TE'!$T$42*'TR TE'!$T$49</f>
        <v>3.9862243627780245</v>
      </c>
      <c r="U42" s="76">
        <f>'TR TE'!$U$42*'TR TE'!$U$49</f>
        <v>2.7904065646152501</v>
      </c>
      <c r="V42" s="76">
        <f>'TR TE'!$V$42*'TR TE'!$V$49</f>
        <v>0</v>
      </c>
      <c r="W42" s="76">
        <f>SUM($T$42:$V$42)</f>
        <v>6.7766309273932741</v>
      </c>
      <c r="X42" s="76"/>
      <c r="Y42" s="76">
        <f>SUM($X$42:$X$42)</f>
        <v>0</v>
      </c>
      <c r="Z42" s="76">
        <f>'TR TE'!$Z$42*'TR TE'!$Z$49</f>
        <v>3.8305240297592684</v>
      </c>
      <c r="AA42" s="76">
        <f>SUM($Z$42:$Z$42)</f>
        <v>3.8305240297592684</v>
      </c>
      <c r="AB42" s="76">
        <f>SUMIF($L$4:$AA$4,"SUBTOTAL",$L$42:$AA$42)</f>
        <v>152.39085024300343</v>
      </c>
    </row>
    <row r="44" spans="1:28" ht="11.25" customHeight="1" x14ac:dyDescent="0.25">
      <c r="K44" s="81" t="s">
        <v>668</v>
      </c>
      <c r="L44" s="76">
        <f t="shared" ref="L44:AB44" si="0">SUMPRODUCT($I$5:$I$42,L$5:L$42)</f>
        <v>380193.1346656839</v>
      </c>
      <c r="M44" s="76">
        <f t="shared" si="0"/>
        <v>3540154.7326409174</v>
      </c>
      <c r="N44" s="76">
        <f t="shared" si="0"/>
        <v>0</v>
      </c>
      <c r="O44" s="76">
        <f t="shared" si="0"/>
        <v>1286311.6925648036</v>
      </c>
      <c r="P44" s="76">
        <f t="shared" si="0"/>
        <v>-2730000.0000000005</v>
      </c>
      <c r="Q44" s="76">
        <f t="shared" si="0"/>
        <v>2476659.5598714049</v>
      </c>
      <c r="R44" s="76">
        <f t="shared" si="0"/>
        <v>31323047.97811934</v>
      </c>
      <c r="S44" s="76">
        <f t="shared" si="0"/>
        <v>31323047.97811934</v>
      </c>
      <c r="T44" s="76">
        <f t="shared" si="0"/>
        <v>952522.70574198291</v>
      </c>
      <c r="U44" s="76">
        <f t="shared" si="0"/>
        <v>666777.72477291897</v>
      </c>
      <c r="V44" s="76">
        <f t="shared" si="0"/>
        <v>0</v>
      </c>
      <c r="W44" s="76">
        <f t="shared" si="0"/>
        <v>1619300.4305149014</v>
      </c>
      <c r="X44" s="76">
        <f t="shared" si="0"/>
        <v>0</v>
      </c>
      <c r="Y44" s="76">
        <f t="shared" si="0"/>
        <v>0</v>
      </c>
      <c r="Z44" s="76">
        <f t="shared" si="0"/>
        <v>915317.54893324873</v>
      </c>
      <c r="AA44" s="76">
        <f t="shared" si="0"/>
        <v>915317.54893324873</v>
      </c>
      <c r="AB44" s="76">
        <f t="shared" si="0"/>
        <v>36334325.517438889</v>
      </c>
    </row>
    <row r="45" spans="1:28" ht="11.25" customHeight="1" x14ac:dyDescent="0.25">
      <c r="K45" s="81" t="s">
        <v>604</v>
      </c>
      <c r="L45" s="76">
        <f>CUSTOS!$D$30</f>
        <v>380193.13466568384</v>
      </c>
      <c r="M45" s="76">
        <f>CUSTOS!$D$31</f>
        <v>3540154.7326409174</v>
      </c>
      <c r="N45" s="76">
        <f>CUSTOS!$D$32</f>
        <v>0</v>
      </c>
      <c r="O45" s="76">
        <f>CUSTOS!$D$33</f>
        <v>1286311.6925648036</v>
      </c>
      <c r="P45" s="76">
        <f>CUSTOS!$D$34</f>
        <v>-2730000</v>
      </c>
      <c r="Q45" s="76">
        <f>CUSTOS!$D$35</f>
        <v>2476659.5598714054</v>
      </c>
      <c r="R45" s="76">
        <f>CUSTOS!$D$36</f>
        <v>31323047.97811934</v>
      </c>
      <c r="S45" s="76">
        <f>CUSTOS!$D$37</f>
        <v>31323047.97811934</v>
      </c>
      <c r="T45" s="76">
        <f>CUSTOS!$D$38</f>
        <v>952522.70574198291</v>
      </c>
      <c r="U45" s="76">
        <f>CUSTOS!$D$39</f>
        <v>666777.72477291885</v>
      </c>
      <c r="V45" s="76">
        <f>CUSTOS!$D$40</f>
        <v>0</v>
      </c>
      <c r="W45" s="76">
        <f>CUSTOS!$D$41</f>
        <v>1619300.4305149019</v>
      </c>
      <c r="X45" s="76">
        <f>CUSTOS!$D$42</f>
        <v>0</v>
      </c>
      <c r="Y45" s="76">
        <f>CUSTOS!$D$43</f>
        <v>0</v>
      </c>
      <c r="Z45" s="76">
        <f>CUSTOS!$D$44</f>
        <v>915317.54893324873</v>
      </c>
      <c r="AA45" s="76">
        <f>CUSTOS!$D$45</f>
        <v>915317.54893324873</v>
      </c>
      <c r="AB45" s="76">
        <f>CUSTOS!$D$46</f>
        <v>36334325.517438896</v>
      </c>
    </row>
    <row r="46" spans="1:28" ht="11.25" customHeight="1" x14ac:dyDescent="0.25">
      <c r="K46" s="81" t="s">
        <v>605</v>
      </c>
      <c r="L46" s="76">
        <f>CUSTOS!$E$30</f>
        <v>4.3780460810177056E-6</v>
      </c>
      <c r="M46" s="76">
        <f>CUSTOS!$E$31</f>
        <v>-2035895.6828898285</v>
      </c>
      <c r="N46" s="76">
        <f>CUSTOS!$E$32</f>
        <v>0</v>
      </c>
      <c r="O46" s="76">
        <f>CUSTOS!$E$33</f>
        <v>26862.969905276041</v>
      </c>
      <c r="P46" s="76">
        <f>CUSTOS!$E$34</f>
        <v>0</v>
      </c>
      <c r="Q46" s="76">
        <f>CUSTOS!$E$35</f>
        <v>-2009032.7129801742</v>
      </c>
      <c r="R46" s="76">
        <f>CUSTOS!$E$36</f>
        <v>-871301.0648683951</v>
      </c>
      <c r="S46" s="76">
        <f>CUSTOS!$E$37</f>
        <v>-871301.0648683951</v>
      </c>
      <c r="T46" s="76">
        <f>CUSTOS!$E$38</f>
        <v>84574.565464148531</v>
      </c>
      <c r="U46" s="76">
        <f>CUSTOS!$E$39</f>
        <v>90445.106924342981</v>
      </c>
      <c r="V46" s="76">
        <f>CUSTOS!$E$40</f>
        <v>0</v>
      </c>
      <c r="W46" s="76">
        <f>CUSTOS!$E$41</f>
        <v>175019.67238849151</v>
      </c>
      <c r="X46" s="76">
        <f>CUSTOS!$E$42</f>
        <v>-6785828.7622725684</v>
      </c>
      <c r="Y46" s="76">
        <f>CUSTOS!$E$43</f>
        <v>-6785828.7622725684</v>
      </c>
      <c r="Z46" s="76">
        <f>CUSTOS!$E$44</f>
        <v>-25461.032899332571</v>
      </c>
      <c r="AA46" s="76">
        <f>CUSTOS!$E$45</f>
        <v>-25461.032899332571</v>
      </c>
      <c r="AB46" s="76">
        <f>CUSTOS!$E$46</f>
        <v>-9516603.9006319791</v>
      </c>
    </row>
    <row r="47" spans="1:28" ht="11.25" customHeight="1" x14ac:dyDescent="0.25">
      <c r="K47" s="81" t="s">
        <v>606</v>
      </c>
      <c r="L47" s="76">
        <f>CUSTOS!$F$30</f>
        <v>0</v>
      </c>
      <c r="M47" s="76">
        <f>CUSTOS!$F$31</f>
        <v>2049587.6786991188</v>
      </c>
      <c r="N47" s="76">
        <f>CUSTOS!$F$32</f>
        <v>0</v>
      </c>
      <c r="O47" s="76">
        <f>CUSTOS!$F$33</f>
        <v>84381.856306970352</v>
      </c>
      <c r="P47" s="76">
        <f>CUSTOS!$F$34</f>
        <v>0</v>
      </c>
      <c r="Q47" s="76">
        <f>CUSTOS!$F$35</f>
        <v>2133969.5350060891</v>
      </c>
      <c r="R47" s="76">
        <f>CUSTOS!$F$36</f>
        <v>3641266.6538955159</v>
      </c>
      <c r="S47" s="76">
        <f>CUSTOS!$F$37</f>
        <v>3641266.6538955159</v>
      </c>
      <c r="T47" s="76">
        <f>CUSTOS!$F$38</f>
        <v>236789.4070889373</v>
      </c>
      <c r="U47" s="76">
        <f>CUSTOS!$F$39</f>
        <v>50823.597272611893</v>
      </c>
      <c r="V47" s="76">
        <f>CUSTOS!$F$40</f>
        <v>0</v>
      </c>
      <c r="W47" s="76">
        <f>CUSTOS!$F$41</f>
        <v>287613.00436154916</v>
      </c>
      <c r="X47" s="76">
        <f>CUSTOS!$F$42</f>
        <v>0</v>
      </c>
      <c r="Y47" s="76">
        <f>CUSTOS!$F$43</f>
        <v>0</v>
      </c>
      <c r="Z47" s="76">
        <f>CUSTOS!$F$44</f>
        <v>106404.56417217819</v>
      </c>
      <c r="AA47" s="76">
        <f>CUSTOS!$F$45</f>
        <v>106404.56417217819</v>
      </c>
      <c r="AB47" s="76">
        <f>CUSTOS!$F$46</f>
        <v>6169253.757435333</v>
      </c>
    </row>
    <row r="48" spans="1:28" ht="11.25" customHeight="1" x14ac:dyDescent="0.25">
      <c r="K48" s="81" t="s">
        <v>669</v>
      </c>
      <c r="L48" s="76">
        <f>'TR TE'!$L$48*L49</f>
        <v>3.0536234367108361E-11</v>
      </c>
      <c r="M48" s="76">
        <f>'TR TE'!$M$48*M49</f>
        <v>-14.200076145671</v>
      </c>
      <c r="N48" s="76">
        <f>'TR TE'!$N$48*N49</f>
        <v>0</v>
      </c>
      <c r="O48" s="76">
        <f>'TR TE'!$O$48*O49</f>
        <v>0.18736530626772324</v>
      </c>
      <c r="P48" s="76">
        <f>'TR TE'!$P$48*P49</f>
        <v>0</v>
      </c>
      <c r="Q48" s="76"/>
      <c r="R48" s="76">
        <f>'TR TE'!$R$48*R49</f>
        <v>-6.1030476821286692</v>
      </c>
      <c r="S48" s="76"/>
      <c r="T48" s="76">
        <f>'TR TE'!$T$48*T49</f>
        <v>0.58989528769629773</v>
      </c>
      <c r="U48" s="76">
        <f>'TR TE'!$U$48*U49</f>
        <v>0.63084146016067089</v>
      </c>
      <c r="V48" s="76">
        <f>'TR TE'!$V$48*V49</f>
        <v>0</v>
      </c>
      <c r="W48" s="76"/>
      <c r="X48" s="76"/>
      <c r="Y48" s="76"/>
      <c r="Z48" s="76">
        <f>'TR TE'!$Z$48*Z49</f>
        <v>-0.17758699964664251</v>
      </c>
      <c r="AA48" s="76"/>
      <c r="AB48" s="76"/>
    </row>
    <row r="49" spans="11:28" ht="11.25" customHeight="1" x14ac:dyDescent="0.25">
      <c r="K49" s="81" t="s">
        <v>662</v>
      </c>
      <c r="L49" s="76">
        <f>IF(L45&lt;&gt;0,L46/L45,0)</f>
        <v>1.151532124552292E-11</v>
      </c>
      <c r="M49" s="76">
        <f>IF(M45&lt;&gt;0,M46/M45,0)</f>
        <v>-0.57508663791400783</v>
      </c>
      <c r="N49" s="76">
        <f>IF(N45&lt;&gt;0,N46/N45,0)</f>
        <v>0</v>
      </c>
      <c r="O49" s="76">
        <f>IF(O45&lt;&gt;0,O46/O45,0)</f>
        <v>2.088371742288481E-2</v>
      </c>
      <c r="P49" s="76">
        <f>IF(P45&lt;&gt;0,P46/P45,0)</f>
        <v>0</v>
      </c>
      <c r="Q49" s="76"/>
      <c r="R49" s="76">
        <f>IF(R45&lt;&gt;0,R46/R45,0)</f>
        <v>-2.781661176386924E-2</v>
      </c>
      <c r="S49" s="76"/>
      <c r="T49" s="76">
        <f>IF(T45&lt;&gt;0,T46/T45,0)</f>
        <v>8.8790078130754693E-2</v>
      </c>
      <c r="U49" s="76">
        <f>IF(U45&lt;&gt;0,U46/U45,0)</f>
        <v>0.13564506366067555</v>
      </c>
      <c r="V49" s="76">
        <f>IF(V45&lt;&gt;0,V46/V45,0)</f>
        <v>0</v>
      </c>
      <c r="W49" s="76"/>
      <c r="X49" s="76">
        <f>IF(($AB45-0)&lt;&gt;0,X46/($AB45-0),0)</f>
        <v>-0.18676082920586115</v>
      </c>
      <c r="Y49" s="76"/>
      <c r="Z49" s="76">
        <f>IF(Z45&lt;&gt;0,Z46/Z45,0)</f>
        <v>-2.7816611763869247E-2</v>
      </c>
      <c r="AA49" s="76"/>
      <c r="AB49" s="76"/>
    </row>
    <row r="50" spans="11:28" ht="11.25" customHeight="1" x14ac:dyDescent="0.25">
      <c r="K50" s="81" t="s">
        <v>671</v>
      </c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1125" priority="33" operator="notEqual">
      <formula>$L$45</formula>
    </cfRule>
    <cfRule type="cellIs" dxfId="1124" priority="34" operator="equal">
      <formula>$L$45</formula>
    </cfRule>
  </conditionalFormatting>
  <conditionalFormatting sqref="M44">
    <cfRule type="cellIs" dxfId="1123" priority="31" operator="notEqual">
      <formula>$M$45</formula>
    </cfRule>
    <cfRule type="cellIs" dxfId="1122" priority="32" operator="equal">
      <formula>$M$45</formula>
    </cfRule>
  </conditionalFormatting>
  <conditionalFormatting sqref="N44">
    <cfRule type="cellIs" dxfId="1121" priority="29" operator="notEqual">
      <formula>$N$45</formula>
    </cfRule>
    <cfRule type="cellIs" dxfId="1120" priority="30" operator="equal">
      <formula>$N$45</formula>
    </cfRule>
  </conditionalFormatting>
  <conditionalFormatting sqref="O44">
    <cfRule type="cellIs" dxfId="1119" priority="27" operator="notEqual">
      <formula>$O$45</formula>
    </cfRule>
    <cfRule type="cellIs" dxfId="1118" priority="28" operator="equal">
      <formula>$O$45</formula>
    </cfRule>
  </conditionalFormatting>
  <conditionalFormatting sqref="P44">
    <cfRule type="cellIs" dxfId="1117" priority="25" operator="notEqual">
      <formula>$P$45</formula>
    </cfRule>
    <cfRule type="cellIs" dxfId="1116" priority="26" operator="equal">
      <formula>$P$45</formula>
    </cfRule>
  </conditionalFormatting>
  <conditionalFormatting sqref="Q44">
    <cfRule type="cellIs" dxfId="1115" priority="23" operator="notEqual">
      <formula>$Q$45</formula>
    </cfRule>
    <cfRule type="cellIs" dxfId="1114" priority="24" operator="equal">
      <formula>$Q$45</formula>
    </cfRule>
  </conditionalFormatting>
  <conditionalFormatting sqref="R44">
    <cfRule type="cellIs" dxfId="1113" priority="21" operator="notEqual">
      <formula>$R$45</formula>
    </cfRule>
    <cfRule type="cellIs" dxfId="1112" priority="22" operator="equal">
      <formula>$R$45</formula>
    </cfRule>
  </conditionalFormatting>
  <conditionalFormatting sqref="S44">
    <cfRule type="cellIs" dxfId="1111" priority="19" operator="notEqual">
      <formula>$S$45</formula>
    </cfRule>
    <cfRule type="cellIs" dxfId="1110" priority="20" operator="equal">
      <formula>$S$45</formula>
    </cfRule>
  </conditionalFormatting>
  <conditionalFormatting sqref="T44">
    <cfRule type="cellIs" dxfId="1109" priority="17" operator="notEqual">
      <formula>$T$45</formula>
    </cfRule>
    <cfRule type="cellIs" dxfId="1108" priority="18" operator="equal">
      <formula>$T$45</formula>
    </cfRule>
  </conditionalFormatting>
  <conditionalFormatting sqref="U44">
    <cfRule type="cellIs" dxfId="1107" priority="15" operator="notEqual">
      <formula>$U$45</formula>
    </cfRule>
    <cfRule type="cellIs" dxfId="1106" priority="16" operator="equal">
      <formula>$U$45</formula>
    </cfRule>
  </conditionalFormatting>
  <conditionalFormatting sqref="V44">
    <cfRule type="cellIs" dxfId="1105" priority="13" operator="notEqual">
      <formula>$V$45</formula>
    </cfRule>
    <cfRule type="cellIs" dxfId="1104" priority="14" operator="equal">
      <formula>$V$45</formula>
    </cfRule>
  </conditionalFormatting>
  <conditionalFormatting sqref="W44">
    <cfRule type="cellIs" dxfId="1103" priority="11" operator="notEqual">
      <formula>$W$45</formula>
    </cfRule>
    <cfRule type="cellIs" dxfId="1102" priority="12" operator="equal">
      <formula>$W$45</formula>
    </cfRule>
  </conditionalFormatting>
  <conditionalFormatting sqref="X44">
    <cfRule type="cellIs" dxfId="1101" priority="9" operator="notEqual">
      <formula>$X$45</formula>
    </cfRule>
    <cfRule type="cellIs" dxfId="1100" priority="10" operator="equal">
      <formula>$X$45</formula>
    </cfRule>
  </conditionalFormatting>
  <conditionalFormatting sqref="Y44">
    <cfRule type="cellIs" dxfId="1099" priority="7" operator="notEqual">
      <formula>$Y$45</formula>
    </cfRule>
    <cfRule type="cellIs" dxfId="1098" priority="8" operator="equal">
      <formula>$Y$45</formula>
    </cfRule>
  </conditionalFormatting>
  <conditionalFormatting sqref="Z44">
    <cfRule type="cellIs" dxfId="1097" priority="5" operator="notEqual">
      <formula>$Z$45</formula>
    </cfRule>
    <cfRule type="cellIs" dxfId="1096" priority="6" operator="equal">
      <formula>$Z$45</formula>
    </cfRule>
  </conditionalFormatting>
  <conditionalFormatting sqref="AA44">
    <cfRule type="cellIs" dxfId="1095" priority="3" operator="notEqual">
      <formula>$AA$45</formula>
    </cfRule>
    <cfRule type="cellIs" dxfId="1094" priority="4" operator="equal">
      <formula>$AA$45</formula>
    </cfRule>
  </conditionalFormatting>
  <conditionalFormatting sqref="AB44">
    <cfRule type="cellIs" dxfId="1093" priority="1" operator="notEqual">
      <formula>$AB$45</formula>
    </cfRule>
    <cfRule type="cellIs" dxfId="1092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388D7-F1B3-431F-9A46-6581EAA4844D}">
  <dimension ref="A1:AB50"/>
  <sheetViews>
    <sheetView showGridLines="0" topLeftCell="L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1" t="s">
        <v>71</v>
      </c>
      <c r="B1" s="141" t="s">
        <v>72</v>
      </c>
      <c r="C1" s="141" t="s">
        <v>73</v>
      </c>
      <c r="D1" s="141" t="s">
        <v>74</v>
      </c>
      <c r="E1" s="141" t="s">
        <v>75</v>
      </c>
      <c r="F1" s="141" t="s">
        <v>15</v>
      </c>
      <c r="G1" s="141" t="s">
        <v>77</v>
      </c>
      <c r="H1" s="141" t="s">
        <v>78</v>
      </c>
      <c r="I1" s="141" t="s">
        <v>652</v>
      </c>
      <c r="J1" s="125"/>
      <c r="L1" s="139" t="s">
        <v>673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spans="1:28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5"/>
      <c r="L2" s="139" t="s">
        <v>590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spans="1:28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5"/>
      <c r="L3" s="139" t="s">
        <v>563</v>
      </c>
      <c r="M3" s="139"/>
      <c r="N3" s="139"/>
      <c r="O3" s="139"/>
      <c r="P3" s="139"/>
      <c r="Q3" s="139"/>
      <c r="R3" s="139" t="s">
        <v>594</v>
      </c>
      <c r="S3" s="139"/>
      <c r="T3" s="139" t="s">
        <v>572</v>
      </c>
      <c r="U3" s="139"/>
      <c r="V3" s="139"/>
      <c r="W3" s="139"/>
      <c r="X3" s="139" t="s">
        <v>582</v>
      </c>
      <c r="Y3" s="139"/>
      <c r="Z3" s="139" t="s">
        <v>585</v>
      </c>
      <c r="AA3" s="139"/>
      <c r="AB3" s="139" t="s">
        <v>571</v>
      </c>
    </row>
    <row r="4" spans="1:28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5"/>
      <c r="L4" s="80" t="s">
        <v>565</v>
      </c>
      <c r="M4" s="80" t="s">
        <v>591</v>
      </c>
      <c r="N4" s="80" t="s">
        <v>592</v>
      </c>
      <c r="O4" s="80" t="s">
        <v>651</v>
      </c>
      <c r="P4" s="80" t="s">
        <v>593</v>
      </c>
      <c r="Q4" s="80" t="s">
        <v>571</v>
      </c>
      <c r="R4" s="80" t="s">
        <v>595</v>
      </c>
      <c r="S4" s="80" t="s">
        <v>571</v>
      </c>
      <c r="T4" s="80" t="s">
        <v>596</v>
      </c>
      <c r="U4" s="80" t="s">
        <v>597</v>
      </c>
      <c r="V4" s="80" t="s">
        <v>598</v>
      </c>
      <c r="W4" s="80" t="s">
        <v>571</v>
      </c>
      <c r="X4" s="80" t="s">
        <v>583</v>
      </c>
      <c r="Y4" s="80" t="s">
        <v>571</v>
      </c>
      <c r="Z4" s="80" t="s">
        <v>599</v>
      </c>
      <c r="AA4" s="80" t="s">
        <v>571</v>
      </c>
      <c r="AB4" s="140"/>
    </row>
    <row r="5" spans="1:28" ht="11.25" customHeight="1" x14ac:dyDescent="0.25">
      <c r="A5" s="142" t="s">
        <v>38</v>
      </c>
      <c r="B5" s="142" t="s">
        <v>81</v>
      </c>
      <c r="C5" s="142" t="s">
        <v>25</v>
      </c>
      <c r="D5" s="142" t="s">
        <v>25</v>
      </c>
      <c r="E5" s="142" t="s">
        <v>25</v>
      </c>
      <c r="F5" s="142" t="s">
        <v>25</v>
      </c>
      <c r="G5" s="78" t="s">
        <v>83</v>
      </c>
      <c r="H5" s="78" t="s">
        <v>82</v>
      </c>
      <c r="I5" s="78">
        <f>'MERCADO TE'!$U$2</f>
        <v>2005.008</v>
      </c>
      <c r="J5" s="15"/>
      <c r="L5" s="76">
        <f>'TE BE'!$L$5*'TE BE'!$L$49</f>
        <v>3.0536234367108361E-11</v>
      </c>
      <c r="M5" s="76">
        <f>'TE BE'!$M$5*'TE BE'!$M$49</f>
        <v>-14.200076145671</v>
      </c>
      <c r="N5" s="76">
        <f>'TE BE'!$N$5*'TE BE'!$N$49</f>
        <v>0</v>
      </c>
      <c r="O5" s="76">
        <f>'TE BE'!$O$5*'TE BE'!$O$49</f>
        <v>0.18736530626772324</v>
      </c>
      <c r="P5" s="76">
        <f>'TE BE'!$P$5*'TE BE'!$P$49</f>
        <v>0</v>
      </c>
      <c r="Q5" s="76">
        <f>SUM($L$5:$P$5)</f>
        <v>-14.01271083937274</v>
      </c>
      <c r="R5" s="76">
        <f>'TE BE'!$R$5*'TE BE'!$R$49</f>
        <v>-9.8863053528844809</v>
      </c>
      <c r="S5" s="76">
        <f>SUM($R$5:$R$5)</f>
        <v>-9.8863053528844809</v>
      </c>
      <c r="T5" s="76">
        <f>'TE BE'!$T$5*'TE BE'!$T$49</f>
        <v>0.58989528769629773</v>
      </c>
      <c r="U5" s="76">
        <f>'TE BE'!$U$5*'TE BE'!$U$49</f>
        <v>0.63084146016067089</v>
      </c>
      <c r="V5" s="76">
        <f>'TE BE'!$V$5*'TE BE'!$V$49</f>
        <v>0</v>
      </c>
      <c r="W5" s="76">
        <f>SUM($T$5:$V$5)</f>
        <v>1.2207367478569686</v>
      </c>
      <c r="X5" s="76">
        <f>'TE BE'!$AB$5*'TE BE'!$X$49</f>
        <v>-72.904527404294441</v>
      </c>
      <c r="Y5" s="76">
        <f>SUM($X$5:$X$5)</f>
        <v>-72.904527404294441</v>
      </c>
      <c r="Z5" s="76">
        <f>'TE BE'!$Z$5*'TE BE'!$Z$49</f>
        <v>-0.17758699964664251</v>
      </c>
      <c r="AA5" s="76">
        <f>SUM($Z$5:$Z$5)</f>
        <v>-0.17758699964664251</v>
      </c>
      <c r="AB5" s="76">
        <f>SUMIF($L$4:$AA$4,"SUBTOTAL",$L$5:$AA$5)</f>
        <v>-95.760393848341337</v>
      </c>
    </row>
    <row r="6" spans="1:28" ht="11.25" customHeight="1" x14ac:dyDescent="0.25">
      <c r="A6" s="142"/>
      <c r="B6" s="142"/>
      <c r="C6" s="142"/>
      <c r="D6" s="142"/>
      <c r="E6" s="142"/>
      <c r="F6" s="142"/>
      <c r="G6" s="78" t="s">
        <v>84</v>
      </c>
      <c r="H6" s="78" t="s">
        <v>82</v>
      </c>
      <c r="I6" s="78">
        <f>'MERCADO TE'!$U$3</f>
        <v>28500.967999999997</v>
      </c>
      <c r="J6" s="15"/>
      <c r="L6" s="76">
        <f>'TE BE'!$L$6*'TE BE'!$L$49</f>
        <v>3.0536234367108361E-11</v>
      </c>
      <c r="M6" s="76">
        <f>'TE BE'!$M$6*'TE BE'!$M$49</f>
        <v>-14.200076145671</v>
      </c>
      <c r="N6" s="76">
        <f>'TE BE'!$N$6*'TE BE'!$N$49</f>
        <v>0</v>
      </c>
      <c r="O6" s="76">
        <f>'TE BE'!$O$6*'TE BE'!$O$49</f>
        <v>0.18736530626772324</v>
      </c>
      <c r="P6" s="76">
        <f>'TE BE'!$P$6*'TE BE'!$P$49</f>
        <v>0</v>
      </c>
      <c r="Q6" s="76">
        <f>SUM($L$6:$P$6)</f>
        <v>-14.01271083937274</v>
      </c>
      <c r="R6" s="76">
        <f>'TE BE'!$R$6*'TE BE'!$R$49</f>
        <v>-5.7478519493514417</v>
      </c>
      <c r="S6" s="76">
        <f>SUM($R$6:$R$6)</f>
        <v>-5.7478519493514417</v>
      </c>
      <c r="T6" s="76">
        <f>'TE BE'!$T$6*'TE BE'!$T$49</f>
        <v>0.58989528769629773</v>
      </c>
      <c r="U6" s="76">
        <f>'TE BE'!$U$6*'TE BE'!$U$49</f>
        <v>0.63084146016067089</v>
      </c>
      <c r="V6" s="76">
        <f>'TE BE'!$V$6*'TE BE'!$V$49</f>
        <v>0</v>
      </c>
      <c r="W6" s="76">
        <f>SUM($T$6:$V$6)</f>
        <v>1.2207367478569686</v>
      </c>
      <c r="X6" s="76">
        <f>'TE BE'!$AB$6*'TE BE'!$X$49</f>
        <v>-45.118936699190549</v>
      </c>
      <c r="Y6" s="76">
        <f>SUM($X$6:$X$6)</f>
        <v>-45.118936699190549</v>
      </c>
      <c r="Z6" s="76">
        <f>'TE BE'!$Z$6*'TE BE'!$Z$49</f>
        <v>-0.17758699964664251</v>
      </c>
      <c r="AA6" s="76">
        <f>SUM($Z$6:$Z$6)</f>
        <v>-0.17758699964664251</v>
      </c>
      <c r="AB6" s="76">
        <f>SUMIF($L$4:$AA$4,"SUBTOTAL",$L$6:$AA$6)</f>
        <v>-63.83634973970441</v>
      </c>
    </row>
    <row r="7" spans="1:28" ht="11.25" customHeight="1" x14ac:dyDescent="0.25">
      <c r="A7" s="142"/>
      <c r="B7" s="79" t="s">
        <v>85</v>
      </c>
      <c r="C7" s="79" t="s">
        <v>25</v>
      </c>
      <c r="D7" s="79" t="s">
        <v>25</v>
      </c>
      <c r="E7" s="79" t="s">
        <v>25</v>
      </c>
      <c r="F7" s="79" t="s">
        <v>25</v>
      </c>
      <c r="G7" s="78" t="s">
        <v>86</v>
      </c>
      <c r="H7" s="78" t="s">
        <v>82</v>
      </c>
      <c r="I7" s="78">
        <f>'MERCADO TE'!$U$4</f>
        <v>0</v>
      </c>
      <c r="J7" s="15"/>
      <c r="L7" s="76">
        <f>'TE BE'!$L$7*'TE BE'!$L$49</f>
        <v>3.0536234367108361E-11</v>
      </c>
      <c r="M7" s="76">
        <f>'TE BE'!$M$7*'TE BE'!$M$49</f>
        <v>-14.200076145671</v>
      </c>
      <c r="N7" s="76">
        <f>'TE BE'!$N$7*'TE BE'!$N$49</f>
        <v>0</v>
      </c>
      <c r="O7" s="76">
        <f>'TE BE'!$O$7*'TE BE'!$O$49</f>
        <v>0.18736530626772324</v>
      </c>
      <c r="P7" s="76">
        <f>'TE BE'!$P$7*'TE BE'!$P$49</f>
        <v>0</v>
      </c>
      <c r="Q7" s="76">
        <f>SUM($L$7:$P$7)</f>
        <v>-14.01271083937274</v>
      </c>
      <c r="R7" s="76">
        <f>'TE BE'!$R$7*'TE BE'!$R$49</f>
        <v>-6.0927230663125291</v>
      </c>
      <c r="S7" s="76">
        <f>SUM($R$7:$R$7)</f>
        <v>-6.0927230663125291</v>
      </c>
      <c r="T7" s="76">
        <f>'TE BE'!$T$7*'TE BE'!$T$49</f>
        <v>0.58989528769629773</v>
      </c>
      <c r="U7" s="76">
        <f>'TE BE'!$U$7*'TE BE'!$U$49</f>
        <v>0.63084146016067089</v>
      </c>
      <c r="V7" s="76">
        <f>'TE BE'!$V$7*'TE BE'!$V$49</f>
        <v>0</v>
      </c>
      <c r="W7" s="76">
        <f>SUM($T$7:$V$7)</f>
        <v>1.2207367478569686</v>
      </c>
      <c r="X7" s="76">
        <f>'TE BE'!$AB$7*'TE BE'!$X$49</f>
        <v>-47.434402591282549</v>
      </c>
      <c r="Y7" s="76">
        <f>SUM($X$7:$X$7)</f>
        <v>-47.434402591282549</v>
      </c>
      <c r="Z7" s="76">
        <f>'TE BE'!$Z$7*'TE BE'!$Z$49</f>
        <v>-0.17758699964664251</v>
      </c>
      <c r="AA7" s="76">
        <f>SUM($Z$7:$Z$7)</f>
        <v>-0.17758699964664251</v>
      </c>
      <c r="AB7" s="76">
        <f>SUMIF($L$4:$AA$4,"SUBTOTAL",$L$7:$AA$7)</f>
        <v>-66.496686748757483</v>
      </c>
    </row>
    <row r="8" spans="1:28" ht="11.25" customHeight="1" x14ac:dyDescent="0.25">
      <c r="A8" s="142" t="s">
        <v>22</v>
      </c>
      <c r="B8" s="142" t="s">
        <v>81</v>
      </c>
      <c r="C8" s="142" t="s">
        <v>24</v>
      </c>
      <c r="D8" s="142" t="s">
        <v>24</v>
      </c>
      <c r="E8" s="142" t="s">
        <v>25</v>
      </c>
      <c r="F8" s="142" t="s">
        <v>25</v>
      </c>
      <c r="G8" s="78" t="s">
        <v>83</v>
      </c>
      <c r="H8" s="78" t="s">
        <v>82</v>
      </c>
      <c r="I8" s="78">
        <f>'MERCADO TE'!$U$5</f>
        <v>1.103</v>
      </c>
      <c r="J8" s="15"/>
      <c r="L8" s="76">
        <f>'TE BE'!$L$8*'TE BE'!$L$49</f>
        <v>3.0536234367108361E-11</v>
      </c>
      <c r="M8" s="76">
        <f>'TE BE'!$M$8*'TE BE'!$M$49</f>
        <v>-14.200076145671</v>
      </c>
      <c r="N8" s="76">
        <f>'TE BE'!$N$8*'TE BE'!$N$49</f>
        <v>0</v>
      </c>
      <c r="O8" s="76">
        <f>'TE BE'!$O$8*'TE BE'!$O$49</f>
        <v>0.18736530626772324</v>
      </c>
      <c r="P8" s="76">
        <f>'TE BE'!$P$8*'TE BE'!$P$49</f>
        <v>0</v>
      </c>
      <c r="Q8" s="76">
        <f>SUM($L$8:$P$8)</f>
        <v>-14.01271083937274</v>
      </c>
      <c r="R8" s="76">
        <f>'TE BE'!$R$8*'TE BE'!$R$49</f>
        <v>-9.8863053528844809</v>
      </c>
      <c r="S8" s="76">
        <f>SUM($R$8:$R$8)</f>
        <v>-9.8863053528844809</v>
      </c>
      <c r="T8" s="76">
        <f>'TE BE'!$T$8*'TE BE'!$T$49</f>
        <v>0.58989528769629773</v>
      </c>
      <c r="U8" s="76">
        <f>'TE BE'!$U$8*'TE BE'!$U$49</f>
        <v>0.63084146016067089</v>
      </c>
      <c r="V8" s="76">
        <f>'TE BE'!$V$8*'TE BE'!$V$49</f>
        <v>0</v>
      </c>
      <c r="W8" s="76">
        <f>SUM($T$8:$V$8)</f>
        <v>1.2207367478569686</v>
      </c>
      <c r="X8" s="76">
        <f>'TE BE'!$AB$8*'TE BE'!$X$49</f>
        <v>-72.904527404294441</v>
      </c>
      <c r="Y8" s="76">
        <f>SUM($X$8:$X$8)</f>
        <v>-72.904527404294441</v>
      </c>
      <c r="Z8" s="76">
        <f>'TE BE'!$Z$8*'TE BE'!$Z$49</f>
        <v>-0.17758699964664251</v>
      </c>
      <c r="AA8" s="76">
        <f>SUM($Z$8:$Z$8)</f>
        <v>-0.17758699964664251</v>
      </c>
      <c r="AB8" s="76">
        <f>SUMIF($L$4:$AA$4,"SUBTOTAL",$L$8:$AA$8)</f>
        <v>-95.760393848341337</v>
      </c>
    </row>
    <row r="9" spans="1:28" ht="11.25" customHeight="1" x14ac:dyDescent="0.25">
      <c r="A9" s="142"/>
      <c r="B9" s="142"/>
      <c r="C9" s="142"/>
      <c r="D9" s="142"/>
      <c r="E9" s="142"/>
      <c r="F9" s="142"/>
      <c r="G9" s="78" t="s">
        <v>93</v>
      </c>
      <c r="H9" s="78" t="s">
        <v>82</v>
      </c>
      <c r="I9" s="78">
        <f>'MERCADO TE'!$U$6</f>
        <v>0.64800000000000013</v>
      </c>
      <c r="J9" s="15"/>
      <c r="L9" s="76">
        <f>'TE BE'!$L$9*'TE BE'!$L$49</f>
        <v>3.0536234367108361E-11</v>
      </c>
      <c r="M9" s="76">
        <f>'TE BE'!$M$9*'TE BE'!$M$49</f>
        <v>-14.200076145671</v>
      </c>
      <c r="N9" s="76">
        <f>'TE BE'!$N$9*'TE BE'!$N$49</f>
        <v>0</v>
      </c>
      <c r="O9" s="76">
        <f>'TE BE'!$O$9*'TE BE'!$O$49</f>
        <v>0.18736530626772324</v>
      </c>
      <c r="P9" s="76">
        <f>'TE BE'!$P$9*'TE BE'!$P$49</f>
        <v>0</v>
      </c>
      <c r="Q9" s="76">
        <f>SUM($L$9:$P$9)</f>
        <v>-14.01271083937274</v>
      </c>
      <c r="R9" s="76">
        <f>'TE BE'!$R$9*'TE BE'!$R$49</f>
        <v>-5.7478519493514417</v>
      </c>
      <c r="S9" s="76">
        <f>SUM($R$9:$R$9)</f>
        <v>-5.7478519493514417</v>
      </c>
      <c r="T9" s="76">
        <f>'TE BE'!$T$9*'TE BE'!$T$49</f>
        <v>0.58989528769629773</v>
      </c>
      <c r="U9" s="76">
        <f>'TE BE'!$U$9*'TE BE'!$U$49</f>
        <v>0.63084146016067089</v>
      </c>
      <c r="V9" s="76">
        <f>'TE BE'!$V$9*'TE BE'!$V$49</f>
        <v>0</v>
      </c>
      <c r="W9" s="76">
        <f>SUM($T$9:$V$9)</f>
        <v>1.2207367478569686</v>
      </c>
      <c r="X9" s="76">
        <f>'TE BE'!$AB$9*'TE BE'!$X$49</f>
        <v>-45.118936699190549</v>
      </c>
      <c r="Y9" s="76">
        <f>SUM($X$9:$X$9)</f>
        <v>-45.118936699190549</v>
      </c>
      <c r="Z9" s="76">
        <f>'TE BE'!$Z$9*'TE BE'!$Z$49</f>
        <v>-0.17758699964664251</v>
      </c>
      <c r="AA9" s="76">
        <f>SUM($Z$9:$Z$9)</f>
        <v>-0.17758699964664251</v>
      </c>
      <c r="AB9" s="76">
        <f>SUMIF($L$4:$AA$4,"SUBTOTAL",$L$9:$AA$9)</f>
        <v>-63.83634973970441</v>
      </c>
    </row>
    <row r="10" spans="1:28" ht="11.25" customHeight="1" x14ac:dyDescent="0.25">
      <c r="A10" s="142"/>
      <c r="B10" s="142"/>
      <c r="C10" s="142"/>
      <c r="D10" s="142"/>
      <c r="E10" s="142"/>
      <c r="F10" s="142"/>
      <c r="G10" s="78" t="s">
        <v>84</v>
      </c>
      <c r="H10" s="78" t="s">
        <v>82</v>
      </c>
      <c r="I10" s="78">
        <f>'MERCADO TE'!$U$7</f>
        <v>11.868000000000002</v>
      </c>
      <c r="J10" s="15"/>
      <c r="L10" s="76">
        <f>'TE BE'!$L$10*'TE BE'!$L$49</f>
        <v>3.0536234367108361E-11</v>
      </c>
      <c r="M10" s="76">
        <f>'TE BE'!$M$10*'TE BE'!$M$49</f>
        <v>-14.200076145671</v>
      </c>
      <c r="N10" s="76">
        <f>'TE BE'!$N$10*'TE BE'!$N$49</f>
        <v>0</v>
      </c>
      <c r="O10" s="76">
        <f>'TE BE'!$O$10*'TE BE'!$O$49</f>
        <v>0.18736530626772324</v>
      </c>
      <c r="P10" s="76">
        <f>'TE BE'!$P$10*'TE BE'!$P$49</f>
        <v>0</v>
      </c>
      <c r="Q10" s="76">
        <f>SUM($L$10:$P$10)</f>
        <v>-14.01271083937274</v>
      </c>
      <c r="R10" s="76">
        <f>'TE BE'!$R$10*'TE BE'!$R$49</f>
        <v>-5.7478519493514417</v>
      </c>
      <c r="S10" s="76">
        <f>SUM($R$10:$R$10)</f>
        <v>-5.7478519493514417</v>
      </c>
      <c r="T10" s="76">
        <f>'TE BE'!$T$10*'TE BE'!$T$49</f>
        <v>0.58989528769629773</v>
      </c>
      <c r="U10" s="76">
        <f>'TE BE'!$U$10*'TE BE'!$U$49</f>
        <v>0.63084146016067089</v>
      </c>
      <c r="V10" s="76">
        <f>'TE BE'!$V$10*'TE BE'!$V$49</f>
        <v>0</v>
      </c>
      <c r="W10" s="76">
        <f>SUM($T$10:$V$10)</f>
        <v>1.2207367478569686</v>
      </c>
      <c r="X10" s="76">
        <f>'TE BE'!$AB$10*'TE BE'!$X$49</f>
        <v>-45.118936699190549</v>
      </c>
      <c r="Y10" s="76">
        <f>SUM($X$10:$X$10)</f>
        <v>-45.118936699190549</v>
      </c>
      <c r="Z10" s="76">
        <f>'TE BE'!$Z$10*'TE BE'!$Z$49</f>
        <v>-0.17758699964664251</v>
      </c>
      <c r="AA10" s="76">
        <f>SUM($Z$10:$Z$10)</f>
        <v>-0.17758699964664251</v>
      </c>
      <c r="AB10" s="76">
        <f>SUMIF($L$4:$AA$4,"SUBTOTAL",$L$10:$AA$10)</f>
        <v>-63.83634973970441</v>
      </c>
    </row>
    <row r="11" spans="1:28" ht="11.25" customHeight="1" x14ac:dyDescent="0.25">
      <c r="A11" s="142"/>
      <c r="B11" s="142" t="s">
        <v>85</v>
      </c>
      <c r="C11" s="142" t="s">
        <v>24</v>
      </c>
      <c r="D11" s="79" t="s">
        <v>24</v>
      </c>
      <c r="E11" s="79" t="s">
        <v>25</v>
      </c>
      <c r="F11" s="79" t="s">
        <v>25</v>
      </c>
      <c r="G11" s="78" t="s">
        <v>86</v>
      </c>
      <c r="H11" s="78" t="s">
        <v>82</v>
      </c>
      <c r="I11" s="78">
        <f>'MERCADO TE'!$U$8</f>
        <v>63212.388999999996</v>
      </c>
      <c r="J11" s="15"/>
      <c r="L11" s="76">
        <f>'TE BE'!$L$11*'TE BE'!$L$49</f>
        <v>3.0536234367108361E-11</v>
      </c>
      <c r="M11" s="76">
        <f>'TE BE'!$M$11*'TE BE'!$M$49</f>
        <v>-14.200076145671</v>
      </c>
      <c r="N11" s="76">
        <f>'TE BE'!$N$11*'TE BE'!$N$49</f>
        <v>0</v>
      </c>
      <c r="O11" s="76">
        <f>'TE BE'!$O$11*'TE BE'!$O$49</f>
        <v>0.18736530626772324</v>
      </c>
      <c r="P11" s="76">
        <f>'TE BE'!$P$11*'TE BE'!$P$49</f>
        <v>0</v>
      </c>
      <c r="Q11" s="76">
        <f>SUM($L$11:$P$11)</f>
        <v>-14.01271083937274</v>
      </c>
      <c r="R11" s="76">
        <f>'TE BE'!$R$11*'TE BE'!$R$49</f>
        <v>-6.0927230663125291</v>
      </c>
      <c r="S11" s="76">
        <f>SUM($R$11:$R$11)</f>
        <v>-6.0927230663125291</v>
      </c>
      <c r="T11" s="76">
        <f>'TE BE'!$T$11*'TE BE'!$T$49</f>
        <v>0.58989528769629773</v>
      </c>
      <c r="U11" s="76">
        <f>'TE BE'!$U$11*'TE BE'!$U$49</f>
        <v>0.63084146016067089</v>
      </c>
      <c r="V11" s="76">
        <f>'TE BE'!$V$11*'TE BE'!$V$49</f>
        <v>0</v>
      </c>
      <c r="W11" s="76">
        <f>SUM($T$11:$V$11)</f>
        <v>1.2207367478569686</v>
      </c>
      <c r="X11" s="76">
        <f>'TE BE'!$AB$11*'TE BE'!$X$49</f>
        <v>-47.434402591282549</v>
      </c>
      <c r="Y11" s="76">
        <f>SUM($X$11:$X$11)</f>
        <v>-47.434402591282549</v>
      </c>
      <c r="Z11" s="76">
        <f>'TE BE'!$Z$11*'TE BE'!$Z$49</f>
        <v>-0.17758699964664251</v>
      </c>
      <c r="AA11" s="76">
        <f>SUM($Z$11:$Z$11)</f>
        <v>-0.17758699964664251</v>
      </c>
      <c r="AB11" s="76">
        <f>SUMIF($L$4:$AA$4,"SUBTOTAL",$L$11:$AA$11)</f>
        <v>-66.496686748757483</v>
      </c>
    </row>
    <row r="12" spans="1:28" ht="11.25" customHeight="1" x14ac:dyDescent="0.25">
      <c r="A12" s="142"/>
      <c r="B12" s="142"/>
      <c r="C12" s="142"/>
      <c r="D12" s="79" t="s">
        <v>28</v>
      </c>
      <c r="E12" s="79" t="s">
        <v>25</v>
      </c>
      <c r="F12" s="79" t="s">
        <v>25</v>
      </c>
      <c r="G12" s="78" t="s">
        <v>86</v>
      </c>
      <c r="H12" s="78" t="s">
        <v>82</v>
      </c>
      <c r="I12" s="78">
        <f>'MERCADO TE'!$U$9</f>
        <v>258.12700000000001</v>
      </c>
      <c r="J12" s="15"/>
      <c r="L12" s="76">
        <f>'TE BE'!$L$12*'TE BE'!$L$49</f>
        <v>3.0536234367108361E-11</v>
      </c>
      <c r="M12" s="76">
        <f>'TE BE'!$M$12*'TE BE'!$M$49</f>
        <v>-14.200076145671</v>
      </c>
      <c r="N12" s="76">
        <f>'TE BE'!$N$12*'TE BE'!$N$49</f>
        <v>0</v>
      </c>
      <c r="O12" s="76">
        <f>'TE BE'!$O$12*'TE BE'!$O$49</f>
        <v>0.18736530626772324</v>
      </c>
      <c r="P12" s="76">
        <f>'TE BE'!$P$12*'TE BE'!$P$49</f>
        <v>0</v>
      </c>
      <c r="Q12" s="76">
        <f>SUM($L$12:$P$12)</f>
        <v>-14.01271083937274</v>
      </c>
      <c r="R12" s="76">
        <f>'TE BE'!$R$12*'TE BE'!$R$49</f>
        <v>-6.0927230663125291</v>
      </c>
      <c r="S12" s="76">
        <f>SUM($R$12:$R$12)</f>
        <v>-6.0927230663125291</v>
      </c>
      <c r="T12" s="76">
        <f>'TE BE'!$T$12*'TE BE'!$T$49</f>
        <v>0.58989528769629773</v>
      </c>
      <c r="U12" s="76">
        <f>'TE BE'!$U$12*'TE BE'!$U$49</f>
        <v>0.63084146016067089</v>
      </c>
      <c r="V12" s="76">
        <f>'TE BE'!$V$12*'TE BE'!$V$49</f>
        <v>0</v>
      </c>
      <c r="W12" s="76">
        <f>SUM($T$12:$V$12)</f>
        <v>1.2207367478569686</v>
      </c>
      <c r="X12" s="76">
        <f>'TE BE'!$AB$12*'TE BE'!$X$49</f>
        <v>-47.434402591282549</v>
      </c>
      <c r="Y12" s="76">
        <f>SUM($X$12:$X$12)</f>
        <v>-47.434402591282549</v>
      </c>
      <c r="Z12" s="76">
        <f>'TE BE'!$Z$12*'TE BE'!$Z$49</f>
        <v>-0.17758699964664251</v>
      </c>
      <c r="AA12" s="76">
        <f>SUM($Z$12:$Z$12)</f>
        <v>-0.17758699964664251</v>
      </c>
      <c r="AB12" s="76">
        <f>SUMIF($L$4:$AA$4,"SUBTOTAL",$L$12:$AA$12)</f>
        <v>-66.496686748757483</v>
      </c>
    </row>
    <row r="13" spans="1:28" ht="11.25" customHeight="1" x14ac:dyDescent="0.25">
      <c r="A13" s="142"/>
      <c r="B13" s="142"/>
      <c r="C13" s="142"/>
      <c r="D13" s="79" t="s">
        <v>29</v>
      </c>
      <c r="E13" s="79" t="s">
        <v>25</v>
      </c>
      <c r="F13" s="79" t="s">
        <v>25</v>
      </c>
      <c r="G13" s="78" t="s">
        <v>86</v>
      </c>
      <c r="H13" s="78" t="s">
        <v>82</v>
      </c>
      <c r="I13" s="78">
        <f>'MERCADO TE'!$U$10</f>
        <v>546.58100000000002</v>
      </c>
      <c r="J13" s="15"/>
      <c r="L13" s="76">
        <f>'TE BE'!$L$13*'TE BE'!$L$49</f>
        <v>3.0536234367108361E-11</v>
      </c>
      <c r="M13" s="76">
        <f>'TE BE'!$M$13*'TE BE'!$M$49</f>
        <v>-14.200076145671</v>
      </c>
      <c r="N13" s="76">
        <f>'TE BE'!$N$13*'TE BE'!$N$49</f>
        <v>0</v>
      </c>
      <c r="O13" s="76">
        <f>'TE BE'!$O$13*'TE BE'!$O$49</f>
        <v>0.18736530626772324</v>
      </c>
      <c r="P13" s="76">
        <f>'TE BE'!$P$13*'TE BE'!$P$49</f>
        <v>0</v>
      </c>
      <c r="Q13" s="76">
        <f>SUM($L$13:$P$13)</f>
        <v>-14.01271083937274</v>
      </c>
      <c r="R13" s="76">
        <f>'TE BE'!$R$13*'TE BE'!$R$49</f>
        <v>-6.0927230663125291</v>
      </c>
      <c r="S13" s="76">
        <f>SUM($R$13:$R$13)</f>
        <v>-6.0927230663125291</v>
      </c>
      <c r="T13" s="76">
        <f>'TE BE'!$T$13*'TE BE'!$T$49</f>
        <v>0.58989528769629773</v>
      </c>
      <c r="U13" s="76">
        <f>'TE BE'!$U$13*'TE BE'!$U$49</f>
        <v>0.63084146016067089</v>
      </c>
      <c r="V13" s="76">
        <f>'TE BE'!$V$13*'TE BE'!$V$49</f>
        <v>0</v>
      </c>
      <c r="W13" s="76">
        <f>SUM($T$13:$V$13)</f>
        <v>1.2207367478569686</v>
      </c>
      <c r="X13" s="76">
        <f>'TE BE'!$AB$13*'TE BE'!$X$49</f>
        <v>-47.434402591282549</v>
      </c>
      <c r="Y13" s="76">
        <f>SUM($X$13:$X$13)</f>
        <v>-47.434402591282549</v>
      </c>
      <c r="Z13" s="76">
        <f>'TE BE'!$Z$13*'TE BE'!$Z$49</f>
        <v>-0.17758699964664251</v>
      </c>
      <c r="AA13" s="76">
        <f>SUM($Z$13:$Z$13)</f>
        <v>-0.17758699964664251</v>
      </c>
      <c r="AB13" s="76">
        <f>SUMIF($L$4:$AA$4,"SUBTOTAL",$L$13:$AA$13)</f>
        <v>-66.496686748757483</v>
      </c>
    </row>
    <row r="14" spans="1:28" ht="11.25" customHeight="1" x14ac:dyDescent="0.25">
      <c r="A14" s="142"/>
      <c r="B14" s="142"/>
      <c r="C14" s="142"/>
      <c r="D14" s="79" t="s">
        <v>30</v>
      </c>
      <c r="E14" s="79" t="s">
        <v>25</v>
      </c>
      <c r="F14" s="79" t="s">
        <v>25</v>
      </c>
      <c r="G14" s="78" t="s">
        <v>86</v>
      </c>
      <c r="H14" s="78" t="s">
        <v>82</v>
      </c>
      <c r="I14" s="78">
        <f>'MERCADO TE'!$U$11</f>
        <v>537.75300000000004</v>
      </c>
      <c r="J14" s="15"/>
      <c r="L14" s="76">
        <f>'TE BE'!$L$14*'TE BE'!$L$49</f>
        <v>3.0536234367108361E-11</v>
      </c>
      <c r="M14" s="76">
        <f>'TE BE'!$M$14*'TE BE'!$M$49</f>
        <v>-14.200076145671</v>
      </c>
      <c r="N14" s="76">
        <f>'TE BE'!$N$14*'TE BE'!$N$49</f>
        <v>0</v>
      </c>
      <c r="O14" s="76">
        <f>'TE BE'!$O$14*'TE BE'!$O$49</f>
        <v>0.18736530626772324</v>
      </c>
      <c r="P14" s="76">
        <f>'TE BE'!$P$14*'TE BE'!$P$49</f>
        <v>0</v>
      </c>
      <c r="Q14" s="76">
        <f>SUM($L$14:$P$14)</f>
        <v>-14.01271083937274</v>
      </c>
      <c r="R14" s="76">
        <f>'TE BE'!$R$14*'TE BE'!$R$49</f>
        <v>-6.0927230663125291</v>
      </c>
      <c r="S14" s="76">
        <f>SUM($R$14:$R$14)</f>
        <v>-6.0927230663125291</v>
      </c>
      <c r="T14" s="76">
        <f>'TE BE'!$T$14*'TE BE'!$T$49</f>
        <v>0.58989528769629773</v>
      </c>
      <c r="U14" s="76">
        <f>'TE BE'!$U$14*'TE BE'!$U$49</f>
        <v>0.63084146016067089</v>
      </c>
      <c r="V14" s="76">
        <f>'TE BE'!$V$14*'TE BE'!$V$49</f>
        <v>0</v>
      </c>
      <c r="W14" s="76">
        <f>SUM($T$14:$V$14)</f>
        <v>1.2207367478569686</v>
      </c>
      <c r="X14" s="76">
        <f>'TE BE'!$AB$14*'TE BE'!$X$49</f>
        <v>-47.434402591282549</v>
      </c>
      <c r="Y14" s="76">
        <f>SUM($X$14:$X$14)</f>
        <v>-47.434402591282549</v>
      </c>
      <c r="Z14" s="76">
        <f>'TE BE'!$Z$14*'TE BE'!$Z$49</f>
        <v>-0.17758699964664251</v>
      </c>
      <c r="AA14" s="76">
        <f>SUM($Z$14:$Z$14)</f>
        <v>-0.17758699964664251</v>
      </c>
      <c r="AB14" s="76">
        <f>SUMIF($L$4:$AA$4,"SUBTOTAL",$L$14:$AA$14)</f>
        <v>-66.496686748757483</v>
      </c>
    </row>
    <row r="15" spans="1:28" ht="11.25" customHeight="1" x14ac:dyDescent="0.25">
      <c r="A15" s="142"/>
      <c r="B15" s="142"/>
      <c r="C15" s="142"/>
      <c r="D15" s="79" t="s">
        <v>31</v>
      </c>
      <c r="E15" s="79" t="s">
        <v>25</v>
      </c>
      <c r="F15" s="79" t="s">
        <v>25</v>
      </c>
      <c r="G15" s="78" t="s">
        <v>86</v>
      </c>
      <c r="H15" s="78" t="s">
        <v>82</v>
      </c>
      <c r="I15" s="78">
        <f>'MERCADO TE'!$U$12</f>
        <v>180.10599999999999</v>
      </c>
      <c r="J15" s="15"/>
      <c r="L15" s="76">
        <f>'TE BE'!$L$15*'TE BE'!$L$49</f>
        <v>3.0536234367108361E-11</v>
      </c>
      <c r="M15" s="76">
        <f>'TE BE'!$M$15*'TE BE'!$M$49</f>
        <v>-14.200076145671</v>
      </c>
      <c r="N15" s="76">
        <f>'TE BE'!$N$15*'TE BE'!$N$49</f>
        <v>0</v>
      </c>
      <c r="O15" s="76">
        <f>'TE BE'!$O$15*'TE BE'!$O$49</f>
        <v>0.18736530626772324</v>
      </c>
      <c r="P15" s="76">
        <f>'TE BE'!$P$15*'TE BE'!$P$49</f>
        <v>0</v>
      </c>
      <c r="Q15" s="76">
        <f>SUM($L$15:$P$15)</f>
        <v>-14.01271083937274</v>
      </c>
      <c r="R15" s="76">
        <f>'TE BE'!$R$15*'TE BE'!$R$49</f>
        <v>-6.0927230663125291</v>
      </c>
      <c r="S15" s="76">
        <f>SUM($R$15:$R$15)</f>
        <v>-6.0927230663125291</v>
      </c>
      <c r="T15" s="76">
        <f>'TE BE'!$T$15*'TE BE'!$T$49</f>
        <v>0.58989528769629773</v>
      </c>
      <c r="U15" s="76">
        <f>'TE BE'!$U$15*'TE BE'!$U$49</f>
        <v>0.63084146016067089</v>
      </c>
      <c r="V15" s="76">
        <f>'TE BE'!$V$15*'TE BE'!$V$49</f>
        <v>0</v>
      </c>
      <c r="W15" s="76">
        <f>SUM($T$15:$V$15)</f>
        <v>1.2207367478569686</v>
      </c>
      <c r="X15" s="76">
        <f>'TE BE'!$AB$15*'TE BE'!$X$49</f>
        <v>-47.434402591282549</v>
      </c>
      <c r="Y15" s="76">
        <f>SUM($X$15:$X$15)</f>
        <v>-47.434402591282549</v>
      </c>
      <c r="Z15" s="76">
        <f>'TE BE'!$Z$15*'TE BE'!$Z$49</f>
        <v>-0.17758699964664251</v>
      </c>
      <c r="AA15" s="76">
        <f>SUM($Z$15:$Z$15)</f>
        <v>-0.17758699964664251</v>
      </c>
      <c r="AB15" s="76">
        <f>SUMIF($L$4:$AA$4,"SUBTOTAL",$L$15:$AA$15)</f>
        <v>-66.496686748757483</v>
      </c>
    </row>
    <row r="16" spans="1:28" ht="11.25" customHeight="1" x14ac:dyDescent="0.25">
      <c r="A16" s="142"/>
      <c r="B16" s="142" t="s">
        <v>94</v>
      </c>
      <c r="C16" s="142" t="s">
        <v>24</v>
      </c>
      <c r="D16" s="79" t="s">
        <v>24</v>
      </c>
      <c r="E16" s="79" t="s">
        <v>25</v>
      </c>
      <c r="F16" s="79" t="s">
        <v>25</v>
      </c>
      <c r="G16" s="78" t="s">
        <v>86</v>
      </c>
      <c r="H16" s="78" t="s">
        <v>82</v>
      </c>
      <c r="I16" s="78">
        <f>'MERCADO TE'!$U$13</f>
        <v>0</v>
      </c>
      <c r="J16" s="15"/>
      <c r="L16" s="76">
        <f>'TE BE'!$L$16*'TE BE'!$L$49</f>
        <v>3.0536234367108361E-11</v>
      </c>
      <c r="M16" s="76">
        <f>'TE BE'!$M$16*'TE BE'!$M$49</f>
        <v>-14.200076145671</v>
      </c>
      <c r="N16" s="76">
        <f>'TE BE'!$N$16*'TE BE'!$N$49</f>
        <v>0</v>
      </c>
      <c r="O16" s="76">
        <f>'TE BE'!$O$16*'TE BE'!$O$49</f>
        <v>0.18736530626772324</v>
      </c>
      <c r="P16" s="76">
        <f>'TE BE'!$P$16*'TE BE'!$P$49</f>
        <v>0</v>
      </c>
      <c r="Q16" s="76">
        <f>SUM($L$16:$P$16)</f>
        <v>-14.01271083937274</v>
      </c>
      <c r="R16" s="76">
        <f>'TE BE'!$R$16*'TE BE'!$R$49</f>
        <v>-6.0927230663125291</v>
      </c>
      <c r="S16" s="76">
        <f>SUM($R$16:$R$16)</f>
        <v>-6.0927230663125291</v>
      </c>
      <c r="T16" s="76">
        <f>'TE BE'!$T$16*'TE BE'!$T$49</f>
        <v>0.58989528769629773</v>
      </c>
      <c r="U16" s="76">
        <f>'TE BE'!$U$16*'TE BE'!$U$49</f>
        <v>0.63084146016067089</v>
      </c>
      <c r="V16" s="76">
        <f>'TE BE'!$V$16*'TE BE'!$V$49</f>
        <v>0</v>
      </c>
      <c r="W16" s="76">
        <f>SUM($T$16:$V$16)</f>
        <v>1.2207367478569686</v>
      </c>
      <c r="X16" s="76">
        <f>'TE BE'!$AB$16*'TE BE'!$X$49</f>
        <v>-47.434402591282549</v>
      </c>
      <c r="Y16" s="76">
        <f>SUM($X$16:$X$16)</f>
        <v>-47.434402591282549</v>
      </c>
      <c r="Z16" s="76">
        <f>'TE BE'!$Z$16*'TE BE'!$Z$49</f>
        <v>-0.17758699964664251</v>
      </c>
      <c r="AA16" s="76">
        <f>SUM($Z$16:$Z$16)</f>
        <v>-0.17758699964664251</v>
      </c>
      <c r="AB16" s="76">
        <f>SUMIF($L$4:$AA$4,"SUBTOTAL",$L$16:$AA$16)</f>
        <v>-66.496686748757483</v>
      </c>
    </row>
    <row r="17" spans="1:28" ht="11.25" customHeight="1" x14ac:dyDescent="0.25">
      <c r="A17" s="142"/>
      <c r="B17" s="142"/>
      <c r="C17" s="142"/>
      <c r="D17" s="79" t="s">
        <v>28</v>
      </c>
      <c r="E17" s="79" t="s">
        <v>25</v>
      </c>
      <c r="F17" s="79" t="s">
        <v>25</v>
      </c>
      <c r="G17" s="78" t="s">
        <v>86</v>
      </c>
      <c r="H17" s="78" t="s">
        <v>82</v>
      </c>
      <c r="I17" s="78">
        <f>'MERCADO TE'!$U$14</f>
        <v>0</v>
      </c>
      <c r="J17" s="15"/>
      <c r="L17" s="76">
        <f>'TE BE'!$L$17*'TE BE'!$L$49</f>
        <v>3.0536234367108361E-11</v>
      </c>
      <c r="M17" s="76">
        <f>'TE BE'!$M$17*'TE BE'!$M$49</f>
        <v>-14.200076145671</v>
      </c>
      <c r="N17" s="76">
        <f>'TE BE'!$N$17*'TE BE'!$N$49</f>
        <v>0</v>
      </c>
      <c r="O17" s="76">
        <f>'TE BE'!$O$17*'TE BE'!$O$49</f>
        <v>0.18736530626772324</v>
      </c>
      <c r="P17" s="76">
        <f>'TE BE'!$P$17*'TE BE'!$P$49</f>
        <v>0</v>
      </c>
      <c r="Q17" s="76">
        <f>SUM($L$17:$P$17)</f>
        <v>-14.01271083937274</v>
      </c>
      <c r="R17" s="76">
        <f>'TE BE'!$R$17*'TE BE'!$R$49</f>
        <v>-6.0927230663125291</v>
      </c>
      <c r="S17" s="76">
        <f>SUM($R$17:$R$17)</f>
        <v>-6.0927230663125291</v>
      </c>
      <c r="T17" s="76">
        <f>'TE BE'!$T$17*'TE BE'!$T$49</f>
        <v>0.58989528769629773</v>
      </c>
      <c r="U17" s="76">
        <f>'TE BE'!$U$17*'TE BE'!$U$49</f>
        <v>0.63084146016067089</v>
      </c>
      <c r="V17" s="76">
        <f>'TE BE'!$V$17*'TE BE'!$V$49</f>
        <v>0</v>
      </c>
      <c r="W17" s="76">
        <f>SUM($T$17:$V$17)</f>
        <v>1.2207367478569686</v>
      </c>
      <c r="X17" s="76">
        <f>'TE BE'!$AB$17*'TE BE'!$X$49</f>
        <v>-47.434402591282549</v>
      </c>
      <c r="Y17" s="76">
        <f>SUM($X$17:$X$17)</f>
        <v>-47.434402591282549</v>
      </c>
      <c r="Z17" s="76">
        <f>'TE BE'!$Z$17*'TE BE'!$Z$49</f>
        <v>-0.17758699964664251</v>
      </c>
      <c r="AA17" s="76">
        <f>SUM($Z$17:$Z$17)</f>
        <v>-0.17758699964664251</v>
      </c>
      <c r="AB17" s="76">
        <f>SUMIF($L$4:$AA$4,"SUBTOTAL",$L$17:$AA$17)</f>
        <v>-66.496686748757483</v>
      </c>
    </row>
    <row r="18" spans="1:28" ht="11.25" customHeight="1" x14ac:dyDescent="0.25">
      <c r="A18" s="142"/>
      <c r="B18" s="142"/>
      <c r="C18" s="142"/>
      <c r="D18" s="79" t="s">
        <v>29</v>
      </c>
      <c r="E18" s="79" t="s">
        <v>25</v>
      </c>
      <c r="F18" s="79" t="s">
        <v>25</v>
      </c>
      <c r="G18" s="78" t="s">
        <v>86</v>
      </c>
      <c r="H18" s="78" t="s">
        <v>82</v>
      </c>
      <c r="I18" s="78">
        <f>'MERCADO TE'!$U$15</f>
        <v>0</v>
      </c>
      <c r="J18" s="15"/>
      <c r="L18" s="76">
        <f>'TE BE'!$L$18*'TE BE'!$L$49</f>
        <v>3.0536234367108361E-11</v>
      </c>
      <c r="M18" s="76">
        <f>'TE BE'!$M$18*'TE BE'!$M$49</f>
        <v>-14.200076145671</v>
      </c>
      <c r="N18" s="76">
        <f>'TE BE'!$N$18*'TE BE'!$N$49</f>
        <v>0</v>
      </c>
      <c r="O18" s="76">
        <f>'TE BE'!$O$18*'TE BE'!$O$49</f>
        <v>0.18736530626772324</v>
      </c>
      <c r="P18" s="76">
        <f>'TE BE'!$P$18*'TE BE'!$P$49</f>
        <v>0</v>
      </c>
      <c r="Q18" s="76">
        <f>SUM($L$18:$P$18)</f>
        <v>-14.01271083937274</v>
      </c>
      <c r="R18" s="76">
        <f>'TE BE'!$R$18*'TE BE'!$R$49</f>
        <v>-6.0927230663125291</v>
      </c>
      <c r="S18" s="76">
        <f>SUM($R$18:$R$18)</f>
        <v>-6.0927230663125291</v>
      </c>
      <c r="T18" s="76">
        <f>'TE BE'!$T$18*'TE BE'!$T$49</f>
        <v>0.58989528769629773</v>
      </c>
      <c r="U18" s="76">
        <f>'TE BE'!$U$18*'TE BE'!$U$49</f>
        <v>0.63084146016067089</v>
      </c>
      <c r="V18" s="76">
        <f>'TE BE'!$V$18*'TE BE'!$V$49</f>
        <v>0</v>
      </c>
      <c r="W18" s="76">
        <f>SUM($T$18:$V$18)</f>
        <v>1.2207367478569686</v>
      </c>
      <c r="X18" s="76">
        <f>'TE BE'!$AB$18*'TE BE'!$X$49</f>
        <v>-47.434402591282549</v>
      </c>
      <c r="Y18" s="76">
        <f>SUM($X$18:$X$18)</f>
        <v>-47.434402591282549</v>
      </c>
      <c r="Z18" s="76">
        <f>'TE BE'!$Z$18*'TE BE'!$Z$49</f>
        <v>-0.17758699964664251</v>
      </c>
      <c r="AA18" s="76">
        <f>SUM($Z$18:$Z$18)</f>
        <v>-0.17758699964664251</v>
      </c>
      <c r="AB18" s="76">
        <f>SUMIF($L$4:$AA$4,"SUBTOTAL",$L$18:$AA$18)</f>
        <v>-66.496686748757483</v>
      </c>
    </row>
    <row r="19" spans="1:28" ht="11.25" customHeight="1" x14ac:dyDescent="0.25">
      <c r="A19" s="142"/>
      <c r="B19" s="142"/>
      <c r="C19" s="142"/>
      <c r="D19" s="79" t="s">
        <v>30</v>
      </c>
      <c r="E19" s="79" t="s">
        <v>25</v>
      </c>
      <c r="F19" s="79" t="s">
        <v>25</v>
      </c>
      <c r="G19" s="78" t="s">
        <v>86</v>
      </c>
      <c r="H19" s="78" t="s">
        <v>82</v>
      </c>
      <c r="I19" s="78">
        <f>'MERCADO TE'!$U$16</f>
        <v>0</v>
      </c>
      <c r="J19" s="15"/>
      <c r="L19" s="76">
        <f>'TE BE'!$L$19*'TE BE'!$L$49</f>
        <v>3.0536234367108361E-11</v>
      </c>
      <c r="M19" s="76">
        <f>'TE BE'!$M$19*'TE BE'!$M$49</f>
        <v>-14.200076145671</v>
      </c>
      <c r="N19" s="76">
        <f>'TE BE'!$N$19*'TE BE'!$N$49</f>
        <v>0</v>
      </c>
      <c r="O19" s="76">
        <f>'TE BE'!$O$19*'TE BE'!$O$49</f>
        <v>0.18736530626772324</v>
      </c>
      <c r="P19" s="76">
        <f>'TE BE'!$P$19*'TE BE'!$P$49</f>
        <v>0</v>
      </c>
      <c r="Q19" s="76">
        <f>SUM($L$19:$P$19)</f>
        <v>-14.01271083937274</v>
      </c>
      <c r="R19" s="76">
        <f>'TE BE'!$R$19*'TE BE'!$R$49</f>
        <v>-6.0927230663125291</v>
      </c>
      <c r="S19" s="76">
        <f>SUM($R$19:$R$19)</f>
        <v>-6.0927230663125291</v>
      </c>
      <c r="T19" s="76">
        <f>'TE BE'!$T$19*'TE BE'!$T$49</f>
        <v>0.58989528769629773</v>
      </c>
      <c r="U19" s="76">
        <f>'TE BE'!$U$19*'TE BE'!$U$49</f>
        <v>0.63084146016067089</v>
      </c>
      <c r="V19" s="76">
        <f>'TE BE'!$V$19*'TE BE'!$V$49</f>
        <v>0</v>
      </c>
      <c r="W19" s="76">
        <f>SUM($T$19:$V$19)</f>
        <v>1.2207367478569686</v>
      </c>
      <c r="X19" s="76">
        <f>'TE BE'!$AB$19*'TE BE'!$X$49</f>
        <v>-47.434402591282549</v>
      </c>
      <c r="Y19" s="76">
        <f>SUM($X$19:$X$19)</f>
        <v>-47.434402591282549</v>
      </c>
      <c r="Z19" s="76">
        <f>'TE BE'!$Z$19*'TE BE'!$Z$49</f>
        <v>-0.17758699964664251</v>
      </c>
      <c r="AA19" s="76">
        <f>SUM($Z$19:$Z$19)</f>
        <v>-0.17758699964664251</v>
      </c>
      <c r="AB19" s="76">
        <f>SUMIF($L$4:$AA$4,"SUBTOTAL",$L$19:$AA$19)</f>
        <v>-66.496686748757483</v>
      </c>
    </row>
    <row r="20" spans="1:28" ht="11.25" customHeight="1" x14ac:dyDescent="0.25">
      <c r="A20" s="142"/>
      <c r="B20" s="142"/>
      <c r="C20" s="142"/>
      <c r="D20" s="79" t="s">
        <v>31</v>
      </c>
      <c r="E20" s="79" t="s">
        <v>25</v>
      </c>
      <c r="F20" s="79" t="s">
        <v>25</v>
      </c>
      <c r="G20" s="78" t="s">
        <v>86</v>
      </c>
      <c r="H20" s="78" t="s">
        <v>82</v>
      </c>
      <c r="I20" s="78">
        <f>'MERCADO TE'!$U$17</f>
        <v>0</v>
      </c>
      <c r="J20" s="15"/>
      <c r="L20" s="76">
        <f>'TE BE'!$L$20*'TE BE'!$L$49</f>
        <v>3.0536234367108361E-11</v>
      </c>
      <c r="M20" s="76">
        <f>'TE BE'!$M$20*'TE BE'!$M$49</f>
        <v>-14.200076145671</v>
      </c>
      <c r="N20" s="76">
        <f>'TE BE'!$N$20*'TE BE'!$N$49</f>
        <v>0</v>
      </c>
      <c r="O20" s="76">
        <f>'TE BE'!$O$20*'TE BE'!$O$49</f>
        <v>0.18736530626772324</v>
      </c>
      <c r="P20" s="76">
        <f>'TE BE'!$P$20*'TE BE'!$P$49</f>
        <v>0</v>
      </c>
      <c r="Q20" s="76">
        <f>SUM($L$20:$P$20)</f>
        <v>-14.01271083937274</v>
      </c>
      <c r="R20" s="76">
        <f>'TE BE'!$R$20*'TE BE'!$R$49</f>
        <v>-6.0927230663125291</v>
      </c>
      <c r="S20" s="76">
        <f>SUM($R$20:$R$20)</f>
        <v>-6.0927230663125291</v>
      </c>
      <c r="T20" s="76">
        <f>'TE BE'!$T$20*'TE BE'!$T$49</f>
        <v>0.58989528769629773</v>
      </c>
      <c r="U20" s="76">
        <f>'TE BE'!$U$20*'TE BE'!$U$49</f>
        <v>0.63084146016067089</v>
      </c>
      <c r="V20" s="76">
        <f>'TE BE'!$V$20*'TE BE'!$V$49</f>
        <v>0</v>
      </c>
      <c r="W20" s="76">
        <f>SUM($T$20:$V$20)</f>
        <v>1.2207367478569686</v>
      </c>
      <c r="X20" s="76">
        <f>'TE BE'!$AB$20*'TE BE'!$X$49</f>
        <v>-47.434402591282549</v>
      </c>
      <c r="Y20" s="76">
        <f>SUM($X$20:$X$20)</f>
        <v>-47.434402591282549</v>
      </c>
      <c r="Z20" s="76">
        <f>'TE BE'!$Z$20*'TE BE'!$Z$49</f>
        <v>-0.17758699964664251</v>
      </c>
      <c r="AA20" s="76">
        <f>SUM($Z$20:$Z$20)</f>
        <v>-0.17758699964664251</v>
      </c>
      <c r="AB20" s="76">
        <f>SUMIF($L$4:$AA$4,"SUBTOTAL",$L$20:$AA$20)</f>
        <v>-66.496686748757483</v>
      </c>
    </row>
    <row r="21" spans="1:28" ht="11.25" customHeight="1" x14ac:dyDescent="0.25">
      <c r="A21" s="142" t="s">
        <v>42</v>
      </c>
      <c r="B21" s="142" t="s">
        <v>81</v>
      </c>
      <c r="C21" s="142" t="s">
        <v>43</v>
      </c>
      <c r="D21" s="142" t="s">
        <v>25</v>
      </c>
      <c r="E21" s="142" t="s">
        <v>25</v>
      </c>
      <c r="F21" s="142" t="s">
        <v>25</v>
      </c>
      <c r="G21" s="78" t="s">
        <v>83</v>
      </c>
      <c r="H21" s="78" t="s">
        <v>82</v>
      </c>
      <c r="I21" s="78">
        <f>'MERCADO TE'!$U$18</f>
        <v>0</v>
      </c>
      <c r="J21" s="15"/>
      <c r="L21" s="76">
        <f>'TE BE'!$L$21*'TE BE'!$L$49</f>
        <v>3.0536234367108361E-11</v>
      </c>
      <c r="M21" s="76">
        <f>'TE BE'!$M$21*'TE BE'!$M$49</f>
        <v>-14.200076145671</v>
      </c>
      <c r="N21" s="76">
        <f>'TE BE'!$N$21*'TE BE'!$N$49</f>
        <v>0</v>
      </c>
      <c r="O21" s="76">
        <f>'TE BE'!$O$21*'TE BE'!$O$49</f>
        <v>0.18736530626772324</v>
      </c>
      <c r="P21" s="76">
        <f>'TE BE'!$P$21*'TE BE'!$P$49</f>
        <v>0</v>
      </c>
      <c r="Q21" s="76">
        <f>SUM($L$21:$P$21)</f>
        <v>-14.01271083937274</v>
      </c>
      <c r="R21" s="76">
        <f>'TE BE'!$R$21*'TE BE'!$R$49</f>
        <v>-9.8863053528844809</v>
      </c>
      <c r="S21" s="76">
        <f>SUM($R$21:$R$21)</f>
        <v>-9.8863053528844809</v>
      </c>
      <c r="T21" s="76">
        <f>'TE BE'!$T$21*'TE BE'!$T$49</f>
        <v>0.58989528769629773</v>
      </c>
      <c r="U21" s="76">
        <f>'TE BE'!$U$21*'TE BE'!$U$49</f>
        <v>0.63084146016067089</v>
      </c>
      <c r="V21" s="76">
        <f>'TE BE'!$V$21*'TE BE'!$V$49</f>
        <v>0</v>
      </c>
      <c r="W21" s="76">
        <f>SUM($T$21:$V$21)</f>
        <v>1.2207367478569686</v>
      </c>
      <c r="X21" s="76">
        <f>'TE BE'!$AB$21*'TE BE'!$X$49</f>
        <v>-72.904527404294441</v>
      </c>
      <c r="Y21" s="76">
        <f>SUM($X$21:$X$21)</f>
        <v>-72.904527404294441</v>
      </c>
      <c r="Z21" s="76">
        <f>'TE BE'!$Z$21*'TE BE'!$Z$49</f>
        <v>-0.17758699964664251</v>
      </c>
      <c r="AA21" s="76">
        <f>SUM($Z$21:$Z$21)</f>
        <v>-0.17758699964664251</v>
      </c>
      <c r="AB21" s="76">
        <f>SUMIF($L$4:$AA$4,"SUBTOTAL",$L$21:$AA$21)</f>
        <v>-95.760393848341337</v>
      </c>
    </row>
    <row r="22" spans="1:28" ht="11.25" customHeight="1" x14ac:dyDescent="0.25">
      <c r="A22" s="142"/>
      <c r="B22" s="142"/>
      <c r="C22" s="142"/>
      <c r="D22" s="142"/>
      <c r="E22" s="142"/>
      <c r="F22" s="142"/>
      <c r="G22" s="78" t="s">
        <v>93</v>
      </c>
      <c r="H22" s="78" t="s">
        <v>82</v>
      </c>
      <c r="I22" s="78">
        <f>'MERCADO TE'!$U$19</f>
        <v>0</v>
      </c>
      <c r="J22" s="15"/>
      <c r="L22" s="76">
        <f>'TE BE'!$L$22*'TE BE'!$L$49</f>
        <v>3.0536234367108361E-11</v>
      </c>
      <c r="M22" s="76">
        <f>'TE BE'!$M$22*'TE BE'!$M$49</f>
        <v>-14.200076145671</v>
      </c>
      <c r="N22" s="76">
        <f>'TE BE'!$N$22*'TE BE'!$N$49</f>
        <v>0</v>
      </c>
      <c r="O22" s="76">
        <f>'TE BE'!$O$22*'TE BE'!$O$49</f>
        <v>0.18736530626772324</v>
      </c>
      <c r="P22" s="76">
        <f>'TE BE'!$P$22*'TE BE'!$P$49</f>
        <v>0</v>
      </c>
      <c r="Q22" s="76">
        <f>SUM($L$22:$P$22)</f>
        <v>-14.01271083937274</v>
      </c>
      <c r="R22" s="76">
        <f>'TE BE'!$R$22*'TE BE'!$R$49</f>
        <v>-5.7478519493514417</v>
      </c>
      <c r="S22" s="76">
        <f>SUM($R$22:$R$22)</f>
        <v>-5.7478519493514417</v>
      </c>
      <c r="T22" s="76">
        <f>'TE BE'!$T$22*'TE BE'!$T$49</f>
        <v>0.58989528769629773</v>
      </c>
      <c r="U22" s="76">
        <f>'TE BE'!$U$22*'TE BE'!$U$49</f>
        <v>0.63084146016067089</v>
      </c>
      <c r="V22" s="76">
        <f>'TE BE'!$V$22*'TE BE'!$V$49</f>
        <v>0</v>
      </c>
      <c r="W22" s="76">
        <f>SUM($T$22:$V$22)</f>
        <v>1.2207367478569686</v>
      </c>
      <c r="X22" s="76">
        <f>'TE BE'!$AB$22*'TE BE'!$X$49</f>
        <v>-45.118936699190549</v>
      </c>
      <c r="Y22" s="76">
        <f>SUM($X$22:$X$22)</f>
        <v>-45.118936699190549</v>
      </c>
      <c r="Z22" s="76">
        <f>'TE BE'!$Z$22*'TE BE'!$Z$49</f>
        <v>-0.17758699964664251</v>
      </c>
      <c r="AA22" s="76">
        <f>SUM($Z$22:$Z$22)</f>
        <v>-0.17758699964664251</v>
      </c>
      <c r="AB22" s="76">
        <f>SUMIF($L$4:$AA$4,"SUBTOTAL",$L$22:$AA$22)</f>
        <v>-63.83634973970441</v>
      </c>
    </row>
    <row r="23" spans="1:28" ht="11.25" customHeight="1" x14ac:dyDescent="0.25">
      <c r="A23" s="142"/>
      <c r="B23" s="142"/>
      <c r="C23" s="142"/>
      <c r="D23" s="142"/>
      <c r="E23" s="142"/>
      <c r="F23" s="142"/>
      <c r="G23" s="78" t="s">
        <v>84</v>
      </c>
      <c r="H23" s="78" t="s">
        <v>82</v>
      </c>
      <c r="I23" s="78">
        <f>'MERCADO TE'!$U$20</f>
        <v>0</v>
      </c>
      <c r="J23" s="15"/>
      <c r="L23" s="76">
        <f>'TE BE'!$L$23*'TE BE'!$L$49</f>
        <v>3.0536234367108361E-11</v>
      </c>
      <c r="M23" s="76">
        <f>'TE BE'!$M$23*'TE BE'!$M$49</f>
        <v>-14.200076145671</v>
      </c>
      <c r="N23" s="76">
        <f>'TE BE'!$N$23*'TE BE'!$N$49</f>
        <v>0</v>
      </c>
      <c r="O23" s="76">
        <f>'TE BE'!$O$23*'TE BE'!$O$49</f>
        <v>0.18736530626772324</v>
      </c>
      <c r="P23" s="76">
        <f>'TE BE'!$P$23*'TE BE'!$P$49</f>
        <v>0</v>
      </c>
      <c r="Q23" s="76">
        <f>SUM($L$23:$P$23)</f>
        <v>-14.01271083937274</v>
      </c>
      <c r="R23" s="76">
        <f>'TE BE'!$R$23*'TE BE'!$R$49</f>
        <v>-5.7478519493514417</v>
      </c>
      <c r="S23" s="76">
        <f>SUM($R$23:$R$23)</f>
        <v>-5.7478519493514417</v>
      </c>
      <c r="T23" s="76">
        <f>'TE BE'!$T$23*'TE BE'!$T$49</f>
        <v>0.58989528769629773</v>
      </c>
      <c r="U23" s="76">
        <f>'TE BE'!$U$23*'TE BE'!$U$49</f>
        <v>0.63084146016067089</v>
      </c>
      <c r="V23" s="76">
        <f>'TE BE'!$V$23*'TE BE'!$V$49</f>
        <v>0</v>
      </c>
      <c r="W23" s="76">
        <f>SUM($T$23:$V$23)</f>
        <v>1.2207367478569686</v>
      </c>
      <c r="X23" s="76">
        <f>'TE BE'!$AB$23*'TE BE'!$X$49</f>
        <v>-45.118936699190549</v>
      </c>
      <c r="Y23" s="76">
        <f>SUM($X$23:$X$23)</f>
        <v>-45.118936699190549</v>
      </c>
      <c r="Z23" s="76">
        <f>'TE BE'!$Z$23*'TE BE'!$Z$49</f>
        <v>-0.17758699964664251</v>
      </c>
      <c r="AA23" s="76">
        <f>SUM($Z$23:$Z$23)</f>
        <v>-0.17758699964664251</v>
      </c>
      <c r="AB23" s="76">
        <f>SUMIF($L$4:$AA$4,"SUBTOTAL",$L$23:$AA$23)</f>
        <v>-63.83634973970441</v>
      </c>
    </row>
    <row r="24" spans="1:28" ht="11.25" customHeight="1" x14ac:dyDescent="0.25">
      <c r="A24" s="142"/>
      <c r="B24" s="79" t="s">
        <v>85</v>
      </c>
      <c r="C24" s="79" t="s">
        <v>43</v>
      </c>
      <c r="D24" s="79" t="s">
        <v>25</v>
      </c>
      <c r="E24" s="79" t="s">
        <v>25</v>
      </c>
      <c r="F24" s="79" t="s">
        <v>25</v>
      </c>
      <c r="G24" s="78" t="s">
        <v>86</v>
      </c>
      <c r="H24" s="78" t="s">
        <v>82</v>
      </c>
      <c r="I24" s="78">
        <f>'MERCADO TE'!$U$21</f>
        <v>18727.453000000001</v>
      </c>
      <c r="J24" s="15"/>
      <c r="L24" s="76">
        <f>'TE BE'!$L$24*'TE BE'!$L$49</f>
        <v>3.0536234367108361E-11</v>
      </c>
      <c r="M24" s="76">
        <f>'TE BE'!$M$24*'TE BE'!$M$49</f>
        <v>-14.200076145671</v>
      </c>
      <c r="N24" s="76">
        <f>'TE BE'!$N$24*'TE BE'!$N$49</f>
        <v>0</v>
      </c>
      <c r="O24" s="76">
        <f>'TE BE'!$O$24*'TE BE'!$O$49</f>
        <v>0.18736530626772324</v>
      </c>
      <c r="P24" s="76">
        <f>'TE BE'!$P$24*'TE BE'!$P$49</f>
        <v>0</v>
      </c>
      <c r="Q24" s="76">
        <f>SUM($L$24:$P$24)</f>
        <v>-14.01271083937274</v>
      </c>
      <c r="R24" s="76">
        <f>'TE BE'!$R$24*'TE BE'!$R$49</f>
        <v>-6.0927230663125291</v>
      </c>
      <c r="S24" s="76">
        <f>SUM($R$24:$R$24)</f>
        <v>-6.0927230663125291</v>
      </c>
      <c r="T24" s="76">
        <f>'TE BE'!$T$24*'TE BE'!$T$49</f>
        <v>0.58989528769629773</v>
      </c>
      <c r="U24" s="76">
        <f>'TE BE'!$U$24*'TE BE'!$U$49</f>
        <v>0.63084146016067089</v>
      </c>
      <c r="V24" s="76">
        <f>'TE BE'!$V$24*'TE BE'!$V$49</f>
        <v>0</v>
      </c>
      <c r="W24" s="76">
        <f>SUM($T$24:$V$24)</f>
        <v>1.2207367478569686</v>
      </c>
      <c r="X24" s="76">
        <f>'TE BE'!$AB$24*'TE BE'!$X$49</f>
        <v>-47.434402591282549</v>
      </c>
      <c r="Y24" s="76">
        <f>SUM($X$24:$X$24)</f>
        <v>-47.434402591282549</v>
      </c>
      <c r="Z24" s="76">
        <f>'TE BE'!$Z$24*'TE BE'!$Z$49</f>
        <v>-0.17758699964664251</v>
      </c>
      <c r="AA24" s="76">
        <f>SUM($Z$24:$Z$24)</f>
        <v>-0.17758699964664251</v>
      </c>
      <c r="AB24" s="76">
        <f>SUMIF($L$4:$AA$4,"SUBTOTAL",$L$24:$AA$24)</f>
        <v>-66.496686748757483</v>
      </c>
    </row>
    <row r="25" spans="1:28" ht="11.25" customHeight="1" x14ac:dyDescent="0.25">
      <c r="A25" s="142"/>
      <c r="B25" s="142" t="s">
        <v>81</v>
      </c>
      <c r="C25" s="142" t="s">
        <v>43</v>
      </c>
      <c r="D25" s="142" t="s">
        <v>96</v>
      </c>
      <c r="E25" s="142" t="s">
        <v>25</v>
      </c>
      <c r="F25" s="142" t="s">
        <v>25</v>
      </c>
      <c r="G25" s="78" t="s">
        <v>83</v>
      </c>
      <c r="H25" s="78" t="s">
        <v>82</v>
      </c>
      <c r="I25" s="78">
        <f>'MERCADO TE'!$U$22</f>
        <v>0</v>
      </c>
      <c r="J25" s="15"/>
      <c r="L25" s="76">
        <f>'TE BE'!$L$25*'TE BE'!$L$49</f>
        <v>3.0536234367108361E-11</v>
      </c>
      <c r="M25" s="76">
        <f>'TE BE'!$M$25*'TE BE'!$M$49</f>
        <v>-14.200076145671</v>
      </c>
      <c r="N25" s="76">
        <f>'TE BE'!$N$25*'TE BE'!$N$49</f>
        <v>0</v>
      </c>
      <c r="O25" s="76">
        <f>'TE BE'!$O$25*'TE BE'!$O$49</f>
        <v>0.18736530626772324</v>
      </c>
      <c r="P25" s="76">
        <f>'TE BE'!$P$25*'TE BE'!$P$49</f>
        <v>0</v>
      </c>
      <c r="Q25" s="76">
        <f>SUM($L$25:$P$25)</f>
        <v>-14.01271083937274</v>
      </c>
      <c r="R25" s="76">
        <f>'TE BE'!$R$25*'TE BE'!$R$49</f>
        <v>-9.8863053528844809</v>
      </c>
      <c r="S25" s="76">
        <f>SUM($R$25:$R$25)</f>
        <v>-9.8863053528844809</v>
      </c>
      <c r="T25" s="76">
        <f>'TE BE'!$T$25*'TE BE'!$T$49</f>
        <v>0.58989528769629773</v>
      </c>
      <c r="U25" s="76">
        <f>'TE BE'!$U$25*'TE BE'!$U$49</f>
        <v>0.63084146016067089</v>
      </c>
      <c r="V25" s="76">
        <f>'TE BE'!$V$25*'TE BE'!$V$49</f>
        <v>0</v>
      </c>
      <c r="W25" s="76">
        <f>SUM($T$25:$V$25)</f>
        <v>1.2207367478569686</v>
      </c>
      <c r="X25" s="76">
        <f>'TE BE'!$AB$25*'TE BE'!$X$49</f>
        <v>-72.904527404294441</v>
      </c>
      <c r="Y25" s="76">
        <f>SUM($X$25:$X$25)</f>
        <v>-72.904527404294441</v>
      </c>
      <c r="Z25" s="76">
        <f>'TE BE'!$Z$25*'TE BE'!$Z$49</f>
        <v>-0.17758699964664251</v>
      </c>
      <c r="AA25" s="76">
        <f>SUM($Z$25:$Z$25)</f>
        <v>-0.17758699964664251</v>
      </c>
      <c r="AB25" s="76">
        <f>SUMIF($L$4:$AA$4,"SUBTOTAL",$L$25:$AA$25)</f>
        <v>-95.760393848341337</v>
      </c>
    </row>
    <row r="26" spans="1:28" ht="11.25" customHeight="1" x14ac:dyDescent="0.25">
      <c r="A26" s="142"/>
      <c r="B26" s="142"/>
      <c r="C26" s="142"/>
      <c r="D26" s="142"/>
      <c r="E26" s="142"/>
      <c r="F26" s="142"/>
      <c r="G26" s="78" t="s">
        <v>93</v>
      </c>
      <c r="H26" s="78" t="s">
        <v>82</v>
      </c>
      <c r="I26" s="78">
        <f>'MERCADO TE'!$U$23</f>
        <v>0</v>
      </c>
      <c r="J26" s="15"/>
      <c r="L26" s="76">
        <f>'TE BE'!$L$26*'TE BE'!$L$49</f>
        <v>3.0536234367108361E-11</v>
      </c>
      <c r="M26" s="76">
        <f>'TE BE'!$M$26*'TE BE'!$M$49</f>
        <v>-14.200076145671</v>
      </c>
      <c r="N26" s="76">
        <f>'TE BE'!$N$26*'TE BE'!$N$49</f>
        <v>0</v>
      </c>
      <c r="O26" s="76">
        <f>'TE BE'!$O$26*'TE BE'!$O$49</f>
        <v>0.18736530626772324</v>
      </c>
      <c r="P26" s="76">
        <f>'TE BE'!$P$26*'TE BE'!$P$49</f>
        <v>0</v>
      </c>
      <c r="Q26" s="76">
        <f>SUM($L$26:$P$26)</f>
        <v>-14.01271083937274</v>
      </c>
      <c r="R26" s="76">
        <f>'TE BE'!$R$26*'TE BE'!$R$49</f>
        <v>-5.7478519493514417</v>
      </c>
      <c r="S26" s="76">
        <f>SUM($R$26:$R$26)</f>
        <v>-5.7478519493514417</v>
      </c>
      <c r="T26" s="76">
        <f>'TE BE'!$T$26*'TE BE'!$T$49</f>
        <v>0.58989528769629773</v>
      </c>
      <c r="U26" s="76">
        <f>'TE BE'!$U$26*'TE BE'!$U$49</f>
        <v>0.63084146016067089</v>
      </c>
      <c r="V26" s="76">
        <f>'TE BE'!$V$26*'TE BE'!$V$49</f>
        <v>0</v>
      </c>
      <c r="W26" s="76">
        <f>SUM($T$26:$V$26)</f>
        <v>1.2207367478569686</v>
      </c>
      <c r="X26" s="76">
        <f>'TE BE'!$AB$26*'TE BE'!$X$49</f>
        <v>-45.118936699190549</v>
      </c>
      <c r="Y26" s="76">
        <f>SUM($X$26:$X$26)</f>
        <v>-45.118936699190549</v>
      </c>
      <c r="Z26" s="76">
        <f>'TE BE'!$Z$26*'TE BE'!$Z$49</f>
        <v>-0.17758699964664251</v>
      </c>
      <c r="AA26" s="76">
        <f>SUM($Z$26:$Z$26)</f>
        <v>-0.17758699964664251</v>
      </c>
      <c r="AB26" s="76">
        <f>SUMIF($L$4:$AA$4,"SUBTOTAL",$L$26:$AA$26)</f>
        <v>-63.83634973970441</v>
      </c>
    </row>
    <row r="27" spans="1:28" ht="11.25" customHeight="1" x14ac:dyDescent="0.25">
      <c r="A27" s="142"/>
      <c r="B27" s="142"/>
      <c r="C27" s="142"/>
      <c r="D27" s="142"/>
      <c r="E27" s="142"/>
      <c r="F27" s="142"/>
      <c r="G27" s="78" t="s">
        <v>84</v>
      </c>
      <c r="H27" s="78" t="s">
        <v>82</v>
      </c>
      <c r="I27" s="78">
        <f>'MERCADO TE'!$U$24</f>
        <v>0</v>
      </c>
      <c r="J27" s="15"/>
      <c r="L27" s="76">
        <f>'TE BE'!$L$27*'TE BE'!$L$49</f>
        <v>3.0536234367108361E-11</v>
      </c>
      <c r="M27" s="76">
        <f>'TE BE'!$M$27*'TE BE'!$M$49</f>
        <v>-14.200076145671</v>
      </c>
      <c r="N27" s="76">
        <f>'TE BE'!$N$27*'TE BE'!$N$49</f>
        <v>0</v>
      </c>
      <c r="O27" s="76">
        <f>'TE BE'!$O$27*'TE BE'!$O$49</f>
        <v>0.18736530626772324</v>
      </c>
      <c r="P27" s="76">
        <f>'TE BE'!$P$27*'TE BE'!$P$49</f>
        <v>0</v>
      </c>
      <c r="Q27" s="76">
        <f>SUM($L$27:$P$27)</f>
        <v>-14.01271083937274</v>
      </c>
      <c r="R27" s="76">
        <f>'TE BE'!$R$27*'TE BE'!$R$49</f>
        <v>-5.7478519493514417</v>
      </c>
      <c r="S27" s="76">
        <f>SUM($R$27:$R$27)</f>
        <v>-5.7478519493514417</v>
      </c>
      <c r="T27" s="76">
        <f>'TE BE'!$T$27*'TE BE'!$T$49</f>
        <v>0.58989528769629773</v>
      </c>
      <c r="U27" s="76">
        <f>'TE BE'!$U$27*'TE BE'!$U$49</f>
        <v>0.63084146016067089</v>
      </c>
      <c r="V27" s="76">
        <f>'TE BE'!$V$27*'TE BE'!$V$49</f>
        <v>0</v>
      </c>
      <c r="W27" s="76">
        <f>SUM($T$27:$V$27)</f>
        <v>1.2207367478569686</v>
      </c>
      <c r="X27" s="76">
        <f>'TE BE'!$AB$27*'TE BE'!$X$49</f>
        <v>-45.118936699190549</v>
      </c>
      <c r="Y27" s="76">
        <f>SUM($X$27:$X$27)</f>
        <v>-45.118936699190549</v>
      </c>
      <c r="Z27" s="76">
        <f>'TE BE'!$Z$27*'TE BE'!$Z$49</f>
        <v>-0.17758699964664251</v>
      </c>
      <c r="AA27" s="76">
        <f>SUM($Z$27:$Z$27)</f>
        <v>-0.17758699964664251</v>
      </c>
      <c r="AB27" s="76">
        <f>SUMIF($L$4:$AA$4,"SUBTOTAL",$L$27:$AA$27)</f>
        <v>-63.83634973970441</v>
      </c>
    </row>
    <row r="28" spans="1:28" ht="11.25" customHeight="1" x14ac:dyDescent="0.25">
      <c r="A28" s="142"/>
      <c r="B28" s="79" t="s">
        <v>85</v>
      </c>
      <c r="C28" s="79" t="s">
        <v>43</v>
      </c>
      <c r="D28" s="79" t="s">
        <v>96</v>
      </c>
      <c r="E28" s="79" t="s">
        <v>25</v>
      </c>
      <c r="F28" s="79" t="s">
        <v>25</v>
      </c>
      <c r="G28" s="78" t="s">
        <v>86</v>
      </c>
      <c r="H28" s="78" t="s">
        <v>82</v>
      </c>
      <c r="I28" s="78">
        <f>'MERCADO TE'!$U$25</f>
        <v>0</v>
      </c>
      <c r="J28" s="15"/>
      <c r="L28" s="76">
        <f>'TE BE'!$L$28*'TE BE'!$L$49</f>
        <v>3.0536234367108361E-11</v>
      </c>
      <c r="M28" s="76">
        <f>'TE BE'!$M$28*'TE BE'!$M$49</f>
        <v>-14.200076145671</v>
      </c>
      <c r="N28" s="76">
        <f>'TE BE'!$N$28*'TE BE'!$N$49</f>
        <v>0</v>
      </c>
      <c r="O28" s="76">
        <f>'TE BE'!$O$28*'TE BE'!$O$49</f>
        <v>0.18736530626772324</v>
      </c>
      <c r="P28" s="76">
        <f>'TE BE'!$P$28*'TE BE'!$P$49</f>
        <v>0</v>
      </c>
      <c r="Q28" s="76">
        <f>SUM($L$28:$P$28)</f>
        <v>-14.01271083937274</v>
      </c>
      <c r="R28" s="76">
        <f>'TE BE'!$R$28*'TE BE'!$R$49</f>
        <v>-6.0927230663125291</v>
      </c>
      <c r="S28" s="76">
        <f>SUM($R$28:$R$28)</f>
        <v>-6.0927230663125291</v>
      </c>
      <c r="T28" s="76">
        <f>'TE BE'!$T$28*'TE BE'!$T$49</f>
        <v>0.58989528769629773</v>
      </c>
      <c r="U28" s="76">
        <f>'TE BE'!$U$28*'TE BE'!$U$49</f>
        <v>0.63084146016067089</v>
      </c>
      <c r="V28" s="76">
        <f>'TE BE'!$V$28*'TE BE'!$V$49</f>
        <v>0</v>
      </c>
      <c r="W28" s="76">
        <f>SUM($T$28:$V$28)</f>
        <v>1.2207367478569686</v>
      </c>
      <c r="X28" s="76">
        <f>'TE BE'!$AB$28*'TE BE'!$X$49</f>
        <v>-47.434402591282549</v>
      </c>
      <c r="Y28" s="76">
        <f>SUM($X$28:$X$28)</f>
        <v>-47.434402591282549</v>
      </c>
      <c r="Z28" s="76">
        <f>'TE BE'!$Z$28*'TE BE'!$Z$49</f>
        <v>-0.17758699964664251</v>
      </c>
      <c r="AA28" s="76">
        <f>SUM($Z$28:$Z$28)</f>
        <v>-0.17758699964664251</v>
      </c>
      <c r="AB28" s="76">
        <f>SUMIF($L$4:$AA$4,"SUBTOTAL",$L$28:$AA$28)</f>
        <v>-66.496686748757483</v>
      </c>
    </row>
    <row r="29" spans="1:28" ht="11.25" customHeight="1" x14ac:dyDescent="0.25">
      <c r="A29" s="142"/>
      <c r="B29" s="142" t="s">
        <v>81</v>
      </c>
      <c r="C29" s="142" t="s">
        <v>43</v>
      </c>
      <c r="D29" s="142" t="s">
        <v>97</v>
      </c>
      <c r="E29" s="142" t="s">
        <v>25</v>
      </c>
      <c r="F29" s="142" t="s">
        <v>25</v>
      </c>
      <c r="G29" s="78" t="s">
        <v>83</v>
      </c>
      <c r="H29" s="78" t="s">
        <v>82</v>
      </c>
      <c r="I29" s="78">
        <f>'MERCADO TE'!$U$26</f>
        <v>0</v>
      </c>
      <c r="J29" s="15"/>
      <c r="L29" s="76">
        <f>'TE BE'!$L$29*'TE BE'!$L$49</f>
        <v>3.0536234367108361E-11</v>
      </c>
      <c r="M29" s="76">
        <f>'TE BE'!$M$29*'TE BE'!$M$49</f>
        <v>-14.200076145671</v>
      </c>
      <c r="N29" s="76">
        <f>'TE BE'!$N$29*'TE BE'!$N$49</f>
        <v>0</v>
      </c>
      <c r="O29" s="76">
        <f>'TE BE'!$O$29*'TE BE'!$O$49</f>
        <v>0.18736530626772324</v>
      </c>
      <c r="P29" s="76">
        <f>'TE BE'!$P$29*'TE BE'!$P$49</f>
        <v>0</v>
      </c>
      <c r="Q29" s="76">
        <f>SUM($L$29:$P$29)</f>
        <v>-14.01271083937274</v>
      </c>
      <c r="R29" s="76">
        <f>'TE BE'!$R$29*'TE BE'!$R$49</f>
        <v>-9.8863053528844809</v>
      </c>
      <c r="S29" s="76">
        <f>SUM($R$29:$R$29)</f>
        <v>-9.8863053528844809</v>
      </c>
      <c r="T29" s="76">
        <f>'TE BE'!$T$29*'TE BE'!$T$49</f>
        <v>0.58989528769629773</v>
      </c>
      <c r="U29" s="76">
        <f>'TE BE'!$U$29*'TE BE'!$U$49</f>
        <v>0.63084146016067089</v>
      </c>
      <c r="V29" s="76">
        <f>'TE BE'!$V$29*'TE BE'!$V$49</f>
        <v>0</v>
      </c>
      <c r="W29" s="76">
        <f>SUM($T$29:$V$29)</f>
        <v>1.2207367478569686</v>
      </c>
      <c r="X29" s="76">
        <f>'TE BE'!$AB$29*'TE BE'!$X$49</f>
        <v>-72.904527404294441</v>
      </c>
      <c r="Y29" s="76">
        <f>SUM($X$29:$X$29)</f>
        <v>-72.904527404294441</v>
      </c>
      <c r="Z29" s="76">
        <f>'TE BE'!$Z$29*'TE BE'!$Z$49</f>
        <v>-0.17758699964664251</v>
      </c>
      <c r="AA29" s="76">
        <f>SUM($Z$29:$Z$29)</f>
        <v>-0.17758699964664251</v>
      </c>
      <c r="AB29" s="76">
        <f>SUMIF($L$4:$AA$4,"SUBTOTAL",$L$29:$AA$29)</f>
        <v>-95.760393848341337</v>
      </c>
    </row>
    <row r="30" spans="1:28" ht="11.25" customHeight="1" x14ac:dyDescent="0.25">
      <c r="A30" s="142"/>
      <c r="B30" s="142"/>
      <c r="C30" s="142"/>
      <c r="D30" s="142"/>
      <c r="E30" s="142"/>
      <c r="F30" s="142"/>
      <c r="G30" s="78" t="s">
        <v>93</v>
      </c>
      <c r="H30" s="78" t="s">
        <v>82</v>
      </c>
      <c r="I30" s="78">
        <f>'MERCADO TE'!$U$27</f>
        <v>0</v>
      </c>
      <c r="J30" s="15"/>
      <c r="L30" s="76">
        <f>'TE BE'!$L$30*'TE BE'!$L$49</f>
        <v>3.0536234367108361E-11</v>
      </c>
      <c r="M30" s="76">
        <f>'TE BE'!$M$30*'TE BE'!$M$49</f>
        <v>-14.200076145671</v>
      </c>
      <c r="N30" s="76">
        <f>'TE BE'!$N$30*'TE BE'!$N$49</f>
        <v>0</v>
      </c>
      <c r="O30" s="76">
        <f>'TE BE'!$O$30*'TE BE'!$O$49</f>
        <v>0.18736530626772324</v>
      </c>
      <c r="P30" s="76">
        <f>'TE BE'!$P$30*'TE BE'!$P$49</f>
        <v>0</v>
      </c>
      <c r="Q30" s="76">
        <f>SUM($L$30:$P$30)</f>
        <v>-14.01271083937274</v>
      </c>
      <c r="R30" s="76">
        <f>'TE BE'!$R$30*'TE BE'!$R$49</f>
        <v>-5.7478519493514417</v>
      </c>
      <c r="S30" s="76">
        <f>SUM($R$30:$R$30)</f>
        <v>-5.7478519493514417</v>
      </c>
      <c r="T30" s="76">
        <f>'TE BE'!$T$30*'TE BE'!$T$49</f>
        <v>0.58989528769629773</v>
      </c>
      <c r="U30" s="76">
        <f>'TE BE'!$U$30*'TE BE'!$U$49</f>
        <v>0.63084146016067089</v>
      </c>
      <c r="V30" s="76">
        <f>'TE BE'!$V$30*'TE BE'!$V$49</f>
        <v>0</v>
      </c>
      <c r="W30" s="76">
        <f>SUM($T$30:$V$30)</f>
        <v>1.2207367478569686</v>
      </c>
      <c r="X30" s="76">
        <f>'TE BE'!$AB$30*'TE BE'!$X$49</f>
        <v>-45.118936699190549</v>
      </c>
      <c r="Y30" s="76">
        <f>SUM($X$30:$X$30)</f>
        <v>-45.118936699190549</v>
      </c>
      <c r="Z30" s="76">
        <f>'TE BE'!$Z$30*'TE BE'!$Z$49</f>
        <v>-0.17758699964664251</v>
      </c>
      <c r="AA30" s="76">
        <f>SUM($Z$30:$Z$30)</f>
        <v>-0.17758699964664251</v>
      </c>
      <c r="AB30" s="76">
        <f>SUMIF($L$4:$AA$4,"SUBTOTAL",$L$30:$AA$30)</f>
        <v>-63.83634973970441</v>
      </c>
    </row>
    <row r="31" spans="1:28" ht="11.25" customHeight="1" x14ac:dyDescent="0.25">
      <c r="A31" s="142"/>
      <c r="B31" s="142"/>
      <c r="C31" s="142"/>
      <c r="D31" s="142"/>
      <c r="E31" s="142"/>
      <c r="F31" s="142"/>
      <c r="G31" s="78" t="s">
        <v>84</v>
      </c>
      <c r="H31" s="78" t="s">
        <v>82</v>
      </c>
      <c r="I31" s="78">
        <f>'MERCADO TE'!$U$28</f>
        <v>0</v>
      </c>
      <c r="J31" s="15"/>
      <c r="L31" s="76">
        <f>'TE BE'!$L$31*'TE BE'!$L$49</f>
        <v>3.0536234367108361E-11</v>
      </c>
      <c r="M31" s="76">
        <f>'TE BE'!$M$31*'TE BE'!$M$49</f>
        <v>-14.200076145671</v>
      </c>
      <c r="N31" s="76">
        <f>'TE BE'!$N$31*'TE BE'!$N$49</f>
        <v>0</v>
      </c>
      <c r="O31" s="76">
        <f>'TE BE'!$O$31*'TE BE'!$O$49</f>
        <v>0.18736530626772324</v>
      </c>
      <c r="P31" s="76">
        <f>'TE BE'!$P$31*'TE BE'!$P$49</f>
        <v>0</v>
      </c>
      <c r="Q31" s="76">
        <f>SUM($L$31:$P$31)</f>
        <v>-14.01271083937274</v>
      </c>
      <c r="R31" s="76">
        <f>'TE BE'!$R$31*'TE BE'!$R$49</f>
        <v>-5.7478519493514417</v>
      </c>
      <c r="S31" s="76">
        <f>SUM($R$31:$R$31)</f>
        <v>-5.7478519493514417</v>
      </c>
      <c r="T31" s="76">
        <f>'TE BE'!$T$31*'TE BE'!$T$49</f>
        <v>0.58989528769629773</v>
      </c>
      <c r="U31" s="76">
        <f>'TE BE'!$U$31*'TE BE'!$U$49</f>
        <v>0.63084146016067089</v>
      </c>
      <c r="V31" s="76">
        <f>'TE BE'!$V$31*'TE BE'!$V$49</f>
        <v>0</v>
      </c>
      <c r="W31" s="76">
        <f>SUM($T$31:$V$31)</f>
        <v>1.2207367478569686</v>
      </c>
      <c r="X31" s="76">
        <f>'TE BE'!$AB$31*'TE BE'!$X$49</f>
        <v>-45.118936699190549</v>
      </c>
      <c r="Y31" s="76">
        <f>SUM($X$31:$X$31)</f>
        <v>-45.118936699190549</v>
      </c>
      <c r="Z31" s="76">
        <f>'TE BE'!$Z$31*'TE BE'!$Z$49</f>
        <v>-0.17758699964664251</v>
      </c>
      <c r="AA31" s="76">
        <f>SUM($Z$31:$Z$31)</f>
        <v>-0.17758699964664251</v>
      </c>
      <c r="AB31" s="76">
        <f>SUMIF($L$4:$AA$4,"SUBTOTAL",$L$31:$AA$31)</f>
        <v>-63.83634973970441</v>
      </c>
    </row>
    <row r="32" spans="1:28" ht="11.25" customHeight="1" x14ac:dyDescent="0.25">
      <c r="A32" s="142"/>
      <c r="B32" s="79" t="s">
        <v>85</v>
      </c>
      <c r="C32" s="79" t="s">
        <v>43</v>
      </c>
      <c r="D32" s="79" t="s">
        <v>97</v>
      </c>
      <c r="E32" s="79" t="s">
        <v>25</v>
      </c>
      <c r="F32" s="79" t="s">
        <v>25</v>
      </c>
      <c r="G32" s="78" t="s">
        <v>86</v>
      </c>
      <c r="H32" s="78" t="s">
        <v>82</v>
      </c>
      <c r="I32" s="78">
        <f>'MERCADO TE'!$U$29</f>
        <v>0</v>
      </c>
      <c r="J32" s="15"/>
      <c r="L32" s="76">
        <f>'TE BE'!$L$32*'TE BE'!$L$49</f>
        <v>3.0536234367108361E-11</v>
      </c>
      <c r="M32" s="76">
        <f>'TE BE'!$M$32*'TE BE'!$M$49</f>
        <v>-14.200076145671</v>
      </c>
      <c r="N32" s="76">
        <f>'TE BE'!$N$32*'TE BE'!$N$49</f>
        <v>0</v>
      </c>
      <c r="O32" s="76">
        <f>'TE BE'!$O$32*'TE BE'!$O$49</f>
        <v>0.18736530626772324</v>
      </c>
      <c r="P32" s="76">
        <f>'TE BE'!$P$32*'TE BE'!$P$49</f>
        <v>0</v>
      </c>
      <c r="Q32" s="76">
        <f>SUM($L$32:$P$32)</f>
        <v>-14.01271083937274</v>
      </c>
      <c r="R32" s="76">
        <f>'TE BE'!$R$32*'TE BE'!$R$49</f>
        <v>-6.0927230663125291</v>
      </c>
      <c r="S32" s="76">
        <f>SUM($R$32:$R$32)</f>
        <v>-6.0927230663125291</v>
      </c>
      <c r="T32" s="76">
        <f>'TE BE'!$T$32*'TE BE'!$T$49</f>
        <v>0.58989528769629773</v>
      </c>
      <c r="U32" s="76">
        <f>'TE BE'!$U$32*'TE BE'!$U$49</f>
        <v>0.63084146016067089</v>
      </c>
      <c r="V32" s="76">
        <f>'TE BE'!$V$32*'TE BE'!$V$49</f>
        <v>0</v>
      </c>
      <c r="W32" s="76">
        <f>SUM($T$32:$V$32)</f>
        <v>1.2207367478569686</v>
      </c>
      <c r="X32" s="76">
        <f>'TE BE'!$AB$32*'TE BE'!$X$49</f>
        <v>-47.434402591282549</v>
      </c>
      <c r="Y32" s="76">
        <f>SUM($X$32:$X$32)</f>
        <v>-47.434402591282549</v>
      </c>
      <c r="Z32" s="76">
        <f>'TE BE'!$Z$32*'TE BE'!$Z$49</f>
        <v>-0.17758699964664251</v>
      </c>
      <c r="AA32" s="76">
        <f>SUM($Z$32:$Z$32)</f>
        <v>-0.17758699964664251</v>
      </c>
      <c r="AB32" s="76">
        <f>SUMIF($L$4:$AA$4,"SUBTOTAL",$L$32:$AA$32)</f>
        <v>-66.496686748757483</v>
      </c>
    </row>
    <row r="33" spans="1:28" ht="11.25" customHeight="1" x14ac:dyDescent="0.25">
      <c r="A33" s="142"/>
      <c r="B33" s="142" t="s">
        <v>94</v>
      </c>
      <c r="C33" s="142" t="s">
        <v>43</v>
      </c>
      <c r="D33" s="79" t="s">
        <v>25</v>
      </c>
      <c r="E33" s="79" t="s">
        <v>25</v>
      </c>
      <c r="F33" s="79" t="s">
        <v>25</v>
      </c>
      <c r="G33" s="78" t="s">
        <v>86</v>
      </c>
      <c r="H33" s="78" t="s">
        <v>82</v>
      </c>
      <c r="I33" s="78">
        <f>'MERCADO TE'!$U$30</f>
        <v>0</v>
      </c>
      <c r="J33" s="15"/>
      <c r="L33" s="76">
        <f>'TE BE'!$L$33*'TE BE'!$L$49</f>
        <v>3.0536234367108361E-11</v>
      </c>
      <c r="M33" s="76">
        <f>'TE BE'!$M$33*'TE BE'!$M$49</f>
        <v>-14.200076145671</v>
      </c>
      <c r="N33" s="76">
        <f>'TE BE'!$N$33*'TE BE'!$N$49</f>
        <v>0</v>
      </c>
      <c r="O33" s="76">
        <f>'TE BE'!$O$33*'TE BE'!$O$49</f>
        <v>0.18736530626772324</v>
      </c>
      <c r="P33" s="76">
        <f>'TE BE'!$P$33*'TE BE'!$P$49</f>
        <v>0</v>
      </c>
      <c r="Q33" s="76">
        <f>SUM($L$33:$P$33)</f>
        <v>-14.01271083937274</v>
      </c>
      <c r="R33" s="76">
        <f>'TE BE'!$R$33*'TE BE'!$R$49</f>
        <v>-6.0927230663125291</v>
      </c>
      <c r="S33" s="76">
        <f>SUM($R$33:$R$33)</f>
        <v>-6.0927230663125291</v>
      </c>
      <c r="T33" s="76">
        <f>'TE BE'!$T$33*'TE BE'!$T$49</f>
        <v>0.58989528769629773</v>
      </c>
      <c r="U33" s="76">
        <f>'TE BE'!$U$33*'TE BE'!$U$49</f>
        <v>0.63084146016067089</v>
      </c>
      <c r="V33" s="76">
        <f>'TE BE'!$V$33*'TE BE'!$V$49</f>
        <v>0</v>
      </c>
      <c r="W33" s="76">
        <f>SUM($T$33:$V$33)</f>
        <v>1.2207367478569686</v>
      </c>
      <c r="X33" s="76">
        <f>'TE BE'!$AB$33*'TE BE'!$X$49</f>
        <v>-47.434402591282549</v>
      </c>
      <c r="Y33" s="76">
        <f>SUM($X$33:$X$33)</f>
        <v>-47.434402591282549</v>
      </c>
      <c r="Z33" s="76">
        <f>'TE BE'!$Z$33*'TE BE'!$Z$49</f>
        <v>-0.17758699964664251</v>
      </c>
      <c r="AA33" s="76">
        <f>SUM($Z$33:$Z$33)</f>
        <v>-0.17758699964664251</v>
      </c>
      <c r="AB33" s="76">
        <f>SUMIF($L$4:$AA$4,"SUBTOTAL",$L$33:$AA$33)</f>
        <v>-66.496686748757483</v>
      </c>
    </row>
    <row r="34" spans="1:28" ht="11.25" customHeight="1" x14ac:dyDescent="0.25">
      <c r="A34" s="142"/>
      <c r="B34" s="142"/>
      <c r="C34" s="142"/>
      <c r="D34" s="79" t="s">
        <v>96</v>
      </c>
      <c r="E34" s="79" t="s">
        <v>25</v>
      </c>
      <c r="F34" s="79" t="s">
        <v>25</v>
      </c>
      <c r="G34" s="78" t="s">
        <v>86</v>
      </c>
      <c r="H34" s="78" t="s">
        <v>82</v>
      </c>
      <c r="I34" s="78">
        <f>'MERCADO TE'!$U$31</f>
        <v>0</v>
      </c>
      <c r="J34" s="15"/>
      <c r="L34" s="76">
        <f>'TE BE'!$L$34*'TE BE'!$L$49</f>
        <v>3.0536234367108361E-11</v>
      </c>
      <c r="M34" s="76">
        <f>'TE BE'!$M$34*'TE BE'!$M$49</f>
        <v>-14.200076145671</v>
      </c>
      <c r="N34" s="76">
        <f>'TE BE'!$N$34*'TE BE'!$N$49</f>
        <v>0</v>
      </c>
      <c r="O34" s="76">
        <f>'TE BE'!$O$34*'TE BE'!$O$49</f>
        <v>0.18736530626772324</v>
      </c>
      <c r="P34" s="76">
        <f>'TE BE'!$P$34*'TE BE'!$P$49</f>
        <v>0</v>
      </c>
      <c r="Q34" s="76">
        <f>SUM($L$34:$P$34)</f>
        <v>-14.01271083937274</v>
      </c>
      <c r="R34" s="76">
        <f>'TE BE'!$R$34*'TE BE'!$R$49</f>
        <v>-6.0927230663125291</v>
      </c>
      <c r="S34" s="76">
        <f>SUM($R$34:$R$34)</f>
        <v>-6.0927230663125291</v>
      </c>
      <c r="T34" s="76">
        <f>'TE BE'!$T$34*'TE BE'!$T$49</f>
        <v>0.58989528769629773</v>
      </c>
      <c r="U34" s="76">
        <f>'TE BE'!$U$34*'TE BE'!$U$49</f>
        <v>0.63084146016067089</v>
      </c>
      <c r="V34" s="76">
        <f>'TE BE'!$V$34*'TE BE'!$V$49</f>
        <v>0</v>
      </c>
      <c r="W34" s="76">
        <f>SUM($T$34:$V$34)</f>
        <v>1.2207367478569686</v>
      </c>
      <c r="X34" s="76">
        <f>'TE BE'!$AB$34*'TE BE'!$X$49</f>
        <v>-47.434402591282549</v>
      </c>
      <c r="Y34" s="76">
        <f>SUM($X$34:$X$34)</f>
        <v>-47.434402591282549</v>
      </c>
      <c r="Z34" s="76">
        <f>'TE BE'!$Z$34*'TE BE'!$Z$49</f>
        <v>-0.17758699964664251</v>
      </c>
      <c r="AA34" s="76">
        <f>SUM($Z$34:$Z$34)</f>
        <v>-0.17758699964664251</v>
      </c>
      <c r="AB34" s="76">
        <f>SUMIF($L$4:$AA$4,"SUBTOTAL",$L$34:$AA$34)</f>
        <v>-66.496686748757483</v>
      </c>
    </row>
    <row r="35" spans="1:28" ht="11.25" customHeight="1" x14ac:dyDescent="0.25">
      <c r="A35" s="142"/>
      <c r="B35" s="142"/>
      <c r="C35" s="142"/>
      <c r="D35" s="79" t="s">
        <v>97</v>
      </c>
      <c r="E35" s="79" t="s">
        <v>25</v>
      </c>
      <c r="F35" s="79" t="s">
        <v>25</v>
      </c>
      <c r="G35" s="78" t="s">
        <v>86</v>
      </c>
      <c r="H35" s="78" t="s">
        <v>82</v>
      </c>
      <c r="I35" s="78">
        <f>'MERCADO TE'!$U$32</f>
        <v>0</v>
      </c>
      <c r="J35" s="15"/>
      <c r="L35" s="76">
        <f>'TE BE'!$L$35*'TE BE'!$L$49</f>
        <v>3.0536234367108361E-11</v>
      </c>
      <c r="M35" s="76">
        <f>'TE BE'!$M$35*'TE BE'!$M$49</f>
        <v>-14.200076145671</v>
      </c>
      <c r="N35" s="76">
        <f>'TE BE'!$N$35*'TE BE'!$N$49</f>
        <v>0</v>
      </c>
      <c r="O35" s="76">
        <f>'TE BE'!$O$35*'TE BE'!$O$49</f>
        <v>0.18736530626772324</v>
      </c>
      <c r="P35" s="76">
        <f>'TE BE'!$P$35*'TE BE'!$P$49</f>
        <v>0</v>
      </c>
      <c r="Q35" s="76">
        <f>SUM($L$35:$P$35)</f>
        <v>-14.01271083937274</v>
      </c>
      <c r="R35" s="76">
        <f>'TE BE'!$R$35*'TE BE'!$R$49</f>
        <v>-6.0927230663125291</v>
      </c>
      <c r="S35" s="76">
        <f>SUM($R$35:$R$35)</f>
        <v>-6.0927230663125291</v>
      </c>
      <c r="T35" s="76">
        <f>'TE BE'!$T$35*'TE BE'!$T$49</f>
        <v>0.58989528769629773</v>
      </c>
      <c r="U35" s="76">
        <f>'TE BE'!$U$35*'TE BE'!$U$49</f>
        <v>0.63084146016067089</v>
      </c>
      <c r="V35" s="76">
        <f>'TE BE'!$V$35*'TE BE'!$V$49</f>
        <v>0</v>
      </c>
      <c r="W35" s="76">
        <f>SUM($T$35:$V$35)</f>
        <v>1.2207367478569686</v>
      </c>
      <c r="X35" s="76">
        <f>'TE BE'!$AB$35*'TE BE'!$X$49</f>
        <v>-47.434402591282549</v>
      </c>
      <c r="Y35" s="76">
        <f>SUM($X$35:$X$35)</f>
        <v>-47.434402591282549</v>
      </c>
      <c r="Z35" s="76">
        <f>'TE BE'!$Z$35*'TE BE'!$Z$49</f>
        <v>-0.17758699964664251</v>
      </c>
      <c r="AA35" s="76">
        <f>SUM($Z$35:$Z$35)</f>
        <v>-0.17758699964664251</v>
      </c>
      <c r="AB35" s="76">
        <f>SUMIF($L$4:$AA$4,"SUBTOTAL",$L$35:$AA$35)</f>
        <v>-66.496686748757483</v>
      </c>
    </row>
    <row r="36" spans="1:28" ht="11.25" customHeight="1" x14ac:dyDescent="0.25">
      <c r="A36" s="142" t="s">
        <v>36</v>
      </c>
      <c r="B36" s="142" t="s">
        <v>81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78" t="s">
        <v>83</v>
      </c>
      <c r="H36" s="78" t="s">
        <v>82</v>
      </c>
      <c r="I36" s="78">
        <f>'MERCADO TE'!$U$33</f>
        <v>20.471999999999998</v>
      </c>
      <c r="J36" s="15"/>
      <c r="L36" s="76">
        <f>'TE BE'!$L$36*'TE BE'!$L$49</f>
        <v>3.0536234367108361E-11</v>
      </c>
      <c r="M36" s="76">
        <f>'TE BE'!$M$36*'TE BE'!$M$49</f>
        <v>-14.200076145671</v>
      </c>
      <c r="N36" s="76">
        <f>'TE BE'!$N$36*'TE BE'!$N$49</f>
        <v>0</v>
      </c>
      <c r="O36" s="76">
        <f>'TE BE'!$O$36*'TE BE'!$O$49</f>
        <v>0.18736530626772324</v>
      </c>
      <c r="P36" s="76">
        <f>'TE BE'!$P$36*'TE BE'!$P$49</f>
        <v>0</v>
      </c>
      <c r="Q36" s="76">
        <f>SUM($L$36:$P$36)</f>
        <v>-14.01271083937274</v>
      </c>
      <c r="R36" s="76">
        <f>'TE BE'!$R$36*'TE BE'!$R$49</f>
        <v>-9.8863053528844809</v>
      </c>
      <c r="S36" s="76">
        <f>SUM($R$36:$R$36)</f>
        <v>-9.8863053528844809</v>
      </c>
      <c r="T36" s="76">
        <f>'TE BE'!$T$36*'TE BE'!$T$49</f>
        <v>0.58989528769629773</v>
      </c>
      <c r="U36" s="76">
        <f>'TE BE'!$U$36*'TE BE'!$U$49</f>
        <v>0.63084146016067089</v>
      </c>
      <c r="V36" s="76">
        <f>'TE BE'!$V$36*'TE BE'!$V$49</f>
        <v>0</v>
      </c>
      <c r="W36" s="76">
        <f>SUM($T$36:$V$36)</f>
        <v>1.2207367478569686</v>
      </c>
      <c r="X36" s="76">
        <f>'TE BE'!$AB$36*'TE BE'!$X$49</f>
        <v>-72.904527404294441</v>
      </c>
      <c r="Y36" s="76">
        <f>SUM($X$36:$X$36)</f>
        <v>-72.904527404294441</v>
      </c>
      <c r="Z36" s="76">
        <f>'TE BE'!$Z$36*'TE BE'!$Z$49</f>
        <v>-0.17758699964664251</v>
      </c>
      <c r="AA36" s="76">
        <f>SUM($Z$36:$Z$36)</f>
        <v>-0.17758699964664251</v>
      </c>
      <c r="AB36" s="76">
        <f>SUMIF($L$4:$AA$4,"SUBTOTAL",$L$36:$AA$36)</f>
        <v>-95.760393848341337</v>
      </c>
    </row>
    <row r="37" spans="1:28" ht="11.25" customHeight="1" x14ac:dyDescent="0.25">
      <c r="A37" s="142"/>
      <c r="B37" s="142"/>
      <c r="C37" s="142"/>
      <c r="D37" s="142"/>
      <c r="E37" s="142"/>
      <c r="F37" s="142"/>
      <c r="G37" s="78" t="s">
        <v>93</v>
      </c>
      <c r="H37" s="78" t="s">
        <v>82</v>
      </c>
      <c r="I37" s="78">
        <f>'MERCADO TE'!$U$34</f>
        <v>16.687999999999999</v>
      </c>
      <c r="J37" s="15"/>
      <c r="L37" s="76">
        <f>'TE BE'!$L$37*'TE BE'!$L$49</f>
        <v>3.0536234367108361E-11</v>
      </c>
      <c r="M37" s="76">
        <f>'TE BE'!$M$37*'TE BE'!$M$49</f>
        <v>-14.200076145671</v>
      </c>
      <c r="N37" s="76">
        <f>'TE BE'!$N$37*'TE BE'!$N$49</f>
        <v>0</v>
      </c>
      <c r="O37" s="76">
        <f>'TE BE'!$O$37*'TE BE'!$O$49</f>
        <v>0.18736530626772324</v>
      </c>
      <c r="P37" s="76">
        <f>'TE BE'!$P$37*'TE BE'!$P$49</f>
        <v>0</v>
      </c>
      <c r="Q37" s="76">
        <f>SUM($L$37:$P$37)</f>
        <v>-14.01271083937274</v>
      </c>
      <c r="R37" s="76">
        <f>'TE BE'!$R$37*'TE BE'!$R$49</f>
        <v>-5.7478519493514417</v>
      </c>
      <c r="S37" s="76">
        <f>SUM($R$37:$R$37)</f>
        <v>-5.7478519493514417</v>
      </c>
      <c r="T37" s="76">
        <f>'TE BE'!$T$37*'TE BE'!$T$49</f>
        <v>0.58989528769629773</v>
      </c>
      <c r="U37" s="76">
        <f>'TE BE'!$U$37*'TE BE'!$U$49</f>
        <v>0.63084146016067089</v>
      </c>
      <c r="V37" s="76">
        <f>'TE BE'!$V$37*'TE BE'!$V$49</f>
        <v>0</v>
      </c>
      <c r="W37" s="76">
        <f>SUM($T$37:$V$37)</f>
        <v>1.2207367478569686</v>
      </c>
      <c r="X37" s="76">
        <f>'TE BE'!$AB$37*'TE BE'!$X$49</f>
        <v>-45.118936699190549</v>
      </c>
      <c r="Y37" s="76">
        <f>SUM($X$37:$X$37)</f>
        <v>-45.118936699190549</v>
      </c>
      <c r="Z37" s="76">
        <f>'TE BE'!$Z$37*'TE BE'!$Z$49</f>
        <v>-0.17758699964664251</v>
      </c>
      <c r="AA37" s="76">
        <f>SUM($Z$37:$Z$37)</f>
        <v>-0.17758699964664251</v>
      </c>
      <c r="AB37" s="76">
        <f>SUMIF($L$4:$AA$4,"SUBTOTAL",$L$37:$AA$37)</f>
        <v>-63.83634973970441</v>
      </c>
    </row>
    <row r="38" spans="1:28" ht="11.25" customHeight="1" x14ac:dyDescent="0.25">
      <c r="A38" s="142"/>
      <c r="B38" s="142"/>
      <c r="C38" s="142"/>
      <c r="D38" s="142"/>
      <c r="E38" s="142"/>
      <c r="F38" s="142"/>
      <c r="G38" s="78" t="s">
        <v>84</v>
      </c>
      <c r="H38" s="78" t="s">
        <v>82</v>
      </c>
      <c r="I38" s="78">
        <f>'MERCADO TE'!$U$35</f>
        <v>216.36699999999999</v>
      </c>
      <c r="J38" s="15"/>
      <c r="L38" s="76">
        <f>'TE BE'!$L$38*'TE BE'!$L$49</f>
        <v>3.0536234367108361E-11</v>
      </c>
      <c r="M38" s="76">
        <f>'TE BE'!$M$38*'TE BE'!$M$49</f>
        <v>-14.200076145671</v>
      </c>
      <c r="N38" s="76">
        <f>'TE BE'!$N$38*'TE BE'!$N$49</f>
        <v>0</v>
      </c>
      <c r="O38" s="76">
        <f>'TE BE'!$O$38*'TE BE'!$O$49</f>
        <v>0.18736530626772324</v>
      </c>
      <c r="P38" s="76">
        <f>'TE BE'!$P$38*'TE BE'!$P$49</f>
        <v>0</v>
      </c>
      <c r="Q38" s="76">
        <f>SUM($L$38:$P$38)</f>
        <v>-14.01271083937274</v>
      </c>
      <c r="R38" s="76">
        <f>'TE BE'!$R$38*'TE BE'!$R$49</f>
        <v>-5.7478519493514417</v>
      </c>
      <c r="S38" s="76">
        <f>SUM($R$38:$R$38)</f>
        <v>-5.7478519493514417</v>
      </c>
      <c r="T38" s="76">
        <f>'TE BE'!$T$38*'TE BE'!$T$49</f>
        <v>0.58989528769629773</v>
      </c>
      <c r="U38" s="76">
        <f>'TE BE'!$U$38*'TE BE'!$U$49</f>
        <v>0.63084146016067089</v>
      </c>
      <c r="V38" s="76">
        <f>'TE BE'!$V$38*'TE BE'!$V$49</f>
        <v>0</v>
      </c>
      <c r="W38" s="76">
        <f>SUM($T$38:$V$38)</f>
        <v>1.2207367478569686</v>
      </c>
      <c r="X38" s="76">
        <f>'TE BE'!$AB$38*'TE BE'!$X$49</f>
        <v>-45.118936699190549</v>
      </c>
      <c r="Y38" s="76">
        <f>SUM($X$38:$X$38)</f>
        <v>-45.118936699190549</v>
      </c>
      <c r="Z38" s="76">
        <f>'TE BE'!$Z$38*'TE BE'!$Z$49</f>
        <v>-0.17758699964664251</v>
      </c>
      <c r="AA38" s="76">
        <f>SUM($Z$38:$Z$38)</f>
        <v>-0.17758699964664251</v>
      </c>
      <c r="AB38" s="76">
        <f>SUMIF($L$4:$AA$4,"SUBTOTAL",$L$38:$AA$38)</f>
        <v>-63.83634973970441</v>
      </c>
    </row>
    <row r="39" spans="1:28" ht="11.25" customHeight="1" x14ac:dyDescent="0.25">
      <c r="A39" s="142"/>
      <c r="B39" s="79" t="s">
        <v>85</v>
      </c>
      <c r="C39" s="79" t="s">
        <v>25</v>
      </c>
      <c r="D39" s="79" t="s">
        <v>25</v>
      </c>
      <c r="E39" s="79" t="s">
        <v>25</v>
      </c>
      <c r="F39" s="79" t="s">
        <v>25</v>
      </c>
      <c r="G39" s="78" t="s">
        <v>86</v>
      </c>
      <c r="H39" s="78" t="s">
        <v>82</v>
      </c>
      <c r="I39" s="78">
        <f>'MERCADO TE'!$U$36</f>
        <v>26125.533000000003</v>
      </c>
      <c r="J39" s="15"/>
      <c r="L39" s="76">
        <f>'TE BE'!$L$39*'TE BE'!$L$49</f>
        <v>3.0536234367108361E-11</v>
      </c>
      <c r="M39" s="76">
        <f>'TE BE'!$M$39*'TE BE'!$M$49</f>
        <v>-14.200076145671</v>
      </c>
      <c r="N39" s="76">
        <f>'TE BE'!$N$39*'TE BE'!$N$49</f>
        <v>0</v>
      </c>
      <c r="O39" s="76">
        <f>'TE BE'!$O$39*'TE BE'!$O$49</f>
        <v>0.18736530626772324</v>
      </c>
      <c r="P39" s="76">
        <f>'TE BE'!$P$39*'TE BE'!$P$49</f>
        <v>0</v>
      </c>
      <c r="Q39" s="76">
        <f>SUM($L$39:$P$39)</f>
        <v>-14.01271083937274</v>
      </c>
      <c r="R39" s="76">
        <f>'TE BE'!$R$39*'TE BE'!$R$49</f>
        <v>-6.0927230663125291</v>
      </c>
      <c r="S39" s="76">
        <f>SUM($R$39:$R$39)</f>
        <v>-6.0927230663125291</v>
      </c>
      <c r="T39" s="76">
        <f>'TE BE'!$T$39*'TE BE'!$T$49</f>
        <v>0.58989528769629773</v>
      </c>
      <c r="U39" s="76">
        <f>'TE BE'!$U$39*'TE BE'!$U$49</f>
        <v>0.63084146016067089</v>
      </c>
      <c r="V39" s="76">
        <f>'TE BE'!$V$39*'TE BE'!$V$49</f>
        <v>0</v>
      </c>
      <c r="W39" s="76">
        <f>SUM($T$39:$V$39)</f>
        <v>1.2207367478569686</v>
      </c>
      <c r="X39" s="76">
        <f>'TE BE'!$AB$39*'TE BE'!$X$49</f>
        <v>-47.434402591282549</v>
      </c>
      <c r="Y39" s="76">
        <f>SUM($X$39:$X$39)</f>
        <v>-47.434402591282549</v>
      </c>
      <c r="Z39" s="76">
        <f>'TE BE'!$Z$39*'TE BE'!$Z$49</f>
        <v>-0.17758699964664251</v>
      </c>
      <c r="AA39" s="76">
        <f>SUM($Z$39:$Z$39)</f>
        <v>-0.17758699964664251</v>
      </c>
      <c r="AB39" s="76">
        <f>SUMIF($L$4:$AA$4,"SUBTOTAL",$L$39:$AA$39)</f>
        <v>-66.496686748757483</v>
      </c>
    </row>
    <row r="40" spans="1:28" ht="11.25" customHeight="1" x14ac:dyDescent="0.25">
      <c r="A40" s="142"/>
      <c r="B40" s="79" t="s">
        <v>94</v>
      </c>
      <c r="C40" s="79" t="s">
        <v>25</v>
      </c>
      <c r="D40" s="79" t="s">
        <v>25</v>
      </c>
      <c r="E40" s="79" t="s">
        <v>25</v>
      </c>
      <c r="F40" s="79" t="s">
        <v>25</v>
      </c>
      <c r="G40" s="78" t="s">
        <v>86</v>
      </c>
      <c r="H40" s="78" t="s">
        <v>82</v>
      </c>
      <c r="I40" s="78">
        <f>'MERCADO TE'!$U$37</f>
        <v>0</v>
      </c>
      <c r="J40" s="15"/>
      <c r="L40" s="76">
        <f>'TE BE'!$L$40*'TE BE'!$L$49</f>
        <v>3.0536234367108361E-11</v>
      </c>
      <c r="M40" s="76">
        <f>'TE BE'!$M$40*'TE BE'!$M$49</f>
        <v>-14.200076145671</v>
      </c>
      <c r="N40" s="76">
        <f>'TE BE'!$N$40*'TE BE'!$N$49</f>
        <v>0</v>
      </c>
      <c r="O40" s="76">
        <f>'TE BE'!$O$40*'TE BE'!$O$49</f>
        <v>0.18736530626772324</v>
      </c>
      <c r="P40" s="76">
        <f>'TE BE'!$P$40*'TE BE'!$P$49</f>
        <v>0</v>
      </c>
      <c r="Q40" s="76">
        <f>SUM($L$40:$P$40)</f>
        <v>-14.01271083937274</v>
      </c>
      <c r="R40" s="76">
        <f>'TE BE'!$R$40*'TE BE'!$R$49</f>
        <v>-6.0927230663125291</v>
      </c>
      <c r="S40" s="76">
        <f>SUM($R$40:$R$40)</f>
        <v>-6.0927230663125291</v>
      </c>
      <c r="T40" s="76">
        <f>'TE BE'!$T$40*'TE BE'!$T$49</f>
        <v>0.58989528769629773</v>
      </c>
      <c r="U40" s="76">
        <f>'TE BE'!$U$40*'TE BE'!$U$49</f>
        <v>0.63084146016067089</v>
      </c>
      <c r="V40" s="76">
        <f>'TE BE'!$V$40*'TE BE'!$V$49</f>
        <v>0</v>
      </c>
      <c r="W40" s="76">
        <f>SUM($T$40:$V$40)</f>
        <v>1.2207367478569686</v>
      </c>
      <c r="X40" s="76">
        <f>'TE BE'!$AB$40*'TE BE'!$X$49</f>
        <v>-47.434402591282549</v>
      </c>
      <c r="Y40" s="76">
        <f>SUM($X$40:$X$40)</f>
        <v>-47.434402591282549</v>
      </c>
      <c r="Z40" s="76">
        <f>'TE BE'!$Z$40*'TE BE'!$Z$49</f>
        <v>-0.17758699964664251</v>
      </c>
      <c r="AA40" s="76">
        <f>SUM($Z$40:$Z$40)</f>
        <v>-0.17758699964664251</v>
      </c>
      <c r="AB40" s="76">
        <f>SUMIF($L$4:$AA$4,"SUBTOTAL",$L$40:$AA$40)</f>
        <v>-66.496686748757483</v>
      </c>
    </row>
    <row r="41" spans="1:28" ht="11.25" customHeight="1" x14ac:dyDescent="0.25">
      <c r="A41" s="142" t="s">
        <v>45</v>
      </c>
      <c r="B41" s="142" t="s">
        <v>85</v>
      </c>
      <c r="C41" s="142" t="s">
        <v>46</v>
      </c>
      <c r="D41" s="79" t="s">
        <v>47</v>
      </c>
      <c r="E41" s="79" t="s">
        <v>25</v>
      </c>
      <c r="F41" s="79" t="s">
        <v>25</v>
      </c>
      <c r="G41" s="78" t="s">
        <v>86</v>
      </c>
      <c r="H41" s="78" t="s">
        <v>82</v>
      </c>
      <c r="I41" s="78">
        <f>'MERCADO TE'!$U$38</f>
        <v>5474.732</v>
      </c>
      <c r="J41" s="15"/>
      <c r="L41" s="76">
        <f>'TE BE'!$L$41*'TE BE'!$L$49</f>
        <v>1.6794928901909601E-11</v>
      </c>
      <c r="M41" s="76">
        <f>'TE BE'!$M$41*'TE BE'!$M$49</f>
        <v>-7.8100418801190505</v>
      </c>
      <c r="N41" s="76">
        <f>'TE BE'!$N$41*'TE BE'!$N$49</f>
        <v>0</v>
      </c>
      <c r="O41" s="76">
        <f>'TE BE'!$O$41*'TE BE'!$O$49</f>
        <v>0.1030509184472478</v>
      </c>
      <c r="P41" s="76">
        <f>'TE BE'!$P$41*'TE BE'!$P$49</f>
        <v>0</v>
      </c>
      <c r="Q41" s="76">
        <f>SUM($L$41:$P$41)</f>
        <v>-7.7069909616550083</v>
      </c>
      <c r="R41" s="76">
        <f>'TE BE'!$R$41*'TE BE'!$R$49</f>
        <v>-3.3509976864718909</v>
      </c>
      <c r="S41" s="76">
        <f>SUM($R$41:$R$41)</f>
        <v>-3.3509976864718909</v>
      </c>
      <c r="T41" s="76">
        <f>'TE BE'!$T$41*'TE BE'!$T$49</f>
        <v>0.32444240823296377</v>
      </c>
      <c r="U41" s="76">
        <f>'TE BE'!$U$41*'TE BE'!$U$49</f>
        <v>0.34696280308836902</v>
      </c>
      <c r="V41" s="76">
        <f>'TE BE'!$V$41*'TE BE'!$V$49</f>
        <v>0</v>
      </c>
      <c r="W41" s="76">
        <f>SUM($T$41:$V$41)</f>
        <v>0.6714052113213328</v>
      </c>
      <c r="X41" s="76">
        <f>'TE BE'!$AB$41*'TE BE'!$X$49</f>
        <v>-26.088921425205402</v>
      </c>
      <c r="Y41" s="76">
        <f>SUM($X$41:$X$41)</f>
        <v>-26.088921425205402</v>
      </c>
      <c r="Z41" s="76">
        <f>'TE BE'!$Z$41*'TE BE'!$Z$49</f>
        <v>-9.7672849805653383E-2</v>
      </c>
      <c r="AA41" s="76">
        <f>SUM($Z$41:$Z$41)</f>
        <v>-9.7672849805653383E-2</v>
      </c>
      <c r="AB41" s="76">
        <f>SUMIF($L$4:$AA$4,"SUBTOTAL",$L$41:$AA$41)</f>
        <v>-36.573177711816626</v>
      </c>
    </row>
    <row r="42" spans="1:28" ht="11.25" customHeight="1" x14ac:dyDescent="0.25">
      <c r="A42" s="142"/>
      <c r="B42" s="142"/>
      <c r="C42" s="142"/>
      <c r="D42" s="78" t="s">
        <v>98</v>
      </c>
      <c r="E42" s="78" t="s">
        <v>25</v>
      </c>
      <c r="F42" s="78" t="s">
        <v>25</v>
      </c>
      <c r="G42" s="78" t="s">
        <v>86</v>
      </c>
      <c r="H42" s="78" t="s">
        <v>82</v>
      </c>
      <c r="I42" s="78">
        <f>'MERCADO TE'!$U$39</f>
        <v>0</v>
      </c>
      <c r="J42" s="15"/>
      <c r="L42" s="76">
        <f>'TE BE'!$L$42*'TE BE'!$L$49</f>
        <v>1.8321740620265018E-11</v>
      </c>
      <c r="M42" s="76">
        <f>'TE BE'!$M$42*'TE BE'!$M$49</f>
        <v>-8.5200456874026003</v>
      </c>
      <c r="N42" s="76">
        <f>'TE BE'!$N$42*'TE BE'!$N$49</f>
        <v>0</v>
      </c>
      <c r="O42" s="76">
        <f>'TE BE'!$O$42*'TE BE'!$O$49</f>
        <v>0.11241918376063394</v>
      </c>
      <c r="P42" s="76">
        <f>'TE BE'!$P$42*'TE BE'!$P$49</f>
        <v>0</v>
      </c>
      <c r="Q42" s="76">
        <f>SUM($L$42:$P$42)</f>
        <v>-8.4076265036236446</v>
      </c>
      <c r="R42" s="76">
        <f>'TE BE'!$R$42*'TE BE'!$R$49</f>
        <v>-3.6556338397875168</v>
      </c>
      <c r="S42" s="76">
        <f>SUM($R$42:$R$42)</f>
        <v>-3.6556338397875168</v>
      </c>
      <c r="T42" s="76">
        <f>'TE BE'!$T$42*'TE BE'!$T$49</f>
        <v>0.35393717261777863</v>
      </c>
      <c r="U42" s="76">
        <f>'TE BE'!$U$42*'TE BE'!$U$49</f>
        <v>0.37850487609640254</v>
      </c>
      <c r="V42" s="76">
        <f>'TE BE'!$V$42*'TE BE'!$V$49</f>
        <v>0</v>
      </c>
      <c r="W42" s="76">
        <f>SUM($T$42:$V$42)</f>
        <v>0.73244204871418117</v>
      </c>
      <c r="X42" s="76">
        <f>'TE BE'!$AB$42*'TE BE'!$X$49</f>
        <v>-28.460641554769527</v>
      </c>
      <c r="Y42" s="76">
        <f>SUM($X$42:$X$42)</f>
        <v>-28.460641554769527</v>
      </c>
      <c r="Z42" s="76">
        <f>'TE BE'!$Z$42*'TE BE'!$Z$49</f>
        <v>-0.1065521997879855</v>
      </c>
      <c r="AA42" s="76">
        <f>SUM($Z$42:$Z$42)</f>
        <v>-0.1065521997879855</v>
      </c>
      <c r="AB42" s="76">
        <f>SUMIF($L$4:$AA$4,"SUBTOTAL",$L$42:$AA$42)</f>
        <v>-39.89801204925449</v>
      </c>
    </row>
    <row r="44" spans="1:28" ht="11.25" customHeight="1" x14ac:dyDescent="0.25">
      <c r="K44" s="81" t="s">
        <v>668</v>
      </c>
      <c r="L44" s="76">
        <f t="shared" ref="L44:AB44" si="0">SUMPRODUCT($I$5:$I$42,L$5:L$42)</f>
        <v>4.3780460810177047E-6</v>
      </c>
      <c r="M44" s="76">
        <f t="shared" si="0"/>
        <v>-2035895.6828898287</v>
      </c>
      <c r="N44" s="76">
        <f t="shared" si="0"/>
        <v>0</v>
      </c>
      <c r="O44" s="76">
        <f t="shared" si="0"/>
        <v>26862.969905276037</v>
      </c>
      <c r="P44" s="76">
        <f t="shared" si="0"/>
        <v>0</v>
      </c>
      <c r="Q44" s="76">
        <f t="shared" si="0"/>
        <v>-2009032.712980174</v>
      </c>
      <c r="R44" s="76">
        <f t="shared" si="0"/>
        <v>-871301.0648683951</v>
      </c>
      <c r="S44" s="76">
        <f t="shared" si="0"/>
        <v>-871301.0648683951</v>
      </c>
      <c r="T44" s="76">
        <f t="shared" si="0"/>
        <v>84574.565464148516</v>
      </c>
      <c r="U44" s="76">
        <f t="shared" si="0"/>
        <v>90445.106924342967</v>
      </c>
      <c r="V44" s="76">
        <f t="shared" si="0"/>
        <v>0</v>
      </c>
      <c r="W44" s="76">
        <f t="shared" si="0"/>
        <v>175019.67238849151</v>
      </c>
      <c r="X44" s="76">
        <f t="shared" si="0"/>
        <v>-6785828.7622725684</v>
      </c>
      <c r="Y44" s="76">
        <f t="shared" si="0"/>
        <v>-6785828.7622725684</v>
      </c>
      <c r="Z44" s="76">
        <f t="shared" si="0"/>
        <v>-25461.032899332571</v>
      </c>
      <c r="AA44" s="76">
        <f t="shared" si="0"/>
        <v>-25461.032899332571</v>
      </c>
      <c r="AB44" s="76">
        <f t="shared" si="0"/>
        <v>-9516603.9006319791</v>
      </c>
    </row>
    <row r="45" spans="1:28" ht="11.25" customHeight="1" x14ac:dyDescent="0.25">
      <c r="K45" s="81" t="s">
        <v>604</v>
      </c>
      <c r="L45" s="76">
        <f>CUSTOS!$D$30</f>
        <v>380193.13466568384</v>
      </c>
      <c r="M45" s="76">
        <f>CUSTOS!$D$31</f>
        <v>3540154.7326409174</v>
      </c>
      <c r="N45" s="76">
        <f>CUSTOS!$D$32</f>
        <v>0</v>
      </c>
      <c r="O45" s="76">
        <f>CUSTOS!$D$33</f>
        <v>1286311.6925648036</v>
      </c>
      <c r="P45" s="76">
        <f>CUSTOS!$D$34</f>
        <v>-2730000</v>
      </c>
      <c r="Q45" s="76">
        <f>CUSTOS!$D$35</f>
        <v>2476659.5598714054</v>
      </c>
      <c r="R45" s="76">
        <f>CUSTOS!$D$36</f>
        <v>31323047.97811934</v>
      </c>
      <c r="S45" s="76">
        <f>CUSTOS!$D$37</f>
        <v>31323047.97811934</v>
      </c>
      <c r="T45" s="76">
        <f>CUSTOS!$D$38</f>
        <v>952522.70574198291</v>
      </c>
      <c r="U45" s="76">
        <f>CUSTOS!$D$39</f>
        <v>666777.72477291885</v>
      </c>
      <c r="V45" s="76">
        <f>CUSTOS!$D$40</f>
        <v>0</v>
      </c>
      <c r="W45" s="76">
        <f>CUSTOS!$D$41</f>
        <v>1619300.4305149019</v>
      </c>
      <c r="X45" s="76">
        <f>CUSTOS!$D$42</f>
        <v>0</v>
      </c>
      <c r="Y45" s="76">
        <f>CUSTOS!$D$43</f>
        <v>0</v>
      </c>
      <c r="Z45" s="76">
        <f>CUSTOS!$D$44</f>
        <v>915317.54893324873</v>
      </c>
      <c r="AA45" s="76">
        <f>CUSTOS!$D$45</f>
        <v>915317.54893324873</v>
      </c>
      <c r="AB45" s="76">
        <f>CUSTOS!$D$46</f>
        <v>36334325.517438896</v>
      </c>
    </row>
    <row r="46" spans="1:28" ht="11.25" customHeight="1" x14ac:dyDescent="0.25">
      <c r="K46" s="81" t="s">
        <v>605</v>
      </c>
      <c r="L46" s="76">
        <f>CUSTOS!$E$30</f>
        <v>4.3780460810177056E-6</v>
      </c>
      <c r="M46" s="76">
        <f>CUSTOS!$E$31</f>
        <v>-2035895.6828898285</v>
      </c>
      <c r="N46" s="76">
        <f>CUSTOS!$E$32</f>
        <v>0</v>
      </c>
      <c r="O46" s="76">
        <f>CUSTOS!$E$33</f>
        <v>26862.969905276041</v>
      </c>
      <c r="P46" s="76">
        <f>CUSTOS!$E$34</f>
        <v>0</v>
      </c>
      <c r="Q46" s="76">
        <f>CUSTOS!$E$35</f>
        <v>-2009032.7129801742</v>
      </c>
      <c r="R46" s="76">
        <f>CUSTOS!$E$36</f>
        <v>-871301.0648683951</v>
      </c>
      <c r="S46" s="76">
        <f>CUSTOS!$E$37</f>
        <v>-871301.0648683951</v>
      </c>
      <c r="T46" s="76">
        <f>CUSTOS!$E$38</f>
        <v>84574.565464148531</v>
      </c>
      <c r="U46" s="76">
        <f>CUSTOS!$E$39</f>
        <v>90445.106924342981</v>
      </c>
      <c r="V46" s="76">
        <f>CUSTOS!$E$40</f>
        <v>0</v>
      </c>
      <c r="W46" s="76">
        <f>CUSTOS!$E$41</f>
        <v>175019.67238849151</v>
      </c>
      <c r="X46" s="76">
        <f>CUSTOS!$E$42</f>
        <v>-6785828.7622725684</v>
      </c>
      <c r="Y46" s="76">
        <f>CUSTOS!$E$43</f>
        <v>-6785828.7622725684</v>
      </c>
      <c r="Z46" s="76">
        <f>CUSTOS!$E$44</f>
        <v>-25461.032899332571</v>
      </c>
      <c r="AA46" s="76">
        <f>CUSTOS!$E$45</f>
        <v>-25461.032899332571</v>
      </c>
      <c r="AB46" s="76">
        <f>CUSTOS!$E$46</f>
        <v>-9516603.9006319791</v>
      </c>
    </row>
    <row r="47" spans="1:28" ht="11.25" customHeight="1" x14ac:dyDescent="0.25">
      <c r="K47" s="81" t="s">
        <v>606</v>
      </c>
      <c r="L47" s="76">
        <f>CUSTOS!$F$30</f>
        <v>0</v>
      </c>
      <c r="M47" s="76">
        <f>CUSTOS!$F$31</f>
        <v>2049587.6786991188</v>
      </c>
      <c r="N47" s="76">
        <f>CUSTOS!$F$32</f>
        <v>0</v>
      </c>
      <c r="O47" s="76">
        <f>CUSTOS!$F$33</f>
        <v>84381.856306970352</v>
      </c>
      <c r="P47" s="76">
        <f>CUSTOS!$F$34</f>
        <v>0</v>
      </c>
      <c r="Q47" s="76">
        <f>CUSTOS!$F$35</f>
        <v>2133969.5350060891</v>
      </c>
      <c r="R47" s="76">
        <f>CUSTOS!$F$36</f>
        <v>3641266.6538955159</v>
      </c>
      <c r="S47" s="76">
        <f>CUSTOS!$F$37</f>
        <v>3641266.6538955159</v>
      </c>
      <c r="T47" s="76">
        <f>CUSTOS!$F$38</f>
        <v>236789.4070889373</v>
      </c>
      <c r="U47" s="76">
        <f>CUSTOS!$F$39</f>
        <v>50823.597272611893</v>
      </c>
      <c r="V47" s="76">
        <f>CUSTOS!$F$40</f>
        <v>0</v>
      </c>
      <c r="W47" s="76">
        <f>CUSTOS!$F$41</f>
        <v>287613.00436154916</v>
      </c>
      <c r="X47" s="76">
        <f>CUSTOS!$F$42</f>
        <v>0</v>
      </c>
      <c r="Y47" s="76">
        <f>CUSTOS!$F$43</f>
        <v>0</v>
      </c>
      <c r="Z47" s="76">
        <f>CUSTOS!$F$44</f>
        <v>106404.56417217819</v>
      </c>
      <c r="AA47" s="76">
        <f>CUSTOS!$F$45</f>
        <v>106404.56417217819</v>
      </c>
      <c r="AB47" s="76">
        <f>CUSTOS!$F$46</f>
        <v>6169253.757435333</v>
      </c>
    </row>
    <row r="48" spans="1:28" ht="11.25" customHeight="1" x14ac:dyDescent="0.25">
      <c r="K48" s="81" t="s">
        <v>669</v>
      </c>
      <c r="L48" s="76">
        <f>'TR TE'!$L$48*L49</f>
        <v>0</v>
      </c>
      <c r="M48" s="76">
        <f>'TR TE'!$M$48*M49</f>
        <v>14.295575824123166</v>
      </c>
      <c r="N48" s="76">
        <f>'TR TE'!$N$48*N49</f>
        <v>0</v>
      </c>
      <c r="O48" s="76">
        <f>'TR TE'!$O$48*O49</f>
        <v>0.58855116936602359</v>
      </c>
      <c r="P48" s="76">
        <f>'TR TE'!$P$48*P49</f>
        <v>0</v>
      </c>
      <c r="Q48" s="76"/>
      <c r="R48" s="76">
        <f>'TR TE'!$R$48*R49</f>
        <v>25.505333240268758</v>
      </c>
      <c r="S48" s="76"/>
      <c r="T48" s="76">
        <f>'TR TE'!$T$48*T49</f>
        <v>1.6515716592995764</v>
      </c>
      <c r="U48" s="76">
        <f>'TR TE'!$U$48*U49</f>
        <v>0.35448719565218523</v>
      </c>
      <c r="V48" s="76">
        <f>'TR TE'!$V$48*V49</f>
        <v>0</v>
      </c>
      <c r="W48" s="76"/>
      <c r="X48" s="76"/>
      <c r="Y48" s="76"/>
      <c r="Z48" s="76">
        <f>'TR TE'!$Z$48*Z49</f>
        <v>0.74215635220914755</v>
      </c>
      <c r="AA48" s="76"/>
      <c r="AB48" s="76"/>
    </row>
    <row r="49" spans="11:28" ht="11.25" customHeight="1" x14ac:dyDescent="0.25">
      <c r="K49" s="81" t="s">
        <v>664</v>
      </c>
      <c r="L49" s="76">
        <f>IF(L45&lt;&gt;0,L47/L45,0)</f>
        <v>0</v>
      </c>
      <c r="M49" s="76">
        <f>IF(M45&lt;&gt;0,M47/M45,0)</f>
        <v>0.57895426428724162</v>
      </c>
      <c r="N49" s="76">
        <f>IF(N45&lt;&gt;0,N47/N45,0)</f>
        <v>0</v>
      </c>
      <c r="O49" s="76">
        <f>IF(O45&lt;&gt;0,O47/O45,0)</f>
        <v>6.5599851727009967E-2</v>
      </c>
      <c r="P49" s="76">
        <f>IF(P45&lt;&gt;0,P47/P45,0)</f>
        <v>0</v>
      </c>
      <c r="Q49" s="76"/>
      <c r="R49" s="76">
        <f>IF(R45&lt;&gt;0,R47/R45,0)</f>
        <v>0.1162487972575056</v>
      </c>
      <c r="S49" s="76"/>
      <c r="T49" s="76">
        <f>IF(T45&lt;&gt;0,T47/T45,0)</f>
        <v>0.24859187677262387</v>
      </c>
      <c r="U49" s="76">
        <f>IF(U45&lt;&gt;0,U47/U45,0)</f>
        <v>7.6222698186146867E-2</v>
      </c>
      <c r="V49" s="76">
        <f>IF(V45&lt;&gt;0,V47/V45,0)</f>
        <v>0</v>
      </c>
      <c r="W49" s="76"/>
      <c r="X49" s="76">
        <f>IF($AB45&lt;&gt;0,X47/($AB45-SUM('TR TE'!$L48:'TR TE'!$AA48)*0),0)</f>
        <v>0</v>
      </c>
      <c r="Y49" s="76"/>
      <c r="Z49" s="76">
        <f>IF(Z45&lt;&gt;0,Z47/Z45,0)</f>
        <v>0.11624879725750559</v>
      </c>
      <c r="AA49" s="76"/>
      <c r="AB49" s="76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1091" priority="33" operator="notEqual">
      <formula>$L$46</formula>
    </cfRule>
    <cfRule type="cellIs" dxfId="1090" priority="34" operator="equal">
      <formula>$L$46</formula>
    </cfRule>
  </conditionalFormatting>
  <conditionalFormatting sqref="M44">
    <cfRule type="cellIs" dxfId="1089" priority="31" operator="notEqual">
      <formula>$M$46</formula>
    </cfRule>
    <cfRule type="cellIs" dxfId="1088" priority="32" operator="equal">
      <formula>$M$46</formula>
    </cfRule>
  </conditionalFormatting>
  <conditionalFormatting sqref="N44">
    <cfRule type="cellIs" dxfId="1087" priority="29" operator="notEqual">
      <formula>$N$46</formula>
    </cfRule>
    <cfRule type="cellIs" dxfId="1086" priority="30" operator="equal">
      <formula>$N$46</formula>
    </cfRule>
  </conditionalFormatting>
  <conditionalFormatting sqref="O44">
    <cfRule type="cellIs" dxfId="1085" priority="27" operator="notEqual">
      <formula>$O$46</formula>
    </cfRule>
    <cfRule type="cellIs" dxfId="1084" priority="28" operator="equal">
      <formula>$O$46</formula>
    </cfRule>
  </conditionalFormatting>
  <conditionalFormatting sqref="P44">
    <cfRule type="cellIs" dxfId="1083" priority="25" operator="notEqual">
      <formula>$P$46</formula>
    </cfRule>
    <cfRule type="cellIs" dxfId="1082" priority="26" operator="equal">
      <formula>$P$46</formula>
    </cfRule>
  </conditionalFormatting>
  <conditionalFormatting sqref="Q44">
    <cfRule type="cellIs" dxfId="1081" priority="23" operator="notEqual">
      <formula>$Q$46</formula>
    </cfRule>
    <cfRule type="cellIs" dxfId="1080" priority="24" operator="equal">
      <formula>$Q$46</formula>
    </cfRule>
  </conditionalFormatting>
  <conditionalFormatting sqref="R44">
    <cfRule type="cellIs" dxfId="1079" priority="21" operator="notEqual">
      <formula>$R$46</formula>
    </cfRule>
    <cfRule type="cellIs" dxfId="1078" priority="22" operator="equal">
      <formula>$R$46</formula>
    </cfRule>
  </conditionalFormatting>
  <conditionalFormatting sqref="S44">
    <cfRule type="cellIs" dxfId="1077" priority="19" operator="notEqual">
      <formula>$S$46</formula>
    </cfRule>
    <cfRule type="cellIs" dxfId="1076" priority="20" operator="equal">
      <formula>$S$46</formula>
    </cfRule>
  </conditionalFormatting>
  <conditionalFormatting sqref="T44">
    <cfRule type="cellIs" dxfId="1075" priority="17" operator="notEqual">
      <formula>$T$46</formula>
    </cfRule>
    <cfRule type="cellIs" dxfId="1074" priority="18" operator="equal">
      <formula>$T$46</formula>
    </cfRule>
  </conditionalFormatting>
  <conditionalFormatting sqref="U44">
    <cfRule type="cellIs" dxfId="1073" priority="15" operator="notEqual">
      <formula>$U$46</formula>
    </cfRule>
    <cfRule type="cellIs" dxfId="1072" priority="16" operator="equal">
      <formula>$U$46</formula>
    </cfRule>
  </conditionalFormatting>
  <conditionalFormatting sqref="V44">
    <cfRule type="cellIs" dxfId="1071" priority="13" operator="notEqual">
      <formula>$V$46</formula>
    </cfRule>
    <cfRule type="cellIs" dxfId="1070" priority="14" operator="equal">
      <formula>$V$46</formula>
    </cfRule>
  </conditionalFormatting>
  <conditionalFormatting sqref="W44">
    <cfRule type="cellIs" dxfId="1069" priority="11" operator="notEqual">
      <formula>$W$46</formula>
    </cfRule>
    <cfRule type="cellIs" dxfId="1068" priority="12" operator="equal">
      <formula>$W$46</formula>
    </cfRule>
  </conditionalFormatting>
  <conditionalFormatting sqref="X44">
    <cfRule type="cellIs" dxfId="1067" priority="9" operator="notEqual">
      <formula>$X$46</formula>
    </cfRule>
    <cfRule type="cellIs" dxfId="1066" priority="10" operator="equal">
      <formula>$X$46</formula>
    </cfRule>
  </conditionalFormatting>
  <conditionalFormatting sqref="Y44">
    <cfRule type="cellIs" dxfId="1065" priority="7" operator="notEqual">
      <formula>$Y$46</formula>
    </cfRule>
    <cfRule type="cellIs" dxfId="1064" priority="8" operator="equal">
      <formula>$Y$46</formula>
    </cfRule>
  </conditionalFormatting>
  <conditionalFormatting sqref="Z44">
    <cfRule type="cellIs" dxfId="1063" priority="5" operator="notEqual">
      <formula>$Z$46</formula>
    </cfRule>
    <cfRule type="cellIs" dxfId="1062" priority="6" operator="equal">
      <formula>$Z$46</formula>
    </cfRule>
  </conditionalFormatting>
  <conditionalFormatting sqref="AA44">
    <cfRule type="cellIs" dxfId="1061" priority="3" operator="notEqual">
      <formula>$AA$46</formula>
    </cfRule>
    <cfRule type="cellIs" dxfId="1060" priority="4" operator="equal">
      <formula>$AA$46</formula>
    </cfRule>
  </conditionalFormatting>
  <conditionalFormatting sqref="AB44">
    <cfRule type="cellIs" dxfId="1059" priority="1" operator="notEqual">
      <formula>$AB$46</formula>
    </cfRule>
    <cfRule type="cellIs" dxfId="1058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AB429-210A-494F-A7AA-686042762306}">
  <dimension ref="A1:AB50"/>
  <sheetViews>
    <sheetView showGridLines="0" topLeftCell="L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1" t="s">
        <v>71</v>
      </c>
      <c r="B1" s="141" t="s">
        <v>72</v>
      </c>
      <c r="C1" s="141" t="s">
        <v>73</v>
      </c>
      <c r="D1" s="141" t="s">
        <v>74</v>
      </c>
      <c r="E1" s="141" t="s">
        <v>75</v>
      </c>
      <c r="F1" s="141" t="s">
        <v>15</v>
      </c>
      <c r="G1" s="141" t="s">
        <v>77</v>
      </c>
      <c r="H1" s="141" t="s">
        <v>78</v>
      </c>
      <c r="I1" s="141" t="s">
        <v>652</v>
      </c>
      <c r="J1" s="125"/>
      <c r="L1" s="139" t="s">
        <v>674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spans="1:28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5"/>
      <c r="L2" s="139" t="s">
        <v>590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spans="1:28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5"/>
      <c r="L3" s="139" t="s">
        <v>563</v>
      </c>
      <c r="M3" s="139"/>
      <c r="N3" s="139"/>
      <c r="O3" s="139"/>
      <c r="P3" s="139"/>
      <c r="Q3" s="139"/>
      <c r="R3" s="139" t="s">
        <v>594</v>
      </c>
      <c r="S3" s="139"/>
      <c r="T3" s="139" t="s">
        <v>572</v>
      </c>
      <c r="U3" s="139"/>
      <c r="V3" s="139"/>
      <c r="W3" s="139"/>
      <c r="X3" s="139" t="s">
        <v>582</v>
      </c>
      <c r="Y3" s="139"/>
      <c r="Z3" s="139" t="s">
        <v>585</v>
      </c>
      <c r="AA3" s="139"/>
      <c r="AB3" s="139" t="s">
        <v>571</v>
      </c>
    </row>
    <row r="4" spans="1:28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5"/>
      <c r="L4" s="80" t="s">
        <v>565</v>
      </c>
      <c r="M4" s="80" t="s">
        <v>591</v>
      </c>
      <c r="N4" s="80" t="s">
        <v>592</v>
      </c>
      <c r="O4" s="80" t="s">
        <v>651</v>
      </c>
      <c r="P4" s="80" t="s">
        <v>593</v>
      </c>
      <c r="Q4" s="80" t="s">
        <v>571</v>
      </c>
      <c r="R4" s="80" t="s">
        <v>595</v>
      </c>
      <c r="S4" s="80" t="s">
        <v>571</v>
      </c>
      <c r="T4" s="80" t="s">
        <v>596</v>
      </c>
      <c r="U4" s="80" t="s">
        <v>597</v>
      </c>
      <c r="V4" s="80" t="s">
        <v>598</v>
      </c>
      <c r="W4" s="80" t="s">
        <v>571</v>
      </c>
      <c r="X4" s="80" t="s">
        <v>583</v>
      </c>
      <c r="Y4" s="80" t="s">
        <v>571</v>
      </c>
      <c r="Z4" s="80" t="s">
        <v>599</v>
      </c>
      <c r="AA4" s="80" t="s">
        <v>571</v>
      </c>
      <c r="AB4" s="140"/>
    </row>
    <row r="5" spans="1:28" ht="11.25" customHeight="1" x14ac:dyDescent="0.25">
      <c r="A5" s="142" t="s">
        <v>38</v>
      </c>
      <c r="B5" s="142" t="s">
        <v>81</v>
      </c>
      <c r="C5" s="142" t="s">
        <v>25</v>
      </c>
      <c r="D5" s="142" t="s">
        <v>25</v>
      </c>
      <c r="E5" s="142" t="s">
        <v>25</v>
      </c>
      <c r="F5" s="142" t="s">
        <v>25</v>
      </c>
      <c r="G5" s="78" t="s">
        <v>83</v>
      </c>
      <c r="H5" s="78" t="s">
        <v>82</v>
      </c>
      <c r="I5" s="78">
        <f>'MERCADO TE'!$U$2</f>
        <v>2005.008</v>
      </c>
      <c r="J5" s="15"/>
      <c r="L5" s="76">
        <f>'TE BE'!$L$5*'TE BF'!$L$49</f>
        <v>0</v>
      </c>
      <c r="M5" s="76">
        <f>'TE BE'!$M$5*'TE BF'!$M$49</f>
        <v>14.295575824123166</v>
      </c>
      <c r="N5" s="76">
        <f>'TE BE'!$N$5*'TE BF'!$N$49</f>
        <v>0</v>
      </c>
      <c r="O5" s="76">
        <f>'TE BE'!$O$5*'TE BF'!$O$49</f>
        <v>0.58855116936602359</v>
      </c>
      <c r="P5" s="76">
        <f>'TE BE'!$P$5*'TE BF'!$P$49</f>
        <v>0</v>
      </c>
      <c r="Q5" s="76">
        <f>SUM($L$5:$P$5)</f>
        <v>14.88412699348919</v>
      </c>
      <c r="R5" s="76">
        <f>'TE BE'!$R$5*'TE BF'!$R$49</f>
        <v>41.315999099719214</v>
      </c>
      <c r="S5" s="76">
        <f>SUM($R$5:$R$5)</f>
        <v>41.315999099719214</v>
      </c>
      <c r="T5" s="76">
        <f>'TE BE'!$T$5*'TE BF'!$T$49</f>
        <v>1.6515716592995764</v>
      </c>
      <c r="U5" s="76">
        <f>'TE BE'!$U$5*'TE BF'!$U$49</f>
        <v>0.35448719565218523</v>
      </c>
      <c r="V5" s="76">
        <f>'TE BE'!$V$5*'TE BF'!$V$49</f>
        <v>0</v>
      </c>
      <c r="W5" s="76">
        <f>SUM($T$5:$V$5)</f>
        <v>2.0060588549517617</v>
      </c>
      <c r="X5" s="76">
        <f>'TE BE'!$AB$5*'TE BF'!$X$49</f>
        <v>0</v>
      </c>
      <c r="Y5" s="76">
        <f>SUM($X$5:$X$5)</f>
        <v>0</v>
      </c>
      <c r="Z5" s="76">
        <f>'TE BE'!$Z$5*'TE BF'!$Z$49</f>
        <v>0.74215635220914755</v>
      </c>
      <c r="AA5" s="76">
        <f>SUM($Z$5:$Z$5)</f>
        <v>0.74215635220914755</v>
      </c>
      <c r="AB5" s="76">
        <f>SUMIF($L$4:$AA$4,"SUBTOTAL",$L$5:$AA$5)</f>
        <v>58.948341300369314</v>
      </c>
    </row>
    <row r="6" spans="1:28" ht="11.25" customHeight="1" x14ac:dyDescent="0.25">
      <c r="A6" s="142"/>
      <c r="B6" s="142"/>
      <c r="C6" s="142"/>
      <c r="D6" s="142"/>
      <c r="E6" s="142"/>
      <c r="F6" s="142"/>
      <c r="G6" s="78" t="s">
        <v>84</v>
      </c>
      <c r="H6" s="78" t="s">
        <v>82</v>
      </c>
      <c r="I6" s="78">
        <f>'MERCADO TE'!$U$3</f>
        <v>28500.967999999997</v>
      </c>
      <c r="J6" s="15"/>
      <c r="L6" s="76">
        <f>'TE BE'!$L$6*'TE BF'!$L$49</f>
        <v>0</v>
      </c>
      <c r="M6" s="76">
        <f>'TE BE'!$M$6*'TE BF'!$M$49</f>
        <v>14.295575824123166</v>
      </c>
      <c r="N6" s="76">
        <f>'TE BE'!$N$6*'TE BF'!$N$49</f>
        <v>0</v>
      </c>
      <c r="O6" s="76">
        <f>'TE BE'!$O$6*'TE BF'!$O$49</f>
        <v>0.58855116936602359</v>
      </c>
      <c r="P6" s="76">
        <f>'TE BE'!$P$6*'TE BF'!$P$49</f>
        <v>0</v>
      </c>
      <c r="Q6" s="76">
        <f>SUM($L$6:$P$6)</f>
        <v>14.88412699348919</v>
      </c>
      <c r="R6" s="76">
        <f>'TE BE'!$R$6*'TE BF'!$R$49</f>
        <v>24.020929709139075</v>
      </c>
      <c r="S6" s="76">
        <f>SUM($R$6:$R$6)</f>
        <v>24.020929709139075</v>
      </c>
      <c r="T6" s="76">
        <f>'TE BE'!$T$6*'TE BF'!$T$49</f>
        <v>1.6515716592995764</v>
      </c>
      <c r="U6" s="76">
        <f>'TE BE'!$U$6*'TE BF'!$U$49</f>
        <v>0.35448719565218523</v>
      </c>
      <c r="V6" s="76">
        <f>'TE BE'!$V$6*'TE BF'!$V$49</f>
        <v>0</v>
      </c>
      <c r="W6" s="76">
        <f>SUM($T$6:$V$6)</f>
        <v>2.0060588549517617</v>
      </c>
      <c r="X6" s="76">
        <f>'TE BE'!$AB$6*'TE BF'!$X$49</f>
        <v>0</v>
      </c>
      <c r="Y6" s="76">
        <f>SUM($X$6:$X$6)</f>
        <v>0</v>
      </c>
      <c r="Z6" s="76">
        <f>'TE BE'!$Z$6*'TE BF'!$Z$49</f>
        <v>0.74215635220914755</v>
      </c>
      <c r="AA6" s="76">
        <f>SUM($Z$6:$Z$6)</f>
        <v>0.74215635220914755</v>
      </c>
      <c r="AB6" s="76">
        <f>SUMIF($L$4:$AA$4,"SUBTOTAL",$L$6:$AA$6)</f>
        <v>41.653271909789176</v>
      </c>
    </row>
    <row r="7" spans="1:28" ht="11.25" customHeight="1" x14ac:dyDescent="0.25">
      <c r="A7" s="142"/>
      <c r="B7" s="79" t="s">
        <v>85</v>
      </c>
      <c r="C7" s="79" t="s">
        <v>25</v>
      </c>
      <c r="D7" s="79" t="s">
        <v>25</v>
      </c>
      <c r="E7" s="79" t="s">
        <v>25</v>
      </c>
      <c r="F7" s="79" t="s">
        <v>25</v>
      </c>
      <c r="G7" s="78" t="s">
        <v>86</v>
      </c>
      <c r="H7" s="78" t="s">
        <v>82</v>
      </c>
      <c r="I7" s="78">
        <f>'MERCADO TE'!$U$4</f>
        <v>0</v>
      </c>
      <c r="J7" s="15"/>
      <c r="L7" s="76">
        <f>'TE BE'!$L$7*'TE BF'!$L$49</f>
        <v>0</v>
      </c>
      <c r="M7" s="76">
        <f>'TE BE'!$M$7*'TE BF'!$M$49</f>
        <v>14.295575824123166</v>
      </c>
      <c r="N7" s="76">
        <f>'TE BE'!$N$7*'TE BF'!$N$49</f>
        <v>0</v>
      </c>
      <c r="O7" s="76">
        <f>'TE BE'!$O$7*'TE BF'!$O$49</f>
        <v>0.58855116936602359</v>
      </c>
      <c r="P7" s="76">
        <f>'TE BE'!$P$7*'TE BF'!$P$49</f>
        <v>0</v>
      </c>
      <c r="Q7" s="76">
        <f>SUM($L$7:$P$7)</f>
        <v>14.88412699348919</v>
      </c>
      <c r="R7" s="76">
        <f>'TE BE'!$R$7*'TE BF'!$R$49</f>
        <v>25.462185491687421</v>
      </c>
      <c r="S7" s="76">
        <f>SUM($R$7:$R$7)</f>
        <v>25.462185491687421</v>
      </c>
      <c r="T7" s="76">
        <f>'TE BE'!$T$7*'TE BF'!$T$49</f>
        <v>1.6515716592995764</v>
      </c>
      <c r="U7" s="76">
        <f>'TE BE'!$U$7*'TE BF'!$U$49</f>
        <v>0.35448719565218523</v>
      </c>
      <c r="V7" s="76">
        <f>'TE BE'!$V$7*'TE BF'!$V$49</f>
        <v>0</v>
      </c>
      <c r="W7" s="76">
        <f>SUM($T$7:$V$7)</f>
        <v>2.0060588549517617</v>
      </c>
      <c r="X7" s="76">
        <f>'TE BE'!$AB$7*'TE BF'!$X$49</f>
        <v>0</v>
      </c>
      <c r="Y7" s="76">
        <f>SUM($X$7:$X$7)</f>
        <v>0</v>
      </c>
      <c r="Z7" s="76">
        <f>'TE BE'!$Z$7*'TE BF'!$Z$49</f>
        <v>0.74215635220914755</v>
      </c>
      <c r="AA7" s="76">
        <f>SUM($Z$7:$Z$7)</f>
        <v>0.74215635220914755</v>
      </c>
      <c r="AB7" s="76">
        <f>SUMIF($L$4:$AA$4,"SUBTOTAL",$L$7:$AA$7)</f>
        <v>43.094527692337522</v>
      </c>
    </row>
    <row r="8" spans="1:28" ht="11.25" customHeight="1" x14ac:dyDescent="0.25">
      <c r="A8" s="142" t="s">
        <v>22</v>
      </c>
      <c r="B8" s="142" t="s">
        <v>81</v>
      </c>
      <c r="C8" s="142" t="s">
        <v>24</v>
      </c>
      <c r="D8" s="142" t="s">
        <v>24</v>
      </c>
      <c r="E8" s="142" t="s">
        <v>25</v>
      </c>
      <c r="F8" s="142" t="s">
        <v>25</v>
      </c>
      <c r="G8" s="78" t="s">
        <v>83</v>
      </c>
      <c r="H8" s="78" t="s">
        <v>82</v>
      </c>
      <c r="I8" s="78">
        <f>'MERCADO TE'!$U$5</f>
        <v>1.103</v>
      </c>
      <c r="J8" s="15"/>
      <c r="L8" s="76">
        <f>'TE BE'!$L$8*'TE BF'!$L$49</f>
        <v>0</v>
      </c>
      <c r="M8" s="76">
        <f>'TE BE'!$M$8*'TE BF'!$M$49</f>
        <v>14.295575824123166</v>
      </c>
      <c r="N8" s="76">
        <f>'TE BE'!$N$8*'TE BF'!$N$49</f>
        <v>0</v>
      </c>
      <c r="O8" s="76">
        <f>'TE BE'!$O$8*'TE BF'!$O$49</f>
        <v>0.58855116936602359</v>
      </c>
      <c r="P8" s="76">
        <f>'TE BE'!$P$8*'TE BF'!$P$49</f>
        <v>0</v>
      </c>
      <c r="Q8" s="76">
        <f>SUM($L$8:$P$8)</f>
        <v>14.88412699348919</v>
      </c>
      <c r="R8" s="76">
        <f>'TE BE'!$R$8*'TE BF'!$R$49</f>
        <v>41.315999099719214</v>
      </c>
      <c r="S8" s="76">
        <f>SUM($R$8:$R$8)</f>
        <v>41.315999099719214</v>
      </c>
      <c r="T8" s="76">
        <f>'TE BE'!$T$8*'TE BF'!$T$49</f>
        <v>1.6515716592995764</v>
      </c>
      <c r="U8" s="76">
        <f>'TE BE'!$U$8*'TE BF'!$U$49</f>
        <v>0.35448719565218523</v>
      </c>
      <c r="V8" s="76">
        <f>'TE BE'!$V$8*'TE BF'!$V$49</f>
        <v>0</v>
      </c>
      <c r="W8" s="76">
        <f>SUM($T$8:$V$8)</f>
        <v>2.0060588549517617</v>
      </c>
      <c r="X8" s="76">
        <f>'TE BE'!$AB$8*'TE BF'!$X$49</f>
        <v>0</v>
      </c>
      <c r="Y8" s="76">
        <f>SUM($X$8:$X$8)</f>
        <v>0</v>
      </c>
      <c r="Z8" s="76">
        <f>'TE BE'!$Z$8*'TE BF'!$Z$49</f>
        <v>0.74215635220914755</v>
      </c>
      <c r="AA8" s="76">
        <f>SUM($Z$8:$Z$8)</f>
        <v>0.74215635220914755</v>
      </c>
      <c r="AB8" s="76">
        <f>SUMIF($L$4:$AA$4,"SUBTOTAL",$L$8:$AA$8)</f>
        <v>58.948341300369314</v>
      </c>
    </row>
    <row r="9" spans="1:28" ht="11.25" customHeight="1" x14ac:dyDescent="0.25">
      <c r="A9" s="142"/>
      <c r="B9" s="142"/>
      <c r="C9" s="142"/>
      <c r="D9" s="142"/>
      <c r="E9" s="142"/>
      <c r="F9" s="142"/>
      <c r="G9" s="78" t="s">
        <v>93</v>
      </c>
      <c r="H9" s="78" t="s">
        <v>82</v>
      </c>
      <c r="I9" s="78">
        <f>'MERCADO TE'!$U$6</f>
        <v>0.64800000000000013</v>
      </c>
      <c r="J9" s="15"/>
      <c r="L9" s="76">
        <f>'TE BE'!$L$9*'TE BF'!$L$49</f>
        <v>0</v>
      </c>
      <c r="M9" s="76">
        <f>'TE BE'!$M$9*'TE BF'!$M$49</f>
        <v>14.295575824123166</v>
      </c>
      <c r="N9" s="76">
        <f>'TE BE'!$N$9*'TE BF'!$N$49</f>
        <v>0</v>
      </c>
      <c r="O9" s="76">
        <f>'TE BE'!$O$9*'TE BF'!$O$49</f>
        <v>0.58855116936602359</v>
      </c>
      <c r="P9" s="76">
        <f>'TE BE'!$P$9*'TE BF'!$P$49</f>
        <v>0</v>
      </c>
      <c r="Q9" s="76">
        <f>SUM($L$9:$P$9)</f>
        <v>14.88412699348919</v>
      </c>
      <c r="R9" s="76">
        <f>'TE BE'!$R$9*'TE BF'!$R$49</f>
        <v>24.020929709139075</v>
      </c>
      <c r="S9" s="76">
        <f>SUM($R$9:$R$9)</f>
        <v>24.020929709139075</v>
      </c>
      <c r="T9" s="76">
        <f>'TE BE'!$T$9*'TE BF'!$T$49</f>
        <v>1.6515716592995764</v>
      </c>
      <c r="U9" s="76">
        <f>'TE BE'!$U$9*'TE BF'!$U$49</f>
        <v>0.35448719565218523</v>
      </c>
      <c r="V9" s="76">
        <f>'TE BE'!$V$9*'TE BF'!$V$49</f>
        <v>0</v>
      </c>
      <c r="W9" s="76">
        <f>SUM($T$9:$V$9)</f>
        <v>2.0060588549517617</v>
      </c>
      <c r="X9" s="76">
        <f>'TE BE'!$AB$9*'TE BF'!$X$49</f>
        <v>0</v>
      </c>
      <c r="Y9" s="76">
        <f>SUM($X$9:$X$9)</f>
        <v>0</v>
      </c>
      <c r="Z9" s="76">
        <f>'TE BE'!$Z$9*'TE BF'!$Z$49</f>
        <v>0.74215635220914755</v>
      </c>
      <c r="AA9" s="76">
        <f>SUM($Z$9:$Z$9)</f>
        <v>0.74215635220914755</v>
      </c>
      <c r="AB9" s="76">
        <f>SUMIF($L$4:$AA$4,"SUBTOTAL",$L$9:$AA$9)</f>
        <v>41.653271909789176</v>
      </c>
    </row>
    <row r="10" spans="1:28" ht="11.25" customHeight="1" x14ac:dyDescent="0.25">
      <c r="A10" s="142"/>
      <c r="B10" s="142"/>
      <c r="C10" s="142"/>
      <c r="D10" s="142"/>
      <c r="E10" s="142"/>
      <c r="F10" s="142"/>
      <c r="G10" s="78" t="s">
        <v>84</v>
      </c>
      <c r="H10" s="78" t="s">
        <v>82</v>
      </c>
      <c r="I10" s="78">
        <f>'MERCADO TE'!$U$7</f>
        <v>11.868000000000002</v>
      </c>
      <c r="J10" s="15"/>
      <c r="L10" s="76">
        <f>'TE BE'!$L$10*'TE BF'!$L$49</f>
        <v>0</v>
      </c>
      <c r="M10" s="76">
        <f>'TE BE'!$M$10*'TE BF'!$M$49</f>
        <v>14.295575824123166</v>
      </c>
      <c r="N10" s="76">
        <f>'TE BE'!$N$10*'TE BF'!$N$49</f>
        <v>0</v>
      </c>
      <c r="O10" s="76">
        <f>'TE BE'!$O$10*'TE BF'!$O$49</f>
        <v>0.58855116936602359</v>
      </c>
      <c r="P10" s="76">
        <f>'TE BE'!$P$10*'TE BF'!$P$49</f>
        <v>0</v>
      </c>
      <c r="Q10" s="76">
        <f>SUM($L$10:$P$10)</f>
        <v>14.88412699348919</v>
      </c>
      <c r="R10" s="76">
        <f>'TE BE'!$R$10*'TE BF'!$R$49</f>
        <v>24.020929709139075</v>
      </c>
      <c r="S10" s="76">
        <f>SUM($R$10:$R$10)</f>
        <v>24.020929709139075</v>
      </c>
      <c r="T10" s="76">
        <f>'TE BE'!$T$10*'TE BF'!$T$49</f>
        <v>1.6515716592995764</v>
      </c>
      <c r="U10" s="76">
        <f>'TE BE'!$U$10*'TE BF'!$U$49</f>
        <v>0.35448719565218523</v>
      </c>
      <c r="V10" s="76">
        <f>'TE BE'!$V$10*'TE BF'!$V$49</f>
        <v>0</v>
      </c>
      <c r="W10" s="76">
        <f>SUM($T$10:$V$10)</f>
        <v>2.0060588549517617</v>
      </c>
      <c r="X10" s="76">
        <f>'TE BE'!$AB$10*'TE BF'!$X$49</f>
        <v>0</v>
      </c>
      <c r="Y10" s="76">
        <f>SUM($X$10:$X$10)</f>
        <v>0</v>
      </c>
      <c r="Z10" s="76">
        <f>'TE BE'!$Z$10*'TE BF'!$Z$49</f>
        <v>0.74215635220914755</v>
      </c>
      <c r="AA10" s="76">
        <f>SUM($Z$10:$Z$10)</f>
        <v>0.74215635220914755</v>
      </c>
      <c r="AB10" s="76">
        <f>SUMIF($L$4:$AA$4,"SUBTOTAL",$L$10:$AA$10)</f>
        <v>41.653271909789176</v>
      </c>
    </row>
    <row r="11" spans="1:28" ht="11.25" customHeight="1" x14ac:dyDescent="0.25">
      <c r="A11" s="142"/>
      <c r="B11" s="142" t="s">
        <v>85</v>
      </c>
      <c r="C11" s="142" t="s">
        <v>24</v>
      </c>
      <c r="D11" s="79" t="s">
        <v>24</v>
      </c>
      <c r="E11" s="79" t="s">
        <v>25</v>
      </c>
      <c r="F11" s="79" t="s">
        <v>25</v>
      </c>
      <c r="G11" s="78" t="s">
        <v>86</v>
      </c>
      <c r="H11" s="78" t="s">
        <v>82</v>
      </c>
      <c r="I11" s="78">
        <f>'MERCADO TE'!$U$8</f>
        <v>63212.388999999996</v>
      </c>
      <c r="J11" s="15"/>
      <c r="L11" s="76">
        <f>'TE BE'!$L$11*'TE BF'!$L$49</f>
        <v>0</v>
      </c>
      <c r="M11" s="76">
        <f>'TE BE'!$M$11*'TE BF'!$M$49</f>
        <v>14.295575824123166</v>
      </c>
      <c r="N11" s="76">
        <f>'TE BE'!$N$11*'TE BF'!$N$49</f>
        <v>0</v>
      </c>
      <c r="O11" s="76">
        <f>'TE BE'!$O$11*'TE BF'!$O$49</f>
        <v>0.58855116936602359</v>
      </c>
      <c r="P11" s="76">
        <f>'TE BE'!$P$11*'TE BF'!$P$49</f>
        <v>0</v>
      </c>
      <c r="Q11" s="76">
        <f>SUM($L$11:$P$11)</f>
        <v>14.88412699348919</v>
      </c>
      <c r="R11" s="76">
        <f>'TE BE'!$R$11*'TE BF'!$R$49</f>
        <v>25.462185491687421</v>
      </c>
      <c r="S11" s="76">
        <f>SUM($R$11:$R$11)</f>
        <v>25.462185491687421</v>
      </c>
      <c r="T11" s="76">
        <f>'TE BE'!$T$11*'TE BF'!$T$49</f>
        <v>1.6515716592995764</v>
      </c>
      <c r="U11" s="76">
        <f>'TE BE'!$U$11*'TE BF'!$U$49</f>
        <v>0.35448719565218523</v>
      </c>
      <c r="V11" s="76">
        <f>'TE BE'!$V$11*'TE BF'!$V$49</f>
        <v>0</v>
      </c>
      <c r="W11" s="76">
        <f>SUM($T$11:$V$11)</f>
        <v>2.0060588549517617</v>
      </c>
      <c r="X11" s="76">
        <f>'TE BE'!$AB$11*'TE BF'!$X$49</f>
        <v>0</v>
      </c>
      <c r="Y11" s="76">
        <f>SUM($X$11:$X$11)</f>
        <v>0</v>
      </c>
      <c r="Z11" s="76">
        <f>'TE BE'!$Z$11*'TE BF'!$Z$49</f>
        <v>0.74215635220914755</v>
      </c>
      <c r="AA11" s="76">
        <f>SUM($Z$11:$Z$11)</f>
        <v>0.74215635220914755</v>
      </c>
      <c r="AB11" s="76">
        <f>SUMIF($L$4:$AA$4,"SUBTOTAL",$L$11:$AA$11)</f>
        <v>43.094527692337522</v>
      </c>
    </row>
    <row r="12" spans="1:28" ht="11.25" customHeight="1" x14ac:dyDescent="0.25">
      <c r="A12" s="142"/>
      <c r="B12" s="142"/>
      <c r="C12" s="142"/>
      <c r="D12" s="79" t="s">
        <v>28</v>
      </c>
      <c r="E12" s="79" t="s">
        <v>25</v>
      </c>
      <c r="F12" s="79" t="s">
        <v>25</v>
      </c>
      <c r="G12" s="78" t="s">
        <v>86</v>
      </c>
      <c r="H12" s="78" t="s">
        <v>82</v>
      </c>
      <c r="I12" s="78">
        <f>'MERCADO TE'!$U$9</f>
        <v>258.12700000000001</v>
      </c>
      <c r="J12" s="15"/>
      <c r="L12" s="76">
        <f>'TE BE'!$L$12*'TE BF'!$L$49</f>
        <v>0</v>
      </c>
      <c r="M12" s="76">
        <f>'TE BE'!$M$12*'TE BF'!$M$49</f>
        <v>14.295575824123166</v>
      </c>
      <c r="N12" s="76">
        <f>'TE BE'!$N$12*'TE BF'!$N$49</f>
        <v>0</v>
      </c>
      <c r="O12" s="76">
        <f>'TE BE'!$O$12*'TE BF'!$O$49</f>
        <v>0.58855116936602359</v>
      </c>
      <c r="P12" s="76">
        <f>'TE BE'!$P$12*'TE BF'!$P$49</f>
        <v>0</v>
      </c>
      <c r="Q12" s="76">
        <f>SUM($L$12:$P$12)</f>
        <v>14.88412699348919</v>
      </c>
      <c r="R12" s="76">
        <f>'TE BE'!$R$12*'TE BF'!$R$49</f>
        <v>25.462185491687421</v>
      </c>
      <c r="S12" s="76">
        <f>SUM($R$12:$R$12)</f>
        <v>25.462185491687421</v>
      </c>
      <c r="T12" s="76">
        <f>'TE BE'!$T$12*'TE BF'!$T$49</f>
        <v>1.6515716592995764</v>
      </c>
      <c r="U12" s="76">
        <f>'TE BE'!$U$12*'TE BF'!$U$49</f>
        <v>0.35448719565218523</v>
      </c>
      <c r="V12" s="76">
        <f>'TE BE'!$V$12*'TE BF'!$V$49</f>
        <v>0</v>
      </c>
      <c r="W12" s="76">
        <f>SUM($T$12:$V$12)</f>
        <v>2.0060588549517617</v>
      </c>
      <c r="X12" s="76">
        <f>'TE BE'!$AB$12*'TE BF'!$X$49</f>
        <v>0</v>
      </c>
      <c r="Y12" s="76">
        <f>SUM($X$12:$X$12)</f>
        <v>0</v>
      </c>
      <c r="Z12" s="76">
        <f>'TE BE'!$Z$12*'TE BF'!$Z$49</f>
        <v>0.74215635220914755</v>
      </c>
      <c r="AA12" s="76">
        <f>SUM($Z$12:$Z$12)</f>
        <v>0.74215635220914755</v>
      </c>
      <c r="AB12" s="76">
        <f>SUMIF($L$4:$AA$4,"SUBTOTAL",$L$12:$AA$12)</f>
        <v>43.094527692337522</v>
      </c>
    </row>
    <row r="13" spans="1:28" ht="11.25" customHeight="1" x14ac:dyDescent="0.25">
      <c r="A13" s="142"/>
      <c r="B13" s="142"/>
      <c r="C13" s="142"/>
      <c r="D13" s="79" t="s">
        <v>29</v>
      </c>
      <c r="E13" s="79" t="s">
        <v>25</v>
      </c>
      <c r="F13" s="79" t="s">
        <v>25</v>
      </c>
      <c r="G13" s="78" t="s">
        <v>86</v>
      </c>
      <c r="H13" s="78" t="s">
        <v>82</v>
      </c>
      <c r="I13" s="78">
        <f>'MERCADO TE'!$U$10</f>
        <v>546.58100000000002</v>
      </c>
      <c r="J13" s="15"/>
      <c r="L13" s="76">
        <f>'TE BE'!$L$13*'TE BF'!$L$49</f>
        <v>0</v>
      </c>
      <c r="M13" s="76">
        <f>'TE BE'!$M$13*'TE BF'!$M$49</f>
        <v>14.295575824123166</v>
      </c>
      <c r="N13" s="76">
        <f>'TE BE'!$N$13*'TE BF'!$N$49</f>
        <v>0</v>
      </c>
      <c r="O13" s="76">
        <f>'TE BE'!$O$13*'TE BF'!$O$49</f>
        <v>0.58855116936602359</v>
      </c>
      <c r="P13" s="76">
        <f>'TE BE'!$P$13*'TE BF'!$P$49</f>
        <v>0</v>
      </c>
      <c r="Q13" s="76">
        <f>SUM($L$13:$P$13)</f>
        <v>14.88412699348919</v>
      </c>
      <c r="R13" s="76">
        <f>'TE BE'!$R$13*'TE BF'!$R$49</f>
        <v>25.462185491687421</v>
      </c>
      <c r="S13" s="76">
        <f>SUM($R$13:$R$13)</f>
        <v>25.462185491687421</v>
      </c>
      <c r="T13" s="76">
        <f>'TE BE'!$T$13*'TE BF'!$T$49</f>
        <v>1.6515716592995764</v>
      </c>
      <c r="U13" s="76">
        <f>'TE BE'!$U$13*'TE BF'!$U$49</f>
        <v>0.35448719565218523</v>
      </c>
      <c r="V13" s="76">
        <f>'TE BE'!$V$13*'TE BF'!$V$49</f>
        <v>0</v>
      </c>
      <c r="W13" s="76">
        <f>SUM($T$13:$V$13)</f>
        <v>2.0060588549517617</v>
      </c>
      <c r="X13" s="76">
        <f>'TE BE'!$AB$13*'TE BF'!$X$49</f>
        <v>0</v>
      </c>
      <c r="Y13" s="76">
        <f>SUM($X$13:$X$13)</f>
        <v>0</v>
      </c>
      <c r="Z13" s="76">
        <f>'TE BE'!$Z$13*'TE BF'!$Z$49</f>
        <v>0.74215635220914755</v>
      </c>
      <c r="AA13" s="76">
        <f>SUM($Z$13:$Z$13)</f>
        <v>0.74215635220914755</v>
      </c>
      <c r="AB13" s="76">
        <f>SUMIF($L$4:$AA$4,"SUBTOTAL",$L$13:$AA$13)</f>
        <v>43.094527692337522</v>
      </c>
    </row>
    <row r="14" spans="1:28" ht="11.25" customHeight="1" x14ac:dyDescent="0.25">
      <c r="A14" s="142"/>
      <c r="B14" s="142"/>
      <c r="C14" s="142"/>
      <c r="D14" s="79" t="s">
        <v>30</v>
      </c>
      <c r="E14" s="79" t="s">
        <v>25</v>
      </c>
      <c r="F14" s="79" t="s">
        <v>25</v>
      </c>
      <c r="G14" s="78" t="s">
        <v>86</v>
      </c>
      <c r="H14" s="78" t="s">
        <v>82</v>
      </c>
      <c r="I14" s="78">
        <f>'MERCADO TE'!$U$11</f>
        <v>537.75300000000004</v>
      </c>
      <c r="J14" s="15"/>
      <c r="L14" s="76">
        <f>'TE BE'!$L$14*'TE BF'!$L$49</f>
        <v>0</v>
      </c>
      <c r="M14" s="76">
        <f>'TE BE'!$M$14*'TE BF'!$M$49</f>
        <v>14.295575824123166</v>
      </c>
      <c r="N14" s="76">
        <f>'TE BE'!$N$14*'TE BF'!$N$49</f>
        <v>0</v>
      </c>
      <c r="O14" s="76">
        <f>'TE BE'!$O$14*'TE BF'!$O$49</f>
        <v>0.58855116936602359</v>
      </c>
      <c r="P14" s="76">
        <f>'TE BE'!$P$14*'TE BF'!$P$49</f>
        <v>0</v>
      </c>
      <c r="Q14" s="76">
        <f>SUM($L$14:$P$14)</f>
        <v>14.88412699348919</v>
      </c>
      <c r="R14" s="76">
        <f>'TE BE'!$R$14*'TE BF'!$R$49</f>
        <v>25.462185491687421</v>
      </c>
      <c r="S14" s="76">
        <f>SUM($R$14:$R$14)</f>
        <v>25.462185491687421</v>
      </c>
      <c r="T14" s="76">
        <f>'TE BE'!$T$14*'TE BF'!$T$49</f>
        <v>1.6515716592995764</v>
      </c>
      <c r="U14" s="76">
        <f>'TE BE'!$U$14*'TE BF'!$U$49</f>
        <v>0.35448719565218523</v>
      </c>
      <c r="V14" s="76">
        <f>'TE BE'!$V$14*'TE BF'!$V$49</f>
        <v>0</v>
      </c>
      <c r="W14" s="76">
        <f>SUM($T$14:$V$14)</f>
        <v>2.0060588549517617</v>
      </c>
      <c r="X14" s="76">
        <f>'TE BE'!$AB$14*'TE BF'!$X$49</f>
        <v>0</v>
      </c>
      <c r="Y14" s="76">
        <f>SUM($X$14:$X$14)</f>
        <v>0</v>
      </c>
      <c r="Z14" s="76">
        <f>'TE BE'!$Z$14*'TE BF'!$Z$49</f>
        <v>0.74215635220914755</v>
      </c>
      <c r="AA14" s="76">
        <f>SUM($Z$14:$Z$14)</f>
        <v>0.74215635220914755</v>
      </c>
      <c r="AB14" s="76">
        <f>SUMIF($L$4:$AA$4,"SUBTOTAL",$L$14:$AA$14)</f>
        <v>43.094527692337522</v>
      </c>
    </row>
    <row r="15" spans="1:28" ht="11.25" customHeight="1" x14ac:dyDescent="0.25">
      <c r="A15" s="142"/>
      <c r="B15" s="142"/>
      <c r="C15" s="142"/>
      <c r="D15" s="79" t="s">
        <v>31</v>
      </c>
      <c r="E15" s="79" t="s">
        <v>25</v>
      </c>
      <c r="F15" s="79" t="s">
        <v>25</v>
      </c>
      <c r="G15" s="78" t="s">
        <v>86</v>
      </c>
      <c r="H15" s="78" t="s">
        <v>82</v>
      </c>
      <c r="I15" s="78">
        <f>'MERCADO TE'!$U$12</f>
        <v>180.10599999999999</v>
      </c>
      <c r="J15" s="15"/>
      <c r="L15" s="76">
        <f>'TE BE'!$L$15*'TE BF'!$L$49</f>
        <v>0</v>
      </c>
      <c r="M15" s="76">
        <f>'TE BE'!$M$15*'TE BF'!$M$49</f>
        <v>14.295575824123166</v>
      </c>
      <c r="N15" s="76">
        <f>'TE BE'!$N$15*'TE BF'!$N$49</f>
        <v>0</v>
      </c>
      <c r="O15" s="76">
        <f>'TE BE'!$O$15*'TE BF'!$O$49</f>
        <v>0.58855116936602359</v>
      </c>
      <c r="P15" s="76">
        <f>'TE BE'!$P$15*'TE BF'!$P$49</f>
        <v>0</v>
      </c>
      <c r="Q15" s="76">
        <f>SUM($L$15:$P$15)</f>
        <v>14.88412699348919</v>
      </c>
      <c r="R15" s="76">
        <f>'TE BE'!$R$15*'TE BF'!$R$49</f>
        <v>25.462185491687421</v>
      </c>
      <c r="S15" s="76">
        <f>SUM($R$15:$R$15)</f>
        <v>25.462185491687421</v>
      </c>
      <c r="T15" s="76">
        <f>'TE BE'!$T$15*'TE BF'!$T$49</f>
        <v>1.6515716592995764</v>
      </c>
      <c r="U15" s="76">
        <f>'TE BE'!$U$15*'TE BF'!$U$49</f>
        <v>0.35448719565218523</v>
      </c>
      <c r="V15" s="76">
        <f>'TE BE'!$V$15*'TE BF'!$V$49</f>
        <v>0</v>
      </c>
      <c r="W15" s="76">
        <f>SUM($T$15:$V$15)</f>
        <v>2.0060588549517617</v>
      </c>
      <c r="X15" s="76">
        <f>'TE BE'!$AB$15*'TE BF'!$X$49</f>
        <v>0</v>
      </c>
      <c r="Y15" s="76">
        <f>SUM($X$15:$X$15)</f>
        <v>0</v>
      </c>
      <c r="Z15" s="76">
        <f>'TE BE'!$Z$15*'TE BF'!$Z$49</f>
        <v>0.74215635220914755</v>
      </c>
      <c r="AA15" s="76">
        <f>SUM($Z$15:$Z$15)</f>
        <v>0.74215635220914755</v>
      </c>
      <c r="AB15" s="76">
        <f>SUMIF($L$4:$AA$4,"SUBTOTAL",$L$15:$AA$15)</f>
        <v>43.094527692337522</v>
      </c>
    </row>
    <row r="16" spans="1:28" ht="11.25" customHeight="1" x14ac:dyDescent="0.25">
      <c r="A16" s="142"/>
      <c r="B16" s="142" t="s">
        <v>94</v>
      </c>
      <c r="C16" s="142" t="s">
        <v>24</v>
      </c>
      <c r="D16" s="79" t="s">
        <v>24</v>
      </c>
      <c r="E16" s="79" t="s">
        <v>25</v>
      </c>
      <c r="F16" s="79" t="s">
        <v>25</v>
      </c>
      <c r="G16" s="78" t="s">
        <v>86</v>
      </c>
      <c r="H16" s="78" t="s">
        <v>82</v>
      </c>
      <c r="I16" s="78">
        <f>'MERCADO TE'!$U$13</f>
        <v>0</v>
      </c>
      <c r="J16" s="15"/>
      <c r="L16" s="76">
        <f>'TE BE'!$L$16*'TE BF'!$L$49</f>
        <v>0</v>
      </c>
      <c r="M16" s="76">
        <f>'TE BE'!$M$16*'TE BF'!$M$49</f>
        <v>14.295575824123166</v>
      </c>
      <c r="N16" s="76">
        <f>'TE BE'!$N$16*'TE BF'!$N$49</f>
        <v>0</v>
      </c>
      <c r="O16" s="76">
        <f>'TE BE'!$O$16*'TE BF'!$O$49</f>
        <v>0.58855116936602359</v>
      </c>
      <c r="P16" s="76">
        <f>'TE BE'!$P$16*'TE BF'!$P$49</f>
        <v>0</v>
      </c>
      <c r="Q16" s="76">
        <f>SUM($L$16:$P$16)</f>
        <v>14.88412699348919</v>
      </c>
      <c r="R16" s="76">
        <f>'TE BE'!$R$16*'TE BF'!$R$49</f>
        <v>25.462185491687421</v>
      </c>
      <c r="S16" s="76">
        <f>SUM($R$16:$R$16)</f>
        <v>25.462185491687421</v>
      </c>
      <c r="T16" s="76">
        <f>'TE BE'!$T$16*'TE BF'!$T$49</f>
        <v>1.6515716592995764</v>
      </c>
      <c r="U16" s="76">
        <f>'TE BE'!$U$16*'TE BF'!$U$49</f>
        <v>0.35448719565218523</v>
      </c>
      <c r="V16" s="76">
        <f>'TE BE'!$V$16*'TE BF'!$V$49</f>
        <v>0</v>
      </c>
      <c r="W16" s="76">
        <f>SUM($T$16:$V$16)</f>
        <v>2.0060588549517617</v>
      </c>
      <c r="X16" s="76">
        <f>'TE BE'!$AB$16*'TE BF'!$X$49</f>
        <v>0</v>
      </c>
      <c r="Y16" s="76">
        <f>SUM($X$16:$X$16)</f>
        <v>0</v>
      </c>
      <c r="Z16" s="76">
        <f>'TE BE'!$Z$16*'TE BF'!$Z$49</f>
        <v>0.74215635220914755</v>
      </c>
      <c r="AA16" s="76">
        <f>SUM($Z$16:$Z$16)</f>
        <v>0.74215635220914755</v>
      </c>
      <c r="AB16" s="76">
        <f>SUMIF($L$4:$AA$4,"SUBTOTAL",$L$16:$AA$16)</f>
        <v>43.094527692337522</v>
      </c>
    </row>
    <row r="17" spans="1:28" ht="11.25" customHeight="1" x14ac:dyDescent="0.25">
      <c r="A17" s="142"/>
      <c r="B17" s="142"/>
      <c r="C17" s="142"/>
      <c r="D17" s="79" t="s">
        <v>28</v>
      </c>
      <c r="E17" s="79" t="s">
        <v>25</v>
      </c>
      <c r="F17" s="79" t="s">
        <v>25</v>
      </c>
      <c r="G17" s="78" t="s">
        <v>86</v>
      </c>
      <c r="H17" s="78" t="s">
        <v>82</v>
      </c>
      <c r="I17" s="78">
        <f>'MERCADO TE'!$U$14</f>
        <v>0</v>
      </c>
      <c r="J17" s="15"/>
      <c r="L17" s="76">
        <f>'TE BE'!$L$17*'TE BF'!$L$49</f>
        <v>0</v>
      </c>
      <c r="M17" s="76">
        <f>'TE BE'!$M$17*'TE BF'!$M$49</f>
        <v>14.295575824123166</v>
      </c>
      <c r="N17" s="76">
        <f>'TE BE'!$N$17*'TE BF'!$N$49</f>
        <v>0</v>
      </c>
      <c r="O17" s="76">
        <f>'TE BE'!$O$17*'TE BF'!$O$49</f>
        <v>0.58855116936602359</v>
      </c>
      <c r="P17" s="76">
        <f>'TE BE'!$P$17*'TE BF'!$P$49</f>
        <v>0</v>
      </c>
      <c r="Q17" s="76">
        <f>SUM($L$17:$P$17)</f>
        <v>14.88412699348919</v>
      </c>
      <c r="R17" s="76">
        <f>'TE BE'!$R$17*'TE BF'!$R$49</f>
        <v>25.462185491687421</v>
      </c>
      <c r="S17" s="76">
        <f>SUM($R$17:$R$17)</f>
        <v>25.462185491687421</v>
      </c>
      <c r="T17" s="76">
        <f>'TE BE'!$T$17*'TE BF'!$T$49</f>
        <v>1.6515716592995764</v>
      </c>
      <c r="U17" s="76">
        <f>'TE BE'!$U$17*'TE BF'!$U$49</f>
        <v>0.35448719565218523</v>
      </c>
      <c r="V17" s="76">
        <f>'TE BE'!$V$17*'TE BF'!$V$49</f>
        <v>0</v>
      </c>
      <c r="W17" s="76">
        <f>SUM($T$17:$V$17)</f>
        <v>2.0060588549517617</v>
      </c>
      <c r="X17" s="76">
        <f>'TE BE'!$AB$17*'TE BF'!$X$49</f>
        <v>0</v>
      </c>
      <c r="Y17" s="76">
        <f>SUM($X$17:$X$17)</f>
        <v>0</v>
      </c>
      <c r="Z17" s="76">
        <f>'TE BE'!$Z$17*'TE BF'!$Z$49</f>
        <v>0.74215635220914755</v>
      </c>
      <c r="AA17" s="76">
        <f>SUM($Z$17:$Z$17)</f>
        <v>0.74215635220914755</v>
      </c>
      <c r="AB17" s="76">
        <f>SUMIF($L$4:$AA$4,"SUBTOTAL",$L$17:$AA$17)</f>
        <v>43.094527692337522</v>
      </c>
    </row>
    <row r="18" spans="1:28" ht="11.25" customHeight="1" x14ac:dyDescent="0.25">
      <c r="A18" s="142"/>
      <c r="B18" s="142"/>
      <c r="C18" s="142"/>
      <c r="D18" s="79" t="s">
        <v>29</v>
      </c>
      <c r="E18" s="79" t="s">
        <v>25</v>
      </c>
      <c r="F18" s="79" t="s">
        <v>25</v>
      </c>
      <c r="G18" s="78" t="s">
        <v>86</v>
      </c>
      <c r="H18" s="78" t="s">
        <v>82</v>
      </c>
      <c r="I18" s="78">
        <f>'MERCADO TE'!$U$15</f>
        <v>0</v>
      </c>
      <c r="J18" s="15"/>
      <c r="L18" s="76">
        <f>'TE BE'!$L$18*'TE BF'!$L$49</f>
        <v>0</v>
      </c>
      <c r="M18" s="76">
        <f>'TE BE'!$M$18*'TE BF'!$M$49</f>
        <v>14.295575824123166</v>
      </c>
      <c r="N18" s="76">
        <f>'TE BE'!$N$18*'TE BF'!$N$49</f>
        <v>0</v>
      </c>
      <c r="O18" s="76">
        <f>'TE BE'!$O$18*'TE BF'!$O$49</f>
        <v>0.58855116936602359</v>
      </c>
      <c r="P18" s="76">
        <f>'TE BE'!$P$18*'TE BF'!$P$49</f>
        <v>0</v>
      </c>
      <c r="Q18" s="76">
        <f>SUM($L$18:$P$18)</f>
        <v>14.88412699348919</v>
      </c>
      <c r="R18" s="76">
        <f>'TE BE'!$R$18*'TE BF'!$R$49</f>
        <v>25.462185491687421</v>
      </c>
      <c r="S18" s="76">
        <f>SUM($R$18:$R$18)</f>
        <v>25.462185491687421</v>
      </c>
      <c r="T18" s="76">
        <f>'TE BE'!$T$18*'TE BF'!$T$49</f>
        <v>1.6515716592995764</v>
      </c>
      <c r="U18" s="76">
        <f>'TE BE'!$U$18*'TE BF'!$U$49</f>
        <v>0.35448719565218523</v>
      </c>
      <c r="V18" s="76">
        <f>'TE BE'!$V$18*'TE BF'!$V$49</f>
        <v>0</v>
      </c>
      <c r="W18" s="76">
        <f>SUM($T$18:$V$18)</f>
        <v>2.0060588549517617</v>
      </c>
      <c r="X18" s="76">
        <f>'TE BE'!$AB$18*'TE BF'!$X$49</f>
        <v>0</v>
      </c>
      <c r="Y18" s="76">
        <f>SUM($X$18:$X$18)</f>
        <v>0</v>
      </c>
      <c r="Z18" s="76">
        <f>'TE BE'!$Z$18*'TE BF'!$Z$49</f>
        <v>0.74215635220914755</v>
      </c>
      <c r="AA18" s="76">
        <f>SUM($Z$18:$Z$18)</f>
        <v>0.74215635220914755</v>
      </c>
      <c r="AB18" s="76">
        <f>SUMIF($L$4:$AA$4,"SUBTOTAL",$L$18:$AA$18)</f>
        <v>43.094527692337522</v>
      </c>
    </row>
    <row r="19" spans="1:28" ht="11.25" customHeight="1" x14ac:dyDescent="0.25">
      <c r="A19" s="142"/>
      <c r="B19" s="142"/>
      <c r="C19" s="142"/>
      <c r="D19" s="79" t="s">
        <v>30</v>
      </c>
      <c r="E19" s="79" t="s">
        <v>25</v>
      </c>
      <c r="F19" s="79" t="s">
        <v>25</v>
      </c>
      <c r="G19" s="78" t="s">
        <v>86</v>
      </c>
      <c r="H19" s="78" t="s">
        <v>82</v>
      </c>
      <c r="I19" s="78">
        <f>'MERCADO TE'!$U$16</f>
        <v>0</v>
      </c>
      <c r="J19" s="15"/>
      <c r="L19" s="76">
        <f>'TE BE'!$L$19*'TE BF'!$L$49</f>
        <v>0</v>
      </c>
      <c r="M19" s="76">
        <f>'TE BE'!$M$19*'TE BF'!$M$49</f>
        <v>14.295575824123166</v>
      </c>
      <c r="N19" s="76">
        <f>'TE BE'!$N$19*'TE BF'!$N$49</f>
        <v>0</v>
      </c>
      <c r="O19" s="76">
        <f>'TE BE'!$O$19*'TE BF'!$O$49</f>
        <v>0.58855116936602359</v>
      </c>
      <c r="P19" s="76">
        <f>'TE BE'!$P$19*'TE BF'!$P$49</f>
        <v>0</v>
      </c>
      <c r="Q19" s="76">
        <f>SUM($L$19:$P$19)</f>
        <v>14.88412699348919</v>
      </c>
      <c r="R19" s="76">
        <f>'TE BE'!$R$19*'TE BF'!$R$49</f>
        <v>25.462185491687421</v>
      </c>
      <c r="S19" s="76">
        <f>SUM($R$19:$R$19)</f>
        <v>25.462185491687421</v>
      </c>
      <c r="T19" s="76">
        <f>'TE BE'!$T$19*'TE BF'!$T$49</f>
        <v>1.6515716592995764</v>
      </c>
      <c r="U19" s="76">
        <f>'TE BE'!$U$19*'TE BF'!$U$49</f>
        <v>0.35448719565218523</v>
      </c>
      <c r="V19" s="76">
        <f>'TE BE'!$V$19*'TE BF'!$V$49</f>
        <v>0</v>
      </c>
      <c r="W19" s="76">
        <f>SUM($T$19:$V$19)</f>
        <v>2.0060588549517617</v>
      </c>
      <c r="X19" s="76">
        <f>'TE BE'!$AB$19*'TE BF'!$X$49</f>
        <v>0</v>
      </c>
      <c r="Y19" s="76">
        <f>SUM($X$19:$X$19)</f>
        <v>0</v>
      </c>
      <c r="Z19" s="76">
        <f>'TE BE'!$Z$19*'TE BF'!$Z$49</f>
        <v>0.74215635220914755</v>
      </c>
      <c r="AA19" s="76">
        <f>SUM($Z$19:$Z$19)</f>
        <v>0.74215635220914755</v>
      </c>
      <c r="AB19" s="76">
        <f>SUMIF($L$4:$AA$4,"SUBTOTAL",$L$19:$AA$19)</f>
        <v>43.094527692337522</v>
      </c>
    </row>
    <row r="20" spans="1:28" ht="11.25" customHeight="1" x14ac:dyDescent="0.25">
      <c r="A20" s="142"/>
      <c r="B20" s="142"/>
      <c r="C20" s="142"/>
      <c r="D20" s="79" t="s">
        <v>31</v>
      </c>
      <c r="E20" s="79" t="s">
        <v>25</v>
      </c>
      <c r="F20" s="79" t="s">
        <v>25</v>
      </c>
      <c r="G20" s="78" t="s">
        <v>86</v>
      </c>
      <c r="H20" s="78" t="s">
        <v>82</v>
      </c>
      <c r="I20" s="78">
        <f>'MERCADO TE'!$U$17</f>
        <v>0</v>
      </c>
      <c r="J20" s="15"/>
      <c r="L20" s="76">
        <f>'TE BE'!$L$20*'TE BF'!$L$49</f>
        <v>0</v>
      </c>
      <c r="M20" s="76">
        <f>'TE BE'!$M$20*'TE BF'!$M$49</f>
        <v>14.295575824123166</v>
      </c>
      <c r="N20" s="76">
        <f>'TE BE'!$N$20*'TE BF'!$N$49</f>
        <v>0</v>
      </c>
      <c r="O20" s="76">
        <f>'TE BE'!$O$20*'TE BF'!$O$49</f>
        <v>0.58855116936602359</v>
      </c>
      <c r="P20" s="76">
        <f>'TE BE'!$P$20*'TE BF'!$P$49</f>
        <v>0</v>
      </c>
      <c r="Q20" s="76">
        <f>SUM($L$20:$P$20)</f>
        <v>14.88412699348919</v>
      </c>
      <c r="R20" s="76">
        <f>'TE BE'!$R$20*'TE BF'!$R$49</f>
        <v>25.462185491687421</v>
      </c>
      <c r="S20" s="76">
        <f>SUM($R$20:$R$20)</f>
        <v>25.462185491687421</v>
      </c>
      <c r="T20" s="76">
        <f>'TE BE'!$T$20*'TE BF'!$T$49</f>
        <v>1.6515716592995764</v>
      </c>
      <c r="U20" s="76">
        <f>'TE BE'!$U$20*'TE BF'!$U$49</f>
        <v>0.35448719565218523</v>
      </c>
      <c r="V20" s="76">
        <f>'TE BE'!$V$20*'TE BF'!$V$49</f>
        <v>0</v>
      </c>
      <c r="W20" s="76">
        <f>SUM($T$20:$V$20)</f>
        <v>2.0060588549517617</v>
      </c>
      <c r="X20" s="76">
        <f>'TE BE'!$AB$20*'TE BF'!$X$49</f>
        <v>0</v>
      </c>
      <c r="Y20" s="76">
        <f>SUM($X$20:$X$20)</f>
        <v>0</v>
      </c>
      <c r="Z20" s="76">
        <f>'TE BE'!$Z$20*'TE BF'!$Z$49</f>
        <v>0.74215635220914755</v>
      </c>
      <c r="AA20" s="76">
        <f>SUM($Z$20:$Z$20)</f>
        <v>0.74215635220914755</v>
      </c>
      <c r="AB20" s="76">
        <f>SUMIF($L$4:$AA$4,"SUBTOTAL",$L$20:$AA$20)</f>
        <v>43.094527692337522</v>
      </c>
    </row>
    <row r="21" spans="1:28" ht="11.25" customHeight="1" x14ac:dyDescent="0.25">
      <c r="A21" s="142" t="s">
        <v>42</v>
      </c>
      <c r="B21" s="142" t="s">
        <v>81</v>
      </c>
      <c r="C21" s="142" t="s">
        <v>43</v>
      </c>
      <c r="D21" s="142" t="s">
        <v>25</v>
      </c>
      <c r="E21" s="142" t="s">
        <v>25</v>
      </c>
      <c r="F21" s="142" t="s">
        <v>25</v>
      </c>
      <c r="G21" s="78" t="s">
        <v>83</v>
      </c>
      <c r="H21" s="78" t="s">
        <v>82</v>
      </c>
      <c r="I21" s="78">
        <f>'MERCADO TE'!$U$18</f>
        <v>0</v>
      </c>
      <c r="J21" s="15"/>
      <c r="L21" s="76">
        <f>'TE BE'!$L$21*'TE BF'!$L$49</f>
        <v>0</v>
      </c>
      <c r="M21" s="76">
        <f>'TE BE'!$M$21*'TE BF'!$M$49</f>
        <v>14.295575824123166</v>
      </c>
      <c r="N21" s="76">
        <f>'TE BE'!$N$21*'TE BF'!$N$49</f>
        <v>0</v>
      </c>
      <c r="O21" s="76">
        <f>'TE BE'!$O$21*'TE BF'!$O$49</f>
        <v>0.58855116936602359</v>
      </c>
      <c r="P21" s="76">
        <f>'TE BE'!$P$21*'TE BF'!$P$49</f>
        <v>0</v>
      </c>
      <c r="Q21" s="76">
        <f>SUM($L$21:$P$21)</f>
        <v>14.88412699348919</v>
      </c>
      <c r="R21" s="76">
        <f>'TE BE'!$R$21*'TE BF'!$R$49</f>
        <v>41.315999099719214</v>
      </c>
      <c r="S21" s="76">
        <f>SUM($R$21:$R$21)</f>
        <v>41.315999099719214</v>
      </c>
      <c r="T21" s="76">
        <f>'TE BE'!$T$21*'TE BF'!$T$49</f>
        <v>1.6515716592995764</v>
      </c>
      <c r="U21" s="76">
        <f>'TE BE'!$U$21*'TE BF'!$U$49</f>
        <v>0.35448719565218523</v>
      </c>
      <c r="V21" s="76">
        <f>'TE BE'!$V$21*'TE BF'!$V$49</f>
        <v>0</v>
      </c>
      <c r="W21" s="76">
        <f>SUM($T$21:$V$21)</f>
        <v>2.0060588549517617</v>
      </c>
      <c r="X21" s="76">
        <f>'TE BE'!$AB$21*'TE BF'!$X$49</f>
        <v>0</v>
      </c>
      <c r="Y21" s="76">
        <f>SUM($X$21:$X$21)</f>
        <v>0</v>
      </c>
      <c r="Z21" s="76">
        <f>'TE BE'!$Z$21*'TE BF'!$Z$49</f>
        <v>0.74215635220914755</v>
      </c>
      <c r="AA21" s="76">
        <f>SUM($Z$21:$Z$21)</f>
        <v>0.74215635220914755</v>
      </c>
      <c r="AB21" s="76">
        <f>SUMIF($L$4:$AA$4,"SUBTOTAL",$L$21:$AA$21)</f>
        <v>58.948341300369314</v>
      </c>
    </row>
    <row r="22" spans="1:28" ht="11.25" customHeight="1" x14ac:dyDescent="0.25">
      <c r="A22" s="142"/>
      <c r="B22" s="142"/>
      <c r="C22" s="142"/>
      <c r="D22" s="142"/>
      <c r="E22" s="142"/>
      <c r="F22" s="142"/>
      <c r="G22" s="78" t="s">
        <v>93</v>
      </c>
      <c r="H22" s="78" t="s">
        <v>82</v>
      </c>
      <c r="I22" s="78">
        <f>'MERCADO TE'!$U$19</f>
        <v>0</v>
      </c>
      <c r="J22" s="15"/>
      <c r="L22" s="76">
        <f>'TE BE'!$L$22*'TE BF'!$L$49</f>
        <v>0</v>
      </c>
      <c r="M22" s="76">
        <f>'TE BE'!$M$22*'TE BF'!$M$49</f>
        <v>14.295575824123166</v>
      </c>
      <c r="N22" s="76">
        <f>'TE BE'!$N$22*'TE BF'!$N$49</f>
        <v>0</v>
      </c>
      <c r="O22" s="76">
        <f>'TE BE'!$O$22*'TE BF'!$O$49</f>
        <v>0.58855116936602359</v>
      </c>
      <c r="P22" s="76">
        <f>'TE BE'!$P$22*'TE BF'!$P$49</f>
        <v>0</v>
      </c>
      <c r="Q22" s="76">
        <f>SUM($L$22:$P$22)</f>
        <v>14.88412699348919</v>
      </c>
      <c r="R22" s="76">
        <f>'TE BE'!$R$22*'TE BF'!$R$49</f>
        <v>24.020929709139075</v>
      </c>
      <c r="S22" s="76">
        <f>SUM($R$22:$R$22)</f>
        <v>24.020929709139075</v>
      </c>
      <c r="T22" s="76">
        <f>'TE BE'!$T$22*'TE BF'!$T$49</f>
        <v>1.6515716592995764</v>
      </c>
      <c r="U22" s="76">
        <f>'TE BE'!$U$22*'TE BF'!$U$49</f>
        <v>0.35448719565218523</v>
      </c>
      <c r="V22" s="76">
        <f>'TE BE'!$V$22*'TE BF'!$V$49</f>
        <v>0</v>
      </c>
      <c r="W22" s="76">
        <f>SUM($T$22:$V$22)</f>
        <v>2.0060588549517617</v>
      </c>
      <c r="X22" s="76">
        <f>'TE BE'!$AB$22*'TE BF'!$X$49</f>
        <v>0</v>
      </c>
      <c r="Y22" s="76">
        <f>SUM($X$22:$X$22)</f>
        <v>0</v>
      </c>
      <c r="Z22" s="76">
        <f>'TE BE'!$Z$22*'TE BF'!$Z$49</f>
        <v>0.74215635220914755</v>
      </c>
      <c r="AA22" s="76">
        <f>SUM($Z$22:$Z$22)</f>
        <v>0.74215635220914755</v>
      </c>
      <c r="AB22" s="76">
        <f>SUMIF($L$4:$AA$4,"SUBTOTAL",$L$22:$AA$22)</f>
        <v>41.653271909789176</v>
      </c>
    </row>
    <row r="23" spans="1:28" ht="11.25" customHeight="1" x14ac:dyDescent="0.25">
      <c r="A23" s="142"/>
      <c r="B23" s="142"/>
      <c r="C23" s="142"/>
      <c r="D23" s="142"/>
      <c r="E23" s="142"/>
      <c r="F23" s="142"/>
      <c r="G23" s="78" t="s">
        <v>84</v>
      </c>
      <c r="H23" s="78" t="s">
        <v>82</v>
      </c>
      <c r="I23" s="78">
        <f>'MERCADO TE'!$U$20</f>
        <v>0</v>
      </c>
      <c r="J23" s="15"/>
      <c r="L23" s="76">
        <f>'TE BE'!$L$23*'TE BF'!$L$49</f>
        <v>0</v>
      </c>
      <c r="M23" s="76">
        <f>'TE BE'!$M$23*'TE BF'!$M$49</f>
        <v>14.295575824123166</v>
      </c>
      <c r="N23" s="76">
        <f>'TE BE'!$N$23*'TE BF'!$N$49</f>
        <v>0</v>
      </c>
      <c r="O23" s="76">
        <f>'TE BE'!$O$23*'TE BF'!$O$49</f>
        <v>0.58855116936602359</v>
      </c>
      <c r="P23" s="76">
        <f>'TE BE'!$P$23*'TE BF'!$P$49</f>
        <v>0</v>
      </c>
      <c r="Q23" s="76">
        <f>SUM($L$23:$P$23)</f>
        <v>14.88412699348919</v>
      </c>
      <c r="R23" s="76">
        <f>'TE BE'!$R$23*'TE BF'!$R$49</f>
        <v>24.020929709139075</v>
      </c>
      <c r="S23" s="76">
        <f>SUM($R$23:$R$23)</f>
        <v>24.020929709139075</v>
      </c>
      <c r="T23" s="76">
        <f>'TE BE'!$T$23*'TE BF'!$T$49</f>
        <v>1.6515716592995764</v>
      </c>
      <c r="U23" s="76">
        <f>'TE BE'!$U$23*'TE BF'!$U$49</f>
        <v>0.35448719565218523</v>
      </c>
      <c r="V23" s="76">
        <f>'TE BE'!$V$23*'TE BF'!$V$49</f>
        <v>0</v>
      </c>
      <c r="W23" s="76">
        <f>SUM($T$23:$V$23)</f>
        <v>2.0060588549517617</v>
      </c>
      <c r="X23" s="76">
        <f>'TE BE'!$AB$23*'TE BF'!$X$49</f>
        <v>0</v>
      </c>
      <c r="Y23" s="76">
        <f>SUM($X$23:$X$23)</f>
        <v>0</v>
      </c>
      <c r="Z23" s="76">
        <f>'TE BE'!$Z$23*'TE BF'!$Z$49</f>
        <v>0.74215635220914755</v>
      </c>
      <c r="AA23" s="76">
        <f>SUM($Z$23:$Z$23)</f>
        <v>0.74215635220914755</v>
      </c>
      <c r="AB23" s="76">
        <f>SUMIF($L$4:$AA$4,"SUBTOTAL",$L$23:$AA$23)</f>
        <v>41.653271909789176</v>
      </c>
    </row>
    <row r="24" spans="1:28" ht="11.25" customHeight="1" x14ac:dyDescent="0.25">
      <c r="A24" s="142"/>
      <c r="B24" s="79" t="s">
        <v>85</v>
      </c>
      <c r="C24" s="79" t="s">
        <v>43</v>
      </c>
      <c r="D24" s="79" t="s">
        <v>25</v>
      </c>
      <c r="E24" s="79" t="s">
        <v>25</v>
      </c>
      <c r="F24" s="79" t="s">
        <v>25</v>
      </c>
      <c r="G24" s="78" t="s">
        <v>86</v>
      </c>
      <c r="H24" s="78" t="s">
        <v>82</v>
      </c>
      <c r="I24" s="78">
        <f>'MERCADO TE'!$U$21</f>
        <v>18727.453000000001</v>
      </c>
      <c r="J24" s="15"/>
      <c r="L24" s="76">
        <f>'TE BE'!$L$24*'TE BF'!$L$49</f>
        <v>0</v>
      </c>
      <c r="M24" s="76">
        <f>'TE BE'!$M$24*'TE BF'!$M$49</f>
        <v>14.295575824123166</v>
      </c>
      <c r="N24" s="76">
        <f>'TE BE'!$N$24*'TE BF'!$N$49</f>
        <v>0</v>
      </c>
      <c r="O24" s="76">
        <f>'TE BE'!$O$24*'TE BF'!$O$49</f>
        <v>0.58855116936602359</v>
      </c>
      <c r="P24" s="76">
        <f>'TE BE'!$P$24*'TE BF'!$P$49</f>
        <v>0</v>
      </c>
      <c r="Q24" s="76">
        <f>SUM($L$24:$P$24)</f>
        <v>14.88412699348919</v>
      </c>
      <c r="R24" s="76">
        <f>'TE BE'!$R$24*'TE BF'!$R$49</f>
        <v>25.462185491687421</v>
      </c>
      <c r="S24" s="76">
        <f>SUM($R$24:$R$24)</f>
        <v>25.462185491687421</v>
      </c>
      <c r="T24" s="76">
        <f>'TE BE'!$T$24*'TE BF'!$T$49</f>
        <v>1.6515716592995764</v>
      </c>
      <c r="U24" s="76">
        <f>'TE BE'!$U$24*'TE BF'!$U$49</f>
        <v>0.35448719565218523</v>
      </c>
      <c r="V24" s="76">
        <f>'TE BE'!$V$24*'TE BF'!$V$49</f>
        <v>0</v>
      </c>
      <c r="W24" s="76">
        <f>SUM($T$24:$V$24)</f>
        <v>2.0060588549517617</v>
      </c>
      <c r="X24" s="76">
        <f>'TE BE'!$AB$24*'TE BF'!$X$49</f>
        <v>0</v>
      </c>
      <c r="Y24" s="76">
        <f>SUM($X$24:$X$24)</f>
        <v>0</v>
      </c>
      <c r="Z24" s="76">
        <f>'TE BE'!$Z$24*'TE BF'!$Z$49</f>
        <v>0.74215635220914755</v>
      </c>
      <c r="AA24" s="76">
        <f>SUM($Z$24:$Z$24)</f>
        <v>0.74215635220914755</v>
      </c>
      <c r="AB24" s="76">
        <f>SUMIF($L$4:$AA$4,"SUBTOTAL",$L$24:$AA$24)</f>
        <v>43.094527692337522</v>
      </c>
    </row>
    <row r="25" spans="1:28" ht="11.25" customHeight="1" x14ac:dyDescent="0.25">
      <c r="A25" s="142"/>
      <c r="B25" s="142" t="s">
        <v>81</v>
      </c>
      <c r="C25" s="142" t="s">
        <v>43</v>
      </c>
      <c r="D25" s="142" t="s">
        <v>96</v>
      </c>
      <c r="E25" s="142" t="s">
        <v>25</v>
      </c>
      <c r="F25" s="142" t="s">
        <v>25</v>
      </c>
      <c r="G25" s="78" t="s">
        <v>83</v>
      </c>
      <c r="H25" s="78" t="s">
        <v>82</v>
      </c>
      <c r="I25" s="78">
        <f>'MERCADO TE'!$U$22</f>
        <v>0</v>
      </c>
      <c r="J25" s="15"/>
      <c r="L25" s="76">
        <f>'TE BE'!$L$25*'TE BF'!$L$49</f>
        <v>0</v>
      </c>
      <c r="M25" s="76">
        <f>'TE BE'!$M$25*'TE BF'!$M$49</f>
        <v>14.295575824123166</v>
      </c>
      <c r="N25" s="76">
        <f>'TE BE'!$N$25*'TE BF'!$N$49</f>
        <v>0</v>
      </c>
      <c r="O25" s="76">
        <f>'TE BE'!$O$25*'TE BF'!$O$49</f>
        <v>0.58855116936602359</v>
      </c>
      <c r="P25" s="76">
        <f>'TE BE'!$P$25*'TE BF'!$P$49</f>
        <v>0</v>
      </c>
      <c r="Q25" s="76">
        <f>SUM($L$25:$P$25)</f>
        <v>14.88412699348919</v>
      </c>
      <c r="R25" s="76">
        <f>'TE BE'!$R$25*'TE BF'!$R$49</f>
        <v>41.315999099719214</v>
      </c>
      <c r="S25" s="76">
        <f>SUM($R$25:$R$25)</f>
        <v>41.315999099719214</v>
      </c>
      <c r="T25" s="76">
        <f>'TE BE'!$T$25*'TE BF'!$T$49</f>
        <v>1.6515716592995764</v>
      </c>
      <c r="U25" s="76">
        <f>'TE BE'!$U$25*'TE BF'!$U$49</f>
        <v>0.35448719565218523</v>
      </c>
      <c r="V25" s="76">
        <f>'TE BE'!$V$25*'TE BF'!$V$49</f>
        <v>0</v>
      </c>
      <c r="W25" s="76">
        <f>SUM($T$25:$V$25)</f>
        <v>2.0060588549517617</v>
      </c>
      <c r="X25" s="76">
        <f>'TE BE'!$AB$25*'TE BF'!$X$49</f>
        <v>0</v>
      </c>
      <c r="Y25" s="76">
        <f>SUM($X$25:$X$25)</f>
        <v>0</v>
      </c>
      <c r="Z25" s="76">
        <f>'TE BE'!$Z$25*'TE BF'!$Z$49</f>
        <v>0.74215635220914755</v>
      </c>
      <c r="AA25" s="76">
        <f>SUM($Z$25:$Z$25)</f>
        <v>0.74215635220914755</v>
      </c>
      <c r="AB25" s="76">
        <f>SUMIF($L$4:$AA$4,"SUBTOTAL",$L$25:$AA$25)</f>
        <v>58.948341300369314</v>
      </c>
    </row>
    <row r="26" spans="1:28" ht="11.25" customHeight="1" x14ac:dyDescent="0.25">
      <c r="A26" s="142"/>
      <c r="B26" s="142"/>
      <c r="C26" s="142"/>
      <c r="D26" s="142"/>
      <c r="E26" s="142"/>
      <c r="F26" s="142"/>
      <c r="G26" s="78" t="s">
        <v>93</v>
      </c>
      <c r="H26" s="78" t="s">
        <v>82</v>
      </c>
      <c r="I26" s="78">
        <f>'MERCADO TE'!$U$23</f>
        <v>0</v>
      </c>
      <c r="J26" s="15"/>
      <c r="L26" s="76">
        <f>'TE BE'!$L$26*'TE BF'!$L$49</f>
        <v>0</v>
      </c>
      <c r="M26" s="76">
        <f>'TE BE'!$M$26*'TE BF'!$M$49</f>
        <v>14.295575824123166</v>
      </c>
      <c r="N26" s="76">
        <f>'TE BE'!$N$26*'TE BF'!$N$49</f>
        <v>0</v>
      </c>
      <c r="O26" s="76">
        <f>'TE BE'!$O$26*'TE BF'!$O$49</f>
        <v>0.58855116936602359</v>
      </c>
      <c r="P26" s="76">
        <f>'TE BE'!$P$26*'TE BF'!$P$49</f>
        <v>0</v>
      </c>
      <c r="Q26" s="76">
        <f>SUM($L$26:$P$26)</f>
        <v>14.88412699348919</v>
      </c>
      <c r="R26" s="76">
        <f>'TE BE'!$R$26*'TE BF'!$R$49</f>
        <v>24.020929709139075</v>
      </c>
      <c r="S26" s="76">
        <f>SUM($R$26:$R$26)</f>
        <v>24.020929709139075</v>
      </c>
      <c r="T26" s="76">
        <f>'TE BE'!$T$26*'TE BF'!$T$49</f>
        <v>1.6515716592995764</v>
      </c>
      <c r="U26" s="76">
        <f>'TE BE'!$U$26*'TE BF'!$U$49</f>
        <v>0.35448719565218523</v>
      </c>
      <c r="V26" s="76">
        <f>'TE BE'!$V$26*'TE BF'!$V$49</f>
        <v>0</v>
      </c>
      <c r="W26" s="76">
        <f>SUM($T$26:$V$26)</f>
        <v>2.0060588549517617</v>
      </c>
      <c r="X26" s="76">
        <f>'TE BE'!$AB$26*'TE BF'!$X$49</f>
        <v>0</v>
      </c>
      <c r="Y26" s="76">
        <f>SUM($X$26:$X$26)</f>
        <v>0</v>
      </c>
      <c r="Z26" s="76">
        <f>'TE BE'!$Z$26*'TE BF'!$Z$49</f>
        <v>0.74215635220914755</v>
      </c>
      <c r="AA26" s="76">
        <f>SUM($Z$26:$Z$26)</f>
        <v>0.74215635220914755</v>
      </c>
      <c r="AB26" s="76">
        <f>SUMIF($L$4:$AA$4,"SUBTOTAL",$L$26:$AA$26)</f>
        <v>41.653271909789176</v>
      </c>
    </row>
    <row r="27" spans="1:28" ht="11.25" customHeight="1" x14ac:dyDescent="0.25">
      <c r="A27" s="142"/>
      <c r="B27" s="142"/>
      <c r="C27" s="142"/>
      <c r="D27" s="142"/>
      <c r="E27" s="142"/>
      <c r="F27" s="142"/>
      <c r="G27" s="78" t="s">
        <v>84</v>
      </c>
      <c r="H27" s="78" t="s">
        <v>82</v>
      </c>
      <c r="I27" s="78">
        <f>'MERCADO TE'!$U$24</f>
        <v>0</v>
      </c>
      <c r="J27" s="15"/>
      <c r="L27" s="76">
        <f>'TE BE'!$L$27*'TE BF'!$L$49</f>
        <v>0</v>
      </c>
      <c r="M27" s="76">
        <f>'TE BE'!$M$27*'TE BF'!$M$49</f>
        <v>14.295575824123166</v>
      </c>
      <c r="N27" s="76">
        <f>'TE BE'!$N$27*'TE BF'!$N$49</f>
        <v>0</v>
      </c>
      <c r="O27" s="76">
        <f>'TE BE'!$O$27*'TE BF'!$O$49</f>
        <v>0.58855116936602359</v>
      </c>
      <c r="P27" s="76">
        <f>'TE BE'!$P$27*'TE BF'!$P$49</f>
        <v>0</v>
      </c>
      <c r="Q27" s="76">
        <f>SUM($L$27:$P$27)</f>
        <v>14.88412699348919</v>
      </c>
      <c r="R27" s="76">
        <f>'TE BE'!$R$27*'TE BF'!$R$49</f>
        <v>24.020929709139075</v>
      </c>
      <c r="S27" s="76">
        <f>SUM($R$27:$R$27)</f>
        <v>24.020929709139075</v>
      </c>
      <c r="T27" s="76">
        <f>'TE BE'!$T$27*'TE BF'!$T$49</f>
        <v>1.6515716592995764</v>
      </c>
      <c r="U27" s="76">
        <f>'TE BE'!$U$27*'TE BF'!$U$49</f>
        <v>0.35448719565218523</v>
      </c>
      <c r="V27" s="76">
        <f>'TE BE'!$V$27*'TE BF'!$V$49</f>
        <v>0</v>
      </c>
      <c r="W27" s="76">
        <f>SUM($T$27:$V$27)</f>
        <v>2.0060588549517617</v>
      </c>
      <c r="X27" s="76">
        <f>'TE BE'!$AB$27*'TE BF'!$X$49</f>
        <v>0</v>
      </c>
      <c r="Y27" s="76">
        <f>SUM($X$27:$X$27)</f>
        <v>0</v>
      </c>
      <c r="Z27" s="76">
        <f>'TE BE'!$Z$27*'TE BF'!$Z$49</f>
        <v>0.74215635220914755</v>
      </c>
      <c r="AA27" s="76">
        <f>SUM($Z$27:$Z$27)</f>
        <v>0.74215635220914755</v>
      </c>
      <c r="AB27" s="76">
        <f>SUMIF($L$4:$AA$4,"SUBTOTAL",$L$27:$AA$27)</f>
        <v>41.653271909789176</v>
      </c>
    </row>
    <row r="28" spans="1:28" ht="11.25" customHeight="1" x14ac:dyDescent="0.25">
      <c r="A28" s="142"/>
      <c r="B28" s="79" t="s">
        <v>85</v>
      </c>
      <c r="C28" s="79" t="s">
        <v>43</v>
      </c>
      <c r="D28" s="79" t="s">
        <v>96</v>
      </c>
      <c r="E28" s="79" t="s">
        <v>25</v>
      </c>
      <c r="F28" s="79" t="s">
        <v>25</v>
      </c>
      <c r="G28" s="78" t="s">
        <v>86</v>
      </c>
      <c r="H28" s="78" t="s">
        <v>82</v>
      </c>
      <c r="I28" s="78">
        <f>'MERCADO TE'!$U$25</f>
        <v>0</v>
      </c>
      <c r="J28" s="15"/>
      <c r="L28" s="76">
        <f>'TE BE'!$L$28*'TE BF'!$L$49</f>
        <v>0</v>
      </c>
      <c r="M28" s="76">
        <f>'TE BE'!$M$28*'TE BF'!$M$49</f>
        <v>14.295575824123166</v>
      </c>
      <c r="N28" s="76">
        <f>'TE BE'!$N$28*'TE BF'!$N$49</f>
        <v>0</v>
      </c>
      <c r="O28" s="76">
        <f>'TE BE'!$O$28*'TE BF'!$O$49</f>
        <v>0.58855116936602359</v>
      </c>
      <c r="P28" s="76">
        <f>'TE BE'!$P$28*'TE BF'!$P$49</f>
        <v>0</v>
      </c>
      <c r="Q28" s="76">
        <f>SUM($L$28:$P$28)</f>
        <v>14.88412699348919</v>
      </c>
      <c r="R28" s="76">
        <f>'TE BE'!$R$28*'TE BF'!$R$49</f>
        <v>25.462185491687421</v>
      </c>
      <c r="S28" s="76">
        <f>SUM($R$28:$R$28)</f>
        <v>25.462185491687421</v>
      </c>
      <c r="T28" s="76">
        <f>'TE BE'!$T$28*'TE BF'!$T$49</f>
        <v>1.6515716592995764</v>
      </c>
      <c r="U28" s="76">
        <f>'TE BE'!$U$28*'TE BF'!$U$49</f>
        <v>0.35448719565218523</v>
      </c>
      <c r="V28" s="76">
        <f>'TE BE'!$V$28*'TE BF'!$V$49</f>
        <v>0</v>
      </c>
      <c r="W28" s="76">
        <f>SUM($T$28:$V$28)</f>
        <v>2.0060588549517617</v>
      </c>
      <c r="X28" s="76">
        <f>'TE BE'!$AB$28*'TE BF'!$X$49</f>
        <v>0</v>
      </c>
      <c r="Y28" s="76">
        <f>SUM($X$28:$X$28)</f>
        <v>0</v>
      </c>
      <c r="Z28" s="76">
        <f>'TE BE'!$Z$28*'TE BF'!$Z$49</f>
        <v>0.74215635220914755</v>
      </c>
      <c r="AA28" s="76">
        <f>SUM($Z$28:$Z$28)</f>
        <v>0.74215635220914755</v>
      </c>
      <c r="AB28" s="76">
        <f>SUMIF($L$4:$AA$4,"SUBTOTAL",$L$28:$AA$28)</f>
        <v>43.094527692337522</v>
      </c>
    </row>
    <row r="29" spans="1:28" ht="11.25" customHeight="1" x14ac:dyDescent="0.25">
      <c r="A29" s="142"/>
      <c r="B29" s="142" t="s">
        <v>81</v>
      </c>
      <c r="C29" s="142" t="s">
        <v>43</v>
      </c>
      <c r="D29" s="142" t="s">
        <v>97</v>
      </c>
      <c r="E29" s="142" t="s">
        <v>25</v>
      </c>
      <c r="F29" s="142" t="s">
        <v>25</v>
      </c>
      <c r="G29" s="78" t="s">
        <v>83</v>
      </c>
      <c r="H29" s="78" t="s">
        <v>82</v>
      </c>
      <c r="I29" s="78">
        <f>'MERCADO TE'!$U$26</f>
        <v>0</v>
      </c>
      <c r="J29" s="15"/>
      <c r="L29" s="76">
        <f>'TE BE'!$L$29*'TE BF'!$L$49</f>
        <v>0</v>
      </c>
      <c r="M29" s="76">
        <f>'TE BE'!$M$29*'TE BF'!$M$49</f>
        <v>14.295575824123166</v>
      </c>
      <c r="N29" s="76">
        <f>'TE BE'!$N$29*'TE BF'!$N$49</f>
        <v>0</v>
      </c>
      <c r="O29" s="76">
        <f>'TE BE'!$O$29*'TE BF'!$O$49</f>
        <v>0.58855116936602359</v>
      </c>
      <c r="P29" s="76">
        <f>'TE BE'!$P$29*'TE BF'!$P$49</f>
        <v>0</v>
      </c>
      <c r="Q29" s="76">
        <f>SUM($L$29:$P$29)</f>
        <v>14.88412699348919</v>
      </c>
      <c r="R29" s="76">
        <f>'TE BE'!$R$29*'TE BF'!$R$49</f>
        <v>41.315999099719214</v>
      </c>
      <c r="S29" s="76">
        <f>SUM($R$29:$R$29)</f>
        <v>41.315999099719214</v>
      </c>
      <c r="T29" s="76">
        <f>'TE BE'!$T$29*'TE BF'!$T$49</f>
        <v>1.6515716592995764</v>
      </c>
      <c r="U29" s="76">
        <f>'TE BE'!$U$29*'TE BF'!$U$49</f>
        <v>0.35448719565218523</v>
      </c>
      <c r="V29" s="76">
        <f>'TE BE'!$V$29*'TE BF'!$V$49</f>
        <v>0</v>
      </c>
      <c r="W29" s="76">
        <f>SUM($T$29:$V$29)</f>
        <v>2.0060588549517617</v>
      </c>
      <c r="X29" s="76">
        <f>'TE BE'!$AB$29*'TE BF'!$X$49</f>
        <v>0</v>
      </c>
      <c r="Y29" s="76">
        <f>SUM($X$29:$X$29)</f>
        <v>0</v>
      </c>
      <c r="Z29" s="76">
        <f>'TE BE'!$Z$29*'TE BF'!$Z$49</f>
        <v>0.74215635220914755</v>
      </c>
      <c r="AA29" s="76">
        <f>SUM($Z$29:$Z$29)</f>
        <v>0.74215635220914755</v>
      </c>
      <c r="AB29" s="76">
        <f>SUMIF($L$4:$AA$4,"SUBTOTAL",$L$29:$AA$29)</f>
        <v>58.948341300369314</v>
      </c>
    </row>
    <row r="30" spans="1:28" ht="11.25" customHeight="1" x14ac:dyDescent="0.25">
      <c r="A30" s="142"/>
      <c r="B30" s="142"/>
      <c r="C30" s="142"/>
      <c r="D30" s="142"/>
      <c r="E30" s="142"/>
      <c r="F30" s="142"/>
      <c r="G30" s="78" t="s">
        <v>93</v>
      </c>
      <c r="H30" s="78" t="s">
        <v>82</v>
      </c>
      <c r="I30" s="78">
        <f>'MERCADO TE'!$U$27</f>
        <v>0</v>
      </c>
      <c r="J30" s="15"/>
      <c r="L30" s="76">
        <f>'TE BE'!$L$30*'TE BF'!$L$49</f>
        <v>0</v>
      </c>
      <c r="M30" s="76">
        <f>'TE BE'!$M$30*'TE BF'!$M$49</f>
        <v>14.295575824123166</v>
      </c>
      <c r="N30" s="76">
        <f>'TE BE'!$N$30*'TE BF'!$N$49</f>
        <v>0</v>
      </c>
      <c r="O30" s="76">
        <f>'TE BE'!$O$30*'TE BF'!$O$49</f>
        <v>0.58855116936602359</v>
      </c>
      <c r="P30" s="76">
        <f>'TE BE'!$P$30*'TE BF'!$P$49</f>
        <v>0</v>
      </c>
      <c r="Q30" s="76">
        <f>SUM($L$30:$P$30)</f>
        <v>14.88412699348919</v>
      </c>
      <c r="R30" s="76">
        <f>'TE BE'!$R$30*'TE BF'!$R$49</f>
        <v>24.020929709139075</v>
      </c>
      <c r="S30" s="76">
        <f>SUM($R$30:$R$30)</f>
        <v>24.020929709139075</v>
      </c>
      <c r="T30" s="76">
        <f>'TE BE'!$T$30*'TE BF'!$T$49</f>
        <v>1.6515716592995764</v>
      </c>
      <c r="U30" s="76">
        <f>'TE BE'!$U$30*'TE BF'!$U$49</f>
        <v>0.35448719565218523</v>
      </c>
      <c r="V30" s="76">
        <f>'TE BE'!$V$30*'TE BF'!$V$49</f>
        <v>0</v>
      </c>
      <c r="W30" s="76">
        <f>SUM($T$30:$V$30)</f>
        <v>2.0060588549517617</v>
      </c>
      <c r="X30" s="76">
        <f>'TE BE'!$AB$30*'TE BF'!$X$49</f>
        <v>0</v>
      </c>
      <c r="Y30" s="76">
        <f>SUM($X$30:$X$30)</f>
        <v>0</v>
      </c>
      <c r="Z30" s="76">
        <f>'TE BE'!$Z$30*'TE BF'!$Z$49</f>
        <v>0.74215635220914755</v>
      </c>
      <c r="AA30" s="76">
        <f>SUM($Z$30:$Z$30)</f>
        <v>0.74215635220914755</v>
      </c>
      <c r="AB30" s="76">
        <f>SUMIF($L$4:$AA$4,"SUBTOTAL",$L$30:$AA$30)</f>
        <v>41.653271909789176</v>
      </c>
    </row>
    <row r="31" spans="1:28" ht="11.25" customHeight="1" x14ac:dyDescent="0.25">
      <c r="A31" s="142"/>
      <c r="B31" s="142"/>
      <c r="C31" s="142"/>
      <c r="D31" s="142"/>
      <c r="E31" s="142"/>
      <c r="F31" s="142"/>
      <c r="G31" s="78" t="s">
        <v>84</v>
      </c>
      <c r="H31" s="78" t="s">
        <v>82</v>
      </c>
      <c r="I31" s="78">
        <f>'MERCADO TE'!$U$28</f>
        <v>0</v>
      </c>
      <c r="J31" s="15"/>
      <c r="L31" s="76">
        <f>'TE BE'!$L$31*'TE BF'!$L$49</f>
        <v>0</v>
      </c>
      <c r="M31" s="76">
        <f>'TE BE'!$M$31*'TE BF'!$M$49</f>
        <v>14.295575824123166</v>
      </c>
      <c r="N31" s="76">
        <f>'TE BE'!$N$31*'TE BF'!$N$49</f>
        <v>0</v>
      </c>
      <c r="O31" s="76">
        <f>'TE BE'!$O$31*'TE BF'!$O$49</f>
        <v>0.58855116936602359</v>
      </c>
      <c r="P31" s="76">
        <f>'TE BE'!$P$31*'TE BF'!$P$49</f>
        <v>0</v>
      </c>
      <c r="Q31" s="76">
        <f>SUM($L$31:$P$31)</f>
        <v>14.88412699348919</v>
      </c>
      <c r="R31" s="76">
        <f>'TE BE'!$R$31*'TE BF'!$R$49</f>
        <v>24.020929709139075</v>
      </c>
      <c r="S31" s="76">
        <f>SUM($R$31:$R$31)</f>
        <v>24.020929709139075</v>
      </c>
      <c r="T31" s="76">
        <f>'TE BE'!$T$31*'TE BF'!$T$49</f>
        <v>1.6515716592995764</v>
      </c>
      <c r="U31" s="76">
        <f>'TE BE'!$U$31*'TE BF'!$U$49</f>
        <v>0.35448719565218523</v>
      </c>
      <c r="V31" s="76">
        <f>'TE BE'!$V$31*'TE BF'!$V$49</f>
        <v>0</v>
      </c>
      <c r="W31" s="76">
        <f>SUM($T$31:$V$31)</f>
        <v>2.0060588549517617</v>
      </c>
      <c r="X31" s="76">
        <f>'TE BE'!$AB$31*'TE BF'!$X$49</f>
        <v>0</v>
      </c>
      <c r="Y31" s="76">
        <f>SUM($X$31:$X$31)</f>
        <v>0</v>
      </c>
      <c r="Z31" s="76">
        <f>'TE BE'!$Z$31*'TE BF'!$Z$49</f>
        <v>0.74215635220914755</v>
      </c>
      <c r="AA31" s="76">
        <f>SUM($Z$31:$Z$31)</f>
        <v>0.74215635220914755</v>
      </c>
      <c r="AB31" s="76">
        <f>SUMIF($L$4:$AA$4,"SUBTOTAL",$L$31:$AA$31)</f>
        <v>41.653271909789176</v>
      </c>
    </row>
    <row r="32" spans="1:28" ht="11.25" customHeight="1" x14ac:dyDescent="0.25">
      <c r="A32" s="142"/>
      <c r="B32" s="79" t="s">
        <v>85</v>
      </c>
      <c r="C32" s="79" t="s">
        <v>43</v>
      </c>
      <c r="D32" s="79" t="s">
        <v>97</v>
      </c>
      <c r="E32" s="79" t="s">
        <v>25</v>
      </c>
      <c r="F32" s="79" t="s">
        <v>25</v>
      </c>
      <c r="G32" s="78" t="s">
        <v>86</v>
      </c>
      <c r="H32" s="78" t="s">
        <v>82</v>
      </c>
      <c r="I32" s="78">
        <f>'MERCADO TE'!$U$29</f>
        <v>0</v>
      </c>
      <c r="J32" s="15"/>
      <c r="L32" s="76">
        <f>'TE BE'!$L$32*'TE BF'!$L$49</f>
        <v>0</v>
      </c>
      <c r="M32" s="76">
        <f>'TE BE'!$M$32*'TE BF'!$M$49</f>
        <v>14.295575824123166</v>
      </c>
      <c r="N32" s="76">
        <f>'TE BE'!$N$32*'TE BF'!$N$49</f>
        <v>0</v>
      </c>
      <c r="O32" s="76">
        <f>'TE BE'!$O$32*'TE BF'!$O$49</f>
        <v>0.58855116936602359</v>
      </c>
      <c r="P32" s="76">
        <f>'TE BE'!$P$32*'TE BF'!$P$49</f>
        <v>0</v>
      </c>
      <c r="Q32" s="76">
        <f>SUM($L$32:$P$32)</f>
        <v>14.88412699348919</v>
      </c>
      <c r="R32" s="76">
        <f>'TE BE'!$R$32*'TE BF'!$R$49</f>
        <v>25.462185491687421</v>
      </c>
      <c r="S32" s="76">
        <f>SUM($R$32:$R$32)</f>
        <v>25.462185491687421</v>
      </c>
      <c r="T32" s="76">
        <f>'TE BE'!$T$32*'TE BF'!$T$49</f>
        <v>1.6515716592995764</v>
      </c>
      <c r="U32" s="76">
        <f>'TE BE'!$U$32*'TE BF'!$U$49</f>
        <v>0.35448719565218523</v>
      </c>
      <c r="V32" s="76">
        <f>'TE BE'!$V$32*'TE BF'!$V$49</f>
        <v>0</v>
      </c>
      <c r="W32" s="76">
        <f>SUM($T$32:$V$32)</f>
        <v>2.0060588549517617</v>
      </c>
      <c r="X32" s="76">
        <f>'TE BE'!$AB$32*'TE BF'!$X$49</f>
        <v>0</v>
      </c>
      <c r="Y32" s="76">
        <f>SUM($X$32:$X$32)</f>
        <v>0</v>
      </c>
      <c r="Z32" s="76">
        <f>'TE BE'!$Z$32*'TE BF'!$Z$49</f>
        <v>0.74215635220914755</v>
      </c>
      <c r="AA32" s="76">
        <f>SUM($Z$32:$Z$32)</f>
        <v>0.74215635220914755</v>
      </c>
      <c r="AB32" s="76">
        <f>SUMIF($L$4:$AA$4,"SUBTOTAL",$L$32:$AA$32)</f>
        <v>43.094527692337522</v>
      </c>
    </row>
    <row r="33" spans="1:28" ht="11.25" customHeight="1" x14ac:dyDescent="0.25">
      <c r="A33" s="142"/>
      <c r="B33" s="142" t="s">
        <v>94</v>
      </c>
      <c r="C33" s="142" t="s">
        <v>43</v>
      </c>
      <c r="D33" s="79" t="s">
        <v>25</v>
      </c>
      <c r="E33" s="79" t="s">
        <v>25</v>
      </c>
      <c r="F33" s="79" t="s">
        <v>25</v>
      </c>
      <c r="G33" s="78" t="s">
        <v>86</v>
      </c>
      <c r="H33" s="78" t="s">
        <v>82</v>
      </c>
      <c r="I33" s="78">
        <f>'MERCADO TE'!$U$30</f>
        <v>0</v>
      </c>
      <c r="J33" s="15"/>
      <c r="L33" s="76">
        <f>'TE BE'!$L$33*'TE BF'!$L$49</f>
        <v>0</v>
      </c>
      <c r="M33" s="76">
        <f>'TE BE'!$M$33*'TE BF'!$M$49</f>
        <v>14.295575824123166</v>
      </c>
      <c r="N33" s="76">
        <f>'TE BE'!$N$33*'TE BF'!$N$49</f>
        <v>0</v>
      </c>
      <c r="O33" s="76">
        <f>'TE BE'!$O$33*'TE BF'!$O$49</f>
        <v>0.58855116936602359</v>
      </c>
      <c r="P33" s="76">
        <f>'TE BE'!$P$33*'TE BF'!$P$49</f>
        <v>0</v>
      </c>
      <c r="Q33" s="76">
        <f>SUM($L$33:$P$33)</f>
        <v>14.88412699348919</v>
      </c>
      <c r="R33" s="76">
        <f>'TE BE'!$R$33*'TE BF'!$R$49</f>
        <v>25.462185491687421</v>
      </c>
      <c r="S33" s="76">
        <f>SUM($R$33:$R$33)</f>
        <v>25.462185491687421</v>
      </c>
      <c r="T33" s="76">
        <f>'TE BE'!$T$33*'TE BF'!$T$49</f>
        <v>1.6515716592995764</v>
      </c>
      <c r="U33" s="76">
        <f>'TE BE'!$U$33*'TE BF'!$U$49</f>
        <v>0.35448719565218523</v>
      </c>
      <c r="V33" s="76">
        <f>'TE BE'!$V$33*'TE BF'!$V$49</f>
        <v>0</v>
      </c>
      <c r="W33" s="76">
        <f>SUM($T$33:$V$33)</f>
        <v>2.0060588549517617</v>
      </c>
      <c r="X33" s="76">
        <f>'TE BE'!$AB$33*'TE BF'!$X$49</f>
        <v>0</v>
      </c>
      <c r="Y33" s="76">
        <f>SUM($X$33:$X$33)</f>
        <v>0</v>
      </c>
      <c r="Z33" s="76">
        <f>'TE BE'!$Z$33*'TE BF'!$Z$49</f>
        <v>0.74215635220914755</v>
      </c>
      <c r="AA33" s="76">
        <f>SUM($Z$33:$Z$33)</f>
        <v>0.74215635220914755</v>
      </c>
      <c r="AB33" s="76">
        <f>SUMIF($L$4:$AA$4,"SUBTOTAL",$L$33:$AA$33)</f>
        <v>43.094527692337522</v>
      </c>
    </row>
    <row r="34" spans="1:28" ht="11.25" customHeight="1" x14ac:dyDescent="0.25">
      <c r="A34" s="142"/>
      <c r="B34" s="142"/>
      <c r="C34" s="142"/>
      <c r="D34" s="79" t="s">
        <v>96</v>
      </c>
      <c r="E34" s="79" t="s">
        <v>25</v>
      </c>
      <c r="F34" s="79" t="s">
        <v>25</v>
      </c>
      <c r="G34" s="78" t="s">
        <v>86</v>
      </c>
      <c r="H34" s="78" t="s">
        <v>82</v>
      </c>
      <c r="I34" s="78">
        <f>'MERCADO TE'!$U$31</f>
        <v>0</v>
      </c>
      <c r="J34" s="15"/>
      <c r="L34" s="76">
        <f>'TE BE'!$L$34*'TE BF'!$L$49</f>
        <v>0</v>
      </c>
      <c r="M34" s="76">
        <f>'TE BE'!$M$34*'TE BF'!$M$49</f>
        <v>14.295575824123166</v>
      </c>
      <c r="N34" s="76">
        <f>'TE BE'!$N$34*'TE BF'!$N$49</f>
        <v>0</v>
      </c>
      <c r="O34" s="76">
        <f>'TE BE'!$O$34*'TE BF'!$O$49</f>
        <v>0.58855116936602359</v>
      </c>
      <c r="P34" s="76">
        <f>'TE BE'!$P$34*'TE BF'!$P$49</f>
        <v>0</v>
      </c>
      <c r="Q34" s="76">
        <f>SUM($L$34:$P$34)</f>
        <v>14.88412699348919</v>
      </c>
      <c r="R34" s="76">
        <f>'TE BE'!$R$34*'TE BF'!$R$49</f>
        <v>25.462185491687421</v>
      </c>
      <c r="S34" s="76">
        <f>SUM($R$34:$R$34)</f>
        <v>25.462185491687421</v>
      </c>
      <c r="T34" s="76">
        <f>'TE BE'!$T$34*'TE BF'!$T$49</f>
        <v>1.6515716592995764</v>
      </c>
      <c r="U34" s="76">
        <f>'TE BE'!$U$34*'TE BF'!$U$49</f>
        <v>0.35448719565218523</v>
      </c>
      <c r="V34" s="76">
        <f>'TE BE'!$V$34*'TE BF'!$V$49</f>
        <v>0</v>
      </c>
      <c r="W34" s="76">
        <f>SUM($T$34:$V$34)</f>
        <v>2.0060588549517617</v>
      </c>
      <c r="X34" s="76">
        <f>'TE BE'!$AB$34*'TE BF'!$X$49</f>
        <v>0</v>
      </c>
      <c r="Y34" s="76">
        <f>SUM($X$34:$X$34)</f>
        <v>0</v>
      </c>
      <c r="Z34" s="76">
        <f>'TE BE'!$Z$34*'TE BF'!$Z$49</f>
        <v>0.74215635220914755</v>
      </c>
      <c r="AA34" s="76">
        <f>SUM($Z$34:$Z$34)</f>
        <v>0.74215635220914755</v>
      </c>
      <c r="AB34" s="76">
        <f>SUMIF($L$4:$AA$4,"SUBTOTAL",$L$34:$AA$34)</f>
        <v>43.094527692337522</v>
      </c>
    </row>
    <row r="35" spans="1:28" ht="11.25" customHeight="1" x14ac:dyDescent="0.25">
      <c r="A35" s="142"/>
      <c r="B35" s="142"/>
      <c r="C35" s="142"/>
      <c r="D35" s="79" t="s">
        <v>97</v>
      </c>
      <c r="E35" s="79" t="s">
        <v>25</v>
      </c>
      <c r="F35" s="79" t="s">
        <v>25</v>
      </c>
      <c r="G35" s="78" t="s">
        <v>86</v>
      </c>
      <c r="H35" s="78" t="s">
        <v>82</v>
      </c>
      <c r="I35" s="78">
        <f>'MERCADO TE'!$U$32</f>
        <v>0</v>
      </c>
      <c r="J35" s="15"/>
      <c r="L35" s="76">
        <f>'TE BE'!$L$35*'TE BF'!$L$49</f>
        <v>0</v>
      </c>
      <c r="M35" s="76">
        <f>'TE BE'!$M$35*'TE BF'!$M$49</f>
        <v>14.295575824123166</v>
      </c>
      <c r="N35" s="76">
        <f>'TE BE'!$N$35*'TE BF'!$N$49</f>
        <v>0</v>
      </c>
      <c r="O35" s="76">
        <f>'TE BE'!$O$35*'TE BF'!$O$49</f>
        <v>0.58855116936602359</v>
      </c>
      <c r="P35" s="76">
        <f>'TE BE'!$P$35*'TE BF'!$P$49</f>
        <v>0</v>
      </c>
      <c r="Q35" s="76">
        <f>SUM($L$35:$P$35)</f>
        <v>14.88412699348919</v>
      </c>
      <c r="R35" s="76">
        <f>'TE BE'!$R$35*'TE BF'!$R$49</f>
        <v>25.462185491687421</v>
      </c>
      <c r="S35" s="76">
        <f>SUM($R$35:$R$35)</f>
        <v>25.462185491687421</v>
      </c>
      <c r="T35" s="76">
        <f>'TE BE'!$T$35*'TE BF'!$T$49</f>
        <v>1.6515716592995764</v>
      </c>
      <c r="U35" s="76">
        <f>'TE BE'!$U$35*'TE BF'!$U$49</f>
        <v>0.35448719565218523</v>
      </c>
      <c r="V35" s="76">
        <f>'TE BE'!$V$35*'TE BF'!$V$49</f>
        <v>0</v>
      </c>
      <c r="W35" s="76">
        <f>SUM($T$35:$V$35)</f>
        <v>2.0060588549517617</v>
      </c>
      <c r="X35" s="76">
        <f>'TE BE'!$AB$35*'TE BF'!$X$49</f>
        <v>0</v>
      </c>
      <c r="Y35" s="76">
        <f>SUM($X$35:$X$35)</f>
        <v>0</v>
      </c>
      <c r="Z35" s="76">
        <f>'TE BE'!$Z$35*'TE BF'!$Z$49</f>
        <v>0.74215635220914755</v>
      </c>
      <c r="AA35" s="76">
        <f>SUM($Z$35:$Z$35)</f>
        <v>0.74215635220914755</v>
      </c>
      <c r="AB35" s="76">
        <f>SUMIF($L$4:$AA$4,"SUBTOTAL",$L$35:$AA$35)</f>
        <v>43.094527692337522</v>
      </c>
    </row>
    <row r="36" spans="1:28" ht="11.25" customHeight="1" x14ac:dyDescent="0.25">
      <c r="A36" s="142" t="s">
        <v>36</v>
      </c>
      <c r="B36" s="142" t="s">
        <v>81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78" t="s">
        <v>83</v>
      </c>
      <c r="H36" s="78" t="s">
        <v>82</v>
      </c>
      <c r="I36" s="78">
        <f>'MERCADO TE'!$U$33</f>
        <v>20.471999999999998</v>
      </c>
      <c r="J36" s="15"/>
      <c r="L36" s="76">
        <f>'TE BE'!$L$36*'TE BF'!$L$49</f>
        <v>0</v>
      </c>
      <c r="M36" s="76">
        <f>'TE BE'!$M$36*'TE BF'!$M$49</f>
        <v>14.295575824123166</v>
      </c>
      <c r="N36" s="76">
        <f>'TE BE'!$N$36*'TE BF'!$N$49</f>
        <v>0</v>
      </c>
      <c r="O36" s="76">
        <f>'TE BE'!$O$36*'TE BF'!$O$49</f>
        <v>0.58855116936602359</v>
      </c>
      <c r="P36" s="76">
        <f>'TE BE'!$P$36*'TE BF'!$P$49</f>
        <v>0</v>
      </c>
      <c r="Q36" s="76">
        <f>SUM($L$36:$P$36)</f>
        <v>14.88412699348919</v>
      </c>
      <c r="R36" s="76">
        <f>'TE BE'!$R$36*'TE BF'!$R$49</f>
        <v>41.315999099719214</v>
      </c>
      <c r="S36" s="76">
        <f>SUM($R$36:$R$36)</f>
        <v>41.315999099719214</v>
      </c>
      <c r="T36" s="76">
        <f>'TE BE'!$T$36*'TE BF'!$T$49</f>
        <v>1.6515716592995764</v>
      </c>
      <c r="U36" s="76">
        <f>'TE BE'!$U$36*'TE BF'!$U$49</f>
        <v>0.35448719565218523</v>
      </c>
      <c r="V36" s="76">
        <f>'TE BE'!$V$36*'TE BF'!$V$49</f>
        <v>0</v>
      </c>
      <c r="W36" s="76">
        <f>SUM($T$36:$V$36)</f>
        <v>2.0060588549517617</v>
      </c>
      <c r="X36" s="76">
        <f>'TE BE'!$AB$36*'TE BF'!$X$49</f>
        <v>0</v>
      </c>
      <c r="Y36" s="76">
        <f>SUM($X$36:$X$36)</f>
        <v>0</v>
      </c>
      <c r="Z36" s="76">
        <f>'TE BE'!$Z$36*'TE BF'!$Z$49</f>
        <v>0.74215635220914755</v>
      </c>
      <c r="AA36" s="76">
        <f>SUM($Z$36:$Z$36)</f>
        <v>0.74215635220914755</v>
      </c>
      <c r="AB36" s="76">
        <f>SUMIF($L$4:$AA$4,"SUBTOTAL",$L$36:$AA$36)</f>
        <v>58.948341300369314</v>
      </c>
    </row>
    <row r="37" spans="1:28" ht="11.25" customHeight="1" x14ac:dyDescent="0.25">
      <c r="A37" s="142"/>
      <c r="B37" s="142"/>
      <c r="C37" s="142"/>
      <c r="D37" s="142"/>
      <c r="E37" s="142"/>
      <c r="F37" s="142"/>
      <c r="G37" s="78" t="s">
        <v>93</v>
      </c>
      <c r="H37" s="78" t="s">
        <v>82</v>
      </c>
      <c r="I37" s="78">
        <f>'MERCADO TE'!$U$34</f>
        <v>16.687999999999999</v>
      </c>
      <c r="J37" s="15"/>
      <c r="L37" s="76">
        <f>'TE BE'!$L$37*'TE BF'!$L$49</f>
        <v>0</v>
      </c>
      <c r="M37" s="76">
        <f>'TE BE'!$M$37*'TE BF'!$M$49</f>
        <v>14.295575824123166</v>
      </c>
      <c r="N37" s="76">
        <f>'TE BE'!$N$37*'TE BF'!$N$49</f>
        <v>0</v>
      </c>
      <c r="O37" s="76">
        <f>'TE BE'!$O$37*'TE BF'!$O$49</f>
        <v>0.58855116936602359</v>
      </c>
      <c r="P37" s="76">
        <f>'TE BE'!$P$37*'TE BF'!$P$49</f>
        <v>0</v>
      </c>
      <c r="Q37" s="76">
        <f>SUM($L$37:$P$37)</f>
        <v>14.88412699348919</v>
      </c>
      <c r="R37" s="76">
        <f>'TE BE'!$R$37*'TE BF'!$R$49</f>
        <v>24.020929709139075</v>
      </c>
      <c r="S37" s="76">
        <f>SUM($R$37:$R$37)</f>
        <v>24.020929709139075</v>
      </c>
      <c r="T37" s="76">
        <f>'TE BE'!$T$37*'TE BF'!$T$49</f>
        <v>1.6515716592995764</v>
      </c>
      <c r="U37" s="76">
        <f>'TE BE'!$U$37*'TE BF'!$U$49</f>
        <v>0.35448719565218523</v>
      </c>
      <c r="V37" s="76">
        <f>'TE BE'!$V$37*'TE BF'!$V$49</f>
        <v>0</v>
      </c>
      <c r="W37" s="76">
        <f>SUM($T$37:$V$37)</f>
        <v>2.0060588549517617</v>
      </c>
      <c r="X37" s="76">
        <f>'TE BE'!$AB$37*'TE BF'!$X$49</f>
        <v>0</v>
      </c>
      <c r="Y37" s="76">
        <f>SUM($X$37:$X$37)</f>
        <v>0</v>
      </c>
      <c r="Z37" s="76">
        <f>'TE BE'!$Z$37*'TE BF'!$Z$49</f>
        <v>0.74215635220914755</v>
      </c>
      <c r="AA37" s="76">
        <f>SUM($Z$37:$Z$37)</f>
        <v>0.74215635220914755</v>
      </c>
      <c r="AB37" s="76">
        <f>SUMIF($L$4:$AA$4,"SUBTOTAL",$L$37:$AA$37)</f>
        <v>41.653271909789176</v>
      </c>
    </row>
    <row r="38" spans="1:28" ht="11.25" customHeight="1" x14ac:dyDescent="0.25">
      <c r="A38" s="142"/>
      <c r="B38" s="142"/>
      <c r="C38" s="142"/>
      <c r="D38" s="142"/>
      <c r="E38" s="142"/>
      <c r="F38" s="142"/>
      <c r="G38" s="78" t="s">
        <v>84</v>
      </c>
      <c r="H38" s="78" t="s">
        <v>82</v>
      </c>
      <c r="I38" s="78">
        <f>'MERCADO TE'!$U$35</f>
        <v>216.36699999999999</v>
      </c>
      <c r="J38" s="15"/>
      <c r="L38" s="76">
        <f>'TE BE'!$L$38*'TE BF'!$L$49</f>
        <v>0</v>
      </c>
      <c r="M38" s="76">
        <f>'TE BE'!$M$38*'TE BF'!$M$49</f>
        <v>14.295575824123166</v>
      </c>
      <c r="N38" s="76">
        <f>'TE BE'!$N$38*'TE BF'!$N$49</f>
        <v>0</v>
      </c>
      <c r="O38" s="76">
        <f>'TE BE'!$O$38*'TE BF'!$O$49</f>
        <v>0.58855116936602359</v>
      </c>
      <c r="P38" s="76">
        <f>'TE BE'!$P$38*'TE BF'!$P$49</f>
        <v>0</v>
      </c>
      <c r="Q38" s="76">
        <f>SUM($L$38:$P$38)</f>
        <v>14.88412699348919</v>
      </c>
      <c r="R38" s="76">
        <f>'TE BE'!$R$38*'TE BF'!$R$49</f>
        <v>24.020929709139075</v>
      </c>
      <c r="S38" s="76">
        <f>SUM($R$38:$R$38)</f>
        <v>24.020929709139075</v>
      </c>
      <c r="T38" s="76">
        <f>'TE BE'!$T$38*'TE BF'!$T$49</f>
        <v>1.6515716592995764</v>
      </c>
      <c r="U38" s="76">
        <f>'TE BE'!$U$38*'TE BF'!$U$49</f>
        <v>0.35448719565218523</v>
      </c>
      <c r="V38" s="76">
        <f>'TE BE'!$V$38*'TE BF'!$V$49</f>
        <v>0</v>
      </c>
      <c r="W38" s="76">
        <f>SUM($T$38:$V$38)</f>
        <v>2.0060588549517617</v>
      </c>
      <c r="X38" s="76">
        <f>'TE BE'!$AB$38*'TE BF'!$X$49</f>
        <v>0</v>
      </c>
      <c r="Y38" s="76">
        <f>SUM($X$38:$X$38)</f>
        <v>0</v>
      </c>
      <c r="Z38" s="76">
        <f>'TE BE'!$Z$38*'TE BF'!$Z$49</f>
        <v>0.74215635220914755</v>
      </c>
      <c r="AA38" s="76">
        <f>SUM($Z$38:$Z$38)</f>
        <v>0.74215635220914755</v>
      </c>
      <c r="AB38" s="76">
        <f>SUMIF($L$4:$AA$4,"SUBTOTAL",$L$38:$AA$38)</f>
        <v>41.653271909789176</v>
      </c>
    </row>
    <row r="39" spans="1:28" ht="11.25" customHeight="1" x14ac:dyDescent="0.25">
      <c r="A39" s="142"/>
      <c r="B39" s="79" t="s">
        <v>85</v>
      </c>
      <c r="C39" s="79" t="s">
        <v>25</v>
      </c>
      <c r="D39" s="79" t="s">
        <v>25</v>
      </c>
      <c r="E39" s="79" t="s">
        <v>25</v>
      </c>
      <c r="F39" s="79" t="s">
        <v>25</v>
      </c>
      <c r="G39" s="78" t="s">
        <v>86</v>
      </c>
      <c r="H39" s="78" t="s">
        <v>82</v>
      </c>
      <c r="I39" s="78">
        <f>'MERCADO TE'!$U$36</f>
        <v>26125.533000000003</v>
      </c>
      <c r="J39" s="15"/>
      <c r="L39" s="76">
        <f>'TE BE'!$L$39*'TE BF'!$L$49</f>
        <v>0</v>
      </c>
      <c r="M39" s="76">
        <f>'TE BE'!$M$39*'TE BF'!$M$49</f>
        <v>14.295575824123166</v>
      </c>
      <c r="N39" s="76">
        <f>'TE BE'!$N$39*'TE BF'!$N$49</f>
        <v>0</v>
      </c>
      <c r="O39" s="76">
        <f>'TE BE'!$O$39*'TE BF'!$O$49</f>
        <v>0.58855116936602359</v>
      </c>
      <c r="P39" s="76">
        <f>'TE BE'!$P$39*'TE BF'!$P$49</f>
        <v>0</v>
      </c>
      <c r="Q39" s="76">
        <f>SUM($L$39:$P$39)</f>
        <v>14.88412699348919</v>
      </c>
      <c r="R39" s="76">
        <f>'TE BE'!$R$39*'TE BF'!$R$49</f>
        <v>25.462185491687421</v>
      </c>
      <c r="S39" s="76">
        <f>SUM($R$39:$R$39)</f>
        <v>25.462185491687421</v>
      </c>
      <c r="T39" s="76">
        <f>'TE BE'!$T$39*'TE BF'!$T$49</f>
        <v>1.6515716592995764</v>
      </c>
      <c r="U39" s="76">
        <f>'TE BE'!$U$39*'TE BF'!$U$49</f>
        <v>0.35448719565218523</v>
      </c>
      <c r="V39" s="76">
        <f>'TE BE'!$V$39*'TE BF'!$V$49</f>
        <v>0</v>
      </c>
      <c r="W39" s="76">
        <f>SUM($T$39:$V$39)</f>
        <v>2.0060588549517617</v>
      </c>
      <c r="X39" s="76">
        <f>'TE BE'!$AB$39*'TE BF'!$X$49</f>
        <v>0</v>
      </c>
      <c r="Y39" s="76">
        <f>SUM($X$39:$X$39)</f>
        <v>0</v>
      </c>
      <c r="Z39" s="76">
        <f>'TE BE'!$Z$39*'TE BF'!$Z$49</f>
        <v>0.74215635220914755</v>
      </c>
      <c r="AA39" s="76">
        <f>SUM($Z$39:$Z$39)</f>
        <v>0.74215635220914755</v>
      </c>
      <c r="AB39" s="76">
        <f>SUMIF($L$4:$AA$4,"SUBTOTAL",$L$39:$AA$39)</f>
        <v>43.094527692337522</v>
      </c>
    </row>
    <row r="40" spans="1:28" ht="11.25" customHeight="1" x14ac:dyDescent="0.25">
      <c r="A40" s="142"/>
      <c r="B40" s="79" t="s">
        <v>94</v>
      </c>
      <c r="C40" s="79" t="s">
        <v>25</v>
      </c>
      <c r="D40" s="79" t="s">
        <v>25</v>
      </c>
      <c r="E40" s="79" t="s">
        <v>25</v>
      </c>
      <c r="F40" s="79" t="s">
        <v>25</v>
      </c>
      <c r="G40" s="78" t="s">
        <v>86</v>
      </c>
      <c r="H40" s="78" t="s">
        <v>82</v>
      </c>
      <c r="I40" s="78">
        <f>'MERCADO TE'!$U$37</f>
        <v>0</v>
      </c>
      <c r="J40" s="15"/>
      <c r="L40" s="76">
        <f>'TE BE'!$L$40*'TE BF'!$L$49</f>
        <v>0</v>
      </c>
      <c r="M40" s="76">
        <f>'TE BE'!$M$40*'TE BF'!$M$49</f>
        <v>14.295575824123166</v>
      </c>
      <c r="N40" s="76">
        <f>'TE BE'!$N$40*'TE BF'!$N$49</f>
        <v>0</v>
      </c>
      <c r="O40" s="76">
        <f>'TE BE'!$O$40*'TE BF'!$O$49</f>
        <v>0.58855116936602359</v>
      </c>
      <c r="P40" s="76">
        <f>'TE BE'!$P$40*'TE BF'!$P$49</f>
        <v>0</v>
      </c>
      <c r="Q40" s="76">
        <f>SUM($L$40:$P$40)</f>
        <v>14.88412699348919</v>
      </c>
      <c r="R40" s="76">
        <f>'TE BE'!$R$40*'TE BF'!$R$49</f>
        <v>25.462185491687421</v>
      </c>
      <c r="S40" s="76">
        <f>SUM($R$40:$R$40)</f>
        <v>25.462185491687421</v>
      </c>
      <c r="T40" s="76">
        <f>'TE BE'!$T$40*'TE BF'!$T$49</f>
        <v>1.6515716592995764</v>
      </c>
      <c r="U40" s="76">
        <f>'TE BE'!$U$40*'TE BF'!$U$49</f>
        <v>0.35448719565218523</v>
      </c>
      <c r="V40" s="76">
        <f>'TE BE'!$V$40*'TE BF'!$V$49</f>
        <v>0</v>
      </c>
      <c r="W40" s="76">
        <f>SUM($T$40:$V$40)</f>
        <v>2.0060588549517617</v>
      </c>
      <c r="X40" s="76">
        <f>'TE BE'!$AB$40*'TE BF'!$X$49</f>
        <v>0</v>
      </c>
      <c r="Y40" s="76">
        <f>SUM($X$40:$X$40)</f>
        <v>0</v>
      </c>
      <c r="Z40" s="76">
        <f>'TE BE'!$Z$40*'TE BF'!$Z$49</f>
        <v>0.74215635220914755</v>
      </c>
      <c r="AA40" s="76">
        <f>SUM($Z$40:$Z$40)</f>
        <v>0.74215635220914755</v>
      </c>
      <c r="AB40" s="76">
        <f>SUMIF($L$4:$AA$4,"SUBTOTAL",$L$40:$AA$40)</f>
        <v>43.094527692337522</v>
      </c>
    </row>
    <row r="41" spans="1:28" ht="11.25" customHeight="1" x14ac:dyDescent="0.25">
      <c r="A41" s="142" t="s">
        <v>45</v>
      </c>
      <c r="B41" s="142" t="s">
        <v>85</v>
      </c>
      <c r="C41" s="142" t="s">
        <v>46</v>
      </c>
      <c r="D41" s="79" t="s">
        <v>47</v>
      </c>
      <c r="E41" s="79" t="s">
        <v>25</v>
      </c>
      <c r="F41" s="79" t="s">
        <v>25</v>
      </c>
      <c r="G41" s="78" t="s">
        <v>86</v>
      </c>
      <c r="H41" s="78" t="s">
        <v>82</v>
      </c>
      <c r="I41" s="78">
        <f>'MERCADO TE'!$U$38</f>
        <v>5474.732</v>
      </c>
      <c r="J41" s="15"/>
      <c r="L41" s="76">
        <f>'TE BE'!$L$41*'TE BF'!$L$49</f>
        <v>0</v>
      </c>
      <c r="M41" s="76">
        <f>'TE BE'!$M$41*'TE BF'!$M$49</f>
        <v>7.862566703267742</v>
      </c>
      <c r="N41" s="76">
        <f>'TE BE'!$N$41*'TE BF'!$N$49</f>
        <v>0</v>
      </c>
      <c r="O41" s="76">
        <f>'TE BE'!$O$41*'TE BF'!$O$49</f>
        <v>0.32370314315131304</v>
      </c>
      <c r="P41" s="76">
        <f>'TE BE'!$P$41*'TE BF'!$P$49</f>
        <v>0</v>
      </c>
      <c r="Q41" s="76">
        <f>SUM($L$41:$P$41)</f>
        <v>8.1862698464190551</v>
      </c>
      <c r="R41" s="76">
        <f>'TE BE'!$R$41*'TE BF'!$R$49</f>
        <v>14.004202020428082</v>
      </c>
      <c r="S41" s="76">
        <f>SUM($R$41:$R$41)</f>
        <v>14.004202020428082</v>
      </c>
      <c r="T41" s="76">
        <f>'TE BE'!$T$41*'TE BF'!$T$49</f>
        <v>0.90836441261476708</v>
      </c>
      <c r="U41" s="76">
        <f>'TE BE'!$U$41*'TE BF'!$U$49</f>
        <v>0.19496795760870189</v>
      </c>
      <c r="V41" s="76">
        <f>'TE BE'!$V$41*'TE BF'!$V$49</f>
        <v>0</v>
      </c>
      <c r="W41" s="76">
        <f>SUM($T$41:$V$41)</f>
        <v>1.103332370223469</v>
      </c>
      <c r="X41" s="76">
        <f>'TE BE'!$AB$41*'TE BF'!$X$49</f>
        <v>0</v>
      </c>
      <c r="Y41" s="76">
        <f>SUM($X$41:$X$41)</f>
        <v>0</v>
      </c>
      <c r="Z41" s="76">
        <f>'TE BE'!$Z$41*'TE BF'!$Z$49</f>
        <v>0.40818599371503117</v>
      </c>
      <c r="AA41" s="76">
        <f>SUM($Z$41:$Z$41)</f>
        <v>0.40818599371503117</v>
      </c>
      <c r="AB41" s="76">
        <f>SUMIF($L$4:$AA$4,"SUBTOTAL",$L$41:$AA$41)</f>
        <v>23.701990230785636</v>
      </c>
    </row>
    <row r="42" spans="1:28" ht="11.25" customHeight="1" x14ac:dyDescent="0.25">
      <c r="A42" s="142"/>
      <c r="B42" s="142"/>
      <c r="C42" s="142"/>
      <c r="D42" s="78" t="s">
        <v>98</v>
      </c>
      <c r="E42" s="78" t="s">
        <v>25</v>
      </c>
      <c r="F42" s="78" t="s">
        <v>25</v>
      </c>
      <c r="G42" s="78" t="s">
        <v>86</v>
      </c>
      <c r="H42" s="78" t="s">
        <v>82</v>
      </c>
      <c r="I42" s="78">
        <f>'MERCADO TE'!$U$39</f>
        <v>0</v>
      </c>
      <c r="J42" s="15"/>
      <c r="L42" s="76">
        <f>'TE BE'!$L$42*'TE BF'!$L$49</f>
        <v>0</v>
      </c>
      <c r="M42" s="76">
        <f>'TE BE'!$M$42*'TE BF'!$M$49</f>
        <v>8.5773454944738994</v>
      </c>
      <c r="N42" s="76">
        <f>'TE BE'!$N$42*'TE BF'!$N$49</f>
        <v>0</v>
      </c>
      <c r="O42" s="76">
        <f>'TE BE'!$O$42*'TE BF'!$O$49</f>
        <v>0.35313070161961413</v>
      </c>
      <c r="P42" s="76">
        <f>'TE BE'!$P$42*'TE BF'!$P$49</f>
        <v>0</v>
      </c>
      <c r="Q42" s="76">
        <f>SUM($L$42:$P$42)</f>
        <v>8.9304761960935135</v>
      </c>
      <c r="R42" s="76">
        <f>'TE BE'!$R$42*'TE BF'!$R$49</f>
        <v>15.277311295012451</v>
      </c>
      <c r="S42" s="76">
        <f>SUM($R$42:$R$42)</f>
        <v>15.277311295012451</v>
      </c>
      <c r="T42" s="76">
        <f>'TE BE'!$T$42*'TE BF'!$T$49</f>
        <v>0.99094299557974574</v>
      </c>
      <c r="U42" s="76">
        <f>'TE BE'!$U$42*'TE BF'!$U$49</f>
        <v>0.21269231739131114</v>
      </c>
      <c r="V42" s="76">
        <f>'TE BE'!$V$42*'TE BF'!$V$49</f>
        <v>0</v>
      </c>
      <c r="W42" s="76">
        <f>SUM($T$42:$V$42)</f>
        <v>1.2036353129710569</v>
      </c>
      <c r="X42" s="76">
        <f>'TE BE'!$AB$42*'TE BF'!$X$49</f>
        <v>0</v>
      </c>
      <c r="Y42" s="76">
        <f>SUM($X$42:$X$42)</f>
        <v>0</v>
      </c>
      <c r="Z42" s="76">
        <f>'TE BE'!$Z$42*'TE BF'!$Z$49</f>
        <v>0.44529381132548851</v>
      </c>
      <c r="AA42" s="76">
        <f>SUM($Z$42:$Z$42)</f>
        <v>0.44529381132548851</v>
      </c>
      <c r="AB42" s="76">
        <f>SUMIF($L$4:$AA$4,"SUBTOTAL",$L$42:$AA$42)</f>
        <v>25.856716615402508</v>
      </c>
    </row>
    <row r="44" spans="1:28" ht="11.25" customHeight="1" x14ac:dyDescent="0.25">
      <c r="K44" s="81" t="s">
        <v>668</v>
      </c>
      <c r="L44" s="76">
        <f t="shared" ref="L44:AB44" si="0">SUMPRODUCT($I$5:$I$42,L$5:L$42)</f>
        <v>0</v>
      </c>
      <c r="M44" s="76">
        <f t="shared" si="0"/>
        <v>2049587.678699119</v>
      </c>
      <c r="N44" s="76">
        <f t="shared" si="0"/>
        <v>0</v>
      </c>
      <c r="O44" s="76">
        <f t="shared" si="0"/>
        <v>84381.856306970338</v>
      </c>
      <c r="P44" s="76">
        <f t="shared" si="0"/>
        <v>0</v>
      </c>
      <c r="Q44" s="76">
        <f t="shared" si="0"/>
        <v>2133969.5350060891</v>
      </c>
      <c r="R44" s="76">
        <f t="shared" si="0"/>
        <v>3641266.6538955164</v>
      </c>
      <c r="S44" s="76">
        <f t="shared" si="0"/>
        <v>3641266.6538955164</v>
      </c>
      <c r="T44" s="76">
        <f t="shared" si="0"/>
        <v>236789.40708893727</v>
      </c>
      <c r="U44" s="76">
        <f t="shared" si="0"/>
        <v>50823.597272611893</v>
      </c>
      <c r="V44" s="76">
        <f t="shared" si="0"/>
        <v>0</v>
      </c>
      <c r="W44" s="76">
        <f t="shared" si="0"/>
        <v>287613.00436154916</v>
      </c>
      <c r="X44" s="76">
        <f t="shared" si="0"/>
        <v>0</v>
      </c>
      <c r="Y44" s="76">
        <f t="shared" si="0"/>
        <v>0</v>
      </c>
      <c r="Z44" s="76">
        <f t="shared" si="0"/>
        <v>106404.56417217817</v>
      </c>
      <c r="AA44" s="76">
        <f t="shared" si="0"/>
        <v>106404.56417217817</v>
      </c>
      <c r="AB44" s="76">
        <f t="shared" si="0"/>
        <v>6169253.7574353311</v>
      </c>
    </row>
    <row r="45" spans="1:28" ht="11.25" customHeight="1" x14ac:dyDescent="0.25">
      <c r="K45" s="81" t="s">
        <v>604</v>
      </c>
      <c r="L45" s="76">
        <f>CUSTOS!$D$30</f>
        <v>380193.13466568384</v>
      </c>
      <c r="M45" s="76">
        <f>CUSTOS!$D$31</f>
        <v>3540154.7326409174</v>
      </c>
      <c r="N45" s="76">
        <f>CUSTOS!$D$32</f>
        <v>0</v>
      </c>
      <c r="O45" s="76">
        <f>CUSTOS!$D$33</f>
        <v>1286311.6925648036</v>
      </c>
      <c r="P45" s="76">
        <f>CUSTOS!$D$34</f>
        <v>-2730000</v>
      </c>
      <c r="Q45" s="76">
        <f>CUSTOS!$D$35</f>
        <v>2476659.5598714054</v>
      </c>
      <c r="R45" s="76">
        <f>CUSTOS!$D$36</f>
        <v>31323047.97811934</v>
      </c>
      <c r="S45" s="76">
        <f>CUSTOS!$D$37</f>
        <v>31323047.97811934</v>
      </c>
      <c r="T45" s="76">
        <f>CUSTOS!$D$38</f>
        <v>952522.70574198291</v>
      </c>
      <c r="U45" s="76">
        <f>CUSTOS!$D$39</f>
        <v>666777.72477291885</v>
      </c>
      <c r="V45" s="76">
        <f>CUSTOS!$D$40</f>
        <v>0</v>
      </c>
      <c r="W45" s="76">
        <f>CUSTOS!$D$41</f>
        <v>1619300.4305149019</v>
      </c>
      <c r="X45" s="76">
        <f>CUSTOS!$D$42</f>
        <v>0</v>
      </c>
      <c r="Y45" s="76">
        <f>CUSTOS!$D$43</f>
        <v>0</v>
      </c>
      <c r="Z45" s="76">
        <f>CUSTOS!$D$44</f>
        <v>915317.54893324873</v>
      </c>
      <c r="AA45" s="76">
        <f>CUSTOS!$D$45</f>
        <v>915317.54893324873</v>
      </c>
      <c r="AB45" s="76">
        <f>CUSTOS!$D$46</f>
        <v>36334325.517438896</v>
      </c>
    </row>
    <row r="46" spans="1:28" ht="11.25" customHeight="1" x14ac:dyDescent="0.25">
      <c r="K46" s="81" t="s">
        <v>605</v>
      </c>
      <c r="L46" s="76">
        <f>CUSTOS!$E$30</f>
        <v>4.3780460810177056E-6</v>
      </c>
      <c r="M46" s="76">
        <f>CUSTOS!$E$31</f>
        <v>-2035895.6828898285</v>
      </c>
      <c r="N46" s="76">
        <f>CUSTOS!$E$32</f>
        <v>0</v>
      </c>
      <c r="O46" s="76">
        <f>CUSTOS!$E$33</f>
        <v>26862.969905276041</v>
      </c>
      <c r="P46" s="76">
        <f>CUSTOS!$E$34</f>
        <v>0</v>
      </c>
      <c r="Q46" s="76">
        <f>CUSTOS!$E$35</f>
        <v>-2009032.7129801742</v>
      </c>
      <c r="R46" s="76">
        <f>CUSTOS!$E$36</f>
        <v>-871301.0648683951</v>
      </c>
      <c r="S46" s="76">
        <f>CUSTOS!$E$37</f>
        <v>-871301.0648683951</v>
      </c>
      <c r="T46" s="76">
        <f>CUSTOS!$E$38</f>
        <v>84574.565464148531</v>
      </c>
      <c r="U46" s="76">
        <f>CUSTOS!$E$39</f>
        <v>90445.106924342981</v>
      </c>
      <c r="V46" s="76">
        <f>CUSTOS!$E$40</f>
        <v>0</v>
      </c>
      <c r="W46" s="76">
        <f>CUSTOS!$E$41</f>
        <v>175019.67238849151</v>
      </c>
      <c r="X46" s="76">
        <f>CUSTOS!$E$42</f>
        <v>-6785828.7622725684</v>
      </c>
      <c r="Y46" s="76">
        <f>CUSTOS!$E$43</f>
        <v>-6785828.7622725684</v>
      </c>
      <c r="Z46" s="76">
        <f>CUSTOS!$E$44</f>
        <v>-25461.032899332571</v>
      </c>
      <c r="AA46" s="76">
        <f>CUSTOS!$E$45</f>
        <v>-25461.032899332571</v>
      </c>
      <c r="AB46" s="76">
        <f>CUSTOS!$E$46</f>
        <v>-9516603.9006319791</v>
      </c>
    </row>
    <row r="47" spans="1:28" ht="11.25" customHeight="1" x14ac:dyDescent="0.25">
      <c r="K47" s="81" t="s">
        <v>606</v>
      </c>
      <c r="L47" s="76">
        <f>CUSTOS!$F$30</f>
        <v>0</v>
      </c>
      <c r="M47" s="76">
        <f>CUSTOS!$F$31</f>
        <v>2049587.6786991188</v>
      </c>
      <c r="N47" s="76">
        <f>CUSTOS!$F$32</f>
        <v>0</v>
      </c>
      <c r="O47" s="76">
        <f>CUSTOS!$F$33</f>
        <v>84381.856306970352</v>
      </c>
      <c r="P47" s="76">
        <f>CUSTOS!$F$34</f>
        <v>0</v>
      </c>
      <c r="Q47" s="76">
        <f>CUSTOS!$F$35</f>
        <v>2133969.5350060891</v>
      </c>
      <c r="R47" s="76">
        <f>CUSTOS!$F$36</f>
        <v>3641266.6538955159</v>
      </c>
      <c r="S47" s="76">
        <f>CUSTOS!$F$37</f>
        <v>3641266.6538955159</v>
      </c>
      <c r="T47" s="76">
        <f>CUSTOS!$F$38</f>
        <v>236789.4070889373</v>
      </c>
      <c r="U47" s="76">
        <f>CUSTOS!$F$39</f>
        <v>50823.597272611893</v>
      </c>
      <c r="V47" s="76">
        <f>CUSTOS!$F$40</f>
        <v>0</v>
      </c>
      <c r="W47" s="76">
        <f>CUSTOS!$F$41</f>
        <v>287613.00436154916</v>
      </c>
      <c r="X47" s="76">
        <f>CUSTOS!$F$42</f>
        <v>0</v>
      </c>
      <c r="Y47" s="76">
        <f>CUSTOS!$F$43</f>
        <v>0</v>
      </c>
      <c r="Z47" s="76">
        <f>CUSTOS!$F$44</f>
        <v>106404.56417217819</v>
      </c>
      <c r="AA47" s="76">
        <f>CUSTOS!$F$45</f>
        <v>106404.56417217819</v>
      </c>
      <c r="AB47" s="76">
        <f>CUSTOS!$F$46</f>
        <v>6169253.757435333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1057" priority="33" operator="notEqual">
      <formula>$L$47</formula>
    </cfRule>
    <cfRule type="cellIs" dxfId="1056" priority="34" operator="equal">
      <formula>$L$47</formula>
    </cfRule>
  </conditionalFormatting>
  <conditionalFormatting sqref="M44">
    <cfRule type="cellIs" dxfId="1055" priority="31" operator="notEqual">
      <formula>$M$47</formula>
    </cfRule>
    <cfRule type="cellIs" dxfId="1054" priority="32" operator="equal">
      <formula>$M$47</formula>
    </cfRule>
  </conditionalFormatting>
  <conditionalFormatting sqref="N44">
    <cfRule type="cellIs" dxfId="1053" priority="29" operator="notEqual">
      <formula>$N$47</formula>
    </cfRule>
    <cfRule type="cellIs" dxfId="1052" priority="30" operator="equal">
      <formula>$N$47</formula>
    </cfRule>
  </conditionalFormatting>
  <conditionalFormatting sqref="O44">
    <cfRule type="cellIs" dxfId="1051" priority="27" operator="notEqual">
      <formula>$O$47</formula>
    </cfRule>
    <cfRule type="cellIs" dxfId="1050" priority="28" operator="equal">
      <formula>$O$47</formula>
    </cfRule>
  </conditionalFormatting>
  <conditionalFormatting sqref="P44">
    <cfRule type="cellIs" dxfId="1049" priority="25" operator="notEqual">
      <formula>$P$47</formula>
    </cfRule>
    <cfRule type="cellIs" dxfId="1048" priority="26" operator="equal">
      <formula>$P$47</formula>
    </cfRule>
  </conditionalFormatting>
  <conditionalFormatting sqref="Q44">
    <cfRule type="cellIs" dxfId="1047" priority="23" operator="notEqual">
      <formula>$Q$47</formula>
    </cfRule>
    <cfRule type="cellIs" dxfId="1046" priority="24" operator="equal">
      <formula>$Q$47</formula>
    </cfRule>
  </conditionalFormatting>
  <conditionalFormatting sqref="R44">
    <cfRule type="cellIs" dxfId="1045" priority="21" operator="notEqual">
      <formula>$R$47</formula>
    </cfRule>
    <cfRule type="cellIs" dxfId="1044" priority="22" operator="equal">
      <formula>$R$47</formula>
    </cfRule>
  </conditionalFormatting>
  <conditionalFormatting sqref="S44">
    <cfRule type="cellIs" dxfId="1043" priority="19" operator="notEqual">
      <formula>$S$47</formula>
    </cfRule>
    <cfRule type="cellIs" dxfId="1042" priority="20" operator="equal">
      <formula>$S$47</formula>
    </cfRule>
  </conditionalFormatting>
  <conditionalFormatting sqref="T44">
    <cfRule type="cellIs" dxfId="1041" priority="17" operator="notEqual">
      <formula>$T$47</formula>
    </cfRule>
    <cfRule type="cellIs" dxfId="1040" priority="18" operator="equal">
      <formula>$T$47</formula>
    </cfRule>
  </conditionalFormatting>
  <conditionalFormatting sqref="U44">
    <cfRule type="cellIs" dxfId="1039" priority="15" operator="notEqual">
      <formula>$U$47</formula>
    </cfRule>
    <cfRule type="cellIs" dxfId="1038" priority="16" operator="equal">
      <formula>$U$47</formula>
    </cfRule>
  </conditionalFormatting>
  <conditionalFormatting sqref="V44">
    <cfRule type="cellIs" dxfId="1037" priority="13" operator="notEqual">
      <formula>$V$47</formula>
    </cfRule>
    <cfRule type="cellIs" dxfId="1036" priority="14" operator="equal">
      <formula>$V$47</formula>
    </cfRule>
  </conditionalFormatting>
  <conditionalFormatting sqref="W44">
    <cfRule type="cellIs" dxfId="1035" priority="11" operator="notEqual">
      <formula>$W$47</formula>
    </cfRule>
    <cfRule type="cellIs" dxfId="1034" priority="12" operator="equal">
      <formula>$W$47</formula>
    </cfRule>
  </conditionalFormatting>
  <conditionalFormatting sqref="X44">
    <cfRule type="cellIs" dxfId="1033" priority="9" operator="notEqual">
      <formula>$X$47</formula>
    </cfRule>
    <cfRule type="cellIs" dxfId="1032" priority="10" operator="equal">
      <formula>$X$47</formula>
    </cfRule>
  </conditionalFormatting>
  <conditionalFormatting sqref="Y44">
    <cfRule type="cellIs" dxfId="1031" priority="7" operator="notEqual">
      <formula>$Y$47</formula>
    </cfRule>
    <cfRule type="cellIs" dxfId="1030" priority="8" operator="equal">
      <formula>$Y$47</formula>
    </cfRule>
  </conditionalFormatting>
  <conditionalFormatting sqref="Z44">
    <cfRule type="cellIs" dxfId="1029" priority="5" operator="notEqual">
      <formula>$Z$47</formula>
    </cfRule>
    <cfRule type="cellIs" dxfId="1028" priority="6" operator="equal">
      <formula>$Z$47</formula>
    </cfRule>
  </conditionalFormatting>
  <conditionalFormatting sqref="AA44">
    <cfRule type="cellIs" dxfId="1027" priority="3" operator="notEqual">
      <formula>$AA$47</formula>
    </cfRule>
    <cfRule type="cellIs" dxfId="1026" priority="4" operator="equal">
      <formula>$AA$47</formula>
    </cfRule>
  </conditionalFormatting>
  <conditionalFormatting sqref="AB44">
    <cfRule type="cellIs" dxfId="1025" priority="1" operator="notEqual">
      <formula>$AB$47</formula>
    </cfRule>
    <cfRule type="cellIs" dxfId="1024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CFD1-3369-4E7E-AD95-A8C39942063E}">
  <dimension ref="A1:AV921"/>
  <sheetViews>
    <sheetView showGridLines="0" tabSelected="1" topLeftCell="AF1" workbookViewId="0">
      <selection activeCell="AN24" sqref="AN24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8.710937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688</v>
      </c>
      <c r="W1" s="1" t="s">
        <v>689</v>
      </c>
      <c r="X1" s="1" t="s">
        <v>690</v>
      </c>
      <c r="Y1" s="1" t="s">
        <v>691</v>
      </c>
      <c r="Z1" s="1" t="s">
        <v>692</v>
      </c>
      <c r="AA1" s="1" t="s">
        <v>693</v>
      </c>
      <c r="AB1" s="1" t="s">
        <v>694</v>
      </c>
      <c r="AC1" s="1" t="s">
        <v>695</v>
      </c>
      <c r="AD1" s="1" t="s">
        <v>696</v>
      </c>
      <c r="AE1" s="1" t="s">
        <v>697</v>
      </c>
      <c r="AF1" s="1" t="s">
        <v>698</v>
      </c>
      <c r="AG1" s="1" t="s">
        <v>699</v>
      </c>
      <c r="AI1" s="90" t="s">
        <v>71</v>
      </c>
      <c r="AJ1" s="90" t="s">
        <v>700</v>
      </c>
      <c r="AK1" s="90" t="s">
        <v>701</v>
      </c>
      <c r="AL1" s="90" t="s">
        <v>702</v>
      </c>
      <c r="AN1" s="90" t="s">
        <v>71</v>
      </c>
      <c r="AO1" s="90" t="s">
        <v>703</v>
      </c>
      <c r="AP1" s="90" t="s">
        <v>704</v>
      </c>
      <c r="AQ1" s="90" t="s">
        <v>702</v>
      </c>
      <c r="AS1" s="90" t="s">
        <v>71</v>
      </c>
      <c r="AT1" s="90" t="s">
        <v>705</v>
      </c>
      <c r="AU1" s="90" t="s">
        <v>706</v>
      </c>
      <c r="AV1" s="90" t="s">
        <v>702</v>
      </c>
    </row>
    <row r="2" spans="1:48" ht="11.25" customHeight="1" x14ac:dyDescent="0.25">
      <c r="A2" s="4" t="s">
        <v>21</v>
      </c>
      <c r="B2" s="4" t="s">
        <v>62</v>
      </c>
      <c r="C2" s="4" t="s">
        <v>59</v>
      </c>
      <c r="D2" s="4" t="s">
        <v>25</v>
      </c>
      <c r="E2" s="4" t="s">
        <v>25</v>
      </c>
      <c r="F2" s="4" t="s">
        <v>25</v>
      </c>
      <c r="G2" s="4" t="s">
        <v>63</v>
      </c>
      <c r="H2" s="4" t="s">
        <v>25</v>
      </c>
      <c r="I2" s="5">
        <v>44378</v>
      </c>
      <c r="J2" s="6">
        <v>2300</v>
      </c>
      <c r="K2" s="6">
        <v>1150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61</v>
      </c>
      <c r="R2" s="4">
        <v>1433</v>
      </c>
      <c r="S2" s="6">
        <v>29</v>
      </c>
      <c r="T2" s="6">
        <v>0</v>
      </c>
      <c r="U2" s="6">
        <v>0</v>
      </c>
      <c r="V2" s="6">
        <f>IF(ISERROR(VLOOKUP($S$2,'TAR FIN'!$A$1:$O$86,15,0)),0,VLOOKUP($S$2,'TAR FIN'!$A$1:$O$86,15,0))</f>
        <v>13.17</v>
      </c>
      <c r="W2" s="6">
        <f>IF(ISERROR(VLOOKUP($T$2,'TAR FIN'!$A$1:$O$86,15,0)),0,VLOOKUP($T$2,'TAR FIN'!$A$1:$O$86,15,0))</f>
        <v>0</v>
      </c>
      <c r="X2" s="6">
        <f>IF(ISERROR(VLOOKUP($U$2,'TAR FIN'!$A$1:$O$86,15,0)),0,VLOOKUP($U$2,'TAR FIN'!$A$1:$O$86,15,0))</f>
        <v>0</v>
      </c>
      <c r="Y2" s="6">
        <f ca="1">('TUSD BE'!$AM$5+'TUSD BF'!$AM$5+'TUSD CVA'!$AM$5)*1</f>
        <v>11.740652626592427</v>
      </c>
      <c r="Z2" s="6"/>
      <c r="AA2" s="6"/>
      <c r="AB2" s="6">
        <f>$K$2*$V$2</f>
        <v>15145.5</v>
      </c>
      <c r="AC2" s="6">
        <f>$M$2*$W$2</f>
        <v>0</v>
      </c>
      <c r="AD2" s="6">
        <f>$O$2*$X$2</f>
        <v>0</v>
      </c>
      <c r="AE2" s="6">
        <f ca="1">$K$2*$Y$2</f>
        <v>13501.75052058129</v>
      </c>
      <c r="AF2" s="6">
        <f>$M$2*$Z$2</f>
        <v>0</v>
      </c>
      <c r="AG2" s="6">
        <f>$O$2*$AA$2</f>
        <v>0</v>
      </c>
      <c r="AI2" s="91" t="s">
        <v>62</v>
      </c>
      <c r="AJ2" s="92">
        <f t="shared" ref="AJ2:AJ7" si="0">SUMIF($B$2:$B$921,AI2,$AB$2:$AB$921)+SUMIF($B$2:$B$921,AI2,$AC$2:$AC$921)</f>
        <v>181746</v>
      </c>
      <c r="AK2" s="92">
        <f t="shared" ref="AK2:AK7" ca="1" si="1">SUMIF($B$2:$B$921,AI2,$AE$2:$AE$921)+SUMIF($B$2:$B$921,AI2,$AF$2:$AF$921)</f>
        <v>162021.00624697548</v>
      </c>
      <c r="AL2" s="93">
        <f t="shared" ref="AL2:AL10" ca="1" si="2">IF(AJ2&lt;&gt;0,AK2/AJ2-1,0)</f>
        <v>-0.10853055227088637</v>
      </c>
      <c r="AN2" s="91" t="s">
        <v>62</v>
      </c>
      <c r="AO2" s="92">
        <f t="shared" ref="AO2:AO7" si="3">SUMIF($B$2:$B$921,AN2,$AD$2:$AD$921)</f>
        <v>0</v>
      </c>
      <c r="AP2" s="92">
        <f t="shared" ref="AP2:AP7" si="4">SUMIF($B$2:$B$921,AN2,$AG$2:$AG$921)</f>
        <v>0</v>
      </c>
      <c r="AQ2" s="93">
        <f t="shared" ref="AQ2:AQ10" si="5">IF(AO2&lt;&gt;0,AP2/AO2-1,0)</f>
        <v>0</v>
      </c>
      <c r="AS2" s="91" t="s">
        <v>62</v>
      </c>
      <c r="AT2" s="92">
        <f t="shared" ref="AT2:AT7" si="6">SUMIF($B$2:$B$921,AS2,$AB$2:$AB$921)+SUMIF($B$2:$B$921,AS2,$AC$2:$AC$921)+SUMIF($B$2:$B$921,AS2,$AD$2:$AD$921)</f>
        <v>181746</v>
      </c>
      <c r="AU2" s="92">
        <f t="shared" ref="AU2:AU7" ca="1" si="7">SUMIF($B$2:$B$921,AS2,$AE$2:$AE$921)+SUMIF($B$2:$B$921,AS2,$AF$2:$AF$921)+SUMIF($B$2:$B$921,AS2,$AG$2:$AG$921)</f>
        <v>162021.00624697548</v>
      </c>
      <c r="AV2" s="93">
        <f t="shared" ref="AV2:AV10" ca="1" si="8">IF(AT2&lt;&gt;0,AU2/AT2-1,0)</f>
        <v>-0.10853055227088637</v>
      </c>
    </row>
    <row r="3" spans="1:48" ht="11.25" customHeight="1" x14ac:dyDescent="0.25">
      <c r="A3" s="4" t="s">
        <v>21</v>
      </c>
      <c r="B3" s="4" t="s">
        <v>62</v>
      </c>
      <c r="C3" s="4" t="s">
        <v>59</v>
      </c>
      <c r="D3" s="4" t="s">
        <v>25</v>
      </c>
      <c r="E3" s="4" t="s">
        <v>25</v>
      </c>
      <c r="F3" s="4" t="s">
        <v>25</v>
      </c>
      <c r="G3" s="4" t="s">
        <v>63</v>
      </c>
      <c r="H3" s="4" t="s">
        <v>25</v>
      </c>
      <c r="I3" s="5">
        <v>44409</v>
      </c>
      <c r="J3" s="6">
        <v>2300</v>
      </c>
      <c r="K3" s="6">
        <v>1150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61</v>
      </c>
      <c r="R3" s="4">
        <v>1433</v>
      </c>
      <c r="S3" s="6">
        <v>29</v>
      </c>
      <c r="T3" s="6">
        <v>0</v>
      </c>
      <c r="U3" s="6">
        <v>0</v>
      </c>
      <c r="V3" s="6">
        <f>IF(ISERROR(VLOOKUP($S$3,'TAR FIN'!$A$1:$O$86,15,0)),0,VLOOKUP($S$3,'TAR FIN'!$A$1:$O$86,15,0))</f>
        <v>13.17</v>
      </c>
      <c r="W3" s="6">
        <f>IF(ISERROR(VLOOKUP($T$3,'TAR FIN'!$A$1:$O$86,15,0)),0,VLOOKUP($T$3,'TAR FIN'!$A$1:$O$86,15,0))</f>
        <v>0</v>
      </c>
      <c r="X3" s="6">
        <f>IF(ISERROR(VLOOKUP($U$3,'TAR FIN'!$A$1:$O$86,15,0)),0,VLOOKUP($U$3,'TAR FIN'!$A$1:$O$86,15,0))</f>
        <v>0</v>
      </c>
      <c r="Y3" s="6">
        <f ca="1">('TUSD BE'!$AM$5+'TUSD BF'!$AM$5+'TUSD CVA'!$AM$5)*1</f>
        <v>11.740652626592427</v>
      </c>
      <c r="Z3" s="6"/>
      <c r="AA3" s="6"/>
      <c r="AB3" s="6">
        <f>$K$3*$V$3</f>
        <v>15145.5</v>
      </c>
      <c r="AC3" s="6">
        <f>$M$3*$W$3</f>
        <v>0</v>
      </c>
      <c r="AD3" s="6">
        <f>$O$3*$X$3</f>
        <v>0</v>
      </c>
      <c r="AE3" s="6">
        <f ca="1">$K$3*$Y$3</f>
        <v>13501.75052058129</v>
      </c>
      <c r="AF3" s="6">
        <f>$M$3*$Z$3</f>
        <v>0</v>
      </c>
      <c r="AG3" s="6">
        <f>$O$3*$AA$3</f>
        <v>0</v>
      </c>
      <c r="AI3" s="91" t="s">
        <v>38</v>
      </c>
      <c r="AJ3" s="92">
        <f t="shared" si="0"/>
        <v>15134560.055040145</v>
      </c>
      <c r="AK3" s="92">
        <f t="shared" ca="1" si="1"/>
        <v>14041359.251833672</v>
      </c>
      <c r="AL3" s="93">
        <f t="shared" ca="1" si="2"/>
        <v>-7.2232083339773934E-2</v>
      </c>
      <c r="AN3" s="91" t="s">
        <v>38</v>
      </c>
      <c r="AO3" s="92">
        <f t="shared" si="3"/>
        <v>7482968.7324642017</v>
      </c>
      <c r="AP3" s="92">
        <f t="shared" si="4"/>
        <v>6724441.9122319408</v>
      </c>
      <c r="AQ3" s="93">
        <f t="shared" si="5"/>
        <v>-0.10136709738495353</v>
      </c>
      <c r="AS3" s="91" t="s">
        <v>38</v>
      </c>
      <c r="AT3" s="92">
        <f t="shared" si="6"/>
        <v>22617528.787504345</v>
      </c>
      <c r="AU3" s="92">
        <f t="shared" ca="1" si="7"/>
        <v>20765801.164065614</v>
      </c>
      <c r="AV3" s="93">
        <f t="shared" ca="1" si="8"/>
        <v>-8.1871350351138572E-2</v>
      </c>
    </row>
    <row r="4" spans="1:48" ht="11.25" customHeight="1" x14ac:dyDescent="0.25">
      <c r="A4" s="4" t="s">
        <v>21</v>
      </c>
      <c r="B4" s="4" t="s">
        <v>62</v>
      </c>
      <c r="C4" s="4" t="s">
        <v>59</v>
      </c>
      <c r="D4" s="4" t="s">
        <v>25</v>
      </c>
      <c r="E4" s="4" t="s">
        <v>25</v>
      </c>
      <c r="F4" s="4" t="s">
        <v>25</v>
      </c>
      <c r="G4" s="4" t="s">
        <v>63</v>
      </c>
      <c r="H4" s="4" t="s">
        <v>25</v>
      </c>
      <c r="I4" s="5">
        <v>44440</v>
      </c>
      <c r="J4" s="6">
        <v>2300</v>
      </c>
      <c r="K4" s="6">
        <v>1150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61</v>
      </c>
      <c r="R4" s="4">
        <v>1433</v>
      </c>
      <c r="S4" s="6">
        <v>29</v>
      </c>
      <c r="T4" s="6">
        <v>0</v>
      </c>
      <c r="U4" s="6">
        <v>0</v>
      </c>
      <c r="V4" s="6">
        <f>IF(ISERROR(VLOOKUP($S$4,'TAR FIN'!$A$1:$O$86,15,0)),0,VLOOKUP($S$4,'TAR FIN'!$A$1:$O$86,15,0))</f>
        <v>13.17</v>
      </c>
      <c r="W4" s="6">
        <f>IF(ISERROR(VLOOKUP($T$4,'TAR FIN'!$A$1:$O$86,15,0)),0,VLOOKUP($T$4,'TAR FIN'!$A$1:$O$86,15,0))</f>
        <v>0</v>
      </c>
      <c r="X4" s="6">
        <f>IF(ISERROR(VLOOKUP($U$4,'TAR FIN'!$A$1:$O$86,15,0)),0,VLOOKUP($U$4,'TAR FIN'!$A$1:$O$86,15,0))</f>
        <v>0</v>
      </c>
      <c r="Y4" s="6">
        <f ca="1">('TUSD BE'!$AM$5+'TUSD BF'!$AM$5+'TUSD CVA'!$AM$5)*1</f>
        <v>11.740652626592427</v>
      </c>
      <c r="Z4" s="6"/>
      <c r="AA4" s="6"/>
      <c r="AB4" s="6">
        <f>$K$4*$V$4</f>
        <v>15145.5</v>
      </c>
      <c r="AC4" s="6">
        <f>$M$4*$W$4</f>
        <v>0</v>
      </c>
      <c r="AD4" s="6">
        <f>$O$4*$X$4</f>
        <v>0</v>
      </c>
      <c r="AE4" s="6">
        <f ca="1">$K$4*$Y$4</f>
        <v>13501.75052058129</v>
      </c>
      <c r="AF4" s="6">
        <f>$M$4*$Z$4</f>
        <v>0</v>
      </c>
      <c r="AG4" s="6">
        <f>$O$4*$AA$4</f>
        <v>0</v>
      </c>
      <c r="AI4" s="91" t="s">
        <v>22</v>
      </c>
      <c r="AJ4" s="92">
        <f t="shared" si="0"/>
        <v>20785708.223939992</v>
      </c>
      <c r="AK4" s="92">
        <f t="shared" ca="1" si="1"/>
        <v>21115942.060696643</v>
      </c>
      <c r="AL4" s="93">
        <f t="shared" ca="1" si="2"/>
        <v>1.5887543171432705E-2</v>
      </c>
      <c r="AN4" s="91" t="s">
        <v>22</v>
      </c>
      <c r="AO4" s="92">
        <f t="shared" si="3"/>
        <v>16605050.589244995</v>
      </c>
      <c r="AP4" s="92">
        <f t="shared" si="4"/>
        <v>14828376.605175575</v>
      </c>
      <c r="AQ4" s="93">
        <f t="shared" si="5"/>
        <v>-0.10699599947139948</v>
      </c>
      <c r="AS4" s="91" t="s">
        <v>22</v>
      </c>
      <c r="AT4" s="92">
        <f t="shared" si="6"/>
        <v>37390758.813184991</v>
      </c>
      <c r="AU4" s="92">
        <f t="shared" ca="1" si="7"/>
        <v>35944318.665872216</v>
      </c>
      <c r="AV4" s="93">
        <f t="shared" ca="1" si="8"/>
        <v>-3.8684428806048277E-2</v>
      </c>
    </row>
    <row r="5" spans="1:48" ht="11.25" customHeight="1" x14ac:dyDescent="0.25">
      <c r="A5" s="4" t="s">
        <v>21</v>
      </c>
      <c r="B5" s="4" t="s">
        <v>62</v>
      </c>
      <c r="C5" s="4" t="s">
        <v>59</v>
      </c>
      <c r="D5" s="4" t="s">
        <v>25</v>
      </c>
      <c r="E5" s="4" t="s">
        <v>25</v>
      </c>
      <c r="F5" s="4" t="s">
        <v>25</v>
      </c>
      <c r="G5" s="4" t="s">
        <v>63</v>
      </c>
      <c r="H5" s="4" t="s">
        <v>25</v>
      </c>
      <c r="I5" s="5">
        <v>44470</v>
      </c>
      <c r="J5" s="6">
        <v>2300</v>
      </c>
      <c r="K5" s="6">
        <v>1150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61</v>
      </c>
      <c r="R5" s="4">
        <v>1433</v>
      </c>
      <c r="S5" s="6">
        <v>29</v>
      </c>
      <c r="T5" s="6">
        <v>0</v>
      </c>
      <c r="U5" s="6">
        <v>0</v>
      </c>
      <c r="V5" s="6">
        <f>IF(ISERROR(VLOOKUP($S$5,'TAR FIN'!$A$1:$O$86,15,0)),0,VLOOKUP($S$5,'TAR FIN'!$A$1:$O$86,15,0))</f>
        <v>13.17</v>
      </c>
      <c r="W5" s="6">
        <f>IF(ISERROR(VLOOKUP($T$5,'TAR FIN'!$A$1:$O$86,15,0)),0,VLOOKUP($T$5,'TAR FIN'!$A$1:$O$86,15,0))</f>
        <v>0</v>
      </c>
      <c r="X5" s="6">
        <f>IF(ISERROR(VLOOKUP($U$5,'TAR FIN'!$A$1:$O$86,15,0)),0,VLOOKUP($U$5,'TAR FIN'!$A$1:$O$86,15,0))</f>
        <v>0</v>
      </c>
      <c r="Y5" s="6">
        <f ca="1">('TUSD BE'!$AM$5+'TUSD BF'!$AM$5+'TUSD CVA'!$AM$5)*1</f>
        <v>11.740652626592427</v>
      </c>
      <c r="Z5" s="6"/>
      <c r="AA5" s="6"/>
      <c r="AB5" s="6">
        <f>$K$5*$V$5</f>
        <v>15145.5</v>
      </c>
      <c r="AC5" s="6">
        <f>$M$5*$W$5</f>
        <v>0</v>
      </c>
      <c r="AD5" s="6">
        <f>$O$5*$X$5</f>
        <v>0</v>
      </c>
      <c r="AE5" s="6">
        <f ca="1">$K$5*$Y$5</f>
        <v>13501.75052058129</v>
      </c>
      <c r="AF5" s="6">
        <f>$M$5*$Z$5</f>
        <v>0</v>
      </c>
      <c r="AG5" s="6">
        <f>$O$5*$AA$5</f>
        <v>0</v>
      </c>
      <c r="AI5" s="91" t="s">
        <v>42</v>
      </c>
      <c r="AJ5" s="92">
        <f t="shared" si="0"/>
        <v>5306462.1051200004</v>
      </c>
      <c r="AK5" s="92">
        <f t="shared" ca="1" si="1"/>
        <v>5767067.0453719422</v>
      </c>
      <c r="AL5" s="93">
        <f t="shared" ca="1" si="2"/>
        <v>8.6800759362348323E-2</v>
      </c>
      <c r="AN5" s="91" t="s">
        <v>42</v>
      </c>
      <c r="AO5" s="92">
        <f t="shared" si="3"/>
        <v>4222536.0139599992</v>
      </c>
      <c r="AP5" s="92">
        <f t="shared" si="4"/>
        <v>4027745.8891516407</v>
      </c>
      <c r="AQ5" s="93">
        <f t="shared" si="5"/>
        <v>-4.6131074824316221E-2</v>
      </c>
      <c r="AS5" s="91" t="s">
        <v>42</v>
      </c>
      <c r="AT5" s="92">
        <f t="shared" si="6"/>
        <v>9528998.1190799996</v>
      </c>
      <c r="AU5" s="92">
        <f t="shared" ca="1" si="7"/>
        <v>9794812.9345235825</v>
      </c>
      <c r="AV5" s="93">
        <f t="shared" ca="1" si="8"/>
        <v>2.7895358160616945E-2</v>
      </c>
    </row>
    <row r="6" spans="1:48" ht="11.25" customHeight="1" x14ac:dyDescent="0.25">
      <c r="A6" s="4" t="s">
        <v>21</v>
      </c>
      <c r="B6" s="4" t="s">
        <v>62</v>
      </c>
      <c r="C6" s="4" t="s">
        <v>59</v>
      </c>
      <c r="D6" s="4" t="s">
        <v>25</v>
      </c>
      <c r="E6" s="4" t="s">
        <v>25</v>
      </c>
      <c r="F6" s="4" t="s">
        <v>25</v>
      </c>
      <c r="G6" s="4" t="s">
        <v>63</v>
      </c>
      <c r="H6" s="4" t="s">
        <v>25</v>
      </c>
      <c r="I6" s="5">
        <v>44501</v>
      </c>
      <c r="J6" s="6">
        <v>2300</v>
      </c>
      <c r="K6" s="6">
        <v>1150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61</v>
      </c>
      <c r="R6" s="4">
        <v>1433</v>
      </c>
      <c r="S6" s="6">
        <v>29</v>
      </c>
      <c r="T6" s="6">
        <v>0</v>
      </c>
      <c r="U6" s="6">
        <v>0</v>
      </c>
      <c r="V6" s="6">
        <f>IF(ISERROR(VLOOKUP($S$6,'TAR FIN'!$A$1:$O$86,15,0)),0,VLOOKUP($S$6,'TAR FIN'!$A$1:$O$86,15,0))</f>
        <v>13.17</v>
      </c>
      <c r="W6" s="6">
        <f>IF(ISERROR(VLOOKUP($T$6,'TAR FIN'!$A$1:$O$86,15,0)),0,VLOOKUP($T$6,'TAR FIN'!$A$1:$O$86,15,0))</f>
        <v>0</v>
      </c>
      <c r="X6" s="6">
        <f>IF(ISERROR(VLOOKUP($U$6,'TAR FIN'!$A$1:$O$86,15,0)),0,VLOOKUP($U$6,'TAR FIN'!$A$1:$O$86,15,0))</f>
        <v>0</v>
      </c>
      <c r="Y6" s="6">
        <f ca="1">('TUSD BE'!$AM$5+'TUSD BF'!$AM$5+'TUSD CVA'!$AM$5)*1</f>
        <v>11.740652626592427</v>
      </c>
      <c r="Z6" s="6"/>
      <c r="AA6" s="6"/>
      <c r="AB6" s="6">
        <f>$K$6*$V$6</f>
        <v>15145.5</v>
      </c>
      <c r="AC6" s="6">
        <f>$M$6*$W$6</f>
        <v>0</v>
      </c>
      <c r="AD6" s="6">
        <f>$O$6*$X$6</f>
        <v>0</v>
      </c>
      <c r="AE6" s="6">
        <f ca="1">$K$6*$Y$6</f>
        <v>13501.75052058129</v>
      </c>
      <c r="AF6" s="6">
        <f>$M$6*$Z$6</f>
        <v>0</v>
      </c>
      <c r="AG6" s="6">
        <f>$O$6*$AA$6</f>
        <v>0</v>
      </c>
      <c r="AI6" s="91" t="s">
        <v>36</v>
      </c>
      <c r="AJ6" s="92">
        <f t="shared" si="0"/>
        <v>8534287.372360006</v>
      </c>
      <c r="AK6" s="92">
        <f t="shared" ca="1" si="1"/>
        <v>8692295.38759863</v>
      </c>
      <c r="AL6" s="93">
        <f t="shared" ca="1" si="2"/>
        <v>1.851449433849206E-2</v>
      </c>
      <c r="AN6" s="91" t="s">
        <v>36</v>
      </c>
      <c r="AO6" s="92">
        <f t="shared" si="3"/>
        <v>6793587.2273933999</v>
      </c>
      <c r="AP6" s="92">
        <f t="shared" si="4"/>
        <v>6074580.6708358424</v>
      </c>
      <c r="AQ6" s="93">
        <f t="shared" si="5"/>
        <v>-0.10583606752826369</v>
      </c>
      <c r="AS6" s="91" t="s">
        <v>36</v>
      </c>
      <c r="AT6" s="92">
        <f t="shared" si="6"/>
        <v>15327874.599753406</v>
      </c>
      <c r="AU6" s="92">
        <f t="shared" ca="1" si="7"/>
        <v>14766876.058434471</v>
      </c>
      <c r="AV6" s="93">
        <f t="shared" ca="1" si="8"/>
        <v>-3.6599891111319449E-2</v>
      </c>
    </row>
    <row r="7" spans="1:48" ht="11.25" customHeight="1" x14ac:dyDescent="0.25">
      <c r="A7" s="4" t="s">
        <v>21</v>
      </c>
      <c r="B7" s="4" t="s">
        <v>62</v>
      </c>
      <c r="C7" s="4" t="s">
        <v>59</v>
      </c>
      <c r="D7" s="4" t="s">
        <v>25</v>
      </c>
      <c r="E7" s="4" t="s">
        <v>25</v>
      </c>
      <c r="F7" s="4" t="s">
        <v>25</v>
      </c>
      <c r="G7" s="4" t="s">
        <v>63</v>
      </c>
      <c r="H7" s="4" t="s">
        <v>25</v>
      </c>
      <c r="I7" s="5">
        <v>44531</v>
      </c>
      <c r="J7" s="6">
        <v>2300</v>
      </c>
      <c r="K7" s="6">
        <v>1150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61</v>
      </c>
      <c r="R7" s="4">
        <v>1433</v>
      </c>
      <c r="S7" s="6">
        <v>29</v>
      </c>
      <c r="T7" s="6">
        <v>0</v>
      </c>
      <c r="U7" s="6">
        <v>0</v>
      </c>
      <c r="V7" s="6">
        <f>IF(ISERROR(VLOOKUP($S$7,'TAR FIN'!$A$1:$O$86,15,0)),0,VLOOKUP($S$7,'TAR FIN'!$A$1:$O$86,15,0))</f>
        <v>13.17</v>
      </c>
      <c r="W7" s="6">
        <f>IF(ISERROR(VLOOKUP($T$7,'TAR FIN'!$A$1:$O$86,15,0)),0,VLOOKUP($T$7,'TAR FIN'!$A$1:$O$86,15,0))</f>
        <v>0</v>
      </c>
      <c r="X7" s="6">
        <f>IF(ISERROR(VLOOKUP($U$7,'TAR FIN'!$A$1:$O$86,15,0)),0,VLOOKUP($U$7,'TAR FIN'!$A$1:$O$86,15,0))</f>
        <v>0</v>
      </c>
      <c r="Y7" s="6">
        <f ca="1">('TUSD BE'!$AM$5+'TUSD BF'!$AM$5+'TUSD CVA'!$AM$5)*1</f>
        <v>11.740652626592427</v>
      </c>
      <c r="Z7" s="6"/>
      <c r="AA7" s="6"/>
      <c r="AB7" s="6">
        <f>$K$7*$V$7</f>
        <v>15145.5</v>
      </c>
      <c r="AC7" s="6">
        <f>$M$7*$W$7</f>
        <v>0</v>
      </c>
      <c r="AD7" s="6">
        <f>$O$7*$X$7</f>
        <v>0</v>
      </c>
      <c r="AE7" s="6">
        <f ca="1">$K$7*$Y$7</f>
        <v>13501.75052058129</v>
      </c>
      <c r="AF7" s="6">
        <f>$M$7*$Z$7</f>
        <v>0</v>
      </c>
      <c r="AG7" s="6">
        <f>$O$7*$AA$7</f>
        <v>0</v>
      </c>
      <c r="AI7" s="91" t="s">
        <v>45</v>
      </c>
      <c r="AJ7" s="92">
        <f t="shared" si="0"/>
        <v>977075.42004000011</v>
      </c>
      <c r="AK7" s="92">
        <f t="shared" ca="1" si="1"/>
        <v>994134.18211494153</v>
      </c>
      <c r="AL7" s="93">
        <f t="shared" ca="1" si="2"/>
        <v>1.7459002370812993E-2</v>
      </c>
      <c r="AN7" s="91" t="s">
        <v>45</v>
      </c>
      <c r="AO7" s="92">
        <f t="shared" si="3"/>
        <v>777521.43864000007</v>
      </c>
      <c r="AP7" s="92">
        <f t="shared" si="4"/>
        <v>694307.84032446414</v>
      </c>
      <c r="AQ7" s="93">
        <f t="shared" si="5"/>
        <v>-0.10702418503223377</v>
      </c>
      <c r="AS7" s="91" t="s">
        <v>45</v>
      </c>
      <c r="AT7" s="92">
        <f t="shared" si="6"/>
        <v>1754596.8586800001</v>
      </c>
      <c r="AU7" s="92">
        <f t="shared" ca="1" si="7"/>
        <v>1688442.0224394058</v>
      </c>
      <c r="AV7" s="93">
        <f t="shared" ca="1" si="8"/>
        <v>-3.7703724313266629E-2</v>
      </c>
    </row>
    <row r="8" spans="1:48" ht="11.25" customHeight="1" x14ac:dyDescent="0.25">
      <c r="A8" s="4" t="s">
        <v>21</v>
      </c>
      <c r="B8" s="4" t="s">
        <v>62</v>
      </c>
      <c r="C8" s="4" t="s">
        <v>59</v>
      </c>
      <c r="D8" s="4" t="s">
        <v>25</v>
      </c>
      <c r="E8" s="4" t="s">
        <v>25</v>
      </c>
      <c r="F8" s="4" t="s">
        <v>25</v>
      </c>
      <c r="G8" s="4" t="s">
        <v>63</v>
      </c>
      <c r="H8" s="4" t="s">
        <v>25</v>
      </c>
      <c r="I8" s="5">
        <v>44562</v>
      </c>
      <c r="J8" s="6">
        <v>2300</v>
      </c>
      <c r="K8" s="6">
        <v>1150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61</v>
      </c>
      <c r="R8" s="4">
        <v>1433</v>
      </c>
      <c r="S8" s="6">
        <v>29</v>
      </c>
      <c r="T8" s="6">
        <v>0</v>
      </c>
      <c r="U8" s="6">
        <v>0</v>
      </c>
      <c r="V8" s="6">
        <f>IF(ISERROR(VLOOKUP($S$8,'TAR FIN'!$A$1:$O$86,15,0)),0,VLOOKUP($S$8,'TAR FIN'!$A$1:$O$86,15,0))</f>
        <v>13.17</v>
      </c>
      <c r="W8" s="6">
        <f>IF(ISERROR(VLOOKUP($T$8,'TAR FIN'!$A$1:$O$86,15,0)),0,VLOOKUP($T$8,'TAR FIN'!$A$1:$O$86,15,0))</f>
        <v>0</v>
      </c>
      <c r="X8" s="6">
        <f>IF(ISERROR(VLOOKUP($U$8,'TAR FIN'!$A$1:$O$86,15,0)),0,VLOOKUP($U$8,'TAR FIN'!$A$1:$O$86,15,0))</f>
        <v>0</v>
      </c>
      <c r="Y8" s="6">
        <f ca="1">('TUSD BE'!$AM$5+'TUSD BF'!$AM$5+'TUSD CVA'!$AM$5)*1</f>
        <v>11.740652626592427</v>
      </c>
      <c r="Z8" s="6"/>
      <c r="AA8" s="6"/>
      <c r="AB8" s="6">
        <f>$K$8*$V$8</f>
        <v>15145.5</v>
      </c>
      <c r="AC8" s="6">
        <f>$M$8*$W$8</f>
        <v>0</v>
      </c>
      <c r="AD8" s="6">
        <f>$O$8*$X$8</f>
        <v>0</v>
      </c>
      <c r="AE8" s="6">
        <f ca="1">$K$8*$Y$8</f>
        <v>13501.75052058129</v>
      </c>
      <c r="AF8" s="6">
        <f>$M$8*$Z$8</f>
        <v>0</v>
      </c>
      <c r="AG8" s="6">
        <f>$O$8*$AA$8</f>
        <v>0</v>
      </c>
      <c r="AI8" s="91" t="s">
        <v>707</v>
      </c>
      <c r="AJ8" s="92">
        <f>+$AJ$2+$AJ$3</f>
        <v>15316306.055040145</v>
      </c>
      <c r="AK8" s="92">
        <f ca="1">+$AK$2+$AK$3</f>
        <v>14203380.258080646</v>
      </c>
      <c r="AL8" s="93">
        <f t="shared" ca="1" si="2"/>
        <v>-7.2662807400173834E-2</v>
      </c>
      <c r="AN8" s="91" t="s">
        <v>707</v>
      </c>
      <c r="AO8" s="92">
        <f>+$AO$2+$AO$3</f>
        <v>7482968.7324642017</v>
      </c>
      <c r="AP8" s="92">
        <f>+$AP$2+$AP$3</f>
        <v>6724441.9122319408</v>
      </c>
      <c r="AQ8" s="93">
        <f t="shared" si="5"/>
        <v>-0.10136709738495353</v>
      </c>
      <c r="AS8" s="91" t="s">
        <v>707</v>
      </c>
      <c r="AT8" s="92">
        <f>+$AT$2+$AT$3</f>
        <v>22799274.787504345</v>
      </c>
      <c r="AU8" s="92">
        <f ca="1">+$AU$2+$AU$3</f>
        <v>20927822.170312591</v>
      </c>
      <c r="AV8" s="93">
        <f t="shared" ca="1" si="8"/>
        <v>-8.2083866027942487E-2</v>
      </c>
    </row>
    <row r="9" spans="1:48" ht="11.25" customHeight="1" x14ac:dyDescent="0.25">
      <c r="A9" s="4" t="s">
        <v>21</v>
      </c>
      <c r="B9" s="4" t="s">
        <v>62</v>
      </c>
      <c r="C9" s="4" t="s">
        <v>59</v>
      </c>
      <c r="D9" s="4" t="s">
        <v>25</v>
      </c>
      <c r="E9" s="4" t="s">
        <v>25</v>
      </c>
      <c r="F9" s="4" t="s">
        <v>25</v>
      </c>
      <c r="G9" s="4" t="s">
        <v>63</v>
      </c>
      <c r="H9" s="4" t="s">
        <v>25</v>
      </c>
      <c r="I9" s="5">
        <v>44593</v>
      </c>
      <c r="J9" s="6">
        <v>2300</v>
      </c>
      <c r="K9" s="6">
        <v>1150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61</v>
      </c>
      <c r="R9" s="4">
        <v>1433</v>
      </c>
      <c r="S9" s="6">
        <v>29</v>
      </c>
      <c r="T9" s="6">
        <v>0</v>
      </c>
      <c r="U9" s="6">
        <v>0</v>
      </c>
      <c r="V9" s="6">
        <f>IF(ISERROR(VLOOKUP($S$9,'TAR FIN'!$A$1:$O$86,15,0)),0,VLOOKUP($S$9,'TAR FIN'!$A$1:$O$86,15,0))</f>
        <v>13.17</v>
      </c>
      <c r="W9" s="6">
        <f>IF(ISERROR(VLOOKUP($T$9,'TAR FIN'!$A$1:$O$86,15,0)),0,VLOOKUP($T$9,'TAR FIN'!$A$1:$O$86,15,0))</f>
        <v>0</v>
      </c>
      <c r="X9" s="6">
        <f>IF(ISERROR(VLOOKUP($U$9,'TAR FIN'!$A$1:$O$86,15,0)),0,VLOOKUP($U$9,'TAR FIN'!$A$1:$O$86,15,0))</f>
        <v>0</v>
      </c>
      <c r="Y9" s="6">
        <f ca="1">('TUSD BE'!$AM$5+'TUSD BF'!$AM$5+'TUSD CVA'!$AM$5)*1</f>
        <v>11.740652626592427</v>
      </c>
      <c r="Z9" s="6"/>
      <c r="AA9" s="6"/>
      <c r="AB9" s="6">
        <f>$K$9*$V$9</f>
        <v>15145.5</v>
      </c>
      <c r="AC9" s="6">
        <f>$M$9*$W$9</f>
        <v>0</v>
      </c>
      <c r="AD9" s="6">
        <f>$O$9*$X$9</f>
        <v>0</v>
      </c>
      <c r="AE9" s="6">
        <f ca="1">$K$9*$Y$9</f>
        <v>13501.75052058129</v>
      </c>
      <c r="AF9" s="6">
        <f>$M$9*$Z$9</f>
        <v>0</v>
      </c>
      <c r="AG9" s="6">
        <f>$O$9*$AA$9</f>
        <v>0</v>
      </c>
      <c r="AI9" s="91" t="s">
        <v>90</v>
      </c>
      <c r="AJ9" s="92">
        <f>+$AJ$4+$AJ$5+$AJ$6+$AJ$7</f>
        <v>35603533.121459991</v>
      </c>
      <c r="AK9" s="92">
        <f ca="1">+$AK$4+$AK$5+$AK$6+$AK$7</f>
        <v>36569438.675782159</v>
      </c>
      <c r="AL9" s="93">
        <f t="shared" ca="1" si="2"/>
        <v>2.7129486026766569E-2</v>
      </c>
      <c r="AN9" s="91" t="s">
        <v>90</v>
      </c>
      <c r="AO9" s="92">
        <f>+$AO$4+$AO$5+$AO$6+$AO$7</f>
        <v>28398695.269238394</v>
      </c>
      <c r="AP9" s="92">
        <f>+$AP$4+$AP$5+$AP$6+$AP$7</f>
        <v>25625011.005487524</v>
      </c>
      <c r="AQ9" s="93">
        <f t="shared" si="5"/>
        <v>-9.7669425917441322E-2</v>
      </c>
      <c r="AS9" s="91" t="s">
        <v>90</v>
      </c>
      <c r="AT9" s="92">
        <f>+$AT$4+$AT$5+$AT$6+$AT$7</f>
        <v>64002228.390698396</v>
      </c>
      <c r="AU9" s="92">
        <f ca="1">+$AU$4+$AU$5+$AU$6+$AU$7</f>
        <v>62194449.681269675</v>
      </c>
      <c r="AV9" s="93">
        <f t="shared" ca="1" si="8"/>
        <v>-2.8245558863876252E-2</v>
      </c>
    </row>
    <row r="10" spans="1:48" ht="11.25" customHeight="1" x14ac:dyDescent="0.25">
      <c r="A10" s="4" t="s">
        <v>21</v>
      </c>
      <c r="B10" s="4" t="s">
        <v>62</v>
      </c>
      <c r="C10" s="4" t="s">
        <v>59</v>
      </c>
      <c r="D10" s="4" t="s">
        <v>25</v>
      </c>
      <c r="E10" s="4" t="s">
        <v>25</v>
      </c>
      <c r="F10" s="4" t="s">
        <v>25</v>
      </c>
      <c r="G10" s="4" t="s">
        <v>63</v>
      </c>
      <c r="H10" s="4" t="s">
        <v>25</v>
      </c>
      <c r="I10" s="5">
        <v>44621</v>
      </c>
      <c r="J10" s="6">
        <v>2300</v>
      </c>
      <c r="K10" s="6">
        <v>1150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61</v>
      </c>
      <c r="R10" s="4">
        <v>1433</v>
      </c>
      <c r="S10" s="6">
        <v>29</v>
      </c>
      <c r="T10" s="6">
        <v>0</v>
      </c>
      <c r="U10" s="6">
        <v>0</v>
      </c>
      <c r="V10" s="6">
        <f>IF(ISERROR(VLOOKUP($S$10,'TAR FIN'!$A$1:$O$86,15,0)),0,VLOOKUP($S$10,'TAR FIN'!$A$1:$O$86,15,0))</f>
        <v>13.17</v>
      </c>
      <c r="W10" s="6">
        <f>IF(ISERROR(VLOOKUP($T$10,'TAR FIN'!$A$1:$O$86,15,0)),0,VLOOKUP($T$10,'TAR FIN'!$A$1:$O$86,15,0))</f>
        <v>0</v>
      </c>
      <c r="X10" s="6">
        <f>IF(ISERROR(VLOOKUP($U$10,'TAR FIN'!$A$1:$O$86,15,0)),0,VLOOKUP($U$10,'TAR FIN'!$A$1:$O$86,15,0))</f>
        <v>0</v>
      </c>
      <c r="Y10" s="6">
        <f ca="1">('TUSD BE'!$AM$5+'TUSD BF'!$AM$5+'TUSD CVA'!$AM$5)*1</f>
        <v>11.740652626592427</v>
      </c>
      <c r="Z10" s="6"/>
      <c r="AA10" s="6"/>
      <c r="AB10" s="6">
        <f>$K$10*$V$10</f>
        <v>15145.5</v>
      </c>
      <c r="AC10" s="6">
        <f>$M$10*$W$10</f>
        <v>0</v>
      </c>
      <c r="AD10" s="6">
        <f>$O$10*$X$10</f>
        <v>0</v>
      </c>
      <c r="AE10" s="6">
        <f ca="1">$K$10*$Y$10</f>
        <v>13501.75052058129</v>
      </c>
      <c r="AF10" s="6">
        <f>$M$10*$Z$10</f>
        <v>0</v>
      </c>
      <c r="AG10" s="6">
        <f>$O$10*$AA$10</f>
        <v>0</v>
      </c>
      <c r="AI10" s="91" t="s">
        <v>708</v>
      </c>
      <c r="AJ10" s="92">
        <f>AJ9+AJ8</f>
        <v>50919839.176500134</v>
      </c>
      <c r="AK10" s="92">
        <f ca="1">AK9+AK8</f>
        <v>50772818.933862805</v>
      </c>
      <c r="AL10" s="93">
        <f t="shared" ca="1" si="2"/>
        <v>-2.8872880396916267E-3</v>
      </c>
      <c r="AN10" s="91" t="s">
        <v>708</v>
      </c>
      <c r="AO10" s="92">
        <f>AO9+AO8</f>
        <v>35881664.001702592</v>
      </c>
      <c r="AP10" s="92">
        <f>AP9+AP8</f>
        <v>32349452.917719465</v>
      </c>
      <c r="AQ10" s="93">
        <f t="shared" si="5"/>
        <v>-9.8440559607701705E-2</v>
      </c>
      <c r="AS10" s="91" t="s">
        <v>708</v>
      </c>
      <c r="AT10" s="92">
        <f>AT9+AT8</f>
        <v>86801503.178202748</v>
      </c>
      <c r="AU10" s="92">
        <f ca="1">AU9+AU8</f>
        <v>83122271.851582259</v>
      </c>
      <c r="AV10" s="93">
        <f t="shared" ca="1" si="8"/>
        <v>-4.2386723638495716E-2</v>
      </c>
    </row>
    <row r="11" spans="1:48" ht="11.25" customHeight="1" x14ac:dyDescent="0.25">
      <c r="A11" s="4" t="s">
        <v>21</v>
      </c>
      <c r="B11" s="4" t="s">
        <v>62</v>
      </c>
      <c r="C11" s="4" t="s">
        <v>59</v>
      </c>
      <c r="D11" s="4" t="s">
        <v>25</v>
      </c>
      <c r="E11" s="4" t="s">
        <v>25</v>
      </c>
      <c r="F11" s="4" t="s">
        <v>25</v>
      </c>
      <c r="G11" s="4" t="s">
        <v>63</v>
      </c>
      <c r="H11" s="4" t="s">
        <v>25</v>
      </c>
      <c r="I11" s="5">
        <v>44652</v>
      </c>
      <c r="J11" s="6">
        <v>2300</v>
      </c>
      <c r="K11" s="6">
        <v>1150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61</v>
      </c>
      <c r="R11" s="4">
        <v>1433</v>
      </c>
      <c r="S11" s="6">
        <v>29</v>
      </c>
      <c r="T11" s="6">
        <v>0</v>
      </c>
      <c r="U11" s="6">
        <v>0</v>
      </c>
      <c r="V11" s="6">
        <f>IF(ISERROR(VLOOKUP($S$11,'TAR FIN'!$A$1:$O$86,15,0)),0,VLOOKUP($S$11,'TAR FIN'!$A$1:$O$86,15,0))</f>
        <v>13.17</v>
      </c>
      <c r="W11" s="6">
        <f>IF(ISERROR(VLOOKUP($T$11,'TAR FIN'!$A$1:$O$86,15,0)),0,VLOOKUP($T$11,'TAR FIN'!$A$1:$O$86,15,0))</f>
        <v>0</v>
      </c>
      <c r="X11" s="6">
        <f>IF(ISERROR(VLOOKUP($U$11,'TAR FIN'!$A$1:$O$86,15,0)),0,VLOOKUP($U$11,'TAR FIN'!$A$1:$O$86,15,0))</f>
        <v>0</v>
      </c>
      <c r="Y11" s="6">
        <f ca="1">('TUSD BE'!$AM$5+'TUSD BF'!$AM$5+'TUSD CVA'!$AM$5)*1</f>
        <v>11.740652626592427</v>
      </c>
      <c r="Z11" s="6"/>
      <c r="AA11" s="6"/>
      <c r="AB11" s="6">
        <f>$K$11*$V$11</f>
        <v>15145.5</v>
      </c>
      <c r="AC11" s="6">
        <f>$M$11*$W$11</f>
        <v>0</v>
      </c>
      <c r="AD11" s="6">
        <f>$O$11*$X$11</f>
        <v>0</v>
      </c>
      <c r="AE11" s="6">
        <f ca="1">$K$11*$Y$11</f>
        <v>13501.75052058129</v>
      </c>
      <c r="AF11" s="6">
        <f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62</v>
      </c>
      <c r="C12" s="4" t="s">
        <v>59</v>
      </c>
      <c r="D12" s="4" t="s">
        <v>25</v>
      </c>
      <c r="E12" s="4" t="s">
        <v>25</v>
      </c>
      <c r="F12" s="4" t="s">
        <v>25</v>
      </c>
      <c r="G12" s="4" t="s">
        <v>63</v>
      </c>
      <c r="H12" s="4" t="s">
        <v>25</v>
      </c>
      <c r="I12" s="5">
        <v>44682</v>
      </c>
      <c r="J12" s="6">
        <v>2300</v>
      </c>
      <c r="K12" s="6">
        <v>1150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61</v>
      </c>
      <c r="R12" s="4">
        <v>1433</v>
      </c>
      <c r="S12" s="6">
        <v>29</v>
      </c>
      <c r="T12" s="6">
        <v>0</v>
      </c>
      <c r="U12" s="6">
        <v>0</v>
      </c>
      <c r="V12" s="6">
        <f>IF(ISERROR(VLOOKUP($S$12,'TAR FIN'!$A$1:$O$86,15,0)),0,VLOOKUP($S$12,'TAR FIN'!$A$1:$O$86,15,0))</f>
        <v>13.17</v>
      </c>
      <c r="W12" s="6">
        <f>IF(ISERROR(VLOOKUP($T$12,'TAR FIN'!$A$1:$O$86,15,0)),0,VLOOKUP($T$12,'TAR FIN'!$A$1:$O$86,15,0))</f>
        <v>0</v>
      </c>
      <c r="X12" s="6">
        <f>IF(ISERROR(VLOOKUP($U$12,'TAR FIN'!$A$1:$O$86,15,0)),0,VLOOKUP($U$12,'TAR FIN'!$A$1:$O$86,15,0))</f>
        <v>0</v>
      </c>
      <c r="Y12" s="6">
        <f ca="1">('TUSD BE'!$AM$5+'TUSD BF'!$AM$5+'TUSD CVA'!$AM$5)*1</f>
        <v>11.740652626592427</v>
      </c>
      <c r="Z12" s="6"/>
      <c r="AA12" s="6"/>
      <c r="AB12" s="6">
        <f>$K$12*$V$12</f>
        <v>15145.5</v>
      </c>
      <c r="AC12" s="6">
        <f>$M$12*$W$12</f>
        <v>0</v>
      </c>
      <c r="AD12" s="6">
        <f>$O$12*$X$12</f>
        <v>0</v>
      </c>
      <c r="AE12" s="6">
        <f ca="1">$K$12*$Y$12</f>
        <v>13501.75052058129</v>
      </c>
      <c r="AF12" s="6">
        <f>$M$12*$Z$12</f>
        <v>0</v>
      </c>
      <c r="AG12" s="6">
        <f>$O$12*$AA$12</f>
        <v>0</v>
      </c>
    </row>
    <row r="13" spans="1:48" ht="11.25" customHeight="1" x14ac:dyDescent="0.25">
      <c r="A13" s="4" t="s">
        <v>56</v>
      </c>
      <c r="B13" s="4" t="s">
        <v>62</v>
      </c>
      <c r="C13" s="4" t="s">
        <v>59</v>
      </c>
      <c r="D13" s="4" t="s">
        <v>25</v>
      </c>
      <c r="E13" s="4" t="s">
        <v>25</v>
      </c>
      <c r="F13" s="4" t="s">
        <v>25</v>
      </c>
      <c r="G13" s="4" t="s">
        <v>63</v>
      </c>
      <c r="H13" s="4" t="s">
        <v>25</v>
      </c>
      <c r="I13" s="5">
        <v>44713</v>
      </c>
      <c r="J13" s="6">
        <v>2300</v>
      </c>
      <c r="K13" s="6">
        <v>1150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61</v>
      </c>
      <c r="R13" s="4">
        <v>1433</v>
      </c>
      <c r="S13" s="6">
        <v>29</v>
      </c>
      <c r="T13" s="6">
        <v>0</v>
      </c>
      <c r="U13" s="6">
        <v>0</v>
      </c>
      <c r="V13" s="6">
        <f>IF(ISERROR(VLOOKUP($S$13,'TAR FIN'!$A$1:$O$86,15,0)),0,VLOOKUP($S$13,'TAR FIN'!$A$1:$O$86,15,0))</f>
        <v>13.17</v>
      </c>
      <c r="W13" s="6">
        <f>IF(ISERROR(VLOOKUP($T$13,'TAR FIN'!$A$1:$O$86,15,0)),0,VLOOKUP($T$13,'TAR FIN'!$A$1:$O$86,15,0))</f>
        <v>0</v>
      </c>
      <c r="X13" s="6">
        <f>IF(ISERROR(VLOOKUP($U$13,'TAR FIN'!$A$1:$O$86,15,0)),0,VLOOKUP($U$13,'TAR FIN'!$A$1:$O$86,15,0))</f>
        <v>0</v>
      </c>
      <c r="Y13" s="6">
        <f ca="1">('TUSD BE'!$AM$5+'TUSD BF'!$AM$5+'TUSD CVA'!$AM$5)*1</f>
        <v>11.740652626592427</v>
      </c>
      <c r="Z13" s="6"/>
      <c r="AA13" s="6"/>
      <c r="AB13" s="6">
        <f>$K$13*$V$13</f>
        <v>15145.5</v>
      </c>
      <c r="AC13" s="6">
        <f>$M$13*$W$13</f>
        <v>0</v>
      </c>
      <c r="AD13" s="6">
        <f>$O$13*$X$13</f>
        <v>0</v>
      </c>
      <c r="AE13" s="6">
        <f ca="1">$K$13*$Y$13</f>
        <v>13501.75052058129</v>
      </c>
      <c r="AF13" s="6">
        <f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38</v>
      </c>
      <c r="C14" s="4" t="s">
        <v>39</v>
      </c>
      <c r="D14" s="4" t="s">
        <v>41</v>
      </c>
      <c r="E14" s="4" t="s">
        <v>25</v>
      </c>
      <c r="F14" s="4" t="s">
        <v>25</v>
      </c>
      <c r="G14" s="4" t="s">
        <v>25</v>
      </c>
      <c r="H14" s="4" t="s">
        <v>34</v>
      </c>
      <c r="I14" s="5">
        <v>44378</v>
      </c>
      <c r="J14" s="6">
        <v>88</v>
      </c>
      <c r="K14" s="6">
        <v>88</v>
      </c>
      <c r="L14" s="6">
        <v>8.8919999999999995</v>
      </c>
      <c r="M14" s="6">
        <v>8.8919999999999995</v>
      </c>
      <c r="N14" s="6">
        <v>8.8919999999999995</v>
      </c>
      <c r="O14" s="6">
        <v>8.8919999999999995</v>
      </c>
      <c r="P14" s="6">
        <v>0</v>
      </c>
      <c r="Q14" s="4" t="s">
        <v>26</v>
      </c>
      <c r="R14" s="4">
        <v>0</v>
      </c>
      <c r="S14" s="6">
        <v>22</v>
      </c>
      <c r="T14" s="6">
        <v>7</v>
      </c>
      <c r="U14" s="6">
        <v>42</v>
      </c>
      <c r="V14" s="6">
        <f>IF(ISERROR(VLOOKUP($S$14,'TAR FIN'!$A$1:$O$86,15,0)),0,VLOOKUP($S$14,'TAR FIN'!$A$1:$O$86,15,0))</f>
        <v>19.239999999999998</v>
      </c>
      <c r="W14" s="6">
        <f>IF(ISERROR(VLOOKUP($T$14,'TAR FIN'!$A$1:$O$86,15,0)),0,VLOOKUP($T$14,'TAR FIN'!$A$1:$O$86,15,0))</f>
        <v>78.680000000000007</v>
      </c>
      <c r="X14" s="6">
        <f>IF(ISERROR(VLOOKUP($U$14,'TAR FIN'!$A$1:$O$86,15,0)),0,VLOOKUP($U$14,'TAR FIN'!$A$1:$O$86,15,0))</f>
        <v>246.3</v>
      </c>
      <c r="Y14" s="6">
        <f ca="1">('TUSD BE'!$AM$7+'TUSD BF'!$AM$7+'TUSD CVA'!$AM$7)*1</f>
        <v>15.19295792072058</v>
      </c>
      <c r="Z14" s="6">
        <f ca="1">('TUSD BE'!$AM$8+'TUSD BF'!$AM$8+'TUSD CVA'!$AM$8)*1</f>
        <v>100.23755694003805</v>
      </c>
      <c r="AA14" s="6">
        <f>('TE BE'!$AB$6+'TE BF'!$AB$6+'TE CVA'!$AB$6)*1</f>
        <v>219.40364509824883</v>
      </c>
      <c r="AB14" s="6">
        <f>$K$14*$V$14</f>
        <v>1693.12</v>
      </c>
      <c r="AC14" s="6">
        <f>$M$14*$W$14</f>
        <v>699.62256000000002</v>
      </c>
      <c r="AD14" s="6">
        <f>$O$14*$X$14</f>
        <v>2190.0996</v>
      </c>
      <c r="AE14" s="6">
        <f ca="1">$K$14*$Y$14</f>
        <v>1336.9802970234111</v>
      </c>
      <c r="AF14" s="6">
        <f ca="1">$M$14*$Z$14</f>
        <v>891.31235631081825</v>
      </c>
      <c r="AG14" s="6">
        <f>$O$14*$AA$14</f>
        <v>1950.9372122136285</v>
      </c>
    </row>
    <row r="15" spans="1:48" ht="11.25" customHeight="1" x14ac:dyDescent="0.25">
      <c r="A15" s="4" t="s">
        <v>21</v>
      </c>
      <c r="B15" s="4" t="s">
        <v>38</v>
      </c>
      <c r="C15" s="4" t="s">
        <v>39</v>
      </c>
      <c r="D15" s="4" t="s">
        <v>41</v>
      </c>
      <c r="E15" s="4" t="s">
        <v>25</v>
      </c>
      <c r="F15" s="4" t="s">
        <v>25</v>
      </c>
      <c r="G15" s="4" t="s">
        <v>25</v>
      </c>
      <c r="H15" s="4" t="s">
        <v>34</v>
      </c>
      <c r="I15" s="5">
        <v>44409</v>
      </c>
      <c r="J15" s="6">
        <v>88</v>
      </c>
      <c r="K15" s="6">
        <v>88</v>
      </c>
      <c r="L15" s="6">
        <v>7.0890000000000004</v>
      </c>
      <c r="M15" s="6">
        <v>7.0890000000000004</v>
      </c>
      <c r="N15" s="6">
        <v>7.0890000000000004</v>
      </c>
      <c r="O15" s="6">
        <v>7.0890000000000004</v>
      </c>
      <c r="P15" s="6">
        <v>0</v>
      </c>
      <c r="Q15" s="4" t="s">
        <v>26</v>
      </c>
      <c r="R15" s="4">
        <v>0</v>
      </c>
      <c r="S15" s="6">
        <v>22</v>
      </c>
      <c r="T15" s="6">
        <v>7</v>
      </c>
      <c r="U15" s="6">
        <v>42</v>
      </c>
      <c r="V15" s="6">
        <f>IF(ISERROR(VLOOKUP($S$15,'TAR FIN'!$A$1:$O$86,15,0)),0,VLOOKUP($S$15,'TAR FIN'!$A$1:$O$86,15,0))</f>
        <v>19.239999999999998</v>
      </c>
      <c r="W15" s="6">
        <f>IF(ISERROR(VLOOKUP($T$15,'TAR FIN'!$A$1:$O$86,15,0)),0,VLOOKUP($T$15,'TAR FIN'!$A$1:$O$86,15,0))</f>
        <v>78.680000000000007</v>
      </c>
      <c r="X15" s="6">
        <f>IF(ISERROR(VLOOKUP($U$15,'TAR FIN'!$A$1:$O$86,15,0)),0,VLOOKUP($U$15,'TAR FIN'!$A$1:$O$86,15,0))</f>
        <v>246.3</v>
      </c>
      <c r="Y15" s="6">
        <f ca="1">('TUSD BE'!$AM$7+'TUSD BF'!$AM$7+'TUSD CVA'!$AM$7)*1</f>
        <v>15.19295792072058</v>
      </c>
      <c r="Z15" s="6">
        <f ca="1">('TUSD BE'!$AM$8+'TUSD BF'!$AM$8+'TUSD CVA'!$AM$8)*1</f>
        <v>100.23755694003805</v>
      </c>
      <c r="AA15" s="6">
        <f>('TE BE'!$AB$6+'TE BF'!$AB$6+'TE CVA'!$AB$6)*1</f>
        <v>219.40364509824883</v>
      </c>
      <c r="AB15" s="6">
        <f>$K$15*$V$15</f>
        <v>1693.12</v>
      </c>
      <c r="AC15" s="6">
        <f>$M$15*$W$15</f>
        <v>557.76252000000011</v>
      </c>
      <c r="AD15" s="6">
        <f>$O$15*$X$15</f>
        <v>1746.0207000000003</v>
      </c>
      <c r="AE15" s="6">
        <f ca="1">$K$15*$Y$15</f>
        <v>1336.9802970234111</v>
      </c>
      <c r="AF15" s="6">
        <f ca="1">$M$15*$Z$15</f>
        <v>710.58404114792972</v>
      </c>
      <c r="AG15" s="6">
        <f>$O$15*$AA$15</f>
        <v>1555.3524401014861</v>
      </c>
    </row>
    <row r="16" spans="1:48" ht="11.25" customHeight="1" x14ac:dyDescent="0.25">
      <c r="A16" s="4" t="s">
        <v>21</v>
      </c>
      <c r="B16" s="4" t="s">
        <v>38</v>
      </c>
      <c r="C16" s="4" t="s">
        <v>39</v>
      </c>
      <c r="D16" s="4" t="s">
        <v>41</v>
      </c>
      <c r="E16" s="4" t="s">
        <v>25</v>
      </c>
      <c r="F16" s="4" t="s">
        <v>25</v>
      </c>
      <c r="G16" s="4" t="s">
        <v>25</v>
      </c>
      <c r="H16" s="4" t="s">
        <v>34</v>
      </c>
      <c r="I16" s="5">
        <v>44440</v>
      </c>
      <c r="J16" s="6">
        <v>88</v>
      </c>
      <c r="K16" s="6">
        <v>88</v>
      </c>
      <c r="L16" s="6">
        <v>6.3319999999999999</v>
      </c>
      <c r="M16" s="6">
        <v>6.3319999999999999</v>
      </c>
      <c r="N16" s="6">
        <v>6.3319999999999999</v>
      </c>
      <c r="O16" s="6">
        <v>6.3319999999999999</v>
      </c>
      <c r="P16" s="6">
        <v>0</v>
      </c>
      <c r="Q16" s="4" t="s">
        <v>26</v>
      </c>
      <c r="R16" s="4">
        <v>0</v>
      </c>
      <c r="S16" s="6">
        <v>22</v>
      </c>
      <c r="T16" s="6">
        <v>7</v>
      </c>
      <c r="U16" s="6">
        <v>42</v>
      </c>
      <c r="V16" s="6">
        <f>IF(ISERROR(VLOOKUP($S$16,'TAR FIN'!$A$1:$O$86,15,0)),0,VLOOKUP($S$16,'TAR FIN'!$A$1:$O$86,15,0))</f>
        <v>19.239999999999998</v>
      </c>
      <c r="W16" s="6">
        <f>IF(ISERROR(VLOOKUP($T$16,'TAR FIN'!$A$1:$O$86,15,0)),0,VLOOKUP($T$16,'TAR FIN'!$A$1:$O$86,15,0))</f>
        <v>78.680000000000007</v>
      </c>
      <c r="X16" s="6">
        <f>IF(ISERROR(VLOOKUP($U$16,'TAR FIN'!$A$1:$O$86,15,0)),0,VLOOKUP($U$16,'TAR FIN'!$A$1:$O$86,15,0))</f>
        <v>246.3</v>
      </c>
      <c r="Y16" s="6">
        <f ca="1">('TUSD BE'!$AM$7+'TUSD BF'!$AM$7+'TUSD CVA'!$AM$7)*1</f>
        <v>15.19295792072058</v>
      </c>
      <c r="Z16" s="6">
        <f ca="1">('TUSD BE'!$AM$8+'TUSD BF'!$AM$8+'TUSD CVA'!$AM$8)*1</f>
        <v>100.23755694003805</v>
      </c>
      <c r="AA16" s="6">
        <f>('TE BE'!$AB$6+'TE BF'!$AB$6+'TE CVA'!$AB$6)*1</f>
        <v>219.40364509824883</v>
      </c>
      <c r="AB16" s="6">
        <f>$K$16*$V$16</f>
        <v>1693.12</v>
      </c>
      <c r="AC16" s="6">
        <f>$M$16*$W$16</f>
        <v>498.20176000000004</v>
      </c>
      <c r="AD16" s="6">
        <f>$O$16*$X$16</f>
        <v>1559.5716</v>
      </c>
      <c r="AE16" s="6">
        <f ca="1">$K$16*$Y$16</f>
        <v>1336.9802970234111</v>
      </c>
      <c r="AF16" s="6">
        <f ca="1">$M$16*$Z$16</f>
        <v>634.70421054432086</v>
      </c>
      <c r="AG16" s="6">
        <f>$O$16*$AA$16</f>
        <v>1389.2638807621115</v>
      </c>
    </row>
    <row r="17" spans="1:33" ht="11.25" customHeight="1" x14ac:dyDescent="0.25">
      <c r="A17" s="4" t="s">
        <v>21</v>
      </c>
      <c r="B17" s="4" t="s">
        <v>38</v>
      </c>
      <c r="C17" s="4" t="s">
        <v>39</v>
      </c>
      <c r="D17" s="4" t="s">
        <v>41</v>
      </c>
      <c r="E17" s="4" t="s">
        <v>25</v>
      </c>
      <c r="F17" s="4" t="s">
        <v>25</v>
      </c>
      <c r="G17" s="4" t="s">
        <v>25</v>
      </c>
      <c r="H17" s="4" t="s">
        <v>34</v>
      </c>
      <c r="I17" s="5">
        <v>44470</v>
      </c>
      <c r="J17" s="6">
        <v>88</v>
      </c>
      <c r="K17" s="6">
        <v>88</v>
      </c>
      <c r="L17" s="6">
        <v>6.67</v>
      </c>
      <c r="M17" s="6">
        <v>6.67</v>
      </c>
      <c r="N17" s="6">
        <v>6.67</v>
      </c>
      <c r="O17" s="6">
        <v>6.67</v>
      </c>
      <c r="P17" s="6">
        <v>0</v>
      </c>
      <c r="Q17" s="4" t="s">
        <v>26</v>
      </c>
      <c r="R17" s="4">
        <v>0</v>
      </c>
      <c r="S17" s="6">
        <v>22</v>
      </c>
      <c r="T17" s="6">
        <v>7</v>
      </c>
      <c r="U17" s="6">
        <v>42</v>
      </c>
      <c r="V17" s="6">
        <f>IF(ISERROR(VLOOKUP($S$17,'TAR FIN'!$A$1:$O$86,15,0)),0,VLOOKUP($S$17,'TAR FIN'!$A$1:$O$86,15,0))</f>
        <v>19.239999999999998</v>
      </c>
      <c r="W17" s="6">
        <f>IF(ISERROR(VLOOKUP($T$17,'TAR FIN'!$A$1:$O$86,15,0)),0,VLOOKUP($T$17,'TAR FIN'!$A$1:$O$86,15,0))</f>
        <v>78.680000000000007</v>
      </c>
      <c r="X17" s="6">
        <f>IF(ISERROR(VLOOKUP($U$17,'TAR FIN'!$A$1:$O$86,15,0)),0,VLOOKUP($U$17,'TAR FIN'!$A$1:$O$86,15,0))</f>
        <v>246.3</v>
      </c>
      <c r="Y17" s="6">
        <f ca="1">('TUSD BE'!$AM$7+'TUSD BF'!$AM$7+'TUSD CVA'!$AM$7)*1</f>
        <v>15.19295792072058</v>
      </c>
      <c r="Z17" s="6">
        <f ca="1">('TUSD BE'!$AM$8+'TUSD BF'!$AM$8+'TUSD CVA'!$AM$8)*1</f>
        <v>100.23755694003805</v>
      </c>
      <c r="AA17" s="6">
        <f>('TE BE'!$AB$6+'TE BF'!$AB$6+'TE CVA'!$AB$6)*1</f>
        <v>219.40364509824883</v>
      </c>
      <c r="AB17" s="6">
        <f>$K$17*$V$17</f>
        <v>1693.12</v>
      </c>
      <c r="AC17" s="6">
        <f>$M$17*$W$17</f>
        <v>524.79560000000004</v>
      </c>
      <c r="AD17" s="6">
        <f>$O$17*$X$17</f>
        <v>1642.8210000000001</v>
      </c>
      <c r="AE17" s="6">
        <f ca="1">$K$17*$Y$17</f>
        <v>1336.9802970234111</v>
      </c>
      <c r="AF17" s="6">
        <f ca="1">$M$17*$Z$17</f>
        <v>668.58450479005376</v>
      </c>
      <c r="AG17" s="6">
        <f>$O$17*$AA$17</f>
        <v>1463.4223128053197</v>
      </c>
    </row>
    <row r="18" spans="1:33" ht="11.25" customHeight="1" x14ac:dyDescent="0.25">
      <c r="A18" s="4" t="s">
        <v>21</v>
      </c>
      <c r="B18" s="4" t="s">
        <v>38</v>
      </c>
      <c r="C18" s="4" t="s">
        <v>39</v>
      </c>
      <c r="D18" s="4" t="s">
        <v>41</v>
      </c>
      <c r="E18" s="4" t="s">
        <v>25</v>
      </c>
      <c r="F18" s="4" t="s">
        <v>25</v>
      </c>
      <c r="G18" s="4" t="s">
        <v>25</v>
      </c>
      <c r="H18" s="4" t="s">
        <v>34</v>
      </c>
      <c r="I18" s="5">
        <v>44501</v>
      </c>
      <c r="J18" s="6">
        <v>88</v>
      </c>
      <c r="K18" s="6">
        <v>88</v>
      </c>
      <c r="L18" s="6">
        <v>10.019</v>
      </c>
      <c r="M18" s="6">
        <v>10.019</v>
      </c>
      <c r="N18" s="6">
        <v>10.019</v>
      </c>
      <c r="O18" s="6">
        <v>10.019</v>
      </c>
      <c r="P18" s="6">
        <v>0</v>
      </c>
      <c r="Q18" s="4" t="s">
        <v>26</v>
      </c>
      <c r="R18" s="4">
        <v>0</v>
      </c>
      <c r="S18" s="6">
        <v>22</v>
      </c>
      <c r="T18" s="6">
        <v>7</v>
      </c>
      <c r="U18" s="6">
        <v>42</v>
      </c>
      <c r="V18" s="6">
        <f>IF(ISERROR(VLOOKUP($S$18,'TAR FIN'!$A$1:$O$86,15,0)),0,VLOOKUP($S$18,'TAR FIN'!$A$1:$O$86,15,0))</f>
        <v>19.239999999999998</v>
      </c>
      <c r="W18" s="6">
        <f>IF(ISERROR(VLOOKUP($T$18,'TAR FIN'!$A$1:$O$86,15,0)),0,VLOOKUP($T$18,'TAR FIN'!$A$1:$O$86,15,0))</f>
        <v>78.680000000000007</v>
      </c>
      <c r="X18" s="6">
        <f>IF(ISERROR(VLOOKUP($U$18,'TAR FIN'!$A$1:$O$86,15,0)),0,VLOOKUP($U$18,'TAR FIN'!$A$1:$O$86,15,0))</f>
        <v>246.3</v>
      </c>
      <c r="Y18" s="6">
        <f ca="1">('TUSD BE'!$AM$7+'TUSD BF'!$AM$7+'TUSD CVA'!$AM$7)*1</f>
        <v>15.19295792072058</v>
      </c>
      <c r="Z18" s="6">
        <f ca="1">('TUSD BE'!$AM$8+'TUSD BF'!$AM$8+'TUSD CVA'!$AM$8)*1</f>
        <v>100.23755694003805</v>
      </c>
      <c r="AA18" s="6">
        <f>('TE BE'!$AB$6+'TE BF'!$AB$6+'TE CVA'!$AB$6)*1</f>
        <v>219.40364509824883</v>
      </c>
      <c r="AB18" s="6">
        <f>$K$18*$V$18</f>
        <v>1693.12</v>
      </c>
      <c r="AC18" s="6">
        <f>$M$18*$W$18</f>
        <v>788.29492000000005</v>
      </c>
      <c r="AD18" s="6">
        <f>$O$18*$X$18</f>
        <v>2467.6797000000001</v>
      </c>
      <c r="AE18" s="6">
        <f ca="1">$K$18*$Y$18</f>
        <v>1336.9802970234111</v>
      </c>
      <c r="AF18" s="6">
        <f ca="1">$M$18*$Z$18</f>
        <v>1004.2800829822412</v>
      </c>
      <c r="AG18" s="6">
        <f>$O$18*$AA$18</f>
        <v>2198.205120239355</v>
      </c>
    </row>
    <row r="19" spans="1:33" ht="11.25" customHeight="1" x14ac:dyDescent="0.25">
      <c r="A19" s="4" t="s">
        <v>21</v>
      </c>
      <c r="B19" s="4" t="s">
        <v>38</v>
      </c>
      <c r="C19" s="4" t="s">
        <v>39</v>
      </c>
      <c r="D19" s="4" t="s">
        <v>41</v>
      </c>
      <c r="E19" s="4" t="s">
        <v>25</v>
      </c>
      <c r="F19" s="4" t="s">
        <v>25</v>
      </c>
      <c r="G19" s="4" t="s">
        <v>25</v>
      </c>
      <c r="H19" s="4" t="s">
        <v>34</v>
      </c>
      <c r="I19" s="5">
        <v>44531</v>
      </c>
      <c r="J19" s="6">
        <v>88</v>
      </c>
      <c r="K19" s="6">
        <v>88</v>
      </c>
      <c r="L19" s="6">
        <v>12.58</v>
      </c>
      <c r="M19" s="6">
        <v>12.58</v>
      </c>
      <c r="N19" s="6">
        <v>12.58</v>
      </c>
      <c r="O19" s="6">
        <v>12.58</v>
      </c>
      <c r="P19" s="6">
        <v>0</v>
      </c>
      <c r="Q19" s="4" t="s">
        <v>26</v>
      </c>
      <c r="R19" s="4">
        <v>0</v>
      </c>
      <c r="S19" s="6">
        <v>22</v>
      </c>
      <c r="T19" s="6">
        <v>7</v>
      </c>
      <c r="U19" s="6">
        <v>42</v>
      </c>
      <c r="V19" s="6">
        <f>IF(ISERROR(VLOOKUP($S$19,'TAR FIN'!$A$1:$O$86,15,0)),0,VLOOKUP($S$19,'TAR FIN'!$A$1:$O$86,15,0))</f>
        <v>19.239999999999998</v>
      </c>
      <c r="W19" s="6">
        <f>IF(ISERROR(VLOOKUP($T$19,'TAR FIN'!$A$1:$O$86,15,0)),0,VLOOKUP($T$19,'TAR FIN'!$A$1:$O$86,15,0))</f>
        <v>78.680000000000007</v>
      </c>
      <c r="X19" s="6">
        <f>IF(ISERROR(VLOOKUP($U$19,'TAR FIN'!$A$1:$O$86,15,0)),0,VLOOKUP($U$19,'TAR FIN'!$A$1:$O$86,15,0))</f>
        <v>246.3</v>
      </c>
      <c r="Y19" s="6">
        <f ca="1">('TUSD BE'!$AM$7+'TUSD BF'!$AM$7+'TUSD CVA'!$AM$7)*1</f>
        <v>15.19295792072058</v>
      </c>
      <c r="Z19" s="6">
        <f ca="1">('TUSD BE'!$AM$8+'TUSD BF'!$AM$8+'TUSD CVA'!$AM$8)*1</f>
        <v>100.23755694003805</v>
      </c>
      <c r="AA19" s="6">
        <f>('TE BE'!$AB$6+'TE BF'!$AB$6+'TE CVA'!$AB$6)*1</f>
        <v>219.40364509824883</v>
      </c>
      <c r="AB19" s="6">
        <f>$K$19*$V$19</f>
        <v>1693.12</v>
      </c>
      <c r="AC19" s="6">
        <f>$M$19*$W$19</f>
        <v>989.79440000000011</v>
      </c>
      <c r="AD19" s="6">
        <f>$O$19*$X$19</f>
        <v>3098.4540000000002</v>
      </c>
      <c r="AE19" s="6">
        <f ca="1">$K$19*$Y$19</f>
        <v>1336.9802970234111</v>
      </c>
      <c r="AF19" s="6">
        <f ca="1">$M$19*$Z$19</f>
        <v>1260.9884663056787</v>
      </c>
      <c r="AG19" s="6">
        <f>$O$19*$AA$19</f>
        <v>2760.0978553359705</v>
      </c>
    </row>
    <row r="20" spans="1:33" ht="11.25" customHeight="1" x14ac:dyDescent="0.25">
      <c r="A20" s="4" t="s">
        <v>21</v>
      </c>
      <c r="B20" s="4" t="s">
        <v>38</v>
      </c>
      <c r="C20" s="4" t="s">
        <v>39</v>
      </c>
      <c r="D20" s="4" t="s">
        <v>41</v>
      </c>
      <c r="E20" s="4" t="s">
        <v>25</v>
      </c>
      <c r="F20" s="4" t="s">
        <v>25</v>
      </c>
      <c r="G20" s="4" t="s">
        <v>25</v>
      </c>
      <c r="H20" s="4" t="s">
        <v>34</v>
      </c>
      <c r="I20" s="5">
        <v>44562</v>
      </c>
      <c r="J20" s="6">
        <v>89</v>
      </c>
      <c r="K20" s="6">
        <v>89</v>
      </c>
      <c r="L20" s="6">
        <v>14.016</v>
      </c>
      <c r="M20" s="6">
        <v>14.016</v>
      </c>
      <c r="N20" s="6">
        <v>14.016</v>
      </c>
      <c r="O20" s="6">
        <v>14.016</v>
      </c>
      <c r="P20" s="6">
        <v>0</v>
      </c>
      <c r="Q20" s="4" t="s">
        <v>26</v>
      </c>
      <c r="R20" s="4">
        <v>0</v>
      </c>
      <c r="S20" s="6">
        <v>22</v>
      </c>
      <c r="T20" s="6">
        <v>7</v>
      </c>
      <c r="U20" s="6">
        <v>42</v>
      </c>
      <c r="V20" s="6">
        <f>IF(ISERROR(VLOOKUP($S$20,'TAR FIN'!$A$1:$O$86,15,0)),0,VLOOKUP($S$20,'TAR FIN'!$A$1:$O$86,15,0))</f>
        <v>19.239999999999998</v>
      </c>
      <c r="W20" s="6">
        <f>IF(ISERROR(VLOOKUP($T$20,'TAR FIN'!$A$1:$O$86,15,0)),0,VLOOKUP($T$20,'TAR FIN'!$A$1:$O$86,15,0))</f>
        <v>78.680000000000007</v>
      </c>
      <c r="X20" s="6">
        <f>IF(ISERROR(VLOOKUP($U$20,'TAR FIN'!$A$1:$O$86,15,0)),0,VLOOKUP($U$20,'TAR FIN'!$A$1:$O$86,15,0))</f>
        <v>246.3</v>
      </c>
      <c r="Y20" s="6">
        <f ca="1">('TUSD BE'!$AM$7+'TUSD BF'!$AM$7+'TUSD CVA'!$AM$7)*1</f>
        <v>15.19295792072058</v>
      </c>
      <c r="Z20" s="6">
        <f ca="1">('TUSD BE'!$AM$8+'TUSD BF'!$AM$8+'TUSD CVA'!$AM$8)*1</f>
        <v>100.23755694003805</v>
      </c>
      <c r="AA20" s="6">
        <f>('TE BE'!$AB$6+'TE BF'!$AB$6+'TE CVA'!$AB$6)*1</f>
        <v>219.40364509824883</v>
      </c>
      <c r="AB20" s="6">
        <f>$K$20*$V$20</f>
        <v>1712.36</v>
      </c>
      <c r="AC20" s="6">
        <f>$M$20*$W$20</f>
        <v>1102.7788800000001</v>
      </c>
      <c r="AD20" s="6">
        <f>$O$20*$X$20</f>
        <v>3452.1408000000001</v>
      </c>
      <c r="AE20" s="6">
        <f ca="1">$K$20*$Y$20</f>
        <v>1352.1732549441317</v>
      </c>
      <c r="AF20" s="6">
        <f ca="1">$M$20*$Z$20</f>
        <v>1404.9295980715733</v>
      </c>
      <c r="AG20" s="6">
        <f>$O$20*$AA$20</f>
        <v>3075.1614896970555</v>
      </c>
    </row>
    <row r="21" spans="1:33" ht="11.25" customHeight="1" x14ac:dyDescent="0.25">
      <c r="A21" s="4" t="s">
        <v>21</v>
      </c>
      <c r="B21" s="4" t="s">
        <v>38</v>
      </c>
      <c r="C21" s="4" t="s">
        <v>39</v>
      </c>
      <c r="D21" s="4" t="s">
        <v>41</v>
      </c>
      <c r="E21" s="4" t="s">
        <v>25</v>
      </c>
      <c r="F21" s="4" t="s">
        <v>25</v>
      </c>
      <c r="G21" s="4" t="s">
        <v>25</v>
      </c>
      <c r="H21" s="4" t="s">
        <v>34</v>
      </c>
      <c r="I21" s="5">
        <v>44593</v>
      </c>
      <c r="J21" s="6">
        <v>88</v>
      </c>
      <c r="K21" s="6">
        <v>88</v>
      </c>
      <c r="L21" s="6">
        <v>11.776999999999999</v>
      </c>
      <c r="M21" s="6">
        <v>11.776999999999999</v>
      </c>
      <c r="N21" s="6">
        <v>11.776999999999999</v>
      </c>
      <c r="O21" s="6">
        <v>11.776999999999999</v>
      </c>
      <c r="P21" s="6">
        <v>0</v>
      </c>
      <c r="Q21" s="4" t="s">
        <v>26</v>
      </c>
      <c r="R21" s="4">
        <v>0</v>
      </c>
      <c r="S21" s="6">
        <v>22</v>
      </c>
      <c r="T21" s="6">
        <v>7</v>
      </c>
      <c r="U21" s="6">
        <v>42</v>
      </c>
      <c r="V21" s="6">
        <f>IF(ISERROR(VLOOKUP($S$21,'TAR FIN'!$A$1:$O$86,15,0)),0,VLOOKUP($S$21,'TAR FIN'!$A$1:$O$86,15,0))</f>
        <v>19.239999999999998</v>
      </c>
      <c r="W21" s="6">
        <f>IF(ISERROR(VLOOKUP($T$21,'TAR FIN'!$A$1:$O$86,15,0)),0,VLOOKUP($T$21,'TAR FIN'!$A$1:$O$86,15,0))</f>
        <v>78.680000000000007</v>
      </c>
      <c r="X21" s="6">
        <f>IF(ISERROR(VLOOKUP($U$21,'TAR FIN'!$A$1:$O$86,15,0)),0,VLOOKUP($U$21,'TAR FIN'!$A$1:$O$86,15,0))</f>
        <v>246.3</v>
      </c>
      <c r="Y21" s="6">
        <f ca="1">('TUSD BE'!$AM$7+'TUSD BF'!$AM$7+'TUSD CVA'!$AM$7)*1</f>
        <v>15.19295792072058</v>
      </c>
      <c r="Z21" s="6">
        <f ca="1">('TUSD BE'!$AM$8+'TUSD BF'!$AM$8+'TUSD CVA'!$AM$8)*1</f>
        <v>100.23755694003805</v>
      </c>
      <c r="AA21" s="6">
        <f>('TE BE'!$AB$6+'TE BF'!$AB$6+'TE CVA'!$AB$6)*1</f>
        <v>219.40364509824883</v>
      </c>
      <c r="AB21" s="6">
        <f>$K$21*$V$21</f>
        <v>1693.12</v>
      </c>
      <c r="AC21" s="6">
        <f>$M$21*$W$21</f>
        <v>926.61436000000003</v>
      </c>
      <c r="AD21" s="6">
        <f>$O$21*$X$21</f>
        <v>2900.6750999999999</v>
      </c>
      <c r="AE21" s="6">
        <f ca="1">$K$21*$Y$21</f>
        <v>1336.9802970234111</v>
      </c>
      <c r="AF21" s="6">
        <f ca="1">$M$21*$Z$21</f>
        <v>1180.497708082828</v>
      </c>
      <c r="AG21" s="6">
        <f>$O$21*$AA$21</f>
        <v>2583.9167283220763</v>
      </c>
    </row>
    <row r="22" spans="1:33" ht="11.25" customHeight="1" x14ac:dyDescent="0.25">
      <c r="A22" s="4" t="s">
        <v>21</v>
      </c>
      <c r="B22" s="4" t="s">
        <v>38</v>
      </c>
      <c r="C22" s="4" t="s">
        <v>39</v>
      </c>
      <c r="D22" s="4" t="s">
        <v>41</v>
      </c>
      <c r="E22" s="4" t="s">
        <v>25</v>
      </c>
      <c r="F22" s="4" t="s">
        <v>25</v>
      </c>
      <c r="G22" s="4" t="s">
        <v>25</v>
      </c>
      <c r="H22" s="4" t="s">
        <v>34</v>
      </c>
      <c r="I22" s="5">
        <v>44621</v>
      </c>
      <c r="J22" s="6">
        <v>88</v>
      </c>
      <c r="K22" s="6">
        <v>88</v>
      </c>
      <c r="L22" s="6">
        <v>11.601000000000001</v>
      </c>
      <c r="M22" s="6">
        <v>11.601000000000001</v>
      </c>
      <c r="N22" s="6">
        <v>11.601000000000001</v>
      </c>
      <c r="O22" s="6">
        <v>11.601000000000001</v>
      </c>
      <c r="P22" s="6">
        <v>0</v>
      </c>
      <c r="Q22" s="4" t="s">
        <v>26</v>
      </c>
      <c r="R22" s="4">
        <v>0</v>
      </c>
      <c r="S22" s="6">
        <v>22</v>
      </c>
      <c r="T22" s="6">
        <v>7</v>
      </c>
      <c r="U22" s="6">
        <v>42</v>
      </c>
      <c r="V22" s="6">
        <f>IF(ISERROR(VLOOKUP($S$22,'TAR FIN'!$A$1:$O$86,15,0)),0,VLOOKUP($S$22,'TAR FIN'!$A$1:$O$86,15,0))</f>
        <v>19.239999999999998</v>
      </c>
      <c r="W22" s="6">
        <f>IF(ISERROR(VLOOKUP($T$22,'TAR FIN'!$A$1:$O$86,15,0)),0,VLOOKUP($T$22,'TAR FIN'!$A$1:$O$86,15,0))</f>
        <v>78.680000000000007</v>
      </c>
      <c r="X22" s="6">
        <f>IF(ISERROR(VLOOKUP($U$22,'TAR FIN'!$A$1:$O$86,15,0)),0,VLOOKUP($U$22,'TAR FIN'!$A$1:$O$86,15,0))</f>
        <v>246.3</v>
      </c>
      <c r="Y22" s="6">
        <f ca="1">('TUSD BE'!$AM$7+'TUSD BF'!$AM$7+'TUSD CVA'!$AM$7)*1</f>
        <v>15.19295792072058</v>
      </c>
      <c r="Z22" s="6">
        <f ca="1">('TUSD BE'!$AM$8+'TUSD BF'!$AM$8+'TUSD CVA'!$AM$8)*1</f>
        <v>100.23755694003805</v>
      </c>
      <c r="AA22" s="6">
        <f>('TE BE'!$AB$6+'TE BF'!$AB$6+'TE CVA'!$AB$6)*1</f>
        <v>219.40364509824883</v>
      </c>
      <c r="AB22" s="6">
        <f>$K$22*$V$22</f>
        <v>1693.12</v>
      </c>
      <c r="AC22" s="6">
        <f>$M$22*$W$22</f>
        <v>912.76668000000018</v>
      </c>
      <c r="AD22" s="6">
        <f>$O$22*$X$22</f>
        <v>2857.3263000000002</v>
      </c>
      <c r="AE22" s="6">
        <f ca="1">$K$22*$Y$22</f>
        <v>1336.9802970234111</v>
      </c>
      <c r="AF22" s="6">
        <f ca="1">$M$22*$Z$22</f>
        <v>1162.8558980613814</v>
      </c>
      <c r="AG22" s="6">
        <f>$O$22*$AA$22</f>
        <v>2545.301686784785</v>
      </c>
    </row>
    <row r="23" spans="1:33" ht="11.25" customHeight="1" x14ac:dyDescent="0.25">
      <c r="A23" s="4" t="s">
        <v>21</v>
      </c>
      <c r="B23" s="4" t="s">
        <v>38</v>
      </c>
      <c r="C23" s="4" t="s">
        <v>39</v>
      </c>
      <c r="D23" s="4" t="s">
        <v>41</v>
      </c>
      <c r="E23" s="4" t="s">
        <v>25</v>
      </c>
      <c r="F23" s="4" t="s">
        <v>25</v>
      </c>
      <c r="G23" s="4" t="s">
        <v>25</v>
      </c>
      <c r="H23" s="4" t="s">
        <v>34</v>
      </c>
      <c r="I23" s="5">
        <v>44652</v>
      </c>
      <c r="J23" s="6">
        <v>88</v>
      </c>
      <c r="K23" s="6">
        <v>88</v>
      </c>
      <c r="L23" s="6">
        <v>7.383</v>
      </c>
      <c r="M23" s="6">
        <v>7.383</v>
      </c>
      <c r="N23" s="6">
        <v>7.383</v>
      </c>
      <c r="O23" s="6">
        <v>7.383</v>
      </c>
      <c r="P23" s="6">
        <v>0</v>
      </c>
      <c r="Q23" s="4" t="s">
        <v>26</v>
      </c>
      <c r="R23" s="4">
        <v>0</v>
      </c>
      <c r="S23" s="6">
        <v>22</v>
      </c>
      <c r="T23" s="6">
        <v>7</v>
      </c>
      <c r="U23" s="6">
        <v>42</v>
      </c>
      <c r="V23" s="6">
        <f>IF(ISERROR(VLOOKUP($S$23,'TAR FIN'!$A$1:$O$86,15,0)),0,VLOOKUP($S$23,'TAR FIN'!$A$1:$O$86,15,0))</f>
        <v>19.239999999999998</v>
      </c>
      <c r="W23" s="6">
        <f>IF(ISERROR(VLOOKUP($T$23,'TAR FIN'!$A$1:$O$86,15,0)),0,VLOOKUP($T$23,'TAR FIN'!$A$1:$O$86,15,0))</f>
        <v>78.680000000000007</v>
      </c>
      <c r="X23" s="6">
        <f>IF(ISERROR(VLOOKUP($U$23,'TAR FIN'!$A$1:$O$86,15,0)),0,VLOOKUP($U$23,'TAR FIN'!$A$1:$O$86,15,0))</f>
        <v>246.3</v>
      </c>
      <c r="Y23" s="6">
        <f ca="1">('TUSD BE'!$AM$7+'TUSD BF'!$AM$7+'TUSD CVA'!$AM$7)*1</f>
        <v>15.19295792072058</v>
      </c>
      <c r="Z23" s="6">
        <f ca="1">('TUSD BE'!$AM$8+'TUSD BF'!$AM$8+'TUSD CVA'!$AM$8)*1</f>
        <v>100.23755694003805</v>
      </c>
      <c r="AA23" s="6">
        <f>('TE BE'!$AB$6+'TE BF'!$AB$6+'TE CVA'!$AB$6)*1</f>
        <v>219.40364509824883</v>
      </c>
      <c r="AB23" s="6">
        <f>$K$23*$V$23</f>
        <v>1693.12</v>
      </c>
      <c r="AC23" s="6">
        <f>$M$23*$W$23</f>
        <v>580.89444000000003</v>
      </c>
      <c r="AD23" s="6">
        <f>$O$23*$X$23</f>
        <v>1818.4329</v>
      </c>
      <c r="AE23" s="6">
        <f ca="1">$K$23*$Y$23</f>
        <v>1336.9802970234111</v>
      </c>
      <c r="AF23" s="6">
        <f ca="1">$M$23*$Z$23</f>
        <v>740.0538828883009</v>
      </c>
      <c r="AG23" s="6">
        <f>$O$23*$AA$23</f>
        <v>1619.857111760371</v>
      </c>
    </row>
    <row r="24" spans="1:33" ht="11.25" customHeight="1" x14ac:dyDescent="0.25">
      <c r="A24" s="4" t="s">
        <v>21</v>
      </c>
      <c r="B24" s="4" t="s">
        <v>38</v>
      </c>
      <c r="C24" s="4" t="s">
        <v>39</v>
      </c>
      <c r="D24" s="4" t="s">
        <v>41</v>
      </c>
      <c r="E24" s="4" t="s">
        <v>25</v>
      </c>
      <c r="F24" s="4" t="s">
        <v>25</v>
      </c>
      <c r="G24" s="4" t="s">
        <v>25</v>
      </c>
      <c r="H24" s="4" t="s">
        <v>34</v>
      </c>
      <c r="I24" s="5">
        <v>44682</v>
      </c>
      <c r="J24" s="6">
        <v>88</v>
      </c>
      <c r="K24" s="6">
        <v>88</v>
      </c>
      <c r="L24" s="6">
        <v>7.8659999999999997</v>
      </c>
      <c r="M24" s="6">
        <v>7.8659999999999997</v>
      </c>
      <c r="N24" s="6">
        <v>7.8659999999999997</v>
      </c>
      <c r="O24" s="6">
        <v>7.8659999999999997</v>
      </c>
      <c r="P24" s="6">
        <v>0</v>
      </c>
      <c r="Q24" s="4" t="s">
        <v>26</v>
      </c>
      <c r="R24" s="4">
        <v>0</v>
      </c>
      <c r="S24" s="6">
        <v>22</v>
      </c>
      <c r="T24" s="6">
        <v>7</v>
      </c>
      <c r="U24" s="6">
        <v>42</v>
      </c>
      <c r="V24" s="6">
        <f>IF(ISERROR(VLOOKUP($S$24,'TAR FIN'!$A$1:$O$86,15,0)),0,VLOOKUP($S$24,'TAR FIN'!$A$1:$O$86,15,0))</f>
        <v>19.239999999999998</v>
      </c>
      <c r="W24" s="6">
        <f>IF(ISERROR(VLOOKUP($T$24,'TAR FIN'!$A$1:$O$86,15,0)),0,VLOOKUP($T$24,'TAR FIN'!$A$1:$O$86,15,0))</f>
        <v>78.680000000000007</v>
      </c>
      <c r="X24" s="6">
        <f>IF(ISERROR(VLOOKUP($U$24,'TAR FIN'!$A$1:$O$86,15,0)),0,VLOOKUP($U$24,'TAR FIN'!$A$1:$O$86,15,0))</f>
        <v>246.3</v>
      </c>
      <c r="Y24" s="6">
        <f ca="1">('TUSD BE'!$AM$7+'TUSD BF'!$AM$7+'TUSD CVA'!$AM$7)*1</f>
        <v>15.19295792072058</v>
      </c>
      <c r="Z24" s="6">
        <f ca="1">('TUSD BE'!$AM$8+'TUSD BF'!$AM$8+'TUSD CVA'!$AM$8)*1</f>
        <v>100.23755694003805</v>
      </c>
      <c r="AA24" s="6">
        <f>('TE BE'!$AB$6+'TE BF'!$AB$6+'TE CVA'!$AB$6)*1</f>
        <v>219.40364509824883</v>
      </c>
      <c r="AB24" s="6">
        <f>$K$24*$V$24</f>
        <v>1693.12</v>
      </c>
      <c r="AC24" s="6">
        <f>$M$24*$W$24</f>
        <v>618.89688000000001</v>
      </c>
      <c r="AD24" s="6">
        <f>$O$24*$X$24</f>
        <v>1937.3958</v>
      </c>
      <c r="AE24" s="6">
        <f ca="1">$K$24*$Y$24</f>
        <v>1336.9802970234111</v>
      </c>
      <c r="AF24" s="6">
        <f ca="1">$M$24*$Z$24</f>
        <v>788.46862289033925</v>
      </c>
      <c r="AG24" s="6">
        <f>$O$24*$AA$24</f>
        <v>1725.8290723428252</v>
      </c>
    </row>
    <row r="25" spans="1:33" ht="11.25" customHeight="1" x14ac:dyDescent="0.25">
      <c r="A25" s="4" t="s">
        <v>56</v>
      </c>
      <c r="B25" s="4" t="s">
        <v>38</v>
      </c>
      <c r="C25" s="4" t="s">
        <v>39</v>
      </c>
      <c r="D25" s="4" t="s">
        <v>41</v>
      </c>
      <c r="E25" s="4" t="s">
        <v>25</v>
      </c>
      <c r="F25" s="4" t="s">
        <v>25</v>
      </c>
      <c r="G25" s="4" t="s">
        <v>25</v>
      </c>
      <c r="H25" s="4" t="s">
        <v>34</v>
      </c>
      <c r="I25" s="5">
        <v>44713</v>
      </c>
      <c r="J25" s="6">
        <v>88</v>
      </c>
      <c r="K25" s="6">
        <v>88</v>
      </c>
      <c r="L25" s="6">
        <v>7.8659999999999997</v>
      </c>
      <c r="M25" s="6">
        <v>7.8659999999999997</v>
      </c>
      <c r="N25" s="6">
        <v>7.8659999999999997</v>
      </c>
      <c r="O25" s="6">
        <v>7.8659999999999997</v>
      </c>
      <c r="P25" s="6">
        <v>0</v>
      </c>
      <c r="Q25" s="4" t="s">
        <v>26</v>
      </c>
      <c r="R25" s="4">
        <v>0</v>
      </c>
      <c r="S25" s="6">
        <v>22</v>
      </c>
      <c r="T25" s="6">
        <v>7</v>
      </c>
      <c r="U25" s="6">
        <v>42</v>
      </c>
      <c r="V25" s="6">
        <f>IF(ISERROR(VLOOKUP($S$25,'TAR FIN'!$A$1:$O$86,15,0)),0,VLOOKUP($S$25,'TAR FIN'!$A$1:$O$86,15,0))</f>
        <v>19.239999999999998</v>
      </c>
      <c r="W25" s="6">
        <f>IF(ISERROR(VLOOKUP($T$25,'TAR FIN'!$A$1:$O$86,15,0)),0,VLOOKUP($T$25,'TAR FIN'!$A$1:$O$86,15,0))</f>
        <v>78.680000000000007</v>
      </c>
      <c r="X25" s="6">
        <f>IF(ISERROR(VLOOKUP($U$25,'TAR FIN'!$A$1:$O$86,15,0)),0,VLOOKUP($U$25,'TAR FIN'!$A$1:$O$86,15,0))</f>
        <v>246.3</v>
      </c>
      <c r="Y25" s="6">
        <f ca="1">('TUSD BE'!$AM$7+'TUSD BF'!$AM$7+'TUSD CVA'!$AM$7)*1</f>
        <v>15.19295792072058</v>
      </c>
      <c r="Z25" s="6">
        <f ca="1">('TUSD BE'!$AM$8+'TUSD BF'!$AM$8+'TUSD CVA'!$AM$8)*1</f>
        <v>100.23755694003805</v>
      </c>
      <c r="AA25" s="6">
        <f>('TE BE'!$AB$6+'TE BF'!$AB$6+'TE CVA'!$AB$6)*1</f>
        <v>219.40364509824883</v>
      </c>
      <c r="AB25" s="6">
        <f>$K$25*$V$25</f>
        <v>1693.12</v>
      </c>
      <c r="AC25" s="6">
        <f>$M$25*$W$25</f>
        <v>618.89688000000001</v>
      </c>
      <c r="AD25" s="6">
        <f>$O$25*$X$25</f>
        <v>1937.3958</v>
      </c>
      <c r="AE25" s="6">
        <f ca="1">$K$25*$Y$25</f>
        <v>1336.9802970234111</v>
      </c>
      <c r="AF25" s="6">
        <f ca="1">$M$25*$Z$25</f>
        <v>788.46862289033925</v>
      </c>
      <c r="AG25" s="6">
        <f>$O$25*$AA$25</f>
        <v>1725.8290723428252</v>
      </c>
    </row>
    <row r="26" spans="1:33" ht="11.25" customHeight="1" x14ac:dyDescent="0.25">
      <c r="A26" s="4" t="s">
        <v>21</v>
      </c>
      <c r="B26" s="4" t="s">
        <v>38</v>
      </c>
      <c r="C26" s="4" t="s">
        <v>39</v>
      </c>
      <c r="D26" s="4" t="s">
        <v>41</v>
      </c>
      <c r="E26" s="4" t="s">
        <v>25</v>
      </c>
      <c r="F26" s="4" t="s">
        <v>25</v>
      </c>
      <c r="G26" s="4" t="s">
        <v>25</v>
      </c>
      <c r="H26" s="4" t="s">
        <v>33</v>
      </c>
      <c r="I26" s="5">
        <v>44378</v>
      </c>
      <c r="J26" s="6">
        <v>53</v>
      </c>
      <c r="K26" s="6">
        <v>53</v>
      </c>
      <c r="L26" s="6">
        <v>0.41399999999999998</v>
      </c>
      <c r="M26" s="6">
        <v>0.41399999999999998</v>
      </c>
      <c r="N26" s="6">
        <v>0.41399999999999998</v>
      </c>
      <c r="O26" s="6">
        <v>0.41399999999999998</v>
      </c>
      <c r="P26" s="6">
        <v>0</v>
      </c>
      <c r="Q26" s="4" t="s">
        <v>26</v>
      </c>
      <c r="R26" s="4">
        <v>0</v>
      </c>
      <c r="S26" s="6">
        <v>3</v>
      </c>
      <c r="T26" s="6">
        <v>7</v>
      </c>
      <c r="U26" s="6">
        <v>47</v>
      </c>
      <c r="V26" s="6">
        <f>IF(ISERROR(VLOOKUP($S$26,'TAR FIN'!$A$1:$O$86,15,0)),0,VLOOKUP($S$26,'TAR FIN'!$A$1:$O$86,15,0))</f>
        <v>51.41</v>
      </c>
      <c r="W26" s="6">
        <f>IF(ISERROR(VLOOKUP($T$26,'TAR FIN'!$A$1:$O$86,15,0)),0,VLOOKUP($T$26,'TAR FIN'!$A$1:$O$86,15,0))</f>
        <v>78.680000000000007</v>
      </c>
      <c r="X26" s="6">
        <f>IF(ISERROR(VLOOKUP($U$26,'TAR FIN'!$A$1:$O$86,15,0)),0,VLOOKUP($U$26,'TAR FIN'!$A$1:$O$86,15,0))</f>
        <v>389.21</v>
      </c>
      <c r="Y26" s="6">
        <f ca="1">('TUSD BE'!$AM$6+'TUSD BF'!$AM$6+'TUSD CVA'!$AM$6)*1</f>
        <v>40.182791243128264</v>
      </c>
      <c r="Z26" s="6">
        <f ca="1">('TUSD BE'!$AM$8+'TUSD BF'!$AM$8+'TUSD CVA'!$AM$8)*1</f>
        <v>100.23755694003805</v>
      </c>
      <c r="AA26" s="6">
        <f>('TE BE'!$AB$5+'TE BF'!$AB$5+'TE CVA'!$AB$5)*1</f>
        <v>353.55100010229148</v>
      </c>
      <c r="AB26" s="6">
        <f>$K$26*$V$26</f>
        <v>2724.73</v>
      </c>
      <c r="AC26" s="6">
        <f>$M$26*$W$26</f>
        <v>32.573520000000002</v>
      </c>
      <c r="AD26" s="6">
        <f>$O$26*$X$26</f>
        <v>161.13293999999999</v>
      </c>
      <c r="AE26" s="6">
        <f ca="1">$K$26*$Y$26</f>
        <v>2129.6879358857982</v>
      </c>
      <c r="AF26" s="6">
        <f ca="1">$M$26*$Z$26</f>
        <v>41.498348573175747</v>
      </c>
      <c r="AG26" s="6">
        <f>$O$26*$AA$26</f>
        <v>146.37011404234866</v>
      </c>
    </row>
    <row r="27" spans="1:33" ht="11.25" customHeight="1" x14ac:dyDescent="0.25">
      <c r="A27" s="4" t="s">
        <v>21</v>
      </c>
      <c r="B27" s="4" t="s">
        <v>38</v>
      </c>
      <c r="C27" s="4" t="s">
        <v>39</v>
      </c>
      <c r="D27" s="4" t="s">
        <v>41</v>
      </c>
      <c r="E27" s="4" t="s">
        <v>25</v>
      </c>
      <c r="F27" s="4" t="s">
        <v>25</v>
      </c>
      <c r="G27" s="4" t="s">
        <v>25</v>
      </c>
      <c r="H27" s="4" t="s">
        <v>33</v>
      </c>
      <c r="I27" s="5">
        <v>44409</v>
      </c>
      <c r="J27" s="6">
        <v>53</v>
      </c>
      <c r="K27" s="6">
        <v>53</v>
      </c>
      <c r="L27" s="6">
        <v>0.42099999999999999</v>
      </c>
      <c r="M27" s="6">
        <v>0.42099999999999999</v>
      </c>
      <c r="N27" s="6">
        <v>0.42099999999999999</v>
      </c>
      <c r="O27" s="6">
        <v>0.42099999999999999</v>
      </c>
      <c r="P27" s="6">
        <v>0</v>
      </c>
      <c r="Q27" s="4" t="s">
        <v>26</v>
      </c>
      <c r="R27" s="4">
        <v>0</v>
      </c>
      <c r="S27" s="6">
        <v>3</v>
      </c>
      <c r="T27" s="6">
        <v>7</v>
      </c>
      <c r="U27" s="6">
        <v>47</v>
      </c>
      <c r="V27" s="6">
        <f>IF(ISERROR(VLOOKUP($S$27,'TAR FIN'!$A$1:$O$86,15,0)),0,VLOOKUP($S$27,'TAR FIN'!$A$1:$O$86,15,0))</f>
        <v>51.41</v>
      </c>
      <c r="W27" s="6">
        <f>IF(ISERROR(VLOOKUP($T$27,'TAR FIN'!$A$1:$O$86,15,0)),0,VLOOKUP($T$27,'TAR FIN'!$A$1:$O$86,15,0))</f>
        <v>78.680000000000007</v>
      </c>
      <c r="X27" s="6">
        <f>IF(ISERROR(VLOOKUP($U$27,'TAR FIN'!$A$1:$O$86,15,0)),0,VLOOKUP($U$27,'TAR FIN'!$A$1:$O$86,15,0))</f>
        <v>389.21</v>
      </c>
      <c r="Y27" s="6">
        <f ca="1">('TUSD BE'!$AM$6+'TUSD BF'!$AM$6+'TUSD CVA'!$AM$6)*1</f>
        <v>40.182791243128264</v>
      </c>
      <c r="Z27" s="6">
        <f ca="1">('TUSD BE'!$AM$8+'TUSD BF'!$AM$8+'TUSD CVA'!$AM$8)*1</f>
        <v>100.23755694003805</v>
      </c>
      <c r="AA27" s="6">
        <f>('TE BE'!$AB$5+'TE BF'!$AB$5+'TE CVA'!$AB$5)*1</f>
        <v>353.55100010229148</v>
      </c>
      <c r="AB27" s="6">
        <f>$K$27*$V$27</f>
        <v>2724.73</v>
      </c>
      <c r="AC27" s="6">
        <f>$M$27*$W$27</f>
        <v>33.124279999999999</v>
      </c>
      <c r="AD27" s="6">
        <f>$O$27*$X$27</f>
        <v>163.85740999999999</v>
      </c>
      <c r="AE27" s="6">
        <f ca="1">$K$27*$Y$27</f>
        <v>2129.6879358857982</v>
      </c>
      <c r="AF27" s="6">
        <f ca="1">$M$27*$Z$27</f>
        <v>42.200011471756014</v>
      </c>
      <c r="AG27" s="6">
        <f>$O$27*$AA$27</f>
        <v>148.8449710430647</v>
      </c>
    </row>
    <row r="28" spans="1:33" ht="11.25" customHeight="1" x14ac:dyDescent="0.25">
      <c r="A28" s="4" t="s">
        <v>21</v>
      </c>
      <c r="B28" s="4" t="s">
        <v>38</v>
      </c>
      <c r="C28" s="4" t="s">
        <v>39</v>
      </c>
      <c r="D28" s="4" t="s">
        <v>41</v>
      </c>
      <c r="E28" s="4" t="s">
        <v>25</v>
      </c>
      <c r="F28" s="4" t="s">
        <v>25</v>
      </c>
      <c r="G28" s="4" t="s">
        <v>25</v>
      </c>
      <c r="H28" s="4" t="s">
        <v>33</v>
      </c>
      <c r="I28" s="5">
        <v>44440</v>
      </c>
      <c r="J28" s="6">
        <v>53</v>
      </c>
      <c r="K28" s="6">
        <v>53</v>
      </c>
      <c r="L28" s="6">
        <v>0.41399999999999998</v>
      </c>
      <c r="M28" s="6">
        <v>0.41399999999999998</v>
      </c>
      <c r="N28" s="6">
        <v>0.41399999999999998</v>
      </c>
      <c r="O28" s="6">
        <v>0.41399999999999998</v>
      </c>
      <c r="P28" s="6">
        <v>0</v>
      </c>
      <c r="Q28" s="4" t="s">
        <v>26</v>
      </c>
      <c r="R28" s="4">
        <v>0</v>
      </c>
      <c r="S28" s="6">
        <v>3</v>
      </c>
      <c r="T28" s="6">
        <v>7</v>
      </c>
      <c r="U28" s="6">
        <v>47</v>
      </c>
      <c r="V28" s="6">
        <f>IF(ISERROR(VLOOKUP($S$28,'TAR FIN'!$A$1:$O$86,15,0)),0,VLOOKUP($S$28,'TAR FIN'!$A$1:$O$86,15,0))</f>
        <v>51.41</v>
      </c>
      <c r="W28" s="6">
        <f>IF(ISERROR(VLOOKUP($T$28,'TAR FIN'!$A$1:$O$86,15,0)),0,VLOOKUP($T$28,'TAR FIN'!$A$1:$O$86,15,0))</f>
        <v>78.680000000000007</v>
      </c>
      <c r="X28" s="6">
        <f>IF(ISERROR(VLOOKUP($U$28,'TAR FIN'!$A$1:$O$86,15,0)),0,VLOOKUP($U$28,'TAR FIN'!$A$1:$O$86,15,0))</f>
        <v>389.21</v>
      </c>
      <c r="Y28" s="6">
        <f ca="1">('TUSD BE'!$AM$6+'TUSD BF'!$AM$6+'TUSD CVA'!$AM$6)*1</f>
        <v>40.182791243128264</v>
      </c>
      <c r="Z28" s="6">
        <f ca="1">('TUSD BE'!$AM$8+'TUSD BF'!$AM$8+'TUSD CVA'!$AM$8)*1</f>
        <v>100.23755694003805</v>
      </c>
      <c r="AA28" s="6">
        <f>('TE BE'!$AB$5+'TE BF'!$AB$5+'TE CVA'!$AB$5)*1</f>
        <v>353.55100010229148</v>
      </c>
      <c r="AB28" s="6">
        <f>$K$28*$V$28</f>
        <v>2724.73</v>
      </c>
      <c r="AC28" s="6">
        <f>$M$28*$W$28</f>
        <v>32.573520000000002</v>
      </c>
      <c r="AD28" s="6">
        <f>$O$28*$X$28</f>
        <v>161.13293999999999</v>
      </c>
      <c r="AE28" s="6">
        <f ca="1">$K$28*$Y$28</f>
        <v>2129.6879358857982</v>
      </c>
      <c r="AF28" s="6">
        <f ca="1">$M$28*$Z$28</f>
        <v>41.498348573175747</v>
      </c>
      <c r="AG28" s="6">
        <f>$O$28*$AA$28</f>
        <v>146.37011404234866</v>
      </c>
    </row>
    <row r="29" spans="1:33" ht="11.25" customHeight="1" x14ac:dyDescent="0.25">
      <c r="A29" s="4" t="s">
        <v>21</v>
      </c>
      <c r="B29" s="4" t="s">
        <v>38</v>
      </c>
      <c r="C29" s="4" t="s">
        <v>39</v>
      </c>
      <c r="D29" s="4" t="s">
        <v>41</v>
      </c>
      <c r="E29" s="4" t="s">
        <v>25</v>
      </c>
      <c r="F29" s="4" t="s">
        <v>25</v>
      </c>
      <c r="G29" s="4" t="s">
        <v>25</v>
      </c>
      <c r="H29" s="4" t="s">
        <v>33</v>
      </c>
      <c r="I29" s="5">
        <v>44470</v>
      </c>
      <c r="J29" s="6">
        <v>53</v>
      </c>
      <c r="K29" s="6">
        <v>53</v>
      </c>
      <c r="L29" s="6">
        <v>0.39</v>
      </c>
      <c r="M29" s="6">
        <v>0.39</v>
      </c>
      <c r="N29" s="6">
        <v>0.39</v>
      </c>
      <c r="O29" s="6">
        <v>0.39</v>
      </c>
      <c r="P29" s="6">
        <v>0</v>
      </c>
      <c r="Q29" s="4" t="s">
        <v>26</v>
      </c>
      <c r="R29" s="4">
        <v>0</v>
      </c>
      <c r="S29" s="6">
        <v>3</v>
      </c>
      <c r="T29" s="6">
        <v>7</v>
      </c>
      <c r="U29" s="6">
        <v>47</v>
      </c>
      <c r="V29" s="6">
        <f>IF(ISERROR(VLOOKUP($S$29,'TAR FIN'!$A$1:$O$86,15,0)),0,VLOOKUP($S$29,'TAR FIN'!$A$1:$O$86,15,0))</f>
        <v>51.41</v>
      </c>
      <c r="W29" s="6">
        <f>IF(ISERROR(VLOOKUP($T$29,'TAR FIN'!$A$1:$O$86,15,0)),0,VLOOKUP($T$29,'TAR FIN'!$A$1:$O$86,15,0))</f>
        <v>78.680000000000007</v>
      </c>
      <c r="X29" s="6">
        <f>IF(ISERROR(VLOOKUP($U$29,'TAR FIN'!$A$1:$O$86,15,0)),0,VLOOKUP($U$29,'TAR FIN'!$A$1:$O$86,15,0))</f>
        <v>389.21</v>
      </c>
      <c r="Y29" s="6">
        <f ca="1">('TUSD BE'!$AM$6+'TUSD BF'!$AM$6+'TUSD CVA'!$AM$6)*1</f>
        <v>40.182791243128264</v>
      </c>
      <c r="Z29" s="6">
        <f ca="1">('TUSD BE'!$AM$8+'TUSD BF'!$AM$8+'TUSD CVA'!$AM$8)*1</f>
        <v>100.23755694003805</v>
      </c>
      <c r="AA29" s="6">
        <f>('TE BE'!$AB$5+'TE BF'!$AB$5+'TE CVA'!$AB$5)*1</f>
        <v>353.55100010229148</v>
      </c>
      <c r="AB29" s="6">
        <f>$K$29*$V$29</f>
        <v>2724.73</v>
      </c>
      <c r="AC29" s="6">
        <f>$M$29*$W$29</f>
        <v>30.685200000000005</v>
      </c>
      <c r="AD29" s="6">
        <f>$O$29*$X$29</f>
        <v>151.7919</v>
      </c>
      <c r="AE29" s="6">
        <f ca="1">$K$29*$Y$29</f>
        <v>2129.6879358857982</v>
      </c>
      <c r="AF29" s="6">
        <f ca="1">$M$29*$Z$29</f>
        <v>39.092647206614842</v>
      </c>
      <c r="AG29" s="6">
        <f>$O$29*$AA$29</f>
        <v>137.88489003989369</v>
      </c>
    </row>
    <row r="30" spans="1:33" ht="11.25" customHeight="1" x14ac:dyDescent="0.25">
      <c r="A30" s="4" t="s">
        <v>21</v>
      </c>
      <c r="B30" s="4" t="s">
        <v>38</v>
      </c>
      <c r="C30" s="4" t="s">
        <v>39</v>
      </c>
      <c r="D30" s="4" t="s">
        <v>41</v>
      </c>
      <c r="E30" s="4" t="s">
        <v>25</v>
      </c>
      <c r="F30" s="4" t="s">
        <v>25</v>
      </c>
      <c r="G30" s="4" t="s">
        <v>25</v>
      </c>
      <c r="H30" s="4" t="s">
        <v>33</v>
      </c>
      <c r="I30" s="5">
        <v>44501</v>
      </c>
      <c r="J30" s="6">
        <v>53</v>
      </c>
      <c r="K30" s="6">
        <v>53</v>
      </c>
      <c r="L30" s="6">
        <v>0.39500000000000002</v>
      </c>
      <c r="M30" s="6">
        <v>0.39500000000000002</v>
      </c>
      <c r="N30" s="6">
        <v>0.39500000000000002</v>
      </c>
      <c r="O30" s="6">
        <v>0.39500000000000002</v>
      </c>
      <c r="P30" s="6">
        <v>0</v>
      </c>
      <c r="Q30" s="4" t="s">
        <v>26</v>
      </c>
      <c r="R30" s="4">
        <v>0</v>
      </c>
      <c r="S30" s="6">
        <v>3</v>
      </c>
      <c r="T30" s="6">
        <v>7</v>
      </c>
      <c r="U30" s="6">
        <v>47</v>
      </c>
      <c r="V30" s="6">
        <f>IF(ISERROR(VLOOKUP($S$30,'TAR FIN'!$A$1:$O$86,15,0)),0,VLOOKUP($S$30,'TAR FIN'!$A$1:$O$86,15,0))</f>
        <v>51.41</v>
      </c>
      <c r="W30" s="6">
        <f>IF(ISERROR(VLOOKUP($T$30,'TAR FIN'!$A$1:$O$86,15,0)),0,VLOOKUP($T$30,'TAR FIN'!$A$1:$O$86,15,0))</f>
        <v>78.680000000000007</v>
      </c>
      <c r="X30" s="6">
        <f>IF(ISERROR(VLOOKUP($U$30,'TAR FIN'!$A$1:$O$86,15,0)),0,VLOOKUP($U$30,'TAR FIN'!$A$1:$O$86,15,0))</f>
        <v>389.21</v>
      </c>
      <c r="Y30" s="6">
        <f ca="1">('TUSD BE'!$AM$6+'TUSD BF'!$AM$6+'TUSD CVA'!$AM$6)*1</f>
        <v>40.182791243128264</v>
      </c>
      <c r="Z30" s="6">
        <f ca="1">('TUSD BE'!$AM$8+'TUSD BF'!$AM$8+'TUSD CVA'!$AM$8)*1</f>
        <v>100.23755694003805</v>
      </c>
      <c r="AA30" s="6">
        <f>('TE BE'!$AB$5+'TE BF'!$AB$5+'TE CVA'!$AB$5)*1</f>
        <v>353.55100010229148</v>
      </c>
      <c r="AB30" s="6">
        <f>$K$30*$V$30</f>
        <v>2724.73</v>
      </c>
      <c r="AC30" s="6">
        <f>$M$30*$W$30</f>
        <v>31.078600000000005</v>
      </c>
      <c r="AD30" s="6">
        <f>$O$30*$X$30</f>
        <v>153.73795000000001</v>
      </c>
      <c r="AE30" s="6">
        <f ca="1">$K$30*$Y$30</f>
        <v>2129.6879358857982</v>
      </c>
      <c r="AF30" s="6">
        <f ca="1">$M$30*$Z$30</f>
        <v>39.593834991315028</v>
      </c>
      <c r="AG30" s="6">
        <f>$O$30*$AA$30</f>
        <v>139.65264504040513</v>
      </c>
    </row>
    <row r="31" spans="1:33" ht="11.25" customHeight="1" x14ac:dyDescent="0.25">
      <c r="A31" s="4" t="s">
        <v>21</v>
      </c>
      <c r="B31" s="4" t="s">
        <v>38</v>
      </c>
      <c r="C31" s="4" t="s">
        <v>39</v>
      </c>
      <c r="D31" s="4" t="s">
        <v>41</v>
      </c>
      <c r="E31" s="4" t="s">
        <v>25</v>
      </c>
      <c r="F31" s="4" t="s">
        <v>25</v>
      </c>
      <c r="G31" s="4" t="s">
        <v>25</v>
      </c>
      <c r="H31" s="4" t="s">
        <v>33</v>
      </c>
      <c r="I31" s="5">
        <v>44531</v>
      </c>
      <c r="J31" s="6">
        <v>53</v>
      </c>
      <c r="K31" s="6">
        <v>53</v>
      </c>
      <c r="L31" s="6">
        <v>0.47199999999999998</v>
      </c>
      <c r="M31" s="6">
        <v>0.47199999999999998</v>
      </c>
      <c r="N31" s="6">
        <v>0.47199999999999998</v>
      </c>
      <c r="O31" s="6">
        <v>0.47199999999999998</v>
      </c>
      <c r="P31" s="6">
        <v>0</v>
      </c>
      <c r="Q31" s="4" t="s">
        <v>26</v>
      </c>
      <c r="R31" s="4">
        <v>0</v>
      </c>
      <c r="S31" s="6">
        <v>3</v>
      </c>
      <c r="T31" s="6">
        <v>7</v>
      </c>
      <c r="U31" s="6">
        <v>47</v>
      </c>
      <c r="V31" s="6">
        <f>IF(ISERROR(VLOOKUP($S$31,'TAR FIN'!$A$1:$O$86,15,0)),0,VLOOKUP($S$31,'TAR FIN'!$A$1:$O$86,15,0))</f>
        <v>51.41</v>
      </c>
      <c r="W31" s="6">
        <f>IF(ISERROR(VLOOKUP($T$31,'TAR FIN'!$A$1:$O$86,15,0)),0,VLOOKUP($T$31,'TAR FIN'!$A$1:$O$86,15,0))</f>
        <v>78.680000000000007</v>
      </c>
      <c r="X31" s="6">
        <f>IF(ISERROR(VLOOKUP($U$31,'TAR FIN'!$A$1:$O$86,15,0)),0,VLOOKUP($U$31,'TAR FIN'!$A$1:$O$86,15,0))</f>
        <v>389.21</v>
      </c>
      <c r="Y31" s="6">
        <f ca="1">('TUSD BE'!$AM$6+'TUSD BF'!$AM$6+'TUSD CVA'!$AM$6)*1</f>
        <v>40.182791243128264</v>
      </c>
      <c r="Z31" s="6">
        <f ca="1">('TUSD BE'!$AM$8+'TUSD BF'!$AM$8+'TUSD CVA'!$AM$8)*1</f>
        <v>100.23755694003805</v>
      </c>
      <c r="AA31" s="6">
        <f>('TE BE'!$AB$5+'TE BF'!$AB$5+'TE CVA'!$AB$5)*1</f>
        <v>353.55100010229148</v>
      </c>
      <c r="AB31" s="6">
        <f>$K$31*$V$31</f>
        <v>2724.73</v>
      </c>
      <c r="AC31" s="6">
        <f>$M$31*$W$31</f>
        <v>37.136960000000002</v>
      </c>
      <c r="AD31" s="6">
        <f>$O$31*$X$31</f>
        <v>183.70711999999997</v>
      </c>
      <c r="AE31" s="6">
        <f ca="1">$K$31*$Y$31</f>
        <v>2129.6879358857982</v>
      </c>
      <c r="AF31" s="6">
        <f ca="1">$M$31*$Z$31</f>
        <v>47.312126875697956</v>
      </c>
      <c r="AG31" s="6">
        <f>$O$31*$AA$31</f>
        <v>166.87607204828157</v>
      </c>
    </row>
    <row r="32" spans="1:33" ht="11.25" customHeight="1" x14ac:dyDescent="0.25">
      <c r="A32" s="4" t="s">
        <v>21</v>
      </c>
      <c r="B32" s="4" t="s">
        <v>38</v>
      </c>
      <c r="C32" s="4" t="s">
        <v>39</v>
      </c>
      <c r="D32" s="4" t="s">
        <v>41</v>
      </c>
      <c r="E32" s="4" t="s">
        <v>25</v>
      </c>
      <c r="F32" s="4" t="s">
        <v>25</v>
      </c>
      <c r="G32" s="4" t="s">
        <v>25</v>
      </c>
      <c r="H32" s="4" t="s">
        <v>33</v>
      </c>
      <c r="I32" s="5">
        <v>44562</v>
      </c>
      <c r="J32" s="6">
        <v>53</v>
      </c>
      <c r="K32" s="6">
        <v>53</v>
      </c>
      <c r="L32" s="6">
        <v>0.38600000000000001</v>
      </c>
      <c r="M32" s="6">
        <v>0.38600000000000001</v>
      </c>
      <c r="N32" s="6">
        <v>0.38600000000000001</v>
      </c>
      <c r="O32" s="6">
        <v>0.38600000000000001</v>
      </c>
      <c r="P32" s="6">
        <v>0</v>
      </c>
      <c r="Q32" s="4" t="s">
        <v>26</v>
      </c>
      <c r="R32" s="4">
        <v>0</v>
      </c>
      <c r="S32" s="6">
        <v>3</v>
      </c>
      <c r="T32" s="6">
        <v>7</v>
      </c>
      <c r="U32" s="6">
        <v>47</v>
      </c>
      <c r="V32" s="6">
        <f>IF(ISERROR(VLOOKUP($S$32,'TAR FIN'!$A$1:$O$86,15,0)),0,VLOOKUP($S$32,'TAR FIN'!$A$1:$O$86,15,0))</f>
        <v>51.41</v>
      </c>
      <c r="W32" s="6">
        <f>IF(ISERROR(VLOOKUP($T$32,'TAR FIN'!$A$1:$O$86,15,0)),0,VLOOKUP($T$32,'TAR FIN'!$A$1:$O$86,15,0))</f>
        <v>78.680000000000007</v>
      </c>
      <c r="X32" s="6">
        <f>IF(ISERROR(VLOOKUP($U$32,'TAR FIN'!$A$1:$O$86,15,0)),0,VLOOKUP($U$32,'TAR FIN'!$A$1:$O$86,15,0))</f>
        <v>389.21</v>
      </c>
      <c r="Y32" s="6">
        <f ca="1">('TUSD BE'!$AM$6+'TUSD BF'!$AM$6+'TUSD CVA'!$AM$6)*1</f>
        <v>40.182791243128264</v>
      </c>
      <c r="Z32" s="6">
        <f ca="1">('TUSD BE'!$AM$8+'TUSD BF'!$AM$8+'TUSD CVA'!$AM$8)*1</f>
        <v>100.23755694003805</v>
      </c>
      <c r="AA32" s="6">
        <f>('TE BE'!$AB$5+'TE BF'!$AB$5+'TE CVA'!$AB$5)*1</f>
        <v>353.55100010229148</v>
      </c>
      <c r="AB32" s="6">
        <f>$K$32*$V$32</f>
        <v>2724.73</v>
      </c>
      <c r="AC32" s="6">
        <f>$M$32*$W$32</f>
        <v>30.370480000000004</v>
      </c>
      <c r="AD32" s="6">
        <f>$O$32*$X$32</f>
        <v>150.23506</v>
      </c>
      <c r="AE32" s="6">
        <f ca="1">$K$32*$Y$32</f>
        <v>2129.6879358857982</v>
      </c>
      <c r="AF32" s="6">
        <f ca="1">$M$32*$Z$32</f>
        <v>38.691696978854687</v>
      </c>
      <c r="AG32" s="6">
        <f>$O$32*$AA$32</f>
        <v>136.47068603948452</v>
      </c>
    </row>
    <row r="33" spans="1:33" ht="11.25" customHeight="1" x14ac:dyDescent="0.25">
      <c r="A33" s="4" t="s">
        <v>21</v>
      </c>
      <c r="B33" s="4" t="s">
        <v>38</v>
      </c>
      <c r="C33" s="4" t="s">
        <v>39</v>
      </c>
      <c r="D33" s="4" t="s">
        <v>41</v>
      </c>
      <c r="E33" s="4" t="s">
        <v>25</v>
      </c>
      <c r="F33" s="4" t="s">
        <v>25</v>
      </c>
      <c r="G33" s="4" t="s">
        <v>25</v>
      </c>
      <c r="H33" s="4" t="s">
        <v>33</v>
      </c>
      <c r="I33" s="5">
        <v>44593</v>
      </c>
      <c r="J33" s="6">
        <v>53</v>
      </c>
      <c r="K33" s="6">
        <v>53</v>
      </c>
      <c r="L33" s="6">
        <v>0.39200000000000002</v>
      </c>
      <c r="M33" s="6">
        <v>0.39200000000000002</v>
      </c>
      <c r="N33" s="6">
        <v>0.39200000000000002</v>
      </c>
      <c r="O33" s="6">
        <v>0.39200000000000002</v>
      </c>
      <c r="P33" s="6">
        <v>0</v>
      </c>
      <c r="Q33" s="4" t="s">
        <v>26</v>
      </c>
      <c r="R33" s="4">
        <v>0</v>
      </c>
      <c r="S33" s="6">
        <v>3</v>
      </c>
      <c r="T33" s="6">
        <v>7</v>
      </c>
      <c r="U33" s="6">
        <v>47</v>
      </c>
      <c r="V33" s="6">
        <f>IF(ISERROR(VLOOKUP($S$33,'TAR FIN'!$A$1:$O$86,15,0)),0,VLOOKUP($S$33,'TAR FIN'!$A$1:$O$86,15,0))</f>
        <v>51.41</v>
      </c>
      <c r="W33" s="6">
        <f>IF(ISERROR(VLOOKUP($T$33,'TAR FIN'!$A$1:$O$86,15,0)),0,VLOOKUP($T$33,'TAR FIN'!$A$1:$O$86,15,0))</f>
        <v>78.680000000000007</v>
      </c>
      <c r="X33" s="6">
        <f>IF(ISERROR(VLOOKUP($U$33,'TAR FIN'!$A$1:$O$86,15,0)),0,VLOOKUP($U$33,'TAR FIN'!$A$1:$O$86,15,0))</f>
        <v>389.21</v>
      </c>
      <c r="Y33" s="6">
        <f ca="1">('TUSD BE'!$AM$6+'TUSD BF'!$AM$6+'TUSD CVA'!$AM$6)*1</f>
        <v>40.182791243128264</v>
      </c>
      <c r="Z33" s="6">
        <f ca="1">('TUSD BE'!$AM$8+'TUSD BF'!$AM$8+'TUSD CVA'!$AM$8)*1</f>
        <v>100.23755694003805</v>
      </c>
      <c r="AA33" s="6">
        <f>('TE BE'!$AB$5+'TE BF'!$AB$5+'TE CVA'!$AB$5)*1</f>
        <v>353.55100010229148</v>
      </c>
      <c r="AB33" s="6">
        <f>$K$33*$V$33</f>
        <v>2724.73</v>
      </c>
      <c r="AC33" s="6">
        <f>$M$33*$W$33</f>
        <v>30.842560000000002</v>
      </c>
      <c r="AD33" s="6">
        <f>$O$33*$X$33</f>
        <v>152.57032000000001</v>
      </c>
      <c r="AE33" s="6">
        <f ca="1">$K$33*$Y$33</f>
        <v>2129.6879358857982</v>
      </c>
      <c r="AF33" s="6">
        <f ca="1">$M$33*$Z$33</f>
        <v>39.293122320494916</v>
      </c>
      <c r="AG33" s="6">
        <f>$O$33*$AA$33</f>
        <v>138.59199204009826</v>
      </c>
    </row>
    <row r="34" spans="1:33" ht="11.25" customHeight="1" x14ac:dyDescent="0.25">
      <c r="A34" s="4" t="s">
        <v>21</v>
      </c>
      <c r="B34" s="4" t="s">
        <v>38</v>
      </c>
      <c r="C34" s="4" t="s">
        <v>39</v>
      </c>
      <c r="D34" s="4" t="s">
        <v>41</v>
      </c>
      <c r="E34" s="4" t="s">
        <v>25</v>
      </c>
      <c r="F34" s="4" t="s">
        <v>25</v>
      </c>
      <c r="G34" s="4" t="s">
        <v>25</v>
      </c>
      <c r="H34" s="4" t="s">
        <v>33</v>
      </c>
      <c r="I34" s="5">
        <v>44621</v>
      </c>
      <c r="J34" s="6">
        <v>53</v>
      </c>
      <c r="K34" s="6">
        <v>53</v>
      </c>
      <c r="L34" s="6">
        <v>0.40899999999999997</v>
      </c>
      <c r="M34" s="6">
        <v>0.40899999999999997</v>
      </c>
      <c r="N34" s="6">
        <v>0.40899999999999997</v>
      </c>
      <c r="O34" s="6">
        <v>0.40899999999999997</v>
      </c>
      <c r="P34" s="6">
        <v>0</v>
      </c>
      <c r="Q34" s="4" t="s">
        <v>26</v>
      </c>
      <c r="R34" s="4">
        <v>0</v>
      </c>
      <c r="S34" s="6">
        <v>3</v>
      </c>
      <c r="T34" s="6">
        <v>7</v>
      </c>
      <c r="U34" s="6">
        <v>47</v>
      </c>
      <c r="V34" s="6">
        <f>IF(ISERROR(VLOOKUP($S$34,'TAR FIN'!$A$1:$O$86,15,0)),0,VLOOKUP($S$34,'TAR FIN'!$A$1:$O$86,15,0))</f>
        <v>51.41</v>
      </c>
      <c r="W34" s="6">
        <f>IF(ISERROR(VLOOKUP($T$34,'TAR FIN'!$A$1:$O$86,15,0)),0,VLOOKUP($T$34,'TAR FIN'!$A$1:$O$86,15,0))</f>
        <v>78.680000000000007</v>
      </c>
      <c r="X34" s="6">
        <f>IF(ISERROR(VLOOKUP($U$34,'TAR FIN'!$A$1:$O$86,15,0)),0,VLOOKUP($U$34,'TAR FIN'!$A$1:$O$86,15,0))</f>
        <v>389.21</v>
      </c>
      <c r="Y34" s="6">
        <f ca="1">('TUSD BE'!$AM$6+'TUSD BF'!$AM$6+'TUSD CVA'!$AM$6)*1</f>
        <v>40.182791243128264</v>
      </c>
      <c r="Z34" s="6">
        <f ca="1">('TUSD BE'!$AM$8+'TUSD BF'!$AM$8+'TUSD CVA'!$AM$8)*1</f>
        <v>100.23755694003805</v>
      </c>
      <c r="AA34" s="6">
        <f>('TE BE'!$AB$5+'TE BF'!$AB$5+'TE CVA'!$AB$5)*1</f>
        <v>353.55100010229148</v>
      </c>
      <c r="AB34" s="6">
        <f>$K$34*$V$34</f>
        <v>2724.73</v>
      </c>
      <c r="AC34" s="6">
        <f>$M$34*$W$34</f>
        <v>32.180120000000002</v>
      </c>
      <c r="AD34" s="6">
        <f>$O$34*$X$34</f>
        <v>159.18688999999998</v>
      </c>
      <c r="AE34" s="6">
        <f ca="1">$K$34*$Y$34</f>
        <v>2129.6879358857982</v>
      </c>
      <c r="AF34" s="6">
        <f ca="1">$M$34*$Z$34</f>
        <v>40.997160788475561</v>
      </c>
      <c r="AG34" s="6">
        <f>$O$34*$AA$34</f>
        <v>144.60235904183722</v>
      </c>
    </row>
    <row r="35" spans="1:33" ht="11.25" customHeight="1" x14ac:dyDescent="0.25">
      <c r="A35" s="4" t="s">
        <v>21</v>
      </c>
      <c r="B35" s="4" t="s">
        <v>38</v>
      </c>
      <c r="C35" s="4" t="s">
        <v>39</v>
      </c>
      <c r="D35" s="4" t="s">
        <v>41</v>
      </c>
      <c r="E35" s="4" t="s">
        <v>25</v>
      </c>
      <c r="F35" s="4" t="s">
        <v>25</v>
      </c>
      <c r="G35" s="4" t="s">
        <v>25</v>
      </c>
      <c r="H35" s="4" t="s">
        <v>33</v>
      </c>
      <c r="I35" s="5">
        <v>44652</v>
      </c>
      <c r="J35" s="6">
        <v>53</v>
      </c>
      <c r="K35" s="6">
        <v>53</v>
      </c>
      <c r="L35" s="6">
        <v>0.35899999999999999</v>
      </c>
      <c r="M35" s="6">
        <v>0.35899999999999999</v>
      </c>
      <c r="N35" s="6">
        <v>0.35899999999999999</v>
      </c>
      <c r="O35" s="6">
        <v>0.35899999999999999</v>
      </c>
      <c r="P35" s="6">
        <v>0</v>
      </c>
      <c r="Q35" s="4" t="s">
        <v>26</v>
      </c>
      <c r="R35" s="4">
        <v>0</v>
      </c>
      <c r="S35" s="6">
        <v>3</v>
      </c>
      <c r="T35" s="6">
        <v>7</v>
      </c>
      <c r="U35" s="6">
        <v>47</v>
      </c>
      <c r="V35" s="6">
        <f>IF(ISERROR(VLOOKUP($S$35,'TAR FIN'!$A$1:$O$86,15,0)),0,VLOOKUP($S$35,'TAR FIN'!$A$1:$O$86,15,0))</f>
        <v>51.41</v>
      </c>
      <c r="W35" s="6">
        <f>IF(ISERROR(VLOOKUP($T$35,'TAR FIN'!$A$1:$O$86,15,0)),0,VLOOKUP($T$35,'TAR FIN'!$A$1:$O$86,15,0))</f>
        <v>78.680000000000007</v>
      </c>
      <c r="X35" s="6">
        <f>IF(ISERROR(VLOOKUP($U$35,'TAR FIN'!$A$1:$O$86,15,0)),0,VLOOKUP($U$35,'TAR FIN'!$A$1:$O$86,15,0))</f>
        <v>389.21</v>
      </c>
      <c r="Y35" s="6">
        <f ca="1">('TUSD BE'!$AM$6+'TUSD BF'!$AM$6+'TUSD CVA'!$AM$6)*1</f>
        <v>40.182791243128264</v>
      </c>
      <c r="Z35" s="6">
        <f ca="1">('TUSD BE'!$AM$8+'TUSD BF'!$AM$8+'TUSD CVA'!$AM$8)*1</f>
        <v>100.23755694003805</v>
      </c>
      <c r="AA35" s="6">
        <f>('TE BE'!$AB$5+'TE BF'!$AB$5+'TE CVA'!$AB$5)*1</f>
        <v>353.55100010229148</v>
      </c>
      <c r="AB35" s="6">
        <f>$K$35*$V$35</f>
        <v>2724.73</v>
      </c>
      <c r="AC35" s="6">
        <f>$M$35*$W$35</f>
        <v>28.246120000000001</v>
      </c>
      <c r="AD35" s="6">
        <f>$O$35*$X$35</f>
        <v>139.72638999999998</v>
      </c>
      <c r="AE35" s="6">
        <f ca="1">$K$35*$Y$35</f>
        <v>2129.6879358857982</v>
      </c>
      <c r="AF35" s="6">
        <f ca="1">$M$35*$Z$35</f>
        <v>35.985282941473656</v>
      </c>
      <c r="AG35" s="6">
        <f>$O$35*$AA$35</f>
        <v>126.92480903672264</v>
      </c>
    </row>
    <row r="36" spans="1:33" ht="11.25" customHeight="1" x14ac:dyDescent="0.25">
      <c r="A36" s="4" t="s">
        <v>21</v>
      </c>
      <c r="B36" s="4" t="s">
        <v>38</v>
      </c>
      <c r="C36" s="4" t="s">
        <v>39</v>
      </c>
      <c r="D36" s="4" t="s">
        <v>41</v>
      </c>
      <c r="E36" s="4" t="s">
        <v>25</v>
      </c>
      <c r="F36" s="4" t="s">
        <v>25</v>
      </c>
      <c r="G36" s="4" t="s">
        <v>25</v>
      </c>
      <c r="H36" s="4" t="s">
        <v>33</v>
      </c>
      <c r="I36" s="5">
        <v>44682</v>
      </c>
      <c r="J36" s="6">
        <v>53</v>
      </c>
      <c r="K36" s="6">
        <v>53</v>
      </c>
      <c r="L36" s="6">
        <v>0.38600000000000001</v>
      </c>
      <c r="M36" s="6">
        <v>0.38600000000000001</v>
      </c>
      <c r="N36" s="6">
        <v>0.38600000000000001</v>
      </c>
      <c r="O36" s="6">
        <v>0.38600000000000001</v>
      </c>
      <c r="P36" s="6">
        <v>0</v>
      </c>
      <c r="Q36" s="4" t="s">
        <v>26</v>
      </c>
      <c r="R36" s="4">
        <v>0</v>
      </c>
      <c r="S36" s="6">
        <v>3</v>
      </c>
      <c r="T36" s="6">
        <v>7</v>
      </c>
      <c r="U36" s="6">
        <v>47</v>
      </c>
      <c r="V36" s="6">
        <f>IF(ISERROR(VLOOKUP($S$36,'TAR FIN'!$A$1:$O$86,15,0)),0,VLOOKUP($S$36,'TAR FIN'!$A$1:$O$86,15,0))</f>
        <v>51.41</v>
      </c>
      <c r="W36" s="6">
        <f>IF(ISERROR(VLOOKUP($T$36,'TAR FIN'!$A$1:$O$86,15,0)),0,VLOOKUP($T$36,'TAR FIN'!$A$1:$O$86,15,0))</f>
        <v>78.680000000000007</v>
      </c>
      <c r="X36" s="6">
        <f>IF(ISERROR(VLOOKUP($U$36,'TAR FIN'!$A$1:$O$86,15,0)),0,VLOOKUP($U$36,'TAR FIN'!$A$1:$O$86,15,0))</f>
        <v>389.21</v>
      </c>
      <c r="Y36" s="6">
        <f ca="1">('TUSD BE'!$AM$6+'TUSD BF'!$AM$6+'TUSD CVA'!$AM$6)*1</f>
        <v>40.182791243128264</v>
      </c>
      <c r="Z36" s="6">
        <f ca="1">('TUSD BE'!$AM$8+'TUSD BF'!$AM$8+'TUSD CVA'!$AM$8)*1</f>
        <v>100.23755694003805</v>
      </c>
      <c r="AA36" s="6">
        <f>('TE BE'!$AB$5+'TE BF'!$AB$5+'TE CVA'!$AB$5)*1</f>
        <v>353.55100010229148</v>
      </c>
      <c r="AB36" s="6">
        <f>$K$36*$V$36</f>
        <v>2724.73</v>
      </c>
      <c r="AC36" s="6">
        <f>$M$36*$W$36</f>
        <v>30.370480000000004</v>
      </c>
      <c r="AD36" s="6">
        <f>$O$36*$X$36</f>
        <v>150.23506</v>
      </c>
      <c r="AE36" s="6">
        <f ca="1">$K$36*$Y$36</f>
        <v>2129.6879358857982</v>
      </c>
      <c r="AF36" s="6">
        <f ca="1">$M$36*$Z$36</f>
        <v>38.691696978854687</v>
      </c>
      <c r="AG36" s="6">
        <f>$O$36*$AA$36</f>
        <v>136.47068603948452</v>
      </c>
    </row>
    <row r="37" spans="1:33" ht="11.25" customHeight="1" x14ac:dyDescent="0.25">
      <c r="A37" s="4" t="s">
        <v>56</v>
      </c>
      <c r="B37" s="4" t="s">
        <v>38</v>
      </c>
      <c r="C37" s="4" t="s">
        <v>39</v>
      </c>
      <c r="D37" s="4" t="s">
        <v>41</v>
      </c>
      <c r="E37" s="4" t="s">
        <v>25</v>
      </c>
      <c r="F37" s="4" t="s">
        <v>25</v>
      </c>
      <c r="G37" s="4" t="s">
        <v>25</v>
      </c>
      <c r="H37" s="4" t="s">
        <v>33</v>
      </c>
      <c r="I37" s="5">
        <v>44713</v>
      </c>
      <c r="J37" s="6">
        <v>53</v>
      </c>
      <c r="K37" s="6">
        <v>53</v>
      </c>
      <c r="L37" s="6">
        <v>0.38600000000000001</v>
      </c>
      <c r="M37" s="6">
        <v>0.38600000000000001</v>
      </c>
      <c r="N37" s="6">
        <v>0.38600000000000001</v>
      </c>
      <c r="O37" s="6">
        <v>0.38600000000000001</v>
      </c>
      <c r="P37" s="6">
        <v>0</v>
      </c>
      <c r="Q37" s="4" t="s">
        <v>26</v>
      </c>
      <c r="R37" s="4">
        <v>0</v>
      </c>
      <c r="S37" s="6">
        <v>3</v>
      </c>
      <c r="T37" s="6">
        <v>7</v>
      </c>
      <c r="U37" s="6">
        <v>47</v>
      </c>
      <c r="V37" s="6">
        <f>IF(ISERROR(VLOOKUP($S$37,'TAR FIN'!$A$1:$O$86,15,0)),0,VLOOKUP($S$37,'TAR FIN'!$A$1:$O$86,15,0))</f>
        <v>51.41</v>
      </c>
      <c r="W37" s="6">
        <f>IF(ISERROR(VLOOKUP($T$37,'TAR FIN'!$A$1:$O$86,15,0)),0,VLOOKUP($T$37,'TAR FIN'!$A$1:$O$86,15,0))</f>
        <v>78.680000000000007</v>
      </c>
      <c r="X37" s="6">
        <f>IF(ISERROR(VLOOKUP($U$37,'TAR FIN'!$A$1:$O$86,15,0)),0,VLOOKUP($U$37,'TAR FIN'!$A$1:$O$86,15,0))</f>
        <v>389.21</v>
      </c>
      <c r="Y37" s="6">
        <f ca="1">('TUSD BE'!$AM$6+'TUSD BF'!$AM$6+'TUSD CVA'!$AM$6)*1</f>
        <v>40.182791243128264</v>
      </c>
      <c r="Z37" s="6">
        <f ca="1">('TUSD BE'!$AM$8+'TUSD BF'!$AM$8+'TUSD CVA'!$AM$8)*1</f>
        <v>100.23755694003805</v>
      </c>
      <c r="AA37" s="6">
        <f>('TE BE'!$AB$5+'TE BF'!$AB$5+'TE CVA'!$AB$5)*1</f>
        <v>353.55100010229148</v>
      </c>
      <c r="AB37" s="6">
        <f>$K$37*$V$37</f>
        <v>2724.73</v>
      </c>
      <c r="AC37" s="6">
        <f>$M$37*$W$37</f>
        <v>30.370480000000004</v>
      </c>
      <c r="AD37" s="6">
        <f>$O$37*$X$37</f>
        <v>150.23506</v>
      </c>
      <c r="AE37" s="6">
        <f ca="1">$K$37*$Y$37</f>
        <v>2129.6879358857982</v>
      </c>
      <c r="AF37" s="6">
        <f ca="1">$M$37*$Z$37</f>
        <v>38.691696978854687</v>
      </c>
      <c r="AG37" s="6">
        <f>$O$37*$AA$37</f>
        <v>136.47068603948452</v>
      </c>
    </row>
    <row r="38" spans="1:33" ht="11.25" customHeight="1" x14ac:dyDescent="0.25">
      <c r="A38" s="4" t="s">
        <v>21</v>
      </c>
      <c r="B38" s="4" t="s">
        <v>38</v>
      </c>
      <c r="C38" s="4" t="s">
        <v>39</v>
      </c>
      <c r="D38" s="4" t="s">
        <v>37</v>
      </c>
      <c r="E38" s="4" t="s">
        <v>25</v>
      </c>
      <c r="F38" s="4" t="s">
        <v>57</v>
      </c>
      <c r="G38" s="4" t="s">
        <v>25</v>
      </c>
      <c r="H38" s="4" t="s">
        <v>34</v>
      </c>
      <c r="I38" s="5">
        <v>44378</v>
      </c>
      <c r="J38" s="6">
        <v>5515</v>
      </c>
      <c r="K38" s="6">
        <v>2757.5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58</v>
      </c>
      <c r="R38" s="4">
        <v>0</v>
      </c>
      <c r="S38" s="6">
        <v>22</v>
      </c>
      <c r="T38" s="6">
        <v>0</v>
      </c>
      <c r="U38" s="6">
        <v>0</v>
      </c>
      <c r="V38" s="6">
        <f>IF(ISERROR(VLOOKUP($S$38,'TAR FIN'!$A$1:$O$86,15,0)),0,VLOOKUP($S$38,'TAR FIN'!$A$1:$O$86,15,0))</f>
        <v>19.239999999999998</v>
      </c>
      <c r="W38" s="6">
        <f>IF(ISERROR(VLOOKUP($T$38,'TAR FIN'!$A$1:$O$86,15,0)),0,VLOOKUP($T$38,'TAR FIN'!$A$1:$O$86,15,0))</f>
        <v>0</v>
      </c>
      <c r="X38" s="6">
        <f>IF(ISERROR(VLOOKUP($U$38,'TAR FIN'!$A$1:$O$86,15,0)),0,VLOOKUP($U$38,'TAR FIN'!$A$1:$O$86,15,0))</f>
        <v>0</v>
      </c>
      <c r="Y38" s="6">
        <f ca="1">('TUSD BE'!$AM$7+'TUSD BF'!$AM$7+'TUSD CVA'!$AM$7)*1</f>
        <v>15.19295792072058</v>
      </c>
      <c r="Z38" s="6">
        <f ca="1">('TUSD BE'!$AM$8+'TUSD BF'!$AM$8+'TUSD CVA'!$AM$8)*1</f>
        <v>100.23755694003805</v>
      </c>
      <c r="AA38" s="6"/>
      <c r="AB38" s="6">
        <f>$K$38*$V$38</f>
        <v>53054.299999999996</v>
      </c>
      <c r="AC38" s="6">
        <f>$M$38*$W$38</f>
        <v>0</v>
      </c>
      <c r="AD38" s="6">
        <f>$O$38*$X$38</f>
        <v>0</v>
      </c>
      <c r="AE38" s="6">
        <f ca="1">$K$38*$Y$38</f>
        <v>41894.581466387004</v>
      </c>
      <c r="AF38" s="6">
        <f ca="1"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38</v>
      </c>
      <c r="C39" s="4" t="s">
        <v>39</v>
      </c>
      <c r="D39" s="4" t="s">
        <v>37</v>
      </c>
      <c r="E39" s="4" t="s">
        <v>25</v>
      </c>
      <c r="F39" s="4" t="s">
        <v>57</v>
      </c>
      <c r="G39" s="4" t="s">
        <v>25</v>
      </c>
      <c r="H39" s="4" t="s">
        <v>34</v>
      </c>
      <c r="I39" s="5">
        <v>44409</v>
      </c>
      <c r="J39" s="6">
        <v>5578</v>
      </c>
      <c r="K39" s="6">
        <v>2789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58</v>
      </c>
      <c r="R39" s="4">
        <v>0</v>
      </c>
      <c r="S39" s="6">
        <v>22</v>
      </c>
      <c r="T39" s="6">
        <v>0</v>
      </c>
      <c r="U39" s="6">
        <v>0</v>
      </c>
      <c r="V39" s="6">
        <f>IF(ISERROR(VLOOKUP($S$39,'TAR FIN'!$A$1:$O$86,15,0)),0,VLOOKUP($S$39,'TAR FIN'!$A$1:$O$86,15,0))</f>
        <v>19.239999999999998</v>
      </c>
      <c r="W39" s="6">
        <f>IF(ISERROR(VLOOKUP($T$39,'TAR FIN'!$A$1:$O$86,15,0)),0,VLOOKUP($T$39,'TAR FIN'!$A$1:$O$86,15,0))</f>
        <v>0</v>
      </c>
      <c r="X39" s="6">
        <f>IF(ISERROR(VLOOKUP($U$39,'TAR FIN'!$A$1:$O$86,15,0)),0,VLOOKUP($U$39,'TAR FIN'!$A$1:$O$86,15,0))</f>
        <v>0</v>
      </c>
      <c r="Y39" s="6">
        <f ca="1">('TUSD BE'!$AM$7+'TUSD BF'!$AM$7+'TUSD CVA'!$AM$7)*1</f>
        <v>15.19295792072058</v>
      </c>
      <c r="Z39" s="6">
        <f ca="1">('TUSD BE'!$AM$8+'TUSD BF'!$AM$8+'TUSD CVA'!$AM$8)*1</f>
        <v>100.23755694003805</v>
      </c>
      <c r="AA39" s="6"/>
      <c r="AB39" s="6">
        <f>$K$39*$V$39</f>
        <v>53660.359999999993</v>
      </c>
      <c r="AC39" s="6">
        <f>$M$39*$W$39</f>
        <v>0</v>
      </c>
      <c r="AD39" s="6">
        <f>$O$39*$X$39</f>
        <v>0</v>
      </c>
      <c r="AE39" s="6">
        <f ca="1">$K$39*$Y$39</f>
        <v>42373.159640889702</v>
      </c>
      <c r="AF39" s="6">
        <f ca="1">$M$39*$Z$39</f>
        <v>0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38</v>
      </c>
      <c r="C40" s="4" t="s">
        <v>39</v>
      </c>
      <c r="D40" s="4" t="s">
        <v>37</v>
      </c>
      <c r="E40" s="4" t="s">
        <v>25</v>
      </c>
      <c r="F40" s="4" t="s">
        <v>57</v>
      </c>
      <c r="G40" s="4" t="s">
        <v>25</v>
      </c>
      <c r="H40" s="4" t="s">
        <v>34</v>
      </c>
      <c r="I40" s="5">
        <v>44440</v>
      </c>
      <c r="J40" s="6">
        <v>5550</v>
      </c>
      <c r="K40" s="6">
        <v>2775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58</v>
      </c>
      <c r="R40" s="4">
        <v>0</v>
      </c>
      <c r="S40" s="6">
        <v>22</v>
      </c>
      <c r="T40" s="6">
        <v>0</v>
      </c>
      <c r="U40" s="6">
        <v>0</v>
      </c>
      <c r="V40" s="6">
        <f>IF(ISERROR(VLOOKUP($S$40,'TAR FIN'!$A$1:$O$86,15,0)),0,VLOOKUP($S$40,'TAR FIN'!$A$1:$O$86,15,0))</f>
        <v>19.239999999999998</v>
      </c>
      <c r="W40" s="6">
        <f>IF(ISERROR(VLOOKUP($T$40,'TAR FIN'!$A$1:$O$86,15,0)),0,VLOOKUP($T$40,'TAR FIN'!$A$1:$O$86,15,0))</f>
        <v>0</v>
      </c>
      <c r="X40" s="6">
        <f>IF(ISERROR(VLOOKUP($U$40,'TAR FIN'!$A$1:$O$86,15,0)),0,VLOOKUP($U$40,'TAR FIN'!$A$1:$O$86,15,0))</f>
        <v>0</v>
      </c>
      <c r="Y40" s="6">
        <f ca="1">('TUSD BE'!$AM$7+'TUSD BF'!$AM$7+'TUSD CVA'!$AM$7)*1</f>
        <v>15.19295792072058</v>
      </c>
      <c r="Z40" s="6">
        <f ca="1">('TUSD BE'!$AM$8+'TUSD BF'!$AM$8+'TUSD CVA'!$AM$8)*1</f>
        <v>100.23755694003805</v>
      </c>
      <c r="AA40" s="6"/>
      <c r="AB40" s="6">
        <f>$K$40*$V$40</f>
        <v>53390.999999999993</v>
      </c>
      <c r="AC40" s="6">
        <f>$M$40*$W$40</f>
        <v>0</v>
      </c>
      <c r="AD40" s="6">
        <f>$O$40*$X$40</f>
        <v>0</v>
      </c>
      <c r="AE40" s="6">
        <f ca="1">$K$40*$Y$40</f>
        <v>42160.458229999611</v>
      </c>
      <c r="AF40" s="6">
        <f ca="1">$M$40*$Z$40</f>
        <v>0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38</v>
      </c>
      <c r="C41" s="4" t="s">
        <v>39</v>
      </c>
      <c r="D41" s="4" t="s">
        <v>37</v>
      </c>
      <c r="E41" s="4" t="s">
        <v>25</v>
      </c>
      <c r="F41" s="4" t="s">
        <v>57</v>
      </c>
      <c r="G41" s="4" t="s">
        <v>25</v>
      </c>
      <c r="H41" s="4" t="s">
        <v>34</v>
      </c>
      <c r="I41" s="5">
        <v>44470</v>
      </c>
      <c r="J41" s="6">
        <v>5570</v>
      </c>
      <c r="K41" s="6">
        <v>2785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58</v>
      </c>
      <c r="R41" s="4">
        <v>0</v>
      </c>
      <c r="S41" s="6">
        <v>22</v>
      </c>
      <c r="T41" s="6">
        <v>0</v>
      </c>
      <c r="U41" s="6">
        <v>0</v>
      </c>
      <c r="V41" s="6">
        <f>IF(ISERROR(VLOOKUP($S$41,'TAR FIN'!$A$1:$O$86,15,0)),0,VLOOKUP($S$41,'TAR FIN'!$A$1:$O$86,15,0))</f>
        <v>19.239999999999998</v>
      </c>
      <c r="W41" s="6">
        <f>IF(ISERROR(VLOOKUP($T$41,'TAR FIN'!$A$1:$O$86,15,0)),0,VLOOKUP($T$41,'TAR FIN'!$A$1:$O$86,15,0))</f>
        <v>0</v>
      </c>
      <c r="X41" s="6">
        <f>IF(ISERROR(VLOOKUP($U$41,'TAR FIN'!$A$1:$O$86,15,0)),0,VLOOKUP($U$41,'TAR FIN'!$A$1:$O$86,15,0))</f>
        <v>0</v>
      </c>
      <c r="Y41" s="6">
        <f ca="1">('TUSD BE'!$AM$7+'TUSD BF'!$AM$7+'TUSD CVA'!$AM$7)*1</f>
        <v>15.19295792072058</v>
      </c>
      <c r="Z41" s="6">
        <f ca="1">('TUSD BE'!$AM$8+'TUSD BF'!$AM$8+'TUSD CVA'!$AM$8)*1</f>
        <v>100.23755694003805</v>
      </c>
      <c r="AA41" s="6"/>
      <c r="AB41" s="6">
        <f>$K$41*$V$41</f>
        <v>53583.399999999994</v>
      </c>
      <c r="AC41" s="6">
        <f>$M$41*$W$41</f>
        <v>0</v>
      </c>
      <c r="AD41" s="6">
        <f>$O$41*$X$41</f>
        <v>0</v>
      </c>
      <c r="AE41" s="6">
        <f ca="1">$K$41*$Y$41</f>
        <v>42312.387809206819</v>
      </c>
      <c r="AF41" s="6">
        <f ca="1">$M$41*$Z$41</f>
        <v>0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38</v>
      </c>
      <c r="C42" s="4" t="s">
        <v>39</v>
      </c>
      <c r="D42" s="4" t="s">
        <v>37</v>
      </c>
      <c r="E42" s="4" t="s">
        <v>25</v>
      </c>
      <c r="F42" s="4" t="s">
        <v>57</v>
      </c>
      <c r="G42" s="4" t="s">
        <v>25</v>
      </c>
      <c r="H42" s="4" t="s">
        <v>34</v>
      </c>
      <c r="I42" s="5">
        <v>44501</v>
      </c>
      <c r="J42" s="6">
        <v>5615</v>
      </c>
      <c r="K42" s="6">
        <v>2807.5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58</v>
      </c>
      <c r="R42" s="4">
        <v>0</v>
      </c>
      <c r="S42" s="6">
        <v>22</v>
      </c>
      <c r="T42" s="6">
        <v>0</v>
      </c>
      <c r="U42" s="6">
        <v>0</v>
      </c>
      <c r="V42" s="6">
        <f>IF(ISERROR(VLOOKUP($S$42,'TAR FIN'!$A$1:$O$86,15,0)),0,VLOOKUP($S$42,'TAR FIN'!$A$1:$O$86,15,0))</f>
        <v>19.239999999999998</v>
      </c>
      <c r="W42" s="6">
        <f>IF(ISERROR(VLOOKUP($T$42,'TAR FIN'!$A$1:$O$86,15,0)),0,VLOOKUP($T$42,'TAR FIN'!$A$1:$O$86,15,0))</f>
        <v>0</v>
      </c>
      <c r="X42" s="6">
        <f>IF(ISERROR(VLOOKUP($U$42,'TAR FIN'!$A$1:$O$86,15,0)),0,VLOOKUP($U$42,'TAR FIN'!$A$1:$O$86,15,0))</f>
        <v>0</v>
      </c>
      <c r="Y42" s="6">
        <f ca="1">('TUSD BE'!$AM$7+'TUSD BF'!$AM$7+'TUSD CVA'!$AM$7)*1</f>
        <v>15.19295792072058</v>
      </c>
      <c r="Z42" s="6">
        <f ca="1">('TUSD BE'!$AM$8+'TUSD BF'!$AM$8+'TUSD CVA'!$AM$8)*1</f>
        <v>100.23755694003805</v>
      </c>
      <c r="AA42" s="6"/>
      <c r="AB42" s="6">
        <f>$K$42*$V$42</f>
        <v>54016.299999999996</v>
      </c>
      <c r="AC42" s="6">
        <f>$M$42*$W$42</f>
        <v>0</v>
      </c>
      <c r="AD42" s="6">
        <f>$O$42*$X$42</f>
        <v>0</v>
      </c>
      <c r="AE42" s="6">
        <f ca="1">$K$42*$Y$42</f>
        <v>42654.22936242303</v>
      </c>
      <c r="AF42" s="6">
        <f ca="1">$M$42*$Z$42</f>
        <v>0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38</v>
      </c>
      <c r="C43" s="4" t="s">
        <v>39</v>
      </c>
      <c r="D43" s="4" t="s">
        <v>37</v>
      </c>
      <c r="E43" s="4" t="s">
        <v>25</v>
      </c>
      <c r="F43" s="4" t="s">
        <v>57</v>
      </c>
      <c r="G43" s="4" t="s">
        <v>25</v>
      </c>
      <c r="H43" s="4" t="s">
        <v>34</v>
      </c>
      <c r="I43" s="5">
        <v>44531</v>
      </c>
      <c r="J43" s="6">
        <v>5648</v>
      </c>
      <c r="K43" s="6">
        <v>2824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58</v>
      </c>
      <c r="R43" s="4">
        <v>0</v>
      </c>
      <c r="S43" s="6">
        <v>22</v>
      </c>
      <c r="T43" s="6">
        <v>0</v>
      </c>
      <c r="U43" s="6">
        <v>0</v>
      </c>
      <c r="V43" s="6">
        <f>IF(ISERROR(VLOOKUP($S$43,'TAR FIN'!$A$1:$O$86,15,0)),0,VLOOKUP($S$43,'TAR FIN'!$A$1:$O$86,15,0))</f>
        <v>19.239999999999998</v>
      </c>
      <c r="W43" s="6">
        <f>IF(ISERROR(VLOOKUP($T$43,'TAR FIN'!$A$1:$O$86,15,0)),0,VLOOKUP($T$43,'TAR FIN'!$A$1:$O$86,15,0))</f>
        <v>0</v>
      </c>
      <c r="X43" s="6">
        <f>IF(ISERROR(VLOOKUP($U$43,'TAR FIN'!$A$1:$O$86,15,0)),0,VLOOKUP($U$43,'TAR FIN'!$A$1:$O$86,15,0))</f>
        <v>0</v>
      </c>
      <c r="Y43" s="6">
        <f ca="1">('TUSD BE'!$AM$7+'TUSD BF'!$AM$7+'TUSD CVA'!$AM$7)*1</f>
        <v>15.19295792072058</v>
      </c>
      <c r="Z43" s="6">
        <f ca="1">('TUSD BE'!$AM$8+'TUSD BF'!$AM$8+'TUSD CVA'!$AM$8)*1</f>
        <v>100.23755694003805</v>
      </c>
      <c r="AA43" s="6"/>
      <c r="AB43" s="6">
        <f>$K$43*$V$43</f>
        <v>54333.759999999995</v>
      </c>
      <c r="AC43" s="6">
        <f>$M$43*$W$43</f>
        <v>0</v>
      </c>
      <c r="AD43" s="6">
        <f>$O$43*$X$43</f>
        <v>0</v>
      </c>
      <c r="AE43" s="6">
        <f ca="1">$K$43*$Y$43</f>
        <v>42904.913168114923</v>
      </c>
      <c r="AF43" s="6">
        <f ca="1">$M$43*$Z$43</f>
        <v>0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38</v>
      </c>
      <c r="C44" s="4" t="s">
        <v>39</v>
      </c>
      <c r="D44" s="4" t="s">
        <v>37</v>
      </c>
      <c r="E44" s="4" t="s">
        <v>25</v>
      </c>
      <c r="F44" s="4" t="s">
        <v>57</v>
      </c>
      <c r="G44" s="4" t="s">
        <v>25</v>
      </c>
      <c r="H44" s="4" t="s">
        <v>34</v>
      </c>
      <c r="I44" s="5">
        <v>44562</v>
      </c>
      <c r="J44" s="6">
        <v>5716</v>
      </c>
      <c r="K44" s="6">
        <v>2858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58</v>
      </c>
      <c r="R44" s="4">
        <v>0</v>
      </c>
      <c r="S44" s="6">
        <v>22</v>
      </c>
      <c r="T44" s="6">
        <v>0</v>
      </c>
      <c r="U44" s="6">
        <v>0</v>
      </c>
      <c r="V44" s="6">
        <f>IF(ISERROR(VLOOKUP($S$44,'TAR FIN'!$A$1:$O$86,15,0)),0,VLOOKUP($S$44,'TAR FIN'!$A$1:$O$86,15,0))</f>
        <v>19.239999999999998</v>
      </c>
      <c r="W44" s="6">
        <f>IF(ISERROR(VLOOKUP($T$44,'TAR FIN'!$A$1:$O$86,15,0)),0,VLOOKUP($T$44,'TAR FIN'!$A$1:$O$86,15,0))</f>
        <v>0</v>
      </c>
      <c r="X44" s="6">
        <f>IF(ISERROR(VLOOKUP($U$44,'TAR FIN'!$A$1:$O$86,15,0)),0,VLOOKUP($U$44,'TAR FIN'!$A$1:$O$86,15,0))</f>
        <v>0</v>
      </c>
      <c r="Y44" s="6">
        <f ca="1">('TUSD BE'!$AM$7+'TUSD BF'!$AM$7+'TUSD CVA'!$AM$7)*1</f>
        <v>15.19295792072058</v>
      </c>
      <c r="Z44" s="6">
        <f ca="1">('TUSD BE'!$AM$8+'TUSD BF'!$AM$8+'TUSD CVA'!$AM$8)*1</f>
        <v>100.23755694003805</v>
      </c>
      <c r="AA44" s="6"/>
      <c r="AB44" s="6">
        <f>$K$44*$V$44</f>
        <v>54987.92</v>
      </c>
      <c r="AC44" s="6">
        <f>$M$44*$W$44</f>
        <v>0</v>
      </c>
      <c r="AD44" s="6">
        <f>$O$44*$X$44</f>
        <v>0</v>
      </c>
      <c r="AE44" s="6">
        <f ca="1">$K$44*$Y$44</f>
        <v>43421.473737419416</v>
      </c>
      <c r="AF44" s="6">
        <f ca="1">$M$44*$Z$44</f>
        <v>0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38</v>
      </c>
      <c r="C45" s="4" t="s">
        <v>39</v>
      </c>
      <c r="D45" s="4" t="s">
        <v>37</v>
      </c>
      <c r="E45" s="4" t="s">
        <v>25</v>
      </c>
      <c r="F45" s="4" t="s">
        <v>57</v>
      </c>
      <c r="G45" s="4" t="s">
        <v>25</v>
      </c>
      <c r="H45" s="4" t="s">
        <v>34</v>
      </c>
      <c r="I45" s="5">
        <v>44593</v>
      </c>
      <c r="J45" s="6">
        <v>5640</v>
      </c>
      <c r="K45" s="6">
        <v>2820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58</v>
      </c>
      <c r="R45" s="4">
        <v>0</v>
      </c>
      <c r="S45" s="6">
        <v>22</v>
      </c>
      <c r="T45" s="6">
        <v>0</v>
      </c>
      <c r="U45" s="6">
        <v>0</v>
      </c>
      <c r="V45" s="6">
        <f>IF(ISERROR(VLOOKUP($S$45,'TAR FIN'!$A$1:$O$86,15,0)),0,VLOOKUP($S$45,'TAR FIN'!$A$1:$O$86,15,0))</f>
        <v>19.239999999999998</v>
      </c>
      <c r="W45" s="6">
        <f>IF(ISERROR(VLOOKUP($T$45,'TAR FIN'!$A$1:$O$86,15,0)),0,VLOOKUP($T$45,'TAR FIN'!$A$1:$O$86,15,0))</f>
        <v>0</v>
      </c>
      <c r="X45" s="6">
        <f>IF(ISERROR(VLOOKUP($U$45,'TAR FIN'!$A$1:$O$86,15,0)),0,VLOOKUP($U$45,'TAR FIN'!$A$1:$O$86,15,0))</f>
        <v>0</v>
      </c>
      <c r="Y45" s="6">
        <f ca="1">('TUSD BE'!$AM$7+'TUSD BF'!$AM$7+'TUSD CVA'!$AM$7)*1</f>
        <v>15.19295792072058</v>
      </c>
      <c r="Z45" s="6">
        <f ca="1">('TUSD BE'!$AM$8+'TUSD BF'!$AM$8+'TUSD CVA'!$AM$8)*1</f>
        <v>100.23755694003805</v>
      </c>
      <c r="AA45" s="6"/>
      <c r="AB45" s="6">
        <f>$K$45*$V$45</f>
        <v>54256.799999999996</v>
      </c>
      <c r="AC45" s="6">
        <f>$M$45*$W$45</f>
        <v>0</v>
      </c>
      <c r="AD45" s="6">
        <f>$O$45*$X$45</f>
        <v>0</v>
      </c>
      <c r="AE45" s="6">
        <f ca="1">$K$45*$Y$45</f>
        <v>42844.14133643204</v>
      </c>
      <c r="AF45" s="6">
        <f ca="1"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38</v>
      </c>
      <c r="C46" s="4" t="s">
        <v>39</v>
      </c>
      <c r="D46" s="4" t="s">
        <v>37</v>
      </c>
      <c r="E46" s="4" t="s">
        <v>25</v>
      </c>
      <c r="F46" s="4" t="s">
        <v>57</v>
      </c>
      <c r="G46" s="4" t="s">
        <v>25</v>
      </c>
      <c r="H46" s="4" t="s">
        <v>34</v>
      </c>
      <c r="I46" s="5">
        <v>44621</v>
      </c>
      <c r="J46" s="6">
        <v>5643</v>
      </c>
      <c r="K46" s="6">
        <v>2821.5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58</v>
      </c>
      <c r="R46" s="4">
        <v>0</v>
      </c>
      <c r="S46" s="6">
        <v>22</v>
      </c>
      <c r="T46" s="6">
        <v>0</v>
      </c>
      <c r="U46" s="6">
        <v>0</v>
      </c>
      <c r="V46" s="6">
        <f>IF(ISERROR(VLOOKUP($S$46,'TAR FIN'!$A$1:$O$86,15,0)),0,VLOOKUP($S$46,'TAR FIN'!$A$1:$O$86,15,0))</f>
        <v>19.239999999999998</v>
      </c>
      <c r="W46" s="6">
        <f>IF(ISERROR(VLOOKUP($T$46,'TAR FIN'!$A$1:$O$86,15,0)),0,VLOOKUP($T$46,'TAR FIN'!$A$1:$O$86,15,0))</f>
        <v>0</v>
      </c>
      <c r="X46" s="6">
        <f>IF(ISERROR(VLOOKUP($U$46,'TAR FIN'!$A$1:$O$86,15,0)),0,VLOOKUP($U$46,'TAR FIN'!$A$1:$O$86,15,0))</f>
        <v>0</v>
      </c>
      <c r="Y46" s="6">
        <f ca="1">('TUSD BE'!$AM$7+'TUSD BF'!$AM$7+'TUSD CVA'!$AM$7)*1</f>
        <v>15.19295792072058</v>
      </c>
      <c r="Z46" s="6">
        <f ca="1">('TUSD BE'!$AM$8+'TUSD BF'!$AM$8+'TUSD CVA'!$AM$8)*1</f>
        <v>100.23755694003805</v>
      </c>
      <c r="AA46" s="6"/>
      <c r="AB46" s="6">
        <f>$K$46*$V$46</f>
        <v>54285.659999999996</v>
      </c>
      <c r="AC46" s="6">
        <f>$M$46*$W$46</f>
        <v>0</v>
      </c>
      <c r="AD46" s="6">
        <f>$O$46*$X$46</f>
        <v>0</v>
      </c>
      <c r="AE46" s="6">
        <f ca="1">$K$46*$Y$46</f>
        <v>42866.930773313121</v>
      </c>
      <c r="AF46" s="6">
        <f ca="1"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38</v>
      </c>
      <c r="C47" s="4" t="s">
        <v>39</v>
      </c>
      <c r="D47" s="4" t="s">
        <v>37</v>
      </c>
      <c r="E47" s="4" t="s">
        <v>25</v>
      </c>
      <c r="F47" s="4" t="s">
        <v>57</v>
      </c>
      <c r="G47" s="4" t="s">
        <v>25</v>
      </c>
      <c r="H47" s="4" t="s">
        <v>34</v>
      </c>
      <c r="I47" s="5">
        <v>44652</v>
      </c>
      <c r="J47" s="6">
        <v>5618</v>
      </c>
      <c r="K47" s="6">
        <v>2809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58</v>
      </c>
      <c r="R47" s="4">
        <v>0</v>
      </c>
      <c r="S47" s="6">
        <v>22</v>
      </c>
      <c r="T47" s="6">
        <v>0</v>
      </c>
      <c r="U47" s="6">
        <v>0</v>
      </c>
      <c r="V47" s="6">
        <f>IF(ISERROR(VLOOKUP($S$47,'TAR FIN'!$A$1:$O$86,15,0)),0,VLOOKUP($S$47,'TAR FIN'!$A$1:$O$86,15,0))</f>
        <v>19.239999999999998</v>
      </c>
      <c r="W47" s="6">
        <f>IF(ISERROR(VLOOKUP($T$47,'TAR FIN'!$A$1:$O$86,15,0)),0,VLOOKUP($T$47,'TAR FIN'!$A$1:$O$86,15,0))</f>
        <v>0</v>
      </c>
      <c r="X47" s="6">
        <f>IF(ISERROR(VLOOKUP($U$47,'TAR FIN'!$A$1:$O$86,15,0)),0,VLOOKUP($U$47,'TAR FIN'!$A$1:$O$86,15,0))</f>
        <v>0</v>
      </c>
      <c r="Y47" s="6">
        <f ca="1">('TUSD BE'!$AM$7+'TUSD BF'!$AM$7+'TUSD CVA'!$AM$7)*1</f>
        <v>15.19295792072058</v>
      </c>
      <c r="Z47" s="6">
        <f ca="1">('TUSD BE'!$AM$8+'TUSD BF'!$AM$8+'TUSD CVA'!$AM$8)*1</f>
        <v>100.23755694003805</v>
      </c>
      <c r="AA47" s="6"/>
      <c r="AB47" s="6">
        <f>$K$47*$V$47</f>
        <v>54045.159999999996</v>
      </c>
      <c r="AC47" s="6">
        <f>$M$47*$W$47</f>
        <v>0</v>
      </c>
      <c r="AD47" s="6">
        <f>$O$47*$X$47</f>
        <v>0</v>
      </c>
      <c r="AE47" s="6">
        <f ca="1">$K$47*$Y$47</f>
        <v>42677.018799304111</v>
      </c>
      <c r="AF47" s="6">
        <f ca="1">$M$47*$Z$47</f>
        <v>0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38</v>
      </c>
      <c r="C48" s="4" t="s">
        <v>39</v>
      </c>
      <c r="D48" s="4" t="s">
        <v>37</v>
      </c>
      <c r="E48" s="4" t="s">
        <v>25</v>
      </c>
      <c r="F48" s="4" t="s">
        <v>57</v>
      </c>
      <c r="G48" s="4" t="s">
        <v>25</v>
      </c>
      <c r="H48" s="4" t="s">
        <v>34</v>
      </c>
      <c r="I48" s="5">
        <v>44682</v>
      </c>
      <c r="J48" s="6">
        <v>5674</v>
      </c>
      <c r="K48" s="6">
        <v>2837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58</v>
      </c>
      <c r="R48" s="4">
        <v>0</v>
      </c>
      <c r="S48" s="6">
        <v>22</v>
      </c>
      <c r="T48" s="6">
        <v>0</v>
      </c>
      <c r="U48" s="6">
        <v>0</v>
      </c>
      <c r="V48" s="6">
        <f>IF(ISERROR(VLOOKUP($S$48,'TAR FIN'!$A$1:$O$86,15,0)),0,VLOOKUP($S$48,'TAR FIN'!$A$1:$O$86,15,0))</f>
        <v>19.239999999999998</v>
      </c>
      <c r="W48" s="6">
        <f>IF(ISERROR(VLOOKUP($T$48,'TAR FIN'!$A$1:$O$86,15,0)),0,VLOOKUP($T$48,'TAR FIN'!$A$1:$O$86,15,0))</f>
        <v>0</v>
      </c>
      <c r="X48" s="6">
        <f>IF(ISERROR(VLOOKUP($U$48,'TAR FIN'!$A$1:$O$86,15,0)),0,VLOOKUP($U$48,'TAR FIN'!$A$1:$O$86,15,0))</f>
        <v>0</v>
      </c>
      <c r="Y48" s="6">
        <f ca="1">('TUSD BE'!$AM$7+'TUSD BF'!$AM$7+'TUSD CVA'!$AM$7)*1</f>
        <v>15.19295792072058</v>
      </c>
      <c r="Z48" s="6">
        <f ca="1">('TUSD BE'!$AM$8+'TUSD BF'!$AM$8+'TUSD CVA'!$AM$8)*1</f>
        <v>100.23755694003805</v>
      </c>
      <c r="AA48" s="6"/>
      <c r="AB48" s="6">
        <f>$K$48*$V$48</f>
        <v>54583.88</v>
      </c>
      <c r="AC48" s="6">
        <f>$M$48*$W$48</f>
        <v>0</v>
      </c>
      <c r="AD48" s="6">
        <f>$O$48*$X$48</f>
        <v>0</v>
      </c>
      <c r="AE48" s="6">
        <f ca="1">$K$48*$Y$48</f>
        <v>43102.421621084286</v>
      </c>
      <c r="AF48" s="6">
        <f ca="1">$M$48*$Z$48</f>
        <v>0</v>
      </c>
      <c r="AG48" s="6">
        <f>$O$48*$AA$48</f>
        <v>0</v>
      </c>
    </row>
    <row r="49" spans="1:33" ht="11.25" customHeight="1" x14ac:dyDescent="0.25">
      <c r="A49" s="4" t="s">
        <v>56</v>
      </c>
      <c r="B49" s="4" t="s">
        <v>38</v>
      </c>
      <c r="C49" s="4" t="s">
        <v>39</v>
      </c>
      <c r="D49" s="4" t="s">
        <v>37</v>
      </c>
      <c r="E49" s="4" t="s">
        <v>25</v>
      </c>
      <c r="F49" s="4" t="s">
        <v>57</v>
      </c>
      <c r="G49" s="4" t="s">
        <v>25</v>
      </c>
      <c r="H49" s="4" t="s">
        <v>34</v>
      </c>
      <c r="I49" s="5">
        <v>44713</v>
      </c>
      <c r="J49" s="6">
        <v>5674</v>
      </c>
      <c r="K49" s="6">
        <v>2837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58</v>
      </c>
      <c r="R49" s="4">
        <v>0</v>
      </c>
      <c r="S49" s="6">
        <v>22</v>
      </c>
      <c r="T49" s="6">
        <v>0</v>
      </c>
      <c r="U49" s="6">
        <v>0</v>
      </c>
      <c r="V49" s="6">
        <f>IF(ISERROR(VLOOKUP($S$49,'TAR FIN'!$A$1:$O$86,15,0)),0,VLOOKUP($S$49,'TAR FIN'!$A$1:$O$86,15,0))</f>
        <v>19.239999999999998</v>
      </c>
      <c r="W49" s="6">
        <f>IF(ISERROR(VLOOKUP($T$49,'TAR FIN'!$A$1:$O$86,15,0)),0,VLOOKUP($T$49,'TAR FIN'!$A$1:$O$86,15,0))</f>
        <v>0</v>
      </c>
      <c r="X49" s="6">
        <f>IF(ISERROR(VLOOKUP($U$49,'TAR FIN'!$A$1:$O$86,15,0)),0,VLOOKUP($U$49,'TAR FIN'!$A$1:$O$86,15,0))</f>
        <v>0</v>
      </c>
      <c r="Y49" s="6">
        <f ca="1">('TUSD BE'!$AM$7+'TUSD BF'!$AM$7+'TUSD CVA'!$AM$7)*1</f>
        <v>15.19295792072058</v>
      </c>
      <c r="Z49" s="6">
        <f ca="1">('TUSD BE'!$AM$8+'TUSD BF'!$AM$8+'TUSD CVA'!$AM$8)*1</f>
        <v>100.23755694003805</v>
      </c>
      <c r="AA49" s="6"/>
      <c r="AB49" s="6">
        <f>$K$49*$V$49</f>
        <v>54583.88</v>
      </c>
      <c r="AC49" s="6">
        <f>$M$49*$W$49</f>
        <v>0</v>
      </c>
      <c r="AD49" s="6">
        <f>$O$49*$X$49</f>
        <v>0</v>
      </c>
      <c r="AE49" s="6">
        <f ca="1">$K$49*$Y$49</f>
        <v>43102.421621084286</v>
      </c>
      <c r="AF49" s="6">
        <f ca="1"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38</v>
      </c>
      <c r="C50" s="4" t="s">
        <v>39</v>
      </c>
      <c r="D50" s="4" t="s">
        <v>37</v>
      </c>
      <c r="E50" s="4" t="s">
        <v>25</v>
      </c>
      <c r="F50" s="4" t="s">
        <v>57</v>
      </c>
      <c r="G50" s="4" t="s">
        <v>25</v>
      </c>
      <c r="H50" s="4" t="s">
        <v>25</v>
      </c>
      <c r="I50" s="5">
        <v>44378</v>
      </c>
      <c r="J50" s="6">
        <v>0</v>
      </c>
      <c r="K50" s="6">
        <v>0</v>
      </c>
      <c r="L50" s="6">
        <v>2527.2869999999998</v>
      </c>
      <c r="M50" s="6">
        <v>1263.6434999999999</v>
      </c>
      <c r="N50" s="6">
        <v>0</v>
      </c>
      <c r="O50" s="6">
        <v>0</v>
      </c>
      <c r="P50" s="6">
        <v>4</v>
      </c>
      <c r="Q50" s="4" t="s">
        <v>58</v>
      </c>
      <c r="R50" s="4">
        <v>0</v>
      </c>
      <c r="S50" s="6">
        <v>0</v>
      </c>
      <c r="T50" s="6">
        <v>7</v>
      </c>
      <c r="U50" s="6">
        <v>0</v>
      </c>
      <c r="V50" s="6">
        <f>IF(ISERROR(VLOOKUP($S$50,'TAR FIN'!$A$1:$O$86,15,0)),0,VLOOKUP($S$50,'TAR FIN'!$A$1:$O$86,15,0))</f>
        <v>0</v>
      </c>
      <c r="W50" s="6">
        <f>IF(ISERROR(VLOOKUP($T$50,'TAR FIN'!$A$1:$O$86,15,0)),0,VLOOKUP($T$50,'TAR FIN'!$A$1:$O$86,15,0))</f>
        <v>78.680000000000007</v>
      </c>
      <c r="X50" s="6">
        <f>IF(ISERROR(VLOOKUP($U$50,'TAR FIN'!$A$1:$O$86,15,0)),0,VLOOKUP($U$50,'TAR FIN'!$A$1:$O$86,15,0))</f>
        <v>0</v>
      </c>
      <c r="Y50" s="6"/>
      <c r="Z50" s="6">
        <f ca="1">('TUSD BE'!$AM$8+'TUSD BF'!$AM$8+'TUSD CVA'!$AM$8)*1</f>
        <v>100.23755694003805</v>
      </c>
      <c r="AA50" s="6"/>
      <c r="AB50" s="6">
        <f>$K$50*$V$50</f>
        <v>0</v>
      </c>
      <c r="AC50" s="6">
        <f>$M$50*$W$50</f>
        <v>99423.470579999994</v>
      </c>
      <c r="AD50" s="6">
        <f>$O$50*$X$50</f>
        <v>0</v>
      </c>
      <c r="AE50" s="6">
        <f>$K$50*$Y$50</f>
        <v>0</v>
      </c>
      <c r="AF50" s="6">
        <f ca="1">$M$50*$Z$50</f>
        <v>126664.53728315896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38</v>
      </c>
      <c r="C51" s="4" t="s">
        <v>39</v>
      </c>
      <c r="D51" s="4" t="s">
        <v>37</v>
      </c>
      <c r="E51" s="4" t="s">
        <v>25</v>
      </c>
      <c r="F51" s="4" t="s">
        <v>57</v>
      </c>
      <c r="G51" s="4" t="s">
        <v>25</v>
      </c>
      <c r="H51" s="4" t="s">
        <v>25</v>
      </c>
      <c r="I51" s="5">
        <v>44409</v>
      </c>
      <c r="J51" s="6">
        <v>0</v>
      </c>
      <c r="K51" s="6">
        <v>0</v>
      </c>
      <c r="L51" s="6">
        <v>2597.9349999999999</v>
      </c>
      <c r="M51" s="6">
        <v>1298.9675</v>
      </c>
      <c r="N51" s="6">
        <v>0</v>
      </c>
      <c r="O51" s="6">
        <v>0</v>
      </c>
      <c r="P51" s="6">
        <v>4</v>
      </c>
      <c r="Q51" s="4" t="s">
        <v>58</v>
      </c>
      <c r="R51" s="4">
        <v>0</v>
      </c>
      <c r="S51" s="6">
        <v>0</v>
      </c>
      <c r="T51" s="6">
        <v>7</v>
      </c>
      <c r="U51" s="6">
        <v>0</v>
      </c>
      <c r="V51" s="6">
        <f>IF(ISERROR(VLOOKUP($S$51,'TAR FIN'!$A$1:$O$86,15,0)),0,VLOOKUP($S$51,'TAR FIN'!$A$1:$O$86,15,0))</f>
        <v>0</v>
      </c>
      <c r="W51" s="6">
        <f>IF(ISERROR(VLOOKUP($T$51,'TAR FIN'!$A$1:$O$86,15,0)),0,VLOOKUP($T$51,'TAR FIN'!$A$1:$O$86,15,0))</f>
        <v>78.680000000000007</v>
      </c>
      <c r="X51" s="6">
        <f>IF(ISERROR(VLOOKUP($U$51,'TAR FIN'!$A$1:$O$86,15,0)),0,VLOOKUP($U$51,'TAR FIN'!$A$1:$O$86,15,0))</f>
        <v>0</v>
      </c>
      <c r="Y51" s="6"/>
      <c r="Z51" s="6">
        <f ca="1">('TUSD BE'!$AM$8+'TUSD BF'!$AM$8+'TUSD CVA'!$AM$8)*1</f>
        <v>100.23755694003805</v>
      </c>
      <c r="AA51" s="6"/>
      <c r="AB51" s="6">
        <f>$K$51*$V$51</f>
        <v>0</v>
      </c>
      <c r="AC51" s="6">
        <f>$M$51*$W$51</f>
        <v>102202.7629</v>
      </c>
      <c r="AD51" s="6">
        <f>$O$51*$X$51</f>
        <v>0</v>
      </c>
      <c r="AE51" s="6">
        <f>$K$51*$Y$51</f>
        <v>0</v>
      </c>
      <c r="AF51" s="6">
        <f ca="1">$M$51*$Z$51</f>
        <v>130205.32874450886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38</v>
      </c>
      <c r="C52" s="4" t="s">
        <v>39</v>
      </c>
      <c r="D52" s="4" t="s">
        <v>37</v>
      </c>
      <c r="E52" s="4" t="s">
        <v>25</v>
      </c>
      <c r="F52" s="4" t="s">
        <v>57</v>
      </c>
      <c r="G52" s="4" t="s">
        <v>25</v>
      </c>
      <c r="H52" s="4" t="s">
        <v>25</v>
      </c>
      <c r="I52" s="5">
        <v>44440</v>
      </c>
      <c r="J52" s="6">
        <v>0</v>
      </c>
      <c r="K52" s="6">
        <v>0</v>
      </c>
      <c r="L52" s="6">
        <v>2547.232</v>
      </c>
      <c r="M52" s="6">
        <v>1273.616</v>
      </c>
      <c r="N52" s="6">
        <v>0</v>
      </c>
      <c r="O52" s="6">
        <v>0</v>
      </c>
      <c r="P52" s="6">
        <v>4</v>
      </c>
      <c r="Q52" s="4" t="s">
        <v>58</v>
      </c>
      <c r="R52" s="4">
        <v>0</v>
      </c>
      <c r="S52" s="6">
        <v>0</v>
      </c>
      <c r="T52" s="6">
        <v>7</v>
      </c>
      <c r="U52" s="6">
        <v>0</v>
      </c>
      <c r="V52" s="6">
        <f>IF(ISERROR(VLOOKUP($S$52,'TAR FIN'!$A$1:$O$86,15,0)),0,VLOOKUP($S$52,'TAR FIN'!$A$1:$O$86,15,0))</f>
        <v>0</v>
      </c>
      <c r="W52" s="6">
        <f>IF(ISERROR(VLOOKUP($T$52,'TAR FIN'!$A$1:$O$86,15,0)),0,VLOOKUP($T$52,'TAR FIN'!$A$1:$O$86,15,0))</f>
        <v>78.680000000000007</v>
      </c>
      <c r="X52" s="6">
        <f>IF(ISERROR(VLOOKUP($U$52,'TAR FIN'!$A$1:$O$86,15,0)),0,VLOOKUP($U$52,'TAR FIN'!$A$1:$O$86,15,0))</f>
        <v>0</v>
      </c>
      <c r="Y52" s="6"/>
      <c r="Z52" s="6">
        <f ca="1">('TUSD BE'!$AM$8+'TUSD BF'!$AM$8+'TUSD CVA'!$AM$8)*1</f>
        <v>100.23755694003805</v>
      </c>
      <c r="AA52" s="6"/>
      <c r="AB52" s="6">
        <f>$K$52*$V$52</f>
        <v>0</v>
      </c>
      <c r="AC52" s="6">
        <f>$M$52*$W$52</f>
        <v>100208.10688000001</v>
      </c>
      <c r="AD52" s="6">
        <f>$O$52*$X$52</f>
        <v>0</v>
      </c>
      <c r="AE52" s="6">
        <f>$K$52*$Y$52</f>
        <v>0</v>
      </c>
      <c r="AF52" s="6">
        <f ca="1">$M$52*$Z$52</f>
        <v>127664.1563197435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38</v>
      </c>
      <c r="C53" s="4" t="s">
        <v>39</v>
      </c>
      <c r="D53" s="4" t="s">
        <v>37</v>
      </c>
      <c r="E53" s="4" t="s">
        <v>25</v>
      </c>
      <c r="F53" s="4" t="s">
        <v>57</v>
      </c>
      <c r="G53" s="4" t="s">
        <v>25</v>
      </c>
      <c r="H53" s="4" t="s">
        <v>25</v>
      </c>
      <c r="I53" s="5">
        <v>44470</v>
      </c>
      <c r="J53" s="6">
        <v>0</v>
      </c>
      <c r="K53" s="6">
        <v>0</v>
      </c>
      <c r="L53" s="6">
        <v>2494.2710000000002</v>
      </c>
      <c r="M53" s="6">
        <v>1247.1355000000001</v>
      </c>
      <c r="N53" s="6">
        <v>0</v>
      </c>
      <c r="O53" s="6">
        <v>0</v>
      </c>
      <c r="P53" s="6">
        <v>4</v>
      </c>
      <c r="Q53" s="4" t="s">
        <v>58</v>
      </c>
      <c r="R53" s="4">
        <v>0</v>
      </c>
      <c r="S53" s="6">
        <v>0</v>
      </c>
      <c r="T53" s="6">
        <v>7</v>
      </c>
      <c r="U53" s="6">
        <v>0</v>
      </c>
      <c r="V53" s="6">
        <f>IF(ISERROR(VLOOKUP($S$53,'TAR FIN'!$A$1:$O$86,15,0)),0,VLOOKUP($S$53,'TAR FIN'!$A$1:$O$86,15,0))</f>
        <v>0</v>
      </c>
      <c r="W53" s="6">
        <f>IF(ISERROR(VLOOKUP($T$53,'TAR FIN'!$A$1:$O$86,15,0)),0,VLOOKUP($T$53,'TAR FIN'!$A$1:$O$86,15,0))</f>
        <v>78.680000000000007</v>
      </c>
      <c r="X53" s="6">
        <f>IF(ISERROR(VLOOKUP($U$53,'TAR FIN'!$A$1:$O$86,15,0)),0,VLOOKUP($U$53,'TAR FIN'!$A$1:$O$86,15,0))</f>
        <v>0</v>
      </c>
      <c r="Y53" s="6"/>
      <c r="Z53" s="6">
        <f ca="1">('TUSD BE'!$AM$8+'TUSD BF'!$AM$8+'TUSD CVA'!$AM$8)*1</f>
        <v>100.23755694003805</v>
      </c>
      <c r="AA53" s="6"/>
      <c r="AB53" s="6">
        <f>$K$53*$V$53</f>
        <v>0</v>
      </c>
      <c r="AC53" s="6">
        <f>$M$53*$W$53</f>
        <v>98124.621140000017</v>
      </c>
      <c r="AD53" s="6">
        <f>$O$53*$X$53</f>
        <v>0</v>
      </c>
      <c r="AE53" s="6">
        <f>$K$53*$Y$53</f>
        <v>0</v>
      </c>
      <c r="AF53" s="6">
        <f ca="1">$M$53*$Z$53</f>
        <v>125009.81569319282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38</v>
      </c>
      <c r="C54" s="4" t="s">
        <v>39</v>
      </c>
      <c r="D54" s="4" t="s">
        <v>37</v>
      </c>
      <c r="E54" s="4" t="s">
        <v>25</v>
      </c>
      <c r="F54" s="4" t="s">
        <v>57</v>
      </c>
      <c r="G54" s="4" t="s">
        <v>25</v>
      </c>
      <c r="H54" s="4" t="s">
        <v>25</v>
      </c>
      <c r="I54" s="5">
        <v>44501</v>
      </c>
      <c r="J54" s="6">
        <v>0</v>
      </c>
      <c r="K54" s="6">
        <v>0</v>
      </c>
      <c r="L54" s="6">
        <v>2493.67</v>
      </c>
      <c r="M54" s="6">
        <v>1246.835</v>
      </c>
      <c r="N54" s="6">
        <v>0</v>
      </c>
      <c r="O54" s="6">
        <v>0</v>
      </c>
      <c r="P54" s="6">
        <v>4</v>
      </c>
      <c r="Q54" s="4" t="s">
        <v>58</v>
      </c>
      <c r="R54" s="4">
        <v>0</v>
      </c>
      <c r="S54" s="6">
        <v>0</v>
      </c>
      <c r="T54" s="6">
        <v>7</v>
      </c>
      <c r="U54" s="6">
        <v>0</v>
      </c>
      <c r="V54" s="6">
        <f>IF(ISERROR(VLOOKUP($S$54,'TAR FIN'!$A$1:$O$86,15,0)),0,VLOOKUP($S$54,'TAR FIN'!$A$1:$O$86,15,0))</f>
        <v>0</v>
      </c>
      <c r="W54" s="6">
        <f>IF(ISERROR(VLOOKUP($T$54,'TAR FIN'!$A$1:$O$86,15,0)),0,VLOOKUP($T$54,'TAR FIN'!$A$1:$O$86,15,0))</f>
        <v>78.680000000000007</v>
      </c>
      <c r="X54" s="6">
        <f>IF(ISERROR(VLOOKUP($U$54,'TAR FIN'!$A$1:$O$86,15,0)),0,VLOOKUP($U$54,'TAR FIN'!$A$1:$O$86,15,0))</f>
        <v>0</v>
      </c>
      <c r="Y54" s="6"/>
      <c r="Z54" s="6">
        <f ca="1">('TUSD BE'!$AM$8+'TUSD BF'!$AM$8+'TUSD CVA'!$AM$8)*1</f>
        <v>100.23755694003805</v>
      </c>
      <c r="AA54" s="6"/>
      <c r="AB54" s="6">
        <f>$K$54*$V$54</f>
        <v>0</v>
      </c>
      <c r="AC54" s="6">
        <f>$M$54*$W$54</f>
        <v>98100.977800000008</v>
      </c>
      <c r="AD54" s="6">
        <f>$O$54*$X$54</f>
        <v>0</v>
      </c>
      <c r="AE54" s="6">
        <f>$K$54*$Y$54</f>
        <v>0</v>
      </c>
      <c r="AF54" s="6">
        <f ca="1">$M$54*$Z$54</f>
        <v>124979.69430733235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38</v>
      </c>
      <c r="C55" s="4" t="s">
        <v>39</v>
      </c>
      <c r="D55" s="4" t="s">
        <v>37</v>
      </c>
      <c r="E55" s="4" t="s">
        <v>25</v>
      </c>
      <c r="F55" s="4" t="s">
        <v>57</v>
      </c>
      <c r="G55" s="4" t="s">
        <v>25</v>
      </c>
      <c r="H55" s="4" t="s">
        <v>25</v>
      </c>
      <c r="I55" s="5">
        <v>44531</v>
      </c>
      <c r="J55" s="6">
        <v>0</v>
      </c>
      <c r="K55" s="6">
        <v>0</v>
      </c>
      <c r="L55" s="6">
        <v>2788.4180000000001</v>
      </c>
      <c r="M55" s="6">
        <v>1394.2090000000001</v>
      </c>
      <c r="N55" s="6">
        <v>0</v>
      </c>
      <c r="O55" s="6">
        <v>0</v>
      </c>
      <c r="P55" s="6">
        <v>4</v>
      </c>
      <c r="Q55" s="4" t="s">
        <v>58</v>
      </c>
      <c r="R55" s="4">
        <v>0</v>
      </c>
      <c r="S55" s="6">
        <v>0</v>
      </c>
      <c r="T55" s="6">
        <v>7</v>
      </c>
      <c r="U55" s="6">
        <v>0</v>
      </c>
      <c r="V55" s="6">
        <f>IF(ISERROR(VLOOKUP($S$55,'TAR FIN'!$A$1:$O$86,15,0)),0,VLOOKUP($S$55,'TAR FIN'!$A$1:$O$86,15,0))</f>
        <v>0</v>
      </c>
      <c r="W55" s="6">
        <f>IF(ISERROR(VLOOKUP($T$55,'TAR FIN'!$A$1:$O$86,15,0)),0,VLOOKUP($T$55,'TAR FIN'!$A$1:$O$86,15,0))</f>
        <v>78.680000000000007</v>
      </c>
      <c r="X55" s="6">
        <f>IF(ISERROR(VLOOKUP($U$55,'TAR FIN'!$A$1:$O$86,15,0)),0,VLOOKUP($U$55,'TAR FIN'!$A$1:$O$86,15,0))</f>
        <v>0</v>
      </c>
      <c r="Y55" s="6"/>
      <c r="Z55" s="6">
        <f ca="1">('TUSD BE'!$AM$8+'TUSD BF'!$AM$8+'TUSD CVA'!$AM$8)*1</f>
        <v>100.23755694003805</v>
      </c>
      <c r="AA55" s="6"/>
      <c r="AB55" s="6">
        <f>$K$55*$V$55</f>
        <v>0</v>
      </c>
      <c r="AC55" s="6">
        <f>$M$55*$W$55</f>
        <v>109696.36412000001</v>
      </c>
      <c r="AD55" s="6">
        <f>$O$55*$X$55</f>
        <v>0</v>
      </c>
      <c r="AE55" s="6">
        <f>$K$55*$Y$55</f>
        <v>0</v>
      </c>
      <c r="AF55" s="6">
        <f ca="1">$M$55*$Z$55</f>
        <v>139752.1040238135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38</v>
      </c>
      <c r="C56" s="4" t="s">
        <v>39</v>
      </c>
      <c r="D56" s="4" t="s">
        <v>37</v>
      </c>
      <c r="E56" s="4" t="s">
        <v>25</v>
      </c>
      <c r="F56" s="4" t="s">
        <v>57</v>
      </c>
      <c r="G56" s="4" t="s">
        <v>25</v>
      </c>
      <c r="H56" s="4" t="s">
        <v>25</v>
      </c>
      <c r="I56" s="5">
        <v>44562</v>
      </c>
      <c r="J56" s="6">
        <v>0</v>
      </c>
      <c r="K56" s="6">
        <v>0</v>
      </c>
      <c r="L56" s="6">
        <v>2800.7049999999999</v>
      </c>
      <c r="M56" s="6">
        <v>1400.3525</v>
      </c>
      <c r="N56" s="6">
        <v>0</v>
      </c>
      <c r="O56" s="6">
        <v>0</v>
      </c>
      <c r="P56" s="6">
        <v>4</v>
      </c>
      <c r="Q56" s="4" t="s">
        <v>58</v>
      </c>
      <c r="R56" s="4">
        <v>0</v>
      </c>
      <c r="S56" s="6">
        <v>0</v>
      </c>
      <c r="T56" s="6">
        <v>7</v>
      </c>
      <c r="U56" s="6">
        <v>0</v>
      </c>
      <c r="V56" s="6">
        <f>IF(ISERROR(VLOOKUP($S$56,'TAR FIN'!$A$1:$O$86,15,0)),0,VLOOKUP($S$56,'TAR FIN'!$A$1:$O$86,15,0))</f>
        <v>0</v>
      </c>
      <c r="W56" s="6">
        <f>IF(ISERROR(VLOOKUP($T$56,'TAR FIN'!$A$1:$O$86,15,0)),0,VLOOKUP($T$56,'TAR FIN'!$A$1:$O$86,15,0))</f>
        <v>78.680000000000007</v>
      </c>
      <c r="X56" s="6">
        <f>IF(ISERROR(VLOOKUP($U$56,'TAR FIN'!$A$1:$O$86,15,0)),0,VLOOKUP($U$56,'TAR FIN'!$A$1:$O$86,15,0))</f>
        <v>0</v>
      </c>
      <c r="Y56" s="6"/>
      <c r="Z56" s="6">
        <f ca="1">('TUSD BE'!$AM$8+'TUSD BF'!$AM$8+'TUSD CVA'!$AM$8)*1</f>
        <v>100.23755694003805</v>
      </c>
      <c r="AA56" s="6"/>
      <c r="AB56" s="6">
        <f>$K$56*$V$56</f>
        <v>0</v>
      </c>
      <c r="AC56" s="6">
        <f>$M$56*$W$56</f>
        <v>110179.7347</v>
      </c>
      <c r="AD56" s="6">
        <f>$O$56*$X$56</f>
        <v>0</v>
      </c>
      <c r="AE56" s="6">
        <f>$K$56*$Y$56</f>
        <v>0</v>
      </c>
      <c r="AF56" s="6">
        <f ca="1">$M$56*$Z$56</f>
        <v>140367.91345487462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38</v>
      </c>
      <c r="C57" s="4" t="s">
        <v>39</v>
      </c>
      <c r="D57" s="4" t="s">
        <v>37</v>
      </c>
      <c r="E57" s="4" t="s">
        <v>25</v>
      </c>
      <c r="F57" s="4" t="s">
        <v>57</v>
      </c>
      <c r="G57" s="4" t="s">
        <v>25</v>
      </c>
      <c r="H57" s="4" t="s">
        <v>25</v>
      </c>
      <c r="I57" s="5">
        <v>44593</v>
      </c>
      <c r="J57" s="6">
        <v>0</v>
      </c>
      <c r="K57" s="6">
        <v>0</v>
      </c>
      <c r="L57" s="6">
        <v>2477.1469999999999</v>
      </c>
      <c r="M57" s="6">
        <v>1238.5735</v>
      </c>
      <c r="N57" s="6">
        <v>0</v>
      </c>
      <c r="O57" s="6">
        <v>0</v>
      </c>
      <c r="P57" s="6">
        <v>4</v>
      </c>
      <c r="Q57" s="4" t="s">
        <v>58</v>
      </c>
      <c r="R57" s="4">
        <v>0</v>
      </c>
      <c r="S57" s="6">
        <v>0</v>
      </c>
      <c r="T57" s="6">
        <v>7</v>
      </c>
      <c r="U57" s="6">
        <v>0</v>
      </c>
      <c r="V57" s="6">
        <f>IF(ISERROR(VLOOKUP($S$57,'TAR FIN'!$A$1:$O$86,15,0)),0,VLOOKUP($S$57,'TAR FIN'!$A$1:$O$86,15,0))</f>
        <v>0</v>
      </c>
      <c r="W57" s="6">
        <f>IF(ISERROR(VLOOKUP($T$57,'TAR FIN'!$A$1:$O$86,15,0)),0,VLOOKUP($T$57,'TAR FIN'!$A$1:$O$86,15,0))</f>
        <v>78.680000000000007</v>
      </c>
      <c r="X57" s="6">
        <f>IF(ISERROR(VLOOKUP($U$57,'TAR FIN'!$A$1:$O$86,15,0)),0,VLOOKUP($U$57,'TAR FIN'!$A$1:$O$86,15,0))</f>
        <v>0</v>
      </c>
      <c r="Y57" s="6"/>
      <c r="Z57" s="6">
        <f ca="1">('TUSD BE'!$AM$8+'TUSD BF'!$AM$8+'TUSD CVA'!$AM$8)*1</f>
        <v>100.23755694003805</v>
      </c>
      <c r="AA57" s="6"/>
      <c r="AB57" s="6">
        <f>$K$57*$V$57</f>
        <v>0</v>
      </c>
      <c r="AC57" s="6">
        <f>$M$57*$W$57</f>
        <v>97450.962980000011</v>
      </c>
      <c r="AD57" s="6">
        <f>$O$57*$X$57</f>
        <v>0</v>
      </c>
      <c r="AE57" s="6">
        <f>$K$57*$Y$57</f>
        <v>0</v>
      </c>
      <c r="AF57" s="6">
        <f ca="1">$M$57*$Z$57</f>
        <v>124151.58173067222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38</v>
      </c>
      <c r="C58" s="4" t="s">
        <v>39</v>
      </c>
      <c r="D58" s="4" t="s">
        <v>37</v>
      </c>
      <c r="E58" s="4" t="s">
        <v>25</v>
      </c>
      <c r="F58" s="4" t="s">
        <v>57</v>
      </c>
      <c r="G58" s="4" t="s">
        <v>25</v>
      </c>
      <c r="H58" s="4" t="s">
        <v>25</v>
      </c>
      <c r="I58" s="5">
        <v>44621</v>
      </c>
      <c r="J58" s="6">
        <v>0</v>
      </c>
      <c r="K58" s="6">
        <v>0</v>
      </c>
      <c r="L58" s="6">
        <v>2716.36</v>
      </c>
      <c r="M58" s="6">
        <v>1358.18</v>
      </c>
      <c r="N58" s="6">
        <v>0</v>
      </c>
      <c r="O58" s="6">
        <v>0</v>
      </c>
      <c r="P58" s="6">
        <v>4</v>
      </c>
      <c r="Q58" s="4" t="s">
        <v>58</v>
      </c>
      <c r="R58" s="4">
        <v>0</v>
      </c>
      <c r="S58" s="6">
        <v>0</v>
      </c>
      <c r="T58" s="6">
        <v>7</v>
      </c>
      <c r="U58" s="6">
        <v>0</v>
      </c>
      <c r="V58" s="6">
        <f>IF(ISERROR(VLOOKUP($S$58,'TAR FIN'!$A$1:$O$86,15,0)),0,VLOOKUP($S$58,'TAR FIN'!$A$1:$O$86,15,0))</f>
        <v>0</v>
      </c>
      <c r="W58" s="6">
        <f>IF(ISERROR(VLOOKUP($T$58,'TAR FIN'!$A$1:$O$86,15,0)),0,VLOOKUP($T$58,'TAR FIN'!$A$1:$O$86,15,0))</f>
        <v>78.680000000000007</v>
      </c>
      <c r="X58" s="6">
        <f>IF(ISERROR(VLOOKUP($U$58,'TAR FIN'!$A$1:$O$86,15,0)),0,VLOOKUP($U$58,'TAR FIN'!$A$1:$O$86,15,0))</f>
        <v>0</v>
      </c>
      <c r="Y58" s="6"/>
      <c r="Z58" s="6">
        <f ca="1">('TUSD BE'!$AM$8+'TUSD BF'!$AM$8+'TUSD CVA'!$AM$8)*1</f>
        <v>100.23755694003805</v>
      </c>
      <c r="AA58" s="6"/>
      <c r="AB58" s="6">
        <f>$K$58*$V$58</f>
        <v>0</v>
      </c>
      <c r="AC58" s="6">
        <f>$M$58*$W$58</f>
        <v>106861.60240000002</v>
      </c>
      <c r="AD58" s="6">
        <f>$O$58*$X$58</f>
        <v>0</v>
      </c>
      <c r="AE58" s="6">
        <f>$K$58*$Y$58</f>
        <v>0</v>
      </c>
      <c r="AF58" s="6">
        <f ca="1">$M$58*$Z$58</f>
        <v>136140.64508482089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38</v>
      </c>
      <c r="C59" s="4" t="s">
        <v>39</v>
      </c>
      <c r="D59" s="4" t="s">
        <v>37</v>
      </c>
      <c r="E59" s="4" t="s">
        <v>25</v>
      </c>
      <c r="F59" s="4" t="s">
        <v>57</v>
      </c>
      <c r="G59" s="4" t="s">
        <v>25</v>
      </c>
      <c r="H59" s="4" t="s">
        <v>25</v>
      </c>
      <c r="I59" s="5">
        <v>44652</v>
      </c>
      <c r="J59" s="6">
        <v>0</v>
      </c>
      <c r="K59" s="6">
        <v>0</v>
      </c>
      <c r="L59" s="6">
        <v>2357.3380000000002</v>
      </c>
      <c r="M59" s="6">
        <v>1178.6690000000001</v>
      </c>
      <c r="N59" s="6">
        <v>0</v>
      </c>
      <c r="O59" s="6">
        <v>0</v>
      </c>
      <c r="P59" s="6">
        <v>4</v>
      </c>
      <c r="Q59" s="4" t="s">
        <v>58</v>
      </c>
      <c r="R59" s="4">
        <v>0</v>
      </c>
      <c r="S59" s="6">
        <v>0</v>
      </c>
      <c r="T59" s="6">
        <v>7</v>
      </c>
      <c r="U59" s="6">
        <v>0</v>
      </c>
      <c r="V59" s="6">
        <f>IF(ISERROR(VLOOKUP($S$59,'TAR FIN'!$A$1:$O$86,15,0)),0,VLOOKUP($S$59,'TAR FIN'!$A$1:$O$86,15,0))</f>
        <v>0</v>
      </c>
      <c r="W59" s="6">
        <f>IF(ISERROR(VLOOKUP($T$59,'TAR FIN'!$A$1:$O$86,15,0)),0,VLOOKUP($T$59,'TAR FIN'!$A$1:$O$86,15,0))</f>
        <v>78.680000000000007</v>
      </c>
      <c r="X59" s="6">
        <f>IF(ISERROR(VLOOKUP($U$59,'TAR FIN'!$A$1:$O$86,15,0)),0,VLOOKUP($U$59,'TAR FIN'!$A$1:$O$86,15,0))</f>
        <v>0</v>
      </c>
      <c r="Y59" s="6"/>
      <c r="Z59" s="6">
        <f ca="1">('TUSD BE'!$AM$8+'TUSD BF'!$AM$8+'TUSD CVA'!$AM$8)*1</f>
        <v>100.23755694003805</v>
      </c>
      <c r="AA59" s="6"/>
      <c r="AB59" s="6">
        <f>$K$59*$V$59</f>
        <v>0</v>
      </c>
      <c r="AC59" s="6">
        <f>$M$59*$W$59</f>
        <v>92737.676920000013</v>
      </c>
      <c r="AD59" s="6">
        <f>$O$59*$X$59</f>
        <v>0</v>
      </c>
      <c r="AE59" s="6">
        <f>$K$59*$Y$59</f>
        <v>0</v>
      </c>
      <c r="AF59" s="6">
        <f ca="1">$M$59*$Z$59</f>
        <v>118146.90100095772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38</v>
      </c>
      <c r="C60" s="4" t="s">
        <v>39</v>
      </c>
      <c r="D60" s="4" t="s">
        <v>37</v>
      </c>
      <c r="E60" s="4" t="s">
        <v>25</v>
      </c>
      <c r="F60" s="4" t="s">
        <v>57</v>
      </c>
      <c r="G60" s="4" t="s">
        <v>25</v>
      </c>
      <c r="H60" s="4" t="s">
        <v>25</v>
      </c>
      <c r="I60" s="5">
        <v>44682</v>
      </c>
      <c r="J60" s="6">
        <v>0</v>
      </c>
      <c r="K60" s="6">
        <v>0</v>
      </c>
      <c r="L60" s="6">
        <v>2365.0210000000002</v>
      </c>
      <c r="M60" s="6">
        <v>1182.5105000000001</v>
      </c>
      <c r="N60" s="6">
        <v>0</v>
      </c>
      <c r="O60" s="6">
        <v>0</v>
      </c>
      <c r="P60" s="6">
        <v>4</v>
      </c>
      <c r="Q60" s="4" t="s">
        <v>58</v>
      </c>
      <c r="R60" s="4">
        <v>0</v>
      </c>
      <c r="S60" s="6">
        <v>0</v>
      </c>
      <c r="T60" s="6">
        <v>7</v>
      </c>
      <c r="U60" s="6">
        <v>0</v>
      </c>
      <c r="V60" s="6">
        <f>IF(ISERROR(VLOOKUP($S$60,'TAR FIN'!$A$1:$O$86,15,0)),0,VLOOKUP($S$60,'TAR FIN'!$A$1:$O$86,15,0))</f>
        <v>0</v>
      </c>
      <c r="W60" s="6">
        <f>IF(ISERROR(VLOOKUP($T$60,'TAR FIN'!$A$1:$O$86,15,0)),0,VLOOKUP($T$60,'TAR FIN'!$A$1:$O$86,15,0))</f>
        <v>78.680000000000007</v>
      </c>
      <c r="X60" s="6">
        <f>IF(ISERROR(VLOOKUP($U$60,'TAR FIN'!$A$1:$O$86,15,0)),0,VLOOKUP($U$60,'TAR FIN'!$A$1:$O$86,15,0))</f>
        <v>0</v>
      </c>
      <c r="Y60" s="6"/>
      <c r="Z60" s="6">
        <f ca="1">('TUSD BE'!$AM$8+'TUSD BF'!$AM$8+'TUSD CVA'!$AM$8)*1</f>
        <v>100.23755694003805</v>
      </c>
      <c r="AA60" s="6"/>
      <c r="AB60" s="6">
        <f>$K$60*$V$60</f>
        <v>0</v>
      </c>
      <c r="AC60" s="6">
        <f>$M$60*$W$60</f>
        <v>93039.92614000001</v>
      </c>
      <c r="AD60" s="6">
        <f>$O$60*$X$60</f>
        <v>0</v>
      </c>
      <c r="AE60" s="6">
        <f>$K$60*$Y$60</f>
        <v>0</v>
      </c>
      <c r="AF60" s="6">
        <f ca="1">$M$60*$Z$60</f>
        <v>118531.96357594286</v>
      </c>
      <c r="AG60" s="6">
        <f>$O$60*$AA$60</f>
        <v>0</v>
      </c>
    </row>
    <row r="61" spans="1:33" ht="11.25" customHeight="1" x14ac:dyDescent="0.25">
      <c r="A61" s="4" t="s">
        <v>56</v>
      </c>
      <c r="B61" s="4" t="s">
        <v>38</v>
      </c>
      <c r="C61" s="4" t="s">
        <v>39</v>
      </c>
      <c r="D61" s="4" t="s">
        <v>37</v>
      </c>
      <c r="E61" s="4" t="s">
        <v>25</v>
      </c>
      <c r="F61" s="4" t="s">
        <v>57</v>
      </c>
      <c r="G61" s="4" t="s">
        <v>25</v>
      </c>
      <c r="H61" s="4" t="s">
        <v>25</v>
      </c>
      <c r="I61" s="5">
        <v>44713</v>
      </c>
      <c r="J61" s="6">
        <v>0</v>
      </c>
      <c r="K61" s="6">
        <v>0</v>
      </c>
      <c r="L61" s="6">
        <v>2365.0210000000002</v>
      </c>
      <c r="M61" s="6">
        <v>1182.5105000000001</v>
      </c>
      <c r="N61" s="6">
        <v>0</v>
      </c>
      <c r="O61" s="6">
        <v>0</v>
      </c>
      <c r="P61" s="6">
        <v>4</v>
      </c>
      <c r="Q61" s="4" t="s">
        <v>58</v>
      </c>
      <c r="R61" s="4">
        <v>0</v>
      </c>
      <c r="S61" s="6">
        <v>0</v>
      </c>
      <c r="T61" s="6">
        <v>7</v>
      </c>
      <c r="U61" s="6">
        <v>0</v>
      </c>
      <c r="V61" s="6">
        <f>IF(ISERROR(VLOOKUP($S$61,'TAR FIN'!$A$1:$O$86,15,0)),0,VLOOKUP($S$61,'TAR FIN'!$A$1:$O$86,15,0))</f>
        <v>0</v>
      </c>
      <c r="W61" s="6">
        <f>IF(ISERROR(VLOOKUP($T$61,'TAR FIN'!$A$1:$O$86,15,0)),0,VLOOKUP($T$61,'TAR FIN'!$A$1:$O$86,15,0))</f>
        <v>78.680000000000007</v>
      </c>
      <c r="X61" s="6">
        <f>IF(ISERROR(VLOOKUP($U$61,'TAR FIN'!$A$1:$O$86,15,0)),0,VLOOKUP($U$61,'TAR FIN'!$A$1:$O$86,15,0))</f>
        <v>0</v>
      </c>
      <c r="Y61" s="6"/>
      <c r="Z61" s="6">
        <f ca="1">('TUSD BE'!$AM$8+'TUSD BF'!$AM$8+'TUSD CVA'!$AM$8)*1</f>
        <v>100.23755694003805</v>
      </c>
      <c r="AA61" s="6"/>
      <c r="AB61" s="6">
        <f>$K$61*$V$61</f>
        <v>0</v>
      </c>
      <c r="AC61" s="6">
        <f>$M$61*$W$61</f>
        <v>93039.92614000001</v>
      </c>
      <c r="AD61" s="6">
        <f>$O$61*$X$61</f>
        <v>0</v>
      </c>
      <c r="AE61" s="6">
        <f>$K$61*$Y$61</f>
        <v>0</v>
      </c>
      <c r="AF61" s="6">
        <f ca="1">$M$61*$Z$61</f>
        <v>118531.96357594286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38</v>
      </c>
      <c r="C62" s="4" t="s">
        <v>39</v>
      </c>
      <c r="D62" s="4" t="s">
        <v>37</v>
      </c>
      <c r="E62" s="4" t="s">
        <v>25</v>
      </c>
      <c r="F62" s="4" t="s">
        <v>57</v>
      </c>
      <c r="G62" s="4" t="s">
        <v>25</v>
      </c>
      <c r="H62" s="4" t="s">
        <v>33</v>
      </c>
      <c r="I62" s="5">
        <v>44378</v>
      </c>
      <c r="J62" s="6">
        <v>5232</v>
      </c>
      <c r="K62" s="6">
        <v>2616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58</v>
      </c>
      <c r="R62" s="4">
        <v>0</v>
      </c>
      <c r="S62" s="6">
        <v>3</v>
      </c>
      <c r="T62" s="6">
        <v>0</v>
      </c>
      <c r="U62" s="6">
        <v>0</v>
      </c>
      <c r="V62" s="6">
        <f>IF(ISERROR(VLOOKUP($S$62,'TAR FIN'!$A$1:$O$86,15,0)),0,VLOOKUP($S$62,'TAR FIN'!$A$1:$O$86,15,0))</f>
        <v>51.41</v>
      </c>
      <c r="W62" s="6">
        <f>IF(ISERROR(VLOOKUP($T$62,'TAR FIN'!$A$1:$O$86,15,0)),0,VLOOKUP($T$62,'TAR FIN'!$A$1:$O$86,15,0))</f>
        <v>0</v>
      </c>
      <c r="X62" s="6">
        <f>IF(ISERROR(VLOOKUP($U$62,'TAR FIN'!$A$1:$O$86,15,0)),0,VLOOKUP($U$62,'TAR FIN'!$A$1:$O$86,15,0))</f>
        <v>0</v>
      </c>
      <c r="Y62" s="6">
        <f ca="1">('TUSD BE'!$AM$6+'TUSD BF'!$AM$6+'TUSD CVA'!$AM$6)*1</f>
        <v>40.182791243128264</v>
      </c>
      <c r="Z62" s="6">
        <f ca="1">('TUSD BE'!$AM$8+'TUSD BF'!$AM$8+'TUSD CVA'!$AM$8)*1</f>
        <v>100.23755694003805</v>
      </c>
      <c r="AA62" s="6"/>
      <c r="AB62" s="6">
        <f>$K$62*$V$62</f>
        <v>134488.56</v>
      </c>
      <c r="AC62" s="6">
        <f>$M$62*$W$62</f>
        <v>0</v>
      </c>
      <c r="AD62" s="6">
        <f>$O$62*$X$62</f>
        <v>0</v>
      </c>
      <c r="AE62" s="6">
        <f ca="1">$K$62*$Y$62</f>
        <v>105118.18189202354</v>
      </c>
      <c r="AF62" s="6">
        <f ca="1"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38</v>
      </c>
      <c r="C63" s="4" t="s">
        <v>39</v>
      </c>
      <c r="D63" s="4" t="s">
        <v>37</v>
      </c>
      <c r="E63" s="4" t="s">
        <v>25</v>
      </c>
      <c r="F63" s="4" t="s">
        <v>57</v>
      </c>
      <c r="G63" s="4" t="s">
        <v>25</v>
      </c>
      <c r="H63" s="4" t="s">
        <v>33</v>
      </c>
      <c r="I63" s="5">
        <v>44409</v>
      </c>
      <c r="J63" s="6">
        <v>5286</v>
      </c>
      <c r="K63" s="6">
        <v>2643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58</v>
      </c>
      <c r="R63" s="4">
        <v>0</v>
      </c>
      <c r="S63" s="6">
        <v>3</v>
      </c>
      <c r="T63" s="6">
        <v>0</v>
      </c>
      <c r="U63" s="6">
        <v>0</v>
      </c>
      <c r="V63" s="6">
        <f>IF(ISERROR(VLOOKUP($S$63,'TAR FIN'!$A$1:$O$86,15,0)),0,VLOOKUP($S$63,'TAR FIN'!$A$1:$O$86,15,0))</f>
        <v>51.41</v>
      </c>
      <c r="W63" s="6">
        <f>IF(ISERROR(VLOOKUP($T$63,'TAR FIN'!$A$1:$O$86,15,0)),0,VLOOKUP($T$63,'TAR FIN'!$A$1:$O$86,15,0))</f>
        <v>0</v>
      </c>
      <c r="X63" s="6">
        <f>IF(ISERROR(VLOOKUP($U$63,'TAR FIN'!$A$1:$O$86,15,0)),0,VLOOKUP($U$63,'TAR FIN'!$A$1:$O$86,15,0))</f>
        <v>0</v>
      </c>
      <c r="Y63" s="6">
        <f ca="1">('TUSD BE'!$AM$6+'TUSD BF'!$AM$6+'TUSD CVA'!$AM$6)*1</f>
        <v>40.182791243128264</v>
      </c>
      <c r="Z63" s="6">
        <f ca="1">('TUSD BE'!$AM$8+'TUSD BF'!$AM$8+'TUSD CVA'!$AM$8)*1</f>
        <v>100.23755694003805</v>
      </c>
      <c r="AA63" s="6"/>
      <c r="AB63" s="6">
        <f>$K$63*$V$63</f>
        <v>135876.63</v>
      </c>
      <c r="AC63" s="6">
        <f>$M$63*$W$63</f>
        <v>0</v>
      </c>
      <c r="AD63" s="6">
        <f>$O$63*$X$63</f>
        <v>0</v>
      </c>
      <c r="AE63" s="6">
        <f ca="1">$K$63*$Y$63</f>
        <v>106203.117255588</v>
      </c>
      <c r="AF63" s="6">
        <f ca="1"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38</v>
      </c>
      <c r="C64" s="4" t="s">
        <v>39</v>
      </c>
      <c r="D64" s="4" t="s">
        <v>37</v>
      </c>
      <c r="E64" s="4" t="s">
        <v>25</v>
      </c>
      <c r="F64" s="4" t="s">
        <v>57</v>
      </c>
      <c r="G64" s="4" t="s">
        <v>25</v>
      </c>
      <c r="H64" s="4" t="s">
        <v>33</v>
      </c>
      <c r="I64" s="5">
        <v>44440</v>
      </c>
      <c r="J64" s="6">
        <v>5291</v>
      </c>
      <c r="K64" s="6">
        <v>2645.5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58</v>
      </c>
      <c r="R64" s="4">
        <v>0</v>
      </c>
      <c r="S64" s="6">
        <v>3</v>
      </c>
      <c r="T64" s="6">
        <v>0</v>
      </c>
      <c r="U64" s="6">
        <v>0</v>
      </c>
      <c r="V64" s="6">
        <f>IF(ISERROR(VLOOKUP($S$64,'TAR FIN'!$A$1:$O$86,15,0)),0,VLOOKUP($S$64,'TAR FIN'!$A$1:$O$86,15,0))</f>
        <v>51.41</v>
      </c>
      <c r="W64" s="6">
        <f>IF(ISERROR(VLOOKUP($T$64,'TAR FIN'!$A$1:$O$86,15,0)),0,VLOOKUP($T$64,'TAR FIN'!$A$1:$O$86,15,0))</f>
        <v>0</v>
      </c>
      <c r="X64" s="6">
        <f>IF(ISERROR(VLOOKUP($U$64,'TAR FIN'!$A$1:$O$86,15,0)),0,VLOOKUP($U$64,'TAR FIN'!$A$1:$O$86,15,0))</f>
        <v>0</v>
      </c>
      <c r="Y64" s="6">
        <f ca="1">('TUSD BE'!$AM$6+'TUSD BF'!$AM$6+'TUSD CVA'!$AM$6)*1</f>
        <v>40.182791243128264</v>
      </c>
      <c r="Z64" s="6">
        <f ca="1">('TUSD BE'!$AM$8+'TUSD BF'!$AM$8+'TUSD CVA'!$AM$8)*1</f>
        <v>100.23755694003805</v>
      </c>
      <c r="AA64" s="6"/>
      <c r="AB64" s="6">
        <f>$K$64*$V$64</f>
        <v>136005.155</v>
      </c>
      <c r="AC64" s="6">
        <f>$M$64*$W$64</f>
        <v>0</v>
      </c>
      <c r="AD64" s="6">
        <f>$O$64*$X$64</f>
        <v>0</v>
      </c>
      <c r="AE64" s="6">
        <f ca="1">$K$64*$Y$64</f>
        <v>106303.57423369582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38</v>
      </c>
      <c r="C65" s="4" t="s">
        <v>39</v>
      </c>
      <c r="D65" s="4" t="s">
        <v>37</v>
      </c>
      <c r="E65" s="4" t="s">
        <v>25</v>
      </c>
      <c r="F65" s="4" t="s">
        <v>57</v>
      </c>
      <c r="G65" s="4" t="s">
        <v>25</v>
      </c>
      <c r="H65" s="4" t="s">
        <v>33</v>
      </c>
      <c r="I65" s="5">
        <v>44470</v>
      </c>
      <c r="J65" s="6">
        <v>5310</v>
      </c>
      <c r="K65" s="6">
        <v>2655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58</v>
      </c>
      <c r="R65" s="4">
        <v>0</v>
      </c>
      <c r="S65" s="6">
        <v>3</v>
      </c>
      <c r="T65" s="6">
        <v>0</v>
      </c>
      <c r="U65" s="6">
        <v>0</v>
      </c>
      <c r="V65" s="6">
        <f>IF(ISERROR(VLOOKUP($S$65,'TAR FIN'!$A$1:$O$86,15,0)),0,VLOOKUP($S$65,'TAR FIN'!$A$1:$O$86,15,0))</f>
        <v>51.41</v>
      </c>
      <c r="W65" s="6">
        <f>IF(ISERROR(VLOOKUP($T$65,'TAR FIN'!$A$1:$O$86,15,0)),0,VLOOKUP($T$65,'TAR FIN'!$A$1:$O$86,15,0))</f>
        <v>0</v>
      </c>
      <c r="X65" s="6">
        <f>IF(ISERROR(VLOOKUP($U$65,'TAR FIN'!$A$1:$O$86,15,0)),0,VLOOKUP($U$65,'TAR FIN'!$A$1:$O$86,15,0))</f>
        <v>0</v>
      </c>
      <c r="Y65" s="6">
        <f ca="1">('TUSD BE'!$AM$6+'TUSD BF'!$AM$6+'TUSD CVA'!$AM$6)*1</f>
        <v>40.182791243128264</v>
      </c>
      <c r="Z65" s="6">
        <f ca="1">('TUSD BE'!$AM$8+'TUSD BF'!$AM$8+'TUSD CVA'!$AM$8)*1</f>
        <v>100.23755694003805</v>
      </c>
      <c r="AA65" s="6"/>
      <c r="AB65" s="6">
        <f>$K$65*$V$65</f>
        <v>136493.54999999999</v>
      </c>
      <c r="AC65" s="6">
        <f>$M$65*$W$65</f>
        <v>0</v>
      </c>
      <c r="AD65" s="6">
        <f>$O$65*$X$65</f>
        <v>0</v>
      </c>
      <c r="AE65" s="6">
        <f ca="1">$K$65*$Y$65</f>
        <v>106685.31075050554</v>
      </c>
      <c r="AF65" s="6">
        <f ca="1"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38</v>
      </c>
      <c r="C66" s="4" t="s">
        <v>39</v>
      </c>
      <c r="D66" s="4" t="s">
        <v>37</v>
      </c>
      <c r="E66" s="4" t="s">
        <v>25</v>
      </c>
      <c r="F66" s="4" t="s">
        <v>57</v>
      </c>
      <c r="G66" s="4" t="s">
        <v>25</v>
      </c>
      <c r="H66" s="4" t="s">
        <v>33</v>
      </c>
      <c r="I66" s="5">
        <v>44501</v>
      </c>
      <c r="J66" s="6">
        <v>5312</v>
      </c>
      <c r="K66" s="6">
        <v>2656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58</v>
      </c>
      <c r="R66" s="4">
        <v>0</v>
      </c>
      <c r="S66" s="6">
        <v>3</v>
      </c>
      <c r="T66" s="6">
        <v>0</v>
      </c>
      <c r="U66" s="6">
        <v>0</v>
      </c>
      <c r="V66" s="6">
        <f>IF(ISERROR(VLOOKUP($S$66,'TAR FIN'!$A$1:$O$86,15,0)),0,VLOOKUP($S$66,'TAR FIN'!$A$1:$O$86,15,0))</f>
        <v>51.41</v>
      </c>
      <c r="W66" s="6">
        <f>IF(ISERROR(VLOOKUP($T$66,'TAR FIN'!$A$1:$O$86,15,0)),0,VLOOKUP($T$66,'TAR FIN'!$A$1:$O$86,15,0))</f>
        <v>0</v>
      </c>
      <c r="X66" s="6">
        <f>IF(ISERROR(VLOOKUP($U$66,'TAR FIN'!$A$1:$O$86,15,0)),0,VLOOKUP($U$66,'TAR FIN'!$A$1:$O$86,15,0))</f>
        <v>0</v>
      </c>
      <c r="Y66" s="6">
        <f ca="1">('TUSD BE'!$AM$6+'TUSD BF'!$AM$6+'TUSD CVA'!$AM$6)*1</f>
        <v>40.182791243128264</v>
      </c>
      <c r="Z66" s="6">
        <f ca="1">('TUSD BE'!$AM$8+'TUSD BF'!$AM$8+'TUSD CVA'!$AM$8)*1</f>
        <v>100.23755694003805</v>
      </c>
      <c r="AA66" s="6"/>
      <c r="AB66" s="6">
        <f>$K$66*$V$66</f>
        <v>136544.95999999999</v>
      </c>
      <c r="AC66" s="6">
        <f>$M$66*$W$66</f>
        <v>0</v>
      </c>
      <c r="AD66" s="6">
        <f>$O$66*$X$66</f>
        <v>0</v>
      </c>
      <c r="AE66" s="6">
        <f ca="1">$K$66*$Y$66</f>
        <v>106725.49354174867</v>
      </c>
      <c r="AF66" s="6">
        <f ca="1"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38</v>
      </c>
      <c r="C67" s="4" t="s">
        <v>39</v>
      </c>
      <c r="D67" s="4" t="s">
        <v>37</v>
      </c>
      <c r="E67" s="4" t="s">
        <v>25</v>
      </c>
      <c r="F67" s="4" t="s">
        <v>57</v>
      </c>
      <c r="G67" s="4" t="s">
        <v>25</v>
      </c>
      <c r="H67" s="4" t="s">
        <v>33</v>
      </c>
      <c r="I67" s="5">
        <v>44531</v>
      </c>
      <c r="J67" s="6">
        <v>5357</v>
      </c>
      <c r="K67" s="6">
        <v>2678.5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58</v>
      </c>
      <c r="R67" s="4">
        <v>0</v>
      </c>
      <c r="S67" s="6">
        <v>3</v>
      </c>
      <c r="T67" s="6">
        <v>0</v>
      </c>
      <c r="U67" s="6">
        <v>0</v>
      </c>
      <c r="V67" s="6">
        <f>IF(ISERROR(VLOOKUP($S$67,'TAR FIN'!$A$1:$O$86,15,0)),0,VLOOKUP($S$67,'TAR FIN'!$A$1:$O$86,15,0))</f>
        <v>51.41</v>
      </c>
      <c r="W67" s="6">
        <f>IF(ISERROR(VLOOKUP($T$67,'TAR FIN'!$A$1:$O$86,15,0)),0,VLOOKUP($T$67,'TAR FIN'!$A$1:$O$86,15,0))</f>
        <v>0</v>
      </c>
      <c r="X67" s="6">
        <f>IF(ISERROR(VLOOKUP($U$67,'TAR FIN'!$A$1:$O$86,15,0)),0,VLOOKUP($U$67,'TAR FIN'!$A$1:$O$86,15,0))</f>
        <v>0</v>
      </c>
      <c r="Y67" s="6">
        <f ca="1">('TUSD BE'!$AM$6+'TUSD BF'!$AM$6+'TUSD CVA'!$AM$6)*1</f>
        <v>40.182791243128264</v>
      </c>
      <c r="Z67" s="6">
        <f ca="1">('TUSD BE'!$AM$8+'TUSD BF'!$AM$8+'TUSD CVA'!$AM$8)*1</f>
        <v>100.23755694003805</v>
      </c>
      <c r="AA67" s="6"/>
      <c r="AB67" s="6">
        <f>$K$67*$V$67</f>
        <v>137701.685</v>
      </c>
      <c r="AC67" s="6">
        <f>$M$67*$W$67</f>
        <v>0</v>
      </c>
      <c r="AD67" s="6">
        <f>$O$67*$X$67</f>
        <v>0</v>
      </c>
      <c r="AE67" s="6">
        <f ca="1">$K$67*$Y$67</f>
        <v>107629.60634471905</v>
      </c>
      <c r="AF67" s="6">
        <f ca="1"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38</v>
      </c>
      <c r="C68" s="4" t="s">
        <v>39</v>
      </c>
      <c r="D68" s="4" t="s">
        <v>37</v>
      </c>
      <c r="E68" s="4" t="s">
        <v>25</v>
      </c>
      <c r="F68" s="4" t="s">
        <v>57</v>
      </c>
      <c r="G68" s="4" t="s">
        <v>25</v>
      </c>
      <c r="H68" s="4" t="s">
        <v>33</v>
      </c>
      <c r="I68" s="5">
        <v>44562</v>
      </c>
      <c r="J68" s="6">
        <v>5406</v>
      </c>
      <c r="K68" s="6">
        <v>2703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58</v>
      </c>
      <c r="R68" s="4">
        <v>0</v>
      </c>
      <c r="S68" s="6">
        <v>3</v>
      </c>
      <c r="T68" s="6">
        <v>0</v>
      </c>
      <c r="U68" s="6">
        <v>0</v>
      </c>
      <c r="V68" s="6">
        <f>IF(ISERROR(VLOOKUP($S$68,'TAR FIN'!$A$1:$O$86,15,0)),0,VLOOKUP($S$68,'TAR FIN'!$A$1:$O$86,15,0))</f>
        <v>51.41</v>
      </c>
      <c r="W68" s="6">
        <f>IF(ISERROR(VLOOKUP($T$68,'TAR FIN'!$A$1:$O$86,15,0)),0,VLOOKUP($T$68,'TAR FIN'!$A$1:$O$86,15,0))</f>
        <v>0</v>
      </c>
      <c r="X68" s="6">
        <f>IF(ISERROR(VLOOKUP($U$68,'TAR FIN'!$A$1:$O$86,15,0)),0,VLOOKUP($U$68,'TAR FIN'!$A$1:$O$86,15,0))</f>
        <v>0</v>
      </c>
      <c r="Y68" s="6">
        <f ca="1">('TUSD BE'!$AM$6+'TUSD BF'!$AM$6+'TUSD CVA'!$AM$6)*1</f>
        <v>40.182791243128264</v>
      </c>
      <c r="Z68" s="6">
        <f ca="1">('TUSD BE'!$AM$8+'TUSD BF'!$AM$8+'TUSD CVA'!$AM$8)*1</f>
        <v>100.23755694003805</v>
      </c>
      <c r="AA68" s="6"/>
      <c r="AB68" s="6">
        <f>$K$68*$V$68</f>
        <v>138961.22999999998</v>
      </c>
      <c r="AC68" s="6">
        <f>$M$68*$W$68</f>
        <v>0</v>
      </c>
      <c r="AD68" s="6">
        <f>$O$68*$X$68</f>
        <v>0</v>
      </c>
      <c r="AE68" s="6">
        <f ca="1">$K$68*$Y$68</f>
        <v>108614.0847301757</v>
      </c>
      <c r="AF68" s="6">
        <f ca="1"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38</v>
      </c>
      <c r="C69" s="4" t="s">
        <v>39</v>
      </c>
      <c r="D69" s="4" t="s">
        <v>37</v>
      </c>
      <c r="E69" s="4" t="s">
        <v>25</v>
      </c>
      <c r="F69" s="4" t="s">
        <v>57</v>
      </c>
      <c r="G69" s="4" t="s">
        <v>25</v>
      </c>
      <c r="H69" s="4" t="s">
        <v>33</v>
      </c>
      <c r="I69" s="5">
        <v>44593</v>
      </c>
      <c r="J69" s="6">
        <v>5387</v>
      </c>
      <c r="K69" s="6">
        <v>2693.5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58</v>
      </c>
      <c r="R69" s="4">
        <v>0</v>
      </c>
      <c r="S69" s="6">
        <v>3</v>
      </c>
      <c r="T69" s="6">
        <v>0</v>
      </c>
      <c r="U69" s="6">
        <v>0</v>
      </c>
      <c r="V69" s="6">
        <f>IF(ISERROR(VLOOKUP($S$69,'TAR FIN'!$A$1:$O$86,15,0)),0,VLOOKUP($S$69,'TAR FIN'!$A$1:$O$86,15,0))</f>
        <v>51.41</v>
      </c>
      <c r="W69" s="6">
        <f>IF(ISERROR(VLOOKUP($T$69,'TAR FIN'!$A$1:$O$86,15,0)),0,VLOOKUP($T$69,'TAR FIN'!$A$1:$O$86,15,0))</f>
        <v>0</v>
      </c>
      <c r="X69" s="6">
        <f>IF(ISERROR(VLOOKUP($U$69,'TAR FIN'!$A$1:$O$86,15,0)),0,VLOOKUP($U$69,'TAR FIN'!$A$1:$O$86,15,0))</f>
        <v>0</v>
      </c>
      <c r="Y69" s="6">
        <f ca="1">('TUSD BE'!$AM$6+'TUSD BF'!$AM$6+'TUSD CVA'!$AM$6)*1</f>
        <v>40.182791243128264</v>
      </c>
      <c r="Z69" s="6">
        <f ca="1">('TUSD BE'!$AM$8+'TUSD BF'!$AM$8+'TUSD CVA'!$AM$8)*1</f>
        <v>100.23755694003805</v>
      </c>
      <c r="AA69" s="6"/>
      <c r="AB69" s="6">
        <f>$K$69*$V$69</f>
        <v>138472.83499999999</v>
      </c>
      <c r="AC69" s="6">
        <f>$M$69*$W$69</f>
        <v>0</v>
      </c>
      <c r="AD69" s="6">
        <f>$O$69*$X$69</f>
        <v>0</v>
      </c>
      <c r="AE69" s="6">
        <f ca="1">$K$69*$Y$69</f>
        <v>108232.34821336599</v>
      </c>
      <c r="AF69" s="6">
        <f ca="1"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38</v>
      </c>
      <c r="C70" s="4" t="s">
        <v>39</v>
      </c>
      <c r="D70" s="4" t="s">
        <v>37</v>
      </c>
      <c r="E70" s="4" t="s">
        <v>25</v>
      </c>
      <c r="F70" s="4" t="s">
        <v>57</v>
      </c>
      <c r="G70" s="4" t="s">
        <v>25</v>
      </c>
      <c r="H70" s="4" t="s">
        <v>33</v>
      </c>
      <c r="I70" s="5">
        <v>44621</v>
      </c>
      <c r="J70" s="6">
        <v>5395</v>
      </c>
      <c r="K70" s="6">
        <v>2697.5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58</v>
      </c>
      <c r="R70" s="4">
        <v>0</v>
      </c>
      <c r="S70" s="6">
        <v>3</v>
      </c>
      <c r="T70" s="6">
        <v>0</v>
      </c>
      <c r="U70" s="6">
        <v>0</v>
      </c>
      <c r="V70" s="6">
        <f>IF(ISERROR(VLOOKUP($S$70,'TAR FIN'!$A$1:$O$86,15,0)),0,VLOOKUP($S$70,'TAR FIN'!$A$1:$O$86,15,0))</f>
        <v>51.41</v>
      </c>
      <c r="W70" s="6">
        <f>IF(ISERROR(VLOOKUP($T$70,'TAR FIN'!$A$1:$O$86,15,0)),0,VLOOKUP($T$70,'TAR FIN'!$A$1:$O$86,15,0))</f>
        <v>0</v>
      </c>
      <c r="X70" s="6">
        <f>IF(ISERROR(VLOOKUP($U$70,'TAR FIN'!$A$1:$O$86,15,0)),0,VLOOKUP($U$70,'TAR FIN'!$A$1:$O$86,15,0))</f>
        <v>0</v>
      </c>
      <c r="Y70" s="6">
        <f ca="1">('TUSD BE'!$AM$6+'TUSD BF'!$AM$6+'TUSD CVA'!$AM$6)*1</f>
        <v>40.182791243128264</v>
      </c>
      <c r="Z70" s="6">
        <f ca="1">('TUSD BE'!$AM$8+'TUSD BF'!$AM$8+'TUSD CVA'!$AM$8)*1</f>
        <v>100.23755694003805</v>
      </c>
      <c r="AA70" s="6"/>
      <c r="AB70" s="6">
        <f>$K$70*$V$70</f>
        <v>138678.47499999998</v>
      </c>
      <c r="AC70" s="6">
        <f>$M$70*$W$70</f>
        <v>0</v>
      </c>
      <c r="AD70" s="6">
        <f>$O$70*$X$70</f>
        <v>0</v>
      </c>
      <c r="AE70" s="6">
        <f ca="1">$K$70*$Y$70</f>
        <v>108393.07937833849</v>
      </c>
      <c r="AF70" s="6">
        <f ca="1"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38</v>
      </c>
      <c r="C71" s="4" t="s">
        <v>39</v>
      </c>
      <c r="D71" s="4" t="s">
        <v>37</v>
      </c>
      <c r="E71" s="4" t="s">
        <v>25</v>
      </c>
      <c r="F71" s="4" t="s">
        <v>57</v>
      </c>
      <c r="G71" s="4" t="s">
        <v>25</v>
      </c>
      <c r="H71" s="4" t="s">
        <v>33</v>
      </c>
      <c r="I71" s="5">
        <v>44652</v>
      </c>
      <c r="J71" s="6">
        <v>5332</v>
      </c>
      <c r="K71" s="6">
        <v>2666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58</v>
      </c>
      <c r="R71" s="4">
        <v>0</v>
      </c>
      <c r="S71" s="6">
        <v>3</v>
      </c>
      <c r="T71" s="6">
        <v>0</v>
      </c>
      <c r="U71" s="6">
        <v>0</v>
      </c>
      <c r="V71" s="6">
        <f>IF(ISERROR(VLOOKUP($S$71,'TAR FIN'!$A$1:$O$86,15,0)),0,VLOOKUP($S$71,'TAR FIN'!$A$1:$O$86,15,0))</f>
        <v>51.41</v>
      </c>
      <c r="W71" s="6">
        <f>IF(ISERROR(VLOOKUP($T$71,'TAR FIN'!$A$1:$O$86,15,0)),0,VLOOKUP($T$71,'TAR FIN'!$A$1:$O$86,15,0))</f>
        <v>0</v>
      </c>
      <c r="X71" s="6">
        <f>IF(ISERROR(VLOOKUP($U$71,'TAR FIN'!$A$1:$O$86,15,0)),0,VLOOKUP($U$71,'TAR FIN'!$A$1:$O$86,15,0))</f>
        <v>0</v>
      </c>
      <c r="Y71" s="6">
        <f ca="1">('TUSD BE'!$AM$6+'TUSD BF'!$AM$6+'TUSD CVA'!$AM$6)*1</f>
        <v>40.182791243128264</v>
      </c>
      <c r="Z71" s="6">
        <f ca="1">('TUSD BE'!$AM$8+'TUSD BF'!$AM$8+'TUSD CVA'!$AM$8)*1</f>
        <v>100.23755694003805</v>
      </c>
      <c r="AA71" s="6"/>
      <c r="AB71" s="6">
        <f>$K$71*$V$71</f>
        <v>137059.06</v>
      </c>
      <c r="AC71" s="6">
        <f>$M$71*$W$71</f>
        <v>0</v>
      </c>
      <c r="AD71" s="6">
        <f>$O$71*$X$71</f>
        <v>0</v>
      </c>
      <c r="AE71" s="6">
        <f ca="1">$K$71*$Y$71</f>
        <v>107127.32145417995</v>
      </c>
      <c r="AF71" s="6">
        <f ca="1"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38</v>
      </c>
      <c r="C72" s="4" t="s">
        <v>39</v>
      </c>
      <c r="D72" s="4" t="s">
        <v>37</v>
      </c>
      <c r="E72" s="4" t="s">
        <v>25</v>
      </c>
      <c r="F72" s="4" t="s">
        <v>57</v>
      </c>
      <c r="G72" s="4" t="s">
        <v>25</v>
      </c>
      <c r="H72" s="4" t="s">
        <v>33</v>
      </c>
      <c r="I72" s="5">
        <v>44682</v>
      </c>
      <c r="J72" s="6">
        <v>5385</v>
      </c>
      <c r="K72" s="6">
        <v>2692.5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R72" s="4">
        <v>0</v>
      </c>
      <c r="S72" s="6">
        <v>3</v>
      </c>
      <c r="T72" s="6">
        <v>0</v>
      </c>
      <c r="U72" s="6">
        <v>0</v>
      </c>
      <c r="V72" s="6">
        <f>IF(ISERROR(VLOOKUP($S$72,'TAR FIN'!$A$1:$O$86,15,0)),0,VLOOKUP($S$72,'TAR FIN'!$A$1:$O$86,15,0))</f>
        <v>51.41</v>
      </c>
      <c r="W72" s="6">
        <f>IF(ISERROR(VLOOKUP($T$72,'TAR FIN'!$A$1:$O$86,15,0)),0,VLOOKUP($T$72,'TAR FIN'!$A$1:$O$86,15,0))</f>
        <v>0</v>
      </c>
      <c r="X72" s="6">
        <f>IF(ISERROR(VLOOKUP($U$72,'TAR FIN'!$A$1:$O$86,15,0)),0,VLOOKUP($U$72,'TAR FIN'!$A$1:$O$86,15,0))</f>
        <v>0</v>
      </c>
      <c r="Y72" s="6">
        <f ca="1">('TUSD BE'!$AM$6+'TUSD BF'!$AM$6+'TUSD CVA'!$AM$6)*1</f>
        <v>40.182791243128264</v>
      </c>
      <c r="Z72" s="6">
        <f ca="1">('TUSD BE'!$AM$8+'TUSD BF'!$AM$8+'TUSD CVA'!$AM$8)*1</f>
        <v>100.23755694003805</v>
      </c>
      <c r="AA72" s="6"/>
      <c r="AB72" s="6">
        <f>$K$72*$V$72</f>
        <v>138421.42499999999</v>
      </c>
      <c r="AC72" s="6">
        <f>$M$72*$W$72</f>
        <v>0</v>
      </c>
      <c r="AD72" s="6">
        <f>$O$72*$X$72</f>
        <v>0</v>
      </c>
      <c r="AE72" s="6">
        <f ca="1">$K$72*$Y$72</f>
        <v>108192.16542212285</v>
      </c>
      <c r="AF72" s="6">
        <f ca="1">$M$72*$Z$72</f>
        <v>0</v>
      </c>
      <c r="AG72" s="6">
        <f>$O$72*$AA$72</f>
        <v>0</v>
      </c>
    </row>
    <row r="73" spans="1:33" ht="11.25" customHeight="1" x14ac:dyDescent="0.25">
      <c r="A73" s="4" t="s">
        <v>56</v>
      </c>
      <c r="B73" s="4" t="s">
        <v>38</v>
      </c>
      <c r="C73" s="4" t="s">
        <v>39</v>
      </c>
      <c r="D73" s="4" t="s">
        <v>37</v>
      </c>
      <c r="E73" s="4" t="s">
        <v>25</v>
      </c>
      <c r="F73" s="4" t="s">
        <v>57</v>
      </c>
      <c r="G73" s="4" t="s">
        <v>25</v>
      </c>
      <c r="H73" s="4" t="s">
        <v>33</v>
      </c>
      <c r="I73" s="5">
        <v>44713</v>
      </c>
      <c r="J73" s="6">
        <v>5385</v>
      </c>
      <c r="K73" s="6">
        <v>2692.5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0</v>
      </c>
      <c r="S73" s="6">
        <v>3</v>
      </c>
      <c r="T73" s="6">
        <v>0</v>
      </c>
      <c r="U73" s="6">
        <v>0</v>
      </c>
      <c r="V73" s="6">
        <f>IF(ISERROR(VLOOKUP($S$73,'TAR FIN'!$A$1:$O$86,15,0)),0,VLOOKUP($S$73,'TAR FIN'!$A$1:$O$86,15,0))</f>
        <v>51.41</v>
      </c>
      <c r="W73" s="6">
        <f>IF(ISERROR(VLOOKUP($T$73,'TAR FIN'!$A$1:$O$86,15,0)),0,VLOOKUP($T$73,'TAR FIN'!$A$1:$O$86,15,0))</f>
        <v>0</v>
      </c>
      <c r="X73" s="6">
        <f>IF(ISERROR(VLOOKUP($U$73,'TAR FIN'!$A$1:$O$86,15,0)),0,VLOOKUP($U$73,'TAR FIN'!$A$1:$O$86,15,0))</f>
        <v>0</v>
      </c>
      <c r="Y73" s="6">
        <f ca="1">('TUSD BE'!$AM$6+'TUSD BF'!$AM$6+'TUSD CVA'!$AM$6)*1</f>
        <v>40.182791243128264</v>
      </c>
      <c r="Z73" s="6">
        <f ca="1">('TUSD BE'!$AM$8+'TUSD BF'!$AM$8+'TUSD CVA'!$AM$8)*1</f>
        <v>100.23755694003805</v>
      </c>
      <c r="AA73" s="6"/>
      <c r="AB73" s="6">
        <f>$K$73*$V$73</f>
        <v>138421.42499999999</v>
      </c>
      <c r="AC73" s="6">
        <f>$M$73*$W$73</f>
        <v>0</v>
      </c>
      <c r="AD73" s="6">
        <f>$O$73*$X$73</f>
        <v>0</v>
      </c>
      <c r="AE73" s="6">
        <f ca="1">$K$73*$Y$73</f>
        <v>108192.16542212285</v>
      </c>
      <c r="AF73" s="6">
        <f ca="1"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44378</v>
      </c>
      <c r="J74" s="6">
        <v>180</v>
      </c>
      <c r="K74" s="6">
        <v>180</v>
      </c>
      <c r="L74" s="6">
        <v>22.048999999999999</v>
      </c>
      <c r="M74" s="6">
        <v>22.048999999999999</v>
      </c>
      <c r="N74" s="6">
        <v>22.048999999999999</v>
      </c>
      <c r="O74" s="6">
        <v>22.048999999999999</v>
      </c>
      <c r="P74" s="6">
        <v>0</v>
      </c>
      <c r="Q74" s="4" t="s">
        <v>26</v>
      </c>
      <c r="R74" s="4">
        <v>0</v>
      </c>
      <c r="S74" s="6">
        <v>22</v>
      </c>
      <c r="T74" s="6">
        <v>7</v>
      </c>
      <c r="U74" s="6">
        <v>42</v>
      </c>
      <c r="V74" s="6">
        <f>IF(ISERROR(VLOOKUP($S$74,'TAR FIN'!$A$1:$O$86,15,0)),0,VLOOKUP($S$74,'TAR FIN'!$A$1:$O$86,15,0))</f>
        <v>19.239999999999998</v>
      </c>
      <c r="W74" s="6">
        <f>IF(ISERROR(VLOOKUP($T$74,'TAR FIN'!$A$1:$O$86,15,0)),0,VLOOKUP($T$74,'TAR FIN'!$A$1:$O$86,15,0))</f>
        <v>78.680000000000007</v>
      </c>
      <c r="X74" s="6">
        <f>IF(ISERROR(VLOOKUP($U$74,'TAR FIN'!$A$1:$O$86,15,0)),0,VLOOKUP($U$74,'TAR FIN'!$A$1:$O$86,15,0))</f>
        <v>246.3</v>
      </c>
      <c r="Y74" s="6">
        <f ca="1">('TUSD BE'!$AM$7+'TUSD BF'!$AM$7+'TUSD CVA'!$AM$7)*1</f>
        <v>15.19295792072058</v>
      </c>
      <c r="Z74" s="6">
        <f ca="1">('TUSD BE'!$AM$8+'TUSD BF'!$AM$8+'TUSD CVA'!$AM$8)*1</f>
        <v>100.23755694003805</v>
      </c>
      <c r="AA74" s="6">
        <f>('TE BE'!$AB$6+'TE BF'!$AB$6+'TE CVA'!$AB$6)*1</f>
        <v>219.40364509824883</v>
      </c>
      <c r="AB74" s="6">
        <f>$K$74*$V$74</f>
        <v>3463.2</v>
      </c>
      <c r="AC74" s="6">
        <f>$M$74*$W$74</f>
        <v>1734.8153200000002</v>
      </c>
      <c r="AD74" s="6">
        <f>$O$74*$X$74</f>
        <v>5430.6687000000002</v>
      </c>
      <c r="AE74" s="6">
        <f ca="1">$K$74*$Y$74</f>
        <v>2734.7324257297046</v>
      </c>
      <c r="AF74" s="6">
        <f ca="1">$M$74*$Z$74</f>
        <v>2210.137892970899</v>
      </c>
      <c r="AG74" s="6">
        <f>$O$74*$AA$74</f>
        <v>4837.630970771288</v>
      </c>
    </row>
    <row r="75" spans="1:3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44409</v>
      </c>
      <c r="J75" s="6">
        <v>180</v>
      </c>
      <c r="K75" s="6">
        <v>180</v>
      </c>
      <c r="L75" s="6">
        <v>21.363</v>
      </c>
      <c r="M75" s="6">
        <v>21.363</v>
      </c>
      <c r="N75" s="6">
        <v>21.363</v>
      </c>
      <c r="O75" s="6">
        <v>21.363</v>
      </c>
      <c r="P75" s="6">
        <v>0</v>
      </c>
      <c r="Q75" s="4" t="s">
        <v>26</v>
      </c>
      <c r="R75" s="4">
        <v>0</v>
      </c>
      <c r="S75" s="6">
        <v>22</v>
      </c>
      <c r="T75" s="6">
        <v>7</v>
      </c>
      <c r="U75" s="6">
        <v>42</v>
      </c>
      <c r="V75" s="6">
        <f>IF(ISERROR(VLOOKUP($S$75,'TAR FIN'!$A$1:$O$86,15,0)),0,VLOOKUP($S$75,'TAR FIN'!$A$1:$O$86,15,0))</f>
        <v>19.239999999999998</v>
      </c>
      <c r="W75" s="6">
        <f>IF(ISERROR(VLOOKUP($T$75,'TAR FIN'!$A$1:$O$86,15,0)),0,VLOOKUP($T$75,'TAR FIN'!$A$1:$O$86,15,0))</f>
        <v>78.680000000000007</v>
      </c>
      <c r="X75" s="6">
        <f>IF(ISERROR(VLOOKUP($U$75,'TAR FIN'!$A$1:$O$86,15,0)),0,VLOOKUP($U$75,'TAR FIN'!$A$1:$O$86,15,0))</f>
        <v>246.3</v>
      </c>
      <c r="Y75" s="6">
        <f ca="1">('TUSD BE'!$AM$7+'TUSD BF'!$AM$7+'TUSD CVA'!$AM$7)*1</f>
        <v>15.19295792072058</v>
      </c>
      <c r="Z75" s="6">
        <f ca="1">('TUSD BE'!$AM$8+'TUSD BF'!$AM$8+'TUSD CVA'!$AM$8)*1</f>
        <v>100.23755694003805</v>
      </c>
      <c r="AA75" s="6">
        <f>('TE BE'!$AB$6+'TE BF'!$AB$6+'TE CVA'!$AB$6)*1</f>
        <v>219.40364509824883</v>
      </c>
      <c r="AB75" s="6">
        <f>$K$75*$V$75</f>
        <v>3463.2</v>
      </c>
      <c r="AC75" s="6">
        <f>$M$75*$W$75</f>
        <v>1680.8408400000001</v>
      </c>
      <c r="AD75" s="6">
        <f>$O$75*$X$75</f>
        <v>5261.7069000000001</v>
      </c>
      <c r="AE75" s="6">
        <f ca="1">$K$75*$Y$75</f>
        <v>2734.7324257297046</v>
      </c>
      <c r="AF75" s="6">
        <f ca="1">$M$75*$Z$75</f>
        <v>2141.3749289100328</v>
      </c>
      <c r="AG75" s="6">
        <f>$O$75*$AA$75</f>
        <v>4687.1200702338892</v>
      </c>
    </row>
    <row r="76" spans="1:33" ht="11.25" customHeight="1" x14ac:dyDescent="0.25">
      <c r="A76" s="4" t="s">
        <v>21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44440</v>
      </c>
      <c r="J76" s="6">
        <v>180</v>
      </c>
      <c r="K76" s="6">
        <v>180</v>
      </c>
      <c r="L76" s="6">
        <v>24.32</v>
      </c>
      <c r="M76" s="6">
        <v>24.32</v>
      </c>
      <c r="N76" s="6">
        <v>24.32</v>
      </c>
      <c r="O76" s="6">
        <v>24.32</v>
      </c>
      <c r="P76" s="6">
        <v>0</v>
      </c>
      <c r="Q76" s="4" t="s">
        <v>26</v>
      </c>
      <c r="R76" s="4">
        <v>0</v>
      </c>
      <c r="S76" s="6">
        <v>22</v>
      </c>
      <c r="T76" s="6">
        <v>7</v>
      </c>
      <c r="U76" s="6">
        <v>42</v>
      </c>
      <c r="V76" s="6">
        <f>IF(ISERROR(VLOOKUP($S$76,'TAR FIN'!$A$1:$O$86,15,0)),0,VLOOKUP($S$76,'TAR FIN'!$A$1:$O$86,15,0))</f>
        <v>19.239999999999998</v>
      </c>
      <c r="W76" s="6">
        <f>IF(ISERROR(VLOOKUP($T$76,'TAR FIN'!$A$1:$O$86,15,0)),0,VLOOKUP($T$76,'TAR FIN'!$A$1:$O$86,15,0))</f>
        <v>78.680000000000007</v>
      </c>
      <c r="X76" s="6">
        <f>IF(ISERROR(VLOOKUP($U$76,'TAR FIN'!$A$1:$O$86,15,0)),0,VLOOKUP($U$76,'TAR FIN'!$A$1:$O$86,15,0))</f>
        <v>246.3</v>
      </c>
      <c r="Y76" s="6">
        <f ca="1">('TUSD BE'!$AM$7+'TUSD BF'!$AM$7+'TUSD CVA'!$AM$7)*1</f>
        <v>15.19295792072058</v>
      </c>
      <c r="Z76" s="6">
        <f ca="1">('TUSD BE'!$AM$8+'TUSD BF'!$AM$8+'TUSD CVA'!$AM$8)*1</f>
        <v>100.23755694003805</v>
      </c>
      <c r="AA76" s="6">
        <f>('TE BE'!$AB$6+'TE BF'!$AB$6+'TE CVA'!$AB$6)*1</f>
        <v>219.40364509824883</v>
      </c>
      <c r="AB76" s="6">
        <f>$K$76*$V$76</f>
        <v>3463.2</v>
      </c>
      <c r="AC76" s="6">
        <f>$M$76*$W$76</f>
        <v>1913.4976000000001</v>
      </c>
      <c r="AD76" s="6">
        <f>$O$76*$X$76</f>
        <v>5990.0160000000005</v>
      </c>
      <c r="AE76" s="6">
        <f ca="1">$K$76*$Y$76</f>
        <v>2734.7324257297046</v>
      </c>
      <c r="AF76" s="6">
        <f ca="1">$M$76*$Z$76</f>
        <v>2437.7773847817252</v>
      </c>
      <c r="AG76" s="6">
        <f>$O$76*$AA$76</f>
        <v>5335.8966487894113</v>
      </c>
    </row>
    <row r="77" spans="1:3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44470</v>
      </c>
      <c r="J77" s="6">
        <v>180</v>
      </c>
      <c r="K77" s="6">
        <v>180</v>
      </c>
      <c r="L77" s="6">
        <v>24.283000000000001</v>
      </c>
      <c r="M77" s="6">
        <v>24.283000000000001</v>
      </c>
      <c r="N77" s="6">
        <v>24.283000000000001</v>
      </c>
      <c r="O77" s="6">
        <v>24.283000000000001</v>
      </c>
      <c r="P77" s="6">
        <v>0</v>
      </c>
      <c r="Q77" s="4" t="s">
        <v>26</v>
      </c>
      <c r="R77" s="4">
        <v>0</v>
      </c>
      <c r="S77" s="6">
        <v>22</v>
      </c>
      <c r="T77" s="6">
        <v>7</v>
      </c>
      <c r="U77" s="6">
        <v>42</v>
      </c>
      <c r="V77" s="6">
        <f>IF(ISERROR(VLOOKUP($S$77,'TAR FIN'!$A$1:$O$86,15,0)),0,VLOOKUP($S$77,'TAR FIN'!$A$1:$O$86,15,0))</f>
        <v>19.239999999999998</v>
      </c>
      <c r="W77" s="6">
        <f>IF(ISERROR(VLOOKUP($T$77,'TAR FIN'!$A$1:$O$86,15,0)),0,VLOOKUP($T$77,'TAR FIN'!$A$1:$O$86,15,0))</f>
        <v>78.680000000000007</v>
      </c>
      <c r="X77" s="6">
        <f>IF(ISERROR(VLOOKUP($U$77,'TAR FIN'!$A$1:$O$86,15,0)),0,VLOOKUP($U$77,'TAR FIN'!$A$1:$O$86,15,0))</f>
        <v>246.3</v>
      </c>
      <c r="Y77" s="6">
        <f ca="1">('TUSD BE'!$AM$7+'TUSD BF'!$AM$7+'TUSD CVA'!$AM$7)*1</f>
        <v>15.19295792072058</v>
      </c>
      <c r="Z77" s="6">
        <f ca="1">('TUSD BE'!$AM$8+'TUSD BF'!$AM$8+'TUSD CVA'!$AM$8)*1</f>
        <v>100.23755694003805</v>
      </c>
      <c r="AA77" s="6">
        <f>('TE BE'!$AB$6+'TE BF'!$AB$6+'TE CVA'!$AB$6)*1</f>
        <v>219.40364509824883</v>
      </c>
      <c r="AB77" s="6">
        <f>$K$77*$V$77</f>
        <v>3463.2</v>
      </c>
      <c r="AC77" s="6">
        <f>$M$77*$W$77</f>
        <v>1910.5864400000003</v>
      </c>
      <c r="AD77" s="6">
        <f>$O$77*$X$77</f>
        <v>5980.902900000001</v>
      </c>
      <c r="AE77" s="6">
        <f ca="1">$K$77*$Y$77</f>
        <v>2734.7324257297046</v>
      </c>
      <c r="AF77" s="6">
        <f ca="1">$M$77*$Z$77</f>
        <v>2434.0685951749442</v>
      </c>
      <c r="AG77" s="6">
        <f>$O$77*$AA$77</f>
        <v>5327.7787139207767</v>
      </c>
    </row>
    <row r="78" spans="1:33" ht="11.25" customHeight="1" x14ac:dyDescent="0.25">
      <c r="A78" s="4" t="s">
        <v>21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44501</v>
      </c>
      <c r="J78" s="6">
        <v>180</v>
      </c>
      <c r="K78" s="6">
        <v>180</v>
      </c>
      <c r="L78" s="6">
        <v>22.431999999999999</v>
      </c>
      <c r="M78" s="6">
        <v>22.431999999999999</v>
      </c>
      <c r="N78" s="6">
        <v>22.431999999999999</v>
      </c>
      <c r="O78" s="6">
        <v>22.431999999999999</v>
      </c>
      <c r="P78" s="6">
        <v>0</v>
      </c>
      <c r="Q78" s="4" t="s">
        <v>26</v>
      </c>
      <c r="R78" s="4">
        <v>0</v>
      </c>
      <c r="S78" s="6">
        <v>22</v>
      </c>
      <c r="T78" s="6">
        <v>7</v>
      </c>
      <c r="U78" s="6">
        <v>42</v>
      </c>
      <c r="V78" s="6">
        <f>IF(ISERROR(VLOOKUP($S$78,'TAR FIN'!$A$1:$O$86,15,0)),0,VLOOKUP($S$78,'TAR FIN'!$A$1:$O$86,15,0))</f>
        <v>19.239999999999998</v>
      </c>
      <c r="W78" s="6">
        <f>IF(ISERROR(VLOOKUP($T$78,'TAR FIN'!$A$1:$O$86,15,0)),0,VLOOKUP($T$78,'TAR FIN'!$A$1:$O$86,15,0))</f>
        <v>78.680000000000007</v>
      </c>
      <c r="X78" s="6">
        <f>IF(ISERROR(VLOOKUP($U$78,'TAR FIN'!$A$1:$O$86,15,0)),0,VLOOKUP($U$78,'TAR FIN'!$A$1:$O$86,15,0))</f>
        <v>246.3</v>
      </c>
      <c r="Y78" s="6">
        <f ca="1">('TUSD BE'!$AM$7+'TUSD BF'!$AM$7+'TUSD CVA'!$AM$7)*1</f>
        <v>15.19295792072058</v>
      </c>
      <c r="Z78" s="6">
        <f ca="1">('TUSD BE'!$AM$8+'TUSD BF'!$AM$8+'TUSD CVA'!$AM$8)*1</f>
        <v>100.23755694003805</v>
      </c>
      <c r="AA78" s="6">
        <f>('TE BE'!$AB$6+'TE BF'!$AB$6+'TE CVA'!$AB$6)*1</f>
        <v>219.40364509824883</v>
      </c>
      <c r="AB78" s="6">
        <f>$K$78*$V$78</f>
        <v>3463.2</v>
      </c>
      <c r="AC78" s="6">
        <f>$M$78*$W$78</f>
        <v>1764.94976</v>
      </c>
      <c r="AD78" s="6">
        <f>$O$78*$X$78</f>
        <v>5525.0015999999996</v>
      </c>
      <c r="AE78" s="6">
        <f ca="1">$K$78*$Y$78</f>
        <v>2734.7324257297046</v>
      </c>
      <c r="AF78" s="6">
        <f ca="1">$M$78*$Z$78</f>
        <v>2248.5288772789331</v>
      </c>
      <c r="AG78" s="6">
        <f>$O$78*$AA$78</f>
        <v>4921.6625668439174</v>
      </c>
    </row>
    <row r="79" spans="1:3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44531</v>
      </c>
      <c r="J79" s="6">
        <v>180</v>
      </c>
      <c r="K79" s="6">
        <v>180</v>
      </c>
      <c r="L79" s="6">
        <v>20.414999999999999</v>
      </c>
      <c r="M79" s="6">
        <v>20.414999999999999</v>
      </c>
      <c r="N79" s="6">
        <v>20.414999999999999</v>
      </c>
      <c r="O79" s="6">
        <v>20.414999999999999</v>
      </c>
      <c r="P79" s="6">
        <v>0</v>
      </c>
      <c r="Q79" s="4" t="s">
        <v>26</v>
      </c>
      <c r="R79" s="4">
        <v>0</v>
      </c>
      <c r="S79" s="6">
        <v>22</v>
      </c>
      <c r="T79" s="6">
        <v>7</v>
      </c>
      <c r="U79" s="6">
        <v>42</v>
      </c>
      <c r="V79" s="6">
        <f>IF(ISERROR(VLOOKUP($S$79,'TAR FIN'!$A$1:$O$86,15,0)),0,VLOOKUP($S$79,'TAR FIN'!$A$1:$O$86,15,0))</f>
        <v>19.239999999999998</v>
      </c>
      <c r="W79" s="6">
        <f>IF(ISERROR(VLOOKUP($T$79,'TAR FIN'!$A$1:$O$86,15,0)),0,VLOOKUP($T$79,'TAR FIN'!$A$1:$O$86,15,0))</f>
        <v>78.680000000000007</v>
      </c>
      <c r="X79" s="6">
        <f>IF(ISERROR(VLOOKUP($U$79,'TAR FIN'!$A$1:$O$86,15,0)),0,VLOOKUP($U$79,'TAR FIN'!$A$1:$O$86,15,0))</f>
        <v>246.3</v>
      </c>
      <c r="Y79" s="6">
        <f ca="1">('TUSD BE'!$AM$7+'TUSD BF'!$AM$7+'TUSD CVA'!$AM$7)*1</f>
        <v>15.19295792072058</v>
      </c>
      <c r="Z79" s="6">
        <f ca="1">('TUSD BE'!$AM$8+'TUSD BF'!$AM$8+'TUSD CVA'!$AM$8)*1</f>
        <v>100.23755694003805</v>
      </c>
      <c r="AA79" s="6">
        <f>('TE BE'!$AB$6+'TE BF'!$AB$6+'TE CVA'!$AB$6)*1</f>
        <v>219.40364509824883</v>
      </c>
      <c r="AB79" s="6">
        <f>$K$79*$V$79</f>
        <v>3463.2</v>
      </c>
      <c r="AC79" s="6">
        <f>$M$79*$W$79</f>
        <v>1606.2522000000001</v>
      </c>
      <c r="AD79" s="6">
        <f>$O$79*$X$79</f>
        <v>5028.2145</v>
      </c>
      <c r="AE79" s="6">
        <f ca="1">$K$79*$Y$79</f>
        <v>2734.7324257297046</v>
      </c>
      <c r="AF79" s="6">
        <f ca="1">$M$79*$Z$79</f>
        <v>2046.3497249308766</v>
      </c>
      <c r="AG79" s="6">
        <f>$O$79*$AA$79</f>
        <v>4479.1254146807496</v>
      </c>
    </row>
    <row r="80" spans="1:33" ht="11.25" customHeight="1" x14ac:dyDescent="0.25">
      <c r="A80" s="4" t="s">
        <v>21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44562</v>
      </c>
      <c r="J80" s="6">
        <v>180</v>
      </c>
      <c r="K80" s="6">
        <v>180</v>
      </c>
      <c r="L80" s="6">
        <v>22.443000000000001</v>
      </c>
      <c r="M80" s="6">
        <v>22.443000000000001</v>
      </c>
      <c r="N80" s="6">
        <v>22.443000000000001</v>
      </c>
      <c r="O80" s="6">
        <v>22.443000000000001</v>
      </c>
      <c r="P80" s="6">
        <v>0</v>
      </c>
      <c r="Q80" s="4" t="s">
        <v>26</v>
      </c>
      <c r="R80" s="4">
        <v>0</v>
      </c>
      <c r="S80" s="6">
        <v>22</v>
      </c>
      <c r="T80" s="6">
        <v>7</v>
      </c>
      <c r="U80" s="6">
        <v>42</v>
      </c>
      <c r="V80" s="6">
        <f>IF(ISERROR(VLOOKUP($S$80,'TAR FIN'!$A$1:$O$86,15,0)),0,VLOOKUP($S$80,'TAR FIN'!$A$1:$O$86,15,0))</f>
        <v>19.239999999999998</v>
      </c>
      <c r="W80" s="6">
        <f>IF(ISERROR(VLOOKUP($T$80,'TAR FIN'!$A$1:$O$86,15,0)),0,VLOOKUP($T$80,'TAR FIN'!$A$1:$O$86,15,0))</f>
        <v>78.680000000000007</v>
      </c>
      <c r="X80" s="6">
        <f>IF(ISERROR(VLOOKUP($U$80,'TAR FIN'!$A$1:$O$86,15,0)),0,VLOOKUP($U$80,'TAR FIN'!$A$1:$O$86,15,0))</f>
        <v>246.3</v>
      </c>
      <c r="Y80" s="6">
        <f ca="1">('TUSD BE'!$AM$7+'TUSD BF'!$AM$7+'TUSD CVA'!$AM$7)*1</f>
        <v>15.19295792072058</v>
      </c>
      <c r="Z80" s="6">
        <f ca="1">('TUSD BE'!$AM$8+'TUSD BF'!$AM$8+'TUSD CVA'!$AM$8)*1</f>
        <v>100.23755694003805</v>
      </c>
      <c r="AA80" s="6">
        <f>('TE BE'!$AB$6+'TE BF'!$AB$6+'TE CVA'!$AB$6)*1</f>
        <v>219.40364509824883</v>
      </c>
      <c r="AB80" s="6">
        <f>$K$80*$V$80</f>
        <v>3463.2</v>
      </c>
      <c r="AC80" s="6">
        <f>$M$80*$W$80</f>
        <v>1765.8152400000004</v>
      </c>
      <c r="AD80" s="6">
        <f>$O$80*$X$80</f>
        <v>5527.7109000000009</v>
      </c>
      <c r="AE80" s="6">
        <f ca="1">$K$80*$Y$80</f>
        <v>2734.7324257297046</v>
      </c>
      <c r="AF80" s="6">
        <f ca="1">$M$80*$Z$80</f>
        <v>2249.6314904052742</v>
      </c>
      <c r="AG80" s="6">
        <f>$O$80*$AA$80</f>
        <v>4924.0760069399985</v>
      </c>
    </row>
    <row r="81" spans="1:3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44593</v>
      </c>
      <c r="J81" s="6">
        <v>180</v>
      </c>
      <c r="K81" s="6">
        <v>180</v>
      </c>
      <c r="L81" s="6">
        <v>22.344999999999999</v>
      </c>
      <c r="M81" s="6">
        <v>22.344999999999999</v>
      </c>
      <c r="N81" s="6">
        <v>22.344999999999999</v>
      </c>
      <c r="O81" s="6">
        <v>22.344999999999999</v>
      </c>
      <c r="P81" s="6">
        <v>0</v>
      </c>
      <c r="Q81" s="4" t="s">
        <v>26</v>
      </c>
      <c r="R81" s="4">
        <v>0</v>
      </c>
      <c r="S81" s="6">
        <v>22</v>
      </c>
      <c r="T81" s="6">
        <v>7</v>
      </c>
      <c r="U81" s="6">
        <v>42</v>
      </c>
      <c r="V81" s="6">
        <f>IF(ISERROR(VLOOKUP($S$81,'TAR FIN'!$A$1:$O$86,15,0)),0,VLOOKUP($S$81,'TAR FIN'!$A$1:$O$86,15,0))</f>
        <v>19.239999999999998</v>
      </c>
      <c r="W81" s="6">
        <f>IF(ISERROR(VLOOKUP($T$81,'TAR FIN'!$A$1:$O$86,15,0)),0,VLOOKUP($T$81,'TAR FIN'!$A$1:$O$86,15,0))</f>
        <v>78.680000000000007</v>
      </c>
      <c r="X81" s="6">
        <f>IF(ISERROR(VLOOKUP($U$81,'TAR FIN'!$A$1:$O$86,15,0)),0,VLOOKUP($U$81,'TAR FIN'!$A$1:$O$86,15,0))</f>
        <v>246.3</v>
      </c>
      <c r="Y81" s="6">
        <f ca="1">('TUSD BE'!$AM$7+'TUSD BF'!$AM$7+'TUSD CVA'!$AM$7)*1</f>
        <v>15.19295792072058</v>
      </c>
      <c r="Z81" s="6">
        <f ca="1">('TUSD BE'!$AM$8+'TUSD BF'!$AM$8+'TUSD CVA'!$AM$8)*1</f>
        <v>100.23755694003805</v>
      </c>
      <c r="AA81" s="6">
        <f>('TE BE'!$AB$6+'TE BF'!$AB$6+'TE CVA'!$AB$6)*1</f>
        <v>219.40364509824883</v>
      </c>
      <c r="AB81" s="6">
        <f>$K$81*$V$81</f>
        <v>3463.2</v>
      </c>
      <c r="AC81" s="6">
        <f>$M$81*$W$81</f>
        <v>1758.1046000000001</v>
      </c>
      <c r="AD81" s="6">
        <f>$O$81*$X$81</f>
        <v>5503.5735000000004</v>
      </c>
      <c r="AE81" s="6">
        <f ca="1">$K$81*$Y$81</f>
        <v>2734.7324257297046</v>
      </c>
      <c r="AF81" s="6">
        <f ca="1">$M$81*$Z$81</f>
        <v>2239.8082098251502</v>
      </c>
      <c r="AG81" s="6">
        <f>$O$81*$AA$81</f>
        <v>4902.5744497203696</v>
      </c>
    </row>
    <row r="82" spans="1:33" ht="11.25" customHeight="1" x14ac:dyDescent="0.25">
      <c r="A82" s="4" t="s">
        <v>21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44621</v>
      </c>
      <c r="J82" s="6">
        <v>180</v>
      </c>
      <c r="K82" s="6">
        <v>180</v>
      </c>
      <c r="L82" s="6">
        <v>23.327999999999999</v>
      </c>
      <c r="M82" s="6">
        <v>23.327999999999999</v>
      </c>
      <c r="N82" s="6">
        <v>23.327999999999999</v>
      </c>
      <c r="O82" s="6">
        <v>23.327999999999999</v>
      </c>
      <c r="P82" s="6">
        <v>0</v>
      </c>
      <c r="Q82" s="4" t="s">
        <v>26</v>
      </c>
      <c r="R82" s="4">
        <v>0</v>
      </c>
      <c r="S82" s="6">
        <v>22</v>
      </c>
      <c r="T82" s="6">
        <v>7</v>
      </c>
      <c r="U82" s="6">
        <v>42</v>
      </c>
      <c r="V82" s="6">
        <f>IF(ISERROR(VLOOKUP($S$82,'TAR FIN'!$A$1:$O$86,15,0)),0,VLOOKUP($S$82,'TAR FIN'!$A$1:$O$86,15,0))</f>
        <v>19.239999999999998</v>
      </c>
      <c r="W82" s="6">
        <f>IF(ISERROR(VLOOKUP($T$82,'TAR FIN'!$A$1:$O$86,15,0)),0,VLOOKUP($T$82,'TAR FIN'!$A$1:$O$86,15,0))</f>
        <v>78.680000000000007</v>
      </c>
      <c r="X82" s="6">
        <f>IF(ISERROR(VLOOKUP($U$82,'TAR FIN'!$A$1:$O$86,15,0)),0,VLOOKUP($U$82,'TAR FIN'!$A$1:$O$86,15,0))</f>
        <v>246.3</v>
      </c>
      <c r="Y82" s="6">
        <f ca="1">('TUSD BE'!$AM$7+'TUSD BF'!$AM$7+'TUSD CVA'!$AM$7)*1</f>
        <v>15.19295792072058</v>
      </c>
      <c r="Z82" s="6">
        <f ca="1">('TUSD BE'!$AM$8+'TUSD BF'!$AM$8+'TUSD CVA'!$AM$8)*1</f>
        <v>100.23755694003805</v>
      </c>
      <c r="AA82" s="6">
        <f>('TE BE'!$AB$6+'TE BF'!$AB$6+'TE CVA'!$AB$6)*1</f>
        <v>219.40364509824883</v>
      </c>
      <c r="AB82" s="6">
        <f>$K$82*$V$82</f>
        <v>3463.2</v>
      </c>
      <c r="AC82" s="6">
        <f>$M$82*$W$82</f>
        <v>1835.44704</v>
      </c>
      <c r="AD82" s="6">
        <f>$O$82*$X$82</f>
        <v>5745.6864000000005</v>
      </c>
      <c r="AE82" s="6">
        <f ca="1">$K$82*$Y$82</f>
        <v>2734.7324257297046</v>
      </c>
      <c r="AF82" s="6">
        <f ca="1">$M$82*$Z$82</f>
        <v>2338.3417282972073</v>
      </c>
      <c r="AG82" s="6">
        <f>$O$82*$AA$82</f>
        <v>5118.2482328519482</v>
      </c>
    </row>
    <row r="83" spans="1:3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44652</v>
      </c>
      <c r="J83" s="6">
        <v>180</v>
      </c>
      <c r="K83" s="6">
        <v>180</v>
      </c>
      <c r="L83" s="6">
        <v>18.952999999999999</v>
      </c>
      <c r="M83" s="6">
        <v>18.952999999999999</v>
      </c>
      <c r="N83" s="6">
        <v>18.952999999999999</v>
      </c>
      <c r="O83" s="6">
        <v>18.952999999999999</v>
      </c>
      <c r="P83" s="6">
        <v>0</v>
      </c>
      <c r="Q83" s="4" t="s">
        <v>26</v>
      </c>
      <c r="R83" s="4">
        <v>0</v>
      </c>
      <c r="S83" s="6">
        <v>22</v>
      </c>
      <c r="T83" s="6">
        <v>7</v>
      </c>
      <c r="U83" s="6">
        <v>42</v>
      </c>
      <c r="V83" s="6">
        <f>IF(ISERROR(VLOOKUP($S$83,'TAR FIN'!$A$1:$O$86,15,0)),0,VLOOKUP($S$83,'TAR FIN'!$A$1:$O$86,15,0))</f>
        <v>19.239999999999998</v>
      </c>
      <c r="W83" s="6">
        <f>IF(ISERROR(VLOOKUP($T$83,'TAR FIN'!$A$1:$O$86,15,0)),0,VLOOKUP($T$83,'TAR FIN'!$A$1:$O$86,15,0))</f>
        <v>78.680000000000007</v>
      </c>
      <c r="X83" s="6">
        <f>IF(ISERROR(VLOOKUP($U$83,'TAR FIN'!$A$1:$O$86,15,0)),0,VLOOKUP($U$83,'TAR FIN'!$A$1:$O$86,15,0))</f>
        <v>246.3</v>
      </c>
      <c r="Y83" s="6">
        <f ca="1">('TUSD BE'!$AM$7+'TUSD BF'!$AM$7+'TUSD CVA'!$AM$7)*1</f>
        <v>15.19295792072058</v>
      </c>
      <c r="Z83" s="6">
        <f ca="1">('TUSD BE'!$AM$8+'TUSD BF'!$AM$8+'TUSD CVA'!$AM$8)*1</f>
        <v>100.23755694003805</v>
      </c>
      <c r="AA83" s="6">
        <f>('TE BE'!$AB$6+'TE BF'!$AB$6+'TE CVA'!$AB$6)*1</f>
        <v>219.40364509824883</v>
      </c>
      <c r="AB83" s="6">
        <f>$K$83*$V$83</f>
        <v>3463.2</v>
      </c>
      <c r="AC83" s="6">
        <f>$M$83*$W$83</f>
        <v>1491.2220400000001</v>
      </c>
      <c r="AD83" s="6">
        <f>$O$83*$X$83</f>
        <v>4668.1239000000005</v>
      </c>
      <c r="AE83" s="6">
        <f ca="1">$K$83*$Y$83</f>
        <v>2734.7324257297046</v>
      </c>
      <c r="AF83" s="6">
        <f ca="1">$M$83*$Z$83</f>
        <v>1899.802416684541</v>
      </c>
      <c r="AG83" s="6">
        <f>$O$83*$AA$83</f>
        <v>4158.3572855471102</v>
      </c>
    </row>
    <row r="84" spans="1:33" ht="11.25" customHeight="1" x14ac:dyDescent="0.25">
      <c r="A84" s="4" t="s">
        <v>21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44682</v>
      </c>
      <c r="J84" s="6">
        <v>180</v>
      </c>
      <c r="K84" s="6">
        <v>180</v>
      </c>
      <c r="L84" s="6">
        <v>19.52</v>
      </c>
      <c r="M84" s="6">
        <v>19.52</v>
      </c>
      <c r="N84" s="6">
        <v>19.52</v>
      </c>
      <c r="O84" s="6">
        <v>19.52</v>
      </c>
      <c r="P84" s="6">
        <v>0</v>
      </c>
      <c r="Q84" s="4" t="s">
        <v>26</v>
      </c>
      <c r="R84" s="4">
        <v>0</v>
      </c>
      <c r="S84" s="6">
        <v>22</v>
      </c>
      <c r="T84" s="6">
        <v>7</v>
      </c>
      <c r="U84" s="6">
        <v>42</v>
      </c>
      <c r="V84" s="6">
        <f>IF(ISERROR(VLOOKUP($S$84,'TAR FIN'!$A$1:$O$86,15,0)),0,VLOOKUP($S$84,'TAR FIN'!$A$1:$O$86,15,0))</f>
        <v>19.239999999999998</v>
      </c>
      <c r="W84" s="6">
        <f>IF(ISERROR(VLOOKUP($T$84,'TAR FIN'!$A$1:$O$86,15,0)),0,VLOOKUP($T$84,'TAR FIN'!$A$1:$O$86,15,0))</f>
        <v>78.680000000000007</v>
      </c>
      <c r="X84" s="6">
        <f>IF(ISERROR(VLOOKUP($U$84,'TAR FIN'!$A$1:$O$86,15,0)),0,VLOOKUP($U$84,'TAR FIN'!$A$1:$O$86,15,0))</f>
        <v>246.3</v>
      </c>
      <c r="Y84" s="6">
        <f ca="1">('TUSD BE'!$AM$7+'TUSD BF'!$AM$7+'TUSD CVA'!$AM$7)*1</f>
        <v>15.19295792072058</v>
      </c>
      <c r="Z84" s="6">
        <f ca="1">('TUSD BE'!$AM$8+'TUSD BF'!$AM$8+'TUSD CVA'!$AM$8)*1</f>
        <v>100.23755694003805</v>
      </c>
      <c r="AA84" s="6">
        <f>('TE BE'!$AB$6+'TE BF'!$AB$6+'TE CVA'!$AB$6)*1</f>
        <v>219.40364509824883</v>
      </c>
      <c r="AB84" s="6">
        <f>$K$84*$V$84</f>
        <v>3463.2</v>
      </c>
      <c r="AC84" s="6">
        <f>$M$84*$W$84</f>
        <v>1535.8336000000002</v>
      </c>
      <c r="AD84" s="6">
        <f>$O$84*$X$84</f>
        <v>4807.7759999999998</v>
      </c>
      <c r="AE84" s="6">
        <f ca="1">$K$84*$Y$84</f>
        <v>2734.7324257297046</v>
      </c>
      <c r="AF84" s="6">
        <f ca="1">$M$84*$Z$84</f>
        <v>1956.6371114695426</v>
      </c>
      <c r="AG84" s="6">
        <f>$O$84*$AA$84</f>
        <v>4282.7591523178171</v>
      </c>
    </row>
    <row r="85" spans="1:33" ht="11.25" customHeight="1" x14ac:dyDescent="0.25">
      <c r="A85" s="4" t="s">
        <v>56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44713</v>
      </c>
      <c r="J85" s="6">
        <v>180</v>
      </c>
      <c r="K85" s="6">
        <v>180</v>
      </c>
      <c r="L85" s="6">
        <v>19.52</v>
      </c>
      <c r="M85" s="6">
        <v>19.52</v>
      </c>
      <c r="N85" s="6">
        <v>19.52</v>
      </c>
      <c r="O85" s="6">
        <v>19.52</v>
      </c>
      <c r="P85" s="6">
        <v>0</v>
      </c>
      <c r="Q85" s="4" t="s">
        <v>26</v>
      </c>
      <c r="R85" s="4">
        <v>0</v>
      </c>
      <c r="S85" s="6">
        <v>22</v>
      </c>
      <c r="T85" s="6">
        <v>7</v>
      </c>
      <c r="U85" s="6">
        <v>42</v>
      </c>
      <c r="V85" s="6">
        <f>IF(ISERROR(VLOOKUP($S$85,'TAR FIN'!$A$1:$O$86,15,0)),0,VLOOKUP($S$85,'TAR FIN'!$A$1:$O$86,15,0))</f>
        <v>19.239999999999998</v>
      </c>
      <c r="W85" s="6">
        <f>IF(ISERROR(VLOOKUP($T$85,'TAR FIN'!$A$1:$O$86,15,0)),0,VLOOKUP($T$85,'TAR FIN'!$A$1:$O$86,15,0))</f>
        <v>78.680000000000007</v>
      </c>
      <c r="X85" s="6">
        <f>IF(ISERROR(VLOOKUP($U$85,'TAR FIN'!$A$1:$O$86,15,0)),0,VLOOKUP($U$85,'TAR FIN'!$A$1:$O$86,15,0))</f>
        <v>246.3</v>
      </c>
      <c r="Y85" s="6">
        <f ca="1">('TUSD BE'!$AM$7+'TUSD BF'!$AM$7+'TUSD CVA'!$AM$7)*1</f>
        <v>15.19295792072058</v>
      </c>
      <c r="Z85" s="6">
        <f ca="1">('TUSD BE'!$AM$8+'TUSD BF'!$AM$8+'TUSD CVA'!$AM$8)*1</f>
        <v>100.23755694003805</v>
      </c>
      <c r="AA85" s="6">
        <f>('TE BE'!$AB$6+'TE BF'!$AB$6+'TE CVA'!$AB$6)*1</f>
        <v>219.40364509824883</v>
      </c>
      <c r="AB85" s="6">
        <f>$K$85*$V$85</f>
        <v>3463.2</v>
      </c>
      <c r="AC85" s="6">
        <f>$M$85*$W$85</f>
        <v>1535.8336000000002</v>
      </c>
      <c r="AD85" s="6">
        <f>$O$85*$X$85</f>
        <v>4807.7759999999998</v>
      </c>
      <c r="AE85" s="6">
        <f ca="1">$K$85*$Y$85</f>
        <v>2734.7324257297046</v>
      </c>
      <c r="AF85" s="6">
        <f ca="1">$M$85*$Z$85</f>
        <v>1956.6371114695426</v>
      </c>
      <c r="AG85" s="6">
        <f>$O$85*$AA$85</f>
        <v>4282.7591523178171</v>
      </c>
    </row>
    <row r="86" spans="1:33" ht="11.25" customHeight="1" x14ac:dyDescent="0.25">
      <c r="A86" s="4" t="s">
        <v>21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33</v>
      </c>
      <c r="I86" s="5">
        <v>44378</v>
      </c>
      <c r="J86" s="6">
        <v>165</v>
      </c>
      <c r="K86" s="6">
        <v>165</v>
      </c>
      <c r="L86" s="6">
        <v>3.4580000000000002</v>
      </c>
      <c r="M86" s="6">
        <v>3.4580000000000002</v>
      </c>
      <c r="N86" s="6">
        <v>3.4580000000000002</v>
      </c>
      <c r="O86" s="6">
        <v>3.4580000000000002</v>
      </c>
      <c r="P86" s="6">
        <v>0</v>
      </c>
      <c r="Q86" s="4" t="s">
        <v>26</v>
      </c>
      <c r="R86" s="4">
        <v>0</v>
      </c>
      <c r="S86" s="6">
        <v>3</v>
      </c>
      <c r="T86" s="6">
        <v>7</v>
      </c>
      <c r="U86" s="6">
        <v>47</v>
      </c>
      <c r="V86" s="6">
        <f>IF(ISERROR(VLOOKUP($S$86,'TAR FIN'!$A$1:$O$86,15,0)),0,VLOOKUP($S$86,'TAR FIN'!$A$1:$O$86,15,0))</f>
        <v>51.41</v>
      </c>
      <c r="W86" s="6">
        <f>IF(ISERROR(VLOOKUP($T$86,'TAR FIN'!$A$1:$O$86,15,0)),0,VLOOKUP($T$86,'TAR FIN'!$A$1:$O$86,15,0))</f>
        <v>78.680000000000007</v>
      </c>
      <c r="X86" s="6">
        <f>IF(ISERROR(VLOOKUP($U$86,'TAR FIN'!$A$1:$O$86,15,0)),0,VLOOKUP($U$86,'TAR FIN'!$A$1:$O$86,15,0))</f>
        <v>389.21</v>
      </c>
      <c r="Y86" s="6">
        <f ca="1">('TUSD BE'!$AM$6+'TUSD BF'!$AM$6+'TUSD CVA'!$AM$6)*1</f>
        <v>40.182791243128264</v>
      </c>
      <c r="Z86" s="6">
        <f ca="1">('TUSD BE'!$AM$8+'TUSD BF'!$AM$8+'TUSD CVA'!$AM$8)*1</f>
        <v>100.23755694003805</v>
      </c>
      <c r="AA86" s="6">
        <f>('TE BE'!$AB$5+'TE BF'!$AB$5+'TE CVA'!$AB$5)*1</f>
        <v>353.55100010229148</v>
      </c>
      <c r="AB86" s="6">
        <f>$K$86*$V$86</f>
        <v>8482.65</v>
      </c>
      <c r="AC86" s="6">
        <f>$M$86*$W$86</f>
        <v>272.07544000000001</v>
      </c>
      <c r="AD86" s="6">
        <f>$O$86*$X$86</f>
        <v>1345.8881799999999</v>
      </c>
      <c r="AE86" s="6">
        <f ca="1">$K$86*$Y$86</f>
        <v>6630.1605551161638</v>
      </c>
      <c r="AF86" s="6">
        <f ca="1">$M$86*$Z$86</f>
        <v>346.62147189865158</v>
      </c>
      <c r="AG86" s="6">
        <f>$O$86*$AA$86</f>
        <v>1222.579358353724</v>
      </c>
    </row>
    <row r="87" spans="1:3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33</v>
      </c>
      <c r="I87" s="5">
        <v>44409</v>
      </c>
      <c r="J87" s="6">
        <v>165</v>
      </c>
      <c r="K87" s="6">
        <v>165</v>
      </c>
      <c r="L87" s="6">
        <v>3.202</v>
      </c>
      <c r="M87" s="6">
        <v>3.202</v>
      </c>
      <c r="N87" s="6">
        <v>3.202</v>
      </c>
      <c r="O87" s="6">
        <v>3.202</v>
      </c>
      <c r="P87" s="6">
        <v>0</v>
      </c>
      <c r="Q87" s="4" t="s">
        <v>26</v>
      </c>
      <c r="R87" s="4">
        <v>0</v>
      </c>
      <c r="S87" s="6">
        <v>3</v>
      </c>
      <c r="T87" s="6">
        <v>7</v>
      </c>
      <c r="U87" s="6">
        <v>47</v>
      </c>
      <c r="V87" s="6">
        <f>IF(ISERROR(VLOOKUP($S$87,'TAR FIN'!$A$1:$O$86,15,0)),0,VLOOKUP($S$87,'TAR FIN'!$A$1:$O$86,15,0))</f>
        <v>51.41</v>
      </c>
      <c r="W87" s="6">
        <f>IF(ISERROR(VLOOKUP($T$87,'TAR FIN'!$A$1:$O$86,15,0)),0,VLOOKUP($T$87,'TAR FIN'!$A$1:$O$86,15,0))</f>
        <v>78.680000000000007</v>
      </c>
      <c r="X87" s="6">
        <f>IF(ISERROR(VLOOKUP($U$87,'TAR FIN'!$A$1:$O$86,15,0)),0,VLOOKUP($U$87,'TAR FIN'!$A$1:$O$86,15,0))</f>
        <v>389.21</v>
      </c>
      <c r="Y87" s="6">
        <f ca="1">('TUSD BE'!$AM$6+'TUSD BF'!$AM$6+'TUSD CVA'!$AM$6)*1</f>
        <v>40.182791243128264</v>
      </c>
      <c r="Z87" s="6">
        <f ca="1">('TUSD BE'!$AM$8+'TUSD BF'!$AM$8+'TUSD CVA'!$AM$8)*1</f>
        <v>100.23755694003805</v>
      </c>
      <c r="AA87" s="6">
        <f>('TE BE'!$AB$5+'TE BF'!$AB$5+'TE CVA'!$AB$5)*1</f>
        <v>353.55100010229148</v>
      </c>
      <c r="AB87" s="6">
        <f>$K$87*$V$87</f>
        <v>8482.65</v>
      </c>
      <c r="AC87" s="6">
        <f>$M$87*$W$87</f>
        <v>251.93336000000002</v>
      </c>
      <c r="AD87" s="6">
        <f>$O$87*$X$87</f>
        <v>1246.2504199999998</v>
      </c>
      <c r="AE87" s="6">
        <f ca="1">$K$87*$Y$87</f>
        <v>6630.1605551161638</v>
      </c>
      <c r="AF87" s="6">
        <f ca="1">$M$87*$Z$87</f>
        <v>320.96065732200185</v>
      </c>
      <c r="AG87" s="6">
        <f>$O$87*$AA$87</f>
        <v>1132.0703023275373</v>
      </c>
    </row>
    <row r="88" spans="1:33" ht="11.25" customHeight="1" x14ac:dyDescent="0.25">
      <c r="A88" s="4" t="s">
        <v>21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33</v>
      </c>
      <c r="I88" s="5">
        <v>44440</v>
      </c>
      <c r="J88" s="6">
        <v>165</v>
      </c>
      <c r="K88" s="6">
        <v>165</v>
      </c>
      <c r="L88" s="6">
        <v>3.1219999999999999</v>
      </c>
      <c r="M88" s="6">
        <v>3.1219999999999999</v>
      </c>
      <c r="N88" s="6">
        <v>3.1219999999999999</v>
      </c>
      <c r="O88" s="6">
        <v>3.1219999999999999</v>
      </c>
      <c r="P88" s="6">
        <v>0</v>
      </c>
      <c r="Q88" s="4" t="s">
        <v>26</v>
      </c>
      <c r="R88" s="4">
        <v>0</v>
      </c>
      <c r="S88" s="6">
        <v>3</v>
      </c>
      <c r="T88" s="6">
        <v>7</v>
      </c>
      <c r="U88" s="6">
        <v>47</v>
      </c>
      <c r="V88" s="6">
        <f>IF(ISERROR(VLOOKUP($S$88,'TAR FIN'!$A$1:$O$86,15,0)),0,VLOOKUP($S$88,'TAR FIN'!$A$1:$O$86,15,0))</f>
        <v>51.41</v>
      </c>
      <c r="W88" s="6">
        <f>IF(ISERROR(VLOOKUP($T$88,'TAR FIN'!$A$1:$O$86,15,0)),0,VLOOKUP($T$88,'TAR FIN'!$A$1:$O$86,15,0))</f>
        <v>78.680000000000007</v>
      </c>
      <c r="X88" s="6">
        <f>IF(ISERROR(VLOOKUP($U$88,'TAR FIN'!$A$1:$O$86,15,0)),0,VLOOKUP($U$88,'TAR FIN'!$A$1:$O$86,15,0))</f>
        <v>389.21</v>
      </c>
      <c r="Y88" s="6">
        <f ca="1">('TUSD BE'!$AM$6+'TUSD BF'!$AM$6+'TUSD CVA'!$AM$6)*1</f>
        <v>40.182791243128264</v>
      </c>
      <c r="Z88" s="6">
        <f ca="1">('TUSD BE'!$AM$8+'TUSD BF'!$AM$8+'TUSD CVA'!$AM$8)*1</f>
        <v>100.23755694003805</v>
      </c>
      <c r="AA88" s="6">
        <f>('TE BE'!$AB$5+'TE BF'!$AB$5+'TE CVA'!$AB$5)*1</f>
        <v>353.55100010229148</v>
      </c>
      <c r="AB88" s="6">
        <f>$K$88*$V$88</f>
        <v>8482.65</v>
      </c>
      <c r="AC88" s="6">
        <f>$M$88*$W$88</f>
        <v>245.63896000000003</v>
      </c>
      <c r="AD88" s="6">
        <f>$O$88*$X$88</f>
        <v>1215.1136199999999</v>
      </c>
      <c r="AE88" s="6">
        <f ca="1">$K$88*$Y$88</f>
        <v>6630.1605551161638</v>
      </c>
      <c r="AF88" s="6">
        <f ca="1">$M$88*$Z$88</f>
        <v>312.94165276679877</v>
      </c>
      <c r="AG88" s="6">
        <f>$O$88*$AA$88</f>
        <v>1103.786222319354</v>
      </c>
    </row>
    <row r="89" spans="1:3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33</v>
      </c>
      <c r="I89" s="5">
        <v>44470</v>
      </c>
      <c r="J89" s="6">
        <v>165</v>
      </c>
      <c r="K89" s="6">
        <v>165</v>
      </c>
      <c r="L89" s="6">
        <v>2.8860000000000001</v>
      </c>
      <c r="M89" s="6">
        <v>2.8860000000000001</v>
      </c>
      <c r="N89" s="6">
        <v>2.8860000000000001</v>
      </c>
      <c r="O89" s="6">
        <v>2.8860000000000001</v>
      </c>
      <c r="P89" s="6">
        <v>0</v>
      </c>
      <c r="Q89" s="4" t="s">
        <v>26</v>
      </c>
      <c r="R89" s="4">
        <v>0</v>
      </c>
      <c r="S89" s="6">
        <v>3</v>
      </c>
      <c r="T89" s="6">
        <v>7</v>
      </c>
      <c r="U89" s="6">
        <v>47</v>
      </c>
      <c r="V89" s="6">
        <f>IF(ISERROR(VLOOKUP($S$89,'TAR FIN'!$A$1:$O$86,15,0)),0,VLOOKUP($S$89,'TAR FIN'!$A$1:$O$86,15,0))</f>
        <v>51.41</v>
      </c>
      <c r="W89" s="6">
        <f>IF(ISERROR(VLOOKUP($T$89,'TAR FIN'!$A$1:$O$86,15,0)),0,VLOOKUP($T$89,'TAR FIN'!$A$1:$O$86,15,0))</f>
        <v>78.680000000000007</v>
      </c>
      <c r="X89" s="6">
        <f>IF(ISERROR(VLOOKUP($U$89,'TAR FIN'!$A$1:$O$86,15,0)),0,VLOOKUP($U$89,'TAR FIN'!$A$1:$O$86,15,0))</f>
        <v>389.21</v>
      </c>
      <c r="Y89" s="6">
        <f ca="1">('TUSD BE'!$AM$6+'TUSD BF'!$AM$6+'TUSD CVA'!$AM$6)*1</f>
        <v>40.182791243128264</v>
      </c>
      <c r="Z89" s="6">
        <f ca="1">('TUSD BE'!$AM$8+'TUSD BF'!$AM$8+'TUSD CVA'!$AM$8)*1</f>
        <v>100.23755694003805</v>
      </c>
      <c r="AA89" s="6">
        <f>('TE BE'!$AB$5+'TE BF'!$AB$5+'TE CVA'!$AB$5)*1</f>
        <v>353.55100010229148</v>
      </c>
      <c r="AB89" s="6">
        <f>$K$89*$V$89</f>
        <v>8482.65</v>
      </c>
      <c r="AC89" s="6">
        <f>$M$89*$W$89</f>
        <v>227.07048000000003</v>
      </c>
      <c r="AD89" s="6">
        <f>$O$89*$X$89</f>
        <v>1123.2600600000001</v>
      </c>
      <c r="AE89" s="6">
        <f ca="1">$K$89*$Y$89</f>
        <v>6630.1605551161638</v>
      </c>
      <c r="AF89" s="6">
        <f ca="1">$M$89*$Z$89</f>
        <v>289.28558932894981</v>
      </c>
      <c r="AG89" s="6">
        <f>$O$89*$AA$89</f>
        <v>1020.3481862952133</v>
      </c>
    </row>
    <row r="90" spans="1:33" ht="11.25" customHeight="1" x14ac:dyDescent="0.25">
      <c r="A90" s="4" t="s">
        <v>21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33</v>
      </c>
      <c r="I90" s="5">
        <v>44501</v>
      </c>
      <c r="J90" s="6">
        <v>165</v>
      </c>
      <c r="K90" s="6">
        <v>165</v>
      </c>
      <c r="L90" s="6">
        <v>2.7719999999999998</v>
      </c>
      <c r="M90" s="6">
        <v>2.7719999999999998</v>
      </c>
      <c r="N90" s="6">
        <v>2.7719999999999998</v>
      </c>
      <c r="O90" s="6">
        <v>2.7719999999999998</v>
      </c>
      <c r="P90" s="6">
        <v>0</v>
      </c>
      <c r="Q90" s="4" t="s">
        <v>26</v>
      </c>
      <c r="R90" s="4">
        <v>0</v>
      </c>
      <c r="S90" s="6">
        <v>3</v>
      </c>
      <c r="T90" s="6">
        <v>7</v>
      </c>
      <c r="U90" s="6">
        <v>47</v>
      </c>
      <c r="V90" s="6">
        <f>IF(ISERROR(VLOOKUP($S$90,'TAR FIN'!$A$1:$O$86,15,0)),0,VLOOKUP($S$90,'TAR FIN'!$A$1:$O$86,15,0))</f>
        <v>51.41</v>
      </c>
      <c r="W90" s="6">
        <f>IF(ISERROR(VLOOKUP($T$90,'TAR FIN'!$A$1:$O$86,15,0)),0,VLOOKUP($T$90,'TAR FIN'!$A$1:$O$86,15,0))</f>
        <v>78.680000000000007</v>
      </c>
      <c r="X90" s="6">
        <f>IF(ISERROR(VLOOKUP($U$90,'TAR FIN'!$A$1:$O$86,15,0)),0,VLOOKUP($U$90,'TAR FIN'!$A$1:$O$86,15,0))</f>
        <v>389.21</v>
      </c>
      <c r="Y90" s="6">
        <f ca="1">('TUSD BE'!$AM$6+'TUSD BF'!$AM$6+'TUSD CVA'!$AM$6)*1</f>
        <v>40.182791243128264</v>
      </c>
      <c r="Z90" s="6">
        <f ca="1">('TUSD BE'!$AM$8+'TUSD BF'!$AM$8+'TUSD CVA'!$AM$8)*1</f>
        <v>100.23755694003805</v>
      </c>
      <c r="AA90" s="6">
        <f>('TE BE'!$AB$5+'TE BF'!$AB$5+'TE CVA'!$AB$5)*1</f>
        <v>353.55100010229148</v>
      </c>
      <c r="AB90" s="6">
        <f>$K$90*$V$90</f>
        <v>8482.65</v>
      </c>
      <c r="AC90" s="6">
        <f>$M$90*$W$90</f>
        <v>218.10096000000001</v>
      </c>
      <c r="AD90" s="6">
        <f>$O$90*$X$90</f>
        <v>1078.8901199999998</v>
      </c>
      <c r="AE90" s="6">
        <f ca="1">$K$90*$Y$90</f>
        <v>6630.1605551161638</v>
      </c>
      <c r="AF90" s="6">
        <f ca="1">$M$90*$Z$90</f>
        <v>277.85850783778545</v>
      </c>
      <c r="AG90" s="6">
        <f>$O$90*$AA$90</f>
        <v>980.04337228355189</v>
      </c>
    </row>
    <row r="91" spans="1:3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33</v>
      </c>
      <c r="I91" s="5">
        <v>44531</v>
      </c>
      <c r="J91" s="6">
        <v>165</v>
      </c>
      <c r="K91" s="6">
        <v>165</v>
      </c>
      <c r="L91" s="6">
        <v>2.907</v>
      </c>
      <c r="M91" s="6">
        <v>2.907</v>
      </c>
      <c r="N91" s="6">
        <v>2.907</v>
      </c>
      <c r="O91" s="6">
        <v>2.907</v>
      </c>
      <c r="P91" s="6">
        <v>0</v>
      </c>
      <c r="Q91" s="4" t="s">
        <v>26</v>
      </c>
      <c r="R91" s="4">
        <v>0</v>
      </c>
      <c r="S91" s="6">
        <v>3</v>
      </c>
      <c r="T91" s="6">
        <v>7</v>
      </c>
      <c r="U91" s="6">
        <v>47</v>
      </c>
      <c r="V91" s="6">
        <f>IF(ISERROR(VLOOKUP($S$91,'TAR FIN'!$A$1:$O$86,15,0)),0,VLOOKUP($S$91,'TAR FIN'!$A$1:$O$86,15,0))</f>
        <v>51.41</v>
      </c>
      <c r="W91" s="6">
        <f>IF(ISERROR(VLOOKUP($T$91,'TAR FIN'!$A$1:$O$86,15,0)),0,VLOOKUP($T$91,'TAR FIN'!$A$1:$O$86,15,0))</f>
        <v>78.680000000000007</v>
      </c>
      <c r="X91" s="6">
        <f>IF(ISERROR(VLOOKUP($U$91,'TAR FIN'!$A$1:$O$86,15,0)),0,VLOOKUP($U$91,'TAR FIN'!$A$1:$O$86,15,0))</f>
        <v>389.21</v>
      </c>
      <c r="Y91" s="6">
        <f ca="1">('TUSD BE'!$AM$6+'TUSD BF'!$AM$6+'TUSD CVA'!$AM$6)*1</f>
        <v>40.182791243128264</v>
      </c>
      <c r="Z91" s="6">
        <f ca="1">('TUSD BE'!$AM$8+'TUSD BF'!$AM$8+'TUSD CVA'!$AM$8)*1</f>
        <v>100.23755694003805</v>
      </c>
      <c r="AA91" s="6">
        <f>('TE BE'!$AB$5+'TE BF'!$AB$5+'TE CVA'!$AB$5)*1</f>
        <v>353.55100010229148</v>
      </c>
      <c r="AB91" s="6">
        <f>$K$91*$V$91</f>
        <v>8482.65</v>
      </c>
      <c r="AC91" s="6">
        <f>$M$91*$W$91</f>
        <v>228.72276000000002</v>
      </c>
      <c r="AD91" s="6">
        <f>$O$91*$X$91</f>
        <v>1131.4334699999999</v>
      </c>
      <c r="AE91" s="6">
        <f ca="1">$K$91*$Y$91</f>
        <v>6630.1605551161638</v>
      </c>
      <c r="AF91" s="6">
        <f ca="1">$M$91*$Z$91</f>
        <v>291.39057802469063</v>
      </c>
      <c r="AG91" s="6">
        <f>$O$91*$AA$91</f>
        <v>1027.7727572973613</v>
      </c>
    </row>
    <row r="92" spans="1:33" ht="11.25" customHeight="1" x14ac:dyDescent="0.25">
      <c r="A92" s="4" t="s">
        <v>21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33</v>
      </c>
      <c r="I92" s="5">
        <v>44562</v>
      </c>
      <c r="J92" s="6">
        <v>165</v>
      </c>
      <c r="K92" s="6">
        <v>165</v>
      </c>
      <c r="L92" s="6">
        <v>2.9220000000000002</v>
      </c>
      <c r="M92" s="6">
        <v>2.9220000000000002</v>
      </c>
      <c r="N92" s="6">
        <v>2.9220000000000002</v>
      </c>
      <c r="O92" s="6">
        <v>2.9220000000000002</v>
      </c>
      <c r="P92" s="6">
        <v>0</v>
      </c>
      <c r="Q92" s="4" t="s">
        <v>26</v>
      </c>
      <c r="R92" s="4">
        <v>0</v>
      </c>
      <c r="S92" s="6">
        <v>3</v>
      </c>
      <c r="T92" s="6">
        <v>7</v>
      </c>
      <c r="U92" s="6">
        <v>47</v>
      </c>
      <c r="V92" s="6">
        <f>IF(ISERROR(VLOOKUP($S$92,'TAR FIN'!$A$1:$O$86,15,0)),0,VLOOKUP($S$92,'TAR FIN'!$A$1:$O$86,15,0))</f>
        <v>51.41</v>
      </c>
      <c r="W92" s="6">
        <f>IF(ISERROR(VLOOKUP($T$92,'TAR FIN'!$A$1:$O$86,15,0)),0,VLOOKUP($T$92,'TAR FIN'!$A$1:$O$86,15,0))</f>
        <v>78.680000000000007</v>
      </c>
      <c r="X92" s="6">
        <f>IF(ISERROR(VLOOKUP($U$92,'TAR FIN'!$A$1:$O$86,15,0)),0,VLOOKUP($U$92,'TAR FIN'!$A$1:$O$86,15,0))</f>
        <v>389.21</v>
      </c>
      <c r="Y92" s="6">
        <f ca="1">('TUSD BE'!$AM$6+'TUSD BF'!$AM$6+'TUSD CVA'!$AM$6)*1</f>
        <v>40.182791243128264</v>
      </c>
      <c r="Z92" s="6">
        <f ca="1">('TUSD BE'!$AM$8+'TUSD BF'!$AM$8+'TUSD CVA'!$AM$8)*1</f>
        <v>100.23755694003805</v>
      </c>
      <c r="AA92" s="6">
        <f>('TE BE'!$AB$5+'TE BF'!$AB$5+'TE CVA'!$AB$5)*1</f>
        <v>353.55100010229148</v>
      </c>
      <c r="AB92" s="6">
        <f>$K$92*$V$92</f>
        <v>8482.65</v>
      </c>
      <c r="AC92" s="6">
        <f>$M$92*$W$92</f>
        <v>229.90296000000004</v>
      </c>
      <c r="AD92" s="6">
        <f>$O$92*$X$92</f>
        <v>1137.27162</v>
      </c>
      <c r="AE92" s="6">
        <f ca="1">$K$92*$Y$92</f>
        <v>6630.1605551161638</v>
      </c>
      <c r="AF92" s="6">
        <f ca="1">$M$92*$Z$92</f>
        <v>292.89414137879118</v>
      </c>
      <c r="AG92" s="6">
        <f>$O$92*$AA$92</f>
        <v>1033.0760222988959</v>
      </c>
    </row>
    <row r="93" spans="1:3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33</v>
      </c>
      <c r="I93" s="5">
        <v>44593</v>
      </c>
      <c r="J93" s="6">
        <v>165</v>
      </c>
      <c r="K93" s="6">
        <v>165</v>
      </c>
      <c r="L93" s="6">
        <v>2.8410000000000002</v>
      </c>
      <c r="M93" s="6">
        <v>2.8410000000000002</v>
      </c>
      <c r="N93" s="6">
        <v>2.8410000000000002</v>
      </c>
      <c r="O93" s="6">
        <v>2.8410000000000002</v>
      </c>
      <c r="P93" s="6">
        <v>0</v>
      </c>
      <c r="Q93" s="4" t="s">
        <v>26</v>
      </c>
      <c r="R93" s="4">
        <v>0</v>
      </c>
      <c r="S93" s="6">
        <v>3</v>
      </c>
      <c r="T93" s="6">
        <v>7</v>
      </c>
      <c r="U93" s="6">
        <v>47</v>
      </c>
      <c r="V93" s="6">
        <f>IF(ISERROR(VLOOKUP($S$93,'TAR FIN'!$A$1:$O$86,15,0)),0,VLOOKUP($S$93,'TAR FIN'!$A$1:$O$86,15,0))</f>
        <v>51.41</v>
      </c>
      <c r="W93" s="6">
        <f>IF(ISERROR(VLOOKUP($T$93,'TAR FIN'!$A$1:$O$86,15,0)),0,VLOOKUP($T$93,'TAR FIN'!$A$1:$O$86,15,0))</f>
        <v>78.680000000000007</v>
      </c>
      <c r="X93" s="6">
        <f>IF(ISERROR(VLOOKUP($U$93,'TAR FIN'!$A$1:$O$86,15,0)),0,VLOOKUP($U$93,'TAR FIN'!$A$1:$O$86,15,0))</f>
        <v>389.21</v>
      </c>
      <c r="Y93" s="6">
        <f ca="1">('TUSD BE'!$AM$6+'TUSD BF'!$AM$6+'TUSD CVA'!$AM$6)*1</f>
        <v>40.182791243128264</v>
      </c>
      <c r="Z93" s="6">
        <f ca="1">('TUSD BE'!$AM$8+'TUSD BF'!$AM$8+'TUSD CVA'!$AM$8)*1</f>
        <v>100.23755694003805</v>
      </c>
      <c r="AA93" s="6">
        <f>('TE BE'!$AB$5+'TE BF'!$AB$5+'TE CVA'!$AB$5)*1</f>
        <v>353.55100010229148</v>
      </c>
      <c r="AB93" s="6">
        <f>$K$93*$V$93</f>
        <v>8482.65</v>
      </c>
      <c r="AC93" s="6">
        <f>$M$93*$W$93</f>
        <v>223.52988000000005</v>
      </c>
      <c r="AD93" s="6">
        <f>$O$93*$X$93</f>
        <v>1105.7456099999999</v>
      </c>
      <c r="AE93" s="6">
        <f ca="1">$K$93*$Y$93</f>
        <v>6630.1605551161638</v>
      </c>
      <c r="AF93" s="6">
        <f ca="1">$M$93*$Z$93</f>
        <v>284.77489926664811</v>
      </c>
      <c r="AG93" s="6">
        <f>$O$93*$AA$93</f>
        <v>1004.4383912906102</v>
      </c>
    </row>
    <row r="94" spans="1:33" ht="11.25" customHeight="1" x14ac:dyDescent="0.25">
      <c r="A94" s="4" t="s">
        <v>21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33</v>
      </c>
      <c r="I94" s="5">
        <v>44621</v>
      </c>
      <c r="J94" s="6">
        <v>165</v>
      </c>
      <c r="K94" s="6">
        <v>165</v>
      </c>
      <c r="L94" s="6">
        <v>3.2040000000000002</v>
      </c>
      <c r="M94" s="6">
        <v>3.2040000000000002</v>
      </c>
      <c r="N94" s="6">
        <v>3.2040000000000002</v>
      </c>
      <c r="O94" s="6">
        <v>3.2040000000000002</v>
      </c>
      <c r="P94" s="6">
        <v>0</v>
      </c>
      <c r="Q94" s="4" t="s">
        <v>26</v>
      </c>
      <c r="R94" s="4">
        <v>0</v>
      </c>
      <c r="S94" s="6">
        <v>3</v>
      </c>
      <c r="T94" s="6">
        <v>7</v>
      </c>
      <c r="U94" s="6">
        <v>47</v>
      </c>
      <c r="V94" s="6">
        <f>IF(ISERROR(VLOOKUP($S$94,'TAR FIN'!$A$1:$O$86,15,0)),0,VLOOKUP($S$94,'TAR FIN'!$A$1:$O$86,15,0))</f>
        <v>51.41</v>
      </c>
      <c r="W94" s="6">
        <f>IF(ISERROR(VLOOKUP($T$94,'TAR FIN'!$A$1:$O$86,15,0)),0,VLOOKUP($T$94,'TAR FIN'!$A$1:$O$86,15,0))</f>
        <v>78.680000000000007</v>
      </c>
      <c r="X94" s="6">
        <f>IF(ISERROR(VLOOKUP($U$94,'TAR FIN'!$A$1:$O$86,15,0)),0,VLOOKUP($U$94,'TAR FIN'!$A$1:$O$86,15,0))</f>
        <v>389.21</v>
      </c>
      <c r="Y94" s="6">
        <f ca="1">('TUSD BE'!$AM$6+'TUSD BF'!$AM$6+'TUSD CVA'!$AM$6)*1</f>
        <v>40.182791243128264</v>
      </c>
      <c r="Z94" s="6">
        <f ca="1">('TUSD BE'!$AM$8+'TUSD BF'!$AM$8+'TUSD CVA'!$AM$8)*1</f>
        <v>100.23755694003805</v>
      </c>
      <c r="AA94" s="6">
        <f>('TE BE'!$AB$5+'TE BF'!$AB$5+'TE CVA'!$AB$5)*1</f>
        <v>353.55100010229148</v>
      </c>
      <c r="AB94" s="6">
        <f>$K$94*$V$94</f>
        <v>8482.65</v>
      </c>
      <c r="AC94" s="6">
        <f>$M$94*$W$94</f>
        <v>252.09072000000003</v>
      </c>
      <c r="AD94" s="6">
        <f>$O$94*$X$94</f>
        <v>1247.0288399999999</v>
      </c>
      <c r="AE94" s="6">
        <f ca="1">$K$94*$Y$94</f>
        <v>6630.1605551161638</v>
      </c>
      <c r="AF94" s="6">
        <f ca="1">$M$94*$Z$94</f>
        <v>321.16113243588194</v>
      </c>
      <c r="AG94" s="6">
        <f>$O$94*$AA$94</f>
        <v>1132.777404327742</v>
      </c>
    </row>
    <row r="95" spans="1:3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33</v>
      </c>
      <c r="I95" s="5">
        <v>44652</v>
      </c>
      <c r="J95" s="6">
        <v>165</v>
      </c>
      <c r="K95" s="6">
        <v>165</v>
      </c>
      <c r="L95" s="6">
        <v>2.589</v>
      </c>
      <c r="M95" s="6">
        <v>2.589</v>
      </c>
      <c r="N95" s="6">
        <v>2.589</v>
      </c>
      <c r="O95" s="6">
        <v>2.589</v>
      </c>
      <c r="P95" s="6">
        <v>0</v>
      </c>
      <c r="Q95" s="4" t="s">
        <v>26</v>
      </c>
      <c r="R95" s="4">
        <v>0</v>
      </c>
      <c r="S95" s="6">
        <v>3</v>
      </c>
      <c r="T95" s="6">
        <v>7</v>
      </c>
      <c r="U95" s="6">
        <v>47</v>
      </c>
      <c r="V95" s="6">
        <f>IF(ISERROR(VLOOKUP($S$95,'TAR FIN'!$A$1:$O$86,15,0)),0,VLOOKUP($S$95,'TAR FIN'!$A$1:$O$86,15,0))</f>
        <v>51.41</v>
      </c>
      <c r="W95" s="6">
        <f>IF(ISERROR(VLOOKUP($T$95,'TAR FIN'!$A$1:$O$86,15,0)),0,VLOOKUP($T$95,'TAR FIN'!$A$1:$O$86,15,0))</f>
        <v>78.680000000000007</v>
      </c>
      <c r="X95" s="6">
        <f>IF(ISERROR(VLOOKUP($U$95,'TAR FIN'!$A$1:$O$86,15,0)),0,VLOOKUP($U$95,'TAR FIN'!$A$1:$O$86,15,0))</f>
        <v>389.21</v>
      </c>
      <c r="Y95" s="6">
        <f ca="1">('TUSD BE'!$AM$6+'TUSD BF'!$AM$6+'TUSD CVA'!$AM$6)*1</f>
        <v>40.182791243128264</v>
      </c>
      <c r="Z95" s="6">
        <f ca="1">('TUSD BE'!$AM$8+'TUSD BF'!$AM$8+'TUSD CVA'!$AM$8)*1</f>
        <v>100.23755694003805</v>
      </c>
      <c r="AA95" s="6">
        <f>('TE BE'!$AB$5+'TE BF'!$AB$5+'TE CVA'!$AB$5)*1</f>
        <v>353.55100010229148</v>
      </c>
      <c r="AB95" s="6">
        <f>$K$95*$V$95</f>
        <v>8482.65</v>
      </c>
      <c r="AC95" s="6">
        <f>$M$95*$W$95</f>
        <v>203.70252000000002</v>
      </c>
      <c r="AD95" s="6">
        <f>$O$95*$X$95</f>
        <v>1007.66469</v>
      </c>
      <c r="AE95" s="6">
        <f ca="1">$K$95*$Y$95</f>
        <v>6630.1605551161638</v>
      </c>
      <c r="AF95" s="6">
        <f ca="1">$M$95*$Z$95</f>
        <v>259.5150349177585</v>
      </c>
      <c r="AG95" s="6">
        <f>$O$95*$AA$95</f>
        <v>915.34353926483266</v>
      </c>
    </row>
    <row r="96" spans="1:33" ht="11.25" customHeight="1" x14ac:dyDescent="0.25">
      <c r="A96" s="4" t="s">
        <v>21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33</v>
      </c>
      <c r="I96" s="5">
        <v>44682</v>
      </c>
      <c r="J96" s="6">
        <v>165</v>
      </c>
      <c r="K96" s="6">
        <v>165</v>
      </c>
      <c r="L96" s="6">
        <v>3.3330000000000002</v>
      </c>
      <c r="M96" s="6">
        <v>3.3330000000000002</v>
      </c>
      <c r="N96" s="6">
        <v>3.3330000000000002</v>
      </c>
      <c r="O96" s="6">
        <v>3.3330000000000002</v>
      </c>
      <c r="P96" s="6">
        <v>0</v>
      </c>
      <c r="Q96" s="4" t="s">
        <v>26</v>
      </c>
      <c r="R96" s="4">
        <v>0</v>
      </c>
      <c r="S96" s="6">
        <v>3</v>
      </c>
      <c r="T96" s="6">
        <v>7</v>
      </c>
      <c r="U96" s="6">
        <v>47</v>
      </c>
      <c r="V96" s="6">
        <f>IF(ISERROR(VLOOKUP($S$96,'TAR FIN'!$A$1:$O$86,15,0)),0,VLOOKUP($S$96,'TAR FIN'!$A$1:$O$86,15,0))</f>
        <v>51.41</v>
      </c>
      <c r="W96" s="6">
        <f>IF(ISERROR(VLOOKUP($T$96,'TAR FIN'!$A$1:$O$86,15,0)),0,VLOOKUP($T$96,'TAR FIN'!$A$1:$O$86,15,0))</f>
        <v>78.680000000000007</v>
      </c>
      <c r="X96" s="6">
        <f>IF(ISERROR(VLOOKUP($U$96,'TAR FIN'!$A$1:$O$86,15,0)),0,VLOOKUP($U$96,'TAR FIN'!$A$1:$O$86,15,0))</f>
        <v>389.21</v>
      </c>
      <c r="Y96" s="6">
        <f ca="1">('TUSD BE'!$AM$6+'TUSD BF'!$AM$6+'TUSD CVA'!$AM$6)*1</f>
        <v>40.182791243128264</v>
      </c>
      <c r="Z96" s="6">
        <f ca="1">('TUSD BE'!$AM$8+'TUSD BF'!$AM$8+'TUSD CVA'!$AM$8)*1</f>
        <v>100.23755694003805</v>
      </c>
      <c r="AA96" s="6">
        <f>('TE BE'!$AB$5+'TE BF'!$AB$5+'TE CVA'!$AB$5)*1</f>
        <v>353.55100010229148</v>
      </c>
      <c r="AB96" s="6">
        <f>$K$96*$V$96</f>
        <v>8482.65</v>
      </c>
      <c r="AC96" s="6">
        <f>$M$96*$W$96</f>
        <v>262.24044000000004</v>
      </c>
      <c r="AD96" s="6">
        <f>$O$96*$X$96</f>
        <v>1297.23693</v>
      </c>
      <c r="AE96" s="6">
        <f ca="1">$K$96*$Y$96</f>
        <v>6630.1605551161638</v>
      </c>
      <c r="AF96" s="6">
        <f ca="1">$M$96*$Z$96</f>
        <v>334.09177728114685</v>
      </c>
      <c r="AG96" s="6">
        <f>$O$96*$AA$96</f>
        <v>1178.3854833409375</v>
      </c>
    </row>
    <row r="97" spans="1:33" ht="11.25" customHeight="1" x14ac:dyDescent="0.25">
      <c r="A97" s="4" t="s">
        <v>56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33</v>
      </c>
      <c r="I97" s="5">
        <v>44713</v>
      </c>
      <c r="J97" s="6">
        <v>165</v>
      </c>
      <c r="K97" s="6">
        <v>165</v>
      </c>
      <c r="L97" s="6">
        <v>3.3330000000000002</v>
      </c>
      <c r="M97" s="6">
        <v>3.3330000000000002</v>
      </c>
      <c r="N97" s="6">
        <v>3.3330000000000002</v>
      </c>
      <c r="O97" s="6">
        <v>3.3330000000000002</v>
      </c>
      <c r="P97" s="6">
        <v>0</v>
      </c>
      <c r="Q97" s="4" t="s">
        <v>26</v>
      </c>
      <c r="R97" s="4">
        <v>0</v>
      </c>
      <c r="S97" s="6">
        <v>3</v>
      </c>
      <c r="T97" s="6">
        <v>7</v>
      </c>
      <c r="U97" s="6">
        <v>47</v>
      </c>
      <c r="V97" s="6">
        <f>IF(ISERROR(VLOOKUP($S$97,'TAR FIN'!$A$1:$O$86,15,0)),0,VLOOKUP($S$97,'TAR FIN'!$A$1:$O$86,15,0))</f>
        <v>51.41</v>
      </c>
      <c r="W97" s="6">
        <f>IF(ISERROR(VLOOKUP($T$97,'TAR FIN'!$A$1:$O$86,15,0)),0,VLOOKUP($T$97,'TAR FIN'!$A$1:$O$86,15,0))</f>
        <v>78.680000000000007</v>
      </c>
      <c r="X97" s="6">
        <f>IF(ISERROR(VLOOKUP($U$97,'TAR FIN'!$A$1:$O$86,15,0)),0,VLOOKUP($U$97,'TAR FIN'!$A$1:$O$86,15,0))</f>
        <v>389.21</v>
      </c>
      <c r="Y97" s="6">
        <f ca="1">('TUSD BE'!$AM$6+'TUSD BF'!$AM$6+'TUSD CVA'!$AM$6)*1</f>
        <v>40.182791243128264</v>
      </c>
      <c r="Z97" s="6">
        <f ca="1">('TUSD BE'!$AM$8+'TUSD BF'!$AM$8+'TUSD CVA'!$AM$8)*1</f>
        <v>100.23755694003805</v>
      </c>
      <c r="AA97" s="6">
        <f>('TE BE'!$AB$5+'TE BF'!$AB$5+'TE CVA'!$AB$5)*1</f>
        <v>353.55100010229148</v>
      </c>
      <c r="AB97" s="6">
        <f>$K$97*$V$97</f>
        <v>8482.65</v>
      </c>
      <c r="AC97" s="6">
        <f>$M$97*$W$97</f>
        <v>262.24044000000004</v>
      </c>
      <c r="AD97" s="6">
        <f>$O$97*$X$97</f>
        <v>1297.23693</v>
      </c>
      <c r="AE97" s="6">
        <f ca="1">$K$97*$Y$97</f>
        <v>6630.1605551161638</v>
      </c>
      <c r="AF97" s="6">
        <f ca="1">$M$97*$Z$97</f>
        <v>334.09177728114685</v>
      </c>
      <c r="AG97" s="6">
        <f>$O$97*$AA$97</f>
        <v>1178.3854833409375</v>
      </c>
    </row>
    <row r="98" spans="1:33" ht="11.25" customHeight="1" x14ac:dyDescent="0.25">
      <c r="A98" s="4" t="s">
        <v>21</v>
      </c>
      <c r="B98" s="4" t="s">
        <v>38</v>
      </c>
      <c r="C98" s="4" t="s">
        <v>39</v>
      </c>
      <c r="D98" s="4" t="s">
        <v>48</v>
      </c>
      <c r="E98" s="4" t="s">
        <v>49</v>
      </c>
      <c r="F98" s="4" t="s">
        <v>25</v>
      </c>
      <c r="G98" s="4" t="s">
        <v>25</v>
      </c>
      <c r="H98" s="4" t="s">
        <v>34</v>
      </c>
      <c r="I98" s="5">
        <v>44378</v>
      </c>
      <c r="J98" s="6">
        <v>677</v>
      </c>
      <c r="K98" s="96">
        <v>677</v>
      </c>
      <c r="L98" s="6">
        <v>362.75799999999998</v>
      </c>
      <c r="M98" s="97">
        <v>362.75799999999998</v>
      </c>
      <c r="N98" s="6">
        <v>362.75799999999998</v>
      </c>
      <c r="O98" s="97">
        <v>362.75799999999998</v>
      </c>
      <c r="P98" s="6">
        <v>0</v>
      </c>
      <c r="Q98" s="4" t="s">
        <v>26</v>
      </c>
      <c r="R98" s="4">
        <v>0</v>
      </c>
      <c r="S98" s="6">
        <v>22</v>
      </c>
      <c r="T98" s="6">
        <v>7</v>
      </c>
      <c r="U98" s="6">
        <v>42</v>
      </c>
      <c r="V98" s="97">
        <f>IF(ISERROR(VLOOKUP($S$98,'TAR FIN'!$A$1:$O$86,15,0)),0,VLOOKUP($S$98,'TAR FIN'!$A$1:$O$86,15,0))*(1-0.06)</f>
        <v>18.085599999999996</v>
      </c>
      <c r="W98" s="97">
        <f>IF(ISERROR(VLOOKUP($T$98,'TAR FIN'!$A$1:$O$86,15,0)),0,VLOOKUP($T$98,'TAR FIN'!$A$1:$O$86,15,0))*(1-0.06)</f>
        <v>73.959199999999996</v>
      </c>
      <c r="X98" s="97">
        <f>IF(ISERROR(VLOOKUP($U$98,'TAR FIN'!$A$1:$O$86,15,0)),0,VLOOKUP($U$98,'TAR FIN'!$A$1:$O$86,15,0))*(1-0.06)</f>
        <v>231.52199999999999</v>
      </c>
      <c r="Y98" s="97">
        <f ca="1">('TUSD BE'!$AM$7+'TUSD BF'!$AM$7+'TUSD CVA'!$AM$7)*1*(1-0.03)</f>
        <v>14.737169183098963</v>
      </c>
      <c r="Z98" s="97">
        <f ca="1">('TUSD BE'!$AM$8+'TUSD BF'!$AM$8+'TUSD CVA'!$AM$8)*1*(1-0.03)</f>
        <v>97.230430231836905</v>
      </c>
      <c r="AA98" s="97">
        <f>('TE BE'!$AB$6+'TE BF'!$AB$6+'TE CVA'!$AB$6)*1*(1-0.03)</f>
        <v>212.82153574530136</v>
      </c>
      <c r="AB98" s="6">
        <f>$K$98*$V$98</f>
        <v>12243.951199999998</v>
      </c>
      <c r="AC98" s="6">
        <f>$M$98*$W$98</f>
        <v>26829.291473599998</v>
      </c>
      <c r="AD98" s="6">
        <f>$O$98*$X$98</f>
        <v>83986.457675999991</v>
      </c>
      <c r="AE98" s="6">
        <f ca="1">$K$98*$Y$98</f>
        <v>9977.0635369579977</v>
      </c>
      <c r="AF98" s="6">
        <f ca="1">$M$98*$Z$98</f>
        <v>35271.11641004069</v>
      </c>
      <c r="AG98" s="6">
        <f>$O$98*$AA$98</f>
        <v>77202.714663894032</v>
      </c>
    </row>
    <row r="99" spans="1:33" ht="11.25" customHeight="1" x14ac:dyDescent="0.25">
      <c r="A99" s="4" t="s">
        <v>21</v>
      </c>
      <c r="B99" s="4" t="s">
        <v>38</v>
      </c>
      <c r="C99" s="4" t="s">
        <v>39</v>
      </c>
      <c r="D99" s="4" t="s">
        <v>48</v>
      </c>
      <c r="E99" s="4" t="s">
        <v>49</v>
      </c>
      <c r="F99" s="4" t="s">
        <v>25</v>
      </c>
      <c r="G99" s="4" t="s">
        <v>25</v>
      </c>
      <c r="H99" s="4" t="s">
        <v>34</v>
      </c>
      <c r="I99" s="5">
        <v>44409</v>
      </c>
      <c r="J99" s="6">
        <v>642</v>
      </c>
      <c r="K99" s="96">
        <v>642</v>
      </c>
      <c r="L99" s="6">
        <v>360.85899999999998</v>
      </c>
      <c r="M99" s="97">
        <v>360.85899999999998</v>
      </c>
      <c r="N99" s="6">
        <v>360.85899999999998</v>
      </c>
      <c r="O99" s="97">
        <v>360.85899999999998</v>
      </c>
      <c r="P99" s="6">
        <v>0</v>
      </c>
      <c r="Q99" s="4" t="s">
        <v>26</v>
      </c>
      <c r="R99" s="4">
        <v>0</v>
      </c>
      <c r="S99" s="6">
        <v>22</v>
      </c>
      <c r="T99" s="6">
        <v>7</v>
      </c>
      <c r="U99" s="6">
        <v>42</v>
      </c>
      <c r="V99" s="97">
        <f>IF(ISERROR(VLOOKUP($S$99,'TAR FIN'!$A$1:$O$86,15,0)),0,VLOOKUP($S$99,'TAR FIN'!$A$1:$O$86,15,0))*(1-0.06)</f>
        <v>18.085599999999996</v>
      </c>
      <c r="W99" s="97">
        <f>IF(ISERROR(VLOOKUP($T$99,'TAR FIN'!$A$1:$O$86,15,0)),0,VLOOKUP($T$99,'TAR FIN'!$A$1:$O$86,15,0))*(1-0.06)</f>
        <v>73.959199999999996</v>
      </c>
      <c r="X99" s="97">
        <f>IF(ISERROR(VLOOKUP($U$99,'TAR FIN'!$A$1:$O$86,15,0)),0,VLOOKUP($U$99,'TAR FIN'!$A$1:$O$86,15,0))*(1-0.06)</f>
        <v>231.52199999999999</v>
      </c>
      <c r="Y99" s="97">
        <f ca="1">('TUSD BE'!$AM$7+'TUSD BF'!$AM$7+'TUSD CVA'!$AM$7)*1*(1-0.03)</f>
        <v>14.737169183098963</v>
      </c>
      <c r="Z99" s="97">
        <f ca="1">('TUSD BE'!$AM$8+'TUSD BF'!$AM$8+'TUSD CVA'!$AM$8)*1*(1-0.03)</f>
        <v>97.230430231836905</v>
      </c>
      <c r="AA99" s="97">
        <f>('TE BE'!$AB$6+'TE BF'!$AB$6+'TE CVA'!$AB$6)*1*(1-0.03)</f>
        <v>212.82153574530136</v>
      </c>
      <c r="AB99" s="6">
        <f>$K$99*$V$99</f>
        <v>11610.955199999997</v>
      </c>
      <c r="AC99" s="6">
        <f>$M$99*$W$99</f>
        <v>26688.842952799998</v>
      </c>
      <c r="AD99" s="6">
        <f>$O$99*$X$99</f>
        <v>83546.797397999995</v>
      </c>
      <c r="AE99" s="6">
        <f ca="1">$K$99*$Y$99</f>
        <v>9461.2626155495345</v>
      </c>
      <c r="AF99" s="6">
        <f ca="1">$M$99*$Z$99</f>
        <v>35086.475823030429</v>
      </c>
      <c r="AG99" s="6">
        <f>$O$99*$AA$99</f>
        <v>76798.566567513699</v>
      </c>
    </row>
    <row r="100" spans="1:33" ht="11.25" customHeight="1" x14ac:dyDescent="0.25">
      <c r="A100" s="4" t="s">
        <v>21</v>
      </c>
      <c r="B100" s="4" t="s">
        <v>38</v>
      </c>
      <c r="C100" s="4" t="s">
        <v>39</v>
      </c>
      <c r="D100" s="4" t="s">
        <v>48</v>
      </c>
      <c r="E100" s="4" t="s">
        <v>49</v>
      </c>
      <c r="F100" s="4" t="s">
        <v>25</v>
      </c>
      <c r="G100" s="4" t="s">
        <v>25</v>
      </c>
      <c r="H100" s="4" t="s">
        <v>34</v>
      </c>
      <c r="I100" s="5">
        <v>44440</v>
      </c>
      <c r="J100" s="6">
        <v>642</v>
      </c>
      <c r="K100" s="96">
        <v>642</v>
      </c>
      <c r="L100" s="6">
        <v>350.08800000000002</v>
      </c>
      <c r="M100" s="97">
        <v>350.08800000000002</v>
      </c>
      <c r="N100" s="6">
        <v>350.08800000000002</v>
      </c>
      <c r="O100" s="97">
        <v>350.08800000000002</v>
      </c>
      <c r="P100" s="6">
        <v>0</v>
      </c>
      <c r="Q100" s="4" t="s">
        <v>26</v>
      </c>
      <c r="R100" s="4">
        <v>0</v>
      </c>
      <c r="S100" s="6">
        <v>22</v>
      </c>
      <c r="T100" s="6">
        <v>7</v>
      </c>
      <c r="U100" s="6">
        <v>42</v>
      </c>
      <c r="V100" s="97">
        <f>IF(ISERROR(VLOOKUP($S$100,'TAR FIN'!$A$1:$O$86,15,0)),0,VLOOKUP($S$100,'TAR FIN'!$A$1:$O$86,15,0))*(1-0.06)</f>
        <v>18.085599999999996</v>
      </c>
      <c r="W100" s="97">
        <f>IF(ISERROR(VLOOKUP($T$100,'TAR FIN'!$A$1:$O$86,15,0)),0,VLOOKUP($T$100,'TAR FIN'!$A$1:$O$86,15,0))*(1-0.06)</f>
        <v>73.959199999999996</v>
      </c>
      <c r="X100" s="97">
        <f>IF(ISERROR(VLOOKUP($U$100,'TAR FIN'!$A$1:$O$86,15,0)),0,VLOOKUP($U$100,'TAR FIN'!$A$1:$O$86,15,0))*(1-0.06)</f>
        <v>231.52199999999999</v>
      </c>
      <c r="Y100" s="97">
        <f ca="1">('TUSD BE'!$AM$7+'TUSD BF'!$AM$7+'TUSD CVA'!$AM$7)*1*(1-0.03)</f>
        <v>14.737169183098963</v>
      </c>
      <c r="Z100" s="97">
        <f ca="1">('TUSD BE'!$AM$8+'TUSD BF'!$AM$8+'TUSD CVA'!$AM$8)*1*(1-0.03)</f>
        <v>97.230430231836905</v>
      </c>
      <c r="AA100" s="97">
        <f>('TE BE'!$AB$6+'TE BF'!$AB$6+'TE CVA'!$AB$6)*1*(1-0.03)</f>
        <v>212.82153574530136</v>
      </c>
      <c r="AB100" s="6">
        <f>$K$100*$V$100</f>
        <v>11610.955199999997</v>
      </c>
      <c r="AC100" s="6">
        <f>$M$100*$W$100</f>
        <v>25892.2284096</v>
      </c>
      <c r="AD100" s="6">
        <f>$O$100*$X$100</f>
        <v>81053.073936000001</v>
      </c>
      <c r="AE100" s="6">
        <f ca="1">$K$100*$Y$100</f>
        <v>9461.2626155495345</v>
      </c>
      <c r="AF100" s="6">
        <f ca="1">$M$100*$Z$100</f>
        <v>34039.206859003323</v>
      </c>
      <c r="AG100" s="6">
        <f>$O$100*$AA$100</f>
        <v>74506.265806001073</v>
      </c>
    </row>
    <row r="101" spans="1:33" ht="11.25" customHeight="1" x14ac:dyDescent="0.25">
      <c r="A101" s="4" t="s">
        <v>21</v>
      </c>
      <c r="B101" s="4" t="s">
        <v>38</v>
      </c>
      <c r="C101" s="4" t="s">
        <v>39</v>
      </c>
      <c r="D101" s="4" t="s">
        <v>48</v>
      </c>
      <c r="E101" s="4" t="s">
        <v>49</v>
      </c>
      <c r="F101" s="4" t="s">
        <v>25</v>
      </c>
      <c r="G101" s="4" t="s">
        <v>25</v>
      </c>
      <c r="H101" s="4" t="s">
        <v>34</v>
      </c>
      <c r="I101" s="5">
        <v>44470</v>
      </c>
      <c r="J101" s="6">
        <v>640</v>
      </c>
      <c r="K101" s="96">
        <v>640</v>
      </c>
      <c r="L101" s="6">
        <v>362.85399999999998</v>
      </c>
      <c r="M101" s="97">
        <v>362.85399999999998</v>
      </c>
      <c r="N101" s="6">
        <v>362.85399999999998</v>
      </c>
      <c r="O101" s="97">
        <v>362.85399999999998</v>
      </c>
      <c r="P101" s="6">
        <v>0</v>
      </c>
      <c r="Q101" s="4" t="s">
        <v>26</v>
      </c>
      <c r="R101" s="4">
        <v>0</v>
      </c>
      <c r="S101" s="6">
        <v>22</v>
      </c>
      <c r="T101" s="6">
        <v>7</v>
      </c>
      <c r="U101" s="6">
        <v>42</v>
      </c>
      <c r="V101" s="97">
        <f>IF(ISERROR(VLOOKUP($S$101,'TAR FIN'!$A$1:$O$86,15,0)),0,VLOOKUP($S$101,'TAR FIN'!$A$1:$O$86,15,0))*(1-0.06)</f>
        <v>18.085599999999996</v>
      </c>
      <c r="W101" s="97">
        <f>IF(ISERROR(VLOOKUP($T$101,'TAR FIN'!$A$1:$O$86,15,0)),0,VLOOKUP($T$101,'TAR FIN'!$A$1:$O$86,15,0))*(1-0.06)</f>
        <v>73.959199999999996</v>
      </c>
      <c r="X101" s="97">
        <f>IF(ISERROR(VLOOKUP($U$101,'TAR FIN'!$A$1:$O$86,15,0)),0,VLOOKUP($U$101,'TAR FIN'!$A$1:$O$86,15,0))*(1-0.06)</f>
        <v>231.52199999999999</v>
      </c>
      <c r="Y101" s="97">
        <f ca="1">('TUSD BE'!$AM$7+'TUSD BF'!$AM$7+'TUSD CVA'!$AM$7)*1*(1-0.03)</f>
        <v>14.737169183098963</v>
      </c>
      <c r="Z101" s="97">
        <f ca="1">('TUSD BE'!$AM$8+'TUSD BF'!$AM$8+'TUSD CVA'!$AM$8)*1*(1-0.03)</f>
        <v>97.230430231836905</v>
      </c>
      <c r="AA101" s="97">
        <f>('TE BE'!$AB$6+'TE BF'!$AB$6+'TE CVA'!$AB$6)*1*(1-0.03)</f>
        <v>212.82153574530136</v>
      </c>
      <c r="AB101" s="6">
        <f>$K$101*$V$101</f>
        <v>11574.783999999998</v>
      </c>
      <c r="AC101" s="6">
        <f>$M$101*$W$101</f>
        <v>26836.391556799997</v>
      </c>
      <c r="AD101" s="6">
        <f>$O$101*$X$101</f>
        <v>84008.683787999995</v>
      </c>
      <c r="AE101" s="6">
        <f ca="1">$K$101*$Y$101</f>
        <v>9431.7882771833356</v>
      </c>
      <c r="AF101" s="6">
        <f ca="1">$M$101*$Z$101</f>
        <v>35280.450531342947</v>
      </c>
      <c r="AG101" s="6">
        <f>$O$101*$AA$101</f>
        <v>77223.145531325572</v>
      </c>
    </row>
    <row r="102" spans="1:33" ht="11.25" customHeight="1" x14ac:dyDescent="0.25">
      <c r="A102" s="4" t="s">
        <v>21</v>
      </c>
      <c r="B102" s="4" t="s">
        <v>38</v>
      </c>
      <c r="C102" s="4" t="s">
        <v>39</v>
      </c>
      <c r="D102" s="4" t="s">
        <v>48</v>
      </c>
      <c r="E102" s="4" t="s">
        <v>49</v>
      </c>
      <c r="F102" s="4" t="s">
        <v>25</v>
      </c>
      <c r="G102" s="4" t="s">
        <v>25</v>
      </c>
      <c r="H102" s="4" t="s">
        <v>34</v>
      </c>
      <c r="I102" s="5">
        <v>44501</v>
      </c>
      <c r="J102" s="6">
        <v>652</v>
      </c>
      <c r="K102" s="96">
        <v>652</v>
      </c>
      <c r="L102" s="6">
        <v>367.28899999999999</v>
      </c>
      <c r="M102" s="97">
        <v>367.28899999999999</v>
      </c>
      <c r="N102" s="6">
        <v>367.28899999999999</v>
      </c>
      <c r="O102" s="97">
        <v>367.28899999999999</v>
      </c>
      <c r="P102" s="6">
        <v>0</v>
      </c>
      <c r="Q102" s="4" t="s">
        <v>26</v>
      </c>
      <c r="R102" s="4">
        <v>0</v>
      </c>
      <c r="S102" s="6">
        <v>22</v>
      </c>
      <c r="T102" s="6">
        <v>7</v>
      </c>
      <c r="U102" s="6">
        <v>42</v>
      </c>
      <c r="V102" s="97">
        <f>IF(ISERROR(VLOOKUP($S$102,'TAR FIN'!$A$1:$O$86,15,0)),0,VLOOKUP($S$102,'TAR FIN'!$A$1:$O$86,15,0))*(1-0.06)</f>
        <v>18.085599999999996</v>
      </c>
      <c r="W102" s="97">
        <f>IF(ISERROR(VLOOKUP($T$102,'TAR FIN'!$A$1:$O$86,15,0)),0,VLOOKUP($T$102,'TAR FIN'!$A$1:$O$86,15,0))*(1-0.06)</f>
        <v>73.959199999999996</v>
      </c>
      <c r="X102" s="97">
        <f>IF(ISERROR(VLOOKUP($U$102,'TAR FIN'!$A$1:$O$86,15,0)),0,VLOOKUP($U$102,'TAR FIN'!$A$1:$O$86,15,0))*(1-0.06)</f>
        <v>231.52199999999999</v>
      </c>
      <c r="Y102" s="97">
        <f ca="1">('TUSD BE'!$AM$7+'TUSD BF'!$AM$7+'TUSD CVA'!$AM$7)*1*(1-0.03)</f>
        <v>14.737169183098963</v>
      </c>
      <c r="Z102" s="97">
        <f ca="1">('TUSD BE'!$AM$8+'TUSD BF'!$AM$8+'TUSD CVA'!$AM$8)*1*(1-0.03)</f>
        <v>97.230430231836905</v>
      </c>
      <c r="AA102" s="97">
        <f>('TE BE'!$AB$6+'TE BF'!$AB$6+'TE CVA'!$AB$6)*1*(1-0.03)</f>
        <v>212.82153574530136</v>
      </c>
      <c r="AB102" s="6">
        <f>$K$102*$V$102</f>
        <v>11791.811199999996</v>
      </c>
      <c r="AC102" s="6">
        <f>$M$102*$W$102</f>
        <v>27164.400608799999</v>
      </c>
      <c r="AD102" s="6">
        <f>$O$102*$X$102</f>
        <v>85035.483857999992</v>
      </c>
      <c r="AE102" s="6">
        <f ca="1">$K$102*$Y$102</f>
        <v>9608.6343073805238</v>
      </c>
      <c r="AF102" s="6">
        <f ca="1">$M$102*$Z$102</f>
        <v>35711.667489421146</v>
      </c>
      <c r="AG102" s="6">
        <f>$O$102*$AA$102</f>
        <v>78167.009042355989</v>
      </c>
    </row>
    <row r="103" spans="1:33" ht="11.25" customHeight="1" x14ac:dyDescent="0.25">
      <c r="A103" s="4" t="s">
        <v>21</v>
      </c>
      <c r="B103" s="4" t="s">
        <v>38</v>
      </c>
      <c r="C103" s="4" t="s">
        <v>39</v>
      </c>
      <c r="D103" s="4" t="s">
        <v>48</v>
      </c>
      <c r="E103" s="4" t="s">
        <v>49</v>
      </c>
      <c r="F103" s="4" t="s">
        <v>25</v>
      </c>
      <c r="G103" s="4" t="s">
        <v>25</v>
      </c>
      <c r="H103" s="4" t="s">
        <v>34</v>
      </c>
      <c r="I103" s="5">
        <v>44531</v>
      </c>
      <c r="J103" s="6">
        <v>654</v>
      </c>
      <c r="K103" s="96">
        <v>654</v>
      </c>
      <c r="L103" s="6">
        <v>390.88799999999998</v>
      </c>
      <c r="M103" s="97">
        <v>390.88799999999998</v>
      </c>
      <c r="N103" s="6">
        <v>390.88799999999998</v>
      </c>
      <c r="O103" s="97">
        <v>390.88799999999998</v>
      </c>
      <c r="P103" s="6">
        <v>0</v>
      </c>
      <c r="Q103" s="4" t="s">
        <v>26</v>
      </c>
      <c r="R103" s="4">
        <v>0</v>
      </c>
      <c r="S103" s="6">
        <v>22</v>
      </c>
      <c r="T103" s="6">
        <v>7</v>
      </c>
      <c r="U103" s="6">
        <v>42</v>
      </c>
      <c r="V103" s="97">
        <f>IF(ISERROR(VLOOKUP($S$103,'TAR FIN'!$A$1:$O$86,15,0)),0,VLOOKUP($S$103,'TAR FIN'!$A$1:$O$86,15,0))*(1-0.06)</f>
        <v>18.085599999999996</v>
      </c>
      <c r="W103" s="97">
        <f>IF(ISERROR(VLOOKUP($T$103,'TAR FIN'!$A$1:$O$86,15,0)),0,VLOOKUP($T$103,'TAR FIN'!$A$1:$O$86,15,0))*(1-0.06)</f>
        <v>73.959199999999996</v>
      </c>
      <c r="X103" s="97">
        <f>IF(ISERROR(VLOOKUP($U$103,'TAR FIN'!$A$1:$O$86,15,0)),0,VLOOKUP($U$103,'TAR FIN'!$A$1:$O$86,15,0))*(1-0.06)</f>
        <v>231.52199999999999</v>
      </c>
      <c r="Y103" s="97">
        <f ca="1">('TUSD BE'!$AM$7+'TUSD BF'!$AM$7+'TUSD CVA'!$AM$7)*1*(1-0.03)</f>
        <v>14.737169183098963</v>
      </c>
      <c r="Z103" s="97">
        <f ca="1">('TUSD BE'!$AM$8+'TUSD BF'!$AM$8+'TUSD CVA'!$AM$8)*1*(1-0.03)</f>
        <v>97.230430231836905</v>
      </c>
      <c r="AA103" s="97">
        <f>('TE BE'!$AB$6+'TE BF'!$AB$6+'TE CVA'!$AB$6)*1*(1-0.03)</f>
        <v>212.82153574530136</v>
      </c>
      <c r="AB103" s="6">
        <f>$K$103*$V$103</f>
        <v>11827.982399999997</v>
      </c>
      <c r="AC103" s="6">
        <f>$M$103*$W$103</f>
        <v>28909.763769599998</v>
      </c>
      <c r="AD103" s="6">
        <f>$O$103*$X$103</f>
        <v>90499.171535999994</v>
      </c>
      <c r="AE103" s="6">
        <f ca="1">$K$103*$Y$103</f>
        <v>9638.1086457467227</v>
      </c>
      <c r="AF103" s="6">
        <f ca="1">$M$103*$Z$103</f>
        <v>38006.208412462263</v>
      </c>
      <c r="AG103" s="6">
        <f>$O$103*$AA$103</f>
        <v>83189.384464409348</v>
      </c>
    </row>
    <row r="104" spans="1:33" ht="11.25" customHeight="1" x14ac:dyDescent="0.25">
      <c r="A104" s="4" t="s">
        <v>21</v>
      </c>
      <c r="B104" s="4" t="s">
        <v>38</v>
      </c>
      <c r="C104" s="4" t="s">
        <v>39</v>
      </c>
      <c r="D104" s="4" t="s">
        <v>48</v>
      </c>
      <c r="E104" s="4" t="s">
        <v>49</v>
      </c>
      <c r="F104" s="4" t="s">
        <v>25</v>
      </c>
      <c r="G104" s="4" t="s">
        <v>25</v>
      </c>
      <c r="H104" s="4" t="s">
        <v>34</v>
      </c>
      <c r="I104" s="5">
        <v>44562</v>
      </c>
      <c r="J104" s="6">
        <v>669</v>
      </c>
      <c r="K104" s="96">
        <v>669</v>
      </c>
      <c r="L104" s="6">
        <v>398.32</v>
      </c>
      <c r="M104" s="97">
        <v>398.32</v>
      </c>
      <c r="N104" s="6">
        <v>398.32</v>
      </c>
      <c r="O104" s="97">
        <v>398.32</v>
      </c>
      <c r="P104" s="6">
        <v>0</v>
      </c>
      <c r="Q104" s="4" t="s">
        <v>26</v>
      </c>
      <c r="R104" s="4">
        <v>0</v>
      </c>
      <c r="S104" s="6">
        <v>22</v>
      </c>
      <c r="T104" s="6">
        <v>7</v>
      </c>
      <c r="U104" s="6">
        <v>42</v>
      </c>
      <c r="V104" s="97">
        <f>IF(ISERROR(VLOOKUP($S$104,'TAR FIN'!$A$1:$O$86,15,0)),0,VLOOKUP($S$104,'TAR FIN'!$A$1:$O$86,15,0))*(1-0.06)</f>
        <v>18.085599999999996</v>
      </c>
      <c r="W104" s="97">
        <f>IF(ISERROR(VLOOKUP($T$104,'TAR FIN'!$A$1:$O$86,15,0)),0,VLOOKUP($T$104,'TAR FIN'!$A$1:$O$86,15,0))*(1-0.06)</f>
        <v>73.959199999999996</v>
      </c>
      <c r="X104" s="97">
        <f>IF(ISERROR(VLOOKUP($U$104,'TAR FIN'!$A$1:$O$86,15,0)),0,VLOOKUP($U$104,'TAR FIN'!$A$1:$O$86,15,0))*(1-0.06)</f>
        <v>231.52199999999999</v>
      </c>
      <c r="Y104" s="97">
        <f ca="1">('TUSD BE'!$AM$7+'TUSD BF'!$AM$7+'TUSD CVA'!$AM$7)*1*(1-0.03)</f>
        <v>14.737169183098963</v>
      </c>
      <c r="Z104" s="97">
        <f ca="1">('TUSD BE'!$AM$8+'TUSD BF'!$AM$8+'TUSD CVA'!$AM$8)*1*(1-0.03)</f>
        <v>97.230430231836905</v>
      </c>
      <c r="AA104" s="97">
        <f>('TE BE'!$AB$6+'TE BF'!$AB$6+'TE CVA'!$AB$6)*1*(1-0.03)</f>
        <v>212.82153574530136</v>
      </c>
      <c r="AB104" s="6">
        <f>$K$104*$V$104</f>
        <v>12099.266399999997</v>
      </c>
      <c r="AC104" s="6">
        <f>$M$104*$W$104</f>
        <v>29459.428543999999</v>
      </c>
      <c r="AD104" s="6">
        <f>$O$104*$X$104</f>
        <v>92219.843039999992</v>
      </c>
      <c r="AE104" s="6">
        <f ca="1">$K$104*$Y$104</f>
        <v>9859.1661834932056</v>
      </c>
      <c r="AF104" s="6">
        <f ca="1">$M$104*$Z$104</f>
        <v>38728.824969945279</v>
      </c>
      <c r="AG104" s="6">
        <f>$O$104*$AA$104</f>
        <v>84771.074118068442</v>
      </c>
    </row>
    <row r="105" spans="1:33" ht="11.25" customHeight="1" x14ac:dyDescent="0.25">
      <c r="A105" s="4" t="s">
        <v>21</v>
      </c>
      <c r="B105" s="4" t="s">
        <v>38</v>
      </c>
      <c r="C105" s="4" t="s">
        <v>39</v>
      </c>
      <c r="D105" s="4" t="s">
        <v>48</v>
      </c>
      <c r="E105" s="4" t="s">
        <v>49</v>
      </c>
      <c r="F105" s="4" t="s">
        <v>25</v>
      </c>
      <c r="G105" s="4" t="s">
        <v>25</v>
      </c>
      <c r="H105" s="4" t="s">
        <v>34</v>
      </c>
      <c r="I105" s="5">
        <v>44593</v>
      </c>
      <c r="J105" s="6">
        <v>684</v>
      </c>
      <c r="K105" s="96">
        <v>684</v>
      </c>
      <c r="L105" s="6">
        <v>360.32400000000001</v>
      </c>
      <c r="M105" s="97">
        <v>360.32400000000001</v>
      </c>
      <c r="N105" s="6">
        <v>360.32400000000001</v>
      </c>
      <c r="O105" s="97">
        <v>360.32400000000001</v>
      </c>
      <c r="P105" s="6">
        <v>0</v>
      </c>
      <c r="Q105" s="4" t="s">
        <v>26</v>
      </c>
      <c r="R105" s="4">
        <v>0</v>
      </c>
      <c r="S105" s="6">
        <v>22</v>
      </c>
      <c r="T105" s="6">
        <v>7</v>
      </c>
      <c r="U105" s="6">
        <v>42</v>
      </c>
      <c r="V105" s="97">
        <f>IF(ISERROR(VLOOKUP($S$105,'TAR FIN'!$A$1:$O$86,15,0)),0,VLOOKUP($S$105,'TAR FIN'!$A$1:$O$86,15,0))*(1-0.06)</f>
        <v>18.085599999999996</v>
      </c>
      <c r="W105" s="97">
        <f>IF(ISERROR(VLOOKUP($T$105,'TAR FIN'!$A$1:$O$86,15,0)),0,VLOOKUP($T$105,'TAR FIN'!$A$1:$O$86,15,0))*(1-0.06)</f>
        <v>73.959199999999996</v>
      </c>
      <c r="X105" s="97">
        <f>IF(ISERROR(VLOOKUP($U$105,'TAR FIN'!$A$1:$O$86,15,0)),0,VLOOKUP($U$105,'TAR FIN'!$A$1:$O$86,15,0))*(1-0.06)</f>
        <v>231.52199999999999</v>
      </c>
      <c r="Y105" s="97">
        <f ca="1">('TUSD BE'!$AM$7+'TUSD BF'!$AM$7+'TUSD CVA'!$AM$7)*1*(1-0.03)</f>
        <v>14.737169183098963</v>
      </c>
      <c r="Z105" s="97">
        <f ca="1">('TUSD BE'!$AM$8+'TUSD BF'!$AM$8+'TUSD CVA'!$AM$8)*1*(1-0.03)</f>
        <v>97.230430231836905</v>
      </c>
      <c r="AA105" s="97">
        <f>('TE BE'!$AB$6+'TE BF'!$AB$6+'TE CVA'!$AB$6)*1*(1-0.03)</f>
        <v>212.82153574530136</v>
      </c>
      <c r="AB105" s="6">
        <f>$K$105*$V$105</f>
        <v>12370.550399999996</v>
      </c>
      <c r="AC105" s="6">
        <f>$M$105*$W$105</f>
        <v>26649.274780799999</v>
      </c>
      <c r="AD105" s="6">
        <f>$O$105*$X$105</f>
        <v>83422.933128000004</v>
      </c>
      <c r="AE105" s="6">
        <f ca="1">$K$105*$Y$105</f>
        <v>10080.22372123969</v>
      </c>
      <c r="AF105" s="6">
        <f ca="1">$M$105*$Z$105</f>
        <v>35034.457542856406</v>
      </c>
      <c r="AG105" s="6">
        <f>$O$105*$AA$105</f>
        <v>76684.707045889969</v>
      </c>
    </row>
    <row r="106" spans="1:33" ht="11.25" customHeight="1" x14ac:dyDescent="0.25">
      <c r="A106" s="4" t="s">
        <v>21</v>
      </c>
      <c r="B106" s="4" t="s">
        <v>38</v>
      </c>
      <c r="C106" s="4" t="s">
        <v>39</v>
      </c>
      <c r="D106" s="4" t="s">
        <v>48</v>
      </c>
      <c r="E106" s="4" t="s">
        <v>49</v>
      </c>
      <c r="F106" s="4" t="s">
        <v>25</v>
      </c>
      <c r="G106" s="4" t="s">
        <v>25</v>
      </c>
      <c r="H106" s="4" t="s">
        <v>34</v>
      </c>
      <c r="I106" s="5">
        <v>44621</v>
      </c>
      <c r="J106" s="6">
        <v>709</v>
      </c>
      <c r="K106" s="96">
        <v>709</v>
      </c>
      <c r="L106" s="6">
        <v>396.178</v>
      </c>
      <c r="M106" s="97">
        <v>396.178</v>
      </c>
      <c r="N106" s="6">
        <v>396.178</v>
      </c>
      <c r="O106" s="97">
        <v>396.178</v>
      </c>
      <c r="P106" s="6">
        <v>0</v>
      </c>
      <c r="Q106" s="4" t="s">
        <v>26</v>
      </c>
      <c r="R106" s="4">
        <v>0</v>
      </c>
      <c r="S106" s="6">
        <v>22</v>
      </c>
      <c r="T106" s="6">
        <v>7</v>
      </c>
      <c r="U106" s="6">
        <v>42</v>
      </c>
      <c r="V106" s="97">
        <f>IF(ISERROR(VLOOKUP($S$106,'TAR FIN'!$A$1:$O$86,15,0)),0,VLOOKUP($S$106,'TAR FIN'!$A$1:$O$86,15,0))*(1-0.06)</f>
        <v>18.085599999999996</v>
      </c>
      <c r="W106" s="97">
        <f>IF(ISERROR(VLOOKUP($T$106,'TAR FIN'!$A$1:$O$86,15,0)),0,VLOOKUP($T$106,'TAR FIN'!$A$1:$O$86,15,0))*(1-0.06)</f>
        <v>73.959199999999996</v>
      </c>
      <c r="X106" s="97">
        <f>IF(ISERROR(VLOOKUP($U$106,'TAR FIN'!$A$1:$O$86,15,0)),0,VLOOKUP($U$106,'TAR FIN'!$A$1:$O$86,15,0))*(1-0.06)</f>
        <v>231.52199999999999</v>
      </c>
      <c r="Y106" s="97">
        <f ca="1">('TUSD BE'!$AM$7+'TUSD BF'!$AM$7+'TUSD CVA'!$AM$7)*1*(1-0.03)</f>
        <v>14.737169183098963</v>
      </c>
      <c r="Z106" s="97">
        <f ca="1">('TUSD BE'!$AM$8+'TUSD BF'!$AM$8+'TUSD CVA'!$AM$8)*1*(1-0.03)</f>
        <v>97.230430231836905</v>
      </c>
      <c r="AA106" s="97">
        <f>('TE BE'!$AB$6+'TE BF'!$AB$6+'TE CVA'!$AB$6)*1*(1-0.03)</f>
        <v>212.82153574530136</v>
      </c>
      <c r="AB106" s="6">
        <f>$K$106*$V$106</f>
        <v>12822.690399999998</v>
      </c>
      <c r="AC106" s="6">
        <f>$M$106*$W$106</f>
        <v>29301.007937599999</v>
      </c>
      <c r="AD106" s="6">
        <f>$O$106*$X$106</f>
        <v>91723.922915999996</v>
      </c>
      <c r="AE106" s="6">
        <f ca="1">$K$106*$Y$106</f>
        <v>10448.652950817164</v>
      </c>
      <c r="AF106" s="6">
        <f ca="1">$M$106*$Z$106</f>
        <v>38520.557388388683</v>
      </c>
      <c r="AG106" s="6">
        <f>$O$106*$AA$106</f>
        <v>84315.210388502004</v>
      </c>
    </row>
    <row r="107" spans="1:33" ht="11.25" customHeight="1" x14ac:dyDescent="0.25">
      <c r="A107" s="4" t="s">
        <v>21</v>
      </c>
      <c r="B107" s="4" t="s">
        <v>38</v>
      </c>
      <c r="C107" s="4" t="s">
        <v>39</v>
      </c>
      <c r="D107" s="4" t="s">
        <v>48</v>
      </c>
      <c r="E107" s="4" t="s">
        <v>49</v>
      </c>
      <c r="F107" s="4" t="s">
        <v>25</v>
      </c>
      <c r="G107" s="4" t="s">
        <v>25</v>
      </c>
      <c r="H107" s="4" t="s">
        <v>34</v>
      </c>
      <c r="I107" s="5">
        <v>44652</v>
      </c>
      <c r="J107" s="6">
        <v>669</v>
      </c>
      <c r="K107" s="96">
        <v>669</v>
      </c>
      <c r="L107" s="6">
        <v>384.61700000000002</v>
      </c>
      <c r="M107" s="97">
        <v>384.61700000000002</v>
      </c>
      <c r="N107" s="6">
        <v>384.61700000000002</v>
      </c>
      <c r="O107" s="97">
        <v>384.61700000000002</v>
      </c>
      <c r="P107" s="6">
        <v>0</v>
      </c>
      <c r="Q107" s="4" t="s">
        <v>26</v>
      </c>
      <c r="R107" s="4">
        <v>0</v>
      </c>
      <c r="S107" s="6">
        <v>22</v>
      </c>
      <c r="T107" s="6">
        <v>7</v>
      </c>
      <c r="U107" s="6">
        <v>42</v>
      </c>
      <c r="V107" s="97">
        <f>IF(ISERROR(VLOOKUP($S$107,'TAR FIN'!$A$1:$O$86,15,0)),0,VLOOKUP($S$107,'TAR FIN'!$A$1:$O$86,15,0))*(1-0.06)</f>
        <v>18.085599999999996</v>
      </c>
      <c r="W107" s="97">
        <f>IF(ISERROR(VLOOKUP($T$107,'TAR FIN'!$A$1:$O$86,15,0)),0,VLOOKUP($T$107,'TAR FIN'!$A$1:$O$86,15,0))*(1-0.06)</f>
        <v>73.959199999999996</v>
      </c>
      <c r="X107" s="97">
        <f>IF(ISERROR(VLOOKUP($U$107,'TAR FIN'!$A$1:$O$86,15,0)),0,VLOOKUP($U$107,'TAR FIN'!$A$1:$O$86,15,0))*(1-0.06)</f>
        <v>231.52199999999999</v>
      </c>
      <c r="Y107" s="97">
        <f ca="1">('TUSD BE'!$AM$7+'TUSD BF'!$AM$7+'TUSD CVA'!$AM$7)*1*(1-0.03)</f>
        <v>14.737169183098963</v>
      </c>
      <c r="Z107" s="97">
        <f ca="1">('TUSD BE'!$AM$8+'TUSD BF'!$AM$8+'TUSD CVA'!$AM$8)*1*(1-0.03)</f>
        <v>97.230430231836905</v>
      </c>
      <c r="AA107" s="97">
        <f>('TE BE'!$AB$6+'TE BF'!$AB$6+'TE CVA'!$AB$6)*1*(1-0.03)</f>
        <v>212.82153574530136</v>
      </c>
      <c r="AB107" s="6">
        <f>$K$107*$V$107</f>
        <v>12099.266399999997</v>
      </c>
      <c r="AC107" s="6">
        <f>$M$107*$W$107</f>
        <v>28445.9656264</v>
      </c>
      <c r="AD107" s="6">
        <f>$O$107*$X$107</f>
        <v>89047.297074000002</v>
      </c>
      <c r="AE107" s="6">
        <f ca="1">$K$107*$Y$107</f>
        <v>9859.1661834932056</v>
      </c>
      <c r="AF107" s="6">
        <f ca="1">$M$107*$Z$107</f>
        <v>37396.476384478417</v>
      </c>
      <c r="AG107" s="6">
        <f>$O$107*$AA$107</f>
        <v>81854.780613750583</v>
      </c>
    </row>
    <row r="108" spans="1:33" ht="11.25" customHeight="1" x14ac:dyDescent="0.25">
      <c r="A108" s="4" t="s">
        <v>21</v>
      </c>
      <c r="B108" s="4" t="s">
        <v>38</v>
      </c>
      <c r="C108" s="4" t="s">
        <v>39</v>
      </c>
      <c r="D108" s="4" t="s">
        <v>48</v>
      </c>
      <c r="E108" s="4" t="s">
        <v>49</v>
      </c>
      <c r="F108" s="4" t="s">
        <v>25</v>
      </c>
      <c r="G108" s="4" t="s">
        <v>25</v>
      </c>
      <c r="H108" s="4" t="s">
        <v>34</v>
      </c>
      <c r="I108" s="5">
        <v>44682</v>
      </c>
      <c r="J108" s="6">
        <v>683</v>
      </c>
      <c r="K108" s="96">
        <v>683</v>
      </c>
      <c r="L108" s="6">
        <v>384.69600000000003</v>
      </c>
      <c r="M108" s="97">
        <v>384.69600000000003</v>
      </c>
      <c r="N108" s="6">
        <v>384.69600000000003</v>
      </c>
      <c r="O108" s="97">
        <v>384.69600000000003</v>
      </c>
      <c r="P108" s="6">
        <v>0</v>
      </c>
      <c r="Q108" s="4" t="s">
        <v>26</v>
      </c>
      <c r="R108" s="4">
        <v>0</v>
      </c>
      <c r="S108" s="6">
        <v>22</v>
      </c>
      <c r="T108" s="6">
        <v>7</v>
      </c>
      <c r="U108" s="6">
        <v>42</v>
      </c>
      <c r="V108" s="97">
        <f>IF(ISERROR(VLOOKUP($S$108,'TAR FIN'!$A$1:$O$86,15,0)),0,VLOOKUP($S$108,'TAR FIN'!$A$1:$O$86,15,0))*(1-0.06)</f>
        <v>18.085599999999996</v>
      </c>
      <c r="W108" s="97">
        <f>IF(ISERROR(VLOOKUP($T$108,'TAR FIN'!$A$1:$O$86,15,0)),0,VLOOKUP($T$108,'TAR FIN'!$A$1:$O$86,15,0))*(1-0.06)</f>
        <v>73.959199999999996</v>
      </c>
      <c r="X108" s="97">
        <f>IF(ISERROR(VLOOKUP($U$108,'TAR FIN'!$A$1:$O$86,15,0)),0,VLOOKUP($U$108,'TAR FIN'!$A$1:$O$86,15,0))*(1-0.06)</f>
        <v>231.52199999999999</v>
      </c>
      <c r="Y108" s="97">
        <f ca="1">('TUSD BE'!$AM$7+'TUSD BF'!$AM$7+'TUSD CVA'!$AM$7)*1*(1-0.03)</f>
        <v>14.737169183098963</v>
      </c>
      <c r="Z108" s="97">
        <f ca="1">('TUSD BE'!$AM$8+'TUSD BF'!$AM$8+'TUSD CVA'!$AM$8)*1*(1-0.03)</f>
        <v>97.230430231836905</v>
      </c>
      <c r="AA108" s="97">
        <f>('TE BE'!$AB$6+'TE BF'!$AB$6+'TE CVA'!$AB$6)*1*(1-0.03)</f>
        <v>212.82153574530136</v>
      </c>
      <c r="AB108" s="6">
        <f>$K$108*$V$108</f>
        <v>12352.464799999998</v>
      </c>
      <c r="AC108" s="6">
        <f>$M$108*$W$108</f>
        <v>28451.808403200001</v>
      </c>
      <c r="AD108" s="6">
        <f>$O$108*$X$108</f>
        <v>89065.587312000003</v>
      </c>
      <c r="AE108" s="6">
        <f ca="1">$K$108*$Y$108</f>
        <v>10065.486552056593</v>
      </c>
      <c r="AF108" s="6">
        <f ca="1">$M$108*$Z$108</f>
        <v>37404.157588466733</v>
      </c>
      <c r="AG108" s="6">
        <f>$O$108*$AA$108</f>
        <v>81871.593515074463</v>
      </c>
    </row>
    <row r="109" spans="1:33" ht="11.25" customHeight="1" x14ac:dyDescent="0.25">
      <c r="A109" s="4" t="s">
        <v>56</v>
      </c>
      <c r="B109" s="4" t="s">
        <v>38</v>
      </c>
      <c r="C109" s="4" t="s">
        <v>39</v>
      </c>
      <c r="D109" s="4" t="s">
        <v>48</v>
      </c>
      <c r="E109" s="4" t="s">
        <v>49</v>
      </c>
      <c r="F109" s="4" t="s">
        <v>25</v>
      </c>
      <c r="G109" s="4" t="s">
        <v>25</v>
      </c>
      <c r="H109" s="4" t="s">
        <v>34</v>
      </c>
      <c r="I109" s="5">
        <v>44713</v>
      </c>
      <c r="J109" s="6">
        <v>683</v>
      </c>
      <c r="K109" s="96">
        <v>683</v>
      </c>
      <c r="L109" s="6">
        <v>384.69600000000003</v>
      </c>
      <c r="M109" s="97">
        <v>384.69600000000003</v>
      </c>
      <c r="N109" s="6">
        <v>384.69600000000003</v>
      </c>
      <c r="O109" s="97">
        <v>384.69600000000003</v>
      </c>
      <c r="P109" s="6">
        <v>0</v>
      </c>
      <c r="Q109" s="4" t="s">
        <v>26</v>
      </c>
      <c r="R109" s="4">
        <v>0</v>
      </c>
      <c r="S109" s="6">
        <v>22</v>
      </c>
      <c r="T109" s="6">
        <v>7</v>
      </c>
      <c r="U109" s="6">
        <v>42</v>
      </c>
      <c r="V109" s="97">
        <f>IF(ISERROR(VLOOKUP($S$109,'TAR FIN'!$A$1:$O$86,15,0)),0,VLOOKUP($S$109,'TAR FIN'!$A$1:$O$86,15,0))*(1-0.06)</f>
        <v>18.085599999999996</v>
      </c>
      <c r="W109" s="97">
        <f>IF(ISERROR(VLOOKUP($T$109,'TAR FIN'!$A$1:$O$86,15,0)),0,VLOOKUP($T$109,'TAR FIN'!$A$1:$O$86,15,0))*(1-0.06)</f>
        <v>73.959199999999996</v>
      </c>
      <c r="X109" s="97">
        <f>IF(ISERROR(VLOOKUP($U$109,'TAR FIN'!$A$1:$O$86,15,0)),0,VLOOKUP($U$109,'TAR FIN'!$A$1:$O$86,15,0))*(1-0.06)</f>
        <v>231.52199999999999</v>
      </c>
      <c r="Y109" s="97">
        <f ca="1">('TUSD BE'!$AM$7+'TUSD BF'!$AM$7+'TUSD CVA'!$AM$7)*1*(1-0.03)</f>
        <v>14.737169183098963</v>
      </c>
      <c r="Z109" s="97">
        <f ca="1">('TUSD BE'!$AM$8+'TUSD BF'!$AM$8+'TUSD CVA'!$AM$8)*1*(1-0.03)</f>
        <v>97.230430231836905</v>
      </c>
      <c r="AA109" s="97">
        <f>('TE BE'!$AB$6+'TE BF'!$AB$6+'TE CVA'!$AB$6)*1*(1-0.03)</f>
        <v>212.82153574530136</v>
      </c>
      <c r="AB109" s="6">
        <f>$K$109*$V$109</f>
        <v>12352.464799999998</v>
      </c>
      <c r="AC109" s="6">
        <f>$M$109*$W$109</f>
        <v>28451.808403200001</v>
      </c>
      <c r="AD109" s="6">
        <f>$O$109*$X$109</f>
        <v>89065.587312000003</v>
      </c>
      <c r="AE109" s="6">
        <f ca="1">$K$109*$Y$109</f>
        <v>10065.486552056593</v>
      </c>
      <c r="AF109" s="6">
        <f ca="1">$M$109*$Z$109</f>
        <v>37404.157588466733</v>
      </c>
      <c r="AG109" s="6">
        <f>$O$109*$AA$109</f>
        <v>81871.593515074463</v>
      </c>
    </row>
    <row r="110" spans="1:33" ht="11.25" customHeight="1" x14ac:dyDescent="0.25">
      <c r="A110" s="4" t="s">
        <v>21</v>
      </c>
      <c r="B110" s="4" t="s">
        <v>38</v>
      </c>
      <c r="C110" s="4" t="s">
        <v>39</v>
      </c>
      <c r="D110" s="4" t="s">
        <v>48</v>
      </c>
      <c r="E110" s="4" t="s">
        <v>49</v>
      </c>
      <c r="F110" s="4" t="s">
        <v>25</v>
      </c>
      <c r="G110" s="4" t="s">
        <v>25</v>
      </c>
      <c r="H110" s="4" t="s">
        <v>33</v>
      </c>
      <c r="I110" s="5">
        <v>44378</v>
      </c>
      <c r="J110" s="6">
        <v>640</v>
      </c>
      <c r="K110" s="96">
        <v>640</v>
      </c>
      <c r="L110" s="6">
        <v>37.576999999999998</v>
      </c>
      <c r="M110" s="97">
        <v>37.576999999999998</v>
      </c>
      <c r="N110" s="6">
        <v>37.576999999999998</v>
      </c>
      <c r="O110" s="97">
        <v>37.576999999999998</v>
      </c>
      <c r="P110" s="6">
        <v>0</v>
      </c>
      <c r="Q110" s="4" t="s">
        <v>26</v>
      </c>
      <c r="R110" s="4">
        <v>0</v>
      </c>
      <c r="S110" s="6">
        <v>3</v>
      </c>
      <c r="T110" s="6">
        <v>7</v>
      </c>
      <c r="U110" s="6">
        <v>47</v>
      </c>
      <c r="V110" s="97">
        <f>IF(ISERROR(VLOOKUP($S$110,'TAR FIN'!$A$1:$O$86,15,0)),0,VLOOKUP($S$110,'TAR FIN'!$A$1:$O$86,15,0))*(1-0.06)</f>
        <v>48.325399999999995</v>
      </c>
      <c r="W110" s="97">
        <f>IF(ISERROR(VLOOKUP($T$110,'TAR FIN'!$A$1:$O$86,15,0)),0,VLOOKUP($T$110,'TAR FIN'!$A$1:$O$86,15,0))*(1-0.06)</f>
        <v>73.959199999999996</v>
      </c>
      <c r="X110" s="97">
        <f>IF(ISERROR(VLOOKUP($U$110,'TAR FIN'!$A$1:$O$86,15,0)),0,VLOOKUP($U$110,'TAR FIN'!$A$1:$O$86,15,0))*(1-0.06)</f>
        <v>365.85739999999998</v>
      </c>
      <c r="Y110" s="97">
        <f ca="1">('TUSD BE'!$AM$6+'TUSD BF'!$AM$6+'TUSD CVA'!$AM$6)*1*(1-0.03)</f>
        <v>38.977307505834418</v>
      </c>
      <c r="Z110" s="97">
        <f ca="1">('TUSD BE'!$AM$8+'TUSD BF'!$AM$8+'TUSD CVA'!$AM$8)*1*(1-0.03)</f>
        <v>97.230430231836905</v>
      </c>
      <c r="AA110" s="97">
        <f>('TE BE'!$AB$5+'TE BF'!$AB$5+'TE CVA'!$AB$5)*1*(1-0.03)</f>
        <v>342.94447009922271</v>
      </c>
      <c r="AB110" s="6">
        <f>$K$110*$V$110</f>
        <v>30928.255999999998</v>
      </c>
      <c r="AC110" s="6">
        <f>$M$110*$W$110</f>
        <v>2779.1648583999995</v>
      </c>
      <c r="AD110" s="6">
        <f>$O$110*$X$110</f>
        <v>13747.823519799998</v>
      </c>
      <c r="AE110" s="6">
        <f ca="1">$K$110*$Y$110</f>
        <v>24945.476803734025</v>
      </c>
      <c r="AF110" s="6">
        <f ca="1">$M$110*$Z$110</f>
        <v>3653.6278768217353</v>
      </c>
      <c r="AG110" s="6">
        <f>$O$110*$AA$110</f>
        <v>12886.824352918491</v>
      </c>
    </row>
    <row r="111" spans="1:33" ht="11.25" customHeight="1" x14ac:dyDescent="0.25">
      <c r="A111" s="4" t="s">
        <v>21</v>
      </c>
      <c r="B111" s="4" t="s">
        <v>38</v>
      </c>
      <c r="C111" s="4" t="s">
        <v>39</v>
      </c>
      <c r="D111" s="4" t="s">
        <v>48</v>
      </c>
      <c r="E111" s="4" t="s">
        <v>49</v>
      </c>
      <c r="F111" s="4" t="s">
        <v>25</v>
      </c>
      <c r="G111" s="4" t="s">
        <v>25</v>
      </c>
      <c r="H111" s="4" t="s">
        <v>33</v>
      </c>
      <c r="I111" s="5">
        <v>44409</v>
      </c>
      <c r="J111" s="6">
        <v>640</v>
      </c>
      <c r="K111" s="96">
        <v>640</v>
      </c>
      <c r="L111" s="6">
        <v>37.415999999999997</v>
      </c>
      <c r="M111" s="97">
        <v>37.415999999999997</v>
      </c>
      <c r="N111" s="6">
        <v>37.415999999999997</v>
      </c>
      <c r="O111" s="97">
        <v>37.415999999999997</v>
      </c>
      <c r="P111" s="6">
        <v>0</v>
      </c>
      <c r="Q111" s="4" t="s">
        <v>26</v>
      </c>
      <c r="R111" s="4">
        <v>0</v>
      </c>
      <c r="S111" s="6">
        <v>3</v>
      </c>
      <c r="T111" s="6">
        <v>7</v>
      </c>
      <c r="U111" s="6">
        <v>47</v>
      </c>
      <c r="V111" s="97">
        <f>IF(ISERROR(VLOOKUP($S$111,'TAR FIN'!$A$1:$O$86,15,0)),0,VLOOKUP($S$111,'TAR FIN'!$A$1:$O$86,15,0))*(1-0.06)</f>
        <v>48.325399999999995</v>
      </c>
      <c r="W111" s="97">
        <f>IF(ISERROR(VLOOKUP($T$111,'TAR FIN'!$A$1:$O$86,15,0)),0,VLOOKUP($T$111,'TAR FIN'!$A$1:$O$86,15,0))*(1-0.06)</f>
        <v>73.959199999999996</v>
      </c>
      <c r="X111" s="97">
        <f>IF(ISERROR(VLOOKUP($U$111,'TAR FIN'!$A$1:$O$86,15,0)),0,VLOOKUP($U$111,'TAR FIN'!$A$1:$O$86,15,0))*(1-0.06)</f>
        <v>365.85739999999998</v>
      </c>
      <c r="Y111" s="97">
        <f ca="1">('TUSD BE'!$AM$6+'TUSD BF'!$AM$6+'TUSD CVA'!$AM$6)*1*(1-0.03)</f>
        <v>38.977307505834418</v>
      </c>
      <c r="Z111" s="97">
        <f ca="1">('TUSD BE'!$AM$8+'TUSD BF'!$AM$8+'TUSD CVA'!$AM$8)*1*(1-0.03)</f>
        <v>97.230430231836905</v>
      </c>
      <c r="AA111" s="97">
        <f>('TE BE'!$AB$5+'TE BF'!$AB$5+'TE CVA'!$AB$5)*1*(1-0.03)</f>
        <v>342.94447009922271</v>
      </c>
      <c r="AB111" s="6">
        <f>$K$111*$V$111</f>
        <v>30928.255999999998</v>
      </c>
      <c r="AC111" s="6">
        <f>$M$111*$W$111</f>
        <v>2767.2574271999997</v>
      </c>
      <c r="AD111" s="6">
        <f>$O$111*$X$111</f>
        <v>13688.920478399998</v>
      </c>
      <c r="AE111" s="6">
        <f ca="1">$K$111*$Y$111</f>
        <v>24945.476803734025</v>
      </c>
      <c r="AF111" s="6">
        <f ca="1">$M$111*$Z$111</f>
        <v>3637.9737775544095</v>
      </c>
      <c r="AG111" s="6">
        <f>$O$111*$AA$111</f>
        <v>12831.610293232516</v>
      </c>
    </row>
    <row r="112" spans="1:33" ht="11.25" customHeight="1" x14ac:dyDescent="0.25">
      <c r="A112" s="4" t="s">
        <v>21</v>
      </c>
      <c r="B112" s="4" t="s">
        <v>38</v>
      </c>
      <c r="C112" s="4" t="s">
        <v>39</v>
      </c>
      <c r="D112" s="4" t="s">
        <v>48</v>
      </c>
      <c r="E112" s="4" t="s">
        <v>49</v>
      </c>
      <c r="F112" s="4" t="s">
        <v>25</v>
      </c>
      <c r="G112" s="4" t="s">
        <v>25</v>
      </c>
      <c r="H112" s="4" t="s">
        <v>33</v>
      </c>
      <c r="I112" s="5">
        <v>44440</v>
      </c>
      <c r="J112" s="6">
        <v>640</v>
      </c>
      <c r="K112" s="96">
        <v>640</v>
      </c>
      <c r="L112" s="6">
        <v>36.036999999999999</v>
      </c>
      <c r="M112" s="97">
        <v>36.036999999999999</v>
      </c>
      <c r="N112" s="6">
        <v>36.036999999999999</v>
      </c>
      <c r="O112" s="97">
        <v>36.036999999999999</v>
      </c>
      <c r="P112" s="6">
        <v>0</v>
      </c>
      <c r="Q112" s="4" t="s">
        <v>26</v>
      </c>
      <c r="R112" s="4">
        <v>0</v>
      </c>
      <c r="S112" s="6">
        <v>3</v>
      </c>
      <c r="T112" s="6">
        <v>7</v>
      </c>
      <c r="U112" s="6">
        <v>47</v>
      </c>
      <c r="V112" s="97">
        <f>IF(ISERROR(VLOOKUP($S$112,'TAR FIN'!$A$1:$O$86,15,0)),0,VLOOKUP($S$112,'TAR FIN'!$A$1:$O$86,15,0))*(1-0.06)</f>
        <v>48.325399999999995</v>
      </c>
      <c r="W112" s="97">
        <f>IF(ISERROR(VLOOKUP($T$112,'TAR FIN'!$A$1:$O$86,15,0)),0,VLOOKUP($T$112,'TAR FIN'!$A$1:$O$86,15,0))*(1-0.06)</f>
        <v>73.959199999999996</v>
      </c>
      <c r="X112" s="97">
        <f>IF(ISERROR(VLOOKUP($U$112,'TAR FIN'!$A$1:$O$86,15,0)),0,VLOOKUP($U$112,'TAR FIN'!$A$1:$O$86,15,0))*(1-0.06)</f>
        <v>365.85739999999998</v>
      </c>
      <c r="Y112" s="97">
        <f ca="1">('TUSD BE'!$AM$6+'TUSD BF'!$AM$6+'TUSD CVA'!$AM$6)*1*(1-0.03)</f>
        <v>38.977307505834418</v>
      </c>
      <c r="Z112" s="97">
        <f ca="1">('TUSD BE'!$AM$8+'TUSD BF'!$AM$8+'TUSD CVA'!$AM$8)*1*(1-0.03)</f>
        <v>97.230430231836905</v>
      </c>
      <c r="AA112" s="97">
        <f>('TE BE'!$AB$5+'TE BF'!$AB$5+'TE CVA'!$AB$5)*1*(1-0.03)</f>
        <v>342.94447009922271</v>
      </c>
      <c r="AB112" s="6">
        <f>$K$112*$V$112</f>
        <v>30928.255999999998</v>
      </c>
      <c r="AC112" s="6">
        <f>$M$112*$W$112</f>
        <v>2665.2676904</v>
      </c>
      <c r="AD112" s="6">
        <f>$O$112*$X$112</f>
        <v>13184.403123799999</v>
      </c>
      <c r="AE112" s="6">
        <f ca="1">$K$112*$Y$112</f>
        <v>24945.476803734025</v>
      </c>
      <c r="AF112" s="6">
        <f ca="1">$M$112*$Z$112</f>
        <v>3503.8930142647064</v>
      </c>
      <c r="AG112" s="6">
        <f>$O$112*$AA$112</f>
        <v>12358.689868965688</v>
      </c>
    </row>
    <row r="113" spans="1:33" ht="11.25" customHeight="1" x14ac:dyDescent="0.25">
      <c r="A113" s="4" t="s">
        <v>21</v>
      </c>
      <c r="B113" s="4" t="s">
        <v>38</v>
      </c>
      <c r="C113" s="4" t="s">
        <v>39</v>
      </c>
      <c r="D113" s="4" t="s">
        <v>48</v>
      </c>
      <c r="E113" s="4" t="s">
        <v>49</v>
      </c>
      <c r="F113" s="4" t="s">
        <v>25</v>
      </c>
      <c r="G113" s="4" t="s">
        <v>25</v>
      </c>
      <c r="H113" s="4" t="s">
        <v>33</v>
      </c>
      <c r="I113" s="5">
        <v>44470</v>
      </c>
      <c r="J113" s="6">
        <v>640</v>
      </c>
      <c r="K113" s="96">
        <v>640</v>
      </c>
      <c r="L113" s="6">
        <v>33.704999999999998</v>
      </c>
      <c r="M113" s="97">
        <v>33.704999999999998</v>
      </c>
      <c r="N113" s="6">
        <v>33.704999999999998</v>
      </c>
      <c r="O113" s="97">
        <v>33.704999999999998</v>
      </c>
      <c r="P113" s="6">
        <v>0</v>
      </c>
      <c r="Q113" s="4" t="s">
        <v>26</v>
      </c>
      <c r="R113" s="4">
        <v>0</v>
      </c>
      <c r="S113" s="6">
        <v>3</v>
      </c>
      <c r="T113" s="6">
        <v>7</v>
      </c>
      <c r="U113" s="6">
        <v>47</v>
      </c>
      <c r="V113" s="97">
        <f>IF(ISERROR(VLOOKUP($S$113,'TAR FIN'!$A$1:$O$86,15,0)),0,VLOOKUP($S$113,'TAR FIN'!$A$1:$O$86,15,0))*(1-0.06)</f>
        <v>48.325399999999995</v>
      </c>
      <c r="W113" s="97">
        <f>IF(ISERROR(VLOOKUP($T$113,'TAR FIN'!$A$1:$O$86,15,0)),0,VLOOKUP($T$113,'TAR FIN'!$A$1:$O$86,15,0))*(1-0.06)</f>
        <v>73.959199999999996</v>
      </c>
      <c r="X113" s="97">
        <f>IF(ISERROR(VLOOKUP($U$113,'TAR FIN'!$A$1:$O$86,15,0)),0,VLOOKUP($U$113,'TAR FIN'!$A$1:$O$86,15,0))*(1-0.06)</f>
        <v>365.85739999999998</v>
      </c>
      <c r="Y113" s="97">
        <f ca="1">('TUSD BE'!$AM$6+'TUSD BF'!$AM$6+'TUSD CVA'!$AM$6)*1*(1-0.03)</f>
        <v>38.977307505834418</v>
      </c>
      <c r="Z113" s="97">
        <f ca="1">('TUSD BE'!$AM$8+'TUSD BF'!$AM$8+'TUSD CVA'!$AM$8)*1*(1-0.03)</f>
        <v>97.230430231836905</v>
      </c>
      <c r="AA113" s="97">
        <f>('TE BE'!$AB$5+'TE BF'!$AB$5+'TE CVA'!$AB$5)*1*(1-0.03)</f>
        <v>342.94447009922271</v>
      </c>
      <c r="AB113" s="6">
        <f>$K$113*$V$113</f>
        <v>30928.255999999998</v>
      </c>
      <c r="AC113" s="6">
        <f>$M$113*$W$113</f>
        <v>2492.7948359999996</v>
      </c>
      <c r="AD113" s="6">
        <f>$O$113*$X$113</f>
        <v>12331.223666999998</v>
      </c>
      <c r="AE113" s="6">
        <f ca="1">$K$113*$Y$113</f>
        <v>24945.476803734025</v>
      </c>
      <c r="AF113" s="6">
        <f ca="1">$M$113*$Z$113</f>
        <v>3277.1516509640628</v>
      </c>
      <c r="AG113" s="6">
        <f>$O$113*$AA$113</f>
        <v>11558.943364694302</v>
      </c>
    </row>
    <row r="114" spans="1:33" ht="11.25" customHeight="1" x14ac:dyDescent="0.25">
      <c r="A114" s="4" t="s">
        <v>21</v>
      </c>
      <c r="B114" s="4" t="s">
        <v>38</v>
      </c>
      <c r="C114" s="4" t="s">
        <v>39</v>
      </c>
      <c r="D114" s="4" t="s">
        <v>48</v>
      </c>
      <c r="E114" s="4" t="s">
        <v>49</v>
      </c>
      <c r="F114" s="4" t="s">
        <v>25</v>
      </c>
      <c r="G114" s="4" t="s">
        <v>25</v>
      </c>
      <c r="H114" s="4" t="s">
        <v>33</v>
      </c>
      <c r="I114" s="5">
        <v>44501</v>
      </c>
      <c r="J114" s="6">
        <v>648</v>
      </c>
      <c r="K114" s="96">
        <v>648</v>
      </c>
      <c r="L114" s="6">
        <v>35.029000000000003</v>
      </c>
      <c r="M114" s="97">
        <v>35.029000000000003</v>
      </c>
      <c r="N114" s="6">
        <v>35.029000000000003</v>
      </c>
      <c r="O114" s="97">
        <v>35.029000000000003</v>
      </c>
      <c r="P114" s="6">
        <v>0</v>
      </c>
      <c r="Q114" s="4" t="s">
        <v>26</v>
      </c>
      <c r="R114" s="4">
        <v>0</v>
      </c>
      <c r="S114" s="6">
        <v>3</v>
      </c>
      <c r="T114" s="6">
        <v>7</v>
      </c>
      <c r="U114" s="6">
        <v>47</v>
      </c>
      <c r="V114" s="97">
        <f>IF(ISERROR(VLOOKUP($S$114,'TAR FIN'!$A$1:$O$86,15,0)),0,VLOOKUP($S$114,'TAR FIN'!$A$1:$O$86,15,0))*(1-0.06)</f>
        <v>48.325399999999995</v>
      </c>
      <c r="W114" s="97">
        <f>IF(ISERROR(VLOOKUP($T$114,'TAR FIN'!$A$1:$O$86,15,0)),0,VLOOKUP($T$114,'TAR FIN'!$A$1:$O$86,15,0))*(1-0.06)</f>
        <v>73.959199999999996</v>
      </c>
      <c r="X114" s="97">
        <f>IF(ISERROR(VLOOKUP($U$114,'TAR FIN'!$A$1:$O$86,15,0)),0,VLOOKUP($U$114,'TAR FIN'!$A$1:$O$86,15,0))*(1-0.06)</f>
        <v>365.85739999999998</v>
      </c>
      <c r="Y114" s="97">
        <f ca="1">('TUSD BE'!$AM$6+'TUSD BF'!$AM$6+'TUSD CVA'!$AM$6)*1*(1-0.03)</f>
        <v>38.977307505834418</v>
      </c>
      <c r="Z114" s="97">
        <f ca="1">('TUSD BE'!$AM$8+'TUSD BF'!$AM$8+'TUSD CVA'!$AM$8)*1*(1-0.03)</f>
        <v>97.230430231836905</v>
      </c>
      <c r="AA114" s="97">
        <f>('TE BE'!$AB$5+'TE BF'!$AB$5+'TE CVA'!$AB$5)*1*(1-0.03)</f>
        <v>342.94447009922271</v>
      </c>
      <c r="AB114" s="6">
        <f>$K$114*$V$114</f>
        <v>31314.859199999995</v>
      </c>
      <c r="AC114" s="6">
        <f>$M$114*$W$114</f>
        <v>2590.7168168000003</v>
      </c>
      <c r="AD114" s="6">
        <f>$O$114*$X$114</f>
        <v>12815.618864600001</v>
      </c>
      <c r="AE114" s="6">
        <f ca="1">$K$114*$Y$114</f>
        <v>25257.295263780703</v>
      </c>
      <c r="AF114" s="6">
        <f ca="1">$M$114*$Z$114</f>
        <v>3405.8847405910151</v>
      </c>
      <c r="AG114" s="6">
        <f>$O$114*$AA$114</f>
        <v>12013.001843105674</v>
      </c>
    </row>
    <row r="115" spans="1:33" ht="11.25" customHeight="1" x14ac:dyDescent="0.25">
      <c r="A115" s="4" t="s">
        <v>21</v>
      </c>
      <c r="B115" s="4" t="s">
        <v>38</v>
      </c>
      <c r="C115" s="4" t="s">
        <v>39</v>
      </c>
      <c r="D115" s="4" t="s">
        <v>48</v>
      </c>
      <c r="E115" s="4" t="s">
        <v>49</v>
      </c>
      <c r="F115" s="4" t="s">
        <v>25</v>
      </c>
      <c r="G115" s="4" t="s">
        <v>25</v>
      </c>
      <c r="H115" s="4" t="s">
        <v>33</v>
      </c>
      <c r="I115" s="5">
        <v>44531</v>
      </c>
      <c r="J115" s="6">
        <v>651</v>
      </c>
      <c r="K115" s="96">
        <v>651</v>
      </c>
      <c r="L115" s="6">
        <v>41.866</v>
      </c>
      <c r="M115" s="97">
        <v>41.866</v>
      </c>
      <c r="N115" s="6">
        <v>41.866</v>
      </c>
      <c r="O115" s="97">
        <v>41.866</v>
      </c>
      <c r="P115" s="6">
        <v>0</v>
      </c>
      <c r="Q115" s="4" t="s">
        <v>26</v>
      </c>
      <c r="R115" s="4">
        <v>0</v>
      </c>
      <c r="S115" s="6">
        <v>3</v>
      </c>
      <c r="T115" s="6">
        <v>7</v>
      </c>
      <c r="U115" s="6">
        <v>47</v>
      </c>
      <c r="V115" s="97">
        <f>IF(ISERROR(VLOOKUP($S$115,'TAR FIN'!$A$1:$O$86,15,0)),0,VLOOKUP($S$115,'TAR FIN'!$A$1:$O$86,15,0))*(1-0.06)</f>
        <v>48.325399999999995</v>
      </c>
      <c r="W115" s="97">
        <f>IF(ISERROR(VLOOKUP($T$115,'TAR FIN'!$A$1:$O$86,15,0)),0,VLOOKUP($T$115,'TAR FIN'!$A$1:$O$86,15,0))*(1-0.06)</f>
        <v>73.959199999999996</v>
      </c>
      <c r="X115" s="97">
        <f>IF(ISERROR(VLOOKUP($U$115,'TAR FIN'!$A$1:$O$86,15,0)),0,VLOOKUP($U$115,'TAR FIN'!$A$1:$O$86,15,0))*(1-0.06)</f>
        <v>365.85739999999998</v>
      </c>
      <c r="Y115" s="97">
        <f ca="1">('TUSD BE'!$AM$6+'TUSD BF'!$AM$6+'TUSD CVA'!$AM$6)*1*(1-0.03)</f>
        <v>38.977307505834418</v>
      </c>
      <c r="Z115" s="97">
        <f ca="1">('TUSD BE'!$AM$8+'TUSD BF'!$AM$8+'TUSD CVA'!$AM$8)*1*(1-0.03)</f>
        <v>97.230430231836905</v>
      </c>
      <c r="AA115" s="97">
        <f>('TE BE'!$AB$5+'TE BF'!$AB$5+'TE CVA'!$AB$5)*1*(1-0.03)</f>
        <v>342.94447009922271</v>
      </c>
      <c r="AB115" s="6">
        <f>$K$115*$V$115</f>
        <v>31459.835399999996</v>
      </c>
      <c r="AC115" s="6">
        <f>$M$115*$W$115</f>
        <v>3096.3758671999999</v>
      </c>
      <c r="AD115" s="6">
        <f>$O$115*$X$115</f>
        <v>15316.9859084</v>
      </c>
      <c r="AE115" s="6">
        <f ca="1">$K$115*$Y$115</f>
        <v>25374.227186298205</v>
      </c>
      <c r="AF115" s="6">
        <f ca="1">$M$115*$Z$115</f>
        <v>4070.649192086084</v>
      </c>
      <c r="AG115" s="6">
        <f>$O$115*$AA$115</f>
        <v>14357.713185174058</v>
      </c>
    </row>
    <row r="116" spans="1:33" ht="11.25" customHeight="1" x14ac:dyDescent="0.25">
      <c r="A116" s="4" t="s">
        <v>21</v>
      </c>
      <c r="B116" s="4" t="s">
        <v>38</v>
      </c>
      <c r="C116" s="4" t="s">
        <v>39</v>
      </c>
      <c r="D116" s="4" t="s">
        <v>48</v>
      </c>
      <c r="E116" s="4" t="s">
        <v>49</v>
      </c>
      <c r="F116" s="4" t="s">
        <v>25</v>
      </c>
      <c r="G116" s="4" t="s">
        <v>25</v>
      </c>
      <c r="H116" s="4" t="s">
        <v>33</v>
      </c>
      <c r="I116" s="5">
        <v>44562</v>
      </c>
      <c r="J116" s="6">
        <v>655</v>
      </c>
      <c r="K116" s="96">
        <v>655</v>
      </c>
      <c r="L116" s="6">
        <v>38.148000000000003</v>
      </c>
      <c r="M116" s="97">
        <v>38.148000000000003</v>
      </c>
      <c r="N116" s="6">
        <v>38.148000000000003</v>
      </c>
      <c r="O116" s="97">
        <v>38.148000000000003</v>
      </c>
      <c r="P116" s="6">
        <v>0</v>
      </c>
      <c r="Q116" s="4" t="s">
        <v>26</v>
      </c>
      <c r="R116" s="4">
        <v>0</v>
      </c>
      <c r="S116" s="6">
        <v>3</v>
      </c>
      <c r="T116" s="6">
        <v>7</v>
      </c>
      <c r="U116" s="6">
        <v>47</v>
      </c>
      <c r="V116" s="97">
        <f>IF(ISERROR(VLOOKUP($S$116,'TAR FIN'!$A$1:$O$86,15,0)),0,VLOOKUP($S$116,'TAR FIN'!$A$1:$O$86,15,0))*(1-0.06)</f>
        <v>48.325399999999995</v>
      </c>
      <c r="W116" s="97">
        <f>IF(ISERROR(VLOOKUP($T$116,'TAR FIN'!$A$1:$O$86,15,0)),0,VLOOKUP($T$116,'TAR FIN'!$A$1:$O$86,15,0))*(1-0.06)</f>
        <v>73.959199999999996</v>
      </c>
      <c r="X116" s="97">
        <f>IF(ISERROR(VLOOKUP($U$116,'TAR FIN'!$A$1:$O$86,15,0)),0,VLOOKUP($U$116,'TAR FIN'!$A$1:$O$86,15,0))*(1-0.06)</f>
        <v>365.85739999999998</v>
      </c>
      <c r="Y116" s="97">
        <f ca="1">('TUSD BE'!$AM$6+'TUSD BF'!$AM$6+'TUSD CVA'!$AM$6)*1*(1-0.03)</f>
        <v>38.977307505834418</v>
      </c>
      <c r="Z116" s="97">
        <f ca="1">('TUSD BE'!$AM$8+'TUSD BF'!$AM$8+'TUSD CVA'!$AM$8)*1*(1-0.03)</f>
        <v>97.230430231836905</v>
      </c>
      <c r="AA116" s="97">
        <f>('TE BE'!$AB$5+'TE BF'!$AB$5+'TE CVA'!$AB$5)*1*(1-0.03)</f>
        <v>342.94447009922271</v>
      </c>
      <c r="AB116" s="6">
        <f>$K$116*$V$116</f>
        <v>31653.136999999995</v>
      </c>
      <c r="AC116" s="6">
        <f>$M$116*$W$116</f>
        <v>2821.3955616000003</v>
      </c>
      <c r="AD116" s="6">
        <f>$O$116*$X$116</f>
        <v>13956.7280952</v>
      </c>
      <c r="AE116" s="6">
        <f ca="1">$K$116*$Y$116</f>
        <v>25530.136416321544</v>
      </c>
      <c r="AF116" s="6">
        <f ca="1">$M$116*$Z$116</f>
        <v>3709.1464524841144</v>
      </c>
      <c r="AG116" s="6">
        <f>$O$116*$AA$116</f>
        <v>13082.645645345148</v>
      </c>
    </row>
    <row r="117" spans="1:33" ht="11.25" customHeight="1" x14ac:dyDescent="0.25">
      <c r="A117" s="4" t="s">
        <v>21</v>
      </c>
      <c r="B117" s="4" t="s">
        <v>38</v>
      </c>
      <c r="C117" s="4" t="s">
        <v>39</v>
      </c>
      <c r="D117" s="4" t="s">
        <v>48</v>
      </c>
      <c r="E117" s="4" t="s">
        <v>49</v>
      </c>
      <c r="F117" s="4" t="s">
        <v>25</v>
      </c>
      <c r="G117" s="4" t="s">
        <v>25</v>
      </c>
      <c r="H117" s="4" t="s">
        <v>33</v>
      </c>
      <c r="I117" s="5">
        <v>44593</v>
      </c>
      <c r="J117" s="6">
        <v>683</v>
      </c>
      <c r="K117" s="96">
        <v>683</v>
      </c>
      <c r="L117" s="6">
        <v>36.609000000000002</v>
      </c>
      <c r="M117" s="97">
        <v>36.609000000000002</v>
      </c>
      <c r="N117" s="6">
        <v>36.609000000000002</v>
      </c>
      <c r="O117" s="97">
        <v>36.609000000000002</v>
      </c>
      <c r="P117" s="6">
        <v>0</v>
      </c>
      <c r="Q117" s="4" t="s">
        <v>26</v>
      </c>
      <c r="R117" s="4">
        <v>0</v>
      </c>
      <c r="S117" s="6">
        <v>3</v>
      </c>
      <c r="T117" s="6">
        <v>7</v>
      </c>
      <c r="U117" s="6">
        <v>47</v>
      </c>
      <c r="V117" s="97">
        <f>IF(ISERROR(VLOOKUP($S$117,'TAR FIN'!$A$1:$O$86,15,0)),0,VLOOKUP($S$117,'TAR FIN'!$A$1:$O$86,15,0))*(1-0.06)</f>
        <v>48.325399999999995</v>
      </c>
      <c r="W117" s="97">
        <f>IF(ISERROR(VLOOKUP($T$117,'TAR FIN'!$A$1:$O$86,15,0)),0,VLOOKUP($T$117,'TAR FIN'!$A$1:$O$86,15,0))*(1-0.06)</f>
        <v>73.959199999999996</v>
      </c>
      <c r="X117" s="97">
        <f>IF(ISERROR(VLOOKUP($U$117,'TAR FIN'!$A$1:$O$86,15,0)),0,VLOOKUP($U$117,'TAR FIN'!$A$1:$O$86,15,0))*(1-0.06)</f>
        <v>365.85739999999998</v>
      </c>
      <c r="Y117" s="97">
        <f ca="1">('TUSD BE'!$AM$6+'TUSD BF'!$AM$6+'TUSD CVA'!$AM$6)*1*(1-0.03)</f>
        <v>38.977307505834418</v>
      </c>
      <c r="Z117" s="97">
        <f ca="1">('TUSD BE'!$AM$8+'TUSD BF'!$AM$8+'TUSD CVA'!$AM$8)*1*(1-0.03)</f>
        <v>97.230430231836905</v>
      </c>
      <c r="AA117" s="97">
        <f>('TE BE'!$AB$5+'TE BF'!$AB$5+'TE CVA'!$AB$5)*1*(1-0.03)</f>
        <v>342.94447009922271</v>
      </c>
      <c r="AB117" s="6">
        <f>$K$117*$V$117</f>
        <v>33006.248199999995</v>
      </c>
      <c r="AC117" s="6">
        <f>$M$117*$W$117</f>
        <v>2707.5723527999999</v>
      </c>
      <c r="AD117" s="6">
        <f>$O$117*$X$117</f>
        <v>13393.673556600001</v>
      </c>
      <c r="AE117" s="6">
        <f ca="1">$K$117*$Y$117</f>
        <v>26621.501026484908</v>
      </c>
      <c r="AF117" s="6">
        <f ca="1">$M$117*$Z$117</f>
        <v>3559.5088203573173</v>
      </c>
      <c r="AG117" s="6">
        <f>$O$117*$AA$117</f>
        <v>12554.854105862445</v>
      </c>
    </row>
    <row r="118" spans="1:33" ht="11.25" customHeight="1" x14ac:dyDescent="0.25">
      <c r="A118" s="4" t="s">
        <v>21</v>
      </c>
      <c r="B118" s="4" t="s">
        <v>38</v>
      </c>
      <c r="C118" s="4" t="s">
        <v>39</v>
      </c>
      <c r="D118" s="4" t="s">
        <v>48</v>
      </c>
      <c r="E118" s="4" t="s">
        <v>49</v>
      </c>
      <c r="F118" s="4" t="s">
        <v>25</v>
      </c>
      <c r="G118" s="4" t="s">
        <v>25</v>
      </c>
      <c r="H118" s="4" t="s">
        <v>33</v>
      </c>
      <c r="I118" s="5">
        <v>44621</v>
      </c>
      <c r="J118" s="6">
        <v>651</v>
      </c>
      <c r="K118" s="96">
        <v>651</v>
      </c>
      <c r="L118" s="6">
        <v>39.953000000000003</v>
      </c>
      <c r="M118" s="97">
        <v>39.953000000000003</v>
      </c>
      <c r="N118" s="6">
        <v>39.953000000000003</v>
      </c>
      <c r="O118" s="97">
        <v>39.953000000000003</v>
      </c>
      <c r="P118" s="6">
        <v>0</v>
      </c>
      <c r="Q118" s="4" t="s">
        <v>26</v>
      </c>
      <c r="R118" s="4">
        <v>0</v>
      </c>
      <c r="S118" s="6">
        <v>3</v>
      </c>
      <c r="T118" s="6">
        <v>7</v>
      </c>
      <c r="U118" s="6">
        <v>47</v>
      </c>
      <c r="V118" s="97">
        <f>IF(ISERROR(VLOOKUP($S$118,'TAR FIN'!$A$1:$O$86,15,0)),0,VLOOKUP($S$118,'TAR FIN'!$A$1:$O$86,15,0))*(1-0.06)</f>
        <v>48.325399999999995</v>
      </c>
      <c r="W118" s="97">
        <f>IF(ISERROR(VLOOKUP($T$118,'TAR FIN'!$A$1:$O$86,15,0)),0,VLOOKUP($T$118,'TAR FIN'!$A$1:$O$86,15,0))*(1-0.06)</f>
        <v>73.959199999999996</v>
      </c>
      <c r="X118" s="97">
        <f>IF(ISERROR(VLOOKUP($U$118,'TAR FIN'!$A$1:$O$86,15,0)),0,VLOOKUP($U$118,'TAR FIN'!$A$1:$O$86,15,0))*(1-0.06)</f>
        <v>365.85739999999998</v>
      </c>
      <c r="Y118" s="97">
        <f ca="1">('TUSD BE'!$AM$6+'TUSD BF'!$AM$6+'TUSD CVA'!$AM$6)*1*(1-0.03)</f>
        <v>38.977307505834418</v>
      </c>
      <c r="Z118" s="97">
        <f ca="1">('TUSD BE'!$AM$8+'TUSD BF'!$AM$8+'TUSD CVA'!$AM$8)*1*(1-0.03)</f>
        <v>97.230430231836905</v>
      </c>
      <c r="AA118" s="97">
        <f>('TE BE'!$AB$5+'TE BF'!$AB$5+'TE CVA'!$AB$5)*1*(1-0.03)</f>
        <v>342.94447009922271</v>
      </c>
      <c r="AB118" s="6">
        <f>$K$118*$V$118</f>
        <v>31459.835399999996</v>
      </c>
      <c r="AC118" s="6">
        <f>$M$118*$W$118</f>
        <v>2954.8919175999999</v>
      </c>
      <c r="AD118" s="6">
        <f>$O$118*$X$118</f>
        <v>14617.100702200001</v>
      </c>
      <c r="AE118" s="6">
        <f ca="1">$K$118*$Y$118</f>
        <v>25374.227186298205</v>
      </c>
      <c r="AF118" s="6">
        <f ca="1">$M$118*$Z$118</f>
        <v>3884.6473790525802</v>
      </c>
      <c r="AG118" s="6">
        <f>$O$118*$AA$118</f>
        <v>13701.660413874246</v>
      </c>
    </row>
    <row r="119" spans="1:33" ht="11.25" customHeight="1" x14ac:dyDescent="0.25">
      <c r="A119" s="4" t="s">
        <v>21</v>
      </c>
      <c r="B119" s="4" t="s">
        <v>38</v>
      </c>
      <c r="C119" s="4" t="s">
        <v>39</v>
      </c>
      <c r="D119" s="4" t="s">
        <v>48</v>
      </c>
      <c r="E119" s="4" t="s">
        <v>49</v>
      </c>
      <c r="F119" s="4" t="s">
        <v>25</v>
      </c>
      <c r="G119" s="4" t="s">
        <v>25</v>
      </c>
      <c r="H119" s="4" t="s">
        <v>33</v>
      </c>
      <c r="I119" s="5">
        <v>44652</v>
      </c>
      <c r="J119" s="6">
        <v>650</v>
      </c>
      <c r="K119" s="96">
        <v>650</v>
      </c>
      <c r="L119" s="6">
        <v>34.774999999999999</v>
      </c>
      <c r="M119" s="97">
        <v>34.774999999999999</v>
      </c>
      <c r="N119" s="6">
        <v>34.774999999999999</v>
      </c>
      <c r="O119" s="97">
        <v>34.774999999999999</v>
      </c>
      <c r="P119" s="6">
        <v>0</v>
      </c>
      <c r="Q119" s="4" t="s">
        <v>26</v>
      </c>
      <c r="R119" s="4">
        <v>0</v>
      </c>
      <c r="S119" s="6">
        <v>3</v>
      </c>
      <c r="T119" s="6">
        <v>7</v>
      </c>
      <c r="U119" s="6">
        <v>47</v>
      </c>
      <c r="V119" s="97">
        <f>IF(ISERROR(VLOOKUP($S$119,'TAR FIN'!$A$1:$O$86,15,0)),0,VLOOKUP($S$119,'TAR FIN'!$A$1:$O$86,15,0))*(1-0.06)</f>
        <v>48.325399999999995</v>
      </c>
      <c r="W119" s="97">
        <f>IF(ISERROR(VLOOKUP($T$119,'TAR FIN'!$A$1:$O$86,15,0)),0,VLOOKUP($T$119,'TAR FIN'!$A$1:$O$86,15,0))*(1-0.06)</f>
        <v>73.959199999999996</v>
      </c>
      <c r="X119" s="97">
        <f>IF(ISERROR(VLOOKUP($U$119,'TAR FIN'!$A$1:$O$86,15,0)),0,VLOOKUP($U$119,'TAR FIN'!$A$1:$O$86,15,0))*(1-0.06)</f>
        <v>365.85739999999998</v>
      </c>
      <c r="Y119" s="97">
        <f ca="1">('TUSD BE'!$AM$6+'TUSD BF'!$AM$6+'TUSD CVA'!$AM$6)*1*(1-0.03)</f>
        <v>38.977307505834418</v>
      </c>
      <c r="Z119" s="97">
        <f ca="1">('TUSD BE'!$AM$8+'TUSD BF'!$AM$8+'TUSD CVA'!$AM$8)*1*(1-0.03)</f>
        <v>97.230430231836905</v>
      </c>
      <c r="AA119" s="97">
        <f>('TE BE'!$AB$5+'TE BF'!$AB$5+'TE CVA'!$AB$5)*1*(1-0.03)</f>
        <v>342.94447009922271</v>
      </c>
      <c r="AB119" s="6">
        <f>$K$119*$V$119</f>
        <v>31411.51</v>
      </c>
      <c r="AC119" s="6">
        <f>$M$119*$W$119</f>
        <v>2571.9311799999996</v>
      </c>
      <c r="AD119" s="6">
        <f>$O$119*$X$119</f>
        <v>12722.691084999999</v>
      </c>
      <c r="AE119" s="6">
        <f ca="1">$K$119*$Y$119</f>
        <v>25335.249878792372</v>
      </c>
      <c r="AF119" s="6">
        <f ca="1">$M$119*$Z$119</f>
        <v>3381.1882113121283</v>
      </c>
      <c r="AG119" s="6">
        <f>$O$119*$AA$119</f>
        <v>11925.89394770047</v>
      </c>
    </row>
    <row r="120" spans="1:33" ht="11.25" customHeight="1" x14ac:dyDescent="0.25">
      <c r="A120" s="4" t="s">
        <v>21</v>
      </c>
      <c r="B120" s="4" t="s">
        <v>38</v>
      </c>
      <c r="C120" s="4" t="s">
        <v>39</v>
      </c>
      <c r="D120" s="4" t="s">
        <v>48</v>
      </c>
      <c r="E120" s="4" t="s">
        <v>49</v>
      </c>
      <c r="F120" s="4" t="s">
        <v>25</v>
      </c>
      <c r="G120" s="4" t="s">
        <v>25</v>
      </c>
      <c r="H120" s="4" t="s">
        <v>33</v>
      </c>
      <c r="I120" s="5">
        <v>44682</v>
      </c>
      <c r="J120" s="6">
        <v>669</v>
      </c>
      <c r="K120" s="96">
        <v>669</v>
      </c>
      <c r="L120" s="6">
        <v>39.667000000000002</v>
      </c>
      <c r="M120" s="97">
        <v>39.667000000000002</v>
      </c>
      <c r="N120" s="6">
        <v>39.667000000000002</v>
      </c>
      <c r="O120" s="97">
        <v>39.667000000000002</v>
      </c>
      <c r="P120" s="6">
        <v>0</v>
      </c>
      <c r="Q120" s="4" t="s">
        <v>26</v>
      </c>
      <c r="R120" s="4">
        <v>0</v>
      </c>
      <c r="S120" s="6">
        <v>3</v>
      </c>
      <c r="T120" s="6">
        <v>7</v>
      </c>
      <c r="U120" s="6">
        <v>47</v>
      </c>
      <c r="V120" s="97">
        <f>IF(ISERROR(VLOOKUP($S$120,'TAR FIN'!$A$1:$O$86,15,0)),0,VLOOKUP($S$120,'TAR FIN'!$A$1:$O$86,15,0))*(1-0.06)</f>
        <v>48.325399999999995</v>
      </c>
      <c r="W120" s="97">
        <f>IF(ISERROR(VLOOKUP($T$120,'TAR FIN'!$A$1:$O$86,15,0)),0,VLOOKUP($T$120,'TAR FIN'!$A$1:$O$86,15,0))*(1-0.06)</f>
        <v>73.959199999999996</v>
      </c>
      <c r="X120" s="97">
        <f>IF(ISERROR(VLOOKUP($U$120,'TAR FIN'!$A$1:$O$86,15,0)),0,VLOOKUP($U$120,'TAR FIN'!$A$1:$O$86,15,0))*(1-0.06)</f>
        <v>365.85739999999998</v>
      </c>
      <c r="Y120" s="97">
        <f ca="1">('TUSD BE'!$AM$6+'TUSD BF'!$AM$6+'TUSD CVA'!$AM$6)*1*(1-0.03)</f>
        <v>38.977307505834418</v>
      </c>
      <c r="Z120" s="97">
        <f ca="1">('TUSD BE'!$AM$8+'TUSD BF'!$AM$8+'TUSD CVA'!$AM$8)*1*(1-0.03)</f>
        <v>97.230430231836905</v>
      </c>
      <c r="AA120" s="97">
        <f>('TE BE'!$AB$5+'TE BF'!$AB$5+'TE CVA'!$AB$5)*1*(1-0.03)</f>
        <v>342.94447009922271</v>
      </c>
      <c r="AB120" s="6">
        <f>$K$120*$V$120</f>
        <v>32329.692599999995</v>
      </c>
      <c r="AC120" s="6">
        <f>$M$120*$W$120</f>
        <v>2933.7395864</v>
      </c>
      <c r="AD120" s="6">
        <f>$O$120*$X$120</f>
        <v>14512.465485799999</v>
      </c>
      <c r="AE120" s="6">
        <f ca="1">$K$120*$Y$120</f>
        <v>26075.818721403226</v>
      </c>
      <c r="AF120" s="6">
        <f ca="1">$M$120*$Z$120</f>
        <v>3856.8394760062747</v>
      </c>
      <c r="AG120" s="6">
        <f>$O$120*$AA$120</f>
        <v>13603.578295425868</v>
      </c>
    </row>
    <row r="121" spans="1:33" ht="11.25" customHeight="1" x14ac:dyDescent="0.25">
      <c r="A121" s="4" t="s">
        <v>56</v>
      </c>
      <c r="B121" s="4" t="s">
        <v>38</v>
      </c>
      <c r="C121" s="4" t="s">
        <v>39</v>
      </c>
      <c r="D121" s="4" t="s">
        <v>48</v>
      </c>
      <c r="E121" s="4" t="s">
        <v>49</v>
      </c>
      <c r="F121" s="4" t="s">
        <v>25</v>
      </c>
      <c r="G121" s="4" t="s">
        <v>25</v>
      </c>
      <c r="H121" s="4" t="s">
        <v>33</v>
      </c>
      <c r="I121" s="5">
        <v>44713</v>
      </c>
      <c r="J121" s="6">
        <v>669</v>
      </c>
      <c r="K121" s="96">
        <v>669</v>
      </c>
      <c r="L121" s="6">
        <v>39.667000000000002</v>
      </c>
      <c r="M121" s="97">
        <v>39.667000000000002</v>
      </c>
      <c r="N121" s="6">
        <v>39.667000000000002</v>
      </c>
      <c r="O121" s="97">
        <v>39.667000000000002</v>
      </c>
      <c r="P121" s="6">
        <v>0</v>
      </c>
      <c r="Q121" s="4" t="s">
        <v>26</v>
      </c>
      <c r="R121" s="4">
        <v>0</v>
      </c>
      <c r="S121" s="6">
        <v>3</v>
      </c>
      <c r="T121" s="6">
        <v>7</v>
      </c>
      <c r="U121" s="6">
        <v>47</v>
      </c>
      <c r="V121" s="97">
        <f>IF(ISERROR(VLOOKUP($S$121,'TAR FIN'!$A$1:$O$86,15,0)),0,VLOOKUP($S$121,'TAR FIN'!$A$1:$O$86,15,0))*(1-0.06)</f>
        <v>48.325399999999995</v>
      </c>
      <c r="W121" s="97">
        <f>IF(ISERROR(VLOOKUP($T$121,'TAR FIN'!$A$1:$O$86,15,0)),0,VLOOKUP($T$121,'TAR FIN'!$A$1:$O$86,15,0))*(1-0.06)</f>
        <v>73.959199999999996</v>
      </c>
      <c r="X121" s="97">
        <f>IF(ISERROR(VLOOKUP($U$121,'TAR FIN'!$A$1:$O$86,15,0)),0,VLOOKUP($U$121,'TAR FIN'!$A$1:$O$86,15,0))*(1-0.06)</f>
        <v>365.85739999999998</v>
      </c>
      <c r="Y121" s="97">
        <f ca="1">('TUSD BE'!$AM$6+'TUSD BF'!$AM$6+'TUSD CVA'!$AM$6)*1*(1-0.03)</f>
        <v>38.977307505834418</v>
      </c>
      <c r="Z121" s="97">
        <f ca="1">('TUSD BE'!$AM$8+'TUSD BF'!$AM$8+'TUSD CVA'!$AM$8)*1*(1-0.03)</f>
        <v>97.230430231836905</v>
      </c>
      <c r="AA121" s="97">
        <f>('TE BE'!$AB$5+'TE BF'!$AB$5+'TE CVA'!$AB$5)*1*(1-0.03)</f>
        <v>342.94447009922271</v>
      </c>
      <c r="AB121" s="6">
        <f>$K$121*$V$121</f>
        <v>32329.692599999995</v>
      </c>
      <c r="AC121" s="6">
        <f>$M$121*$W$121</f>
        <v>2933.7395864</v>
      </c>
      <c r="AD121" s="6">
        <f>$O$121*$X$121</f>
        <v>14512.465485799999</v>
      </c>
      <c r="AE121" s="6">
        <f ca="1">$K$121*$Y$121</f>
        <v>26075.818721403226</v>
      </c>
      <c r="AF121" s="6">
        <f ca="1">$M$121*$Z$121</f>
        <v>3856.8394760062747</v>
      </c>
      <c r="AG121" s="6">
        <f>$O$121*$AA$121</f>
        <v>13603.578295425868</v>
      </c>
    </row>
    <row r="122" spans="1:33" ht="11.25" customHeight="1" x14ac:dyDescent="0.25">
      <c r="A122" s="4" t="s">
        <v>21</v>
      </c>
      <c r="B122" s="4" t="s">
        <v>38</v>
      </c>
      <c r="C122" s="4" t="s">
        <v>59</v>
      </c>
      <c r="D122" s="4" t="s">
        <v>25</v>
      </c>
      <c r="E122" s="4" t="s">
        <v>25</v>
      </c>
      <c r="F122" s="4" t="s">
        <v>25</v>
      </c>
      <c r="G122" s="4" t="s">
        <v>60</v>
      </c>
      <c r="H122" s="4" t="s">
        <v>25</v>
      </c>
      <c r="I122" s="5">
        <v>44378</v>
      </c>
      <c r="J122" s="6">
        <v>1000</v>
      </c>
      <c r="K122" s="6">
        <v>500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61</v>
      </c>
      <c r="R122" s="4">
        <v>797</v>
      </c>
      <c r="S122" s="6">
        <v>12</v>
      </c>
      <c r="T122" s="6">
        <v>0</v>
      </c>
      <c r="U122" s="6">
        <v>0</v>
      </c>
      <c r="V122" s="6">
        <f>IF(ISERROR(VLOOKUP($S$122,'TAR FIN'!$A$1:$O$86,15,0)),0,VLOOKUP($S$122,'TAR FIN'!$A$1:$O$86,15,0))</f>
        <v>8.14</v>
      </c>
      <c r="W122" s="6">
        <f>IF(ISERROR(VLOOKUP($T$122,'TAR FIN'!$A$1:$O$86,15,0)),0,VLOOKUP($T$122,'TAR FIN'!$A$1:$O$86,15,0))</f>
        <v>0</v>
      </c>
      <c r="X122" s="6">
        <f>IF(ISERROR(VLOOKUP($U$122,'TAR FIN'!$A$1:$O$86,15,0)),0,VLOOKUP($U$122,'TAR FIN'!$A$1:$O$86,15,0))</f>
        <v>0</v>
      </c>
      <c r="Y122" s="6">
        <f ca="1">('TUSD BE'!$AM$10+'TUSD BF'!$AM$10+'TUSD CVA'!$AM$10)*1</f>
        <v>5.4509137424633414</v>
      </c>
      <c r="Z122" s="6"/>
      <c r="AA122" s="6"/>
      <c r="AB122" s="6">
        <f>$K$122*$V$122</f>
        <v>4070.0000000000005</v>
      </c>
      <c r="AC122" s="6">
        <f>$M$122*$W$122</f>
        <v>0</v>
      </c>
      <c r="AD122" s="6">
        <f>$O$122*$X$122</f>
        <v>0</v>
      </c>
      <c r="AE122" s="6">
        <f ca="1">$K$122*$Y$122</f>
        <v>2725.4568712316709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38</v>
      </c>
      <c r="C123" s="4" t="s">
        <v>59</v>
      </c>
      <c r="D123" s="4" t="s">
        <v>25</v>
      </c>
      <c r="E123" s="4" t="s">
        <v>25</v>
      </c>
      <c r="F123" s="4" t="s">
        <v>25</v>
      </c>
      <c r="G123" s="4" t="s">
        <v>64</v>
      </c>
      <c r="H123" s="4" t="s">
        <v>25</v>
      </c>
      <c r="I123" s="5">
        <v>44378</v>
      </c>
      <c r="J123" s="6">
        <v>280</v>
      </c>
      <c r="K123" s="6">
        <v>140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61</v>
      </c>
      <c r="S123" s="6">
        <v>12</v>
      </c>
      <c r="T123" s="6">
        <v>0</v>
      </c>
      <c r="U123" s="6">
        <v>0</v>
      </c>
      <c r="V123" s="6">
        <f>IF(ISERROR(VLOOKUP($S$123,'TAR FIN'!$A$1:$O$86,15,0)),0,VLOOKUP($S$123,'TAR FIN'!$A$1:$O$86,15,0))</f>
        <v>8.14</v>
      </c>
      <c r="W123" s="6">
        <f>IF(ISERROR(VLOOKUP($T$123,'TAR FIN'!$A$1:$O$86,15,0)),0,VLOOKUP($T$123,'TAR FIN'!$A$1:$O$86,15,0))</f>
        <v>0</v>
      </c>
      <c r="X123" s="6">
        <f>IF(ISERROR(VLOOKUP($U$123,'TAR FIN'!$A$1:$O$86,15,0)),0,VLOOKUP($U$123,'TAR FIN'!$A$1:$O$86,15,0))</f>
        <v>0</v>
      </c>
      <c r="Y123" s="6">
        <f ca="1">('TUSD BE'!$AM$10+'TUSD BF'!$AM$10+'TUSD CVA'!$AM$10)*1</f>
        <v>5.4509137424633414</v>
      </c>
      <c r="Z123" s="6"/>
      <c r="AA123" s="6"/>
      <c r="AB123" s="6">
        <f>$K$123*$V$123</f>
        <v>1139.6000000000001</v>
      </c>
      <c r="AC123" s="6">
        <f>$M$123*$W$123</f>
        <v>0</v>
      </c>
      <c r="AD123" s="6">
        <f>$O$123*$X$123</f>
        <v>0</v>
      </c>
      <c r="AE123" s="6">
        <f ca="1">$K$123*$Y$123</f>
        <v>763.1279239448678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38</v>
      </c>
      <c r="C124" s="4" t="s">
        <v>59</v>
      </c>
      <c r="D124" s="4" t="s">
        <v>25</v>
      </c>
      <c r="E124" s="4" t="s">
        <v>25</v>
      </c>
      <c r="F124" s="4" t="s">
        <v>25</v>
      </c>
      <c r="G124" s="4" t="s">
        <v>60</v>
      </c>
      <c r="H124" s="4" t="s">
        <v>25</v>
      </c>
      <c r="I124" s="5">
        <v>44409</v>
      </c>
      <c r="J124" s="6">
        <v>1000</v>
      </c>
      <c r="K124" s="6">
        <v>500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61</v>
      </c>
      <c r="R124" s="4">
        <v>797</v>
      </c>
      <c r="S124" s="6">
        <v>12</v>
      </c>
      <c r="T124" s="6">
        <v>0</v>
      </c>
      <c r="U124" s="6">
        <v>0</v>
      </c>
      <c r="V124" s="6">
        <f>IF(ISERROR(VLOOKUP($S$124,'TAR FIN'!$A$1:$O$86,15,0)),0,VLOOKUP($S$124,'TAR FIN'!$A$1:$O$86,15,0))</f>
        <v>8.14</v>
      </c>
      <c r="W124" s="6">
        <f>IF(ISERROR(VLOOKUP($T$124,'TAR FIN'!$A$1:$O$86,15,0)),0,VLOOKUP($T$124,'TAR FIN'!$A$1:$O$86,15,0))</f>
        <v>0</v>
      </c>
      <c r="X124" s="6">
        <f>IF(ISERROR(VLOOKUP($U$124,'TAR FIN'!$A$1:$O$86,15,0)),0,VLOOKUP($U$124,'TAR FIN'!$A$1:$O$86,15,0))</f>
        <v>0</v>
      </c>
      <c r="Y124" s="6">
        <f ca="1">('TUSD BE'!$AM$10+'TUSD BF'!$AM$10+'TUSD CVA'!$AM$10)*1</f>
        <v>5.4509137424633414</v>
      </c>
      <c r="Z124" s="6"/>
      <c r="AA124" s="6"/>
      <c r="AB124" s="6">
        <f>$K$124*$V$124</f>
        <v>4070.0000000000005</v>
      </c>
      <c r="AC124" s="6">
        <f>$M$124*$W$124</f>
        <v>0</v>
      </c>
      <c r="AD124" s="6">
        <f>$O$124*$X$124</f>
        <v>0</v>
      </c>
      <c r="AE124" s="6">
        <f ca="1">$K$124*$Y$124</f>
        <v>2725.4568712316709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38</v>
      </c>
      <c r="C125" s="4" t="s">
        <v>59</v>
      </c>
      <c r="D125" s="4" t="s">
        <v>25</v>
      </c>
      <c r="E125" s="4" t="s">
        <v>25</v>
      </c>
      <c r="F125" s="4" t="s">
        <v>25</v>
      </c>
      <c r="G125" s="4" t="s">
        <v>64</v>
      </c>
      <c r="H125" s="4" t="s">
        <v>25</v>
      </c>
      <c r="I125" s="5">
        <v>44409</v>
      </c>
      <c r="J125" s="6">
        <v>280</v>
      </c>
      <c r="K125" s="6">
        <v>140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61</v>
      </c>
      <c r="S125" s="6">
        <v>12</v>
      </c>
      <c r="T125" s="6">
        <v>0</v>
      </c>
      <c r="U125" s="6">
        <v>0</v>
      </c>
      <c r="V125" s="6">
        <f>IF(ISERROR(VLOOKUP($S$125,'TAR FIN'!$A$1:$O$86,15,0)),0,VLOOKUP($S$125,'TAR FIN'!$A$1:$O$86,15,0))</f>
        <v>8.14</v>
      </c>
      <c r="W125" s="6">
        <f>IF(ISERROR(VLOOKUP($T$125,'TAR FIN'!$A$1:$O$86,15,0)),0,VLOOKUP($T$125,'TAR FIN'!$A$1:$O$86,15,0))</f>
        <v>0</v>
      </c>
      <c r="X125" s="6">
        <f>IF(ISERROR(VLOOKUP($U$125,'TAR FIN'!$A$1:$O$86,15,0)),0,VLOOKUP($U$125,'TAR FIN'!$A$1:$O$86,15,0))</f>
        <v>0</v>
      </c>
      <c r="Y125" s="6">
        <f ca="1">('TUSD BE'!$AM$10+'TUSD BF'!$AM$10+'TUSD CVA'!$AM$10)*1</f>
        <v>5.4509137424633414</v>
      </c>
      <c r="Z125" s="6"/>
      <c r="AA125" s="6"/>
      <c r="AB125" s="6">
        <f>$K$125*$V$125</f>
        <v>1139.6000000000001</v>
      </c>
      <c r="AC125" s="6">
        <f>$M$125*$W$125</f>
        <v>0</v>
      </c>
      <c r="AD125" s="6">
        <f>$O$125*$X$125</f>
        <v>0</v>
      </c>
      <c r="AE125" s="6">
        <f ca="1">$K$125*$Y$125</f>
        <v>763.1279239448678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38</v>
      </c>
      <c r="C126" s="4" t="s">
        <v>59</v>
      </c>
      <c r="D126" s="4" t="s">
        <v>25</v>
      </c>
      <c r="E126" s="4" t="s">
        <v>25</v>
      </c>
      <c r="F126" s="4" t="s">
        <v>25</v>
      </c>
      <c r="G126" s="4" t="s">
        <v>60</v>
      </c>
      <c r="H126" s="4" t="s">
        <v>25</v>
      </c>
      <c r="I126" s="5">
        <v>44440</v>
      </c>
      <c r="J126" s="6">
        <v>1000</v>
      </c>
      <c r="K126" s="6">
        <v>500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61</v>
      </c>
      <c r="R126" s="4">
        <v>797</v>
      </c>
      <c r="S126" s="6">
        <v>12</v>
      </c>
      <c r="T126" s="6">
        <v>0</v>
      </c>
      <c r="U126" s="6">
        <v>0</v>
      </c>
      <c r="V126" s="6">
        <f>IF(ISERROR(VLOOKUP($S$126,'TAR FIN'!$A$1:$O$86,15,0)),0,VLOOKUP($S$126,'TAR FIN'!$A$1:$O$86,15,0))</f>
        <v>8.14</v>
      </c>
      <c r="W126" s="6">
        <f>IF(ISERROR(VLOOKUP($T$126,'TAR FIN'!$A$1:$O$86,15,0)),0,VLOOKUP($T$126,'TAR FIN'!$A$1:$O$86,15,0))</f>
        <v>0</v>
      </c>
      <c r="X126" s="6">
        <f>IF(ISERROR(VLOOKUP($U$126,'TAR FIN'!$A$1:$O$86,15,0)),0,VLOOKUP($U$126,'TAR FIN'!$A$1:$O$86,15,0))</f>
        <v>0</v>
      </c>
      <c r="Y126" s="6">
        <f ca="1">('TUSD BE'!$AM$10+'TUSD BF'!$AM$10+'TUSD CVA'!$AM$10)*1</f>
        <v>5.4509137424633414</v>
      </c>
      <c r="Z126" s="6"/>
      <c r="AA126" s="6"/>
      <c r="AB126" s="6">
        <f>$K$126*$V$126</f>
        <v>4070.0000000000005</v>
      </c>
      <c r="AC126" s="6">
        <f>$M$126*$W$126</f>
        <v>0</v>
      </c>
      <c r="AD126" s="6">
        <f>$O$126*$X$126</f>
        <v>0</v>
      </c>
      <c r="AE126" s="6">
        <f ca="1">$K$126*$Y$126</f>
        <v>2725.4568712316709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38</v>
      </c>
      <c r="C127" s="4" t="s">
        <v>59</v>
      </c>
      <c r="D127" s="4" t="s">
        <v>25</v>
      </c>
      <c r="E127" s="4" t="s">
        <v>25</v>
      </c>
      <c r="F127" s="4" t="s">
        <v>25</v>
      </c>
      <c r="G127" s="4" t="s">
        <v>64</v>
      </c>
      <c r="H127" s="4" t="s">
        <v>25</v>
      </c>
      <c r="I127" s="5">
        <v>44440</v>
      </c>
      <c r="J127" s="6">
        <v>280</v>
      </c>
      <c r="K127" s="6">
        <v>140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61</v>
      </c>
      <c r="S127" s="6">
        <v>12</v>
      </c>
      <c r="T127" s="6">
        <v>0</v>
      </c>
      <c r="U127" s="6">
        <v>0</v>
      </c>
      <c r="V127" s="6">
        <f>IF(ISERROR(VLOOKUP($S$127,'TAR FIN'!$A$1:$O$86,15,0)),0,VLOOKUP($S$127,'TAR FIN'!$A$1:$O$86,15,0))</f>
        <v>8.14</v>
      </c>
      <c r="W127" s="6">
        <f>IF(ISERROR(VLOOKUP($T$127,'TAR FIN'!$A$1:$O$86,15,0)),0,VLOOKUP($T$127,'TAR FIN'!$A$1:$O$86,15,0))</f>
        <v>0</v>
      </c>
      <c r="X127" s="6">
        <f>IF(ISERROR(VLOOKUP($U$127,'TAR FIN'!$A$1:$O$86,15,0)),0,VLOOKUP($U$127,'TAR FIN'!$A$1:$O$86,15,0))</f>
        <v>0</v>
      </c>
      <c r="Y127" s="6">
        <f ca="1">('TUSD BE'!$AM$10+'TUSD BF'!$AM$10+'TUSD CVA'!$AM$10)*1</f>
        <v>5.4509137424633414</v>
      </c>
      <c r="Z127" s="6"/>
      <c r="AA127" s="6"/>
      <c r="AB127" s="6">
        <f>$K$127*$V$127</f>
        <v>1139.6000000000001</v>
      </c>
      <c r="AC127" s="6">
        <f>$M$127*$W$127</f>
        <v>0</v>
      </c>
      <c r="AD127" s="6">
        <f>$O$127*$X$127</f>
        <v>0</v>
      </c>
      <c r="AE127" s="6">
        <f ca="1">$K$127*$Y$127</f>
        <v>763.1279239448678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38</v>
      </c>
      <c r="C128" s="4" t="s">
        <v>59</v>
      </c>
      <c r="D128" s="4" t="s">
        <v>25</v>
      </c>
      <c r="E128" s="4" t="s">
        <v>25</v>
      </c>
      <c r="F128" s="4" t="s">
        <v>25</v>
      </c>
      <c r="G128" s="4" t="s">
        <v>60</v>
      </c>
      <c r="H128" s="4" t="s">
        <v>25</v>
      </c>
      <c r="I128" s="5">
        <v>44470</v>
      </c>
      <c r="J128" s="6">
        <v>1000</v>
      </c>
      <c r="K128" s="6">
        <v>500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61</v>
      </c>
      <c r="R128" s="4">
        <v>797</v>
      </c>
      <c r="S128" s="6">
        <v>12</v>
      </c>
      <c r="T128" s="6">
        <v>0</v>
      </c>
      <c r="U128" s="6">
        <v>0</v>
      </c>
      <c r="V128" s="6">
        <f>IF(ISERROR(VLOOKUP($S$128,'TAR FIN'!$A$1:$O$86,15,0)),0,VLOOKUP($S$128,'TAR FIN'!$A$1:$O$86,15,0))</f>
        <v>8.14</v>
      </c>
      <c r="W128" s="6">
        <f>IF(ISERROR(VLOOKUP($T$128,'TAR FIN'!$A$1:$O$86,15,0)),0,VLOOKUP($T$128,'TAR FIN'!$A$1:$O$86,15,0))</f>
        <v>0</v>
      </c>
      <c r="X128" s="6">
        <f>IF(ISERROR(VLOOKUP($U$128,'TAR FIN'!$A$1:$O$86,15,0)),0,VLOOKUP($U$128,'TAR FIN'!$A$1:$O$86,15,0))</f>
        <v>0</v>
      </c>
      <c r="Y128" s="6">
        <f ca="1">('TUSD BE'!$AM$10+'TUSD BF'!$AM$10+'TUSD CVA'!$AM$10)*1</f>
        <v>5.4509137424633414</v>
      </c>
      <c r="Z128" s="6"/>
      <c r="AA128" s="6"/>
      <c r="AB128" s="6">
        <f>$K$128*$V$128</f>
        <v>4070.0000000000005</v>
      </c>
      <c r="AC128" s="6">
        <f>$M$128*$W$128</f>
        <v>0</v>
      </c>
      <c r="AD128" s="6">
        <f>$O$128*$X$128</f>
        <v>0</v>
      </c>
      <c r="AE128" s="6">
        <f ca="1">$K$128*$Y$128</f>
        <v>2725.4568712316709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38</v>
      </c>
      <c r="C129" s="4" t="s">
        <v>59</v>
      </c>
      <c r="D129" s="4" t="s">
        <v>25</v>
      </c>
      <c r="E129" s="4" t="s">
        <v>25</v>
      </c>
      <c r="F129" s="4" t="s">
        <v>25</v>
      </c>
      <c r="G129" s="4" t="s">
        <v>64</v>
      </c>
      <c r="H129" s="4" t="s">
        <v>25</v>
      </c>
      <c r="I129" s="5">
        <v>44470</v>
      </c>
      <c r="J129" s="6">
        <v>280</v>
      </c>
      <c r="K129" s="6">
        <v>140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61</v>
      </c>
      <c r="S129" s="6">
        <v>12</v>
      </c>
      <c r="T129" s="6">
        <v>0</v>
      </c>
      <c r="U129" s="6">
        <v>0</v>
      </c>
      <c r="V129" s="6">
        <f>IF(ISERROR(VLOOKUP($S$129,'TAR FIN'!$A$1:$O$86,15,0)),0,VLOOKUP($S$129,'TAR FIN'!$A$1:$O$86,15,0))</f>
        <v>8.14</v>
      </c>
      <c r="W129" s="6">
        <f>IF(ISERROR(VLOOKUP($T$129,'TAR FIN'!$A$1:$O$86,15,0)),0,VLOOKUP($T$129,'TAR FIN'!$A$1:$O$86,15,0))</f>
        <v>0</v>
      </c>
      <c r="X129" s="6">
        <f>IF(ISERROR(VLOOKUP($U$129,'TAR FIN'!$A$1:$O$86,15,0)),0,VLOOKUP($U$129,'TAR FIN'!$A$1:$O$86,15,0))</f>
        <v>0</v>
      </c>
      <c r="Y129" s="6">
        <f ca="1">('TUSD BE'!$AM$10+'TUSD BF'!$AM$10+'TUSD CVA'!$AM$10)*1</f>
        <v>5.4509137424633414</v>
      </c>
      <c r="Z129" s="6"/>
      <c r="AA129" s="6"/>
      <c r="AB129" s="6">
        <f>$K$129*$V$129</f>
        <v>1139.6000000000001</v>
      </c>
      <c r="AC129" s="6">
        <f>$M$129*$W$129</f>
        <v>0</v>
      </c>
      <c r="AD129" s="6">
        <f>$O$129*$X$129</f>
        <v>0</v>
      </c>
      <c r="AE129" s="6">
        <f ca="1">$K$129*$Y$129</f>
        <v>763.1279239448678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38</v>
      </c>
      <c r="C130" s="4" t="s">
        <v>59</v>
      </c>
      <c r="D130" s="4" t="s">
        <v>25</v>
      </c>
      <c r="E130" s="4" t="s">
        <v>25</v>
      </c>
      <c r="F130" s="4" t="s">
        <v>25</v>
      </c>
      <c r="G130" s="4" t="s">
        <v>60</v>
      </c>
      <c r="H130" s="4" t="s">
        <v>25</v>
      </c>
      <c r="I130" s="5">
        <v>44501</v>
      </c>
      <c r="J130" s="6">
        <v>1000</v>
      </c>
      <c r="K130" s="6">
        <v>500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61</v>
      </c>
      <c r="R130" s="4">
        <v>797</v>
      </c>
      <c r="S130" s="6">
        <v>12</v>
      </c>
      <c r="T130" s="6">
        <v>0</v>
      </c>
      <c r="U130" s="6">
        <v>0</v>
      </c>
      <c r="V130" s="6">
        <f>IF(ISERROR(VLOOKUP($S$130,'TAR FIN'!$A$1:$O$86,15,0)),0,VLOOKUP($S$130,'TAR FIN'!$A$1:$O$86,15,0))</f>
        <v>8.14</v>
      </c>
      <c r="W130" s="6">
        <f>IF(ISERROR(VLOOKUP($T$130,'TAR FIN'!$A$1:$O$86,15,0)),0,VLOOKUP($T$130,'TAR FIN'!$A$1:$O$86,15,0))</f>
        <v>0</v>
      </c>
      <c r="X130" s="6">
        <f>IF(ISERROR(VLOOKUP($U$130,'TAR FIN'!$A$1:$O$86,15,0)),0,VLOOKUP($U$130,'TAR FIN'!$A$1:$O$86,15,0))</f>
        <v>0</v>
      </c>
      <c r="Y130" s="6">
        <f ca="1">('TUSD BE'!$AM$10+'TUSD BF'!$AM$10+'TUSD CVA'!$AM$10)*1</f>
        <v>5.4509137424633414</v>
      </c>
      <c r="Z130" s="6"/>
      <c r="AA130" s="6"/>
      <c r="AB130" s="6">
        <f>$K$130*$V$130</f>
        <v>4070.0000000000005</v>
      </c>
      <c r="AC130" s="6">
        <f>$M$130*$W$130</f>
        <v>0</v>
      </c>
      <c r="AD130" s="6">
        <f>$O$130*$X$130</f>
        <v>0</v>
      </c>
      <c r="AE130" s="6">
        <f ca="1">$K$130*$Y$130</f>
        <v>2725.4568712316709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38</v>
      </c>
      <c r="C131" s="4" t="s">
        <v>59</v>
      </c>
      <c r="D131" s="4" t="s">
        <v>25</v>
      </c>
      <c r="E131" s="4" t="s">
        <v>25</v>
      </c>
      <c r="F131" s="4" t="s">
        <v>25</v>
      </c>
      <c r="G131" s="4" t="s">
        <v>64</v>
      </c>
      <c r="H131" s="4" t="s">
        <v>25</v>
      </c>
      <c r="I131" s="5">
        <v>44501</v>
      </c>
      <c r="J131" s="6">
        <v>280</v>
      </c>
      <c r="K131" s="6">
        <v>140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61</v>
      </c>
      <c r="S131" s="6">
        <v>12</v>
      </c>
      <c r="T131" s="6">
        <v>0</v>
      </c>
      <c r="U131" s="6">
        <v>0</v>
      </c>
      <c r="V131" s="6">
        <f>IF(ISERROR(VLOOKUP($S$131,'TAR FIN'!$A$1:$O$86,15,0)),0,VLOOKUP($S$131,'TAR FIN'!$A$1:$O$86,15,0))</f>
        <v>8.14</v>
      </c>
      <c r="W131" s="6">
        <f>IF(ISERROR(VLOOKUP($T$131,'TAR FIN'!$A$1:$O$86,15,0)),0,VLOOKUP($T$131,'TAR FIN'!$A$1:$O$86,15,0))</f>
        <v>0</v>
      </c>
      <c r="X131" s="6">
        <f>IF(ISERROR(VLOOKUP($U$131,'TAR FIN'!$A$1:$O$86,15,0)),0,VLOOKUP($U$131,'TAR FIN'!$A$1:$O$86,15,0))</f>
        <v>0</v>
      </c>
      <c r="Y131" s="6">
        <f ca="1">('TUSD BE'!$AM$10+'TUSD BF'!$AM$10+'TUSD CVA'!$AM$10)*1</f>
        <v>5.4509137424633414</v>
      </c>
      <c r="Z131" s="6"/>
      <c r="AA131" s="6"/>
      <c r="AB131" s="6">
        <f>$K$131*$V$131</f>
        <v>1139.6000000000001</v>
      </c>
      <c r="AC131" s="6">
        <f>$M$131*$W$131</f>
        <v>0</v>
      </c>
      <c r="AD131" s="6">
        <f>$O$131*$X$131</f>
        <v>0</v>
      </c>
      <c r="AE131" s="6">
        <f ca="1">$K$131*$Y$131</f>
        <v>763.1279239448678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38</v>
      </c>
      <c r="C132" s="4" t="s">
        <v>59</v>
      </c>
      <c r="D132" s="4" t="s">
        <v>25</v>
      </c>
      <c r="E132" s="4" t="s">
        <v>25</v>
      </c>
      <c r="F132" s="4" t="s">
        <v>25</v>
      </c>
      <c r="G132" s="4" t="s">
        <v>60</v>
      </c>
      <c r="H132" s="4" t="s">
        <v>25</v>
      </c>
      <c r="I132" s="5">
        <v>44531</v>
      </c>
      <c r="J132" s="6">
        <v>1000</v>
      </c>
      <c r="K132" s="6">
        <v>500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61</v>
      </c>
      <c r="R132" s="4">
        <v>797</v>
      </c>
      <c r="S132" s="6">
        <v>12</v>
      </c>
      <c r="T132" s="6">
        <v>0</v>
      </c>
      <c r="U132" s="6">
        <v>0</v>
      </c>
      <c r="V132" s="6">
        <f>IF(ISERROR(VLOOKUP($S$132,'TAR FIN'!$A$1:$O$86,15,0)),0,VLOOKUP($S$132,'TAR FIN'!$A$1:$O$86,15,0))</f>
        <v>8.14</v>
      </c>
      <c r="W132" s="6">
        <f>IF(ISERROR(VLOOKUP($T$132,'TAR FIN'!$A$1:$O$86,15,0)),0,VLOOKUP($T$132,'TAR FIN'!$A$1:$O$86,15,0))</f>
        <v>0</v>
      </c>
      <c r="X132" s="6">
        <f>IF(ISERROR(VLOOKUP($U$132,'TAR FIN'!$A$1:$O$86,15,0)),0,VLOOKUP($U$132,'TAR FIN'!$A$1:$O$86,15,0))</f>
        <v>0</v>
      </c>
      <c r="Y132" s="6">
        <f ca="1">('TUSD BE'!$AM$10+'TUSD BF'!$AM$10+'TUSD CVA'!$AM$10)*1</f>
        <v>5.4509137424633414</v>
      </c>
      <c r="Z132" s="6"/>
      <c r="AA132" s="6"/>
      <c r="AB132" s="6">
        <f>$K$132*$V$132</f>
        <v>4070.0000000000005</v>
      </c>
      <c r="AC132" s="6">
        <f>$M$132*$W$132</f>
        <v>0</v>
      </c>
      <c r="AD132" s="6">
        <f>$O$132*$X$132</f>
        <v>0</v>
      </c>
      <c r="AE132" s="6">
        <f ca="1">$K$132*$Y$132</f>
        <v>2725.4568712316709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38</v>
      </c>
      <c r="C133" s="4" t="s">
        <v>59</v>
      </c>
      <c r="D133" s="4" t="s">
        <v>25</v>
      </c>
      <c r="E133" s="4" t="s">
        <v>25</v>
      </c>
      <c r="F133" s="4" t="s">
        <v>25</v>
      </c>
      <c r="G133" s="4" t="s">
        <v>64</v>
      </c>
      <c r="H133" s="4" t="s">
        <v>25</v>
      </c>
      <c r="I133" s="5">
        <v>44531</v>
      </c>
      <c r="J133" s="6">
        <v>280</v>
      </c>
      <c r="K133" s="6">
        <v>140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61</v>
      </c>
      <c r="S133" s="6">
        <v>12</v>
      </c>
      <c r="T133" s="6">
        <v>0</v>
      </c>
      <c r="U133" s="6">
        <v>0</v>
      </c>
      <c r="V133" s="6">
        <f>IF(ISERROR(VLOOKUP($S$133,'TAR FIN'!$A$1:$O$86,15,0)),0,VLOOKUP($S$133,'TAR FIN'!$A$1:$O$86,15,0))</f>
        <v>8.14</v>
      </c>
      <c r="W133" s="6">
        <f>IF(ISERROR(VLOOKUP($T$133,'TAR FIN'!$A$1:$O$86,15,0)),0,VLOOKUP($T$133,'TAR FIN'!$A$1:$O$86,15,0))</f>
        <v>0</v>
      </c>
      <c r="X133" s="6">
        <f>IF(ISERROR(VLOOKUP($U$133,'TAR FIN'!$A$1:$O$86,15,0)),0,VLOOKUP($U$133,'TAR FIN'!$A$1:$O$86,15,0))</f>
        <v>0</v>
      </c>
      <c r="Y133" s="6">
        <f ca="1">('TUSD BE'!$AM$10+'TUSD BF'!$AM$10+'TUSD CVA'!$AM$10)*1</f>
        <v>5.4509137424633414</v>
      </c>
      <c r="Z133" s="6"/>
      <c r="AA133" s="6"/>
      <c r="AB133" s="6">
        <f>$K$133*$V$133</f>
        <v>1139.6000000000001</v>
      </c>
      <c r="AC133" s="6">
        <f>$M$133*$W$133</f>
        <v>0</v>
      </c>
      <c r="AD133" s="6">
        <f>$O$133*$X$133</f>
        <v>0</v>
      </c>
      <c r="AE133" s="6">
        <f ca="1">$K$133*$Y$133</f>
        <v>763.1279239448678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38</v>
      </c>
      <c r="C134" s="4" t="s">
        <v>59</v>
      </c>
      <c r="D134" s="4" t="s">
        <v>25</v>
      </c>
      <c r="E134" s="4" t="s">
        <v>25</v>
      </c>
      <c r="F134" s="4" t="s">
        <v>25</v>
      </c>
      <c r="G134" s="4" t="s">
        <v>60</v>
      </c>
      <c r="H134" s="4" t="s">
        <v>25</v>
      </c>
      <c r="I134" s="5">
        <v>44562</v>
      </c>
      <c r="J134" s="6">
        <v>1000</v>
      </c>
      <c r="K134" s="6">
        <v>500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61</v>
      </c>
      <c r="R134" s="4">
        <v>797</v>
      </c>
      <c r="S134" s="6">
        <v>12</v>
      </c>
      <c r="T134" s="6">
        <v>0</v>
      </c>
      <c r="U134" s="6">
        <v>0</v>
      </c>
      <c r="V134" s="6">
        <f>IF(ISERROR(VLOOKUP($S$134,'TAR FIN'!$A$1:$O$86,15,0)),0,VLOOKUP($S$134,'TAR FIN'!$A$1:$O$86,15,0))</f>
        <v>8.14</v>
      </c>
      <c r="W134" s="6">
        <f>IF(ISERROR(VLOOKUP($T$134,'TAR FIN'!$A$1:$O$86,15,0)),0,VLOOKUP($T$134,'TAR FIN'!$A$1:$O$86,15,0))</f>
        <v>0</v>
      </c>
      <c r="X134" s="6">
        <f>IF(ISERROR(VLOOKUP($U$134,'TAR FIN'!$A$1:$O$86,15,0)),0,VLOOKUP($U$134,'TAR FIN'!$A$1:$O$86,15,0))</f>
        <v>0</v>
      </c>
      <c r="Y134" s="6">
        <f ca="1">('TUSD BE'!$AM$10+'TUSD BF'!$AM$10+'TUSD CVA'!$AM$10)*1</f>
        <v>5.4509137424633414</v>
      </c>
      <c r="Z134" s="6"/>
      <c r="AA134" s="6"/>
      <c r="AB134" s="6">
        <f>$K$134*$V$134</f>
        <v>4070.0000000000005</v>
      </c>
      <c r="AC134" s="6">
        <f>$M$134*$W$134</f>
        <v>0</v>
      </c>
      <c r="AD134" s="6">
        <f>$O$134*$X$134</f>
        <v>0</v>
      </c>
      <c r="AE134" s="6">
        <f ca="1">$K$134*$Y$134</f>
        <v>2725.4568712316709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38</v>
      </c>
      <c r="C135" s="4" t="s">
        <v>59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44562</v>
      </c>
      <c r="J135" s="6">
        <v>280</v>
      </c>
      <c r="K135" s="6">
        <v>140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61</v>
      </c>
      <c r="S135" s="6">
        <v>12</v>
      </c>
      <c r="T135" s="6">
        <v>0</v>
      </c>
      <c r="U135" s="6">
        <v>0</v>
      </c>
      <c r="V135" s="6">
        <f>IF(ISERROR(VLOOKUP($S$135,'TAR FIN'!$A$1:$O$86,15,0)),0,VLOOKUP($S$135,'TAR FIN'!$A$1:$O$86,15,0))</f>
        <v>8.14</v>
      </c>
      <c r="W135" s="6">
        <f>IF(ISERROR(VLOOKUP($T$135,'TAR FIN'!$A$1:$O$86,15,0)),0,VLOOKUP($T$135,'TAR FIN'!$A$1:$O$86,15,0))</f>
        <v>0</v>
      </c>
      <c r="X135" s="6">
        <f>IF(ISERROR(VLOOKUP($U$135,'TAR FIN'!$A$1:$O$86,15,0)),0,VLOOKUP($U$135,'TAR FIN'!$A$1:$O$86,15,0))</f>
        <v>0</v>
      </c>
      <c r="Y135" s="6">
        <f ca="1">('TUSD BE'!$AM$10+'TUSD BF'!$AM$10+'TUSD CVA'!$AM$10)*1</f>
        <v>5.4509137424633414</v>
      </c>
      <c r="Z135" s="6"/>
      <c r="AA135" s="6"/>
      <c r="AB135" s="6">
        <f>$K$135*$V$135</f>
        <v>1139.6000000000001</v>
      </c>
      <c r="AC135" s="6">
        <f>$M$135*$W$135</f>
        <v>0</v>
      </c>
      <c r="AD135" s="6">
        <f>$O$135*$X$135</f>
        <v>0</v>
      </c>
      <c r="AE135" s="6">
        <f ca="1">$K$135*$Y$135</f>
        <v>763.1279239448678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38</v>
      </c>
      <c r="C136" s="4" t="s">
        <v>59</v>
      </c>
      <c r="D136" s="4" t="s">
        <v>25</v>
      </c>
      <c r="E136" s="4" t="s">
        <v>25</v>
      </c>
      <c r="F136" s="4" t="s">
        <v>25</v>
      </c>
      <c r="G136" s="4" t="s">
        <v>60</v>
      </c>
      <c r="H136" s="4" t="s">
        <v>25</v>
      </c>
      <c r="I136" s="5">
        <v>44593</v>
      </c>
      <c r="J136" s="6">
        <v>1000</v>
      </c>
      <c r="K136" s="6">
        <v>500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61</v>
      </c>
      <c r="R136" s="4">
        <v>797</v>
      </c>
      <c r="S136" s="6">
        <v>12</v>
      </c>
      <c r="T136" s="6">
        <v>0</v>
      </c>
      <c r="U136" s="6">
        <v>0</v>
      </c>
      <c r="V136" s="6">
        <f>IF(ISERROR(VLOOKUP($S$136,'TAR FIN'!$A$1:$O$86,15,0)),0,VLOOKUP($S$136,'TAR FIN'!$A$1:$O$86,15,0))</f>
        <v>8.14</v>
      </c>
      <c r="W136" s="6">
        <f>IF(ISERROR(VLOOKUP($T$136,'TAR FIN'!$A$1:$O$86,15,0)),0,VLOOKUP($T$136,'TAR FIN'!$A$1:$O$86,15,0))</f>
        <v>0</v>
      </c>
      <c r="X136" s="6">
        <f>IF(ISERROR(VLOOKUP($U$136,'TAR FIN'!$A$1:$O$86,15,0)),0,VLOOKUP($U$136,'TAR FIN'!$A$1:$O$86,15,0))</f>
        <v>0</v>
      </c>
      <c r="Y136" s="6">
        <f ca="1">('TUSD BE'!$AM$10+'TUSD BF'!$AM$10+'TUSD CVA'!$AM$10)*1</f>
        <v>5.4509137424633414</v>
      </c>
      <c r="Z136" s="6"/>
      <c r="AA136" s="6"/>
      <c r="AB136" s="6">
        <f>$K$136*$V$136</f>
        <v>4070.0000000000005</v>
      </c>
      <c r="AC136" s="6">
        <f>$M$136*$W$136</f>
        <v>0</v>
      </c>
      <c r="AD136" s="6">
        <f>$O$136*$X$136</f>
        <v>0</v>
      </c>
      <c r="AE136" s="6">
        <f ca="1">$K$136*$Y$136</f>
        <v>2725.4568712316709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38</v>
      </c>
      <c r="C137" s="4" t="s">
        <v>59</v>
      </c>
      <c r="D137" s="4" t="s">
        <v>25</v>
      </c>
      <c r="E137" s="4" t="s">
        <v>25</v>
      </c>
      <c r="F137" s="4" t="s">
        <v>25</v>
      </c>
      <c r="G137" s="4" t="s">
        <v>64</v>
      </c>
      <c r="H137" s="4" t="s">
        <v>25</v>
      </c>
      <c r="I137" s="5">
        <v>44593</v>
      </c>
      <c r="J137" s="6">
        <v>280</v>
      </c>
      <c r="K137" s="6">
        <v>140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61</v>
      </c>
      <c r="S137" s="6">
        <v>12</v>
      </c>
      <c r="T137" s="6">
        <v>0</v>
      </c>
      <c r="U137" s="6">
        <v>0</v>
      </c>
      <c r="V137" s="6">
        <f>IF(ISERROR(VLOOKUP($S$137,'TAR FIN'!$A$1:$O$86,15,0)),0,VLOOKUP($S$137,'TAR FIN'!$A$1:$O$86,15,0))</f>
        <v>8.14</v>
      </c>
      <c r="W137" s="6">
        <f>IF(ISERROR(VLOOKUP($T$137,'TAR FIN'!$A$1:$O$86,15,0)),0,VLOOKUP($T$137,'TAR FIN'!$A$1:$O$86,15,0))</f>
        <v>0</v>
      </c>
      <c r="X137" s="6">
        <f>IF(ISERROR(VLOOKUP($U$137,'TAR FIN'!$A$1:$O$86,15,0)),0,VLOOKUP($U$137,'TAR FIN'!$A$1:$O$86,15,0))</f>
        <v>0</v>
      </c>
      <c r="Y137" s="6">
        <f ca="1">('TUSD BE'!$AM$10+'TUSD BF'!$AM$10+'TUSD CVA'!$AM$10)*1</f>
        <v>5.4509137424633414</v>
      </c>
      <c r="Z137" s="6"/>
      <c r="AA137" s="6"/>
      <c r="AB137" s="6">
        <f>$K$137*$V$137</f>
        <v>1139.6000000000001</v>
      </c>
      <c r="AC137" s="6">
        <f>$M$137*$W$137</f>
        <v>0</v>
      </c>
      <c r="AD137" s="6">
        <f>$O$137*$X$137</f>
        <v>0</v>
      </c>
      <c r="AE137" s="6">
        <f ca="1">$K$137*$Y$137</f>
        <v>763.1279239448678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38</v>
      </c>
      <c r="C138" s="4" t="s">
        <v>59</v>
      </c>
      <c r="D138" s="4" t="s">
        <v>25</v>
      </c>
      <c r="E138" s="4" t="s">
        <v>25</v>
      </c>
      <c r="F138" s="4" t="s">
        <v>25</v>
      </c>
      <c r="G138" s="4" t="s">
        <v>60</v>
      </c>
      <c r="H138" s="4" t="s">
        <v>25</v>
      </c>
      <c r="I138" s="5">
        <v>44621</v>
      </c>
      <c r="J138" s="6">
        <v>1000</v>
      </c>
      <c r="K138" s="6">
        <v>500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61</v>
      </c>
      <c r="R138" s="4">
        <v>797</v>
      </c>
      <c r="S138" s="6">
        <v>12</v>
      </c>
      <c r="T138" s="6">
        <v>0</v>
      </c>
      <c r="U138" s="6">
        <v>0</v>
      </c>
      <c r="V138" s="6">
        <f>IF(ISERROR(VLOOKUP($S$138,'TAR FIN'!$A$1:$O$86,15,0)),0,VLOOKUP($S$138,'TAR FIN'!$A$1:$O$86,15,0))</f>
        <v>8.14</v>
      </c>
      <c r="W138" s="6">
        <f>IF(ISERROR(VLOOKUP($T$138,'TAR FIN'!$A$1:$O$86,15,0)),0,VLOOKUP($T$138,'TAR FIN'!$A$1:$O$86,15,0))</f>
        <v>0</v>
      </c>
      <c r="X138" s="6">
        <f>IF(ISERROR(VLOOKUP($U$138,'TAR FIN'!$A$1:$O$86,15,0)),0,VLOOKUP($U$138,'TAR FIN'!$A$1:$O$86,15,0))</f>
        <v>0</v>
      </c>
      <c r="Y138" s="6">
        <f ca="1">('TUSD BE'!$AM$10+'TUSD BF'!$AM$10+'TUSD CVA'!$AM$10)*1</f>
        <v>5.4509137424633414</v>
      </c>
      <c r="Z138" s="6"/>
      <c r="AA138" s="6"/>
      <c r="AB138" s="6">
        <f>$K$138*$V$138</f>
        <v>4070.0000000000005</v>
      </c>
      <c r="AC138" s="6">
        <f>$M$138*$W$138</f>
        <v>0</v>
      </c>
      <c r="AD138" s="6">
        <f>$O$138*$X$138</f>
        <v>0</v>
      </c>
      <c r="AE138" s="6">
        <f ca="1">$K$138*$Y$138</f>
        <v>2725.4568712316709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38</v>
      </c>
      <c r="C139" s="4" t="s">
        <v>59</v>
      </c>
      <c r="D139" s="4" t="s">
        <v>25</v>
      </c>
      <c r="E139" s="4" t="s">
        <v>25</v>
      </c>
      <c r="F139" s="4" t="s">
        <v>25</v>
      </c>
      <c r="G139" s="4" t="s">
        <v>64</v>
      </c>
      <c r="H139" s="4" t="s">
        <v>25</v>
      </c>
      <c r="I139" s="5">
        <v>44621</v>
      </c>
      <c r="J139" s="6">
        <v>280</v>
      </c>
      <c r="K139" s="6">
        <v>140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61</v>
      </c>
      <c r="S139" s="6">
        <v>12</v>
      </c>
      <c r="T139" s="6">
        <v>0</v>
      </c>
      <c r="U139" s="6">
        <v>0</v>
      </c>
      <c r="V139" s="6">
        <f>IF(ISERROR(VLOOKUP($S$139,'TAR FIN'!$A$1:$O$86,15,0)),0,VLOOKUP($S$139,'TAR FIN'!$A$1:$O$86,15,0))</f>
        <v>8.14</v>
      </c>
      <c r="W139" s="6">
        <f>IF(ISERROR(VLOOKUP($T$139,'TAR FIN'!$A$1:$O$86,15,0)),0,VLOOKUP($T$139,'TAR FIN'!$A$1:$O$86,15,0))</f>
        <v>0</v>
      </c>
      <c r="X139" s="6">
        <f>IF(ISERROR(VLOOKUP($U$139,'TAR FIN'!$A$1:$O$86,15,0)),0,VLOOKUP($U$139,'TAR FIN'!$A$1:$O$86,15,0))</f>
        <v>0</v>
      </c>
      <c r="Y139" s="6">
        <f ca="1">('TUSD BE'!$AM$10+'TUSD BF'!$AM$10+'TUSD CVA'!$AM$10)*1</f>
        <v>5.4509137424633414</v>
      </c>
      <c r="Z139" s="6"/>
      <c r="AA139" s="6"/>
      <c r="AB139" s="6">
        <f>$K$139*$V$139</f>
        <v>1139.6000000000001</v>
      </c>
      <c r="AC139" s="6">
        <f>$M$139*$W$139</f>
        <v>0</v>
      </c>
      <c r="AD139" s="6">
        <f>$O$139*$X$139</f>
        <v>0</v>
      </c>
      <c r="AE139" s="6">
        <f ca="1">$K$139*$Y$139</f>
        <v>763.1279239448678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38</v>
      </c>
      <c r="C140" s="4" t="s">
        <v>59</v>
      </c>
      <c r="D140" s="4" t="s">
        <v>25</v>
      </c>
      <c r="E140" s="4" t="s">
        <v>25</v>
      </c>
      <c r="F140" s="4" t="s">
        <v>25</v>
      </c>
      <c r="G140" s="4" t="s">
        <v>60</v>
      </c>
      <c r="H140" s="4" t="s">
        <v>25</v>
      </c>
      <c r="I140" s="5">
        <v>44652</v>
      </c>
      <c r="J140" s="6">
        <v>1000</v>
      </c>
      <c r="K140" s="6">
        <v>500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61</v>
      </c>
      <c r="R140" s="4">
        <v>797</v>
      </c>
      <c r="S140" s="6">
        <v>12</v>
      </c>
      <c r="T140" s="6">
        <v>0</v>
      </c>
      <c r="U140" s="6">
        <v>0</v>
      </c>
      <c r="V140" s="6">
        <f>IF(ISERROR(VLOOKUP($S$140,'TAR FIN'!$A$1:$O$86,15,0)),0,VLOOKUP($S$140,'TAR FIN'!$A$1:$O$86,15,0))</f>
        <v>8.14</v>
      </c>
      <c r="W140" s="6">
        <f>IF(ISERROR(VLOOKUP($T$140,'TAR FIN'!$A$1:$O$86,15,0)),0,VLOOKUP($T$140,'TAR FIN'!$A$1:$O$86,15,0))</f>
        <v>0</v>
      </c>
      <c r="X140" s="6">
        <f>IF(ISERROR(VLOOKUP($U$140,'TAR FIN'!$A$1:$O$86,15,0)),0,VLOOKUP($U$140,'TAR FIN'!$A$1:$O$86,15,0))</f>
        <v>0</v>
      </c>
      <c r="Y140" s="6">
        <f ca="1">('TUSD BE'!$AM$10+'TUSD BF'!$AM$10+'TUSD CVA'!$AM$10)*1</f>
        <v>5.4509137424633414</v>
      </c>
      <c r="Z140" s="6"/>
      <c r="AA140" s="6"/>
      <c r="AB140" s="6">
        <f>$K$140*$V$140</f>
        <v>4070.0000000000005</v>
      </c>
      <c r="AC140" s="6">
        <f>$M$140*$W$140</f>
        <v>0</v>
      </c>
      <c r="AD140" s="6">
        <f>$O$140*$X$140</f>
        <v>0</v>
      </c>
      <c r="AE140" s="6">
        <f ca="1">$K$140*$Y$140</f>
        <v>2725.4568712316709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38</v>
      </c>
      <c r="C141" s="4" t="s">
        <v>59</v>
      </c>
      <c r="D141" s="4" t="s">
        <v>25</v>
      </c>
      <c r="E141" s="4" t="s">
        <v>25</v>
      </c>
      <c r="F141" s="4" t="s">
        <v>25</v>
      </c>
      <c r="G141" s="4" t="s">
        <v>64</v>
      </c>
      <c r="H141" s="4" t="s">
        <v>25</v>
      </c>
      <c r="I141" s="5">
        <v>44652</v>
      </c>
      <c r="J141" s="6">
        <v>280</v>
      </c>
      <c r="K141" s="6">
        <v>140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61</v>
      </c>
      <c r="S141" s="6">
        <v>12</v>
      </c>
      <c r="T141" s="6">
        <v>0</v>
      </c>
      <c r="U141" s="6">
        <v>0</v>
      </c>
      <c r="V141" s="6">
        <f>IF(ISERROR(VLOOKUP($S$141,'TAR FIN'!$A$1:$O$86,15,0)),0,VLOOKUP($S$141,'TAR FIN'!$A$1:$O$86,15,0))</f>
        <v>8.14</v>
      </c>
      <c r="W141" s="6">
        <f>IF(ISERROR(VLOOKUP($T$141,'TAR FIN'!$A$1:$O$86,15,0)),0,VLOOKUP($T$141,'TAR FIN'!$A$1:$O$86,15,0))</f>
        <v>0</v>
      </c>
      <c r="X141" s="6">
        <f>IF(ISERROR(VLOOKUP($U$141,'TAR FIN'!$A$1:$O$86,15,0)),0,VLOOKUP($U$141,'TAR FIN'!$A$1:$O$86,15,0))</f>
        <v>0</v>
      </c>
      <c r="Y141" s="6">
        <f ca="1">('TUSD BE'!$AM$10+'TUSD BF'!$AM$10+'TUSD CVA'!$AM$10)*1</f>
        <v>5.4509137424633414</v>
      </c>
      <c r="Z141" s="6"/>
      <c r="AA141" s="6"/>
      <c r="AB141" s="6">
        <f>$K$141*$V$141</f>
        <v>1139.6000000000001</v>
      </c>
      <c r="AC141" s="6">
        <f>$M$141*$W$141</f>
        <v>0</v>
      </c>
      <c r="AD141" s="6">
        <f>$O$141*$X$141</f>
        <v>0</v>
      </c>
      <c r="AE141" s="6">
        <f ca="1">$K$141*$Y$141</f>
        <v>763.1279239448678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38</v>
      </c>
      <c r="C142" s="4" t="s">
        <v>59</v>
      </c>
      <c r="D142" s="4" t="s">
        <v>25</v>
      </c>
      <c r="E142" s="4" t="s">
        <v>25</v>
      </c>
      <c r="F142" s="4" t="s">
        <v>25</v>
      </c>
      <c r="G142" s="4" t="s">
        <v>60</v>
      </c>
      <c r="H142" s="4" t="s">
        <v>25</v>
      </c>
      <c r="I142" s="5">
        <v>44682</v>
      </c>
      <c r="J142" s="6">
        <v>1000</v>
      </c>
      <c r="K142" s="6">
        <v>500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61</v>
      </c>
      <c r="R142" s="4">
        <v>797</v>
      </c>
      <c r="S142" s="6">
        <v>12</v>
      </c>
      <c r="T142" s="6">
        <v>0</v>
      </c>
      <c r="U142" s="6">
        <v>0</v>
      </c>
      <c r="V142" s="6">
        <f>IF(ISERROR(VLOOKUP($S$142,'TAR FIN'!$A$1:$O$86,15,0)),0,VLOOKUP($S$142,'TAR FIN'!$A$1:$O$86,15,0))</f>
        <v>8.14</v>
      </c>
      <c r="W142" s="6">
        <f>IF(ISERROR(VLOOKUP($T$142,'TAR FIN'!$A$1:$O$86,15,0)),0,VLOOKUP($T$142,'TAR FIN'!$A$1:$O$86,15,0))</f>
        <v>0</v>
      </c>
      <c r="X142" s="6">
        <f>IF(ISERROR(VLOOKUP($U$142,'TAR FIN'!$A$1:$O$86,15,0)),0,VLOOKUP($U$142,'TAR FIN'!$A$1:$O$86,15,0))</f>
        <v>0</v>
      </c>
      <c r="Y142" s="6">
        <f ca="1">('TUSD BE'!$AM$10+'TUSD BF'!$AM$10+'TUSD CVA'!$AM$10)*1</f>
        <v>5.4509137424633414</v>
      </c>
      <c r="Z142" s="6"/>
      <c r="AA142" s="6"/>
      <c r="AB142" s="6">
        <f>$K$142*$V$142</f>
        <v>4070.0000000000005</v>
      </c>
      <c r="AC142" s="6">
        <f>$M$142*$W$142</f>
        <v>0</v>
      </c>
      <c r="AD142" s="6">
        <f>$O$142*$X$142</f>
        <v>0</v>
      </c>
      <c r="AE142" s="6">
        <f ca="1">$K$142*$Y$142</f>
        <v>2725.4568712316709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38</v>
      </c>
      <c r="C143" s="4" t="s">
        <v>59</v>
      </c>
      <c r="D143" s="4" t="s">
        <v>25</v>
      </c>
      <c r="E143" s="4" t="s">
        <v>25</v>
      </c>
      <c r="F143" s="4" t="s">
        <v>25</v>
      </c>
      <c r="G143" s="4" t="s">
        <v>64</v>
      </c>
      <c r="H143" s="4" t="s">
        <v>25</v>
      </c>
      <c r="I143" s="5">
        <v>44682</v>
      </c>
      <c r="J143" s="6">
        <v>280</v>
      </c>
      <c r="K143" s="6">
        <v>140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61</v>
      </c>
      <c r="S143" s="6">
        <v>12</v>
      </c>
      <c r="T143" s="6">
        <v>0</v>
      </c>
      <c r="U143" s="6">
        <v>0</v>
      </c>
      <c r="V143" s="6">
        <f>IF(ISERROR(VLOOKUP($S$143,'TAR FIN'!$A$1:$O$86,15,0)),0,VLOOKUP($S$143,'TAR FIN'!$A$1:$O$86,15,0))</f>
        <v>8.14</v>
      </c>
      <c r="W143" s="6">
        <f>IF(ISERROR(VLOOKUP($T$143,'TAR FIN'!$A$1:$O$86,15,0)),0,VLOOKUP($T$143,'TAR FIN'!$A$1:$O$86,15,0))</f>
        <v>0</v>
      </c>
      <c r="X143" s="6">
        <f>IF(ISERROR(VLOOKUP($U$143,'TAR FIN'!$A$1:$O$86,15,0)),0,VLOOKUP($U$143,'TAR FIN'!$A$1:$O$86,15,0))</f>
        <v>0</v>
      </c>
      <c r="Y143" s="6">
        <f ca="1">('TUSD BE'!$AM$10+'TUSD BF'!$AM$10+'TUSD CVA'!$AM$10)*1</f>
        <v>5.4509137424633414</v>
      </c>
      <c r="Z143" s="6"/>
      <c r="AA143" s="6"/>
      <c r="AB143" s="6">
        <f>$K$143*$V$143</f>
        <v>1139.6000000000001</v>
      </c>
      <c r="AC143" s="6">
        <f>$M$143*$W$143</f>
        <v>0</v>
      </c>
      <c r="AD143" s="6">
        <f>$O$143*$X$143</f>
        <v>0</v>
      </c>
      <c r="AE143" s="6">
        <f ca="1">$K$143*$Y$143</f>
        <v>763.1279239448678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56</v>
      </c>
      <c r="B144" s="4" t="s">
        <v>38</v>
      </c>
      <c r="C144" s="4" t="s">
        <v>59</v>
      </c>
      <c r="D144" s="4" t="s">
        <v>25</v>
      </c>
      <c r="E144" s="4" t="s">
        <v>25</v>
      </c>
      <c r="F144" s="4" t="s">
        <v>25</v>
      </c>
      <c r="G144" s="4" t="s">
        <v>60</v>
      </c>
      <c r="H144" s="4" t="s">
        <v>25</v>
      </c>
      <c r="I144" s="5">
        <v>44713</v>
      </c>
      <c r="J144" s="6">
        <v>1000</v>
      </c>
      <c r="K144" s="6">
        <v>500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61</v>
      </c>
      <c r="R144" s="4">
        <v>797</v>
      </c>
      <c r="S144" s="6">
        <v>12</v>
      </c>
      <c r="T144" s="6">
        <v>0</v>
      </c>
      <c r="U144" s="6">
        <v>0</v>
      </c>
      <c r="V144" s="6">
        <f>IF(ISERROR(VLOOKUP($S$144,'TAR FIN'!$A$1:$O$86,15,0)),0,VLOOKUP($S$144,'TAR FIN'!$A$1:$O$86,15,0))</f>
        <v>8.14</v>
      </c>
      <c r="W144" s="6">
        <f>IF(ISERROR(VLOOKUP($T$144,'TAR FIN'!$A$1:$O$86,15,0)),0,VLOOKUP($T$144,'TAR FIN'!$A$1:$O$86,15,0))</f>
        <v>0</v>
      </c>
      <c r="X144" s="6">
        <f>IF(ISERROR(VLOOKUP($U$144,'TAR FIN'!$A$1:$O$86,15,0)),0,VLOOKUP($U$144,'TAR FIN'!$A$1:$O$86,15,0))</f>
        <v>0</v>
      </c>
      <c r="Y144" s="6">
        <f ca="1">('TUSD BE'!$AM$10+'TUSD BF'!$AM$10+'TUSD CVA'!$AM$10)*1</f>
        <v>5.4509137424633414</v>
      </c>
      <c r="Z144" s="6"/>
      <c r="AA144" s="6"/>
      <c r="AB144" s="6">
        <f>$K$144*$V$144</f>
        <v>4070.0000000000005</v>
      </c>
      <c r="AC144" s="6">
        <f>$M$144*$W$144</f>
        <v>0</v>
      </c>
      <c r="AD144" s="6">
        <f>$O$144*$X$144</f>
        <v>0</v>
      </c>
      <c r="AE144" s="6">
        <f ca="1">$K$144*$Y$144</f>
        <v>2725.4568712316709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56</v>
      </c>
      <c r="B145" s="4" t="s">
        <v>38</v>
      </c>
      <c r="C145" s="4" t="s">
        <v>59</v>
      </c>
      <c r="D145" s="4" t="s">
        <v>25</v>
      </c>
      <c r="E145" s="4" t="s">
        <v>25</v>
      </c>
      <c r="F145" s="4" t="s">
        <v>25</v>
      </c>
      <c r="G145" s="4" t="s">
        <v>64</v>
      </c>
      <c r="H145" s="4" t="s">
        <v>25</v>
      </c>
      <c r="I145" s="5">
        <v>44713</v>
      </c>
      <c r="J145" s="6">
        <v>280</v>
      </c>
      <c r="K145" s="6">
        <v>140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61</v>
      </c>
      <c r="S145" s="6">
        <v>12</v>
      </c>
      <c r="T145" s="6">
        <v>0</v>
      </c>
      <c r="U145" s="6">
        <v>0</v>
      </c>
      <c r="V145" s="6">
        <f>IF(ISERROR(VLOOKUP($S$145,'TAR FIN'!$A$1:$O$86,15,0)),0,VLOOKUP($S$145,'TAR FIN'!$A$1:$O$86,15,0))</f>
        <v>8.14</v>
      </c>
      <c r="W145" s="6">
        <f>IF(ISERROR(VLOOKUP($T$145,'TAR FIN'!$A$1:$O$86,15,0)),0,VLOOKUP($T$145,'TAR FIN'!$A$1:$O$86,15,0))</f>
        <v>0</v>
      </c>
      <c r="X145" s="6">
        <f>IF(ISERROR(VLOOKUP($U$145,'TAR FIN'!$A$1:$O$86,15,0)),0,VLOOKUP($U$145,'TAR FIN'!$A$1:$O$86,15,0))</f>
        <v>0</v>
      </c>
      <c r="Y145" s="6">
        <f ca="1">('TUSD BE'!$AM$10+'TUSD BF'!$AM$10+'TUSD CVA'!$AM$10)*1</f>
        <v>5.4509137424633414</v>
      </c>
      <c r="Z145" s="6"/>
      <c r="AA145" s="6"/>
      <c r="AB145" s="6">
        <f>$K$145*$V$145</f>
        <v>1139.6000000000001</v>
      </c>
      <c r="AC145" s="6">
        <f>$M$145*$W$145</f>
        <v>0</v>
      </c>
      <c r="AD145" s="6">
        <f>$O$145*$X$145</f>
        <v>0</v>
      </c>
      <c r="AE145" s="6">
        <f ca="1">$K$145*$Y$145</f>
        <v>763.1279239448678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38</v>
      </c>
      <c r="C146" s="4" t="s">
        <v>40</v>
      </c>
      <c r="D146" s="4" t="s">
        <v>41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44378</v>
      </c>
      <c r="J146" s="6">
        <v>0</v>
      </c>
      <c r="K146" s="6">
        <v>0</v>
      </c>
      <c r="L146" s="6">
        <v>747.43399999999997</v>
      </c>
      <c r="M146" s="6">
        <v>747.43399999999997</v>
      </c>
      <c r="N146" s="6">
        <v>747.43399999999997</v>
      </c>
      <c r="O146" s="6">
        <v>747.43399999999997</v>
      </c>
      <c r="P146" s="6">
        <v>0</v>
      </c>
      <c r="Q146" s="4" t="s">
        <v>26</v>
      </c>
      <c r="R146" s="4">
        <v>0</v>
      </c>
      <c r="S146" s="6">
        <v>0</v>
      </c>
      <c r="T146" s="6">
        <v>14</v>
      </c>
      <c r="U146" s="6">
        <v>42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78.680000000000007</v>
      </c>
      <c r="X146" s="6">
        <f>IF(ISERROR(VLOOKUP($U$146,'TAR FIN'!$A$1:$O$86,15,0)),0,VLOOKUP($U$146,'TAR FIN'!$A$1:$O$86,15,0))</f>
        <v>246.3</v>
      </c>
      <c r="Y146" s="6"/>
      <c r="Z146" s="6">
        <f ca="1">('TUSD BE'!$AM$13+'TUSD BF'!$AM$13+'TUSD CVA'!$AM$13)*1</f>
        <v>100.23755694003805</v>
      </c>
      <c r="AA146" s="6">
        <f>('TE BE'!$AB$6+'TE BF'!$AB$6+'TE CVA'!$AB$6)*1</f>
        <v>219.40364509824883</v>
      </c>
      <c r="AB146" s="6">
        <f>$K$146*$V$146</f>
        <v>0</v>
      </c>
      <c r="AC146" s="6">
        <f>$M$146*$W$146</f>
        <v>58808.107120000001</v>
      </c>
      <c r="AD146" s="6">
        <f>$O$146*$X$146</f>
        <v>184092.99419999999</v>
      </c>
      <c r="AE146" s="6">
        <f>$K$146*$Y$146</f>
        <v>0</v>
      </c>
      <c r="AF146" s="6">
        <f ca="1">$M$146*$Z$146</f>
        <v>74920.958133920401</v>
      </c>
      <c r="AG146" s="6">
        <f>$O$146*$AA$146</f>
        <v>163989.74407036451</v>
      </c>
    </row>
    <row r="147" spans="1:33" ht="11.25" customHeight="1" x14ac:dyDescent="0.25">
      <c r="A147" s="4" t="s">
        <v>21</v>
      </c>
      <c r="B147" s="4" t="s">
        <v>38</v>
      </c>
      <c r="C147" s="4" t="s">
        <v>40</v>
      </c>
      <c r="D147" s="4" t="s">
        <v>41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44409</v>
      </c>
      <c r="J147" s="6">
        <v>0</v>
      </c>
      <c r="K147" s="6">
        <v>0</v>
      </c>
      <c r="L147" s="6">
        <v>693.30399999999997</v>
      </c>
      <c r="M147" s="6">
        <v>693.30399999999997</v>
      </c>
      <c r="N147" s="6">
        <v>693.30399999999997</v>
      </c>
      <c r="O147" s="6">
        <v>693.30399999999997</v>
      </c>
      <c r="P147" s="6">
        <v>0</v>
      </c>
      <c r="Q147" s="4" t="s">
        <v>26</v>
      </c>
      <c r="R147" s="4">
        <v>0</v>
      </c>
      <c r="S147" s="6">
        <v>0</v>
      </c>
      <c r="T147" s="6">
        <v>14</v>
      </c>
      <c r="U147" s="6">
        <v>42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78.680000000000007</v>
      </c>
      <c r="X147" s="6">
        <f>IF(ISERROR(VLOOKUP($U$147,'TAR FIN'!$A$1:$O$86,15,0)),0,VLOOKUP($U$147,'TAR FIN'!$A$1:$O$86,15,0))</f>
        <v>246.3</v>
      </c>
      <c r="Y147" s="6"/>
      <c r="Z147" s="6">
        <f ca="1">('TUSD BE'!$AM$13+'TUSD BF'!$AM$13+'TUSD CVA'!$AM$13)*1</f>
        <v>100.23755694003805</v>
      </c>
      <c r="AA147" s="6">
        <f>('TE BE'!$AB$6+'TE BF'!$AB$6+'TE CVA'!$AB$6)*1</f>
        <v>219.40364509824883</v>
      </c>
      <c r="AB147" s="6">
        <f>$K$147*$V$147</f>
        <v>0</v>
      </c>
      <c r="AC147" s="6">
        <f>$M$147*$W$147</f>
        <v>54549.158719999999</v>
      </c>
      <c r="AD147" s="6">
        <f>$O$147*$X$147</f>
        <v>170760.7752</v>
      </c>
      <c r="AE147" s="6">
        <f>$K$147*$Y$147</f>
        <v>0</v>
      </c>
      <c r="AF147" s="6">
        <f ca="1">$M$147*$Z$147</f>
        <v>69495.099176756135</v>
      </c>
      <c r="AG147" s="6">
        <f>$O$147*$AA$147</f>
        <v>152113.42476119631</v>
      </c>
    </row>
    <row r="148" spans="1:33" ht="11.25" customHeight="1" x14ac:dyDescent="0.25">
      <c r="A148" s="4" t="s">
        <v>21</v>
      </c>
      <c r="B148" s="4" t="s">
        <v>38</v>
      </c>
      <c r="C148" s="4" t="s">
        <v>40</v>
      </c>
      <c r="D148" s="4" t="s">
        <v>41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44440</v>
      </c>
      <c r="J148" s="6">
        <v>0</v>
      </c>
      <c r="K148" s="6">
        <v>0</v>
      </c>
      <c r="L148" s="6">
        <v>666.08699999999999</v>
      </c>
      <c r="M148" s="6">
        <v>666.08699999999999</v>
      </c>
      <c r="N148" s="6">
        <v>666.08699999999999</v>
      </c>
      <c r="O148" s="6">
        <v>666.08699999999999</v>
      </c>
      <c r="P148" s="6">
        <v>0</v>
      </c>
      <c r="Q148" s="4" t="s">
        <v>26</v>
      </c>
      <c r="R148" s="4">
        <v>0</v>
      </c>
      <c r="S148" s="6">
        <v>0</v>
      </c>
      <c r="T148" s="6">
        <v>14</v>
      </c>
      <c r="U148" s="6">
        <v>42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78.680000000000007</v>
      </c>
      <c r="X148" s="6">
        <f>IF(ISERROR(VLOOKUP($U$148,'TAR FIN'!$A$1:$O$86,15,0)),0,VLOOKUP($U$148,'TAR FIN'!$A$1:$O$86,15,0))</f>
        <v>246.3</v>
      </c>
      <c r="Y148" s="6"/>
      <c r="Z148" s="6">
        <f ca="1">('TUSD BE'!$AM$13+'TUSD BF'!$AM$13+'TUSD CVA'!$AM$13)*1</f>
        <v>100.23755694003805</v>
      </c>
      <c r="AA148" s="6">
        <f>('TE BE'!$AB$6+'TE BF'!$AB$6+'TE CVA'!$AB$6)*1</f>
        <v>219.40364509824883</v>
      </c>
      <c r="AB148" s="6">
        <f>$K$148*$V$148</f>
        <v>0</v>
      </c>
      <c r="AC148" s="6">
        <f>$M$148*$W$148</f>
        <v>52407.725160000002</v>
      </c>
      <c r="AD148" s="6">
        <f>$O$148*$X$148</f>
        <v>164057.22810000001</v>
      </c>
      <c r="AE148" s="6">
        <f>$K$148*$Y$148</f>
        <v>0</v>
      </c>
      <c r="AF148" s="6">
        <f ca="1">$M$148*$Z$148</f>
        <v>66766.933589519118</v>
      </c>
      <c r="AG148" s="6">
        <f>$O$148*$AA$148</f>
        <v>146141.91575255725</v>
      </c>
    </row>
    <row r="149" spans="1:33" ht="11.25" customHeight="1" x14ac:dyDescent="0.25">
      <c r="A149" s="4" t="s">
        <v>21</v>
      </c>
      <c r="B149" s="4" t="s">
        <v>38</v>
      </c>
      <c r="C149" s="4" t="s">
        <v>40</v>
      </c>
      <c r="D149" s="4" t="s">
        <v>41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44470</v>
      </c>
      <c r="J149" s="6">
        <v>0</v>
      </c>
      <c r="K149" s="6">
        <v>0</v>
      </c>
      <c r="L149" s="6">
        <v>748.976</v>
      </c>
      <c r="M149" s="6">
        <v>748.976</v>
      </c>
      <c r="N149" s="6">
        <v>748.976</v>
      </c>
      <c r="O149" s="6">
        <v>748.976</v>
      </c>
      <c r="P149" s="6">
        <v>0</v>
      </c>
      <c r="Q149" s="4" t="s">
        <v>26</v>
      </c>
      <c r="R149" s="4">
        <v>0</v>
      </c>
      <c r="S149" s="6">
        <v>0</v>
      </c>
      <c r="T149" s="6">
        <v>14</v>
      </c>
      <c r="U149" s="6">
        <v>42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78.680000000000007</v>
      </c>
      <c r="X149" s="6">
        <f>IF(ISERROR(VLOOKUP($U$149,'TAR FIN'!$A$1:$O$86,15,0)),0,VLOOKUP($U$149,'TAR FIN'!$A$1:$O$86,15,0))</f>
        <v>246.3</v>
      </c>
      <c r="Y149" s="6"/>
      <c r="Z149" s="6">
        <f ca="1">('TUSD BE'!$AM$13+'TUSD BF'!$AM$13+'TUSD CVA'!$AM$13)*1</f>
        <v>100.23755694003805</v>
      </c>
      <c r="AA149" s="6">
        <f>('TE BE'!$AB$6+'TE BF'!$AB$6+'TE CVA'!$AB$6)*1</f>
        <v>219.40364509824883</v>
      </c>
      <c r="AB149" s="6">
        <f>$K$149*$V$149</f>
        <v>0</v>
      </c>
      <c r="AC149" s="6">
        <f>$M$149*$W$149</f>
        <v>58929.431680000002</v>
      </c>
      <c r="AD149" s="6">
        <f>$O$149*$X$149</f>
        <v>184472.78880000001</v>
      </c>
      <c r="AE149" s="6">
        <f>$K$149*$Y$149</f>
        <v>0</v>
      </c>
      <c r="AF149" s="6">
        <f ca="1">$M$149*$Z$149</f>
        <v>75075.524446721931</v>
      </c>
      <c r="AG149" s="6">
        <f>$O$149*$AA$149</f>
        <v>164328.06449110602</v>
      </c>
    </row>
    <row r="150" spans="1:33" ht="11.25" customHeight="1" x14ac:dyDescent="0.25">
      <c r="A150" s="4" t="s">
        <v>21</v>
      </c>
      <c r="B150" s="4" t="s">
        <v>38</v>
      </c>
      <c r="C150" s="4" t="s">
        <v>40</v>
      </c>
      <c r="D150" s="4" t="s">
        <v>41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44501</v>
      </c>
      <c r="J150" s="6">
        <v>0</v>
      </c>
      <c r="K150" s="6">
        <v>0</v>
      </c>
      <c r="L150" s="6">
        <v>1103.527</v>
      </c>
      <c r="M150" s="6">
        <v>1103.527</v>
      </c>
      <c r="N150" s="6">
        <v>1103.527</v>
      </c>
      <c r="O150" s="6">
        <v>1103.527</v>
      </c>
      <c r="P150" s="6">
        <v>0</v>
      </c>
      <c r="Q150" s="4" t="s">
        <v>26</v>
      </c>
      <c r="R150" s="4">
        <v>0</v>
      </c>
      <c r="S150" s="6">
        <v>0</v>
      </c>
      <c r="T150" s="6">
        <v>14</v>
      </c>
      <c r="U150" s="6">
        <v>42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78.680000000000007</v>
      </c>
      <c r="X150" s="6">
        <f>IF(ISERROR(VLOOKUP($U$150,'TAR FIN'!$A$1:$O$86,15,0)),0,VLOOKUP($U$150,'TAR FIN'!$A$1:$O$86,15,0))</f>
        <v>246.3</v>
      </c>
      <c r="Y150" s="6"/>
      <c r="Z150" s="6">
        <f ca="1">('TUSD BE'!$AM$13+'TUSD BF'!$AM$13+'TUSD CVA'!$AM$13)*1</f>
        <v>100.23755694003805</v>
      </c>
      <c r="AA150" s="6">
        <f>('TE BE'!$AB$6+'TE BF'!$AB$6+'TE CVA'!$AB$6)*1</f>
        <v>219.40364509824883</v>
      </c>
      <c r="AB150" s="6">
        <f>$K$150*$V$150</f>
        <v>0</v>
      </c>
      <c r="AC150" s="6">
        <f>$M$150*$W$150</f>
        <v>86825.504360000006</v>
      </c>
      <c r="AD150" s="6">
        <f>$O$150*$X$150</f>
        <v>271798.70010000002</v>
      </c>
      <c r="AE150" s="6">
        <f>$K$150*$Y$150</f>
        <v>0</v>
      </c>
      <c r="AF150" s="6">
        <f ca="1">$M$150*$Z$150</f>
        <v>110614.85049736936</v>
      </c>
      <c r="AG150" s="6">
        <f>$O$150*$AA$150</f>
        <v>242117.84626433524</v>
      </c>
    </row>
    <row r="151" spans="1:33" ht="11.25" customHeight="1" x14ac:dyDescent="0.25">
      <c r="A151" s="4" t="s">
        <v>55</v>
      </c>
      <c r="B151" s="4" t="s">
        <v>38</v>
      </c>
      <c r="C151" s="4" t="s">
        <v>40</v>
      </c>
      <c r="D151" s="4" t="s">
        <v>41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44501</v>
      </c>
      <c r="J151" s="6">
        <v>0</v>
      </c>
      <c r="K151" s="6">
        <v>0</v>
      </c>
      <c r="L151" s="6">
        <v>22.718</v>
      </c>
      <c r="M151" s="6">
        <v>22.718</v>
      </c>
      <c r="N151" s="6">
        <v>22.718</v>
      </c>
      <c r="O151" s="6">
        <v>22.718</v>
      </c>
      <c r="P151" s="6">
        <v>0</v>
      </c>
      <c r="Q151" s="4" t="s">
        <v>26</v>
      </c>
      <c r="R151" s="4">
        <v>0</v>
      </c>
      <c r="S151" s="6">
        <v>0</v>
      </c>
      <c r="T151" s="6">
        <v>14</v>
      </c>
      <c r="U151" s="6">
        <v>42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78.680000000000007</v>
      </c>
      <c r="X151" s="6">
        <f>IF(ISERROR(VLOOKUP($U$151,'TAR FIN'!$A$1:$O$86,15,0)),0,VLOOKUP($U$151,'TAR FIN'!$A$1:$O$86,15,0))</f>
        <v>246.3</v>
      </c>
      <c r="Y151" s="6"/>
      <c r="Z151" s="6">
        <f ca="1">('TUSD BE'!$AM$13+'TUSD BF'!$AM$13+'TUSD CVA'!$AM$13)*1</f>
        <v>100.23755694003805</v>
      </c>
      <c r="AA151" s="6">
        <f>('TE BE'!$AB$6+'TE BF'!$AB$6+'TE CVA'!$AB$6)*1</f>
        <v>219.40364509824883</v>
      </c>
      <c r="AB151" s="6">
        <f>$K$151*$V$151</f>
        <v>0</v>
      </c>
      <c r="AC151" s="6">
        <f>$M$151*$W$151</f>
        <v>1787.4522400000001</v>
      </c>
      <c r="AD151" s="6">
        <f>$O$151*$X$151</f>
        <v>5595.4434000000001</v>
      </c>
      <c r="AE151" s="6">
        <f>$K$151*$Y$151</f>
        <v>0</v>
      </c>
      <c r="AF151" s="6">
        <f ca="1">$M$151*$Z$151</f>
        <v>2277.1968185637843</v>
      </c>
      <c r="AG151" s="6">
        <f>$O$151*$AA$151</f>
        <v>4984.412009342017</v>
      </c>
    </row>
    <row r="152" spans="1:33" ht="11.25" customHeight="1" x14ac:dyDescent="0.25">
      <c r="A152" s="4" t="s">
        <v>21</v>
      </c>
      <c r="B152" s="4" t="s">
        <v>38</v>
      </c>
      <c r="C152" s="4" t="s">
        <v>40</v>
      </c>
      <c r="D152" s="4" t="s">
        <v>41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44531</v>
      </c>
      <c r="J152" s="6">
        <v>0</v>
      </c>
      <c r="K152" s="6">
        <v>0</v>
      </c>
      <c r="L152" s="6">
        <v>916.07899999999995</v>
      </c>
      <c r="M152" s="6">
        <v>916.07899999999995</v>
      </c>
      <c r="N152" s="6">
        <v>916.07899999999995</v>
      </c>
      <c r="O152" s="6">
        <v>916.07899999999995</v>
      </c>
      <c r="P152" s="6">
        <v>0</v>
      </c>
      <c r="Q152" s="4" t="s">
        <v>26</v>
      </c>
      <c r="R152" s="4">
        <v>0</v>
      </c>
      <c r="S152" s="6">
        <v>0</v>
      </c>
      <c r="T152" s="6">
        <v>14</v>
      </c>
      <c r="U152" s="6">
        <v>42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78.680000000000007</v>
      </c>
      <c r="X152" s="6">
        <f>IF(ISERROR(VLOOKUP($U$152,'TAR FIN'!$A$1:$O$86,15,0)),0,VLOOKUP($U$152,'TAR FIN'!$A$1:$O$86,15,0))</f>
        <v>246.3</v>
      </c>
      <c r="Y152" s="6"/>
      <c r="Z152" s="6">
        <f ca="1">('TUSD BE'!$AM$13+'TUSD BF'!$AM$13+'TUSD CVA'!$AM$13)*1</f>
        <v>100.23755694003805</v>
      </c>
      <c r="AA152" s="6">
        <f>('TE BE'!$AB$6+'TE BF'!$AB$6+'TE CVA'!$AB$6)*1</f>
        <v>219.40364509824883</v>
      </c>
      <c r="AB152" s="6">
        <f>$K$152*$V$152</f>
        <v>0</v>
      </c>
      <c r="AC152" s="6">
        <f>$M$152*$W$152</f>
        <v>72077.095719999998</v>
      </c>
      <c r="AD152" s="6">
        <f>$O$152*$X$152</f>
        <v>225630.25769999999</v>
      </c>
      <c r="AE152" s="6">
        <f>$K$152*$Y$152</f>
        <v>0</v>
      </c>
      <c r="AF152" s="6">
        <f ca="1">$M$152*$Z$152</f>
        <v>91825.520924073106</v>
      </c>
      <c r="AG152" s="6">
        <f>$O$152*$AA$152</f>
        <v>200991.07179795869</v>
      </c>
    </row>
    <row r="153" spans="1:33" ht="11.25" customHeight="1" x14ac:dyDescent="0.25">
      <c r="A153" s="4" t="s">
        <v>21</v>
      </c>
      <c r="B153" s="4" t="s">
        <v>38</v>
      </c>
      <c r="C153" s="4" t="s">
        <v>40</v>
      </c>
      <c r="D153" s="4" t="s">
        <v>41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44562</v>
      </c>
      <c r="J153" s="6">
        <v>0</v>
      </c>
      <c r="K153" s="6">
        <v>0</v>
      </c>
      <c r="L153" s="6">
        <v>960.27</v>
      </c>
      <c r="M153" s="6">
        <v>960.27</v>
      </c>
      <c r="N153" s="6">
        <v>960.27</v>
      </c>
      <c r="O153" s="6">
        <v>960.27</v>
      </c>
      <c r="P153" s="6">
        <v>0</v>
      </c>
      <c r="Q153" s="4" t="s">
        <v>26</v>
      </c>
      <c r="R153" s="4">
        <v>0</v>
      </c>
      <c r="S153" s="6">
        <v>0</v>
      </c>
      <c r="T153" s="6">
        <v>14</v>
      </c>
      <c r="U153" s="6">
        <v>42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78.680000000000007</v>
      </c>
      <c r="X153" s="6">
        <f>IF(ISERROR(VLOOKUP($U$153,'TAR FIN'!$A$1:$O$86,15,0)),0,VLOOKUP($U$153,'TAR FIN'!$A$1:$O$86,15,0))</f>
        <v>246.3</v>
      </c>
      <c r="Y153" s="6"/>
      <c r="Z153" s="6">
        <f ca="1">('TUSD BE'!$AM$13+'TUSD BF'!$AM$13+'TUSD CVA'!$AM$13)*1</f>
        <v>100.23755694003805</v>
      </c>
      <c r="AA153" s="6">
        <f>('TE BE'!$AB$6+'TE BF'!$AB$6+'TE CVA'!$AB$6)*1</f>
        <v>219.40364509824883</v>
      </c>
      <c r="AB153" s="6">
        <f>$K$153*$V$153</f>
        <v>0</v>
      </c>
      <c r="AC153" s="6">
        <f>$M$153*$W$153</f>
        <v>75554.043600000005</v>
      </c>
      <c r="AD153" s="6">
        <f>$O$153*$X$153</f>
        <v>236514.50100000002</v>
      </c>
      <c r="AE153" s="6">
        <f>$K$153*$Y$153</f>
        <v>0</v>
      </c>
      <c r="AF153" s="6">
        <f ca="1">$M$153*$Z$153</f>
        <v>96255.118802810335</v>
      </c>
      <c r="AG153" s="6">
        <f>$O$153*$AA$153</f>
        <v>210686.73827849541</v>
      </c>
    </row>
    <row r="154" spans="1:33" ht="11.25" customHeight="1" x14ac:dyDescent="0.25">
      <c r="A154" s="4" t="s">
        <v>55</v>
      </c>
      <c r="B154" s="4" t="s">
        <v>38</v>
      </c>
      <c r="C154" s="4" t="s">
        <v>40</v>
      </c>
      <c r="D154" s="4" t="s">
        <v>41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44562</v>
      </c>
      <c r="J154" s="6">
        <v>0</v>
      </c>
      <c r="K154" s="6">
        <v>0</v>
      </c>
      <c r="L154" s="6">
        <v>1.3919999999999999</v>
      </c>
      <c r="M154" s="6">
        <v>1.3919999999999999</v>
      </c>
      <c r="N154" s="6">
        <v>1.3919999999999999</v>
      </c>
      <c r="O154" s="6">
        <v>1.3919999999999999</v>
      </c>
      <c r="P154" s="6">
        <v>0</v>
      </c>
      <c r="Q154" s="4" t="s">
        <v>26</v>
      </c>
      <c r="R154" s="4">
        <v>0</v>
      </c>
      <c r="S154" s="6">
        <v>0</v>
      </c>
      <c r="T154" s="6">
        <v>14</v>
      </c>
      <c r="U154" s="6">
        <v>42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78.680000000000007</v>
      </c>
      <c r="X154" s="6">
        <f>IF(ISERROR(VLOOKUP($U$154,'TAR FIN'!$A$1:$O$86,15,0)),0,VLOOKUP($U$154,'TAR FIN'!$A$1:$O$86,15,0))</f>
        <v>246.3</v>
      </c>
      <c r="Y154" s="6"/>
      <c r="Z154" s="6">
        <f ca="1">('TUSD BE'!$AM$13+'TUSD BF'!$AM$13+'TUSD CVA'!$AM$13)*1</f>
        <v>100.23755694003805</v>
      </c>
      <c r="AA154" s="6">
        <f>('TE BE'!$AB$6+'TE BF'!$AB$6+'TE CVA'!$AB$6)*1</f>
        <v>219.40364509824883</v>
      </c>
      <c r="AB154" s="6">
        <f>$K$154*$V$154</f>
        <v>0</v>
      </c>
      <c r="AC154" s="6">
        <f>$M$154*$W$154</f>
        <v>109.52256</v>
      </c>
      <c r="AD154" s="6">
        <f>$O$154*$X$154</f>
        <v>342.84960000000001</v>
      </c>
      <c r="AE154" s="6">
        <f>$K$154*$Y$154</f>
        <v>0</v>
      </c>
      <c r="AF154" s="6">
        <f ca="1">$M$154*$Z$154</f>
        <v>139.53067926053296</v>
      </c>
      <c r="AG154" s="6">
        <f>$O$154*$AA$154</f>
        <v>305.40987397676236</v>
      </c>
    </row>
    <row r="155" spans="1:33" ht="11.25" customHeight="1" x14ac:dyDescent="0.25">
      <c r="A155" s="4" t="s">
        <v>55</v>
      </c>
      <c r="B155" s="4" t="s">
        <v>38</v>
      </c>
      <c r="C155" s="4" t="s">
        <v>40</v>
      </c>
      <c r="D155" s="4" t="s">
        <v>41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44562</v>
      </c>
      <c r="J155" s="6">
        <v>0</v>
      </c>
      <c r="K155" s="6">
        <v>0</v>
      </c>
      <c r="L155" s="6">
        <v>10.99</v>
      </c>
      <c r="M155" s="6">
        <v>10.99</v>
      </c>
      <c r="N155" s="6">
        <v>10.99</v>
      </c>
      <c r="O155" s="6">
        <v>10.99</v>
      </c>
      <c r="P155" s="6">
        <v>0</v>
      </c>
      <c r="Q155" s="4" t="s">
        <v>26</v>
      </c>
      <c r="R155" s="4">
        <v>0</v>
      </c>
      <c r="S155" s="6">
        <v>0</v>
      </c>
      <c r="T155" s="6">
        <v>14</v>
      </c>
      <c r="U155" s="6">
        <v>42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78.680000000000007</v>
      </c>
      <c r="X155" s="6">
        <f>IF(ISERROR(VLOOKUP($U$155,'TAR FIN'!$A$1:$O$86,15,0)),0,VLOOKUP($U$155,'TAR FIN'!$A$1:$O$86,15,0))</f>
        <v>246.3</v>
      </c>
      <c r="Y155" s="6"/>
      <c r="Z155" s="6">
        <f ca="1">('TUSD BE'!$AM$13+'TUSD BF'!$AM$13+'TUSD CVA'!$AM$13)*1</f>
        <v>100.23755694003805</v>
      </c>
      <c r="AA155" s="6">
        <f>('TE BE'!$AB$6+'TE BF'!$AB$6+'TE CVA'!$AB$6)*1</f>
        <v>219.40364509824883</v>
      </c>
      <c r="AB155" s="6">
        <f>$K$155*$V$155</f>
        <v>0</v>
      </c>
      <c r="AC155" s="6">
        <f>$M$155*$W$155</f>
        <v>864.69320000000005</v>
      </c>
      <c r="AD155" s="6">
        <f>$O$155*$X$155</f>
        <v>2706.837</v>
      </c>
      <c r="AE155" s="6">
        <f>$K$155*$Y$155</f>
        <v>0</v>
      </c>
      <c r="AF155" s="6">
        <f ca="1">$M$155*$Z$155</f>
        <v>1101.610750771018</v>
      </c>
      <c r="AG155" s="6">
        <f>$O$155*$AA$155</f>
        <v>2411.2460596297547</v>
      </c>
    </row>
    <row r="156" spans="1:33" ht="11.25" customHeight="1" x14ac:dyDescent="0.25">
      <c r="A156" s="4" t="s">
        <v>21</v>
      </c>
      <c r="B156" s="4" t="s">
        <v>38</v>
      </c>
      <c r="C156" s="4" t="s">
        <v>40</v>
      </c>
      <c r="D156" s="4" t="s">
        <v>41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44593</v>
      </c>
      <c r="J156" s="6">
        <v>0</v>
      </c>
      <c r="K156" s="6">
        <v>0</v>
      </c>
      <c r="L156" s="6">
        <v>860.49400000000003</v>
      </c>
      <c r="M156" s="6">
        <v>860.49400000000003</v>
      </c>
      <c r="N156" s="6">
        <v>860.49400000000003</v>
      </c>
      <c r="O156" s="6">
        <v>860.49400000000003</v>
      </c>
      <c r="P156" s="6">
        <v>0</v>
      </c>
      <c r="Q156" s="4" t="s">
        <v>26</v>
      </c>
      <c r="R156" s="4">
        <v>0</v>
      </c>
      <c r="S156" s="6">
        <v>0</v>
      </c>
      <c r="T156" s="6">
        <v>14</v>
      </c>
      <c r="U156" s="6">
        <v>42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78.680000000000007</v>
      </c>
      <c r="X156" s="6">
        <f>IF(ISERROR(VLOOKUP($U$156,'TAR FIN'!$A$1:$O$86,15,0)),0,VLOOKUP($U$156,'TAR FIN'!$A$1:$O$86,15,0))</f>
        <v>246.3</v>
      </c>
      <c r="Y156" s="6"/>
      <c r="Z156" s="6">
        <f ca="1">('TUSD BE'!$AM$13+'TUSD BF'!$AM$13+'TUSD CVA'!$AM$13)*1</f>
        <v>100.23755694003805</v>
      </c>
      <c r="AA156" s="6">
        <f>('TE BE'!$AB$6+'TE BF'!$AB$6+'TE CVA'!$AB$6)*1</f>
        <v>219.40364509824883</v>
      </c>
      <c r="AB156" s="6">
        <f>$K$156*$V$156</f>
        <v>0</v>
      </c>
      <c r="AC156" s="6">
        <f>$M$156*$W$156</f>
        <v>67703.667920000007</v>
      </c>
      <c r="AD156" s="6">
        <f>$O$156*$X$156</f>
        <v>211939.67220000003</v>
      </c>
      <c r="AE156" s="6">
        <f>$K$156*$Y$156</f>
        <v>0</v>
      </c>
      <c r="AF156" s="6">
        <f ca="1">$M$156*$Z$156</f>
        <v>86253.816321561098</v>
      </c>
      <c r="AG156" s="6">
        <f>$O$156*$AA$156</f>
        <v>188795.52018517253</v>
      </c>
    </row>
    <row r="157" spans="1:33" ht="11.25" customHeight="1" x14ac:dyDescent="0.25">
      <c r="A157" s="4" t="s">
        <v>55</v>
      </c>
      <c r="B157" s="4" t="s">
        <v>38</v>
      </c>
      <c r="C157" s="4" t="s">
        <v>40</v>
      </c>
      <c r="D157" s="4" t="s">
        <v>41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44593</v>
      </c>
      <c r="J157" s="6">
        <v>0</v>
      </c>
      <c r="K157" s="6">
        <v>0</v>
      </c>
      <c r="L157" s="6">
        <v>34.200000000000003</v>
      </c>
      <c r="M157" s="6">
        <v>34.200000000000003</v>
      </c>
      <c r="N157" s="6">
        <v>34.200000000000003</v>
      </c>
      <c r="O157" s="6">
        <v>34.200000000000003</v>
      </c>
      <c r="P157" s="6">
        <v>0</v>
      </c>
      <c r="Q157" s="4" t="s">
        <v>26</v>
      </c>
      <c r="R157" s="4">
        <v>0</v>
      </c>
      <c r="S157" s="6">
        <v>0</v>
      </c>
      <c r="T157" s="6">
        <v>14</v>
      </c>
      <c r="U157" s="6">
        <v>42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78.680000000000007</v>
      </c>
      <c r="X157" s="6">
        <f>IF(ISERROR(VLOOKUP($U$157,'TAR FIN'!$A$1:$O$86,15,0)),0,VLOOKUP($U$157,'TAR FIN'!$A$1:$O$86,15,0))</f>
        <v>246.3</v>
      </c>
      <c r="Y157" s="6"/>
      <c r="Z157" s="6">
        <f ca="1">('TUSD BE'!$AM$13+'TUSD BF'!$AM$13+'TUSD CVA'!$AM$13)*1</f>
        <v>100.23755694003805</v>
      </c>
      <c r="AA157" s="6">
        <f>('TE BE'!$AB$6+'TE BF'!$AB$6+'TE CVA'!$AB$6)*1</f>
        <v>219.40364509824883</v>
      </c>
      <c r="AB157" s="6">
        <f>$K$157*$V$157</f>
        <v>0</v>
      </c>
      <c r="AC157" s="6">
        <f>$M$157*$W$157</f>
        <v>2690.8560000000007</v>
      </c>
      <c r="AD157" s="6">
        <f>$O$157*$X$157</f>
        <v>8423.4600000000009</v>
      </c>
      <c r="AE157" s="6">
        <f>$K$157*$Y$157</f>
        <v>0</v>
      </c>
      <c r="AF157" s="6">
        <f ca="1">$M$157*$Z$157</f>
        <v>3428.1244473493016</v>
      </c>
      <c r="AG157" s="6">
        <f>$O$157*$AA$157</f>
        <v>7503.6046623601105</v>
      </c>
    </row>
    <row r="158" spans="1:33" ht="11.25" customHeight="1" x14ac:dyDescent="0.25">
      <c r="A158" s="4" t="s">
        <v>21</v>
      </c>
      <c r="B158" s="4" t="s">
        <v>38</v>
      </c>
      <c r="C158" s="4" t="s">
        <v>40</v>
      </c>
      <c r="D158" s="4" t="s">
        <v>41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44621</v>
      </c>
      <c r="J158" s="6">
        <v>0</v>
      </c>
      <c r="K158" s="6">
        <v>0</v>
      </c>
      <c r="L158" s="6">
        <v>916.50900000000001</v>
      </c>
      <c r="M158" s="6">
        <v>916.50900000000001</v>
      </c>
      <c r="N158" s="6">
        <v>916.50900000000001</v>
      </c>
      <c r="O158" s="6">
        <v>916.50900000000001</v>
      </c>
      <c r="P158" s="6">
        <v>0</v>
      </c>
      <c r="Q158" s="4" t="s">
        <v>26</v>
      </c>
      <c r="R158" s="4">
        <v>0</v>
      </c>
      <c r="S158" s="6">
        <v>0</v>
      </c>
      <c r="T158" s="6">
        <v>14</v>
      </c>
      <c r="U158" s="6">
        <v>42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78.680000000000007</v>
      </c>
      <c r="X158" s="6">
        <f>IF(ISERROR(VLOOKUP($U$158,'TAR FIN'!$A$1:$O$86,15,0)),0,VLOOKUP($U$158,'TAR FIN'!$A$1:$O$86,15,0))</f>
        <v>246.3</v>
      </c>
      <c r="Y158" s="6"/>
      <c r="Z158" s="6">
        <f ca="1">('TUSD BE'!$AM$13+'TUSD BF'!$AM$13+'TUSD CVA'!$AM$13)*1</f>
        <v>100.23755694003805</v>
      </c>
      <c r="AA158" s="6">
        <f>('TE BE'!$AB$6+'TE BF'!$AB$6+'TE CVA'!$AB$6)*1</f>
        <v>219.40364509824883</v>
      </c>
      <c r="AB158" s="6">
        <f>$K$158*$V$158</f>
        <v>0</v>
      </c>
      <c r="AC158" s="6">
        <f>$M$158*$W$158</f>
        <v>72110.928120000011</v>
      </c>
      <c r="AD158" s="6">
        <f>$O$158*$X$158</f>
        <v>225736.1667</v>
      </c>
      <c r="AE158" s="6">
        <f>$K$158*$Y$158</f>
        <v>0</v>
      </c>
      <c r="AF158" s="6">
        <f ca="1">$M$158*$Z$158</f>
        <v>91868.623073557334</v>
      </c>
      <c r="AG158" s="6">
        <f>$O$158*$AA$158</f>
        <v>201085.41536535093</v>
      </c>
    </row>
    <row r="159" spans="1:33" ht="11.25" customHeight="1" x14ac:dyDescent="0.25">
      <c r="A159" s="4" t="s">
        <v>55</v>
      </c>
      <c r="B159" s="4" t="s">
        <v>38</v>
      </c>
      <c r="C159" s="4" t="s">
        <v>40</v>
      </c>
      <c r="D159" s="4" t="s">
        <v>41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44621</v>
      </c>
      <c r="J159" s="6">
        <v>0</v>
      </c>
      <c r="K159" s="6">
        <v>0</v>
      </c>
      <c r="L159" s="6">
        <v>34.744999999999997</v>
      </c>
      <c r="M159" s="6">
        <v>34.744999999999997</v>
      </c>
      <c r="N159" s="6">
        <v>34.744999999999997</v>
      </c>
      <c r="O159" s="6">
        <v>34.744999999999997</v>
      </c>
      <c r="P159" s="6">
        <v>0</v>
      </c>
      <c r="Q159" s="4" t="s">
        <v>26</v>
      </c>
      <c r="R159" s="4">
        <v>0</v>
      </c>
      <c r="S159" s="6">
        <v>0</v>
      </c>
      <c r="T159" s="6">
        <v>14</v>
      </c>
      <c r="U159" s="6">
        <v>42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78.680000000000007</v>
      </c>
      <c r="X159" s="6">
        <f>IF(ISERROR(VLOOKUP($U$159,'TAR FIN'!$A$1:$O$86,15,0)),0,VLOOKUP($U$159,'TAR FIN'!$A$1:$O$86,15,0))</f>
        <v>246.3</v>
      </c>
      <c r="Y159" s="6"/>
      <c r="Z159" s="6">
        <f ca="1">('TUSD BE'!$AM$13+'TUSD BF'!$AM$13+'TUSD CVA'!$AM$13)*1</f>
        <v>100.23755694003805</v>
      </c>
      <c r="AA159" s="6">
        <f>('TE BE'!$AB$6+'TE BF'!$AB$6+'TE CVA'!$AB$6)*1</f>
        <v>219.40364509824883</v>
      </c>
      <c r="AB159" s="6">
        <f>$K$159*$V$159</f>
        <v>0</v>
      </c>
      <c r="AC159" s="6">
        <f>$M$159*$W$159</f>
        <v>2733.7366000000002</v>
      </c>
      <c r="AD159" s="6">
        <f>$O$159*$X$159</f>
        <v>8557.6934999999994</v>
      </c>
      <c r="AE159" s="6">
        <f>$K$159*$Y$159</f>
        <v>0</v>
      </c>
      <c r="AF159" s="6">
        <f ca="1">$M$159*$Z$159</f>
        <v>3482.7539158816217</v>
      </c>
      <c r="AG159" s="6">
        <f>$O$159*$AA$159</f>
        <v>7623.1796489386552</v>
      </c>
    </row>
    <row r="160" spans="1:33" ht="11.25" customHeight="1" x14ac:dyDescent="0.25">
      <c r="A160" s="4" t="s">
        <v>21</v>
      </c>
      <c r="B160" s="4" t="s">
        <v>38</v>
      </c>
      <c r="C160" s="4" t="s">
        <v>40</v>
      </c>
      <c r="D160" s="4" t="s">
        <v>41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44652</v>
      </c>
      <c r="J160" s="6">
        <v>0</v>
      </c>
      <c r="K160" s="6">
        <v>0</v>
      </c>
      <c r="L160" s="6">
        <v>1019.015</v>
      </c>
      <c r="M160" s="6">
        <v>1019.015</v>
      </c>
      <c r="N160" s="6">
        <v>1019.015</v>
      </c>
      <c r="O160" s="6">
        <v>1019.015</v>
      </c>
      <c r="P160" s="6">
        <v>0</v>
      </c>
      <c r="Q160" s="4" t="s">
        <v>26</v>
      </c>
      <c r="R160" s="4">
        <v>0</v>
      </c>
      <c r="S160" s="6">
        <v>0</v>
      </c>
      <c r="T160" s="6">
        <v>14</v>
      </c>
      <c r="U160" s="6">
        <v>42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78.680000000000007</v>
      </c>
      <c r="X160" s="6">
        <f>IF(ISERROR(VLOOKUP($U$160,'TAR FIN'!$A$1:$O$86,15,0)),0,VLOOKUP($U$160,'TAR FIN'!$A$1:$O$86,15,0))</f>
        <v>246.3</v>
      </c>
      <c r="Y160" s="6"/>
      <c r="Z160" s="6">
        <f ca="1">('TUSD BE'!$AM$13+'TUSD BF'!$AM$13+'TUSD CVA'!$AM$13)*1</f>
        <v>100.23755694003805</v>
      </c>
      <c r="AA160" s="6">
        <f>('TE BE'!$AB$6+'TE BF'!$AB$6+'TE CVA'!$AB$6)*1</f>
        <v>219.40364509824883</v>
      </c>
      <c r="AB160" s="6">
        <f>$K$160*$V$160</f>
        <v>0</v>
      </c>
      <c r="AC160" s="6">
        <f>$M$160*$W$160</f>
        <v>80176.100200000001</v>
      </c>
      <c r="AD160" s="6">
        <f>$O$160*$X$160</f>
        <v>250983.39449999999</v>
      </c>
      <c r="AE160" s="6">
        <f>$K$160*$Y$160</f>
        <v>0</v>
      </c>
      <c r="AF160" s="6">
        <f ca="1">$M$160*$Z$160</f>
        <v>102143.57408525287</v>
      </c>
      <c r="AG160" s="6">
        <f>$O$160*$AA$160</f>
        <v>223575.60540979204</v>
      </c>
    </row>
    <row r="161" spans="1:33" ht="11.25" customHeight="1" x14ac:dyDescent="0.25">
      <c r="A161" s="4" t="s">
        <v>55</v>
      </c>
      <c r="B161" s="4" t="s">
        <v>38</v>
      </c>
      <c r="C161" s="4" t="s">
        <v>40</v>
      </c>
      <c r="D161" s="4" t="s">
        <v>41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44652</v>
      </c>
      <c r="J161" s="6">
        <v>0</v>
      </c>
      <c r="K161" s="6">
        <v>0</v>
      </c>
      <c r="L161" s="6">
        <v>23.873999999999999</v>
      </c>
      <c r="M161" s="6">
        <v>23.873999999999999</v>
      </c>
      <c r="N161" s="6">
        <v>23.873999999999999</v>
      </c>
      <c r="O161" s="6">
        <v>23.873999999999999</v>
      </c>
      <c r="P161" s="6">
        <v>0</v>
      </c>
      <c r="Q161" s="4" t="s">
        <v>26</v>
      </c>
      <c r="R161" s="4">
        <v>0</v>
      </c>
      <c r="S161" s="6">
        <v>0</v>
      </c>
      <c r="T161" s="6">
        <v>14</v>
      </c>
      <c r="U161" s="6">
        <v>42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78.680000000000007</v>
      </c>
      <c r="X161" s="6">
        <f>IF(ISERROR(VLOOKUP($U$161,'TAR FIN'!$A$1:$O$86,15,0)),0,VLOOKUP($U$161,'TAR FIN'!$A$1:$O$86,15,0))</f>
        <v>246.3</v>
      </c>
      <c r="Y161" s="6"/>
      <c r="Z161" s="6">
        <f ca="1">('TUSD BE'!$AM$13+'TUSD BF'!$AM$13+'TUSD CVA'!$AM$13)*1</f>
        <v>100.23755694003805</v>
      </c>
      <c r="AA161" s="6">
        <f>('TE BE'!$AB$6+'TE BF'!$AB$6+'TE CVA'!$AB$6)*1</f>
        <v>219.40364509824883</v>
      </c>
      <c r="AB161" s="6">
        <f>$K$161*$V$161</f>
        <v>0</v>
      </c>
      <c r="AC161" s="6">
        <f>$M$161*$W$161</f>
        <v>1878.4063200000001</v>
      </c>
      <c r="AD161" s="6">
        <f>$O$161*$X$161</f>
        <v>5880.1661999999997</v>
      </c>
      <c r="AE161" s="6">
        <f>$K$161*$Y$161</f>
        <v>0</v>
      </c>
      <c r="AF161" s="6">
        <f ca="1">$M$161*$Z$161</f>
        <v>2393.0714343864684</v>
      </c>
      <c r="AG161" s="6">
        <f>$O$161*$AA$161</f>
        <v>5238.042623075592</v>
      </c>
    </row>
    <row r="162" spans="1:33" ht="11.25" customHeight="1" x14ac:dyDescent="0.25">
      <c r="A162" s="4" t="s">
        <v>21</v>
      </c>
      <c r="B162" s="4" t="s">
        <v>38</v>
      </c>
      <c r="C162" s="4" t="s">
        <v>40</v>
      </c>
      <c r="D162" s="4" t="s">
        <v>41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44682</v>
      </c>
      <c r="J162" s="6">
        <v>0</v>
      </c>
      <c r="K162" s="6">
        <v>0</v>
      </c>
      <c r="L162" s="6">
        <v>920.80799999999999</v>
      </c>
      <c r="M162" s="6">
        <v>920.80799999999999</v>
      </c>
      <c r="N162" s="6">
        <v>920.80799999999999</v>
      </c>
      <c r="O162" s="6">
        <v>920.80799999999999</v>
      </c>
      <c r="P162" s="6">
        <v>0</v>
      </c>
      <c r="Q162" s="4" t="s">
        <v>26</v>
      </c>
      <c r="R162" s="4">
        <v>0</v>
      </c>
      <c r="S162" s="6">
        <v>0</v>
      </c>
      <c r="T162" s="6">
        <v>14</v>
      </c>
      <c r="U162" s="6">
        <v>42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78.680000000000007</v>
      </c>
      <c r="X162" s="6">
        <f>IF(ISERROR(VLOOKUP($U$162,'TAR FIN'!$A$1:$O$86,15,0)),0,VLOOKUP($U$162,'TAR FIN'!$A$1:$O$86,15,0))</f>
        <v>246.3</v>
      </c>
      <c r="Y162" s="6"/>
      <c r="Z162" s="6">
        <f ca="1">('TUSD BE'!$AM$13+'TUSD BF'!$AM$13+'TUSD CVA'!$AM$13)*1</f>
        <v>100.23755694003805</v>
      </c>
      <c r="AA162" s="6">
        <f>('TE BE'!$AB$6+'TE BF'!$AB$6+'TE CVA'!$AB$6)*1</f>
        <v>219.40364509824883</v>
      </c>
      <c r="AB162" s="6">
        <f>$K$162*$V$162</f>
        <v>0</v>
      </c>
      <c r="AC162" s="6">
        <f>$M$162*$W$162</f>
        <v>72449.173439999999</v>
      </c>
      <c r="AD162" s="6">
        <f>$O$162*$X$162</f>
        <v>226795.0104</v>
      </c>
      <c r="AE162" s="6">
        <f>$K$162*$Y$162</f>
        <v>0</v>
      </c>
      <c r="AF162" s="6">
        <f ca="1">$M$162*$Z$162</f>
        <v>92299.54433084256</v>
      </c>
      <c r="AG162" s="6">
        <f>$O$162*$AA$162</f>
        <v>202028.63163562832</v>
      </c>
    </row>
    <row r="163" spans="1:33" ht="11.25" customHeight="1" x14ac:dyDescent="0.25">
      <c r="A163" s="4" t="s">
        <v>55</v>
      </c>
      <c r="B163" s="4" t="s">
        <v>38</v>
      </c>
      <c r="C163" s="4" t="s">
        <v>40</v>
      </c>
      <c r="D163" s="4" t="s">
        <v>41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44682</v>
      </c>
      <c r="J163" s="6">
        <v>0</v>
      </c>
      <c r="K163" s="6">
        <v>0</v>
      </c>
      <c r="L163" s="6">
        <v>5.8579999999999997</v>
      </c>
      <c r="M163" s="6">
        <v>5.8579999999999997</v>
      </c>
      <c r="N163" s="6">
        <v>5.8579999999999997</v>
      </c>
      <c r="O163" s="6">
        <v>5.8579999999999997</v>
      </c>
      <c r="P163" s="6">
        <v>0</v>
      </c>
      <c r="Q163" s="4" t="s">
        <v>26</v>
      </c>
      <c r="R163" s="4">
        <v>0</v>
      </c>
      <c r="S163" s="6">
        <v>0</v>
      </c>
      <c r="T163" s="6">
        <v>14</v>
      </c>
      <c r="U163" s="6">
        <v>42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78.680000000000007</v>
      </c>
      <c r="X163" s="6">
        <f>IF(ISERROR(VLOOKUP($U$163,'TAR FIN'!$A$1:$O$86,15,0)),0,VLOOKUP($U$163,'TAR FIN'!$A$1:$O$86,15,0))</f>
        <v>246.3</v>
      </c>
      <c r="Y163" s="6"/>
      <c r="Z163" s="6">
        <f ca="1">('TUSD BE'!$AM$13+'TUSD BF'!$AM$13+'TUSD CVA'!$AM$13)*1</f>
        <v>100.23755694003805</v>
      </c>
      <c r="AA163" s="6">
        <f>('TE BE'!$AB$6+'TE BF'!$AB$6+'TE CVA'!$AB$6)*1</f>
        <v>219.40364509824883</v>
      </c>
      <c r="AB163" s="6">
        <f>$K$163*$V$163</f>
        <v>0</v>
      </c>
      <c r="AC163" s="6">
        <f>$M$163*$W$163</f>
        <v>460.90744000000001</v>
      </c>
      <c r="AD163" s="6">
        <f>$O$163*$X$163</f>
        <v>1442.8253999999999</v>
      </c>
      <c r="AE163" s="6">
        <f>$K$163*$Y$163</f>
        <v>0</v>
      </c>
      <c r="AF163" s="6">
        <f ca="1">$M$163*$Z$163</f>
        <v>587.19160855474286</v>
      </c>
      <c r="AG163" s="6">
        <f>$O$163*$AA$163</f>
        <v>1285.2665529855415</v>
      </c>
    </row>
    <row r="164" spans="1:33" ht="11.25" customHeight="1" x14ac:dyDescent="0.25">
      <c r="A164" s="4" t="s">
        <v>56</v>
      </c>
      <c r="B164" s="4" t="s">
        <v>38</v>
      </c>
      <c r="C164" s="4" t="s">
        <v>40</v>
      </c>
      <c r="D164" s="4" t="s">
        <v>41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44713</v>
      </c>
      <c r="J164" s="6">
        <v>0</v>
      </c>
      <c r="K164" s="6">
        <v>0</v>
      </c>
      <c r="L164" s="6">
        <v>920.80799999999999</v>
      </c>
      <c r="M164" s="6">
        <v>920.80799999999999</v>
      </c>
      <c r="N164" s="6">
        <v>920.80799999999999</v>
      </c>
      <c r="O164" s="6">
        <v>920.80799999999999</v>
      </c>
      <c r="P164" s="6">
        <v>0</v>
      </c>
      <c r="Q164" s="4" t="s">
        <v>26</v>
      </c>
      <c r="R164" s="4">
        <v>0</v>
      </c>
      <c r="S164" s="6">
        <v>0</v>
      </c>
      <c r="T164" s="6">
        <v>14</v>
      </c>
      <c r="U164" s="6">
        <v>42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78.680000000000007</v>
      </c>
      <c r="X164" s="6">
        <f>IF(ISERROR(VLOOKUP($U$164,'TAR FIN'!$A$1:$O$86,15,0)),0,VLOOKUP($U$164,'TAR FIN'!$A$1:$O$86,15,0))</f>
        <v>246.3</v>
      </c>
      <c r="Y164" s="6"/>
      <c r="Z164" s="6">
        <f ca="1">('TUSD BE'!$AM$13+'TUSD BF'!$AM$13+'TUSD CVA'!$AM$13)*1</f>
        <v>100.23755694003805</v>
      </c>
      <c r="AA164" s="6">
        <f>('TE BE'!$AB$6+'TE BF'!$AB$6+'TE CVA'!$AB$6)*1</f>
        <v>219.40364509824883</v>
      </c>
      <c r="AB164" s="6">
        <f>$K$164*$V$164</f>
        <v>0</v>
      </c>
      <c r="AC164" s="6">
        <f>$M$164*$W$164</f>
        <v>72449.173439999999</v>
      </c>
      <c r="AD164" s="6">
        <f>$O$164*$X$164</f>
        <v>226795.0104</v>
      </c>
      <c r="AE164" s="6">
        <f>$K$164*$Y$164</f>
        <v>0</v>
      </c>
      <c r="AF164" s="6">
        <f ca="1">$M$164*$Z$164</f>
        <v>92299.54433084256</v>
      </c>
      <c r="AG164" s="6">
        <f>$O$164*$AA$164</f>
        <v>202028.63163562832</v>
      </c>
    </row>
    <row r="165" spans="1:33" ht="11.25" customHeight="1" x14ac:dyDescent="0.25">
      <c r="A165" s="4" t="s">
        <v>56</v>
      </c>
      <c r="B165" s="4" t="s">
        <v>38</v>
      </c>
      <c r="C165" s="4" t="s">
        <v>40</v>
      </c>
      <c r="D165" s="4" t="s">
        <v>41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44713</v>
      </c>
      <c r="J165" s="6">
        <v>0</v>
      </c>
      <c r="K165" s="6">
        <v>0</v>
      </c>
      <c r="L165" s="6">
        <v>5.8579999999999997</v>
      </c>
      <c r="M165" s="6">
        <v>5.8579999999999997</v>
      </c>
      <c r="N165" s="6">
        <v>5.8579999999999997</v>
      </c>
      <c r="O165" s="6">
        <v>5.8579999999999997</v>
      </c>
      <c r="P165" s="6">
        <v>0</v>
      </c>
      <c r="Q165" s="4" t="s">
        <v>26</v>
      </c>
      <c r="R165" s="4">
        <v>0</v>
      </c>
      <c r="S165" s="6">
        <v>0</v>
      </c>
      <c r="T165" s="6">
        <v>14</v>
      </c>
      <c r="U165" s="6">
        <v>42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78.680000000000007</v>
      </c>
      <c r="X165" s="6">
        <f>IF(ISERROR(VLOOKUP($U$165,'TAR FIN'!$A$1:$O$86,15,0)),0,VLOOKUP($U$165,'TAR FIN'!$A$1:$O$86,15,0))</f>
        <v>246.3</v>
      </c>
      <c r="Y165" s="6"/>
      <c r="Z165" s="6">
        <f ca="1">('TUSD BE'!$AM$13+'TUSD BF'!$AM$13+'TUSD CVA'!$AM$13)*1</f>
        <v>100.23755694003805</v>
      </c>
      <c r="AA165" s="6">
        <f>('TE BE'!$AB$6+'TE BF'!$AB$6+'TE CVA'!$AB$6)*1</f>
        <v>219.40364509824883</v>
      </c>
      <c r="AB165" s="6">
        <f>$K$165*$V$165</f>
        <v>0</v>
      </c>
      <c r="AC165" s="6">
        <f>$M$165*$W$165</f>
        <v>460.90744000000001</v>
      </c>
      <c r="AD165" s="6">
        <f>$O$165*$X$165</f>
        <v>1442.8253999999999</v>
      </c>
      <c r="AE165" s="6">
        <f>$K$165*$Y$165</f>
        <v>0</v>
      </c>
      <c r="AF165" s="6">
        <f ca="1">$M$165*$Z$165</f>
        <v>587.19160855474286</v>
      </c>
      <c r="AG165" s="6">
        <f>$O$165*$AA$165</f>
        <v>1285.2665529855415</v>
      </c>
    </row>
    <row r="166" spans="1:33" ht="11.25" customHeight="1" x14ac:dyDescent="0.25">
      <c r="A166" s="4" t="s">
        <v>21</v>
      </c>
      <c r="B166" s="4" t="s">
        <v>38</v>
      </c>
      <c r="C166" s="4" t="s">
        <v>40</v>
      </c>
      <c r="D166" s="4" t="s">
        <v>41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44378</v>
      </c>
      <c r="J166" s="6">
        <v>6871</v>
      </c>
      <c r="K166" s="6">
        <v>6871</v>
      </c>
      <c r="L166" s="6">
        <v>0</v>
      </c>
      <c r="M166" s="6">
        <v>0</v>
      </c>
      <c r="N166" s="6">
        <v>0</v>
      </c>
      <c r="O166" s="6">
        <v>0</v>
      </c>
      <c r="P166" s="6">
        <v>64</v>
      </c>
      <c r="Q166" s="4" t="s">
        <v>26</v>
      </c>
      <c r="R166" s="4">
        <v>0</v>
      </c>
      <c r="S166" s="6">
        <v>18</v>
      </c>
      <c r="T166" s="6">
        <v>0</v>
      </c>
      <c r="U166" s="6">
        <v>0</v>
      </c>
      <c r="V166" s="6">
        <f>IF(ISERROR(VLOOKUP($S$166,'TAR FIN'!$A$1:$O$86,15,0)),0,VLOOKUP($S$166,'TAR FIN'!$A$1:$O$86,15,0))</f>
        <v>19.239999999999998</v>
      </c>
      <c r="W166" s="6">
        <f>IF(ISERROR(VLOOKUP($T$166,'TAR FIN'!$A$1:$O$86,15,0)),0,VLOOKUP($T$166,'TAR FIN'!$A$1:$O$86,15,0))</f>
        <v>0</v>
      </c>
      <c r="X166" s="6">
        <f>IF(ISERROR(VLOOKUP($U$166,'TAR FIN'!$A$1:$O$86,15,0)),0,VLOOKUP($U$166,'TAR FIN'!$A$1:$O$86,15,0))</f>
        <v>0</v>
      </c>
      <c r="Y166" s="6">
        <f ca="1">('TUSD BE'!$AM$11+'TUSD BF'!$AM$11+'TUSD CVA'!$AM$11)*1</f>
        <v>15.19295792072058</v>
      </c>
      <c r="Z166" s="6"/>
      <c r="AA166" s="6"/>
      <c r="AB166" s="6">
        <f>$K$166*$V$166</f>
        <v>132198.03999999998</v>
      </c>
      <c r="AC166" s="6">
        <f>$M$166*$W$166</f>
        <v>0</v>
      </c>
      <c r="AD166" s="6">
        <f>$O$166*$X$166</f>
        <v>0</v>
      </c>
      <c r="AE166" s="6">
        <f ca="1">$K$166*$Y$166</f>
        <v>104390.81387327111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38</v>
      </c>
      <c r="C167" s="4" t="s">
        <v>40</v>
      </c>
      <c r="D167" s="4" t="s">
        <v>41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44409</v>
      </c>
      <c r="J167" s="6">
        <v>6365</v>
      </c>
      <c r="K167" s="6">
        <v>6365</v>
      </c>
      <c r="L167" s="6">
        <v>0</v>
      </c>
      <c r="M167" s="6">
        <v>0</v>
      </c>
      <c r="N167" s="6">
        <v>0</v>
      </c>
      <c r="O167" s="6">
        <v>0</v>
      </c>
      <c r="P167" s="6">
        <v>64</v>
      </c>
      <c r="Q167" s="4" t="s">
        <v>26</v>
      </c>
      <c r="R167" s="4">
        <v>0</v>
      </c>
      <c r="S167" s="6">
        <v>18</v>
      </c>
      <c r="T167" s="6">
        <v>0</v>
      </c>
      <c r="U167" s="6">
        <v>0</v>
      </c>
      <c r="V167" s="6">
        <f>IF(ISERROR(VLOOKUP($S$167,'TAR FIN'!$A$1:$O$86,15,0)),0,VLOOKUP($S$167,'TAR FIN'!$A$1:$O$86,15,0))</f>
        <v>19.239999999999998</v>
      </c>
      <c r="W167" s="6">
        <f>IF(ISERROR(VLOOKUP($T$167,'TAR FIN'!$A$1:$O$86,15,0)),0,VLOOKUP($T$167,'TAR FIN'!$A$1:$O$86,15,0))</f>
        <v>0</v>
      </c>
      <c r="X167" s="6">
        <f>IF(ISERROR(VLOOKUP($U$167,'TAR FIN'!$A$1:$O$86,15,0)),0,VLOOKUP($U$167,'TAR FIN'!$A$1:$O$86,15,0))</f>
        <v>0</v>
      </c>
      <c r="Y167" s="6">
        <f ca="1">('TUSD BE'!$AM$11+'TUSD BF'!$AM$11+'TUSD CVA'!$AM$11)*1</f>
        <v>15.19295792072058</v>
      </c>
      <c r="Z167" s="6"/>
      <c r="AA167" s="6"/>
      <c r="AB167" s="6">
        <f>$K$167*$V$167</f>
        <v>122462.59999999999</v>
      </c>
      <c r="AC167" s="6">
        <f>$M$167*$W$167</f>
        <v>0</v>
      </c>
      <c r="AD167" s="6">
        <f>$O$167*$X$167</f>
        <v>0</v>
      </c>
      <c r="AE167" s="6">
        <f ca="1">$K$167*$Y$167</f>
        <v>96703.1771653865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38</v>
      </c>
      <c r="C168" s="4" t="s">
        <v>40</v>
      </c>
      <c r="D168" s="4" t="s">
        <v>41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44440</v>
      </c>
      <c r="J168" s="6">
        <v>6236</v>
      </c>
      <c r="K168" s="6">
        <v>6236</v>
      </c>
      <c r="L168" s="6">
        <v>0</v>
      </c>
      <c r="M168" s="6">
        <v>0</v>
      </c>
      <c r="N168" s="6">
        <v>0</v>
      </c>
      <c r="O168" s="6">
        <v>0</v>
      </c>
      <c r="P168" s="6">
        <v>64</v>
      </c>
      <c r="Q168" s="4" t="s">
        <v>26</v>
      </c>
      <c r="R168" s="4">
        <v>0</v>
      </c>
      <c r="S168" s="6">
        <v>18</v>
      </c>
      <c r="T168" s="6">
        <v>0</v>
      </c>
      <c r="U168" s="6">
        <v>0</v>
      </c>
      <c r="V168" s="6">
        <f>IF(ISERROR(VLOOKUP($S$168,'TAR FIN'!$A$1:$O$86,15,0)),0,VLOOKUP($S$168,'TAR FIN'!$A$1:$O$86,15,0))</f>
        <v>19.239999999999998</v>
      </c>
      <c r="W168" s="6">
        <f>IF(ISERROR(VLOOKUP($T$168,'TAR FIN'!$A$1:$O$86,15,0)),0,VLOOKUP($T$168,'TAR FIN'!$A$1:$O$86,15,0))</f>
        <v>0</v>
      </c>
      <c r="X168" s="6">
        <f>IF(ISERROR(VLOOKUP($U$168,'TAR FIN'!$A$1:$O$86,15,0)),0,VLOOKUP($U$168,'TAR FIN'!$A$1:$O$86,15,0))</f>
        <v>0</v>
      </c>
      <c r="Y168" s="6">
        <f ca="1">('TUSD BE'!$AM$11+'TUSD BF'!$AM$11+'TUSD CVA'!$AM$11)*1</f>
        <v>15.19295792072058</v>
      </c>
      <c r="Z168" s="6"/>
      <c r="AA168" s="6"/>
      <c r="AB168" s="6">
        <f>$K$168*$V$168</f>
        <v>119980.63999999998</v>
      </c>
      <c r="AC168" s="6">
        <f>$M$168*$W$168</f>
        <v>0</v>
      </c>
      <c r="AD168" s="6">
        <f>$O$168*$X$168</f>
        <v>0</v>
      </c>
      <c r="AE168" s="6">
        <f ca="1">$K$168*$Y$168</f>
        <v>94743.285593613546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38</v>
      </c>
      <c r="C169" s="4" t="s">
        <v>40</v>
      </c>
      <c r="D169" s="4" t="s">
        <v>41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44470</v>
      </c>
      <c r="J169" s="6">
        <v>6694</v>
      </c>
      <c r="K169" s="6">
        <v>6694</v>
      </c>
      <c r="L169" s="6">
        <v>0</v>
      </c>
      <c r="M169" s="6">
        <v>0</v>
      </c>
      <c r="N169" s="6">
        <v>0</v>
      </c>
      <c r="O169" s="6">
        <v>0</v>
      </c>
      <c r="P169" s="6">
        <v>63</v>
      </c>
      <c r="Q169" s="4" t="s">
        <v>26</v>
      </c>
      <c r="R169" s="4">
        <v>0</v>
      </c>
      <c r="S169" s="6">
        <v>18</v>
      </c>
      <c r="T169" s="6">
        <v>0</v>
      </c>
      <c r="U169" s="6">
        <v>0</v>
      </c>
      <c r="V169" s="6">
        <f>IF(ISERROR(VLOOKUP($S$169,'TAR FIN'!$A$1:$O$86,15,0)),0,VLOOKUP($S$169,'TAR FIN'!$A$1:$O$86,15,0))</f>
        <v>19.239999999999998</v>
      </c>
      <c r="W169" s="6">
        <f>IF(ISERROR(VLOOKUP($T$169,'TAR FIN'!$A$1:$O$86,15,0)),0,VLOOKUP($T$169,'TAR FIN'!$A$1:$O$86,15,0))</f>
        <v>0</v>
      </c>
      <c r="X169" s="6">
        <f>IF(ISERROR(VLOOKUP($U$169,'TAR FIN'!$A$1:$O$86,15,0)),0,VLOOKUP($U$169,'TAR FIN'!$A$1:$O$86,15,0))</f>
        <v>0</v>
      </c>
      <c r="Y169" s="6">
        <f ca="1">('TUSD BE'!$AM$11+'TUSD BF'!$AM$11+'TUSD CVA'!$AM$11)*1</f>
        <v>15.19295792072058</v>
      </c>
      <c r="Z169" s="6"/>
      <c r="AA169" s="6"/>
      <c r="AB169" s="6">
        <f>$K$169*$V$169</f>
        <v>128792.55999999998</v>
      </c>
      <c r="AC169" s="6">
        <f>$M$169*$W$169</f>
        <v>0</v>
      </c>
      <c r="AD169" s="6">
        <f>$O$169*$X$169</f>
        <v>0</v>
      </c>
      <c r="AE169" s="6">
        <f ca="1">$K$169*$Y$169</f>
        <v>101701.66032130357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38</v>
      </c>
      <c r="C170" s="4" t="s">
        <v>40</v>
      </c>
      <c r="D170" s="4" t="s">
        <v>41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44501</v>
      </c>
      <c r="J170" s="6">
        <v>7286</v>
      </c>
      <c r="K170" s="6">
        <v>7286</v>
      </c>
      <c r="L170" s="6">
        <v>0</v>
      </c>
      <c r="M170" s="6">
        <v>0</v>
      </c>
      <c r="N170" s="6">
        <v>0</v>
      </c>
      <c r="O170" s="6">
        <v>0</v>
      </c>
      <c r="P170" s="6">
        <v>63</v>
      </c>
      <c r="Q170" s="4" t="s">
        <v>26</v>
      </c>
      <c r="R170" s="4">
        <v>0</v>
      </c>
      <c r="S170" s="6">
        <v>18</v>
      </c>
      <c r="T170" s="6">
        <v>0</v>
      </c>
      <c r="U170" s="6">
        <v>0</v>
      </c>
      <c r="V170" s="6">
        <f>IF(ISERROR(VLOOKUP($S$170,'TAR FIN'!$A$1:$O$86,15,0)),0,VLOOKUP($S$170,'TAR FIN'!$A$1:$O$86,15,0))</f>
        <v>19.239999999999998</v>
      </c>
      <c r="W170" s="6">
        <f>IF(ISERROR(VLOOKUP($T$170,'TAR FIN'!$A$1:$O$86,15,0)),0,VLOOKUP($T$170,'TAR FIN'!$A$1:$O$86,15,0))</f>
        <v>0</v>
      </c>
      <c r="X170" s="6">
        <f>IF(ISERROR(VLOOKUP($U$170,'TAR FIN'!$A$1:$O$86,15,0)),0,VLOOKUP($U$170,'TAR FIN'!$A$1:$O$86,15,0))</f>
        <v>0</v>
      </c>
      <c r="Y170" s="6">
        <f ca="1">('TUSD BE'!$AM$11+'TUSD BF'!$AM$11+'TUSD CVA'!$AM$11)*1</f>
        <v>15.19295792072058</v>
      </c>
      <c r="Z170" s="6"/>
      <c r="AA170" s="6"/>
      <c r="AB170" s="6">
        <f>$K$170*$V$170</f>
        <v>140182.63999999998</v>
      </c>
      <c r="AC170" s="6">
        <f>$M$170*$W$170</f>
        <v>0</v>
      </c>
      <c r="AD170" s="6">
        <f>$O$170*$X$170</f>
        <v>0</v>
      </c>
      <c r="AE170" s="6">
        <f ca="1">$K$170*$Y$170</f>
        <v>110695.89141037015</v>
      </c>
      <c r="AF170" s="6">
        <f>$M$170*$Z$170</f>
        <v>0</v>
      </c>
      <c r="AG170" s="6">
        <f>$O$170*$AA$170</f>
        <v>0</v>
      </c>
    </row>
    <row r="171" spans="1:33" ht="11.25" customHeight="1" x14ac:dyDescent="0.25">
      <c r="A171" s="4" t="s">
        <v>55</v>
      </c>
      <c r="B171" s="4" t="s">
        <v>38</v>
      </c>
      <c r="C171" s="4" t="s">
        <v>40</v>
      </c>
      <c r="D171" s="4" t="s">
        <v>41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44501</v>
      </c>
      <c r="J171" s="6">
        <v>93</v>
      </c>
      <c r="K171" s="6">
        <v>93</v>
      </c>
      <c r="L171" s="6">
        <v>0</v>
      </c>
      <c r="M171" s="6">
        <v>0</v>
      </c>
      <c r="N171" s="6">
        <v>0</v>
      </c>
      <c r="O171" s="6">
        <v>0</v>
      </c>
      <c r="P171" s="6">
        <v>1</v>
      </c>
      <c r="Q171" s="4" t="s">
        <v>26</v>
      </c>
      <c r="R171" s="4">
        <v>0</v>
      </c>
      <c r="S171" s="6">
        <v>18</v>
      </c>
      <c r="T171" s="6">
        <v>0</v>
      </c>
      <c r="U171" s="6">
        <v>0</v>
      </c>
      <c r="V171" s="6">
        <f>IF(ISERROR(VLOOKUP($S$171,'TAR FIN'!$A$1:$O$86,15,0)),0,VLOOKUP($S$171,'TAR FIN'!$A$1:$O$86,15,0))</f>
        <v>19.239999999999998</v>
      </c>
      <c r="W171" s="6">
        <f>IF(ISERROR(VLOOKUP($T$171,'TAR FIN'!$A$1:$O$86,15,0)),0,VLOOKUP($T$171,'TAR FIN'!$A$1:$O$86,15,0))</f>
        <v>0</v>
      </c>
      <c r="X171" s="6">
        <f>IF(ISERROR(VLOOKUP($U$171,'TAR FIN'!$A$1:$O$86,15,0)),0,VLOOKUP($U$171,'TAR FIN'!$A$1:$O$86,15,0))</f>
        <v>0</v>
      </c>
      <c r="Y171" s="6">
        <f ca="1">('TUSD BE'!$AM$11+'TUSD BF'!$AM$11+'TUSD CVA'!$AM$11)*1</f>
        <v>15.19295792072058</v>
      </c>
      <c r="Z171" s="6"/>
      <c r="AA171" s="6"/>
      <c r="AB171" s="6">
        <f>$K$171*$V$171</f>
        <v>1789.32</v>
      </c>
      <c r="AC171" s="6">
        <f>$M$171*$W$171</f>
        <v>0</v>
      </c>
      <c r="AD171" s="6">
        <f>$O$171*$X$171</f>
        <v>0</v>
      </c>
      <c r="AE171" s="6">
        <f ca="1">$K$171*$Y$171</f>
        <v>1412.945086627014</v>
      </c>
      <c r="AF171" s="6">
        <f>$M$171*$Z$171</f>
        <v>0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38</v>
      </c>
      <c r="C172" s="4" t="s">
        <v>40</v>
      </c>
      <c r="D172" s="4" t="s">
        <v>41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44531</v>
      </c>
      <c r="J172" s="6">
        <v>6333</v>
      </c>
      <c r="K172" s="6">
        <v>6333</v>
      </c>
      <c r="L172" s="6">
        <v>0</v>
      </c>
      <c r="M172" s="6">
        <v>0</v>
      </c>
      <c r="N172" s="6">
        <v>0</v>
      </c>
      <c r="O172" s="6">
        <v>0</v>
      </c>
      <c r="P172" s="6">
        <v>64</v>
      </c>
      <c r="Q172" s="4" t="s">
        <v>26</v>
      </c>
      <c r="R172" s="4">
        <v>0</v>
      </c>
      <c r="S172" s="6">
        <v>18</v>
      </c>
      <c r="T172" s="6">
        <v>0</v>
      </c>
      <c r="U172" s="6">
        <v>0</v>
      </c>
      <c r="V172" s="6">
        <f>IF(ISERROR(VLOOKUP($S$172,'TAR FIN'!$A$1:$O$86,15,0)),0,VLOOKUP($S$172,'TAR FIN'!$A$1:$O$86,15,0))</f>
        <v>19.239999999999998</v>
      </c>
      <c r="W172" s="6">
        <f>IF(ISERROR(VLOOKUP($T$172,'TAR FIN'!$A$1:$O$86,15,0)),0,VLOOKUP($T$172,'TAR FIN'!$A$1:$O$86,15,0))</f>
        <v>0</v>
      </c>
      <c r="X172" s="6">
        <f>IF(ISERROR(VLOOKUP($U$172,'TAR FIN'!$A$1:$O$86,15,0)),0,VLOOKUP($U$172,'TAR FIN'!$A$1:$O$86,15,0))</f>
        <v>0</v>
      </c>
      <c r="Y172" s="6">
        <f ca="1">('TUSD BE'!$AM$11+'TUSD BF'!$AM$11+'TUSD CVA'!$AM$11)*1</f>
        <v>15.19295792072058</v>
      </c>
      <c r="Z172" s="6"/>
      <c r="AA172" s="6"/>
      <c r="AB172" s="6">
        <f>$K$172*$V$172</f>
        <v>121846.91999999998</v>
      </c>
      <c r="AC172" s="6">
        <f>$M$172*$W$172</f>
        <v>0</v>
      </c>
      <c r="AD172" s="6">
        <f>$O$172*$X$172</f>
        <v>0</v>
      </c>
      <c r="AE172" s="6">
        <f ca="1">$K$172*$Y$172</f>
        <v>96217.002511923434</v>
      </c>
      <c r="AF172" s="6">
        <f>$M$172*$Z$172</f>
        <v>0</v>
      </c>
      <c r="AG172" s="6">
        <f>$O$172*$AA$172</f>
        <v>0</v>
      </c>
    </row>
    <row r="173" spans="1:33" ht="11.25" customHeight="1" x14ac:dyDescent="0.25">
      <c r="A173" s="4" t="s">
        <v>55</v>
      </c>
      <c r="B173" s="4" t="s">
        <v>38</v>
      </c>
      <c r="C173" s="4" t="s">
        <v>40</v>
      </c>
      <c r="D173" s="4" t="s">
        <v>41</v>
      </c>
      <c r="E173" s="4" t="s">
        <v>25</v>
      </c>
      <c r="F173" s="4" t="s">
        <v>25</v>
      </c>
      <c r="G173" s="4" t="s">
        <v>25</v>
      </c>
      <c r="H173" s="4" t="s">
        <v>25</v>
      </c>
      <c r="I173" s="5">
        <v>44531</v>
      </c>
      <c r="J173" s="6">
        <v>221</v>
      </c>
      <c r="K173" s="6">
        <v>221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4" t="s">
        <v>26</v>
      </c>
      <c r="R173" s="4">
        <v>0</v>
      </c>
      <c r="S173" s="6">
        <v>18</v>
      </c>
      <c r="T173" s="6">
        <v>0</v>
      </c>
      <c r="U173" s="6">
        <v>0</v>
      </c>
      <c r="V173" s="6">
        <f>IF(ISERROR(VLOOKUP($S$173,'TAR FIN'!$A$1:$O$86,15,0)),0,VLOOKUP($S$173,'TAR FIN'!$A$1:$O$86,15,0))</f>
        <v>19.239999999999998</v>
      </c>
      <c r="W173" s="6">
        <f>IF(ISERROR(VLOOKUP($T$173,'TAR FIN'!$A$1:$O$86,15,0)),0,VLOOKUP($T$173,'TAR FIN'!$A$1:$O$86,15,0))</f>
        <v>0</v>
      </c>
      <c r="X173" s="6">
        <f>IF(ISERROR(VLOOKUP($U$173,'TAR FIN'!$A$1:$O$86,15,0)),0,VLOOKUP($U$173,'TAR FIN'!$A$1:$O$86,15,0))</f>
        <v>0</v>
      </c>
      <c r="Y173" s="6">
        <f ca="1">('TUSD BE'!$AM$11+'TUSD BF'!$AM$11+'TUSD CVA'!$AM$11)*1</f>
        <v>15.19295792072058</v>
      </c>
      <c r="Z173" s="6"/>
      <c r="AA173" s="6"/>
      <c r="AB173" s="6">
        <f>$K$173*$V$173</f>
        <v>4252.04</v>
      </c>
      <c r="AC173" s="6">
        <f>$M$173*$W$173</f>
        <v>0</v>
      </c>
      <c r="AD173" s="6">
        <f>$O$173*$X$173</f>
        <v>0</v>
      </c>
      <c r="AE173" s="6">
        <f ca="1">$K$173*$Y$173</f>
        <v>3357.6437004792483</v>
      </c>
      <c r="AF173" s="6">
        <f>$M$173*$Z$173</f>
        <v>0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38</v>
      </c>
      <c r="C174" s="4" t="s">
        <v>40</v>
      </c>
      <c r="D174" s="4" t="s">
        <v>41</v>
      </c>
      <c r="E174" s="4" t="s">
        <v>25</v>
      </c>
      <c r="F174" s="4" t="s">
        <v>25</v>
      </c>
      <c r="G174" s="4" t="s">
        <v>25</v>
      </c>
      <c r="H174" s="4" t="s">
        <v>25</v>
      </c>
      <c r="I174" s="5">
        <v>44562</v>
      </c>
      <c r="J174" s="6">
        <v>6823</v>
      </c>
      <c r="K174" s="6">
        <v>6823</v>
      </c>
      <c r="L174" s="6">
        <v>0</v>
      </c>
      <c r="M174" s="6">
        <v>0</v>
      </c>
      <c r="N174" s="6">
        <v>0</v>
      </c>
      <c r="O174" s="6">
        <v>0</v>
      </c>
      <c r="P174" s="6">
        <v>62</v>
      </c>
      <c r="Q174" s="4" t="s">
        <v>26</v>
      </c>
      <c r="R174" s="4">
        <v>0</v>
      </c>
      <c r="S174" s="6">
        <v>18</v>
      </c>
      <c r="T174" s="6">
        <v>0</v>
      </c>
      <c r="U174" s="6">
        <v>0</v>
      </c>
      <c r="V174" s="6">
        <f>IF(ISERROR(VLOOKUP($S$174,'TAR FIN'!$A$1:$O$86,15,0)),0,VLOOKUP($S$174,'TAR FIN'!$A$1:$O$86,15,0))</f>
        <v>19.239999999999998</v>
      </c>
      <c r="W174" s="6">
        <f>IF(ISERROR(VLOOKUP($T$174,'TAR FIN'!$A$1:$O$86,15,0)),0,VLOOKUP($T$174,'TAR FIN'!$A$1:$O$86,15,0))</f>
        <v>0</v>
      </c>
      <c r="X174" s="6">
        <f>IF(ISERROR(VLOOKUP($U$174,'TAR FIN'!$A$1:$O$86,15,0)),0,VLOOKUP($U$174,'TAR FIN'!$A$1:$O$86,15,0))</f>
        <v>0</v>
      </c>
      <c r="Y174" s="6">
        <f ca="1">('TUSD BE'!$AM$11+'TUSD BF'!$AM$11+'TUSD CVA'!$AM$11)*1</f>
        <v>15.19295792072058</v>
      </c>
      <c r="Z174" s="6"/>
      <c r="AA174" s="6"/>
      <c r="AB174" s="6">
        <f>$K$174*$V$174</f>
        <v>131274.51999999999</v>
      </c>
      <c r="AC174" s="6">
        <f>$M$174*$W$174</f>
        <v>0</v>
      </c>
      <c r="AD174" s="6">
        <f>$O$174*$X$174</f>
        <v>0</v>
      </c>
      <c r="AE174" s="6">
        <f ca="1">$K$174*$Y$174</f>
        <v>103661.55189307652</v>
      </c>
      <c r="AF174" s="6">
        <f>$M$174*$Z$174</f>
        <v>0</v>
      </c>
      <c r="AG174" s="6">
        <f>$O$174*$AA$174</f>
        <v>0</v>
      </c>
    </row>
    <row r="175" spans="1:33" ht="11.25" customHeight="1" x14ac:dyDescent="0.25">
      <c r="A175" s="4" t="s">
        <v>55</v>
      </c>
      <c r="B175" s="4" t="s">
        <v>38</v>
      </c>
      <c r="C175" s="4" t="s">
        <v>40</v>
      </c>
      <c r="D175" s="4" t="s">
        <v>41</v>
      </c>
      <c r="E175" s="4" t="s">
        <v>25</v>
      </c>
      <c r="F175" s="4" t="s">
        <v>25</v>
      </c>
      <c r="G175" s="4" t="s">
        <v>25</v>
      </c>
      <c r="H175" s="4" t="s">
        <v>25</v>
      </c>
      <c r="I175" s="5">
        <v>44562</v>
      </c>
      <c r="J175" s="6">
        <v>1678</v>
      </c>
      <c r="K175" s="6">
        <v>1678</v>
      </c>
      <c r="L175" s="6">
        <v>0</v>
      </c>
      <c r="M175" s="6">
        <v>0</v>
      </c>
      <c r="N175" s="6">
        <v>0</v>
      </c>
      <c r="O175" s="6">
        <v>0</v>
      </c>
      <c r="P175" s="6">
        <v>3</v>
      </c>
      <c r="Q175" s="4" t="s">
        <v>26</v>
      </c>
      <c r="R175" s="4">
        <v>0</v>
      </c>
      <c r="S175" s="6">
        <v>18</v>
      </c>
      <c r="T175" s="6">
        <v>0</v>
      </c>
      <c r="U175" s="6">
        <v>0</v>
      </c>
      <c r="V175" s="6">
        <f>IF(ISERROR(VLOOKUP($S$175,'TAR FIN'!$A$1:$O$86,15,0)),0,VLOOKUP($S$175,'TAR FIN'!$A$1:$O$86,15,0))</f>
        <v>19.239999999999998</v>
      </c>
      <c r="W175" s="6">
        <f>IF(ISERROR(VLOOKUP($T$175,'TAR FIN'!$A$1:$O$86,15,0)),0,VLOOKUP($T$175,'TAR FIN'!$A$1:$O$86,15,0))</f>
        <v>0</v>
      </c>
      <c r="X175" s="6">
        <f>IF(ISERROR(VLOOKUP($U$175,'TAR FIN'!$A$1:$O$86,15,0)),0,VLOOKUP($U$175,'TAR FIN'!$A$1:$O$86,15,0))</f>
        <v>0</v>
      </c>
      <c r="Y175" s="6">
        <f ca="1">('TUSD BE'!$AM$11+'TUSD BF'!$AM$11+'TUSD CVA'!$AM$11)*1</f>
        <v>15.19295792072058</v>
      </c>
      <c r="Z175" s="6"/>
      <c r="AA175" s="6"/>
      <c r="AB175" s="6">
        <f>$K$175*$V$175</f>
        <v>32284.719999999998</v>
      </c>
      <c r="AC175" s="6">
        <f>$M$175*$W$175</f>
        <v>0</v>
      </c>
      <c r="AD175" s="6">
        <f>$O$175*$X$175</f>
        <v>0</v>
      </c>
      <c r="AE175" s="6">
        <f ca="1">$K$175*$Y$175</f>
        <v>25493.783390969133</v>
      </c>
      <c r="AF175" s="6">
        <f>$M$175*$Z$175</f>
        <v>0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38</v>
      </c>
      <c r="C176" s="4" t="s">
        <v>40</v>
      </c>
      <c r="D176" s="4" t="s">
        <v>41</v>
      </c>
      <c r="E176" s="4" t="s">
        <v>25</v>
      </c>
      <c r="F176" s="4" t="s">
        <v>25</v>
      </c>
      <c r="G176" s="4" t="s">
        <v>25</v>
      </c>
      <c r="H176" s="4" t="s">
        <v>25</v>
      </c>
      <c r="I176" s="5">
        <v>44593</v>
      </c>
      <c r="J176" s="6">
        <v>6939</v>
      </c>
      <c r="K176" s="6">
        <v>6939</v>
      </c>
      <c r="L176" s="6">
        <v>0</v>
      </c>
      <c r="M176" s="6">
        <v>0</v>
      </c>
      <c r="N176" s="6">
        <v>0</v>
      </c>
      <c r="O176" s="6">
        <v>0</v>
      </c>
      <c r="P176" s="6">
        <v>57</v>
      </c>
      <c r="Q176" s="4" t="s">
        <v>26</v>
      </c>
      <c r="R176" s="4">
        <v>0</v>
      </c>
      <c r="S176" s="6">
        <v>18</v>
      </c>
      <c r="T176" s="6">
        <v>0</v>
      </c>
      <c r="U176" s="6">
        <v>0</v>
      </c>
      <c r="V176" s="6">
        <f>IF(ISERROR(VLOOKUP($S$176,'TAR FIN'!$A$1:$O$86,15,0)),0,VLOOKUP($S$176,'TAR FIN'!$A$1:$O$86,15,0))</f>
        <v>19.239999999999998</v>
      </c>
      <c r="W176" s="6">
        <f>IF(ISERROR(VLOOKUP($T$176,'TAR FIN'!$A$1:$O$86,15,0)),0,VLOOKUP($T$176,'TAR FIN'!$A$1:$O$86,15,0))</f>
        <v>0</v>
      </c>
      <c r="X176" s="6">
        <f>IF(ISERROR(VLOOKUP($U$176,'TAR FIN'!$A$1:$O$86,15,0)),0,VLOOKUP($U$176,'TAR FIN'!$A$1:$O$86,15,0))</f>
        <v>0</v>
      </c>
      <c r="Y176" s="6">
        <f ca="1">('TUSD BE'!$AM$11+'TUSD BF'!$AM$11+'TUSD CVA'!$AM$11)*1</f>
        <v>15.19295792072058</v>
      </c>
      <c r="Z176" s="6"/>
      <c r="AA176" s="6"/>
      <c r="AB176" s="6">
        <f>$K$176*$V$176</f>
        <v>133506.35999999999</v>
      </c>
      <c r="AC176" s="6">
        <f>$M$176*$W$176</f>
        <v>0</v>
      </c>
      <c r="AD176" s="6">
        <f>$O$176*$X$176</f>
        <v>0</v>
      </c>
      <c r="AE176" s="6">
        <f ca="1">$K$176*$Y$176</f>
        <v>105423.93501188011</v>
      </c>
      <c r="AF176" s="6">
        <f>$M$176*$Z$176</f>
        <v>0</v>
      </c>
      <c r="AG176" s="6">
        <f>$O$176*$AA$176</f>
        <v>0</v>
      </c>
    </row>
    <row r="177" spans="1:33" ht="11.25" customHeight="1" x14ac:dyDescent="0.25">
      <c r="A177" s="4" t="s">
        <v>55</v>
      </c>
      <c r="B177" s="4" t="s">
        <v>38</v>
      </c>
      <c r="C177" s="4" t="s">
        <v>40</v>
      </c>
      <c r="D177" s="4" t="s">
        <v>41</v>
      </c>
      <c r="E177" s="4" t="s">
        <v>25</v>
      </c>
      <c r="F177" s="4" t="s">
        <v>25</v>
      </c>
      <c r="G177" s="4" t="s">
        <v>25</v>
      </c>
      <c r="H177" s="4" t="s">
        <v>25</v>
      </c>
      <c r="I177" s="5">
        <v>44593</v>
      </c>
      <c r="J177" s="6">
        <v>2154</v>
      </c>
      <c r="K177" s="6">
        <v>2154</v>
      </c>
      <c r="L177" s="6">
        <v>0</v>
      </c>
      <c r="M177" s="6">
        <v>0</v>
      </c>
      <c r="N177" s="6">
        <v>0</v>
      </c>
      <c r="O177" s="6">
        <v>0</v>
      </c>
      <c r="P177" s="6">
        <v>8</v>
      </c>
      <c r="Q177" s="4" t="s">
        <v>26</v>
      </c>
      <c r="R177" s="4">
        <v>0</v>
      </c>
      <c r="S177" s="6">
        <v>18</v>
      </c>
      <c r="T177" s="6">
        <v>0</v>
      </c>
      <c r="U177" s="6">
        <v>0</v>
      </c>
      <c r="V177" s="6">
        <f>IF(ISERROR(VLOOKUP($S$177,'TAR FIN'!$A$1:$O$86,15,0)),0,VLOOKUP($S$177,'TAR FIN'!$A$1:$O$86,15,0))</f>
        <v>19.239999999999998</v>
      </c>
      <c r="W177" s="6">
        <f>IF(ISERROR(VLOOKUP($T$177,'TAR FIN'!$A$1:$O$86,15,0)),0,VLOOKUP($T$177,'TAR FIN'!$A$1:$O$86,15,0))</f>
        <v>0</v>
      </c>
      <c r="X177" s="6">
        <f>IF(ISERROR(VLOOKUP($U$177,'TAR FIN'!$A$1:$O$86,15,0)),0,VLOOKUP($U$177,'TAR FIN'!$A$1:$O$86,15,0))</f>
        <v>0</v>
      </c>
      <c r="Y177" s="6">
        <f ca="1">('TUSD BE'!$AM$11+'TUSD BF'!$AM$11+'TUSD CVA'!$AM$11)*1</f>
        <v>15.19295792072058</v>
      </c>
      <c r="Z177" s="6"/>
      <c r="AA177" s="6"/>
      <c r="AB177" s="6">
        <f>$K$177*$V$177</f>
        <v>41442.959999999999</v>
      </c>
      <c r="AC177" s="6">
        <f>$M$177*$W$177</f>
        <v>0</v>
      </c>
      <c r="AD177" s="6">
        <f>$O$177*$X$177</f>
        <v>0</v>
      </c>
      <c r="AE177" s="6">
        <f ca="1">$K$177*$Y$177</f>
        <v>32725.631361232132</v>
      </c>
      <c r="AF177" s="6">
        <f>$M$177*$Z$177</f>
        <v>0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38</v>
      </c>
      <c r="C178" s="4" t="s">
        <v>40</v>
      </c>
      <c r="D178" s="4" t="s">
        <v>41</v>
      </c>
      <c r="E178" s="4" t="s">
        <v>25</v>
      </c>
      <c r="F178" s="4" t="s">
        <v>25</v>
      </c>
      <c r="G178" s="4" t="s">
        <v>25</v>
      </c>
      <c r="H178" s="4" t="s">
        <v>25</v>
      </c>
      <c r="I178" s="5">
        <v>44621</v>
      </c>
      <c r="J178" s="6">
        <v>6755</v>
      </c>
      <c r="K178" s="6">
        <v>6755</v>
      </c>
      <c r="L178" s="6">
        <v>0</v>
      </c>
      <c r="M178" s="6">
        <v>0</v>
      </c>
      <c r="N178" s="6">
        <v>0</v>
      </c>
      <c r="O178" s="6">
        <v>0</v>
      </c>
      <c r="P178" s="6">
        <v>56</v>
      </c>
      <c r="Q178" s="4" t="s">
        <v>26</v>
      </c>
      <c r="R178" s="4">
        <v>0</v>
      </c>
      <c r="S178" s="6">
        <v>18</v>
      </c>
      <c r="T178" s="6">
        <v>0</v>
      </c>
      <c r="U178" s="6">
        <v>0</v>
      </c>
      <c r="V178" s="6">
        <f>IF(ISERROR(VLOOKUP($S$178,'TAR FIN'!$A$1:$O$86,15,0)),0,VLOOKUP($S$178,'TAR FIN'!$A$1:$O$86,15,0))</f>
        <v>19.239999999999998</v>
      </c>
      <c r="W178" s="6">
        <f>IF(ISERROR(VLOOKUP($T$178,'TAR FIN'!$A$1:$O$86,15,0)),0,VLOOKUP($T$178,'TAR FIN'!$A$1:$O$86,15,0))</f>
        <v>0</v>
      </c>
      <c r="X178" s="6">
        <f>IF(ISERROR(VLOOKUP($U$178,'TAR FIN'!$A$1:$O$86,15,0)),0,VLOOKUP($U$178,'TAR FIN'!$A$1:$O$86,15,0))</f>
        <v>0</v>
      </c>
      <c r="Y178" s="6">
        <f ca="1">('TUSD BE'!$AM$11+'TUSD BF'!$AM$11+'TUSD CVA'!$AM$11)*1</f>
        <v>15.19295792072058</v>
      </c>
      <c r="Z178" s="6"/>
      <c r="AA178" s="6"/>
      <c r="AB178" s="6">
        <f>$K$178*$V$178</f>
        <v>129966.19999999998</v>
      </c>
      <c r="AC178" s="6">
        <f>$M$178*$W$178</f>
        <v>0</v>
      </c>
      <c r="AD178" s="6">
        <f>$O$178*$X$178</f>
        <v>0</v>
      </c>
      <c r="AE178" s="6">
        <f ca="1">$K$178*$Y$178</f>
        <v>102628.43075446752</v>
      </c>
      <c r="AF178" s="6">
        <f>$M$178*$Z$178</f>
        <v>0</v>
      </c>
      <c r="AG178" s="6">
        <f>$O$178*$AA$178</f>
        <v>0</v>
      </c>
    </row>
    <row r="179" spans="1:33" ht="11.25" customHeight="1" x14ac:dyDescent="0.25">
      <c r="A179" s="4" t="s">
        <v>55</v>
      </c>
      <c r="B179" s="4" t="s">
        <v>38</v>
      </c>
      <c r="C179" s="4" t="s">
        <v>40</v>
      </c>
      <c r="D179" s="4" t="s">
        <v>41</v>
      </c>
      <c r="E179" s="4" t="s">
        <v>25</v>
      </c>
      <c r="F179" s="4" t="s">
        <v>25</v>
      </c>
      <c r="G179" s="4" t="s">
        <v>25</v>
      </c>
      <c r="H179" s="4" t="s">
        <v>25</v>
      </c>
      <c r="I179" s="5">
        <v>44621</v>
      </c>
      <c r="J179" s="6">
        <v>567</v>
      </c>
      <c r="K179" s="6">
        <v>567</v>
      </c>
      <c r="L179" s="6">
        <v>0</v>
      </c>
      <c r="M179" s="6">
        <v>0</v>
      </c>
      <c r="N179" s="6">
        <v>0</v>
      </c>
      <c r="O179" s="6">
        <v>0</v>
      </c>
      <c r="P179" s="6">
        <v>7</v>
      </c>
      <c r="Q179" s="4" t="s">
        <v>26</v>
      </c>
      <c r="R179" s="4">
        <v>0</v>
      </c>
      <c r="S179" s="6">
        <v>18</v>
      </c>
      <c r="T179" s="6">
        <v>0</v>
      </c>
      <c r="U179" s="6">
        <v>0</v>
      </c>
      <c r="V179" s="6">
        <f>IF(ISERROR(VLOOKUP($S$179,'TAR FIN'!$A$1:$O$86,15,0)),0,VLOOKUP($S$179,'TAR FIN'!$A$1:$O$86,15,0))</f>
        <v>19.239999999999998</v>
      </c>
      <c r="W179" s="6">
        <f>IF(ISERROR(VLOOKUP($T$179,'TAR FIN'!$A$1:$O$86,15,0)),0,VLOOKUP($T$179,'TAR FIN'!$A$1:$O$86,15,0))</f>
        <v>0</v>
      </c>
      <c r="X179" s="6">
        <f>IF(ISERROR(VLOOKUP($U$179,'TAR FIN'!$A$1:$O$86,15,0)),0,VLOOKUP($U$179,'TAR FIN'!$A$1:$O$86,15,0))</f>
        <v>0</v>
      </c>
      <c r="Y179" s="6">
        <f ca="1">('TUSD BE'!$AM$11+'TUSD BF'!$AM$11+'TUSD CVA'!$AM$11)*1</f>
        <v>15.19295792072058</v>
      </c>
      <c r="Z179" s="6"/>
      <c r="AA179" s="6"/>
      <c r="AB179" s="6">
        <f>$K$179*$V$179</f>
        <v>10909.08</v>
      </c>
      <c r="AC179" s="6">
        <f>$M$179*$W$179</f>
        <v>0</v>
      </c>
      <c r="AD179" s="6">
        <f>$O$179*$X$179</f>
        <v>0</v>
      </c>
      <c r="AE179" s="6">
        <f ca="1">$K$179*$Y$179</f>
        <v>8614.4071410485685</v>
      </c>
      <c r="AF179" s="6">
        <f>$M$179*$Z$179</f>
        <v>0</v>
      </c>
      <c r="AG179" s="6">
        <f>$O$179*$AA$179</f>
        <v>0</v>
      </c>
    </row>
    <row r="180" spans="1:33" ht="11.25" customHeight="1" x14ac:dyDescent="0.25">
      <c r="A180" s="4" t="s">
        <v>21</v>
      </c>
      <c r="B180" s="4" t="s">
        <v>38</v>
      </c>
      <c r="C180" s="4" t="s">
        <v>40</v>
      </c>
      <c r="D180" s="4" t="s">
        <v>41</v>
      </c>
      <c r="E180" s="4" t="s">
        <v>25</v>
      </c>
      <c r="F180" s="4" t="s">
        <v>25</v>
      </c>
      <c r="G180" s="4" t="s">
        <v>25</v>
      </c>
      <c r="H180" s="4" t="s">
        <v>25</v>
      </c>
      <c r="I180" s="5">
        <v>44652</v>
      </c>
      <c r="J180" s="6">
        <v>6850</v>
      </c>
      <c r="K180" s="6">
        <v>6850</v>
      </c>
      <c r="L180" s="6">
        <v>0</v>
      </c>
      <c r="M180" s="6">
        <v>0</v>
      </c>
      <c r="N180" s="6">
        <v>0</v>
      </c>
      <c r="O180" s="6">
        <v>0</v>
      </c>
      <c r="P180" s="6">
        <v>56</v>
      </c>
      <c r="Q180" s="4" t="s">
        <v>26</v>
      </c>
      <c r="R180" s="4">
        <v>0</v>
      </c>
      <c r="S180" s="6">
        <v>18</v>
      </c>
      <c r="T180" s="6">
        <v>0</v>
      </c>
      <c r="U180" s="6">
        <v>0</v>
      </c>
      <c r="V180" s="6">
        <f>IF(ISERROR(VLOOKUP($S$180,'TAR FIN'!$A$1:$O$86,15,0)),0,VLOOKUP($S$180,'TAR FIN'!$A$1:$O$86,15,0))</f>
        <v>19.239999999999998</v>
      </c>
      <c r="W180" s="6">
        <f>IF(ISERROR(VLOOKUP($T$180,'TAR FIN'!$A$1:$O$86,15,0)),0,VLOOKUP($T$180,'TAR FIN'!$A$1:$O$86,15,0))</f>
        <v>0</v>
      </c>
      <c r="X180" s="6">
        <f>IF(ISERROR(VLOOKUP($U$180,'TAR FIN'!$A$1:$O$86,15,0)),0,VLOOKUP($U$180,'TAR FIN'!$A$1:$O$86,15,0))</f>
        <v>0</v>
      </c>
      <c r="Y180" s="6">
        <f ca="1">('TUSD BE'!$AM$11+'TUSD BF'!$AM$11+'TUSD CVA'!$AM$11)*1</f>
        <v>15.19295792072058</v>
      </c>
      <c r="Z180" s="6"/>
      <c r="AA180" s="6"/>
      <c r="AB180" s="6">
        <f>$K$180*$V$180</f>
        <v>131794</v>
      </c>
      <c r="AC180" s="6">
        <f>$M$180*$W$180</f>
        <v>0</v>
      </c>
      <c r="AD180" s="6">
        <f>$O$180*$X$180</f>
        <v>0</v>
      </c>
      <c r="AE180" s="6">
        <f ca="1">$K$180*$Y$180</f>
        <v>104071.76175693597</v>
      </c>
      <c r="AF180" s="6">
        <f>$M$180*$Z$180</f>
        <v>0</v>
      </c>
      <c r="AG180" s="6">
        <f>$O$180*$AA$180</f>
        <v>0</v>
      </c>
    </row>
    <row r="181" spans="1:33" ht="11.25" customHeight="1" x14ac:dyDescent="0.25">
      <c r="A181" s="4" t="s">
        <v>55</v>
      </c>
      <c r="B181" s="4" t="s">
        <v>38</v>
      </c>
      <c r="C181" s="4" t="s">
        <v>40</v>
      </c>
      <c r="D181" s="4" t="s">
        <v>41</v>
      </c>
      <c r="E181" s="4" t="s">
        <v>25</v>
      </c>
      <c r="F181" s="4" t="s">
        <v>25</v>
      </c>
      <c r="G181" s="4" t="s">
        <v>25</v>
      </c>
      <c r="H181" s="4" t="s">
        <v>25</v>
      </c>
      <c r="I181" s="5">
        <v>44652</v>
      </c>
      <c r="J181" s="6">
        <v>611</v>
      </c>
      <c r="K181" s="6">
        <v>611</v>
      </c>
      <c r="L181" s="6">
        <v>0</v>
      </c>
      <c r="M181" s="6">
        <v>0</v>
      </c>
      <c r="N181" s="6">
        <v>0</v>
      </c>
      <c r="O181" s="6">
        <v>0</v>
      </c>
      <c r="P181" s="6">
        <v>7</v>
      </c>
      <c r="Q181" s="4" t="s">
        <v>26</v>
      </c>
      <c r="R181" s="4">
        <v>0</v>
      </c>
      <c r="S181" s="6">
        <v>18</v>
      </c>
      <c r="T181" s="6">
        <v>0</v>
      </c>
      <c r="U181" s="6">
        <v>0</v>
      </c>
      <c r="V181" s="6">
        <f>IF(ISERROR(VLOOKUP($S$181,'TAR FIN'!$A$1:$O$86,15,0)),0,VLOOKUP($S$181,'TAR FIN'!$A$1:$O$86,15,0))</f>
        <v>19.239999999999998</v>
      </c>
      <c r="W181" s="6">
        <f>IF(ISERROR(VLOOKUP($T$181,'TAR FIN'!$A$1:$O$86,15,0)),0,VLOOKUP($T$181,'TAR FIN'!$A$1:$O$86,15,0))</f>
        <v>0</v>
      </c>
      <c r="X181" s="6">
        <f>IF(ISERROR(VLOOKUP($U$181,'TAR FIN'!$A$1:$O$86,15,0)),0,VLOOKUP($U$181,'TAR FIN'!$A$1:$O$86,15,0))</f>
        <v>0</v>
      </c>
      <c r="Y181" s="6">
        <f ca="1">('TUSD BE'!$AM$11+'TUSD BF'!$AM$11+'TUSD CVA'!$AM$11)*1</f>
        <v>15.19295792072058</v>
      </c>
      <c r="Z181" s="6"/>
      <c r="AA181" s="6"/>
      <c r="AB181" s="6">
        <f>$K$181*$V$181</f>
        <v>11755.64</v>
      </c>
      <c r="AC181" s="6">
        <f>$M$181*$W$181</f>
        <v>0</v>
      </c>
      <c r="AD181" s="6">
        <f>$O$181*$X$181</f>
        <v>0</v>
      </c>
      <c r="AE181" s="6">
        <f ca="1">$K$181*$Y$181</f>
        <v>9282.8972895602747</v>
      </c>
      <c r="AF181" s="6">
        <f>$M$181*$Z$181</f>
        <v>0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38</v>
      </c>
      <c r="C182" s="4" t="s">
        <v>40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44682</v>
      </c>
      <c r="J182" s="6">
        <v>6462</v>
      </c>
      <c r="K182" s="6">
        <v>6462</v>
      </c>
      <c r="L182" s="6">
        <v>0</v>
      </c>
      <c r="M182" s="6">
        <v>0</v>
      </c>
      <c r="N182" s="6">
        <v>0</v>
      </c>
      <c r="O182" s="6">
        <v>0</v>
      </c>
      <c r="P182" s="6">
        <v>56</v>
      </c>
      <c r="Q182" s="4" t="s">
        <v>26</v>
      </c>
      <c r="R182" s="4">
        <v>0</v>
      </c>
      <c r="S182" s="6">
        <v>18</v>
      </c>
      <c r="T182" s="6">
        <v>0</v>
      </c>
      <c r="U182" s="6">
        <v>0</v>
      </c>
      <c r="V182" s="6">
        <f>IF(ISERROR(VLOOKUP($S$182,'TAR FIN'!$A$1:$O$86,15,0)),0,VLOOKUP($S$182,'TAR FIN'!$A$1:$O$86,15,0))</f>
        <v>19.239999999999998</v>
      </c>
      <c r="W182" s="6">
        <f>IF(ISERROR(VLOOKUP($T$182,'TAR FIN'!$A$1:$O$86,15,0)),0,VLOOKUP($T$182,'TAR FIN'!$A$1:$O$86,15,0))</f>
        <v>0</v>
      </c>
      <c r="X182" s="6">
        <f>IF(ISERROR(VLOOKUP($U$182,'TAR FIN'!$A$1:$O$86,15,0)),0,VLOOKUP($U$182,'TAR FIN'!$A$1:$O$86,15,0))</f>
        <v>0</v>
      </c>
      <c r="Y182" s="6">
        <f ca="1">('TUSD BE'!$AM$11+'TUSD BF'!$AM$11+'TUSD CVA'!$AM$11)*1</f>
        <v>15.19295792072058</v>
      </c>
      <c r="Z182" s="6"/>
      <c r="AA182" s="6"/>
      <c r="AB182" s="6">
        <f>$K$182*$V$182</f>
        <v>124328.87999999999</v>
      </c>
      <c r="AC182" s="6">
        <f>$M$182*$W$182</f>
        <v>0</v>
      </c>
      <c r="AD182" s="6">
        <f>$O$182*$X$182</f>
        <v>0</v>
      </c>
      <c r="AE182" s="6">
        <f ca="1">$K$182*$Y$182</f>
        <v>98176.894083696388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55</v>
      </c>
      <c r="B183" s="4" t="s">
        <v>38</v>
      </c>
      <c r="C183" s="4" t="s">
        <v>40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44682</v>
      </c>
      <c r="J183" s="6">
        <v>556</v>
      </c>
      <c r="K183" s="6">
        <v>556</v>
      </c>
      <c r="L183" s="6">
        <v>0</v>
      </c>
      <c r="M183" s="6">
        <v>0</v>
      </c>
      <c r="N183" s="6">
        <v>0</v>
      </c>
      <c r="O183" s="6">
        <v>0</v>
      </c>
      <c r="P183" s="6">
        <v>7</v>
      </c>
      <c r="Q183" s="4" t="s">
        <v>26</v>
      </c>
      <c r="R183" s="4">
        <v>0</v>
      </c>
      <c r="S183" s="6">
        <v>18</v>
      </c>
      <c r="T183" s="6">
        <v>0</v>
      </c>
      <c r="U183" s="6">
        <v>0</v>
      </c>
      <c r="V183" s="6">
        <f>IF(ISERROR(VLOOKUP($S$183,'TAR FIN'!$A$1:$O$86,15,0)),0,VLOOKUP($S$183,'TAR FIN'!$A$1:$O$86,15,0))</f>
        <v>19.239999999999998</v>
      </c>
      <c r="W183" s="6">
        <f>IF(ISERROR(VLOOKUP($T$183,'TAR FIN'!$A$1:$O$86,15,0)),0,VLOOKUP($T$183,'TAR FIN'!$A$1:$O$86,15,0))</f>
        <v>0</v>
      </c>
      <c r="X183" s="6">
        <f>IF(ISERROR(VLOOKUP($U$183,'TAR FIN'!$A$1:$O$86,15,0)),0,VLOOKUP($U$183,'TAR FIN'!$A$1:$O$86,15,0))</f>
        <v>0</v>
      </c>
      <c r="Y183" s="6">
        <f ca="1">('TUSD BE'!$AM$11+'TUSD BF'!$AM$11+'TUSD CVA'!$AM$11)*1</f>
        <v>15.19295792072058</v>
      </c>
      <c r="Z183" s="6"/>
      <c r="AA183" s="6"/>
      <c r="AB183" s="6">
        <f>$K$183*$V$183</f>
        <v>10697.439999999999</v>
      </c>
      <c r="AC183" s="6">
        <f>$M$183*$W$183</f>
        <v>0</v>
      </c>
      <c r="AD183" s="6">
        <f>$O$183*$X$183</f>
        <v>0</v>
      </c>
      <c r="AE183" s="6">
        <f ca="1">$K$183*$Y$183</f>
        <v>8447.2846039206433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55</v>
      </c>
      <c r="B184" s="4" t="s">
        <v>38</v>
      </c>
      <c r="C184" s="4" t="s">
        <v>40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44682</v>
      </c>
      <c r="J184" s="6">
        <v>26</v>
      </c>
      <c r="K184" s="6">
        <v>26</v>
      </c>
      <c r="L184" s="6">
        <v>0</v>
      </c>
      <c r="M184" s="6">
        <v>0</v>
      </c>
      <c r="N184" s="6">
        <v>0</v>
      </c>
      <c r="O184" s="6">
        <v>0</v>
      </c>
      <c r="P184" s="6">
        <v>2</v>
      </c>
      <c r="Q184" s="4" t="s">
        <v>26</v>
      </c>
      <c r="R184" s="4">
        <v>0</v>
      </c>
      <c r="S184" s="6">
        <v>18</v>
      </c>
      <c r="T184" s="6">
        <v>0</v>
      </c>
      <c r="U184" s="6">
        <v>0</v>
      </c>
      <c r="V184" s="6">
        <f>IF(ISERROR(VLOOKUP($S$184,'TAR FIN'!$A$1:$O$86,15,0)),0,VLOOKUP($S$184,'TAR FIN'!$A$1:$O$86,15,0))</f>
        <v>19.239999999999998</v>
      </c>
      <c r="W184" s="6">
        <f>IF(ISERROR(VLOOKUP($T$184,'TAR FIN'!$A$1:$O$86,15,0)),0,VLOOKUP($T$184,'TAR FIN'!$A$1:$O$86,15,0))</f>
        <v>0</v>
      </c>
      <c r="X184" s="6">
        <f>IF(ISERROR(VLOOKUP($U$184,'TAR FIN'!$A$1:$O$86,15,0)),0,VLOOKUP($U$184,'TAR FIN'!$A$1:$O$86,15,0))</f>
        <v>0</v>
      </c>
      <c r="Y184" s="6">
        <f ca="1">('TUSD BE'!$AM$11+'TUSD BF'!$AM$11+'TUSD CVA'!$AM$11)*1</f>
        <v>15.19295792072058</v>
      </c>
      <c r="Z184" s="6"/>
      <c r="AA184" s="6"/>
      <c r="AB184" s="6">
        <f>$K$184*$V$184</f>
        <v>500.23999999999995</v>
      </c>
      <c r="AC184" s="6">
        <f>$M$184*$W$184</f>
        <v>0</v>
      </c>
      <c r="AD184" s="6">
        <f>$O$184*$X$184</f>
        <v>0</v>
      </c>
      <c r="AE184" s="6">
        <f ca="1">$K$184*$Y$184</f>
        <v>395.01690593873508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56</v>
      </c>
      <c r="B185" s="4" t="s">
        <v>38</v>
      </c>
      <c r="C185" s="4" t="s">
        <v>40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44713</v>
      </c>
      <c r="J185" s="6">
        <v>6462</v>
      </c>
      <c r="K185" s="6">
        <v>6462</v>
      </c>
      <c r="L185" s="6">
        <v>0</v>
      </c>
      <c r="M185" s="6">
        <v>0</v>
      </c>
      <c r="N185" s="6">
        <v>0</v>
      </c>
      <c r="O185" s="6">
        <v>0</v>
      </c>
      <c r="P185" s="6">
        <v>56</v>
      </c>
      <c r="Q185" s="4" t="s">
        <v>26</v>
      </c>
      <c r="R185" s="4">
        <v>0</v>
      </c>
      <c r="S185" s="6">
        <v>18</v>
      </c>
      <c r="T185" s="6">
        <v>0</v>
      </c>
      <c r="U185" s="6">
        <v>0</v>
      </c>
      <c r="V185" s="6">
        <f>IF(ISERROR(VLOOKUP($S$185,'TAR FIN'!$A$1:$O$86,15,0)),0,VLOOKUP($S$185,'TAR FIN'!$A$1:$O$86,15,0))</f>
        <v>19.239999999999998</v>
      </c>
      <c r="W185" s="6">
        <f>IF(ISERROR(VLOOKUP($T$185,'TAR FIN'!$A$1:$O$86,15,0)),0,VLOOKUP($T$185,'TAR FIN'!$A$1:$O$86,15,0))</f>
        <v>0</v>
      </c>
      <c r="X185" s="6">
        <f>IF(ISERROR(VLOOKUP($U$185,'TAR FIN'!$A$1:$O$86,15,0)),0,VLOOKUP($U$185,'TAR FIN'!$A$1:$O$86,15,0))</f>
        <v>0</v>
      </c>
      <c r="Y185" s="6">
        <f ca="1">('TUSD BE'!$AM$11+'TUSD BF'!$AM$11+'TUSD CVA'!$AM$11)*1</f>
        <v>15.19295792072058</v>
      </c>
      <c r="Z185" s="6"/>
      <c r="AA185" s="6"/>
      <c r="AB185" s="6">
        <f>$K$185*$V$185</f>
        <v>124328.87999999999</v>
      </c>
      <c r="AC185" s="6">
        <f>$M$185*$W$185</f>
        <v>0</v>
      </c>
      <c r="AD185" s="6">
        <f>$O$185*$X$185</f>
        <v>0</v>
      </c>
      <c r="AE185" s="6">
        <f ca="1">$K$185*$Y$185</f>
        <v>98176.894083696388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56</v>
      </c>
      <c r="B186" s="4" t="s">
        <v>38</v>
      </c>
      <c r="C186" s="4" t="s">
        <v>40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44713</v>
      </c>
      <c r="J186" s="6">
        <v>556</v>
      </c>
      <c r="K186" s="6">
        <v>556</v>
      </c>
      <c r="L186" s="6">
        <v>0</v>
      </c>
      <c r="M186" s="6">
        <v>0</v>
      </c>
      <c r="N186" s="6">
        <v>0</v>
      </c>
      <c r="O186" s="6">
        <v>0</v>
      </c>
      <c r="P186" s="6">
        <v>7</v>
      </c>
      <c r="Q186" s="4" t="s">
        <v>26</v>
      </c>
      <c r="R186" s="4">
        <v>0</v>
      </c>
      <c r="S186" s="6">
        <v>18</v>
      </c>
      <c r="T186" s="6">
        <v>0</v>
      </c>
      <c r="U186" s="6">
        <v>0</v>
      </c>
      <c r="V186" s="6">
        <f>IF(ISERROR(VLOOKUP($S$186,'TAR FIN'!$A$1:$O$86,15,0)),0,VLOOKUP($S$186,'TAR FIN'!$A$1:$O$86,15,0))</f>
        <v>19.239999999999998</v>
      </c>
      <c r="W186" s="6">
        <f>IF(ISERROR(VLOOKUP($T$186,'TAR FIN'!$A$1:$O$86,15,0)),0,VLOOKUP($T$186,'TAR FIN'!$A$1:$O$86,15,0))</f>
        <v>0</v>
      </c>
      <c r="X186" s="6">
        <f>IF(ISERROR(VLOOKUP($U$186,'TAR FIN'!$A$1:$O$86,15,0)),0,VLOOKUP($U$186,'TAR FIN'!$A$1:$O$86,15,0))</f>
        <v>0</v>
      </c>
      <c r="Y186" s="6">
        <f ca="1">('TUSD BE'!$AM$11+'TUSD BF'!$AM$11+'TUSD CVA'!$AM$11)*1</f>
        <v>15.19295792072058</v>
      </c>
      <c r="Z186" s="6"/>
      <c r="AA186" s="6"/>
      <c r="AB186" s="6">
        <f>$K$186*$V$186</f>
        <v>10697.439999999999</v>
      </c>
      <c r="AC186" s="6">
        <f>$M$186*$W$186</f>
        <v>0</v>
      </c>
      <c r="AD186" s="6">
        <f>$O$186*$X$186</f>
        <v>0</v>
      </c>
      <c r="AE186" s="6">
        <f ca="1">$K$186*$Y$186</f>
        <v>8447.2846039206433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56</v>
      </c>
      <c r="B187" s="4" t="s">
        <v>38</v>
      </c>
      <c r="C187" s="4" t="s">
        <v>40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44713</v>
      </c>
      <c r="J187" s="6">
        <v>26</v>
      </c>
      <c r="K187" s="6">
        <v>26</v>
      </c>
      <c r="L187" s="6">
        <v>0</v>
      </c>
      <c r="M187" s="6">
        <v>0</v>
      </c>
      <c r="N187" s="6">
        <v>0</v>
      </c>
      <c r="O187" s="6">
        <v>0</v>
      </c>
      <c r="P187" s="6">
        <v>2</v>
      </c>
      <c r="Q187" s="4" t="s">
        <v>26</v>
      </c>
      <c r="R187" s="4">
        <v>0</v>
      </c>
      <c r="S187" s="6">
        <v>18</v>
      </c>
      <c r="T187" s="6">
        <v>0</v>
      </c>
      <c r="U187" s="6">
        <v>0</v>
      </c>
      <c r="V187" s="6">
        <f>IF(ISERROR(VLOOKUP($S$187,'TAR FIN'!$A$1:$O$86,15,0)),0,VLOOKUP($S$187,'TAR FIN'!$A$1:$O$86,15,0))</f>
        <v>19.239999999999998</v>
      </c>
      <c r="W187" s="6">
        <f>IF(ISERROR(VLOOKUP($T$187,'TAR FIN'!$A$1:$O$86,15,0)),0,VLOOKUP($T$187,'TAR FIN'!$A$1:$O$86,15,0))</f>
        <v>0</v>
      </c>
      <c r="X187" s="6">
        <f>IF(ISERROR(VLOOKUP($U$187,'TAR FIN'!$A$1:$O$86,15,0)),0,VLOOKUP($U$187,'TAR FIN'!$A$1:$O$86,15,0))</f>
        <v>0</v>
      </c>
      <c r="Y187" s="6">
        <f ca="1">('TUSD BE'!$AM$11+'TUSD BF'!$AM$11+'TUSD CVA'!$AM$11)*1</f>
        <v>15.19295792072058</v>
      </c>
      <c r="Z187" s="6"/>
      <c r="AA187" s="6"/>
      <c r="AB187" s="6">
        <f>$K$187*$V$187</f>
        <v>500.23999999999995</v>
      </c>
      <c r="AC187" s="6">
        <f>$M$187*$W$187</f>
        <v>0</v>
      </c>
      <c r="AD187" s="6">
        <f>$O$187*$X$187</f>
        <v>0</v>
      </c>
      <c r="AE187" s="6">
        <f ca="1">$K$187*$Y$187</f>
        <v>395.01690593873508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38</v>
      </c>
      <c r="C188" s="4" t="s">
        <v>40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33</v>
      </c>
      <c r="I188" s="5">
        <v>44378</v>
      </c>
      <c r="J188" s="6">
        <v>0</v>
      </c>
      <c r="K188" s="6">
        <v>0</v>
      </c>
      <c r="L188" s="6">
        <v>61.9</v>
      </c>
      <c r="M188" s="6">
        <v>61.9</v>
      </c>
      <c r="N188" s="6">
        <v>61.9</v>
      </c>
      <c r="O188" s="6">
        <v>61.9</v>
      </c>
      <c r="P188" s="6">
        <v>0</v>
      </c>
      <c r="Q188" s="4" t="s">
        <v>26</v>
      </c>
      <c r="R188" s="4">
        <v>0</v>
      </c>
      <c r="S188" s="6">
        <v>0</v>
      </c>
      <c r="T188" s="6">
        <v>16</v>
      </c>
      <c r="U188" s="6">
        <v>47</v>
      </c>
      <c r="V188" s="6">
        <f>IF(ISERROR(VLOOKUP($S$188,'TAR FIN'!$A$1:$O$86,15,0)),0,VLOOKUP($S$188,'TAR FIN'!$A$1:$O$86,15,0))</f>
        <v>0</v>
      </c>
      <c r="W188" s="6">
        <f>IF(ISERROR(VLOOKUP($T$188,'TAR FIN'!$A$1:$O$86,15,0)),0,VLOOKUP($T$188,'TAR FIN'!$A$1:$O$86,15,0))</f>
        <v>1329.67</v>
      </c>
      <c r="X188" s="6">
        <f>IF(ISERROR(VLOOKUP($U$188,'TAR FIN'!$A$1:$O$86,15,0)),0,VLOOKUP($U$188,'TAR FIN'!$A$1:$O$86,15,0))</f>
        <v>389.21</v>
      </c>
      <c r="Y188" s="6"/>
      <c r="Z188" s="6">
        <f ca="1">('TUSD BE'!$AM$12+'TUSD BF'!$AM$12+'TUSD CVA'!$AM$12)*1</f>
        <v>1074.3612836602365</v>
      </c>
      <c r="AA188" s="6">
        <f>('TE BE'!$AB$5+'TE BF'!$AB$5+'TE CVA'!$AB$5)*1</f>
        <v>353.55100010229148</v>
      </c>
      <c r="AB188" s="6">
        <f>$K$188*$V$188</f>
        <v>0</v>
      </c>
      <c r="AC188" s="6">
        <f>$M$188*$W$188</f>
        <v>82306.573000000004</v>
      </c>
      <c r="AD188" s="6">
        <f>$O$188*$X$188</f>
        <v>24092.098999999998</v>
      </c>
      <c r="AE188" s="6">
        <f>$K$188*$Y$188</f>
        <v>0</v>
      </c>
      <c r="AF188" s="6">
        <f ca="1">$M$188*$Z$188</f>
        <v>66502.963458568644</v>
      </c>
      <c r="AG188" s="6">
        <f>$O$188*$AA$188</f>
        <v>21884.806906331843</v>
      </c>
    </row>
    <row r="189" spans="1:33" ht="11.25" customHeight="1" x14ac:dyDescent="0.25">
      <c r="A189" s="4" t="s">
        <v>21</v>
      </c>
      <c r="B189" s="4" t="s">
        <v>38</v>
      </c>
      <c r="C189" s="4" t="s">
        <v>40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33</v>
      </c>
      <c r="I189" s="5">
        <v>44409</v>
      </c>
      <c r="J189" s="6">
        <v>0</v>
      </c>
      <c r="K189" s="6">
        <v>0</v>
      </c>
      <c r="L189" s="6">
        <v>56.838000000000001</v>
      </c>
      <c r="M189" s="6">
        <v>56.838000000000001</v>
      </c>
      <c r="N189" s="6">
        <v>56.838000000000001</v>
      </c>
      <c r="O189" s="6">
        <v>56.838000000000001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16</v>
      </c>
      <c r="U189" s="6">
        <v>47</v>
      </c>
      <c r="V189" s="6">
        <f>IF(ISERROR(VLOOKUP($S$189,'TAR FIN'!$A$1:$O$86,15,0)),0,VLOOKUP($S$189,'TAR FIN'!$A$1:$O$86,15,0))</f>
        <v>0</v>
      </c>
      <c r="W189" s="6">
        <f>IF(ISERROR(VLOOKUP($T$189,'TAR FIN'!$A$1:$O$86,15,0)),0,VLOOKUP($T$189,'TAR FIN'!$A$1:$O$86,15,0))</f>
        <v>1329.67</v>
      </c>
      <c r="X189" s="6">
        <f>IF(ISERROR(VLOOKUP($U$189,'TAR FIN'!$A$1:$O$86,15,0)),0,VLOOKUP($U$189,'TAR FIN'!$A$1:$O$86,15,0))</f>
        <v>389.21</v>
      </c>
      <c r="Y189" s="6"/>
      <c r="Z189" s="6">
        <f ca="1">('TUSD BE'!$AM$12+'TUSD BF'!$AM$12+'TUSD CVA'!$AM$12)*1</f>
        <v>1074.3612836602365</v>
      </c>
      <c r="AA189" s="6">
        <f>('TE BE'!$AB$5+'TE BF'!$AB$5+'TE CVA'!$AB$5)*1</f>
        <v>353.55100010229148</v>
      </c>
      <c r="AB189" s="6">
        <f>$K$189*$V$189</f>
        <v>0</v>
      </c>
      <c r="AC189" s="6">
        <f>$M$189*$W$189</f>
        <v>75575.783460000006</v>
      </c>
      <c r="AD189" s="6">
        <f>$O$189*$X$189</f>
        <v>22121.917979999998</v>
      </c>
      <c r="AE189" s="6">
        <f>$K$189*$Y$189</f>
        <v>0</v>
      </c>
      <c r="AF189" s="6">
        <f ca="1">$M$189*$Z$189</f>
        <v>61064.546640680521</v>
      </c>
      <c r="AG189" s="6">
        <f>$O$189*$AA$189</f>
        <v>20095.131743814043</v>
      </c>
    </row>
    <row r="190" spans="1:33" ht="11.25" customHeight="1" x14ac:dyDescent="0.25">
      <c r="A190" s="4" t="s">
        <v>21</v>
      </c>
      <c r="B190" s="4" t="s">
        <v>38</v>
      </c>
      <c r="C190" s="4" t="s">
        <v>40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33</v>
      </c>
      <c r="I190" s="5">
        <v>44440</v>
      </c>
      <c r="J190" s="6">
        <v>0</v>
      </c>
      <c r="K190" s="6">
        <v>0</v>
      </c>
      <c r="L190" s="6">
        <v>52.494</v>
      </c>
      <c r="M190" s="6">
        <v>52.494</v>
      </c>
      <c r="N190" s="6">
        <v>52.494</v>
      </c>
      <c r="O190" s="6">
        <v>52.494</v>
      </c>
      <c r="P190" s="6">
        <v>0</v>
      </c>
      <c r="Q190" s="4" t="s">
        <v>26</v>
      </c>
      <c r="R190" s="4">
        <v>0</v>
      </c>
      <c r="S190" s="6">
        <v>0</v>
      </c>
      <c r="T190" s="6">
        <v>16</v>
      </c>
      <c r="U190" s="6">
        <v>47</v>
      </c>
      <c r="V190" s="6">
        <f>IF(ISERROR(VLOOKUP($S$190,'TAR FIN'!$A$1:$O$86,15,0)),0,VLOOKUP($S$190,'TAR FIN'!$A$1:$O$86,15,0))</f>
        <v>0</v>
      </c>
      <c r="W190" s="6">
        <f>IF(ISERROR(VLOOKUP($T$190,'TAR FIN'!$A$1:$O$86,15,0)),0,VLOOKUP($T$190,'TAR FIN'!$A$1:$O$86,15,0))</f>
        <v>1329.67</v>
      </c>
      <c r="X190" s="6">
        <f>IF(ISERROR(VLOOKUP($U$190,'TAR FIN'!$A$1:$O$86,15,0)),0,VLOOKUP($U$190,'TAR FIN'!$A$1:$O$86,15,0))</f>
        <v>389.21</v>
      </c>
      <c r="Y190" s="6"/>
      <c r="Z190" s="6">
        <f ca="1">('TUSD BE'!$AM$12+'TUSD BF'!$AM$12+'TUSD CVA'!$AM$12)*1</f>
        <v>1074.3612836602365</v>
      </c>
      <c r="AA190" s="6">
        <f>('TE BE'!$AB$5+'TE BF'!$AB$5+'TE CVA'!$AB$5)*1</f>
        <v>353.55100010229148</v>
      </c>
      <c r="AB190" s="6">
        <f>$K$190*$V$190</f>
        <v>0</v>
      </c>
      <c r="AC190" s="6">
        <f>$M$190*$W$190</f>
        <v>69799.696980000008</v>
      </c>
      <c r="AD190" s="6">
        <f>$O$190*$X$190</f>
        <v>20431.189739999998</v>
      </c>
      <c r="AE190" s="6">
        <f>$K$190*$Y$190</f>
        <v>0</v>
      </c>
      <c r="AF190" s="6">
        <f ca="1">$M$190*$Z$190</f>
        <v>56397.521224460455</v>
      </c>
      <c r="AG190" s="6">
        <f>$O$190*$AA$190</f>
        <v>18559.30619936969</v>
      </c>
    </row>
    <row r="191" spans="1:33" ht="11.25" customHeight="1" x14ac:dyDescent="0.25">
      <c r="A191" s="4" t="s">
        <v>21</v>
      </c>
      <c r="B191" s="4" t="s">
        <v>38</v>
      </c>
      <c r="C191" s="4" t="s">
        <v>40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33</v>
      </c>
      <c r="I191" s="5">
        <v>44470</v>
      </c>
      <c r="J191" s="6">
        <v>0</v>
      </c>
      <c r="K191" s="6">
        <v>0</v>
      </c>
      <c r="L191" s="6">
        <v>56.337000000000003</v>
      </c>
      <c r="M191" s="6">
        <v>56.337000000000003</v>
      </c>
      <c r="N191" s="6">
        <v>56.337000000000003</v>
      </c>
      <c r="O191" s="6">
        <v>56.337000000000003</v>
      </c>
      <c r="P191" s="6">
        <v>0</v>
      </c>
      <c r="Q191" s="4" t="s">
        <v>26</v>
      </c>
      <c r="R191" s="4">
        <v>0</v>
      </c>
      <c r="S191" s="6">
        <v>0</v>
      </c>
      <c r="T191" s="6">
        <v>16</v>
      </c>
      <c r="U191" s="6">
        <v>47</v>
      </c>
      <c r="V191" s="6">
        <f>IF(ISERROR(VLOOKUP($S$191,'TAR FIN'!$A$1:$O$86,15,0)),0,VLOOKUP($S$191,'TAR FIN'!$A$1:$O$86,15,0))</f>
        <v>0</v>
      </c>
      <c r="W191" s="6">
        <f>IF(ISERROR(VLOOKUP($T$191,'TAR FIN'!$A$1:$O$86,15,0)),0,VLOOKUP($T$191,'TAR FIN'!$A$1:$O$86,15,0))</f>
        <v>1329.67</v>
      </c>
      <c r="X191" s="6">
        <f>IF(ISERROR(VLOOKUP($U$191,'TAR FIN'!$A$1:$O$86,15,0)),0,VLOOKUP($U$191,'TAR FIN'!$A$1:$O$86,15,0))</f>
        <v>389.21</v>
      </c>
      <c r="Y191" s="6"/>
      <c r="Z191" s="6">
        <f ca="1">('TUSD BE'!$AM$12+'TUSD BF'!$AM$12+'TUSD CVA'!$AM$12)*1</f>
        <v>1074.3612836602365</v>
      </c>
      <c r="AA191" s="6">
        <f>('TE BE'!$AB$5+'TE BF'!$AB$5+'TE CVA'!$AB$5)*1</f>
        <v>353.55100010229148</v>
      </c>
      <c r="AB191" s="6">
        <f>$K$191*$V$191</f>
        <v>0</v>
      </c>
      <c r="AC191" s="6">
        <f>$M$191*$W$191</f>
        <v>74909.618790000008</v>
      </c>
      <c r="AD191" s="6">
        <f>$O$191*$X$191</f>
        <v>21926.923770000001</v>
      </c>
      <c r="AE191" s="6">
        <f>$K$191*$Y$191</f>
        <v>0</v>
      </c>
      <c r="AF191" s="6">
        <f ca="1">$M$191*$Z$191</f>
        <v>60526.291637566748</v>
      </c>
      <c r="AG191" s="6">
        <f>$O$191*$AA$191</f>
        <v>19918.002692762795</v>
      </c>
    </row>
    <row r="192" spans="1:33" ht="11.25" customHeight="1" x14ac:dyDescent="0.25">
      <c r="A192" s="4" t="s">
        <v>21</v>
      </c>
      <c r="B192" s="4" t="s">
        <v>38</v>
      </c>
      <c r="C192" s="4" t="s">
        <v>40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33</v>
      </c>
      <c r="I192" s="5">
        <v>44501</v>
      </c>
      <c r="J192" s="6">
        <v>0</v>
      </c>
      <c r="K192" s="6">
        <v>0</v>
      </c>
      <c r="L192" s="6">
        <v>71.677000000000007</v>
      </c>
      <c r="M192" s="6">
        <v>71.677000000000007</v>
      </c>
      <c r="N192" s="6">
        <v>71.677000000000007</v>
      </c>
      <c r="O192" s="6">
        <v>71.677000000000007</v>
      </c>
      <c r="P192" s="6">
        <v>0</v>
      </c>
      <c r="Q192" s="4" t="s">
        <v>26</v>
      </c>
      <c r="R192" s="4">
        <v>0</v>
      </c>
      <c r="S192" s="6">
        <v>0</v>
      </c>
      <c r="T192" s="6">
        <v>16</v>
      </c>
      <c r="U192" s="6">
        <v>47</v>
      </c>
      <c r="V192" s="6">
        <f>IF(ISERROR(VLOOKUP($S$192,'TAR FIN'!$A$1:$O$86,15,0)),0,VLOOKUP($S$192,'TAR FIN'!$A$1:$O$86,15,0))</f>
        <v>0</v>
      </c>
      <c r="W192" s="6">
        <f>IF(ISERROR(VLOOKUP($T$192,'TAR FIN'!$A$1:$O$86,15,0)),0,VLOOKUP($T$192,'TAR FIN'!$A$1:$O$86,15,0))</f>
        <v>1329.67</v>
      </c>
      <c r="X192" s="6">
        <f>IF(ISERROR(VLOOKUP($U$192,'TAR FIN'!$A$1:$O$86,15,0)),0,VLOOKUP($U$192,'TAR FIN'!$A$1:$O$86,15,0))</f>
        <v>389.21</v>
      </c>
      <c r="Y192" s="6"/>
      <c r="Z192" s="6">
        <f ca="1">('TUSD BE'!$AM$12+'TUSD BF'!$AM$12+'TUSD CVA'!$AM$12)*1</f>
        <v>1074.3612836602365</v>
      </c>
      <c r="AA192" s="6">
        <f>('TE BE'!$AB$5+'TE BF'!$AB$5+'TE CVA'!$AB$5)*1</f>
        <v>353.55100010229148</v>
      </c>
      <c r="AB192" s="6">
        <f>$K$192*$V$192</f>
        <v>0</v>
      </c>
      <c r="AC192" s="6">
        <f>$M$192*$W$192</f>
        <v>95306.756590000019</v>
      </c>
      <c r="AD192" s="6">
        <f>$O$192*$X$192</f>
        <v>27897.405170000002</v>
      </c>
      <c r="AE192" s="6">
        <f>$K$192*$Y$192</f>
        <v>0</v>
      </c>
      <c r="AF192" s="6">
        <f ca="1">$M$192*$Z$192</f>
        <v>77006.993728914778</v>
      </c>
      <c r="AG192" s="6">
        <f>$O$192*$AA$192</f>
        <v>25341.47503433195</v>
      </c>
    </row>
    <row r="193" spans="1:33" ht="11.25" customHeight="1" x14ac:dyDescent="0.25">
      <c r="A193" s="4" t="s">
        <v>55</v>
      </c>
      <c r="B193" s="4" t="s">
        <v>38</v>
      </c>
      <c r="C193" s="4" t="s">
        <v>40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33</v>
      </c>
      <c r="I193" s="5">
        <v>44501</v>
      </c>
      <c r="J193" s="6">
        <v>0</v>
      </c>
      <c r="K193" s="6">
        <v>0</v>
      </c>
      <c r="L193" s="6">
        <v>1.75</v>
      </c>
      <c r="M193" s="6">
        <v>1.75</v>
      </c>
      <c r="N193" s="6">
        <v>1.75</v>
      </c>
      <c r="O193" s="6">
        <v>1.75</v>
      </c>
      <c r="P193" s="6">
        <v>0</v>
      </c>
      <c r="Q193" s="4" t="s">
        <v>26</v>
      </c>
      <c r="R193" s="4">
        <v>0</v>
      </c>
      <c r="S193" s="6">
        <v>0</v>
      </c>
      <c r="T193" s="6">
        <v>16</v>
      </c>
      <c r="U193" s="6">
        <v>47</v>
      </c>
      <c r="V193" s="6">
        <f>IF(ISERROR(VLOOKUP($S$193,'TAR FIN'!$A$1:$O$86,15,0)),0,VLOOKUP($S$193,'TAR FIN'!$A$1:$O$86,15,0))</f>
        <v>0</v>
      </c>
      <c r="W193" s="6">
        <f>IF(ISERROR(VLOOKUP($T$193,'TAR FIN'!$A$1:$O$86,15,0)),0,VLOOKUP($T$193,'TAR FIN'!$A$1:$O$86,15,0))</f>
        <v>1329.67</v>
      </c>
      <c r="X193" s="6">
        <f>IF(ISERROR(VLOOKUP($U$193,'TAR FIN'!$A$1:$O$86,15,0)),0,VLOOKUP($U$193,'TAR FIN'!$A$1:$O$86,15,0))</f>
        <v>389.21</v>
      </c>
      <c r="Y193" s="6"/>
      <c r="Z193" s="6">
        <f ca="1">('TUSD BE'!$AM$12+'TUSD BF'!$AM$12+'TUSD CVA'!$AM$12)*1</f>
        <v>1074.3612836602365</v>
      </c>
      <c r="AA193" s="6">
        <f>('TE BE'!$AB$5+'TE BF'!$AB$5+'TE CVA'!$AB$5)*1</f>
        <v>353.55100010229148</v>
      </c>
      <c r="AB193" s="6">
        <f>$K$193*$V$193</f>
        <v>0</v>
      </c>
      <c r="AC193" s="6">
        <f>$M$193*$W$193</f>
        <v>2326.9225000000001</v>
      </c>
      <c r="AD193" s="6">
        <f>$O$193*$X$193</f>
        <v>681.11749999999995</v>
      </c>
      <c r="AE193" s="6">
        <f>$K$193*$Y$193</f>
        <v>0</v>
      </c>
      <c r="AF193" s="6">
        <f ca="1">$M$193*$Z$193</f>
        <v>1880.1322464054138</v>
      </c>
      <c r="AG193" s="6">
        <f>$O$193*$AA$193</f>
        <v>618.71425017901015</v>
      </c>
    </row>
    <row r="194" spans="1:33" ht="11.25" customHeight="1" x14ac:dyDescent="0.25">
      <c r="A194" s="4" t="s">
        <v>21</v>
      </c>
      <c r="B194" s="4" t="s">
        <v>38</v>
      </c>
      <c r="C194" s="4" t="s">
        <v>40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33</v>
      </c>
      <c r="I194" s="5">
        <v>44531</v>
      </c>
      <c r="J194" s="6">
        <v>0</v>
      </c>
      <c r="K194" s="6">
        <v>0</v>
      </c>
      <c r="L194" s="6">
        <v>71.185000000000002</v>
      </c>
      <c r="M194" s="6">
        <v>71.185000000000002</v>
      </c>
      <c r="N194" s="6">
        <v>71.185000000000002</v>
      </c>
      <c r="O194" s="6">
        <v>71.185000000000002</v>
      </c>
      <c r="P194" s="6">
        <v>0</v>
      </c>
      <c r="Q194" s="4" t="s">
        <v>26</v>
      </c>
      <c r="R194" s="4">
        <v>0</v>
      </c>
      <c r="S194" s="6">
        <v>0</v>
      </c>
      <c r="T194" s="6">
        <v>16</v>
      </c>
      <c r="U194" s="6">
        <v>47</v>
      </c>
      <c r="V194" s="6">
        <f>IF(ISERROR(VLOOKUP($S$194,'TAR FIN'!$A$1:$O$86,15,0)),0,VLOOKUP($S$194,'TAR FIN'!$A$1:$O$86,15,0))</f>
        <v>0</v>
      </c>
      <c r="W194" s="6">
        <f>IF(ISERROR(VLOOKUP($T$194,'TAR FIN'!$A$1:$O$86,15,0)),0,VLOOKUP($T$194,'TAR FIN'!$A$1:$O$86,15,0))</f>
        <v>1329.67</v>
      </c>
      <c r="X194" s="6">
        <f>IF(ISERROR(VLOOKUP($U$194,'TAR FIN'!$A$1:$O$86,15,0)),0,VLOOKUP($U$194,'TAR FIN'!$A$1:$O$86,15,0))</f>
        <v>389.21</v>
      </c>
      <c r="Y194" s="6"/>
      <c r="Z194" s="6">
        <f ca="1">('TUSD BE'!$AM$12+'TUSD BF'!$AM$12+'TUSD CVA'!$AM$12)*1</f>
        <v>1074.3612836602365</v>
      </c>
      <c r="AA194" s="6">
        <f>('TE BE'!$AB$5+'TE BF'!$AB$5+'TE CVA'!$AB$5)*1</f>
        <v>353.55100010229148</v>
      </c>
      <c r="AB194" s="6">
        <f>$K$194*$V$194</f>
        <v>0</v>
      </c>
      <c r="AC194" s="6">
        <f>$M$194*$W$194</f>
        <v>94652.558950000006</v>
      </c>
      <c r="AD194" s="6">
        <f>$O$194*$X$194</f>
        <v>27705.913850000001</v>
      </c>
      <c r="AE194" s="6">
        <f>$K$194*$Y$194</f>
        <v>0</v>
      </c>
      <c r="AF194" s="6">
        <f ca="1">$M$194*$Z$194</f>
        <v>76478.407977353942</v>
      </c>
      <c r="AG194" s="6">
        <f>$O$194*$AA$194</f>
        <v>25167.52794228162</v>
      </c>
    </row>
    <row r="195" spans="1:33" ht="11.25" customHeight="1" x14ac:dyDescent="0.25">
      <c r="A195" s="4" t="s">
        <v>21</v>
      </c>
      <c r="B195" s="4" t="s">
        <v>38</v>
      </c>
      <c r="C195" s="4" t="s">
        <v>40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33</v>
      </c>
      <c r="I195" s="5">
        <v>44562</v>
      </c>
      <c r="J195" s="6">
        <v>0</v>
      </c>
      <c r="K195" s="6">
        <v>0</v>
      </c>
      <c r="L195" s="6">
        <v>68.304000000000002</v>
      </c>
      <c r="M195" s="6">
        <v>68.304000000000002</v>
      </c>
      <c r="N195" s="6">
        <v>68.304000000000002</v>
      </c>
      <c r="O195" s="6">
        <v>68.304000000000002</v>
      </c>
      <c r="P195" s="6">
        <v>0</v>
      </c>
      <c r="Q195" s="4" t="s">
        <v>26</v>
      </c>
      <c r="R195" s="4">
        <v>0</v>
      </c>
      <c r="S195" s="6">
        <v>0</v>
      </c>
      <c r="T195" s="6">
        <v>16</v>
      </c>
      <c r="U195" s="6">
        <v>47</v>
      </c>
      <c r="V195" s="6">
        <f>IF(ISERROR(VLOOKUP($S$195,'TAR FIN'!$A$1:$O$86,15,0)),0,VLOOKUP($S$195,'TAR FIN'!$A$1:$O$86,15,0))</f>
        <v>0</v>
      </c>
      <c r="W195" s="6">
        <f>IF(ISERROR(VLOOKUP($T$195,'TAR FIN'!$A$1:$O$86,15,0)),0,VLOOKUP($T$195,'TAR FIN'!$A$1:$O$86,15,0))</f>
        <v>1329.67</v>
      </c>
      <c r="X195" s="6">
        <f>IF(ISERROR(VLOOKUP($U$195,'TAR FIN'!$A$1:$O$86,15,0)),0,VLOOKUP($U$195,'TAR FIN'!$A$1:$O$86,15,0))</f>
        <v>389.21</v>
      </c>
      <c r="Y195" s="6"/>
      <c r="Z195" s="6">
        <f ca="1">('TUSD BE'!$AM$12+'TUSD BF'!$AM$12+'TUSD CVA'!$AM$12)*1</f>
        <v>1074.3612836602365</v>
      </c>
      <c r="AA195" s="6">
        <f>('TE BE'!$AB$5+'TE BF'!$AB$5+'TE CVA'!$AB$5)*1</f>
        <v>353.55100010229148</v>
      </c>
      <c r="AB195" s="6">
        <f>$K$195*$V$195</f>
        <v>0</v>
      </c>
      <c r="AC195" s="6">
        <f>$M$195*$W$195</f>
        <v>90821.779680000007</v>
      </c>
      <c r="AD195" s="6">
        <f>$O$195*$X$195</f>
        <v>26584.599839999999</v>
      </c>
      <c r="AE195" s="6">
        <f>$K$195*$Y$195</f>
        <v>0</v>
      </c>
      <c r="AF195" s="6">
        <f ca="1">$M$195*$Z$195</f>
        <v>73383.173119128798</v>
      </c>
      <c r="AG195" s="6">
        <f>$O$195*$AA$195</f>
        <v>24148.947510986916</v>
      </c>
    </row>
    <row r="196" spans="1:33" ht="11.25" customHeight="1" x14ac:dyDescent="0.25">
      <c r="A196" s="4" t="s">
        <v>55</v>
      </c>
      <c r="B196" s="4" t="s">
        <v>38</v>
      </c>
      <c r="C196" s="4" t="s">
        <v>40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33</v>
      </c>
      <c r="I196" s="5">
        <v>44562</v>
      </c>
      <c r="J196" s="6">
        <v>0</v>
      </c>
      <c r="K196" s="6">
        <v>0</v>
      </c>
      <c r="L196" s="6">
        <v>0.13400000000000001</v>
      </c>
      <c r="M196" s="6">
        <v>0.13400000000000001</v>
      </c>
      <c r="N196" s="6">
        <v>0.13400000000000001</v>
      </c>
      <c r="O196" s="6">
        <v>0.13400000000000001</v>
      </c>
      <c r="P196" s="6">
        <v>0</v>
      </c>
      <c r="Q196" s="4" t="s">
        <v>26</v>
      </c>
      <c r="R196" s="4">
        <v>0</v>
      </c>
      <c r="S196" s="6">
        <v>0</v>
      </c>
      <c r="T196" s="6">
        <v>16</v>
      </c>
      <c r="U196" s="6">
        <v>47</v>
      </c>
      <c r="V196" s="6">
        <f>IF(ISERROR(VLOOKUP($S$196,'TAR FIN'!$A$1:$O$86,15,0)),0,VLOOKUP($S$196,'TAR FIN'!$A$1:$O$86,15,0))</f>
        <v>0</v>
      </c>
      <c r="W196" s="6">
        <f>IF(ISERROR(VLOOKUP($T$196,'TAR FIN'!$A$1:$O$86,15,0)),0,VLOOKUP($T$196,'TAR FIN'!$A$1:$O$86,15,0))</f>
        <v>1329.67</v>
      </c>
      <c r="X196" s="6">
        <f>IF(ISERROR(VLOOKUP($U$196,'TAR FIN'!$A$1:$O$86,15,0)),0,VLOOKUP($U$196,'TAR FIN'!$A$1:$O$86,15,0))</f>
        <v>389.21</v>
      </c>
      <c r="Y196" s="6"/>
      <c r="Z196" s="6">
        <f ca="1">('TUSD BE'!$AM$12+'TUSD BF'!$AM$12+'TUSD CVA'!$AM$12)*1</f>
        <v>1074.3612836602365</v>
      </c>
      <c r="AA196" s="6">
        <f>('TE BE'!$AB$5+'TE BF'!$AB$5+'TE CVA'!$AB$5)*1</f>
        <v>353.55100010229148</v>
      </c>
      <c r="AB196" s="6">
        <f>$K$196*$V$196</f>
        <v>0</v>
      </c>
      <c r="AC196" s="6">
        <f>$M$196*$W$196</f>
        <v>178.17578000000003</v>
      </c>
      <c r="AD196" s="6">
        <f>$O$196*$X$196</f>
        <v>52.154139999999998</v>
      </c>
      <c r="AE196" s="6">
        <f>$K$196*$Y$196</f>
        <v>0</v>
      </c>
      <c r="AF196" s="6">
        <f ca="1">$M$196*$Z$196</f>
        <v>143.9644120104717</v>
      </c>
      <c r="AG196" s="6">
        <f>$O$196*$AA$196</f>
        <v>47.375834013707063</v>
      </c>
    </row>
    <row r="197" spans="1:33" ht="11.25" customHeight="1" x14ac:dyDescent="0.25">
      <c r="A197" s="4" t="s">
        <v>21</v>
      </c>
      <c r="B197" s="4" t="s">
        <v>38</v>
      </c>
      <c r="C197" s="4" t="s">
        <v>40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33</v>
      </c>
      <c r="I197" s="5">
        <v>44593</v>
      </c>
      <c r="J197" s="6">
        <v>0</v>
      </c>
      <c r="K197" s="6">
        <v>0</v>
      </c>
      <c r="L197" s="6">
        <v>56.64</v>
      </c>
      <c r="M197" s="6">
        <v>56.64</v>
      </c>
      <c r="N197" s="6">
        <v>56.64</v>
      </c>
      <c r="O197" s="6">
        <v>56.64</v>
      </c>
      <c r="P197" s="6">
        <v>0</v>
      </c>
      <c r="Q197" s="4" t="s">
        <v>26</v>
      </c>
      <c r="R197" s="4">
        <v>0</v>
      </c>
      <c r="S197" s="6">
        <v>0</v>
      </c>
      <c r="T197" s="6">
        <v>16</v>
      </c>
      <c r="U197" s="6">
        <v>47</v>
      </c>
      <c r="V197" s="6">
        <f>IF(ISERROR(VLOOKUP($S$197,'TAR FIN'!$A$1:$O$86,15,0)),0,VLOOKUP($S$197,'TAR FIN'!$A$1:$O$86,15,0))</f>
        <v>0</v>
      </c>
      <c r="W197" s="6">
        <f>IF(ISERROR(VLOOKUP($T$197,'TAR FIN'!$A$1:$O$86,15,0)),0,VLOOKUP($T$197,'TAR FIN'!$A$1:$O$86,15,0))</f>
        <v>1329.67</v>
      </c>
      <c r="X197" s="6">
        <f>IF(ISERROR(VLOOKUP($U$197,'TAR FIN'!$A$1:$O$86,15,0)),0,VLOOKUP($U$197,'TAR FIN'!$A$1:$O$86,15,0))</f>
        <v>389.21</v>
      </c>
      <c r="Y197" s="6"/>
      <c r="Z197" s="6">
        <f ca="1">('TUSD BE'!$AM$12+'TUSD BF'!$AM$12+'TUSD CVA'!$AM$12)*1</f>
        <v>1074.3612836602365</v>
      </c>
      <c r="AA197" s="6">
        <f>('TE BE'!$AB$5+'TE BF'!$AB$5+'TE CVA'!$AB$5)*1</f>
        <v>353.55100010229148</v>
      </c>
      <c r="AB197" s="6">
        <f>$K$197*$V$197</f>
        <v>0</v>
      </c>
      <c r="AC197" s="6">
        <f>$M$197*$W$197</f>
        <v>75312.508800000011</v>
      </c>
      <c r="AD197" s="6">
        <f>$O$197*$X$197</f>
        <v>22044.8544</v>
      </c>
      <c r="AE197" s="6">
        <f>$K$197*$Y$197</f>
        <v>0</v>
      </c>
      <c r="AF197" s="6">
        <f ca="1">$M$197*$Z$197</f>
        <v>60851.823106515796</v>
      </c>
      <c r="AG197" s="6">
        <f>$O$197*$AA$197</f>
        <v>20025.128645793789</v>
      </c>
    </row>
    <row r="198" spans="1:33" ht="11.25" customHeight="1" x14ac:dyDescent="0.25">
      <c r="A198" s="4" t="s">
        <v>55</v>
      </c>
      <c r="B198" s="4" t="s">
        <v>38</v>
      </c>
      <c r="C198" s="4" t="s">
        <v>40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33</v>
      </c>
      <c r="I198" s="5">
        <v>44593</v>
      </c>
      <c r="J198" s="6">
        <v>0</v>
      </c>
      <c r="K198" s="6">
        <v>0</v>
      </c>
      <c r="L198" s="6">
        <v>3.1629999999999998</v>
      </c>
      <c r="M198" s="6">
        <v>3.1629999999999998</v>
      </c>
      <c r="N198" s="6">
        <v>3.1629999999999998</v>
      </c>
      <c r="O198" s="6">
        <v>3.1629999999999998</v>
      </c>
      <c r="P198" s="6">
        <v>0</v>
      </c>
      <c r="Q198" s="4" t="s">
        <v>26</v>
      </c>
      <c r="R198" s="4">
        <v>0</v>
      </c>
      <c r="S198" s="6">
        <v>0</v>
      </c>
      <c r="T198" s="6">
        <v>16</v>
      </c>
      <c r="U198" s="6">
        <v>47</v>
      </c>
      <c r="V198" s="6">
        <f>IF(ISERROR(VLOOKUP($S$198,'TAR FIN'!$A$1:$O$86,15,0)),0,VLOOKUP($S$198,'TAR FIN'!$A$1:$O$86,15,0))</f>
        <v>0</v>
      </c>
      <c r="W198" s="6">
        <f>IF(ISERROR(VLOOKUP($T$198,'TAR FIN'!$A$1:$O$86,15,0)),0,VLOOKUP($T$198,'TAR FIN'!$A$1:$O$86,15,0))</f>
        <v>1329.67</v>
      </c>
      <c r="X198" s="6">
        <f>IF(ISERROR(VLOOKUP($U$198,'TAR FIN'!$A$1:$O$86,15,0)),0,VLOOKUP($U$198,'TAR FIN'!$A$1:$O$86,15,0))</f>
        <v>389.21</v>
      </c>
      <c r="Y198" s="6"/>
      <c r="Z198" s="6">
        <f ca="1">('TUSD BE'!$AM$12+'TUSD BF'!$AM$12+'TUSD CVA'!$AM$12)*1</f>
        <v>1074.3612836602365</v>
      </c>
      <c r="AA198" s="6">
        <f>('TE BE'!$AB$5+'TE BF'!$AB$5+'TE CVA'!$AB$5)*1</f>
        <v>353.55100010229148</v>
      </c>
      <c r="AB198" s="6">
        <f>$K$198*$V$198</f>
        <v>0</v>
      </c>
      <c r="AC198" s="6">
        <f>$M$198*$W$198</f>
        <v>4205.7462100000002</v>
      </c>
      <c r="AD198" s="6">
        <f>$O$198*$X$198</f>
        <v>1231.0712299999998</v>
      </c>
      <c r="AE198" s="6">
        <f>$K$198*$Y$198</f>
        <v>0</v>
      </c>
      <c r="AF198" s="6">
        <f ca="1">$M$198*$Z$198</f>
        <v>3398.204740217328</v>
      </c>
      <c r="AG198" s="6">
        <f>$O$198*$AA$198</f>
        <v>1118.2818133235478</v>
      </c>
    </row>
    <row r="199" spans="1:33" ht="11.25" customHeight="1" x14ac:dyDescent="0.25">
      <c r="A199" s="4" t="s">
        <v>21</v>
      </c>
      <c r="B199" s="4" t="s">
        <v>38</v>
      </c>
      <c r="C199" s="4" t="s">
        <v>40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33</v>
      </c>
      <c r="I199" s="5">
        <v>44621</v>
      </c>
      <c r="J199" s="6">
        <v>0</v>
      </c>
      <c r="K199" s="6">
        <v>0</v>
      </c>
      <c r="L199" s="6">
        <v>69.090999999999994</v>
      </c>
      <c r="M199" s="6">
        <v>69.090999999999994</v>
      </c>
      <c r="N199" s="6">
        <v>69.090999999999994</v>
      </c>
      <c r="O199" s="6">
        <v>69.090999999999994</v>
      </c>
      <c r="P199" s="6">
        <v>0</v>
      </c>
      <c r="Q199" s="4" t="s">
        <v>26</v>
      </c>
      <c r="R199" s="4">
        <v>0</v>
      </c>
      <c r="S199" s="6">
        <v>0</v>
      </c>
      <c r="T199" s="6">
        <v>16</v>
      </c>
      <c r="U199" s="6">
        <v>47</v>
      </c>
      <c r="V199" s="6">
        <f>IF(ISERROR(VLOOKUP($S$199,'TAR FIN'!$A$1:$O$86,15,0)),0,VLOOKUP($S$199,'TAR FIN'!$A$1:$O$86,15,0))</f>
        <v>0</v>
      </c>
      <c r="W199" s="6">
        <f>IF(ISERROR(VLOOKUP($T$199,'TAR FIN'!$A$1:$O$86,15,0)),0,VLOOKUP($T$199,'TAR FIN'!$A$1:$O$86,15,0))</f>
        <v>1329.67</v>
      </c>
      <c r="X199" s="6">
        <f>IF(ISERROR(VLOOKUP($U$199,'TAR FIN'!$A$1:$O$86,15,0)),0,VLOOKUP($U$199,'TAR FIN'!$A$1:$O$86,15,0))</f>
        <v>389.21</v>
      </c>
      <c r="Y199" s="6"/>
      <c r="Z199" s="6">
        <f ca="1">('TUSD BE'!$AM$12+'TUSD BF'!$AM$12+'TUSD CVA'!$AM$12)*1</f>
        <v>1074.3612836602365</v>
      </c>
      <c r="AA199" s="6">
        <f>('TE BE'!$AB$5+'TE BF'!$AB$5+'TE CVA'!$AB$5)*1</f>
        <v>353.55100010229148</v>
      </c>
      <c r="AB199" s="6">
        <f>$K$199*$V$199</f>
        <v>0</v>
      </c>
      <c r="AC199" s="6">
        <f>$M$199*$W$199</f>
        <v>91868.22997</v>
      </c>
      <c r="AD199" s="6">
        <f>$O$199*$X$199</f>
        <v>26890.908109999997</v>
      </c>
      <c r="AE199" s="6">
        <f>$K$199*$Y$199</f>
        <v>0</v>
      </c>
      <c r="AF199" s="6">
        <f ca="1">$M$199*$Z$199</f>
        <v>74228.695449369392</v>
      </c>
      <c r="AG199" s="6">
        <f>$O$199*$AA$199</f>
        <v>24427.192148067417</v>
      </c>
    </row>
    <row r="200" spans="1:33" ht="11.25" customHeight="1" x14ac:dyDescent="0.25">
      <c r="A200" s="4" t="s">
        <v>55</v>
      </c>
      <c r="B200" s="4" t="s">
        <v>38</v>
      </c>
      <c r="C200" s="4" t="s">
        <v>40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33</v>
      </c>
      <c r="I200" s="5">
        <v>44621</v>
      </c>
      <c r="J200" s="6">
        <v>0</v>
      </c>
      <c r="K200" s="6">
        <v>0</v>
      </c>
      <c r="L200" s="6">
        <v>3.5049999999999999</v>
      </c>
      <c r="M200" s="6">
        <v>3.5049999999999999</v>
      </c>
      <c r="N200" s="6">
        <v>3.5049999999999999</v>
      </c>
      <c r="O200" s="6">
        <v>3.5049999999999999</v>
      </c>
      <c r="P200" s="6">
        <v>0</v>
      </c>
      <c r="Q200" s="4" t="s">
        <v>26</v>
      </c>
      <c r="R200" s="4">
        <v>0</v>
      </c>
      <c r="S200" s="6">
        <v>0</v>
      </c>
      <c r="T200" s="6">
        <v>16</v>
      </c>
      <c r="U200" s="6">
        <v>47</v>
      </c>
      <c r="V200" s="6">
        <f>IF(ISERROR(VLOOKUP($S$200,'TAR FIN'!$A$1:$O$86,15,0)),0,VLOOKUP($S$200,'TAR FIN'!$A$1:$O$86,15,0))</f>
        <v>0</v>
      </c>
      <c r="W200" s="6">
        <f>IF(ISERROR(VLOOKUP($T$200,'TAR FIN'!$A$1:$O$86,15,0)),0,VLOOKUP($T$200,'TAR FIN'!$A$1:$O$86,15,0))</f>
        <v>1329.67</v>
      </c>
      <c r="X200" s="6">
        <f>IF(ISERROR(VLOOKUP($U$200,'TAR FIN'!$A$1:$O$86,15,0)),0,VLOOKUP($U$200,'TAR FIN'!$A$1:$O$86,15,0))</f>
        <v>389.21</v>
      </c>
      <c r="Y200" s="6"/>
      <c r="Z200" s="6">
        <f ca="1">('TUSD BE'!$AM$12+'TUSD BF'!$AM$12+'TUSD CVA'!$AM$12)*1</f>
        <v>1074.3612836602365</v>
      </c>
      <c r="AA200" s="6">
        <f>('TE BE'!$AB$5+'TE BF'!$AB$5+'TE CVA'!$AB$5)*1</f>
        <v>353.55100010229148</v>
      </c>
      <c r="AB200" s="6">
        <f>$K$200*$V$200</f>
        <v>0</v>
      </c>
      <c r="AC200" s="6">
        <f>$M$200*$W$200</f>
        <v>4660.4933499999997</v>
      </c>
      <c r="AD200" s="6">
        <f>$O$200*$X$200</f>
        <v>1364.1810499999999</v>
      </c>
      <c r="AE200" s="6">
        <f>$K$200*$Y$200</f>
        <v>0</v>
      </c>
      <c r="AF200" s="6">
        <f ca="1">$M$200*$Z$200</f>
        <v>3765.6362992291288</v>
      </c>
      <c r="AG200" s="6">
        <f>$O$200*$AA$200</f>
        <v>1239.1962553585315</v>
      </c>
    </row>
    <row r="201" spans="1:33" ht="11.25" customHeight="1" x14ac:dyDescent="0.25">
      <c r="A201" s="4" t="s">
        <v>21</v>
      </c>
      <c r="B201" s="4" t="s">
        <v>38</v>
      </c>
      <c r="C201" s="4" t="s">
        <v>40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33</v>
      </c>
      <c r="I201" s="5">
        <v>44652</v>
      </c>
      <c r="J201" s="6">
        <v>0</v>
      </c>
      <c r="K201" s="6">
        <v>0</v>
      </c>
      <c r="L201" s="6">
        <v>67.497</v>
      </c>
      <c r="M201" s="6">
        <v>67.497</v>
      </c>
      <c r="N201" s="6">
        <v>67.497</v>
      </c>
      <c r="O201" s="6">
        <v>67.497</v>
      </c>
      <c r="P201" s="6">
        <v>0</v>
      </c>
      <c r="Q201" s="4" t="s">
        <v>26</v>
      </c>
      <c r="R201" s="4">
        <v>0</v>
      </c>
      <c r="S201" s="6">
        <v>0</v>
      </c>
      <c r="T201" s="6">
        <v>16</v>
      </c>
      <c r="U201" s="6">
        <v>47</v>
      </c>
      <c r="V201" s="6">
        <f>IF(ISERROR(VLOOKUP($S$201,'TAR FIN'!$A$1:$O$86,15,0)),0,VLOOKUP($S$201,'TAR FIN'!$A$1:$O$86,15,0))</f>
        <v>0</v>
      </c>
      <c r="W201" s="6">
        <f>IF(ISERROR(VLOOKUP($T$201,'TAR FIN'!$A$1:$O$86,15,0)),0,VLOOKUP($T$201,'TAR FIN'!$A$1:$O$86,15,0))</f>
        <v>1329.67</v>
      </c>
      <c r="X201" s="6">
        <f>IF(ISERROR(VLOOKUP($U$201,'TAR FIN'!$A$1:$O$86,15,0)),0,VLOOKUP($U$201,'TAR FIN'!$A$1:$O$86,15,0))</f>
        <v>389.21</v>
      </c>
      <c r="Y201" s="6"/>
      <c r="Z201" s="6">
        <f ca="1">('TUSD BE'!$AM$12+'TUSD BF'!$AM$12+'TUSD CVA'!$AM$12)*1</f>
        <v>1074.3612836602365</v>
      </c>
      <c r="AA201" s="6">
        <f>('TE BE'!$AB$5+'TE BF'!$AB$5+'TE CVA'!$AB$5)*1</f>
        <v>353.55100010229148</v>
      </c>
      <c r="AB201" s="6">
        <f>$K$201*$V$201</f>
        <v>0</v>
      </c>
      <c r="AC201" s="6">
        <f>$M$201*$W$201</f>
        <v>89748.735990000001</v>
      </c>
      <c r="AD201" s="6">
        <f>$O$201*$X$201</f>
        <v>26270.507369999999</v>
      </c>
      <c r="AE201" s="6">
        <f>$K$201*$Y$201</f>
        <v>0</v>
      </c>
      <c r="AF201" s="6">
        <f ca="1">$M$201*$Z$201</f>
        <v>72516.163563214985</v>
      </c>
      <c r="AG201" s="6">
        <f>$O$201*$AA$201</f>
        <v>23863.631853904368</v>
      </c>
    </row>
    <row r="202" spans="1:33" ht="11.25" customHeight="1" x14ac:dyDescent="0.25">
      <c r="A202" s="4" t="s">
        <v>55</v>
      </c>
      <c r="B202" s="4" t="s">
        <v>38</v>
      </c>
      <c r="C202" s="4" t="s">
        <v>40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33</v>
      </c>
      <c r="I202" s="5">
        <v>44652</v>
      </c>
      <c r="J202" s="6">
        <v>0</v>
      </c>
      <c r="K202" s="6">
        <v>0</v>
      </c>
      <c r="L202" s="6">
        <v>2.3639999999999999</v>
      </c>
      <c r="M202" s="6">
        <v>2.3639999999999999</v>
      </c>
      <c r="N202" s="6">
        <v>2.3639999999999999</v>
      </c>
      <c r="O202" s="6">
        <v>2.3639999999999999</v>
      </c>
      <c r="P202" s="6">
        <v>0</v>
      </c>
      <c r="Q202" s="4" t="s">
        <v>26</v>
      </c>
      <c r="R202" s="4">
        <v>0</v>
      </c>
      <c r="S202" s="6">
        <v>0</v>
      </c>
      <c r="T202" s="6">
        <v>16</v>
      </c>
      <c r="U202" s="6">
        <v>47</v>
      </c>
      <c r="V202" s="6">
        <f>IF(ISERROR(VLOOKUP($S$202,'TAR FIN'!$A$1:$O$86,15,0)),0,VLOOKUP($S$202,'TAR FIN'!$A$1:$O$86,15,0))</f>
        <v>0</v>
      </c>
      <c r="W202" s="6">
        <f>IF(ISERROR(VLOOKUP($T$202,'TAR FIN'!$A$1:$O$86,15,0)),0,VLOOKUP($T$202,'TAR FIN'!$A$1:$O$86,15,0))</f>
        <v>1329.67</v>
      </c>
      <c r="X202" s="6">
        <f>IF(ISERROR(VLOOKUP($U$202,'TAR FIN'!$A$1:$O$86,15,0)),0,VLOOKUP($U$202,'TAR FIN'!$A$1:$O$86,15,0))</f>
        <v>389.21</v>
      </c>
      <c r="Y202" s="6"/>
      <c r="Z202" s="6">
        <f ca="1">('TUSD BE'!$AM$12+'TUSD BF'!$AM$12+'TUSD CVA'!$AM$12)*1</f>
        <v>1074.3612836602365</v>
      </c>
      <c r="AA202" s="6">
        <f>('TE BE'!$AB$5+'TE BF'!$AB$5+'TE CVA'!$AB$5)*1</f>
        <v>353.55100010229148</v>
      </c>
      <c r="AB202" s="6">
        <f>$K$202*$V$202</f>
        <v>0</v>
      </c>
      <c r="AC202" s="6">
        <f>$M$202*$W$202</f>
        <v>3143.33988</v>
      </c>
      <c r="AD202" s="6">
        <f>$O$202*$X$202</f>
        <v>920.0924399999999</v>
      </c>
      <c r="AE202" s="6">
        <f>$K$202*$Y$202</f>
        <v>0</v>
      </c>
      <c r="AF202" s="6">
        <f ca="1">$M$202*$Z$202</f>
        <v>2539.7900745727989</v>
      </c>
      <c r="AG202" s="6">
        <f>$O$202*$AA$202</f>
        <v>835.79456424181706</v>
      </c>
    </row>
    <row r="203" spans="1:33" ht="11.25" customHeight="1" x14ac:dyDescent="0.25">
      <c r="A203" s="4" t="s">
        <v>21</v>
      </c>
      <c r="B203" s="4" t="s">
        <v>38</v>
      </c>
      <c r="C203" s="4" t="s">
        <v>40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33</v>
      </c>
      <c r="I203" s="5">
        <v>44682</v>
      </c>
      <c r="J203" s="6">
        <v>0</v>
      </c>
      <c r="K203" s="6">
        <v>0</v>
      </c>
      <c r="L203" s="6">
        <v>62.526000000000003</v>
      </c>
      <c r="M203" s="6">
        <v>62.526000000000003</v>
      </c>
      <c r="N203" s="6">
        <v>62.526000000000003</v>
      </c>
      <c r="O203" s="6">
        <v>62.526000000000003</v>
      </c>
      <c r="P203" s="6">
        <v>0</v>
      </c>
      <c r="Q203" s="4" t="s">
        <v>26</v>
      </c>
      <c r="R203" s="4">
        <v>0</v>
      </c>
      <c r="S203" s="6">
        <v>0</v>
      </c>
      <c r="T203" s="6">
        <v>16</v>
      </c>
      <c r="U203" s="6">
        <v>47</v>
      </c>
      <c r="V203" s="6">
        <f>IF(ISERROR(VLOOKUP($S$203,'TAR FIN'!$A$1:$O$86,15,0)),0,VLOOKUP($S$203,'TAR FIN'!$A$1:$O$86,15,0))</f>
        <v>0</v>
      </c>
      <c r="W203" s="6">
        <f>IF(ISERROR(VLOOKUP($T$203,'TAR FIN'!$A$1:$O$86,15,0)),0,VLOOKUP($T$203,'TAR FIN'!$A$1:$O$86,15,0))</f>
        <v>1329.67</v>
      </c>
      <c r="X203" s="6">
        <f>IF(ISERROR(VLOOKUP($U$203,'TAR FIN'!$A$1:$O$86,15,0)),0,VLOOKUP($U$203,'TAR FIN'!$A$1:$O$86,15,0))</f>
        <v>389.21</v>
      </c>
      <c r="Y203" s="6"/>
      <c r="Z203" s="6">
        <f ca="1">('TUSD BE'!$AM$12+'TUSD BF'!$AM$12+'TUSD CVA'!$AM$12)*1</f>
        <v>1074.3612836602365</v>
      </c>
      <c r="AA203" s="6">
        <f>('TE BE'!$AB$5+'TE BF'!$AB$5+'TE CVA'!$AB$5)*1</f>
        <v>353.55100010229148</v>
      </c>
      <c r="AB203" s="6">
        <f>$K$203*$V$203</f>
        <v>0</v>
      </c>
      <c r="AC203" s="6">
        <f>$M$203*$W$203</f>
        <v>83138.946420000007</v>
      </c>
      <c r="AD203" s="6">
        <f>$O$203*$X$203</f>
        <v>24335.744460000002</v>
      </c>
      <c r="AE203" s="6">
        <f>$K$203*$Y$203</f>
        <v>0</v>
      </c>
      <c r="AF203" s="6">
        <f ca="1">$M$203*$Z$203</f>
        <v>67175.513622139944</v>
      </c>
      <c r="AG203" s="6">
        <f>$O$203*$AA$203</f>
        <v>22106.12983239588</v>
      </c>
    </row>
    <row r="204" spans="1:33" ht="11.25" customHeight="1" x14ac:dyDescent="0.25">
      <c r="A204" s="4" t="s">
        <v>55</v>
      </c>
      <c r="B204" s="4" t="s">
        <v>38</v>
      </c>
      <c r="C204" s="4" t="s">
        <v>40</v>
      </c>
      <c r="D204" s="4" t="s">
        <v>41</v>
      </c>
      <c r="E204" s="4" t="s">
        <v>25</v>
      </c>
      <c r="F204" s="4" t="s">
        <v>25</v>
      </c>
      <c r="G204" s="4" t="s">
        <v>25</v>
      </c>
      <c r="H204" s="4" t="s">
        <v>33</v>
      </c>
      <c r="I204" s="5">
        <v>44682</v>
      </c>
      <c r="J204" s="6">
        <v>0</v>
      </c>
      <c r="K204" s="6">
        <v>0</v>
      </c>
      <c r="L204" s="6">
        <v>1.514</v>
      </c>
      <c r="M204" s="6">
        <v>1.514</v>
      </c>
      <c r="N204" s="6">
        <v>1.514</v>
      </c>
      <c r="O204" s="6">
        <v>1.514</v>
      </c>
      <c r="P204" s="6">
        <v>0</v>
      </c>
      <c r="Q204" s="4" t="s">
        <v>26</v>
      </c>
      <c r="R204" s="4">
        <v>0</v>
      </c>
      <c r="S204" s="6">
        <v>0</v>
      </c>
      <c r="T204" s="6">
        <v>16</v>
      </c>
      <c r="U204" s="6">
        <v>47</v>
      </c>
      <c r="V204" s="6">
        <f>IF(ISERROR(VLOOKUP($S$204,'TAR FIN'!$A$1:$O$86,15,0)),0,VLOOKUP($S$204,'TAR FIN'!$A$1:$O$86,15,0))</f>
        <v>0</v>
      </c>
      <c r="W204" s="6">
        <f>IF(ISERROR(VLOOKUP($T$204,'TAR FIN'!$A$1:$O$86,15,0)),0,VLOOKUP($T$204,'TAR FIN'!$A$1:$O$86,15,0))</f>
        <v>1329.67</v>
      </c>
      <c r="X204" s="6">
        <f>IF(ISERROR(VLOOKUP($U$204,'TAR FIN'!$A$1:$O$86,15,0)),0,VLOOKUP($U$204,'TAR FIN'!$A$1:$O$86,15,0))</f>
        <v>389.21</v>
      </c>
      <c r="Y204" s="6"/>
      <c r="Z204" s="6">
        <f ca="1">('TUSD BE'!$AM$12+'TUSD BF'!$AM$12+'TUSD CVA'!$AM$12)*1</f>
        <v>1074.3612836602365</v>
      </c>
      <c r="AA204" s="6">
        <f>('TE BE'!$AB$5+'TE BF'!$AB$5+'TE CVA'!$AB$5)*1</f>
        <v>353.55100010229148</v>
      </c>
      <c r="AB204" s="6">
        <f>$K$204*$V$204</f>
        <v>0</v>
      </c>
      <c r="AC204" s="6">
        <f>$M$204*$W$204</f>
        <v>2013.1203800000001</v>
      </c>
      <c r="AD204" s="6">
        <f>$O$204*$X$204</f>
        <v>589.26393999999993</v>
      </c>
      <c r="AE204" s="6">
        <f>$K$204*$Y$204</f>
        <v>0</v>
      </c>
      <c r="AF204" s="6">
        <f ca="1">$M$204*$Z$204</f>
        <v>1626.5829834615981</v>
      </c>
      <c r="AG204" s="6">
        <f>$O$204*$AA$204</f>
        <v>535.27621415486931</v>
      </c>
    </row>
    <row r="205" spans="1:33" ht="11.25" customHeight="1" x14ac:dyDescent="0.25">
      <c r="A205" s="4" t="s">
        <v>56</v>
      </c>
      <c r="B205" s="4" t="s">
        <v>38</v>
      </c>
      <c r="C205" s="4" t="s">
        <v>40</v>
      </c>
      <c r="D205" s="4" t="s">
        <v>41</v>
      </c>
      <c r="E205" s="4" t="s">
        <v>25</v>
      </c>
      <c r="F205" s="4" t="s">
        <v>25</v>
      </c>
      <c r="G205" s="4" t="s">
        <v>25</v>
      </c>
      <c r="H205" s="4" t="s">
        <v>33</v>
      </c>
      <c r="I205" s="5">
        <v>44713</v>
      </c>
      <c r="J205" s="6">
        <v>0</v>
      </c>
      <c r="K205" s="6">
        <v>0</v>
      </c>
      <c r="L205" s="6">
        <v>62.526000000000003</v>
      </c>
      <c r="M205" s="6">
        <v>62.526000000000003</v>
      </c>
      <c r="N205" s="6">
        <v>62.526000000000003</v>
      </c>
      <c r="O205" s="6">
        <v>62.526000000000003</v>
      </c>
      <c r="P205" s="6">
        <v>0</v>
      </c>
      <c r="Q205" s="4" t="s">
        <v>26</v>
      </c>
      <c r="R205" s="4">
        <v>0</v>
      </c>
      <c r="S205" s="6">
        <v>0</v>
      </c>
      <c r="T205" s="6">
        <v>16</v>
      </c>
      <c r="U205" s="6">
        <v>47</v>
      </c>
      <c r="V205" s="6">
        <f>IF(ISERROR(VLOOKUP($S$205,'TAR FIN'!$A$1:$O$86,15,0)),0,VLOOKUP($S$205,'TAR FIN'!$A$1:$O$86,15,0))</f>
        <v>0</v>
      </c>
      <c r="W205" s="6">
        <f>IF(ISERROR(VLOOKUP($T$205,'TAR FIN'!$A$1:$O$86,15,0)),0,VLOOKUP($T$205,'TAR FIN'!$A$1:$O$86,15,0))</f>
        <v>1329.67</v>
      </c>
      <c r="X205" s="6">
        <f>IF(ISERROR(VLOOKUP($U$205,'TAR FIN'!$A$1:$O$86,15,0)),0,VLOOKUP($U$205,'TAR FIN'!$A$1:$O$86,15,0))</f>
        <v>389.21</v>
      </c>
      <c r="Y205" s="6"/>
      <c r="Z205" s="6">
        <f ca="1">('TUSD BE'!$AM$12+'TUSD BF'!$AM$12+'TUSD CVA'!$AM$12)*1</f>
        <v>1074.3612836602365</v>
      </c>
      <c r="AA205" s="6">
        <f>('TE BE'!$AB$5+'TE BF'!$AB$5+'TE CVA'!$AB$5)*1</f>
        <v>353.55100010229148</v>
      </c>
      <c r="AB205" s="6">
        <f>$K$205*$V$205</f>
        <v>0</v>
      </c>
      <c r="AC205" s="6">
        <f>$M$205*$W$205</f>
        <v>83138.946420000007</v>
      </c>
      <c r="AD205" s="6">
        <f>$O$205*$X$205</f>
        <v>24335.744460000002</v>
      </c>
      <c r="AE205" s="6">
        <f>$K$205*$Y$205</f>
        <v>0</v>
      </c>
      <c r="AF205" s="6">
        <f ca="1">$M$205*$Z$205</f>
        <v>67175.513622139944</v>
      </c>
      <c r="AG205" s="6">
        <f>$O$205*$AA$205</f>
        <v>22106.12983239588</v>
      </c>
    </row>
    <row r="206" spans="1:33" ht="11.25" customHeight="1" x14ac:dyDescent="0.25">
      <c r="A206" s="4" t="s">
        <v>56</v>
      </c>
      <c r="B206" s="4" t="s">
        <v>38</v>
      </c>
      <c r="C206" s="4" t="s">
        <v>40</v>
      </c>
      <c r="D206" s="4" t="s">
        <v>41</v>
      </c>
      <c r="E206" s="4" t="s">
        <v>25</v>
      </c>
      <c r="F206" s="4" t="s">
        <v>25</v>
      </c>
      <c r="G206" s="4" t="s">
        <v>25</v>
      </c>
      <c r="H206" s="4" t="s">
        <v>33</v>
      </c>
      <c r="I206" s="5">
        <v>44713</v>
      </c>
      <c r="J206" s="6">
        <v>0</v>
      </c>
      <c r="K206" s="6">
        <v>0</v>
      </c>
      <c r="L206" s="6">
        <v>1.514</v>
      </c>
      <c r="M206" s="6">
        <v>1.514</v>
      </c>
      <c r="N206" s="6">
        <v>1.514</v>
      </c>
      <c r="O206" s="6">
        <v>1.514</v>
      </c>
      <c r="P206" s="6">
        <v>0</v>
      </c>
      <c r="Q206" s="4" t="s">
        <v>26</v>
      </c>
      <c r="R206" s="4">
        <v>0</v>
      </c>
      <c r="S206" s="6">
        <v>0</v>
      </c>
      <c r="T206" s="6">
        <v>16</v>
      </c>
      <c r="U206" s="6">
        <v>47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1329.67</v>
      </c>
      <c r="X206" s="6">
        <f>IF(ISERROR(VLOOKUP($U$206,'TAR FIN'!$A$1:$O$86,15,0)),0,VLOOKUP($U$206,'TAR FIN'!$A$1:$O$86,15,0))</f>
        <v>389.21</v>
      </c>
      <c r="Y206" s="6"/>
      <c r="Z206" s="6">
        <f ca="1">('TUSD BE'!$AM$12+'TUSD BF'!$AM$12+'TUSD CVA'!$AM$12)*1</f>
        <v>1074.3612836602365</v>
      </c>
      <c r="AA206" s="6">
        <f>('TE BE'!$AB$5+'TE BF'!$AB$5+'TE CVA'!$AB$5)*1</f>
        <v>353.55100010229148</v>
      </c>
      <c r="AB206" s="6">
        <f>$K$206*$V$206</f>
        <v>0</v>
      </c>
      <c r="AC206" s="6">
        <f>$M$206*$W$206</f>
        <v>2013.1203800000001</v>
      </c>
      <c r="AD206" s="6">
        <f>$O$206*$X$206</f>
        <v>589.26393999999993</v>
      </c>
      <c r="AE206" s="6">
        <f>$K$206*$Y$206</f>
        <v>0</v>
      </c>
      <c r="AF206" s="6">
        <f ca="1">$M$206*$Z$206</f>
        <v>1626.5829834615981</v>
      </c>
      <c r="AG206" s="6">
        <f>$O$206*$AA$206</f>
        <v>535.27621415486931</v>
      </c>
    </row>
    <row r="207" spans="1:33" ht="11.25" customHeight="1" x14ac:dyDescent="0.25">
      <c r="A207" s="4" t="s">
        <v>21</v>
      </c>
      <c r="B207" s="4" t="s">
        <v>38</v>
      </c>
      <c r="C207" s="4" t="s">
        <v>40</v>
      </c>
      <c r="D207" s="4" t="s">
        <v>50</v>
      </c>
      <c r="E207" s="4" t="s">
        <v>25</v>
      </c>
      <c r="F207" s="4" t="s">
        <v>25</v>
      </c>
      <c r="G207" s="4" t="s">
        <v>25</v>
      </c>
      <c r="H207" s="4" t="s">
        <v>34</v>
      </c>
      <c r="I207" s="5">
        <v>44378</v>
      </c>
      <c r="J207" s="6">
        <v>0</v>
      </c>
      <c r="K207" s="6">
        <v>0</v>
      </c>
      <c r="L207" s="6">
        <v>11.233000000000001</v>
      </c>
      <c r="M207" s="6">
        <v>11.233000000000001</v>
      </c>
      <c r="N207" s="6">
        <v>11.233000000000001</v>
      </c>
      <c r="O207" s="6">
        <v>11.233000000000001</v>
      </c>
      <c r="P207" s="6">
        <v>0</v>
      </c>
      <c r="Q207" s="4" t="s">
        <v>26</v>
      </c>
      <c r="R207" s="4">
        <v>0</v>
      </c>
      <c r="S207" s="6">
        <v>0</v>
      </c>
      <c r="T207" s="6">
        <v>14</v>
      </c>
      <c r="U207" s="6">
        <v>42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78.680000000000007</v>
      </c>
      <c r="X207" s="6">
        <f>IF(ISERROR(VLOOKUP($U$207,'TAR FIN'!$A$1:$O$86,15,0)),0,VLOOKUP($U$207,'TAR FIN'!$A$1:$O$86,15,0))</f>
        <v>246.3</v>
      </c>
      <c r="Y207" s="6"/>
      <c r="Z207" s="6">
        <f ca="1">('TUSD BE'!$AM$13+'TUSD BF'!$AM$13+'TUSD CVA'!$AM$13)*1</f>
        <v>100.23755694003805</v>
      </c>
      <c r="AA207" s="6">
        <f>('TE BE'!$AB$6+'TE BF'!$AB$6+'TE CVA'!$AB$6)*1</f>
        <v>219.40364509824883</v>
      </c>
      <c r="AB207" s="6">
        <f>$K$207*$V$207</f>
        <v>0</v>
      </c>
      <c r="AC207" s="6">
        <f>$M$207*$W$207</f>
        <v>883.81244000000015</v>
      </c>
      <c r="AD207" s="6">
        <f>$O$207*$X$207</f>
        <v>2766.6879000000004</v>
      </c>
      <c r="AE207" s="6">
        <f>$K$207*$Y$207</f>
        <v>0</v>
      </c>
      <c r="AF207" s="6">
        <f ca="1">$M$207*$Z$207</f>
        <v>1125.9684771074474</v>
      </c>
      <c r="AG207" s="6">
        <f>$O$207*$AA$207</f>
        <v>2464.561145388629</v>
      </c>
    </row>
    <row r="208" spans="1:33" ht="11.25" customHeight="1" x14ac:dyDescent="0.25">
      <c r="A208" s="4" t="s">
        <v>21</v>
      </c>
      <c r="B208" s="4" t="s">
        <v>38</v>
      </c>
      <c r="C208" s="4" t="s">
        <v>40</v>
      </c>
      <c r="D208" s="4" t="s">
        <v>50</v>
      </c>
      <c r="E208" s="4" t="s">
        <v>25</v>
      </c>
      <c r="F208" s="4" t="s">
        <v>25</v>
      </c>
      <c r="G208" s="4" t="s">
        <v>25</v>
      </c>
      <c r="H208" s="4" t="s">
        <v>34</v>
      </c>
      <c r="I208" s="5">
        <v>44409</v>
      </c>
      <c r="J208" s="6">
        <v>0</v>
      </c>
      <c r="K208" s="6">
        <v>0</v>
      </c>
      <c r="L208" s="6">
        <v>10.305999999999999</v>
      </c>
      <c r="M208" s="6">
        <v>10.305999999999999</v>
      </c>
      <c r="N208" s="6">
        <v>10.305999999999999</v>
      </c>
      <c r="O208" s="6">
        <v>10.305999999999999</v>
      </c>
      <c r="P208" s="6">
        <v>0</v>
      </c>
      <c r="Q208" s="4" t="s">
        <v>26</v>
      </c>
      <c r="R208" s="4">
        <v>0</v>
      </c>
      <c r="S208" s="6">
        <v>0</v>
      </c>
      <c r="T208" s="6">
        <v>14</v>
      </c>
      <c r="U208" s="6">
        <v>42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78.680000000000007</v>
      </c>
      <c r="X208" s="6">
        <f>IF(ISERROR(VLOOKUP($U$208,'TAR FIN'!$A$1:$O$86,15,0)),0,VLOOKUP($U$208,'TAR FIN'!$A$1:$O$86,15,0))</f>
        <v>246.3</v>
      </c>
      <c r="Y208" s="6"/>
      <c r="Z208" s="6">
        <f ca="1">('TUSD BE'!$AM$13+'TUSD BF'!$AM$13+'TUSD CVA'!$AM$13)*1</f>
        <v>100.23755694003805</v>
      </c>
      <c r="AA208" s="6">
        <f>('TE BE'!$AB$6+'TE BF'!$AB$6+'TE CVA'!$AB$6)*1</f>
        <v>219.40364509824883</v>
      </c>
      <c r="AB208" s="6">
        <f>$K$208*$V$208</f>
        <v>0</v>
      </c>
      <c r="AC208" s="6">
        <f>$M$208*$W$208</f>
        <v>810.87608</v>
      </c>
      <c r="AD208" s="6">
        <f>$O$208*$X$208</f>
        <v>2538.3678</v>
      </c>
      <c r="AE208" s="6">
        <f>$K$208*$Y$208</f>
        <v>0</v>
      </c>
      <c r="AF208" s="6">
        <f ca="1">$M$208*$Z$208</f>
        <v>1033.0482618240321</v>
      </c>
      <c r="AG208" s="6">
        <f>$O$208*$AA$208</f>
        <v>2261.1739663825524</v>
      </c>
    </row>
    <row r="209" spans="1:33" ht="11.25" customHeight="1" x14ac:dyDescent="0.25">
      <c r="A209" s="4" t="s">
        <v>21</v>
      </c>
      <c r="B209" s="4" t="s">
        <v>38</v>
      </c>
      <c r="C209" s="4" t="s">
        <v>40</v>
      </c>
      <c r="D209" s="4" t="s">
        <v>50</v>
      </c>
      <c r="E209" s="4" t="s">
        <v>25</v>
      </c>
      <c r="F209" s="4" t="s">
        <v>25</v>
      </c>
      <c r="G209" s="4" t="s">
        <v>25</v>
      </c>
      <c r="H209" s="4" t="s">
        <v>34</v>
      </c>
      <c r="I209" s="5">
        <v>44440</v>
      </c>
      <c r="J209" s="6">
        <v>0</v>
      </c>
      <c r="K209" s="6">
        <v>0</v>
      </c>
      <c r="L209" s="6">
        <v>8.7579999999999991</v>
      </c>
      <c r="M209" s="6">
        <v>8.7579999999999991</v>
      </c>
      <c r="N209" s="6">
        <v>8.7579999999999991</v>
      </c>
      <c r="O209" s="6">
        <v>8.7579999999999991</v>
      </c>
      <c r="P209" s="6">
        <v>0</v>
      </c>
      <c r="Q209" s="4" t="s">
        <v>26</v>
      </c>
      <c r="R209" s="4">
        <v>0</v>
      </c>
      <c r="S209" s="6">
        <v>0</v>
      </c>
      <c r="T209" s="6">
        <v>14</v>
      </c>
      <c r="U209" s="6">
        <v>42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78.680000000000007</v>
      </c>
      <c r="X209" s="6">
        <f>IF(ISERROR(VLOOKUP($U$209,'TAR FIN'!$A$1:$O$86,15,0)),0,VLOOKUP($U$209,'TAR FIN'!$A$1:$O$86,15,0))</f>
        <v>246.3</v>
      </c>
      <c r="Y209" s="6"/>
      <c r="Z209" s="6">
        <f ca="1">('TUSD BE'!$AM$13+'TUSD BF'!$AM$13+'TUSD CVA'!$AM$13)*1</f>
        <v>100.23755694003805</v>
      </c>
      <c r="AA209" s="6">
        <f>('TE BE'!$AB$6+'TE BF'!$AB$6+'TE CVA'!$AB$6)*1</f>
        <v>219.40364509824883</v>
      </c>
      <c r="AB209" s="6">
        <f>$K$209*$V$209</f>
        <v>0</v>
      </c>
      <c r="AC209" s="6">
        <f>$M$209*$W$209</f>
        <v>689.07943999999998</v>
      </c>
      <c r="AD209" s="6">
        <f>$O$209*$X$209</f>
        <v>2157.0953999999997</v>
      </c>
      <c r="AE209" s="6">
        <f>$K$209*$Y$209</f>
        <v>0</v>
      </c>
      <c r="AF209" s="6">
        <f ca="1">$M$209*$Z$209</f>
        <v>877.88052368085312</v>
      </c>
      <c r="AG209" s="6">
        <f>$O$209*$AA$209</f>
        <v>1921.537123770463</v>
      </c>
    </row>
    <row r="210" spans="1:33" ht="11.25" customHeight="1" x14ac:dyDescent="0.25">
      <c r="A210" s="4" t="s">
        <v>21</v>
      </c>
      <c r="B210" s="4" t="s">
        <v>38</v>
      </c>
      <c r="C210" s="4" t="s">
        <v>40</v>
      </c>
      <c r="D210" s="4" t="s">
        <v>50</v>
      </c>
      <c r="E210" s="4" t="s">
        <v>25</v>
      </c>
      <c r="F210" s="4" t="s">
        <v>25</v>
      </c>
      <c r="G210" s="4" t="s">
        <v>25</v>
      </c>
      <c r="H210" s="4" t="s">
        <v>34</v>
      </c>
      <c r="I210" s="5">
        <v>44470</v>
      </c>
      <c r="J210" s="6">
        <v>0</v>
      </c>
      <c r="K210" s="6">
        <v>0</v>
      </c>
      <c r="L210" s="6">
        <v>9.0060000000000002</v>
      </c>
      <c r="M210" s="6">
        <v>9.0060000000000002</v>
      </c>
      <c r="N210" s="6">
        <v>9.0060000000000002</v>
      </c>
      <c r="O210" s="6">
        <v>9.0060000000000002</v>
      </c>
      <c r="P210" s="6">
        <v>0</v>
      </c>
      <c r="Q210" s="4" t="s">
        <v>26</v>
      </c>
      <c r="R210" s="4">
        <v>0</v>
      </c>
      <c r="S210" s="6">
        <v>0</v>
      </c>
      <c r="T210" s="6">
        <v>14</v>
      </c>
      <c r="U210" s="6">
        <v>42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78.680000000000007</v>
      </c>
      <c r="X210" s="6">
        <f>IF(ISERROR(VLOOKUP($U$210,'TAR FIN'!$A$1:$O$86,15,0)),0,VLOOKUP($U$210,'TAR FIN'!$A$1:$O$86,15,0))</f>
        <v>246.3</v>
      </c>
      <c r="Y210" s="6"/>
      <c r="Z210" s="6">
        <f ca="1">('TUSD BE'!$AM$13+'TUSD BF'!$AM$13+'TUSD CVA'!$AM$13)*1</f>
        <v>100.23755694003805</v>
      </c>
      <c r="AA210" s="6">
        <f>('TE BE'!$AB$6+'TE BF'!$AB$6+'TE CVA'!$AB$6)*1</f>
        <v>219.40364509824883</v>
      </c>
      <c r="AB210" s="6">
        <f>$K$210*$V$210</f>
        <v>0</v>
      </c>
      <c r="AC210" s="6">
        <f>$M$210*$W$210</f>
        <v>708.59208000000012</v>
      </c>
      <c r="AD210" s="6">
        <f>$O$210*$X$210</f>
        <v>2218.1777999999999</v>
      </c>
      <c r="AE210" s="6">
        <f>$K$210*$Y$210</f>
        <v>0</v>
      </c>
      <c r="AF210" s="6">
        <f ca="1">$M$210*$Z$210</f>
        <v>902.73943780198272</v>
      </c>
      <c r="AG210" s="6">
        <f>$O$210*$AA$210</f>
        <v>1975.9492277548291</v>
      </c>
    </row>
    <row r="211" spans="1:33" ht="11.25" customHeight="1" x14ac:dyDescent="0.25">
      <c r="A211" s="4" t="s">
        <v>21</v>
      </c>
      <c r="B211" s="4" t="s">
        <v>38</v>
      </c>
      <c r="C211" s="4" t="s">
        <v>40</v>
      </c>
      <c r="D211" s="4" t="s">
        <v>50</v>
      </c>
      <c r="E211" s="4" t="s">
        <v>25</v>
      </c>
      <c r="F211" s="4" t="s">
        <v>25</v>
      </c>
      <c r="G211" s="4" t="s">
        <v>25</v>
      </c>
      <c r="H211" s="4" t="s">
        <v>34</v>
      </c>
      <c r="I211" s="5">
        <v>44501</v>
      </c>
      <c r="J211" s="6">
        <v>0</v>
      </c>
      <c r="K211" s="6">
        <v>0</v>
      </c>
      <c r="L211" s="6">
        <v>10.497</v>
      </c>
      <c r="M211" s="6">
        <v>10.497</v>
      </c>
      <c r="N211" s="6">
        <v>10.497</v>
      </c>
      <c r="O211" s="6">
        <v>10.497</v>
      </c>
      <c r="P211" s="6">
        <v>0</v>
      </c>
      <c r="Q211" s="4" t="s">
        <v>26</v>
      </c>
      <c r="R211" s="4">
        <v>0</v>
      </c>
      <c r="S211" s="6">
        <v>0</v>
      </c>
      <c r="T211" s="6">
        <v>14</v>
      </c>
      <c r="U211" s="6">
        <v>42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78.680000000000007</v>
      </c>
      <c r="X211" s="6">
        <f>IF(ISERROR(VLOOKUP($U$211,'TAR FIN'!$A$1:$O$86,15,0)),0,VLOOKUP($U$211,'TAR FIN'!$A$1:$O$86,15,0))</f>
        <v>246.3</v>
      </c>
      <c r="Y211" s="6"/>
      <c r="Z211" s="6">
        <f ca="1">('TUSD BE'!$AM$13+'TUSD BF'!$AM$13+'TUSD CVA'!$AM$13)*1</f>
        <v>100.23755694003805</v>
      </c>
      <c r="AA211" s="6">
        <f>('TE BE'!$AB$6+'TE BF'!$AB$6+'TE CVA'!$AB$6)*1</f>
        <v>219.40364509824883</v>
      </c>
      <c r="AB211" s="6">
        <f>$K$211*$V$211</f>
        <v>0</v>
      </c>
      <c r="AC211" s="6">
        <f>$M$211*$W$211</f>
        <v>825.9039600000001</v>
      </c>
      <c r="AD211" s="6">
        <f>$O$211*$X$211</f>
        <v>2585.4111000000003</v>
      </c>
      <c r="AE211" s="6">
        <f>$K$211*$Y$211</f>
        <v>0</v>
      </c>
      <c r="AF211" s="6">
        <f ca="1">$M$211*$Z$211</f>
        <v>1052.1936351995794</v>
      </c>
      <c r="AG211" s="6">
        <f>$O$211*$AA$211</f>
        <v>2303.0800625963179</v>
      </c>
    </row>
    <row r="212" spans="1:33" ht="11.25" customHeight="1" x14ac:dyDescent="0.25">
      <c r="A212" s="4" t="s">
        <v>21</v>
      </c>
      <c r="B212" s="4" t="s">
        <v>38</v>
      </c>
      <c r="C212" s="4" t="s">
        <v>40</v>
      </c>
      <c r="D212" s="4" t="s">
        <v>50</v>
      </c>
      <c r="E212" s="4" t="s">
        <v>25</v>
      </c>
      <c r="F212" s="4" t="s">
        <v>25</v>
      </c>
      <c r="G212" s="4" t="s">
        <v>25</v>
      </c>
      <c r="H212" s="4" t="s">
        <v>34</v>
      </c>
      <c r="I212" s="5">
        <v>44531</v>
      </c>
      <c r="J212" s="6">
        <v>0</v>
      </c>
      <c r="K212" s="6">
        <v>0</v>
      </c>
      <c r="L212" s="6">
        <v>12.769</v>
      </c>
      <c r="M212" s="6">
        <v>12.769</v>
      </c>
      <c r="N212" s="6">
        <v>12.769</v>
      </c>
      <c r="O212" s="6">
        <v>12.769</v>
      </c>
      <c r="P212" s="6">
        <v>0</v>
      </c>
      <c r="Q212" s="4" t="s">
        <v>26</v>
      </c>
      <c r="R212" s="4">
        <v>0</v>
      </c>
      <c r="S212" s="6">
        <v>0</v>
      </c>
      <c r="T212" s="6">
        <v>14</v>
      </c>
      <c r="U212" s="6">
        <v>42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78.680000000000007</v>
      </c>
      <c r="X212" s="6">
        <f>IF(ISERROR(VLOOKUP($U$212,'TAR FIN'!$A$1:$O$86,15,0)),0,VLOOKUP($U$212,'TAR FIN'!$A$1:$O$86,15,0))</f>
        <v>246.3</v>
      </c>
      <c r="Y212" s="6"/>
      <c r="Z212" s="6">
        <f ca="1">('TUSD BE'!$AM$13+'TUSD BF'!$AM$13+'TUSD CVA'!$AM$13)*1</f>
        <v>100.23755694003805</v>
      </c>
      <c r="AA212" s="6">
        <f>('TE BE'!$AB$6+'TE BF'!$AB$6+'TE CVA'!$AB$6)*1</f>
        <v>219.40364509824883</v>
      </c>
      <c r="AB212" s="6">
        <f>$K$212*$V$212</f>
        <v>0</v>
      </c>
      <c r="AC212" s="6">
        <f>$M$212*$W$212</f>
        <v>1004.6649200000001</v>
      </c>
      <c r="AD212" s="6">
        <f>$O$212*$X$212</f>
        <v>3145.0047</v>
      </c>
      <c r="AE212" s="6">
        <f>$K$212*$Y$212</f>
        <v>0</v>
      </c>
      <c r="AF212" s="6">
        <f ca="1">$M$212*$Z$212</f>
        <v>1279.9333645673457</v>
      </c>
      <c r="AG212" s="6">
        <f>$O$212*$AA$212</f>
        <v>2801.5651442595395</v>
      </c>
    </row>
    <row r="213" spans="1:33" ht="11.25" customHeight="1" x14ac:dyDescent="0.25">
      <c r="A213" s="4" t="s">
        <v>21</v>
      </c>
      <c r="B213" s="4" t="s">
        <v>38</v>
      </c>
      <c r="C213" s="4" t="s">
        <v>40</v>
      </c>
      <c r="D213" s="4" t="s">
        <v>50</v>
      </c>
      <c r="E213" s="4" t="s">
        <v>25</v>
      </c>
      <c r="F213" s="4" t="s">
        <v>25</v>
      </c>
      <c r="G213" s="4" t="s">
        <v>25</v>
      </c>
      <c r="H213" s="4" t="s">
        <v>34</v>
      </c>
      <c r="I213" s="5">
        <v>44562</v>
      </c>
      <c r="J213" s="6">
        <v>0</v>
      </c>
      <c r="K213" s="6">
        <v>0</v>
      </c>
      <c r="L213" s="6">
        <v>13.202</v>
      </c>
      <c r="M213" s="6">
        <v>13.202</v>
      </c>
      <c r="N213" s="6">
        <v>13.202</v>
      </c>
      <c r="O213" s="6">
        <v>13.202</v>
      </c>
      <c r="P213" s="6">
        <v>0</v>
      </c>
      <c r="Q213" s="4" t="s">
        <v>26</v>
      </c>
      <c r="R213" s="4">
        <v>0</v>
      </c>
      <c r="S213" s="6">
        <v>0</v>
      </c>
      <c r="T213" s="6">
        <v>14</v>
      </c>
      <c r="U213" s="6">
        <v>42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78.680000000000007</v>
      </c>
      <c r="X213" s="6">
        <f>IF(ISERROR(VLOOKUP($U$213,'TAR FIN'!$A$1:$O$86,15,0)),0,VLOOKUP($U$213,'TAR FIN'!$A$1:$O$86,15,0))</f>
        <v>246.3</v>
      </c>
      <c r="Y213" s="6"/>
      <c r="Z213" s="6">
        <f ca="1">('TUSD BE'!$AM$13+'TUSD BF'!$AM$13+'TUSD CVA'!$AM$13)*1</f>
        <v>100.23755694003805</v>
      </c>
      <c r="AA213" s="6">
        <f>('TE BE'!$AB$6+'TE BF'!$AB$6+'TE CVA'!$AB$6)*1</f>
        <v>219.40364509824883</v>
      </c>
      <c r="AB213" s="6">
        <f>$K$213*$V$213</f>
        <v>0</v>
      </c>
      <c r="AC213" s="6">
        <f>$M$213*$W$213</f>
        <v>1038.7333600000002</v>
      </c>
      <c r="AD213" s="6">
        <f>$O$213*$X$213</f>
        <v>3251.6526000000003</v>
      </c>
      <c r="AE213" s="6">
        <f>$K$213*$Y$213</f>
        <v>0</v>
      </c>
      <c r="AF213" s="6">
        <f ca="1">$M$213*$Z$213</f>
        <v>1323.3362267223822</v>
      </c>
      <c r="AG213" s="6">
        <f>$O$213*$AA$213</f>
        <v>2896.5669225870811</v>
      </c>
    </row>
    <row r="214" spans="1:33" ht="11.25" customHeight="1" x14ac:dyDescent="0.25">
      <c r="A214" s="4" t="s">
        <v>21</v>
      </c>
      <c r="B214" s="4" t="s">
        <v>38</v>
      </c>
      <c r="C214" s="4" t="s">
        <v>40</v>
      </c>
      <c r="D214" s="4" t="s">
        <v>50</v>
      </c>
      <c r="E214" s="4" t="s">
        <v>25</v>
      </c>
      <c r="F214" s="4" t="s">
        <v>25</v>
      </c>
      <c r="G214" s="4" t="s">
        <v>25</v>
      </c>
      <c r="H214" s="4" t="s">
        <v>34</v>
      </c>
      <c r="I214" s="5">
        <v>44593</v>
      </c>
      <c r="J214" s="6">
        <v>0</v>
      </c>
      <c r="K214" s="6">
        <v>0</v>
      </c>
      <c r="L214" s="6">
        <v>11.307</v>
      </c>
      <c r="M214" s="6">
        <v>11.307</v>
      </c>
      <c r="N214" s="6">
        <v>11.307</v>
      </c>
      <c r="O214" s="6">
        <v>11.307</v>
      </c>
      <c r="P214" s="6">
        <v>0</v>
      </c>
      <c r="Q214" s="4" t="s">
        <v>26</v>
      </c>
      <c r="R214" s="4">
        <v>0</v>
      </c>
      <c r="S214" s="6">
        <v>0</v>
      </c>
      <c r="T214" s="6">
        <v>14</v>
      </c>
      <c r="U214" s="6">
        <v>42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78.680000000000007</v>
      </c>
      <c r="X214" s="6">
        <f>IF(ISERROR(VLOOKUP($U$214,'TAR FIN'!$A$1:$O$86,15,0)),0,VLOOKUP($U$214,'TAR FIN'!$A$1:$O$86,15,0))</f>
        <v>246.3</v>
      </c>
      <c r="Y214" s="6"/>
      <c r="Z214" s="6">
        <f ca="1">('TUSD BE'!$AM$13+'TUSD BF'!$AM$13+'TUSD CVA'!$AM$13)*1</f>
        <v>100.23755694003805</v>
      </c>
      <c r="AA214" s="6">
        <f>('TE BE'!$AB$6+'TE BF'!$AB$6+'TE CVA'!$AB$6)*1</f>
        <v>219.40364509824883</v>
      </c>
      <c r="AB214" s="6">
        <f>$K$214*$V$214</f>
        <v>0</v>
      </c>
      <c r="AC214" s="6">
        <f>$M$214*$W$214</f>
        <v>889.63476000000014</v>
      </c>
      <c r="AD214" s="6">
        <f>$O$214*$X$214</f>
        <v>2784.9141000000004</v>
      </c>
      <c r="AE214" s="6">
        <f>$K$214*$Y$214</f>
        <v>0</v>
      </c>
      <c r="AF214" s="6">
        <f ca="1">$M$214*$Z$214</f>
        <v>1133.3860563210103</v>
      </c>
      <c r="AG214" s="6">
        <f>$O$214*$AA$214</f>
        <v>2480.7970151258996</v>
      </c>
    </row>
    <row r="215" spans="1:33" ht="11.25" customHeight="1" x14ac:dyDescent="0.25">
      <c r="A215" s="4" t="s">
        <v>21</v>
      </c>
      <c r="B215" s="4" t="s">
        <v>38</v>
      </c>
      <c r="C215" s="4" t="s">
        <v>40</v>
      </c>
      <c r="D215" s="4" t="s">
        <v>50</v>
      </c>
      <c r="E215" s="4" t="s">
        <v>25</v>
      </c>
      <c r="F215" s="4" t="s">
        <v>25</v>
      </c>
      <c r="G215" s="4" t="s">
        <v>25</v>
      </c>
      <c r="H215" s="4" t="s">
        <v>34</v>
      </c>
      <c r="I215" s="5">
        <v>44621</v>
      </c>
      <c r="J215" s="6">
        <v>0</v>
      </c>
      <c r="K215" s="6">
        <v>0</v>
      </c>
      <c r="L215" s="6">
        <v>10.997</v>
      </c>
      <c r="M215" s="6">
        <v>10.997</v>
      </c>
      <c r="N215" s="6">
        <v>10.997</v>
      </c>
      <c r="O215" s="6">
        <v>10.997</v>
      </c>
      <c r="P215" s="6">
        <v>0</v>
      </c>
      <c r="Q215" s="4" t="s">
        <v>26</v>
      </c>
      <c r="R215" s="4">
        <v>0</v>
      </c>
      <c r="S215" s="6">
        <v>0</v>
      </c>
      <c r="T215" s="6">
        <v>14</v>
      </c>
      <c r="U215" s="6">
        <v>42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78.680000000000007</v>
      </c>
      <c r="X215" s="6">
        <f>IF(ISERROR(VLOOKUP($U$215,'TAR FIN'!$A$1:$O$86,15,0)),0,VLOOKUP($U$215,'TAR FIN'!$A$1:$O$86,15,0))</f>
        <v>246.3</v>
      </c>
      <c r="Y215" s="6"/>
      <c r="Z215" s="6">
        <f ca="1">('TUSD BE'!$AM$13+'TUSD BF'!$AM$13+'TUSD CVA'!$AM$13)*1</f>
        <v>100.23755694003805</v>
      </c>
      <c r="AA215" s="6">
        <f>('TE BE'!$AB$6+'TE BF'!$AB$6+'TE CVA'!$AB$6)*1</f>
        <v>219.40364509824883</v>
      </c>
      <c r="AB215" s="6">
        <f>$K$215*$V$215</f>
        <v>0</v>
      </c>
      <c r="AC215" s="6">
        <f>$M$215*$W$215</f>
        <v>865.24396000000002</v>
      </c>
      <c r="AD215" s="6">
        <f>$O$215*$X$215</f>
        <v>2708.5610999999999</v>
      </c>
      <c r="AE215" s="6">
        <f>$K$215*$Y$215</f>
        <v>0</v>
      </c>
      <c r="AF215" s="6">
        <f ca="1">$M$215*$Z$215</f>
        <v>1102.3124136695983</v>
      </c>
      <c r="AG215" s="6">
        <f>$O$215*$AA$215</f>
        <v>2412.7818851454422</v>
      </c>
    </row>
    <row r="216" spans="1:33" ht="11.25" customHeight="1" x14ac:dyDescent="0.25">
      <c r="A216" s="4" t="s">
        <v>21</v>
      </c>
      <c r="B216" s="4" t="s">
        <v>38</v>
      </c>
      <c r="C216" s="4" t="s">
        <v>40</v>
      </c>
      <c r="D216" s="4" t="s">
        <v>50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44652</v>
      </c>
      <c r="J216" s="6">
        <v>0</v>
      </c>
      <c r="K216" s="6">
        <v>0</v>
      </c>
      <c r="L216" s="6">
        <v>8.1660000000000004</v>
      </c>
      <c r="M216" s="6">
        <v>8.1660000000000004</v>
      </c>
      <c r="N216" s="6">
        <v>8.1660000000000004</v>
      </c>
      <c r="O216" s="6">
        <v>8.1660000000000004</v>
      </c>
      <c r="P216" s="6">
        <v>0</v>
      </c>
      <c r="Q216" s="4" t="s">
        <v>26</v>
      </c>
      <c r="R216" s="4">
        <v>0</v>
      </c>
      <c r="S216" s="6">
        <v>0</v>
      </c>
      <c r="T216" s="6">
        <v>14</v>
      </c>
      <c r="U216" s="6">
        <v>42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78.680000000000007</v>
      </c>
      <c r="X216" s="6">
        <f>IF(ISERROR(VLOOKUP($U$216,'TAR FIN'!$A$1:$O$86,15,0)),0,VLOOKUP($U$216,'TAR FIN'!$A$1:$O$86,15,0))</f>
        <v>246.3</v>
      </c>
      <c r="Y216" s="6"/>
      <c r="Z216" s="6">
        <f ca="1">('TUSD BE'!$AM$13+'TUSD BF'!$AM$13+'TUSD CVA'!$AM$13)*1</f>
        <v>100.23755694003805</v>
      </c>
      <c r="AA216" s="6">
        <f>('TE BE'!$AB$6+'TE BF'!$AB$6+'TE CVA'!$AB$6)*1</f>
        <v>219.40364509824883</v>
      </c>
      <c r="AB216" s="6">
        <f>$K$216*$V$216</f>
        <v>0</v>
      </c>
      <c r="AC216" s="6">
        <f>$M$216*$W$216</f>
        <v>642.50088000000005</v>
      </c>
      <c r="AD216" s="6">
        <f>$O$216*$X$216</f>
        <v>2011.2858000000001</v>
      </c>
      <c r="AE216" s="6">
        <f>$K$216*$Y$216</f>
        <v>0</v>
      </c>
      <c r="AF216" s="6">
        <f ca="1">$M$216*$Z$216</f>
        <v>818.53988997235069</v>
      </c>
      <c r="AG216" s="6">
        <f>$O$216*$AA$216</f>
        <v>1791.6501658723</v>
      </c>
    </row>
    <row r="217" spans="1:33" ht="11.25" customHeight="1" x14ac:dyDescent="0.25">
      <c r="A217" s="4" t="s">
        <v>21</v>
      </c>
      <c r="B217" s="4" t="s">
        <v>38</v>
      </c>
      <c r="C217" s="4" t="s">
        <v>40</v>
      </c>
      <c r="D217" s="4" t="s">
        <v>50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44682</v>
      </c>
      <c r="J217" s="6">
        <v>0</v>
      </c>
      <c r="K217" s="6">
        <v>0</v>
      </c>
      <c r="L217" s="6">
        <v>10.173</v>
      </c>
      <c r="M217" s="6">
        <v>10.173</v>
      </c>
      <c r="N217" s="6">
        <v>10.173</v>
      </c>
      <c r="O217" s="6">
        <v>10.173</v>
      </c>
      <c r="P217" s="6">
        <v>0</v>
      </c>
      <c r="Q217" s="4" t="s">
        <v>26</v>
      </c>
      <c r="R217" s="4">
        <v>0</v>
      </c>
      <c r="S217" s="6">
        <v>0</v>
      </c>
      <c r="T217" s="6">
        <v>14</v>
      </c>
      <c r="U217" s="6">
        <v>42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78.680000000000007</v>
      </c>
      <c r="X217" s="6">
        <f>IF(ISERROR(VLOOKUP($U$217,'TAR FIN'!$A$1:$O$86,15,0)),0,VLOOKUP($U$217,'TAR FIN'!$A$1:$O$86,15,0))</f>
        <v>246.3</v>
      </c>
      <c r="Y217" s="6"/>
      <c r="Z217" s="6">
        <f ca="1">('TUSD BE'!$AM$13+'TUSD BF'!$AM$13+'TUSD CVA'!$AM$13)*1</f>
        <v>100.23755694003805</v>
      </c>
      <c r="AA217" s="6">
        <f>('TE BE'!$AB$6+'TE BF'!$AB$6+'TE CVA'!$AB$6)*1</f>
        <v>219.40364509824883</v>
      </c>
      <c r="AB217" s="6">
        <f>$K$217*$V$217</f>
        <v>0</v>
      </c>
      <c r="AC217" s="6">
        <f>$M$217*$W$217</f>
        <v>800.41164000000003</v>
      </c>
      <c r="AD217" s="6">
        <f>$O$217*$X$217</f>
        <v>2505.6098999999999</v>
      </c>
      <c r="AE217" s="6">
        <f>$K$217*$Y$217</f>
        <v>0</v>
      </c>
      <c r="AF217" s="6">
        <f ca="1">$M$217*$Z$217</f>
        <v>1019.7166667510071</v>
      </c>
      <c r="AG217" s="6">
        <f>$O$217*$AA$217</f>
        <v>2231.9932815844854</v>
      </c>
    </row>
    <row r="218" spans="1:33" ht="11.25" customHeight="1" x14ac:dyDescent="0.25">
      <c r="A218" s="4" t="s">
        <v>56</v>
      </c>
      <c r="B218" s="4" t="s">
        <v>38</v>
      </c>
      <c r="C218" s="4" t="s">
        <v>40</v>
      </c>
      <c r="D218" s="4" t="s">
        <v>50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44713</v>
      </c>
      <c r="J218" s="6">
        <v>0</v>
      </c>
      <c r="K218" s="6">
        <v>0</v>
      </c>
      <c r="L218" s="6">
        <v>10.173</v>
      </c>
      <c r="M218" s="6">
        <v>10.173</v>
      </c>
      <c r="N218" s="6">
        <v>10.173</v>
      </c>
      <c r="O218" s="6">
        <v>10.173</v>
      </c>
      <c r="P218" s="6">
        <v>0</v>
      </c>
      <c r="Q218" s="4" t="s">
        <v>26</v>
      </c>
      <c r="R218" s="4">
        <v>0</v>
      </c>
      <c r="S218" s="6">
        <v>0</v>
      </c>
      <c r="T218" s="6">
        <v>14</v>
      </c>
      <c r="U218" s="6">
        <v>42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78.680000000000007</v>
      </c>
      <c r="X218" s="6">
        <f>IF(ISERROR(VLOOKUP($U$218,'TAR FIN'!$A$1:$O$86,15,0)),0,VLOOKUP($U$218,'TAR FIN'!$A$1:$O$86,15,0))</f>
        <v>246.3</v>
      </c>
      <c r="Y218" s="6"/>
      <c r="Z218" s="6">
        <f ca="1">('TUSD BE'!$AM$13+'TUSD BF'!$AM$13+'TUSD CVA'!$AM$13)*1</f>
        <v>100.23755694003805</v>
      </c>
      <c r="AA218" s="6">
        <f>('TE BE'!$AB$6+'TE BF'!$AB$6+'TE CVA'!$AB$6)*1</f>
        <v>219.40364509824883</v>
      </c>
      <c r="AB218" s="6">
        <f>$K$218*$V$218</f>
        <v>0</v>
      </c>
      <c r="AC218" s="6">
        <f>$M$218*$W$218</f>
        <v>800.41164000000003</v>
      </c>
      <c r="AD218" s="6">
        <f>$O$218*$X$218</f>
        <v>2505.6098999999999</v>
      </c>
      <c r="AE218" s="6">
        <f>$K$218*$Y$218</f>
        <v>0</v>
      </c>
      <c r="AF218" s="6">
        <f ca="1">$M$218*$Z$218</f>
        <v>1019.7166667510071</v>
      </c>
      <c r="AG218" s="6">
        <f>$O$218*$AA$218</f>
        <v>2231.9932815844854</v>
      </c>
    </row>
    <row r="219" spans="1:33" ht="11.25" customHeight="1" x14ac:dyDescent="0.25">
      <c r="A219" s="4" t="s">
        <v>21</v>
      </c>
      <c r="B219" s="4" t="s">
        <v>38</v>
      </c>
      <c r="C219" s="4" t="s">
        <v>40</v>
      </c>
      <c r="D219" s="4" t="s">
        <v>50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44378</v>
      </c>
      <c r="J219" s="6">
        <v>53</v>
      </c>
      <c r="K219" s="6">
        <v>53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4" t="s">
        <v>26</v>
      </c>
      <c r="R219" s="4">
        <v>0</v>
      </c>
      <c r="S219" s="6">
        <v>18</v>
      </c>
      <c r="T219" s="6">
        <v>0</v>
      </c>
      <c r="U219" s="6">
        <v>0</v>
      </c>
      <c r="V219" s="6">
        <f>IF(ISERROR(VLOOKUP($S$219,'TAR FIN'!$A$1:$O$86,15,0)),0,VLOOKUP($S$219,'TAR FIN'!$A$1:$O$86,15,0))</f>
        <v>19.239999999999998</v>
      </c>
      <c r="W219" s="6">
        <f>IF(ISERROR(VLOOKUP($T$219,'TAR FIN'!$A$1:$O$86,15,0)),0,VLOOKUP($T$219,'TAR FIN'!$A$1:$O$86,15,0))</f>
        <v>0</v>
      </c>
      <c r="X219" s="6">
        <f>IF(ISERROR(VLOOKUP($U$219,'TAR FIN'!$A$1:$O$86,15,0)),0,VLOOKUP($U$219,'TAR FIN'!$A$1:$O$86,15,0))</f>
        <v>0</v>
      </c>
      <c r="Y219" s="6">
        <f ca="1">('TUSD BE'!$AM$11+'TUSD BF'!$AM$11+'TUSD CVA'!$AM$11)*1</f>
        <v>15.19295792072058</v>
      </c>
      <c r="Z219" s="6"/>
      <c r="AA219" s="6"/>
      <c r="AB219" s="6">
        <f>$K$219*$V$219</f>
        <v>1019.7199999999999</v>
      </c>
      <c r="AC219" s="6">
        <f>$M$219*$W$219</f>
        <v>0</v>
      </c>
      <c r="AD219" s="6">
        <f>$O$219*$X$219</f>
        <v>0</v>
      </c>
      <c r="AE219" s="6">
        <f ca="1">$K$219*$Y$219</f>
        <v>805.22676979819073</v>
      </c>
      <c r="AF219" s="6">
        <f>$M$219*$Z$219</f>
        <v>0</v>
      </c>
      <c r="AG219" s="6">
        <f>$O$219*$AA$219</f>
        <v>0</v>
      </c>
    </row>
    <row r="220" spans="1:33" ht="11.25" customHeight="1" x14ac:dyDescent="0.25">
      <c r="A220" s="4" t="s">
        <v>21</v>
      </c>
      <c r="B220" s="4" t="s">
        <v>38</v>
      </c>
      <c r="C220" s="4" t="s">
        <v>40</v>
      </c>
      <c r="D220" s="4" t="s">
        <v>50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44409</v>
      </c>
      <c r="J220" s="6">
        <v>50</v>
      </c>
      <c r="K220" s="6">
        <v>50</v>
      </c>
      <c r="L220" s="6">
        <v>0</v>
      </c>
      <c r="M220" s="6">
        <v>0</v>
      </c>
      <c r="N220" s="6">
        <v>0</v>
      </c>
      <c r="O220" s="6">
        <v>0</v>
      </c>
      <c r="P220" s="6">
        <v>1</v>
      </c>
      <c r="Q220" s="4" t="s">
        <v>26</v>
      </c>
      <c r="R220" s="4">
        <v>0</v>
      </c>
      <c r="S220" s="6">
        <v>18</v>
      </c>
      <c r="T220" s="6">
        <v>0</v>
      </c>
      <c r="U220" s="6">
        <v>0</v>
      </c>
      <c r="V220" s="6">
        <f>IF(ISERROR(VLOOKUP($S$220,'TAR FIN'!$A$1:$O$86,15,0)),0,VLOOKUP($S$220,'TAR FIN'!$A$1:$O$86,15,0))</f>
        <v>19.239999999999998</v>
      </c>
      <c r="W220" s="6">
        <f>IF(ISERROR(VLOOKUP($T$220,'TAR FIN'!$A$1:$O$86,15,0)),0,VLOOKUP($T$220,'TAR FIN'!$A$1:$O$86,15,0))</f>
        <v>0</v>
      </c>
      <c r="X220" s="6">
        <f>IF(ISERROR(VLOOKUP($U$220,'TAR FIN'!$A$1:$O$86,15,0)),0,VLOOKUP($U$220,'TAR FIN'!$A$1:$O$86,15,0))</f>
        <v>0</v>
      </c>
      <c r="Y220" s="6">
        <f ca="1">('TUSD BE'!$AM$11+'TUSD BF'!$AM$11+'TUSD CVA'!$AM$11)*1</f>
        <v>15.19295792072058</v>
      </c>
      <c r="Z220" s="6"/>
      <c r="AA220" s="6"/>
      <c r="AB220" s="6">
        <f>$K$220*$V$220</f>
        <v>961.99999999999989</v>
      </c>
      <c r="AC220" s="6">
        <f>$M$220*$W$220</f>
        <v>0</v>
      </c>
      <c r="AD220" s="6">
        <f>$O$220*$X$220</f>
        <v>0</v>
      </c>
      <c r="AE220" s="6">
        <f ca="1">$K$220*$Y$220</f>
        <v>759.64789603602901</v>
      </c>
      <c r="AF220" s="6">
        <f>$M$220*$Z$220</f>
        <v>0</v>
      </c>
      <c r="AG220" s="6">
        <f>$O$220*$AA$220</f>
        <v>0</v>
      </c>
    </row>
    <row r="221" spans="1:33" ht="11.25" customHeight="1" x14ac:dyDescent="0.25">
      <c r="A221" s="4" t="s">
        <v>21</v>
      </c>
      <c r="B221" s="4" t="s">
        <v>38</v>
      </c>
      <c r="C221" s="4" t="s">
        <v>40</v>
      </c>
      <c r="D221" s="4" t="s">
        <v>50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30</v>
      </c>
      <c r="K221" s="6">
        <v>30</v>
      </c>
      <c r="L221" s="6">
        <v>0</v>
      </c>
      <c r="M221" s="6">
        <v>0</v>
      </c>
      <c r="N221" s="6">
        <v>0</v>
      </c>
      <c r="O221" s="6">
        <v>0</v>
      </c>
      <c r="P221" s="6">
        <v>1</v>
      </c>
      <c r="Q221" s="4" t="s">
        <v>26</v>
      </c>
      <c r="R221" s="4">
        <v>0</v>
      </c>
      <c r="S221" s="6">
        <v>18</v>
      </c>
      <c r="T221" s="6">
        <v>0</v>
      </c>
      <c r="U221" s="6">
        <v>0</v>
      </c>
      <c r="V221" s="6">
        <f>IF(ISERROR(VLOOKUP($S$221,'TAR FIN'!$A$1:$O$86,15,0)),0,VLOOKUP($S$221,'TAR FIN'!$A$1:$O$86,15,0))</f>
        <v>19.239999999999998</v>
      </c>
      <c r="W221" s="6">
        <f>IF(ISERROR(VLOOKUP($T$221,'TAR FIN'!$A$1:$O$86,15,0)),0,VLOOKUP($T$221,'TAR FIN'!$A$1:$O$86,15,0))</f>
        <v>0</v>
      </c>
      <c r="X221" s="6">
        <f>IF(ISERROR(VLOOKUP($U$221,'TAR FIN'!$A$1:$O$86,15,0)),0,VLOOKUP($U$221,'TAR FIN'!$A$1:$O$86,15,0))</f>
        <v>0</v>
      </c>
      <c r="Y221" s="6">
        <f ca="1">('TUSD BE'!$AM$11+'TUSD BF'!$AM$11+'TUSD CVA'!$AM$11)*1</f>
        <v>15.19295792072058</v>
      </c>
      <c r="Z221" s="6"/>
      <c r="AA221" s="6"/>
      <c r="AB221" s="6">
        <f>$K$221*$V$221</f>
        <v>577.19999999999993</v>
      </c>
      <c r="AC221" s="6">
        <f>$M$221*$W$221</f>
        <v>0</v>
      </c>
      <c r="AD221" s="6">
        <f>$O$221*$X$221</f>
        <v>0</v>
      </c>
      <c r="AE221" s="6">
        <f ca="1">$K$221*$Y$221</f>
        <v>455.78873762161743</v>
      </c>
      <c r="AF221" s="6">
        <f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38</v>
      </c>
      <c r="C222" s="4" t="s">
        <v>40</v>
      </c>
      <c r="D222" s="4" t="s">
        <v>50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38</v>
      </c>
      <c r="K222" s="6">
        <v>38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4" t="s">
        <v>26</v>
      </c>
      <c r="R222" s="4">
        <v>0</v>
      </c>
      <c r="S222" s="6">
        <v>18</v>
      </c>
      <c r="T222" s="6">
        <v>0</v>
      </c>
      <c r="U222" s="6">
        <v>0</v>
      </c>
      <c r="V222" s="6">
        <f>IF(ISERROR(VLOOKUP($S$222,'TAR FIN'!$A$1:$O$86,15,0)),0,VLOOKUP($S$222,'TAR FIN'!$A$1:$O$86,15,0))</f>
        <v>19.239999999999998</v>
      </c>
      <c r="W222" s="6">
        <f>IF(ISERROR(VLOOKUP($T$222,'TAR FIN'!$A$1:$O$86,15,0)),0,VLOOKUP($T$222,'TAR FIN'!$A$1:$O$86,15,0))</f>
        <v>0</v>
      </c>
      <c r="X222" s="6">
        <f>IF(ISERROR(VLOOKUP($U$222,'TAR FIN'!$A$1:$O$86,15,0)),0,VLOOKUP($U$222,'TAR FIN'!$A$1:$O$86,15,0))</f>
        <v>0</v>
      </c>
      <c r="Y222" s="6">
        <f ca="1">('TUSD BE'!$AM$11+'TUSD BF'!$AM$11+'TUSD CVA'!$AM$11)*1</f>
        <v>15.19295792072058</v>
      </c>
      <c r="Z222" s="6"/>
      <c r="AA222" s="6"/>
      <c r="AB222" s="6">
        <f>$K$222*$V$222</f>
        <v>731.11999999999989</v>
      </c>
      <c r="AC222" s="6">
        <f>$M$222*$W$222</f>
        <v>0</v>
      </c>
      <c r="AD222" s="6">
        <f>$O$222*$X$222</f>
        <v>0</v>
      </c>
      <c r="AE222" s="6">
        <f ca="1">$K$222*$Y$222</f>
        <v>577.33240098738202</v>
      </c>
      <c r="AF222" s="6">
        <f>$M$222*$Z$222</f>
        <v>0</v>
      </c>
      <c r="AG222" s="6">
        <f>$O$222*$AA$222</f>
        <v>0</v>
      </c>
    </row>
    <row r="223" spans="1:33" ht="11.25" customHeight="1" x14ac:dyDescent="0.25">
      <c r="A223" s="4" t="s">
        <v>21</v>
      </c>
      <c r="B223" s="4" t="s">
        <v>38</v>
      </c>
      <c r="C223" s="4" t="s">
        <v>40</v>
      </c>
      <c r="D223" s="4" t="s">
        <v>50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44501</v>
      </c>
      <c r="J223" s="6">
        <v>56</v>
      </c>
      <c r="K223" s="6">
        <v>56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4" t="s">
        <v>26</v>
      </c>
      <c r="R223" s="4">
        <v>0</v>
      </c>
      <c r="S223" s="6">
        <v>18</v>
      </c>
      <c r="T223" s="6">
        <v>0</v>
      </c>
      <c r="U223" s="6">
        <v>0</v>
      </c>
      <c r="V223" s="6">
        <f>IF(ISERROR(VLOOKUP($S$223,'TAR FIN'!$A$1:$O$86,15,0)),0,VLOOKUP($S$223,'TAR FIN'!$A$1:$O$86,15,0))</f>
        <v>19.239999999999998</v>
      </c>
      <c r="W223" s="6">
        <f>IF(ISERROR(VLOOKUP($T$223,'TAR FIN'!$A$1:$O$86,15,0)),0,VLOOKUP($T$223,'TAR FIN'!$A$1:$O$86,15,0))</f>
        <v>0</v>
      </c>
      <c r="X223" s="6">
        <f>IF(ISERROR(VLOOKUP($U$223,'TAR FIN'!$A$1:$O$86,15,0)),0,VLOOKUP($U$223,'TAR FIN'!$A$1:$O$86,15,0))</f>
        <v>0</v>
      </c>
      <c r="Y223" s="6">
        <f ca="1">('TUSD BE'!$AM$11+'TUSD BF'!$AM$11+'TUSD CVA'!$AM$11)*1</f>
        <v>15.19295792072058</v>
      </c>
      <c r="Z223" s="6"/>
      <c r="AA223" s="6"/>
      <c r="AB223" s="6">
        <f>$K$223*$V$223</f>
        <v>1077.4399999999998</v>
      </c>
      <c r="AC223" s="6">
        <f>$M$223*$W$223</f>
        <v>0</v>
      </c>
      <c r="AD223" s="6">
        <f>$O$223*$X$223</f>
        <v>0</v>
      </c>
      <c r="AE223" s="6">
        <f ca="1">$K$223*$Y$223</f>
        <v>850.80564356035256</v>
      </c>
      <c r="AF223" s="6">
        <f>$M$223*$Z$223</f>
        <v>0</v>
      </c>
      <c r="AG223" s="6">
        <f>$O$223*$AA$223</f>
        <v>0</v>
      </c>
    </row>
    <row r="224" spans="1:33" ht="11.25" customHeight="1" x14ac:dyDescent="0.25">
      <c r="A224" s="4" t="s">
        <v>21</v>
      </c>
      <c r="B224" s="4" t="s">
        <v>38</v>
      </c>
      <c r="C224" s="4" t="s">
        <v>40</v>
      </c>
      <c r="D224" s="4" t="s">
        <v>50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44531</v>
      </c>
      <c r="J224" s="6">
        <v>59</v>
      </c>
      <c r="K224" s="6">
        <v>59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26</v>
      </c>
      <c r="R224" s="4">
        <v>0</v>
      </c>
      <c r="S224" s="6">
        <v>18</v>
      </c>
      <c r="T224" s="6">
        <v>0</v>
      </c>
      <c r="U224" s="6">
        <v>0</v>
      </c>
      <c r="V224" s="6">
        <f>IF(ISERROR(VLOOKUP($S$224,'TAR FIN'!$A$1:$O$86,15,0)),0,VLOOKUP($S$224,'TAR FIN'!$A$1:$O$86,15,0))</f>
        <v>19.239999999999998</v>
      </c>
      <c r="W224" s="6">
        <f>IF(ISERROR(VLOOKUP($T$224,'TAR FIN'!$A$1:$O$86,15,0)),0,VLOOKUP($T$224,'TAR FIN'!$A$1:$O$86,15,0))</f>
        <v>0</v>
      </c>
      <c r="X224" s="6">
        <f>IF(ISERROR(VLOOKUP($U$224,'TAR FIN'!$A$1:$O$86,15,0)),0,VLOOKUP($U$224,'TAR FIN'!$A$1:$O$86,15,0))</f>
        <v>0</v>
      </c>
      <c r="Y224" s="6">
        <f ca="1">('TUSD BE'!$AM$11+'TUSD BF'!$AM$11+'TUSD CVA'!$AM$11)*1</f>
        <v>15.19295792072058</v>
      </c>
      <c r="Z224" s="6"/>
      <c r="AA224" s="6"/>
      <c r="AB224" s="6">
        <f>$K$224*$V$224</f>
        <v>1135.1599999999999</v>
      </c>
      <c r="AC224" s="6">
        <f>$M$224*$W$224</f>
        <v>0</v>
      </c>
      <c r="AD224" s="6">
        <f>$O$224*$X$224</f>
        <v>0</v>
      </c>
      <c r="AE224" s="6">
        <f ca="1">$K$224*$Y$224</f>
        <v>896.38451732251428</v>
      </c>
      <c r="AF224" s="6">
        <f>$M$224*$Z$224</f>
        <v>0</v>
      </c>
      <c r="AG224" s="6">
        <f>$O$224*$AA$224</f>
        <v>0</v>
      </c>
    </row>
    <row r="225" spans="1:33" ht="11.25" customHeight="1" x14ac:dyDescent="0.25">
      <c r="A225" s="4" t="s">
        <v>21</v>
      </c>
      <c r="B225" s="4" t="s">
        <v>38</v>
      </c>
      <c r="C225" s="4" t="s">
        <v>40</v>
      </c>
      <c r="D225" s="4" t="s">
        <v>50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44562</v>
      </c>
      <c r="J225" s="6">
        <v>59</v>
      </c>
      <c r="K225" s="6">
        <v>59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6">
        <v>18</v>
      </c>
      <c r="T225" s="6">
        <v>0</v>
      </c>
      <c r="U225" s="6">
        <v>0</v>
      </c>
      <c r="V225" s="6">
        <f>IF(ISERROR(VLOOKUP($S$225,'TAR FIN'!$A$1:$O$86,15,0)),0,VLOOKUP($S$225,'TAR FIN'!$A$1:$O$86,15,0))</f>
        <v>19.239999999999998</v>
      </c>
      <c r="W225" s="6">
        <f>IF(ISERROR(VLOOKUP($T$225,'TAR FIN'!$A$1:$O$86,15,0)),0,VLOOKUP($T$225,'TAR FIN'!$A$1:$O$86,15,0))</f>
        <v>0</v>
      </c>
      <c r="X225" s="6">
        <f>IF(ISERROR(VLOOKUP($U$225,'TAR FIN'!$A$1:$O$86,15,0)),0,VLOOKUP($U$225,'TAR FIN'!$A$1:$O$86,15,0))</f>
        <v>0</v>
      </c>
      <c r="Y225" s="6">
        <f ca="1">('TUSD BE'!$AM$11+'TUSD BF'!$AM$11+'TUSD CVA'!$AM$11)*1</f>
        <v>15.19295792072058</v>
      </c>
      <c r="Z225" s="6"/>
      <c r="AA225" s="6"/>
      <c r="AB225" s="6">
        <f>$K$225*$V$225</f>
        <v>1135.1599999999999</v>
      </c>
      <c r="AC225" s="6">
        <f>$M$225*$W$225</f>
        <v>0</v>
      </c>
      <c r="AD225" s="6">
        <f>$O$225*$X$225</f>
        <v>0</v>
      </c>
      <c r="AE225" s="6">
        <f ca="1">$K$225*$Y$225</f>
        <v>896.38451732251428</v>
      </c>
      <c r="AF225" s="6">
        <f>$M$225*$Z$225</f>
        <v>0</v>
      </c>
      <c r="AG225" s="6">
        <f>$O$225*$AA$225</f>
        <v>0</v>
      </c>
    </row>
    <row r="226" spans="1:33" ht="11.25" customHeight="1" x14ac:dyDescent="0.25">
      <c r="A226" s="4" t="s">
        <v>21</v>
      </c>
      <c r="B226" s="4" t="s">
        <v>38</v>
      </c>
      <c r="C226" s="4" t="s">
        <v>40</v>
      </c>
      <c r="D226" s="4" t="s">
        <v>50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44593</v>
      </c>
      <c r="J226" s="6">
        <v>54</v>
      </c>
      <c r="K226" s="6">
        <v>54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26</v>
      </c>
      <c r="R226" s="4">
        <v>0</v>
      </c>
      <c r="S226" s="6">
        <v>18</v>
      </c>
      <c r="T226" s="6">
        <v>0</v>
      </c>
      <c r="U226" s="6">
        <v>0</v>
      </c>
      <c r="V226" s="6">
        <f>IF(ISERROR(VLOOKUP($S$226,'TAR FIN'!$A$1:$O$86,15,0)),0,VLOOKUP($S$226,'TAR FIN'!$A$1:$O$86,15,0))</f>
        <v>19.239999999999998</v>
      </c>
      <c r="W226" s="6">
        <f>IF(ISERROR(VLOOKUP($T$226,'TAR FIN'!$A$1:$O$86,15,0)),0,VLOOKUP($T$226,'TAR FIN'!$A$1:$O$86,15,0))</f>
        <v>0</v>
      </c>
      <c r="X226" s="6">
        <f>IF(ISERROR(VLOOKUP($U$226,'TAR FIN'!$A$1:$O$86,15,0)),0,VLOOKUP($U$226,'TAR FIN'!$A$1:$O$86,15,0))</f>
        <v>0</v>
      </c>
      <c r="Y226" s="6">
        <f ca="1">('TUSD BE'!$AM$11+'TUSD BF'!$AM$11+'TUSD CVA'!$AM$11)*1</f>
        <v>15.19295792072058</v>
      </c>
      <c r="Z226" s="6"/>
      <c r="AA226" s="6"/>
      <c r="AB226" s="6">
        <f>$K$226*$V$226</f>
        <v>1038.9599999999998</v>
      </c>
      <c r="AC226" s="6">
        <f>$M$226*$W$226</f>
        <v>0</v>
      </c>
      <c r="AD226" s="6">
        <f>$O$226*$X$226</f>
        <v>0</v>
      </c>
      <c r="AE226" s="6">
        <f ca="1">$K$226*$Y$226</f>
        <v>820.4197277189113</v>
      </c>
      <c r="AF226" s="6">
        <f>$M$226*$Z$226</f>
        <v>0</v>
      </c>
      <c r="AG226" s="6">
        <f>$O$226*$AA$226</f>
        <v>0</v>
      </c>
    </row>
    <row r="227" spans="1:33" ht="11.25" customHeight="1" x14ac:dyDescent="0.25">
      <c r="A227" s="4" t="s">
        <v>21</v>
      </c>
      <c r="B227" s="4" t="s">
        <v>38</v>
      </c>
      <c r="C227" s="4" t="s">
        <v>40</v>
      </c>
      <c r="D227" s="4" t="s">
        <v>50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44621</v>
      </c>
      <c r="J227" s="6">
        <v>48</v>
      </c>
      <c r="K227" s="6">
        <v>48</v>
      </c>
      <c r="L227" s="6">
        <v>0</v>
      </c>
      <c r="M227" s="6">
        <v>0</v>
      </c>
      <c r="N227" s="6">
        <v>0</v>
      </c>
      <c r="O227" s="6">
        <v>0</v>
      </c>
      <c r="P227" s="6">
        <v>1</v>
      </c>
      <c r="Q227" s="4" t="s">
        <v>26</v>
      </c>
      <c r="R227" s="4">
        <v>0</v>
      </c>
      <c r="S227" s="6">
        <v>18</v>
      </c>
      <c r="T227" s="6">
        <v>0</v>
      </c>
      <c r="U227" s="6">
        <v>0</v>
      </c>
      <c r="V227" s="6">
        <f>IF(ISERROR(VLOOKUP($S$227,'TAR FIN'!$A$1:$O$86,15,0)),0,VLOOKUP($S$227,'TAR FIN'!$A$1:$O$86,15,0))</f>
        <v>19.239999999999998</v>
      </c>
      <c r="W227" s="6">
        <f>IF(ISERROR(VLOOKUP($T$227,'TAR FIN'!$A$1:$O$86,15,0)),0,VLOOKUP($T$227,'TAR FIN'!$A$1:$O$86,15,0))</f>
        <v>0</v>
      </c>
      <c r="X227" s="6">
        <f>IF(ISERROR(VLOOKUP($U$227,'TAR FIN'!$A$1:$O$86,15,0)),0,VLOOKUP($U$227,'TAR FIN'!$A$1:$O$86,15,0))</f>
        <v>0</v>
      </c>
      <c r="Y227" s="6">
        <f ca="1">('TUSD BE'!$AM$11+'TUSD BF'!$AM$11+'TUSD CVA'!$AM$11)*1</f>
        <v>15.19295792072058</v>
      </c>
      <c r="Z227" s="6"/>
      <c r="AA227" s="6"/>
      <c r="AB227" s="6">
        <f>$K$227*$V$227</f>
        <v>923.52</v>
      </c>
      <c r="AC227" s="6">
        <f>$M$227*$W$227</f>
        <v>0</v>
      </c>
      <c r="AD227" s="6">
        <f>$O$227*$X$227</f>
        <v>0</v>
      </c>
      <c r="AE227" s="6">
        <f ca="1">$K$227*$Y$227</f>
        <v>729.26198019458786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21</v>
      </c>
      <c r="B228" s="4" t="s">
        <v>38</v>
      </c>
      <c r="C228" s="4" t="s">
        <v>40</v>
      </c>
      <c r="D228" s="4" t="s">
        <v>50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44652</v>
      </c>
      <c r="J228" s="6">
        <v>37</v>
      </c>
      <c r="K228" s="6">
        <v>37</v>
      </c>
      <c r="L228" s="6">
        <v>0</v>
      </c>
      <c r="M228" s="6">
        <v>0</v>
      </c>
      <c r="N228" s="6">
        <v>0</v>
      </c>
      <c r="O228" s="6">
        <v>0</v>
      </c>
      <c r="P228" s="6">
        <v>1</v>
      </c>
      <c r="Q228" s="4" t="s">
        <v>26</v>
      </c>
      <c r="R228" s="4">
        <v>0</v>
      </c>
      <c r="S228" s="6">
        <v>18</v>
      </c>
      <c r="T228" s="6">
        <v>0</v>
      </c>
      <c r="U228" s="6">
        <v>0</v>
      </c>
      <c r="V228" s="6">
        <f>IF(ISERROR(VLOOKUP($S$228,'TAR FIN'!$A$1:$O$86,15,0)),0,VLOOKUP($S$228,'TAR FIN'!$A$1:$O$86,15,0))</f>
        <v>19.239999999999998</v>
      </c>
      <c r="W228" s="6">
        <f>IF(ISERROR(VLOOKUP($T$228,'TAR FIN'!$A$1:$O$86,15,0)),0,VLOOKUP($T$228,'TAR FIN'!$A$1:$O$86,15,0))</f>
        <v>0</v>
      </c>
      <c r="X228" s="6">
        <f>IF(ISERROR(VLOOKUP($U$228,'TAR FIN'!$A$1:$O$86,15,0)),0,VLOOKUP($U$228,'TAR FIN'!$A$1:$O$86,15,0))</f>
        <v>0</v>
      </c>
      <c r="Y228" s="6">
        <f ca="1">('TUSD BE'!$AM$11+'TUSD BF'!$AM$11+'TUSD CVA'!$AM$11)*1</f>
        <v>15.19295792072058</v>
      </c>
      <c r="Z228" s="6"/>
      <c r="AA228" s="6"/>
      <c r="AB228" s="6">
        <f>$K$228*$V$228</f>
        <v>711.88</v>
      </c>
      <c r="AC228" s="6">
        <f>$M$228*$W$228</f>
        <v>0</v>
      </c>
      <c r="AD228" s="6">
        <f>$O$228*$X$228</f>
        <v>0</v>
      </c>
      <c r="AE228" s="6">
        <f ca="1">$K$228*$Y$228</f>
        <v>562.13944306666144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38</v>
      </c>
      <c r="C229" s="4" t="s">
        <v>40</v>
      </c>
      <c r="D229" s="4" t="s">
        <v>50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44682</v>
      </c>
      <c r="J229" s="6">
        <v>42</v>
      </c>
      <c r="K229" s="6">
        <v>42</v>
      </c>
      <c r="L229" s="6">
        <v>0</v>
      </c>
      <c r="M229" s="6">
        <v>0</v>
      </c>
      <c r="N229" s="6">
        <v>0</v>
      </c>
      <c r="O229" s="6">
        <v>0</v>
      </c>
      <c r="P229" s="6">
        <v>1</v>
      </c>
      <c r="Q229" s="4" t="s">
        <v>26</v>
      </c>
      <c r="R229" s="4">
        <v>0</v>
      </c>
      <c r="S229" s="6">
        <v>18</v>
      </c>
      <c r="T229" s="6">
        <v>0</v>
      </c>
      <c r="U229" s="6">
        <v>0</v>
      </c>
      <c r="V229" s="6">
        <f>IF(ISERROR(VLOOKUP($S$229,'TAR FIN'!$A$1:$O$86,15,0)),0,VLOOKUP($S$229,'TAR FIN'!$A$1:$O$86,15,0))</f>
        <v>19.239999999999998</v>
      </c>
      <c r="W229" s="6">
        <f>IF(ISERROR(VLOOKUP($T$229,'TAR FIN'!$A$1:$O$86,15,0)),0,VLOOKUP($T$229,'TAR FIN'!$A$1:$O$86,15,0))</f>
        <v>0</v>
      </c>
      <c r="X229" s="6">
        <f>IF(ISERROR(VLOOKUP($U$229,'TAR FIN'!$A$1:$O$86,15,0)),0,VLOOKUP($U$229,'TAR FIN'!$A$1:$O$86,15,0))</f>
        <v>0</v>
      </c>
      <c r="Y229" s="6">
        <f ca="1">('TUSD BE'!$AM$11+'TUSD BF'!$AM$11+'TUSD CVA'!$AM$11)*1</f>
        <v>15.19295792072058</v>
      </c>
      <c r="Z229" s="6"/>
      <c r="AA229" s="6"/>
      <c r="AB229" s="6">
        <f>$K$229*$V$229</f>
        <v>808.07999999999993</v>
      </c>
      <c r="AC229" s="6">
        <f>$M$229*$W$229</f>
        <v>0</v>
      </c>
      <c r="AD229" s="6">
        <f>$O$229*$X$229</f>
        <v>0</v>
      </c>
      <c r="AE229" s="6">
        <f ca="1">$K$229*$Y$229</f>
        <v>638.10423267026442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56</v>
      </c>
      <c r="B230" s="4" t="s">
        <v>38</v>
      </c>
      <c r="C230" s="4" t="s">
        <v>40</v>
      </c>
      <c r="D230" s="4" t="s">
        <v>50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44713</v>
      </c>
      <c r="J230" s="6">
        <v>42</v>
      </c>
      <c r="K230" s="6">
        <v>42</v>
      </c>
      <c r="L230" s="6">
        <v>0</v>
      </c>
      <c r="M230" s="6">
        <v>0</v>
      </c>
      <c r="N230" s="6">
        <v>0</v>
      </c>
      <c r="O230" s="6">
        <v>0</v>
      </c>
      <c r="P230" s="6">
        <v>1</v>
      </c>
      <c r="Q230" s="4" t="s">
        <v>26</v>
      </c>
      <c r="R230" s="4">
        <v>0</v>
      </c>
      <c r="S230" s="6">
        <v>18</v>
      </c>
      <c r="T230" s="6">
        <v>0</v>
      </c>
      <c r="U230" s="6">
        <v>0</v>
      </c>
      <c r="V230" s="6">
        <f>IF(ISERROR(VLOOKUP($S$230,'TAR FIN'!$A$1:$O$86,15,0)),0,VLOOKUP($S$230,'TAR FIN'!$A$1:$O$86,15,0))</f>
        <v>19.239999999999998</v>
      </c>
      <c r="W230" s="6">
        <f>IF(ISERROR(VLOOKUP($T$230,'TAR FIN'!$A$1:$O$86,15,0)),0,VLOOKUP($T$230,'TAR FIN'!$A$1:$O$86,15,0))</f>
        <v>0</v>
      </c>
      <c r="X230" s="6">
        <f>IF(ISERROR(VLOOKUP($U$230,'TAR FIN'!$A$1:$O$86,15,0)),0,VLOOKUP($U$230,'TAR FIN'!$A$1:$O$86,15,0))</f>
        <v>0</v>
      </c>
      <c r="Y230" s="6">
        <f ca="1">('TUSD BE'!$AM$11+'TUSD BF'!$AM$11+'TUSD CVA'!$AM$11)*1</f>
        <v>15.19295792072058</v>
      </c>
      <c r="Z230" s="6"/>
      <c r="AA230" s="6"/>
      <c r="AB230" s="6">
        <f>$K$230*$V$230</f>
        <v>808.07999999999993</v>
      </c>
      <c r="AC230" s="6">
        <f>$M$230*$W$230</f>
        <v>0</v>
      </c>
      <c r="AD230" s="6">
        <f>$O$230*$X$230</f>
        <v>0</v>
      </c>
      <c r="AE230" s="6">
        <f ca="1">$K$230*$Y$230</f>
        <v>638.10423267026442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21</v>
      </c>
      <c r="B231" s="4" t="s">
        <v>38</v>
      </c>
      <c r="C231" s="4" t="s">
        <v>40</v>
      </c>
      <c r="D231" s="4" t="s">
        <v>50</v>
      </c>
      <c r="E231" s="4" t="s">
        <v>25</v>
      </c>
      <c r="F231" s="4" t="s">
        <v>25</v>
      </c>
      <c r="G231" s="4" t="s">
        <v>25</v>
      </c>
      <c r="H231" s="4" t="s">
        <v>33</v>
      </c>
      <c r="I231" s="5">
        <v>44378</v>
      </c>
      <c r="J231" s="6">
        <v>0</v>
      </c>
      <c r="K231" s="6">
        <v>0</v>
      </c>
      <c r="L231" s="6">
        <v>1.0940000000000001</v>
      </c>
      <c r="M231" s="6">
        <v>1.0940000000000001</v>
      </c>
      <c r="N231" s="6">
        <v>1.0940000000000001</v>
      </c>
      <c r="O231" s="6">
        <v>1.0940000000000001</v>
      </c>
      <c r="P231" s="6">
        <v>0</v>
      </c>
      <c r="Q231" s="4" t="s">
        <v>26</v>
      </c>
      <c r="R231" s="4">
        <v>0</v>
      </c>
      <c r="S231" s="6">
        <v>0</v>
      </c>
      <c r="T231" s="6">
        <v>16</v>
      </c>
      <c r="U231" s="6">
        <v>47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1329.67</v>
      </c>
      <c r="X231" s="6">
        <f>IF(ISERROR(VLOOKUP($U$231,'TAR FIN'!$A$1:$O$86,15,0)),0,VLOOKUP($U$231,'TAR FIN'!$A$1:$O$86,15,0))</f>
        <v>389.21</v>
      </c>
      <c r="Y231" s="6"/>
      <c r="Z231" s="6">
        <f ca="1">('TUSD BE'!$AM$12+'TUSD BF'!$AM$12+'TUSD CVA'!$AM$12)*1</f>
        <v>1074.3612836602365</v>
      </c>
      <c r="AA231" s="6">
        <f>('TE BE'!$AB$5+'TE BF'!$AB$5+'TE CVA'!$AB$5)*1</f>
        <v>353.55100010229148</v>
      </c>
      <c r="AB231" s="6">
        <f>$K$231*$V$231</f>
        <v>0</v>
      </c>
      <c r="AC231" s="6">
        <f>$M$231*$W$231</f>
        <v>1454.6589800000002</v>
      </c>
      <c r="AD231" s="6">
        <f>$O$231*$X$231</f>
        <v>425.79574000000002</v>
      </c>
      <c r="AE231" s="6">
        <f>$K$231*$Y$231</f>
        <v>0</v>
      </c>
      <c r="AF231" s="6">
        <f ca="1">$M$231*$Z$231</f>
        <v>1175.3512443242987</v>
      </c>
      <c r="AG231" s="6">
        <f>$O$231*$AA$231</f>
        <v>386.78479411190693</v>
      </c>
    </row>
    <row r="232" spans="1:33" ht="11.25" customHeight="1" x14ac:dyDescent="0.25">
      <c r="A232" s="4" t="s">
        <v>21</v>
      </c>
      <c r="B232" s="4" t="s">
        <v>38</v>
      </c>
      <c r="C232" s="4" t="s">
        <v>40</v>
      </c>
      <c r="D232" s="4" t="s">
        <v>50</v>
      </c>
      <c r="E232" s="4" t="s">
        <v>25</v>
      </c>
      <c r="F232" s="4" t="s">
        <v>25</v>
      </c>
      <c r="G232" s="4" t="s">
        <v>25</v>
      </c>
      <c r="H232" s="4" t="s">
        <v>33</v>
      </c>
      <c r="I232" s="5">
        <v>44409</v>
      </c>
      <c r="J232" s="6">
        <v>0</v>
      </c>
      <c r="K232" s="6">
        <v>0</v>
      </c>
      <c r="L232" s="6">
        <v>1.0640000000000001</v>
      </c>
      <c r="M232" s="6">
        <v>1.0640000000000001</v>
      </c>
      <c r="N232" s="6">
        <v>1.0640000000000001</v>
      </c>
      <c r="O232" s="6">
        <v>1.0640000000000001</v>
      </c>
      <c r="P232" s="6">
        <v>0</v>
      </c>
      <c r="Q232" s="4" t="s">
        <v>26</v>
      </c>
      <c r="R232" s="4">
        <v>0</v>
      </c>
      <c r="S232" s="6">
        <v>0</v>
      </c>
      <c r="T232" s="6">
        <v>16</v>
      </c>
      <c r="U232" s="6">
        <v>47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1329.67</v>
      </c>
      <c r="X232" s="6">
        <f>IF(ISERROR(VLOOKUP($U$232,'TAR FIN'!$A$1:$O$86,15,0)),0,VLOOKUP($U$232,'TAR FIN'!$A$1:$O$86,15,0))</f>
        <v>389.21</v>
      </c>
      <c r="Y232" s="6"/>
      <c r="Z232" s="6">
        <f ca="1">('TUSD BE'!$AM$12+'TUSD BF'!$AM$12+'TUSD CVA'!$AM$12)*1</f>
        <v>1074.3612836602365</v>
      </c>
      <c r="AA232" s="6">
        <f>('TE BE'!$AB$5+'TE BF'!$AB$5+'TE CVA'!$AB$5)*1</f>
        <v>353.55100010229148</v>
      </c>
      <c r="AB232" s="6">
        <f>$K$232*$V$232</f>
        <v>0</v>
      </c>
      <c r="AC232" s="6">
        <f>$M$232*$W$232</f>
        <v>1414.7688800000001</v>
      </c>
      <c r="AD232" s="6">
        <f>$O$232*$X$232</f>
        <v>414.11944</v>
      </c>
      <c r="AE232" s="6">
        <f>$K$232*$Y$232</f>
        <v>0</v>
      </c>
      <c r="AF232" s="6">
        <f ca="1">$M$232*$Z$232</f>
        <v>1143.1204058144917</v>
      </c>
      <c r="AG232" s="6">
        <f>$O$232*$AA$232</f>
        <v>376.17826410883816</v>
      </c>
    </row>
    <row r="233" spans="1:33" ht="11.25" customHeight="1" x14ac:dyDescent="0.25">
      <c r="A233" s="4" t="s">
        <v>21</v>
      </c>
      <c r="B233" s="4" t="s">
        <v>38</v>
      </c>
      <c r="C233" s="4" t="s">
        <v>40</v>
      </c>
      <c r="D233" s="4" t="s">
        <v>50</v>
      </c>
      <c r="E233" s="4" t="s">
        <v>25</v>
      </c>
      <c r="F233" s="4" t="s">
        <v>25</v>
      </c>
      <c r="G233" s="4" t="s">
        <v>25</v>
      </c>
      <c r="H233" s="4" t="s">
        <v>33</v>
      </c>
      <c r="I233" s="5">
        <v>44440</v>
      </c>
      <c r="J233" s="6">
        <v>0</v>
      </c>
      <c r="K233" s="6">
        <v>0</v>
      </c>
      <c r="L233" s="6">
        <v>0.94599999999999995</v>
      </c>
      <c r="M233" s="6">
        <v>0.94599999999999995</v>
      </c>
      <c r="N233" s="6">
        <v>0.94599999999999995</v>
      </c>
      <c r="O233" s="6">
        <v>0.94599999999999995</v>
      </c>
      <c r="P233" s="6">
        <v>0</v>
      </c>
      <c r="Q233" s="4" t="s">
        <v>26</v>
      </c>
      <c r="R233" s="4">
        <v>0</v>
      </c>
      <c r="S233" s="6">
        <v>0</v>
      </c>
      <c r="T233" s="6">
        <v>16</v>
      </c>
      <c r="U233" s="6">
        <v>47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1329.67</v>
      </c>
      <c r="X233" s="6">
        <f>IF(ISERROR(VLOOKUP($U$233,'TAR FIN'!$A$1:$O$86,15,0)),0,VLOOKUP($U$233,'TAR FIN'!$A$1:$O$86,15,0))</f>
        <v>389.21</v>
      </c>
      <c r="Y233" s="6"/>
      <c r="Z233" s="6">
        <f ca="1">('TUSD BE'!$AM$12+'TUSD BF'!$AM$12+'TUSD CVA'!$AM$12)*1</f>
        <v>1074.3612836602365</v>
      </c>
      <c r="AA233" s="6">
        <f>('TE BE'!$AB$5+'TE BF'!$AB$5+'TE CVA'!$AB$5)*1</f>
        <v>353.55100010229148</v>
      </c>
      <c r="AB233" s="6">
        <f>$K$233*$V$233</f>
        <v>0</v>
      </c>
      <c r="AC233" s="6">
        <f>$M$233*$W$233</f>
        <v>1257.8678199999999</v>
      </c>
      <c r="AD233" s="6">
        <f>$O$233*$X$233</f>
        <v>368.19265999999999</v>
      </c>
      <c r="AE233" s="6">
        <f>$K$233*$Y$233</f>
        <v>0</v>
      </c>
      <c r="AF233" s="6">
        <f ca="1">$M$233*$Z$233</f>
        <v>1016.3457743425837</v>
      </c>
      <c r="AG233" s="6">
        <f>$O$233*$AA$233</f>
        <v>334.45924609676774</v>
      </c>
    </row>
    <row r="234" spans="1:33" ht="11.25" customHeight="1" x14ac:dyDescent="0.25">
      <c r="A234" s="4" t="s">
        <v>21</v>
      </c>
      <c r="B234" s="4" t="s">
        <v>38</v>
      </c>
      <c r="C234" s="4" t="s">
        <v>40</v>
      </c>
      <c r="D234" s="4" t="s">
        <v>50</v>
      </c>
      <c r="E234" s="4" t="s">
        <v>25</v>
      </c>
      <c r="F234" s="4" t="s">
        <v>25</v>
      </c>
      <c r="G234" s="4" t="s">
        <v>25</v>
      </c>
      <c r="H234" s="4" t="s">
        <v>33</v>
      </c>
      <c r="I234" s="5">
        <v>44470</v>
      </c>
      <c r="J234" s="6">
        <v>0</v>
      </c>
      <c r="K234" s="6">
        <v>0</v>
      </c>
      <c r="L234" s="6">
        <v>0.85399999999999998</v>
      </c>
      <c r="M234" s="6">
        <v>0.85399999999999998</v>
      </c>
      <c r="N234" s="6">
        <v>0.85399999999999998</v>
      </c>
      <c r="O234" s="6">
        <v>0.85399999999999998</v>
      </c>
      <c r="P234" s="6">
        <v>0</v>
      </c>
      <c r="Q234" s="4" t="s">
        <v>26</v>
      </c>
      <c r="R234" s="4">
        <v>0</v>
      </c>
      <c r="S234" s="6">
        <v>0</v>
      </c>
      <c r="T234" s="6">
        <v>16</v>
      </c>
      <c r="U234" s="6">
        <v>47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1329.67</v>
      </c>
      <c r="X234" s="6">
        <f>IF(ISERROR(VLOOKUP($U$234,'TAR FIN'!$A$1:$O$86,15,0)),0,VLOOKUP($U$234,'TAR FIN'!$A$1:$O$86,15,0))</f>
        <v>389.21</v>
      </c>
      <c r="Y234" s="6"/>
      <c r="Z234" s="6">
        <f ca="1">('TUSD BE'!$AM$12+'TUSD BF'!$AM$12+'TUSD CVA'!$AM$12)*1</f>
        <v>1074.3612836602365</v>
      </c>
      <c r="AA234" s="6">
        <f>('TE BE'!$AB$5+'TE BF'!$AB$5+'TE CVA'!$AB$5)*1</f>
        <v>353.55100010229148</v>
      </c>
      <c r="AB234" s="6">
        <f>$K$234*$V$234</f>
        <v>0</v>
      </c>
      <c r="AC234" s="6">
        <f>$M$234*$W$234</f>
        <v>1135.53818</v>
      </c>
      <c r="AD234" s="6">
        <f>$O$234*$X$234</f>
        <v>332.38533999999999</v>
      </c>
      <c r="AE234" s="6">
        <f>$K$234*$Y$234</f>
        <v>0</v>
      </c>
      <c r="AF234" s="6">
        <f ca="1">$M$234*$Z$234</f>
        <v>917.5045362458419</v>
      </c>
      <c r="AG234" s="6">
        <f>$O$234*$AA$234</f>
        <v>301.93255408735689</v>
      </c>
    </row>
    <row r="235" spans="1:33" ht="11.25" customHeight="1" x14ac:dyDescent="0.25">
      <c r="A235" s="4" t="s">
        <v>21</v>
      </c>
      <c r="B235" s="4" t="s">
        <v>38</v>
      </c>
      <c r="C235" s="4" t="s">
        <v>40</v>
      </c>
      <c r="D235" s="4" t="s">
        <v>50</v>
      </c>
      <c r="E235" s="4" t="s">
        <v>25</v>
      </c>
      <c r="F235" s="4" t="s">
        <v>25</v>
      </c>
      <c r="G235" s="4" t="s">
        <v>25</v>
      </c>
      <c r="H235" s="4" t="s">
        <v>33</v>
      </c>
      <c r="I235" s="5">
        <v>44501</v>
      </c>
      <c r="J235" s="6">
        <v>0</v>
      </c>
      <c r="K235" s="6">
        <v>0</v>
      </c>
      <c r="L235" s="6">
        <v>0.85299999999999998</v>
      </c>
      <c r="M235" s="6">
        <v>0.85299999999999998</v>
      </c>
      <c r="N235" s="6">
        <v>0.85299999999999998</v>
      </c>
      <c r="O235" s="6">
        <v>0.85299999999999998</v>
      </c>
      <c r="P235" s="6">
        <v>0</v>
      </c>
      <c r="Q235" s="4" t="s">
        <v>26</v>
      </c>
      <c r="R235" s="4">
        <v>0</v>
      </c>
      <c r="S235" s="6">
        <v>0</v>
      </c>
      <c r="T235" s="6">
        <v>16</v>
      </c>
      <c r="U235" s="6">
        <v>47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1329.67</v>
      </c>
      <c r="X235" s="6">
        <f>IF(ISERROR(VLOOKUP($U$235,'TAR FIN'!$A$1:$O$86,15,0)),0,VLOOKUP($U$235,'TAR FIN'!$A$1:$O$86,15,0))</f>
        <v>389.21</v>
      </c>
      <c r="Y235" s="6"/>
      <c r="Z235" s="6">
        <f ca="1">('TUSD BE'!$AM$12+'TUSD BF'!$AM$12+'TUSD CVA'!$AM$12)*1</f>
        <v>1074.3612836602365</v>
      </c>
      <c r="AA235" s="6">
        <f>('TE BE'!$AB$5+'TE BF'!$AB$5+'TE CVA'!$AB$5)*1</f>
        <v>353.55100010229148</v>
      </c>
      <c r="AB235" s="6">
        <f>$K$235*$V$235</f>
        <v>0</v>
      </c>
      <c r="AC235" s="6">
        <f>$M$235*$W$235</f>
        <v>1134.2085099999999</v>
      </c>
      <c r="AD235" s="6">
        <f>$O$235*$X$235</f>
        <v>331.99612999999999</v>
      </c>
      <c r="AE235" s="6">
        <f>$K$235*$Y$235</f>
        <v>0</v>
      </c>
      <c r="AF235" s="6">
        <f ca="1">$M$235*$Z$235</f>
        <v>916.4301749621817</v>
      </c>
      <c r="AG235" s="6">
        <f>$O$235*$AA$235</f>
        <v>301.57900308725465</v>
      </c>
    </row>
    <row r="236" spans="1:33" ht="11.25" customHeight="1" x14ac:dyDescent="0.25">
      <c r="A236" s="4" t="s">
        <v>21</v>
      </c>
      <c r="B236" s="4" t="s">
        <v>38</v>
      </c>
      <c r="C236" s="4" t="s">
        <v>40</v>
      </c>
      <c r="D236" s="4" t="s">
        <v>50</v>
      </c>
      <c r="E236" s="4" t="s">
        <v>25</v>
      </c>
      <c r="F236" s="4" t="s">
        <v>25</v>
      </c>
      <c r="G236" s="4" t="s">
        <v>25</v>
      </c>
      <c r="H236" s="4" t="s">
        <v>33</v>
      </c>
      <c r="I236" s="5">
        <v>44531</v>
      </c>
      <c r="J236" s="6">
        <v>0</v>
      </c>
      <c r="K236" s="6">
        <v>0</v>
      </c>
      <c r="L236" s="6">
        <v>0.98099999999999998</v>
      </c>
      <c r="M236" s="6">
        <v>0.98099999999999998</v>
      </c>
      <c r="N236" s="6">
        <v>0.98099999999999998</v>
      </c>
      <c r="O236" s="6">
        <v>0.98099999999999998</v>
      </c>
      <c r="P236" s="6">
        <v>0</v>
      </c>
      <c r="Q236" s="4" t="s">
        <v>26</v>
      </c>
      <c r="R236" s="4">
        <v>0</v>
      </c>
      <c r="S236" s="6">
        <v>0</v>
      </c>
      <c r="T236" s="6">
        <v>16</v>
      </c>
      <c r="U236" s="6">
        <v>47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1329.67</v>
      </c>
      <c r="X236" s="6">
        <f>IF(ISERROR(VLOOKUP($U$236,'TAR FIN'!$A$1:$O$86,15,0)),0,VLOOKUP($U$236,'TAR FIN'!$A$1:$O$86,15,0))</f>
        <v>389.21</v>
      </c>
      <c r="Y236" s="6"/>
      <c r="Z236" s="6">
        <f ca="1">('TUSD BE'!$AM$12+'TUSD BF'!$AM$12+'TUSD CVA'!$AM$12)*1</f>
        <v>1074.3612836602365</v>
      </c>
      <c r="AA236" s="6">
        <f>('TE BE'!$AB$5+'TE BF'!$AB$5+'TE CVA'!$AB$5)*1</f>
        <v>353.55100010229148</v>
      </c>
      <c r="AB236" s="6">
        <f>$K$236*$V$236</f>
        <v>0</v>
      </c>
      <c r="AC236" s="6">
        <f>$M$236*$W$236</f>
        <v>1304.4062699999999</v>
      </c>
      <c r="AD236" s="6">
        <f>$O$236*$X$236</f>
        <v>381.81500999999997</v>
      </c>
      <c r="AE236" s="6">
        <f>$K$236*$Y$236</f>
        <v>0</v>
      </c>
      <c r="AF236" s="6">
        <f ca="1">$M$236*$Z$236</f>
        <v>1053.9484192706921</v>
      </c>
      <c r="AG236" s="6">
        <f>$O$236*$AA$236</f>
        <v>346.83353110034795</v>
      </c>
    </row>
    <row r="237" spans="1:33" ht="11.25" customHeight="1" x14ac:dyDescent="0.25">
      <c r="A237" s="4" t="s">
        <v>21</v>
      </c>
      <c r="B237" s="4" t="s">
        <v>38</v>
      </c>
      <c r="C237" s="4" t="s">
        <v>40</v>
      </c>
      <c r="D237" s="4" t="s">
        <v>50</v>
      </c>
      <c r="E237" s="4" t="s">
        <v>25</v>
      </c>
      <c r="F237" s="4" t="s">
        <v>25</v>
      </c>
      <c r="G237" s="4" t="s">
        <v>25</v>
      </c>
      <c r="H237" s="4" t="s">
        <v>33</v>
      </c>
      <c r="I237" s="5">
        <v>44562</v>
      </c>
      <c r="J237" s="6">
        <v>0</v>
      </c>
      <c r="K237" s="6">
        <v>0</v>
      </c>
      <c r="L237" s="6">
        <v>0.92700000000000005</v>
      </c>
      <c r="M237" s="6">
        <v>0.92700000000000005</v>
      </c>
      <c r="N237" s="6">
        <v>0.92700000000000005</v>
      </c>
      <c r="O237" s="6">
        <v>0.92700000000000005</v>
      </c>
      <c r="P237" s="6">
        <v>0</v>
      </c>
      <c r="Q237" s="4" t="s">
        <v>26</v>
      </c>
      <c r="R237" s="4">
        <v>0</v>
      </c>
      <c r="S237" s="6">
        <v>0</v>
      </c>
      <c r="T237" s="6">
        <v>16</v>
      </c>
      <c r="U237" s="6">
        <v>47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1329.67</v>
      </c>
      <c r="X237" s="6">
        <f>IF(ISERROR(VLOOKUP($U$237,'TAR FIN'!$A$1:$O$86,15,0)),0,VLOOKUP($U$237,'TAR FIN'!$A$1:$O$86,15,0))</f>
        <v>389.21</v>
      </c>
      <c r="Y237" s="6"/>
      <c r="Z237" s="6">
        <f ca="1">('TUSD BE'!$AM$12+'TUSD BF'!$AM$12+'TUSD CVA'!$AM$12)*1</f>
        <v>1074.3612836602365</v>
      </c>
      <c r="AA237" s="6">
        <f>('TE BE'!$AB$5+'TE BF'!$AB$5+'TE CVA'!$AB$5)*1</f>
        <v>353.55100010229148</v>
      </c>
      <c r="AB237" s="6">
        <f>$K$237*$V$237</f>
        <v>0</v>
      </c>
      <c r="AC237" s="6">
        <f>$M$237*$W$237</f>
        <v>1232.60409</v>
      </c>
      <c r="AD237" s="6">
        <f>$O$237*$X$237</f>
        <v>360.79766999999998</v>
      </c>
      <c r="AE237" s="6">
        <f>$K$237*$Y$237</f>
        <v>0</v>
      </c>
      <c r="AF237" s="6">
        <f ca="1">$M$237*$Z$237</f>
        <v>995.93290995303926</v>
      </c>
      <c r="AG237" s="6">
        <f>$O$237*$AA$237</f>
        <v>327.74177709482422</v>
      </c>
    </row>
    <row r="238" spans="1:33" ht="11.25" customHeight="1" x14ac:dyDescent="0.25">
      <c r="A238" s="4" t="s">
        <v>21</v>
      </c>
      <c r="B238" s="4" t="s">
        <v>38</v>
      </c>
      <c r="C238" s="4" t="s">
        <v>40</v>
      </c>
      <c r="D238" s="4" t="s">
        <v>50</v>
      </c>
      <c r="E238" s="4" t="s">
        <v>25</v>
      </c>
      <c r="F238" s="4" t="s">
        <v>25</v>
      </c>
      <c r="G238" s="4" t="s">
        <v>25</v>
      </c>
      <c r="H238" s="4" t="s">
        <v>33</v>
      </c>
      <c r="I238" s="5">
        <v>44593</v>
      </c>
      <c r="J238" s="6">
        <v>0</v>
      </c>
      <c r="K238" s="6">
        <v>0</v>
      </c>
      <c r="L238" s="6">
        <v>0.89800000000000002</v>
      </c>
      <c r="M238" s="6">
        <v>0.89800000000000002</v>
      </c>
      <c r="N238" s="6">
        <v>0.89800000000000002</v>
      </c>
      <c r="O238" s="6">
        <v>0.89800000000000002</v>
      </c>
      <c r="P238" s="6">
        <v>0</v>
      </c>
      <c r="Q238" s="4" t="s">
        <v>26</v>
      </c>
      <c r="R238" s="4">
        <v>0</v>
      </c>
      <c r="S238" s="6">
        <v>0</v>
      </c>
      <c r="T238" s="6">
        <v>16</v>
      </c>
      <c r="U238" s="6">
        <v>47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1329.67</v>
      </c>
      <c r="X238" s="6">
        <f>IF(ISERROR(VLOOKUP($U$238,'TAR FIN'!$A$1:$O$86,15,0)),0,VLOOKUP($U$238,'TAR FIN'!$A$1:$O$86,15,0))</f>
        <v>389.21</v>
      </c>
      <c r="Y238" s="6"/>
      <c r="Z238" s="6">
        <f ca="1">('TUSD BE'!$AM$12+'TUSD BF'!$AM$12+'TUSD CVA'!$AM$12)*1</f>
        <v>1074.3612836602365</v>
      </c>
      <c r="AA238" s="6">
        <f>('TE BE'!$AB$5+'TE BF'!$AB$5+'TE CVA'!$AB$5)*1</f>
        <v>353.55100010229148</v>
      </c>
      <c r="AB238" s="6">
        <f>$K$238*$V$238</f>
        <v>0</v>
      </c>
      <c r="AC238" s="6">
        <f>$M$238*$W$238</f>
        <v>1194.04366</v>
      </c>
      <c r="AD238" s="6">
        <f>$O$238*$X$238</f>
        <v>349.51058</v>
      </c>
      <c r="AE238" s="6">
        <f>$K$238*$Y$238</f>
        <v>0</v>
      </c>
      <c r="AF238" s="6">
        <f ca="1">$M$238*$Z$238</f>
        <v>964.77643272689238</v>
      </c>
      <c r="AG238" s="6">
        <f>$O$238*$AA$238</f>
        <v>317.48879809185775</v>
      </c>
    </row>
    <row r="239" spans="1:33" ht="11.25" customHeight="1" x14ac:dyDescent="0.25">
      <c r="A239" s="4" t="s">
        <v>21</v>
      </c>
      <c r="B239" s="4" t="s">
        <v>38</v>
      </c>
      <c r="C239" s="4" t="s">
        <v>40</v>
      </c>
      <c r="D239" s="4" t="s">
        <v>50</v>
      </c>
      <c r="E239" s="4" t="s">
        <v>25</v>
      </c>
      <c r="F239" s="4" t="s">
        <v>25</v>
      </c>
      <c r="G239" s="4" t="s">
        <v>25</v>
      </c>
      <c r="H239" s="4" t="s">
        <v>33</v>
      </c>
      <c r="I239" s="5">
        <v>44621</v>
      </c>
      <c r="J239" s="6">
        <v>0</v>
      </c>
      <c r="K239" s="6">
        <v>0</v>
      </c>
      <c r="L239" s="6">
        <v>0.99399999999999999</v>
      </c>
      <c r="M239" s="6">
        <v>0.99399999999999999</v>
      </c>
      <c r="N239" s="6">
        <v>0.99399999999999999</v>
      </c>
      <c r="O239" s="6">
        <v>0.99399999999999999</v>
      </c>
      <c r="P239" s="6">
        <v>0</v>
      </c>
      <c r="Q239" s="4" t="s">
        <v>26</v>
      </c>
      <c r="R239" s="4">
        <v>0</v>
      </c>
      <c r="S239" s="6">
        <v>0</v>
      </c>
      <c r="T239" s="6">
        <v>16</v>
      </c>
      <c r="U239" s="6">
        <v>47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1329.67</v>
      </c>
      <c r="X239" s="6">
        <f>IF(ISERROR(VLOOKUP($U$239,'TAR FIN'!$A$1:$O$86,15,0)),0,VLOOKUP($U$239,'TAR FIN'!$A$1:$O$86,15,0))</f>
        <v>389.21</v>
      </c>
      <c r="Y239" s="6"/>
      <c r="Z239" s="6">
        <f ca="1">('TUSD BE'!$AM$12+'TUSD BF'!$AM$12+'TUSD CVA'!$AM$12)*1</f>
        <v>1074.3612836602365</v>
      </c>
      <c r="AA239" s="6">
        <f>('TE BE'!$AB$5+'TE BF'!$AB$5+'TE CVA'!$AB$5)*1</f>
        <v>353.55100010229148</v>
      </c>
      <c r="AB239" s="6">
        <f>$K$239*$V$239</f>
        <v>0</v>
      </c>
      <c r="AC239" s="6">
        <f>$M$239*$W$239</f>
        <v>1321.6919800000001</v>
      </c>
      <c r="AD239" s="6">
        <f>$O$239*$X$239</f>
        <v>386.87473999999997</v>
      </c>
      <c r="AE239" s="6">
        <f>$K$239*$Y$239</f>
        <v>0</v>
      </c>
      <c r="AF239" s="6">
        <f ca="1">$M$239*$Z$239</f>
        <v>1067.915115958275</v>
      </c>
      <c r="AG239" s="6">
        <f>$O$239*$AA$239</f>
        <v>351.42969410167774</v>
      </c>
    </row>
    <row r="240" spans="1:33" ht="11.25" customHeight="1" x14ac:dyDescent="0.25">
      <c r="A240" s="4" t="s">
        <v>21</v>
      </c>
      <c r="B240" s="4" t="s">
        <v>38</v>
      </c>
      <c r="C240" s="4" t="s">
        <v>40</v>
      </c>
      <c r="D240" s="4" t="s">
        <v>50</v>
      </c>
      <c r="E240" s="4" t="s">
        <v>25</v>
      </c>
      <c r="F240" s="4" t="s">
        <v>25</v>
      </c>
      <c r="G240" s="4" t="s">
        <v>25</v>
      </c>
      <c r="H240" s="4" t="s">
        <v>33</v>
      </c>
      <c r="I240" s="5">
        <v>44652</v>
      </c>
      <c r="J240" s="6">
        <v>0</v>
      </c>
      <c r="K240" s="6">
        <v>0</v>
      </c>
      <c r="L240" s="6">
        <v>0.79500000000000004</v>
      </c>
      <c r="M240" s="6">
        <v>0.79500000000000004</v>
      </c>
      <c r="N240" s="6">
        <v>0.79500000000000004</v>
      </c>
      <c r="O240" s="6">
        <v>0.79500000000000004</v>
      </c>
      <c r="P240" s="6">
        <v>0</v>
      </c>
      <c r="Q240" s="4" t="s">
        <v>26</v>
      </c>
      <c r="R240" s="4">
        <v>0</v>
      </c>
      <c r="S240" s="6">
        <v>0</v>
      </c>
      <c r="T240" s="6">
        <v>16</v>
      </c>
      <c r="U240" s="6">
        <v>47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1329.67</v>
      </c>
      <c r="X240" s="6">
        <f>IF(ISERROR(VLOOKUP($U$240,'TAR FIN'!$A$1:$O$86,15,0)),0,VLOOKUP($U$240,'TAR FIN'!$A$1:$O$86,15,0))</f>
        <v>389.21</v>
      </c>
      <c r="Y240" s="6"/>
      <c r="Z240" s="6">
        <f ca="1">('TUSD BE'!$AM$12+'TUSD BF'!$AM$12+'TUSD CVA'!$AM$12)*1</f>
        <v>1074.3612836602365</v>
      </c>
      <c r="AA240" s="6">
        <f>('TE BE'!$AB$5+'TE BF'!$AB$5+'TE CVA'!$AB$5)*1</f>
        <v>353.55100010229148</v>
      </c>
      <c r="AB240" s="6">
        <f>$K$240*$V$240</f>
        <v>0</v>
      </c>
      <c r="AC240" s="6">
        <f>$M$240*$W$240</f>
        <v>1057.0876500000002</v>
      </c>
      <c r="AD240" s="6">
        <f>$O$240*$X$240</f>
        <v>309.42194999999998</v>
      </c>
      <c r="AE240" s="6">
        <f>$K$240*$Y$240</f>
        <v>0</v>
      </c>
      <c r="AF240" s="6">
        <f ca="1">$M$240*$Z$240</f>
        <v>854.11722050988806</v>
      </c>
      <c r="AG240" s="6">
        <f>$O$240*$AA$240</f>
        <v>281.07304508132177</v>
      </c>
    </row>
    <row r="241" spans="1:33" ht="11.25" customHeight="1" x14ac:dyDescent="0.25">
      <c r="A241" s="4" t="s">
        <v>21</v>
      </c>
      <c r="B241" s="4" t="s">
        <v>38</v>
      </c>
      <c r="C241" s="4" t="s">
        <v>40</v>
      </c>
      <c r="D241" s="4" t="s">
        <v>50</v>
      </c>
      <c r="E241" s="4" t="s">
        <v>25</v>
      </c>
      <c r="F241" s="4" t="s">
        <v>25</v>
      </c>
      <c r="G241" s="4" t="s">
        <v>25</v>
      </c>
      <c r="H241" s="4" t="s">
        <v>33</v>
      </c>
      <c r="I241" s="5">
        <v>44682</v>
      </c>
      <c r="J241" s="6">
        <v>0</v>
      </c>
      <c r="K241" s="6">
        <v>0</v>
      </c>
      <c r="L241" s="6">
        <v>0.98899999999999999</v>
      </c>
      <c r="M241" s="6">
        <v>0.98899999999999999</v>
      </c>
      <c r="N241" s="6">
        <v>0.98899999999999999</v>
      </c>
      <c r="O241" s="6">
        <v>0.98899999999999999</v>
      </c>
      <c r="P241" s="6">
        <v>0</v>
      </c>
      <c r="Q241" s="4" t="s">
        <v>26</v>
      </c>
      <c r="R241" s="4">
        <v>0</v>
      </c>
      <c r="S241" s="6">
        <v>0</v>
      </c>
      <c r="T241" s="6">
        <v>16</v>
      </c>
      <c r="U241" s="6">
        <v>47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1329.67</v>
      </c>
      <c r="X241" s="6">
        <f>IF(ISERROR(VLOOKUP($U$241,'TAR FIN'!$A$1:$O$86,15,0)),0,VLOOKUP($U$241,'TAR FIN'!$A$1:$O$86,15,0))</f>
        <v>389.21</v>
      </c>
      <c r="Y241" s="6"/>
      <c r="Z241" s="6">
        <f ca="1">('TUSD BE'!$AM$12+'TUSD BF'!$AM$12+'TUSD CVA'!$AM$12)*1</f>
        <v>1074.3612836602365</v>
      </c>
      <c r="AA241" s="6">
        <f>('TE BE'!$AB$5+'TE BF'!$AB$5+'TE CVA'!$AB$5)*1</f>
        <v>353.55100010229148</v>
      </c>
      <c r="AB241" s="6">
        <f>$K$241*$V$241</f>
        <v>0</v>
      </c>
      <c r="AC241" s="6">
        <f>$M$241*$W$241</f>
        <v>1315.0436300000001</v>
      </c>
      <c r="AD241" s="6">
        <f>$O$241*$X$241</f>
        <v>384.92868999999996</v>
      </c>
      <c r="AE241" s="6">
        <f>$K$241*$Y$241</f>
        <v>0</v>
      </c>
      <c r="AF241" s="6">
        <f ca="1">$M$241*$Z$241</f>
        <v>1062.543309539974</v>
      </c>
      <c r="AG241" s="6">
        <f>$O$241*$AA$241</f>
        <v>349.6619391011663</v>
      </c>
    </row>
    <row r="242" spans="1:33" ht="11.25" customHeight="1" x14ac:dyDescent="0.25">
      <c r="A242" s="4" t="s">
        <v>56</v>
      </c>
      <c r="B242" s="4" t="s">
        <v>38</v>
      </c>
      <c r="C242" s="4" t="s">
        <v>40</v>
      </c>
      <c r="D242" s="4" t="s">
        <v>50</v>
      </c>
      <c r="E242" s="4" t="s">
        <v>25</v>
      </c>
      <c r="F242" s="4" t="s">
        <v>25</v>
      </c>
      <c r="G242" s="4" t="s">
        <v>25</v>
      </c>
      <c r="H242" s="4" t="s">
        <v>33</v>
      </c>
      <c r="I242" s="5">
        <v>44713</v>
      </c>
      <c r="J242" s="6">
        <v>0</v>
      </c>
      <c r="K242" s="6">
        <v>0</v>
      </c>
      <c r="L242" s="6">
        <v>0.98899999999999999</v>
      </c>
      <c r="M242" s="6">
        <v>0.98899999999999999</v>
      </c>
      <c r="N242" s="6">
        <v>0.98899999999999999</v>
      </c>
      <c r="O242" s="6">
        <v>0.98899999999999999</v>
      </c>
      <c r="P242" s="6">
        <v>0</v>
      </c>
      <c r="Q242" s="4" t="s">
        <v>26</v>
      </c>
      <c r="R242" s="4">
        <v>0</v>
      </c>
      <c r="S242" s="6">
        <v>0</v>
      </c>
      <c r="T242" s="6">
        <v>16</v>
      </c>
      <c r="U242" s="6">
        <v>47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1329.67</v>
      </c>
      <c r="X242" s="6">
        <f>IF(ISERROR(VLOOKUP($U$242,'TAR FIN'!$A$1:$O$86,15,0)),0,VLOOKUP($U$242,'TAR FIN'!$A$1:$O$86,15,0))</f>
        <v>389.21</v>
      </c>
      <c r="Y242" s="6"/>
      <c r="Z242" s="6">
        <f ca="1">('TUSD BE'!$AM$12+'TUSD BF'!$AM$12+'TUSD CVA'!$AM$12)*1</f>
        <v>1074.3612836602365</v>
      </c>
      <c r="AA242" s="6">
        <f>('TE BE'!$AB$5+'TE BF'!$AB$5+'TE CVA'!$AB$5)*1</f>
        <v>353.55100010229148</v>
      </c>
      <c r="AB242" s="6">
        <f>$K$242*$V$242</f>
        <v>0</v>
      </c>
      <c r="AC242" s="6">
        <f>$M$242*$W$242</f>
        <v>1315.0436300000001</v>
      </c>
      <c r="AD242" s="6">
        <f>$O$242*$X$242</f>
        <v>384.92868999999996</v>
      </c>
      <c r="AE242" s="6">
        <f>$K$242*$Y$242</f>
        <v>0</v>
      </c>
      <c r="AF242" s="6">
        <f ca="1">$M$242*$Z$242</f>
        <v>1062.543309539974</v>
      </c>
      <c r="AG242" s="6">
        <f>$O$242*$AA$242</f>
        <v>349.6619391011663</v>
      </c>
    </row>
    <row r="243" spans="1:33" ht="11.25" customHeight="1" x14ac:dyDescent="0.25">
      <c r="A243" s="4" t="s">
        <v>21</v>
      </c>
      <c r="B243" s="4" t="s">
        <v>38</v>
      </c>
      <c r="C243" s="4" t="s">
        <v>40</v>
      </c>
      <c r="D243" s="4" t="s">
        <v>37</v>
      </c>
      <c r="E243" s="4" t="s">
        <v>25</v>
      </c>
      <c r="F243" s="4" t="s">
        <v>57</v>
      </c>
      <c r="G243" s="4" t="s">
        <v>25</v>
      </c>
      <c r="H243" s="4" t="s">
        <v>34</v>
      </c>
      <c r="I243" s="5">
        <v>44378</v>
      </c>
      <c r="J243" s="6">
        <v>0</v>
      </c>
      <c r="K243" s="6">
        <v>0</v>
      </c>
      <c r="L243" s="6">
        <v>1883.799</v>
      </c>
      <c r="M243" s="6">
        <v>784.97904329999994</v>
      </c>
      <c r="N243" s="6">
        <v>0</v>
      </c>
      <c r="O243" s="6">
        <v>0</v>
      </c>
      <c r="P243" s="6">
        <v>0</v>
      </c>
      <c r="Q243" s="4" t="s">
        <v>58</v>
      </c>
      <c r="R243" s="4">
        <v>0</v>
      </c>
      <c r="S243" s="6">
        <v>0</v>
      </c>
      <c r="T243" s="6">
        <v>14</v>
      </c>
      <c r="U243" s="6">
        <v>0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78.680000000000007</v>
      </c>
      <c r="X243" s="6">
        <f>IF(ISERROR(VLOOKUP($U$243,'TAR FIN'!$A$1:$O$86,15,0)),0,VLOOKUP($U$243,'TAR FIN'!$A$1:$O$86,15,0))</f>
        <v>0</v>
      </c>
      <c r="Y243" s="6"/>
      <c r="Z243" s="6">
        <f ca="1">('TUSD BE'!$AM$13+'TUSD BF'!$AM$13+'TUSD CVA'!$AM$13)*1</f>
        <v>100.23755694003805</v>
      </c>
      <c r="AA243" s="6"/>
      <c r="AB243" s="6">
        <f>$K$243*$V$243</f>
        <v>0</v>
      </c>
      <c r="AC243" s="6">
        <f>$M$243*$W$243</f>
        <v>61762.151126844001</v>
      </c>
      <c r="AD243" s="6">
        <f>$O$243*$X$243</f>
        <v>0</v>
      </c>
      <c r="AE243" s="6">
        <f>$K$243*$Y$243</f>
        <v>0</v>
      </c>
      <c r="AF243" s="6">
        <f ca="1">$M$243*$Z$243</f>
        <v>78684.381549520331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38</v>
      </c>
      <c r="C244" s="4" t="s">
        <v>40</v>
      </c>
      <c r="D244" s="4" t="s">
        <v>37</v>
      </c>
      <c r="E244" s="4" t="s">
        <v>25</v>
      </c>
      <c r="F244" s="4" t="s">
        <v>57</v>
      </c>
      <c r="G244" s="4" t="s">
        <v>25</v>
      </c>
      <c r="H244" s="4" t="s">
        <v>34</v>
      </c>
      <c r="I244" s="5">
        <v>44409</v>
      </c>
      <c r="J244" s="6">
        <v>0</v>
      </c>
      <c r="K244" s="6">
        <v>0</v>
      </c>
      <c r="L244" s="6">
        <v>1935.373</v>
      </c>
      <c r="M244" s="6">
        <v>806.46992909999994</v>
      </c>
      <c r="N244" s="6">
        <v>0</v>
      </c>
      <c r="O244" s="6">
        <v>0</v>
      </c>
      <c r="P244" s="6">
        <v>0</v>
      </c>
      <c r="Q244" s="4" t="s">
        <v>58</v>
      </c>
      <c r="R244" s="4">
        <v>0</v>
      </c>
      <c r="S244" s="6">
        <v>0</v>
      </c>
      <c r="T244" s="6">
        <v>14</v>
      </c>
      <c r="U244" s="6">
        <v>0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78.680000000000007</v>
      </c>
      <c r="X244" s="6">
        <f>IF(ISERROR(VLOOKUP($U$244,'TAR FIN'!$A$1:$O$86,15,0)),0,VLOOKUP($U$244,'TAR FIN'!$A$1:$O$86,15,0))</f>
        <v>0</v>
      </c>
      <c r="Y244" s="6"/>
      <c r="Z244" s="6">
        <f ca="1">('TUSD BE'!$AM$13+'TUSD BF'!$AM$13+'TUSD CVA'!$AM$13)*1</f>
        <v>100.23755694003805</v>
      </c>
      <c r="AA244" s="6"/>
      <c r="AB244" s="6">
        <f>$K$244*$V$244</f>
        <v>0</v>
      </c>
      <c r="AC244" s="6">
        <f>$M$244*$W$244</f>
        <v>63453.054021588003</v>
      </c>
      <c r="AD244" s="6">
        <f>$O$244*$X$244</f>
        <v>0</v>
      </c>
      <c r="AE244" s="6">
        <f>$K$244*$Y$244</f>
        <v>0</v>
      </c>
      <c r="AF244" s="6">
        <f ca="1">$M$244*$Z$244</f>
        <v>80838.575438589687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38</v>
      </c>
      <c r="C245" s="4" t="s">
        <v>40</v>
      </c>
      <c r="D245" s="4" t="s">
        <v>37</v>
      </c>
      <c r="E245" s="4" t="s">
        <v>25</v>
      </c>
      <c r="F245" s="4" t="s">
        <v>57</v>
      </c>
      <c r="G245" s="4" t="s">
        <v>25</v>
      </c>
      <c r="H245" s="4" t="s">
        <v>34</v>
      </c>
      <c r="I245" s="5">
        <v>44440</v>
      </c>
      <c r="J245" s="6">
        <v>0</v>
      </c>
      <c r="K245" s="6">
        <v>0</v>
      </c>
      <c r="L245" s="6">
        <v>1840.393</v>
      </c>
      <c r="M245" s="6">
        <v>766.89176310000005</v>
      </c>
      <c r="N245" s="6">
        <v>0</v>
      </c>
      <c r="O245" s="6">
        <v>0</v>
      </c>
      <c r="P245" s="6">
        <v>0</v>
      </c>
      <c r="Q245" s="4" t="s">
        <v>58</v>
      </c>
      <c r="R245" s="4">
        <v>0</v>
      </c>
      <c r="S245" s="6">
        <v>0</v>
      </c>
      <c r="T245" s="6">
        <v>14</v>
      </c>
      <c r="U245" s="6">
        <v>0</v>
      </c>
      <c r="V245" s="6">
        <f>IF(ISERROR(VLOOKUP($S$245,'TAR FIN'!$A$1:$O$86,15,0)),0,VLOOKUP($S$245,'TAR FIN'!$A$1:$O$86,15,0))</f>
        <v>0</v>
      </c>
      <c r="W245" s="6">
        <f>IF(ISERROR(VLOOKUP($T$245,'TAR FIN'!$A$1:$O$86,15,0)),0,VLOOKUP($T$245,'TAR FIN'!$A$1:$O$86,15,0))</f>
        <v>78.680000000000007</v>
      </c>
      <c r="X245" s="6">
        <f>IF(ISERROR(VLOOKUP($U$245,'TAR FIN'!$A$1:$O$86,15,0)),0,VLOOKUP($U$245,'TAR FIN'!$A$1:$O$86,15,0))</f>
        <v>0</v>
      </c>
      <c r="Y245" s="6"/>
      <c r="Z245" s="6">
        <f ca="1">('TUSD BE'!$AM$13+'TUSD BF'!$AM$13+'TUSD CVA'!$AM$13)*1</f>
        <v>100.23755694003805</v>
      </c>
      <c r="AA245" s="6"/>
      <c r="AB245" s="6">
        <f>$K$245*$V$245</f>
        <v>0</v>
      </c>
      <c r="AC245" s="6">
        <f>$M$245*$W$245</f>
        <v>60339.043920708013</v>
      </c>
      <c r="AD245" s="6">
        <f>$O$245*$X$245</f>
        <v>0</v>
      </c>
      <c r="AE245" s="6">
        <f>$K$245*$Y$245</f>
        <v>0</v>
      </c>
      <c r="AF245" s="6">
        <f ca="1">$M$245*$Z$245</f>
        <v>76871.356770582424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38</v>
      </c>
      <c r="C246" s="4" t="s">
        <v>40</v>
      </c>
      <c r="D246" s="4" t="s">
        <v>37</v>
      </c>
      <c r="E246" s="4" t="s">
        <v>25</v>
      </c>
      <c r="F246" s="4" t="s">
        <v>57</v>
      </c>
      <c r="G246" s="4" t="s">
        <v>25</v>
      </c>
      <c r="H246" s="4" t="s">
        <v>34</v>
      </c>
      <c r="I246" s="5">
        <v>44470</v>
      </c>
      <c r="J246" s="6">
        <v>0</v>
      </c>
      <c r="K246" s="6">
        <v>0</v>
      </c>
      <c r="L246" s="6">
        <v>1864.7190000000001</v>
      </c>
      <c r="M246" s="6">
        <v>822.71402279999995</v>
      </c>
      <c r="N246" s="6">
        <v>0</v>
      </c>
      <c r="O246" s="6">
        <v>0</v>
      </c>
      <c r="P246" s="6">
        <v>0</v>
      </c>
      <c r="Q246" s="4" t="s">
        <v>58</v>
      </c>
      <c r="R246" s="4">
        <v>0</v>
      </c>
      <c r="S246" s="6">
        <v>0</v>
      </c>
      <c r="T246" s="6">
        <v>14</v>
      </c>
      <c r="U246" s="6">
        <v>0</v>
      </c>
      <c r="V246" s="6">
        <f>IF(ISERROR(VLOOKUP($S$246,'TAR FIN'!$A$1:$O$86,15,0)),0,VLOOKUP($S$246,'TAR FIN'!$A$1:$O$86,15,0))</f>
        <v>0</v>
      </c>
      <c r="W246" s="6">
        <f>IF(ISERROR(VLOOKUP($T$246,'TAR FIN'!$A$1:$O$86,15,0)),0,VLOOKUP($T$246,'TAR FIN'!$A$1:$O$86,15,0))</f>
        <v>78.680000000000007</v>
      </c>
      <c r="X246" s="6">
        <f>IF(ISERROR(VLOOKUP($U$246,'TAR FIN'!$A$1:$O$86,15,0)),0,VLOOKUP($U$246,'TAR FIN'!$A$1:$O$86,15,0))</f>
        <v>0</v>
      </c>
      <c r="Y246" s="6"/>
      <c r="Z246" s="6">
        <f ca="1">('TUSD BE'!$AM$13+'TUSD BF'!$AM$13+'TUSD CVA'!$AM$13)*1</f>
        <v>100.23755694003805</v>
      </c>
      <c r="AA246" s="6"/>
      <c r="AB246" s="6">
        <f>$K$246*$V$246</f>
        <v>0</v>
      </c>
      <c r="AC246" s="6">
        <f>$M$246*$W$246</f>
        <v>64731.139313904001</v>
      </c>
      <c r="AD246" s="6">
        <f>$O$246*$X$246</f>
        <v>0</v>
      </c>
      <c r="AE246" s="6">
        <f>$K$246*$Y$246</f>
        <v>0</v>
      </c>
      <c r="AF246" s="6">
        <f ca="1">$M$246*$Z$246</f>
        <v>82466.843705782754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38</v>
      </c>
      <c r="C247" s="4" t="s">
        <v>40</v>
      </c>
      <c r="D247" s="4" t="s">
        <v>37</v>
      </c>
      <c r="E247" s="4" t="s">
        <v>25</v>
      </c>
      <c r="F247" s="4" t="s">
        <v>57</v>
      </c>
      <c r="G247" s="4" t="s">
        <v>25</v>
      </c>
      <c r="H247" s="4" t="s">
        <v>34</v>
      </c>
      <c r="I247" s="5">
        <v>44501</v>
      </c>
      <c r="J247" s="6">
        <v>0</v>
      </c>
      <c r="K247" s="6">
        <v>0</v>
      </c>
      <c r="L247" s="6">
        <v>1907.606</v>
      </c>
      <c r="M247" s="6">
        <v>715.35225000000003</v>
      </c>
      <c r="N247" s="6">
        <v>0</v>
      </c>
      <c r="O247" s="6">
        <v>0</v>
      </c>
      <c r="P247" s="6">
        <v>0</v>
      </c>
      <c r="Q247" s="4" t="s">
        <v>58</v>
      </c>
      <c r="R247" s="4">
        <v>0</v>
      </c>
      <c r="S247" s="6">
        <v>0</v>
      </c>
      <c r="T247" s="6">
        <v>14</v>
      </c>
      <c r="U247" s="6">
        <v>0</v>
      </c>
      <c r="V247" s="6">
        <f>IF(ISERROR(VLOOKUP($S$247,'TAR FIN'!$A$1:$O$86,15,0)),0,VLOOKUP($S$247,'TAR FIN'!$A$1:$O$86,15,0))</f>
        <v>0</v>
      </c>
      <c r="W247" s="6">
        <f>IF(ISERROR(VLOOKUP($T$247,'TAR FIN'!$A$1:$O$86,15,0)),0,VLOOKUP($T$247,'TAR FIN'!$A$1:$O$86,15,0))</f>
        <v>78.680000000000007</v>
      </c>
      <c r="X247" s="6">
        <f>IF(ISERROR(VLOOKUP($U$247,'TAR FIN'!$A$1:$O$86,15,0)),0,VLOOKUP($U$247,'TAR FIN'!$A$1:$O$86,15,0))</f>
        <v>0</v>
      </c>
      <c r="Y247" s="6"/>
      <c r="Z247" s="6">
        <f ca="1">('TUSD BE'!$AM$13+'TUSD BF'!$AM$13+'TUSD CVA'!$AM$13)*1</f>
        <v>100.23755694003805</v>
      </c>
      <c r="AA247" s="6"/>
      <c r="AB247" s="6">
        <f>$K$247*$V$247</f>
        <v>0</v>
      </c>
      <c r="AC247" s="6">
        <f>$M$247*$W$247</f>
        <v>56283.915030000004</v>
      </c>
      <c r="AD247" s="6">
        <f>$O$247*$X$247</f>
        <v>0</v>
      </c>
      <c r="AE247" s="6">
        <f>$K$247*$Y$247</f>
        <v>0</v>
      </c>
      <c r="AF247" s="6">
        <f ca="1">$M$247*$Z$247</f>
        <v>71705.161891559328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38</v>
      </c>
      <c r="C248" s="4" t="s">
        <v>40</v>
      </c>
      <c r="D248" s="4" t="s">
        <v>37</v>
      </c>
      <c r="E248" s="4" t="s">
        <v>25</v>
      </c>
      <c r="F248" s="4" t="s">
        <v>57</v>
      </c>
      <c r="G248" s="4" t="s">
        <v>25</v>
      </c>
      <c r="H248" s="4" t="s">
        <v>34</v>
      </c>
      <c r="I248" s="5">
        <v>44531</v>
      </c>
      <c r="J248" s="6">
        <v>0</v>
      </c>
      <c r="K248" s="6">
        <v>0</v>
      </c>
      <c r="L248" s="6">
        <v>1807.9570000000001</v>
      </c>
      <c r="M248" s="6">
        <v>761.33069269999999</v>
      </c>
      <c r="N248" s="6">
        <v>0</v>
      </c>
      <c r="O248" s="6">
        <v>0</v>
      </c>
      <c r="P248" s="6">
        <v>0</v>
      </c>
      <c r="Q248" s="4" t="s">
        <v>58</v>
      </c>
      <c r="R248" s="4">
        <v>0</v>
      </c>
      <c r="S248" s="6">
        <v>0</v>
      </c>
      <c r="T248" s="6">
        <v>14</v>
      </c>
      <c r="U248" s="6">
        <v>0</v>
      </c>
      <c r="V248" s="6">
        <f>IF(ISERROR(VLOOKUP($S$248,'TAR FIN'!$A$1:$O$86,15,0)),0,VLOOKUP($S$248,'TAR FIN'!$A$1:$O$86,15,0))</f>
        <v>0</v>
      </c>
      <c r="W248" s="6">
        <f>IF(ISERROR(VLOOKUP($T$248,'TAR FIN'!$A$1:$O$86,15,0)),0,VLOOKUP($T$248,'TAR FIN'!$A$1:$O$86,15,0))</f>
        <v>78.680000000000007</v>
      </c>
      <c r="X248" s="6">
        <f>IF(ISERROR(VLOOKUP($U$248,'TAR FIN'!$A$1:$O$86,15,0)),0,VLOOKUP($U$248,'TAR FIN'!$A$1:$O$86,15,0))</f>
        <v>0</v>
      </c>
      <c r="Y248" s="6"/>
      <c r="Z248" s="6">
        <f ca="1">('TUSD BE'!$AM$13+'TUSD BF'!$AM$13+'TUSD CVA'!$AM$13)*1</f>
        <v>100.23755694003805</v>
      </c>
      <c r="AA248" s="6"/>
      <c r="AB248" s="6">
        <f>$K$248*$V$248</f>
        <v>0</v>
      </c>
      <c r="AC248" s="6">
        <f>$M$248*$W$248</f>
        <v>59901.498901636005</v>
      </c>
      <c r="AD248" s="6">
        <f>$O$248*$X$248</f>
        <v>0</v>
      </c>
      <c r="AE248" s="6">
        <f>$K$248*$Y$248</f>
        <v>0</v>
      </c>
      <c r="AF248" s="6">
        <f ca="1">$M$248*$Z$248</f>
        <v>76313.92865971486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38</v>
      </c>
      <c r="C249" s="4" t="s">
        <v>40</v>
      </c>
      <c r="D249" s="4" t="s">
        <v>37</v>
      </c>
      <c r="E249" s="4" t="s">
        <v>25</v>
      </c>
      <c r="F249" s="4" t="s">
        <v>57</v>
      </c>
      <c r="G249" s="4" t="s">
        <v>25</v>
      </c>
      <c r="H249" s="4" t="s">
        <v>34</v>
      </c>
      <c r="I249" s="5">
        <v>44562</v>
      </c>
      <c r="J249" s="6">
        <v>0</v>
      </c>
      <c r="K249" s="6">
        <v>0</v>
      </c>
      <c r="L249" s="6">
        <v>1675.7439999999999</v>
      </c>
      <c r="M249" s="6">
        <v>680.6872128</v>
      </c>
      <c r="N249" s="6">
        <v>0</v>
      </c>
      <c r="O249" s="6">
        <v>0</v>
      </c>
      <c r="P249" s="6">
        <v>0</v>
      </c>
      <c r="Q249" s="4" t="s">
        <v>58</v>
      </c>
      <c r="R249" s="4">
        <v>0</v>
      </c>
      <c r="S249" s="6">
        <v>0</v>
      </c>
      <c r="T249" s="6">
        <v>14</v>
      </c>
      <c r="U249" s="6">
        <v>0</v>
      </c>
      <c r="V249" s="6">
        <f>IF(ISERROR(VLOOKUP($S$249,'TAR FIN'!$A$1:$O$86,15,0)),0,VLOOKUP($S$249,'TAR FIN'!$A$1:$O$86,15,0))</f>
        <v>0</v>
      </c>
      <c r="W249" s="6">
        <f>IF(ISERROR(VLOOKUP($T$249,'TAR FIN'!$A$1:$O$86,15,0)),0,VLOOKUP($T$249,'TAR FIN'!$A$1:$O$86,15,0))</f>
        <v>78.680000000000007</v>
      </c>
      <c r="X249" s="6">
        <f>IF(ISERROR(VLOOKUP($U$249,'TAR FIN'!$A$1:$O$86,15,0)),0,VLOOKUP($U$249,'TAR FIN'!$A$1:$O$86,15,0))</f>
        <v>0</v>
      </c>
      <c r="Y249" s="6"/>
      <c r="Z249" s="6">
        <f ca="1">('TUSD BE'!$AM$13+'TUSD BF'!$AM$13+'TUSD CVA'!$AM$13)*1</f>
        <v>100.23755694003805</v>
      </c>
      <c r="AA249" s="6"/>
      <c r="AB249" s="6">
        <f>$K$249*$V$249</f>
        <v>0</v>
      </c>
      <c r="AC249" s="6">
        <f>$M$249*$W$249</f>
        <v>53556.469903104007</v>
      </c>
      <c r="AD249" s="6">
        <f>$O$249*$X$249</f>
        <v>0</v>
      </c>
      <c r="AE249" s="6">
        <f>$K$249*$Y$249</f>
        <v>0</v>
      </c>
      <c r="AF249" s="6">
        <f ca="1">$M$249*$Z$249</f>
        <v>68230.423251395798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38</v>
      </c>
      <c r="C250" s="4" t="s">
        <v>40</v>
      </c>
      <c r="D250" s="4" t="s">
        <v>37</v>
      </c>
      <c r="E250" s="4" t="s">
        <v>25</v>
      </c>
      <c r="F250" s="4" t="s">
        <v>57</v>
      </c>
      <c r="G250" s="4" t="s">
        <v>25</v>
      </c>
      <c r="H250" s="4" t="s">
        <v>34</v>
      </c>
      <c r="I250" s="5">
        <v>44593</v>
      </c>
      <c r="J250" s="6">
        <v>0</v>
      </c>
      <c r="K250" s="6">
        <v>0</v>
      </c>
      <c r="L250" s="6">
        <v>1959.9670000000001</v>
      </c>
      <c r="M250" s="6">
        <v>825.34210370000005</v>
      </c>
      <c r="N250" s="6">
        <v>0</v>
      </c>
      <c r="O250" s="6">
        <v>0</v>
      </c>
      <c r="P250" s="6">
        <v>0</v>
      </c>
      <c r="Q250" s="4" t="s">
        <v>58</v>
      </c>
      <c r="R250" s="4">
        <v>0</v>
      </c>
      <c r="S250" s="6">
        <v>0</v>
      </c>
      <c r="T250" s="6">
        <v>14</v>
      </c>
      <c r="U250" s="6">
        <v>0</v>
      </c>
      <c r="V250" s="6">
        <f>IF(ISERROR(VLOOKUP($S$250,'TAR FIN'!$A$1:$O$86,15,0)),0,VLOOKUP($S$250,'TAR FIN'!$A$1:$O$86,15,0))</f>
        <v>0</v>
      </c>
      <c r="W250" s="6">
        <f>IF(ISERROR(VLOOKUP($T$250,'TAR FIN'!$A$1:$O$86,15,0)),0,VLOOKUP($T$250,'TAR FIN'!$A$1:$O$86,15,0))</f>
        <v>78.680000000000007</v>
      </c>
      <c r="X250" s="6">
        <f>IF(ISERROR(VLOOKUP($U$250,'TAR FIN'!$A$1:$O$86,15,0)),0,VLOOKUP($U$250,'TAR FIN'!$A$1:$O$86,15,0))</f>
        <v>0</v>
      </c>
      <c r="Y250" s="6"/>
      <c r="Z250" s="6">
        <f ca="1">('TUSD BE'!$AM$13+'TUSD BF'!$AM$13+'TUSD CVA'!$AM$13)*1</f>
        <v>100.23755694003805</v>
      </c>
      <c r="AA250" s="6"/>
      <c r="AB250" s="6">
        <f>$K$250*$V$250</f>
        <v>0</v>
      </c>
      <c r="AC250" s="6">
        <f>$M$250*$W$250</f>
        <v>64937.916719116009</v>
      </c>
      <c r="AD250" s="6">
        <f>$O$250*$X$250</f>
        <v>0</v>
      </c>
      <c r="AE250" s="6">
        <f>$K$250*$Y$250</f>
        <v>0</v>
      </c>
      <c r="AF250" s="6">
        <f ca="1">$M$250*$Z$250</f>
        <v>82730.276114639535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38</v>
      </c>
      <c r="C251" s="4" t="s">
        <v>40</v>
      </c>
      <c r="D251" s="4" t="s">
        <v>37</v>
      </c>
      <c r="E251" s="4" t="s">
        <v>25</v>
      </c>
      <c r="F251" s="4" t="s">
        <v>57</v>
      </c>
      <c r="G251" s="4" t="s">
        <v>25</v>
      </c>
      <c r="H251" s="4" t="s">
        <v>34</v>
      </c>
      <c r="I251" s="5">
        <v>44621</v>
      </c>
      <c r="J251" s="6">
        <v>0</v>
      </c>
      <c r="K251" s="6">
        <v>0</v>
      </c>
      <c r="L251" s="6">
        <v>2313.5279999999998</v>
      </c>
      <c r="M251" s="6">
        <v>964.04711759999998</v>
      </c>
      <c r="N251" s="6">
        <v>0</v>
      </c>
      <c r="O251" s="6">
        <v>0</v>
      </c>
      <c r="P251" s="6">
        <v>0</v>
      </c>
      <c r="Q251" s="4" t="s">
        <v>58</v>
      </c>
      <c r="R251" s="4">
        <v>0</v>
      </c>
      <c r="S251" s="6">
        <v>0</v>
      </c>
      <c r="T251" s="6">
        <v>14</v>
      </c>
      <c r="U251" s="6">
        <v>0</v>
      </c>
      <c r="V251" s="6">
        <f>IF(ISERROR(VLOOKUP($S$251,'TAR FIN'!$A$1:$O$86,15,0)),0,VLOOKUP($S$251,'TAR FIN'!$A$1:$O$86,15,0))</f>
        <v>0</v>
      </c>
      <c r="W251" s="6">
        <f>IF(ISERROR(VLOOKUP($T$251,'TAR FIN'!$A$1:$O$86,15,0)),0,VLOOKUP($T$251,'TAR FIN'!$A$1:$O$86,15,0))</f>
        <v>78.680000000000007</v>
      </c>
      <c r="X251" s="6">
        <f>IF(ISERROR(VLOOKUP($U$251,'TAR FIN'!$A$1:$O$86,15,0)),0,VLOOKUP($U$251,'TAR FIN'!$A$1:$O$86,15,0))</f>
        <v>0</v>
      </c>
      <c r="Y251" s="6"/>
      <c r="Z251" s="6">
        <f ca="1">('TUSD BE'!$AM$13+'TUSD BF'!$AM$13+'TUSD CVA'!$AM$13)*1</f>
        <v>100.23755694003805</v>
      </c>
      <c r="AA251" s="6"/>
      <c r="AB251" s="6">
        <f>$K$251*$V$251</f>
        <v>0</v>
      </c>
      <c r="AC251" s="6">
        <f>$M$251*$W$251</f>
        <v>75851.227212768004</v>
      </c>
      <c r="AD251" s="6">
        <f>$O$251*$X$251</f>
        <v>0</v>
      </c>
      <c r="AE251" s="6">
        <f>$K$251*$Y$251</f>
        <v>0</v>
      </c>
      <c r="AF251" s="6">
        <f ca="1">$M$251*$Z$251</f>
        <v>96633.727843309549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38</v>
      </c>
      <c r="C252" s="4" t="s">
        <v>40</v>
      </c>
      <c r="D252" s="4" t="s">
        <v>37</v>
      </c>
      <c r="E252" s="4" t="s">
        <v>25</v>
      </c>
      <c r="F252" s="4" t="s">
        <v>57</v>
      </c>
      <c r="G252" s="4" t="s">
        <v>25</v>
      </c>
      <c r="H252" s="4" t="s">
        <v>34</v>
      </c>
      <c r="I252" s="5">
        <v>44652</v>
      </c>
      <c r="J252" s="6">
        <v>0</v>
      </c>
      <c r="K252" s="6">
        <v>0</v>
      </c>
      <c r="L252" s="6">
        <v>1907.172</v>
      </c>
      <c r="M252" s="6">
        <v>794.71857239999997</v>
      </c>
      <c r="N252" s="6">
        <v>0</v>
      </c>
      <c r="O252" s="6">
        <v>0</v>
      </c>
      <c r="P252" s="6">
        <v>0</v>
      </c>
      <c r="Q252" s="4" t="s">
        <v>58</v>
      </c>
      <c r="R252" s="4">
        <v>0</v>
      </c>
      <c r="S252" s="6">
        <v>0</v>
      </c>
      <c r="T252" s="6">
        <v>14</v>
      </c>
      <c r="U252" s="6">
        <v>0</v>
      </c>
      <c r="V252" s="6">
        <f>IF(ISERROR(VLOOKUP($S$252,'TAR FIN'!$A$1:$O$86,15,0)),0,VLOOKUP($S$252,'TAR FIN'!$A$1:$O$86,15,0))</f>
        <v>0</v>
      </c>
      <c r="W252" s="6">
        <f>IF(ISERROR(VLOOKUP($T$252,'TAR FIN'!$A$1:$O$86,15,0)),0,VLOOKUP($T$252,'TAR FIN'!$A$1:$O$86,15,0))</f>
        <v>78.680000000000007</v>
      </c>
      <c r="X252" s="6">
        <f>IF(ISERROR(VLOOKUP($U$252,'TAR FIN'!$A$1:$O$86,15,0)),0,VLOOKUP($U$252,'TAR FIN'!$A$1:$O$86,15,0))</f>
        <v>0</v>
      </c>
      <c r="Y252" s="6"/>
      <c r="Z252" s="6">
        <f ca="1">('TUSD BE'!$AM$13+'TUSD BF'!$AM$13+'TUSD CVA'!$AM$13)*1</f>
        <v>100.23755694003805</v>
      </c>
      <c r="AA252" s="6"/>
      <c r="AB252" s="6">
        <f>$K$252*$V$252</f>
        <v>0</v>
      </c>
      <c r="AC252" s="6">
        <f>$M$252*$W$252</f>
        <v>62528.457276432004</v>
      </c>
      <c r="AD252" s="6">
        <f>$O$252*$X$252</f>
        <v>0</v>
      </c>
      <c r="AE252" s="6">
        <f>$K$252*$Y$252</f>
        <v>0</v>
      </c>
      <c r="AF252" s="6">
        <f ca="1">$M$252*$Z$252</f>
        <v>79660.648152250753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38</v>
      </c>
      <c r="C253" s="4" t="s">
        <v>40</v>
      </c>
      <c r="D253" s="4" t="s">
        <v>37</v>
      </c>
      <c r="E253" s="4" t="s">
        <v>25</v>
      </c>
      <c r="F253" s="4" t="s">
        <v>57</v>
      </c>
      <c r="G253" s="4" t="s">
        <v>25</v>
      </c>
      <c r="H253" s="4" t="s">
        <v>34</v>
      </c>
      <c r="I253" s="5">
        <v>44682</v>
      </c>
      <c r="J253" s="6">
        <v>0</v>
      </c>
      <c r="K253" s="6">
        <v>0</v>
      </c>
      <c r="L253" s="6">
        <v>2127.2240000000002</v>
      </c>
      <c r="M253" s="6">
        <v>886.41424080000002</v>
      </c>
      <c r="N253" s="6">
        <v>0</v>
      </c>
      <c r="O253" s="6">
        <v>0</v>
      </c>
      <c r="P253" s="6">
        <v>0</v>
      </c>
      <c r="Q253" s="4" t="s">
        <v>58</v>
      </c>
      <c r="R253" s="4">
        <v>0</v>
      </c>
      <c r="S253" s="6">
        <v>0</v>
      </c>
      <c r="T253" s="6">
        <v>14</v>
      </c>
      <c r="U253" s="6">
        <v>0</v>
      </c>
      <c r="V253" s="6">
        <f>IF(ISERROR(VLOOKUP($S$253,'TAR FIN'!$A$1:$O$86,15,0)),0,VLOOKUP($S$253,'TAR FIN'!$A$1:$O$86,15,0))</f>
        <v>0</v>
      </c>
      <c r="W253" s="6">
        <f>IF(ISERROR(VLOOKUP($T$253,'TAR FIN'!$A$1:$O$86,15,0)),0,VLOOKUP($T$253,'TAR FIN'!$A$1:$O$86,15,0))</f>
        <v>78.680000000000007</v>
      </c>
      <c r="X253" s="6">
        <f>IF(ISERROR(VLOOKUP($U$253,'TAR FIN'!$A$1:$O$86,15,0)),0,VLOOKUP($U$253,'TAR FIN'!$A$1:$O$86,15,0))</f>
        <v>0</v>
      </c>
      <c r="Y253" s="6"/>
      <c r="Z253" s="6">
        <f ca="1">('TUSD BE'!$AM$13+'TUSD BF'!$AM$13+'TUSD CVA'!$AM$13)*1</f>
        <v>100.23755694003805</v>
      </c>
      <c r="AA253" s="6"/>
      <c r="AB253" s="6">
        <f>$K$253*$V$253</f>
        <v>0</v>
      </c>
      <c r="AC253" s="6">
        <f>$M$253*$W$253</f>
        <v>69743.072466144004</v>
      </c>
      <c r="AD253" s="6">
        <f>$O$253*$X$253</f>
        <v>0</v>
      </c>
      <c r="AE253" s="6">
        <f>$K$253*$Y$253</f>
        <v>0</v>
      </c>
      <c r="AF253" s="6">
        <f ca="1">$M$253*$Z$253</f>
        <v>88851.997934650601</v>
      </c>
      <c r="AG253" s="6">
        <f>$O$253*$AA$253</f>
        <v>0</v>
      </c>
    </row>
    <row r="254" spans="1:33" ht="11.25" customHeight="1" x14ac:dyDescent="0.25">
      <c r="A254" s="4" t="s">
        <v>56</v>
      </c>
      <c r="B254" s="4" t="s">
        <v>38</v>
      </c>
      <c r="C254" s="4" t="s">
        <v>40</v>
      </c>
      <c r="D254" s="4" t="s">
        <v>37</v>
      </c>
      <c r="E254" s="4" t="s">
        <v>25</v>
      </c>
      <c r="F254" s="4" t="s">
        <v>57</v>
      </c>
      <c r="G254" s="4" t="s">
        <v>25</v>
      </c>
      <c r="H254" s="4" t="s">
        <v>34</v>
      </c>
      <c r="I254" s="5">
        <v>44713</v>
      </c>
      <c r="J254" s="6">
        <v>0</v>
      </c>
      <c r="K254" s="6">
        <v>0</v>
      </c>
      <c r="L254" s="6">
        <v>2127.2240000000002</v>
      </c>
      <c r="M254" s="6">
        <v>886.41424080000002</v>
      </c>
      <c r="N254" s="6">
        <v>0</v>
      </c>
      <c r="O254" s="6">
        <v>0</v>
      </c>
      <c r="P254" s="6">
        <v>0</v>
      </c>
      <c r="Q254" s="4" t="s">
        <v>58</v>
      </c>
      <c r="R254" s="4">
        <v>0</v>
      </c>
      <c r="S254" s="6">
        <v>0</v>
      </c>
      <c r="T254" s="6">
        <v>14</v>
      </c>
      <c r="U254" s="6">
        <v>0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78.680000000000007</v>
      </c>
      <c r="X254" s="6">
        <f>IF(ISERROR(VLOOKUP($U$254,'TAR FIN'!$A$1:$O$86,15,0)),0,VLOOKUP($U$254,'TAR FIN'!$A$1:$O$86,15,0))</f>
        <v>0</v>
      </c>
      <c r="Y254" s="6"/>
      <c r="Z254" s="6">
        <f ca="1">('TUSD BE'!$AM$13+'TUSD BF'!$AM$13+'TUSD CVA'!$AM$13)*1</f>
        <v>100.23755694003805</v>
      </c>
      <c r="AA254" s="6"/>
      <c r="AB254" s="6">
        <f>$K$254*$V$254</f>
        <v>0</v>
      </c>
      <c r="AC254" s="6">
        <f>$M$254*$W$254</f>
        <v>69743.072466144004</v>
      </c>
      <c r="AD254" s="6">
        <f>$O$254*$X$254</f>
        <v>0</v>
      </c>
      <c r="AE254" s="6">
        <f>$K$254*$Y$254</f>
        <v>0</v>
      </c>
      <c r="AF254" s="6">
        <f ca="1">$M$254*$Z$254</f>
        <v>88851.997934650601</v>
      </c>
      <c r="AG254" s="6">
        <f>$O$254*$AA$254</f>
        <v>0</v>
      </c>
    </row>
    <row r="255" spans="1:33" ht="11.25" customHeight="1" x14ac:dyDescent="0.25">
      <c r="A255" s="4" t="s">
        <v>21</v>
      </c>
      <c r="B255" s="4" t="s">
        <v>38</v>
      </c>
      <c r="C255" s="4" t="s">
        <v>40</v>
      </c>
      <c r="D255" s="4" t="s">
        <v>37</v>
      </c>
      <c r="E255" s="4" t="s">
        <v>25</v>
      </c>
      <c r="F255" s="4" t="s">
        <v>57</v>
      </c>
      <c r="G255" s="4" t="s">
        <v>25</v>
      </c>
      <c r="H255" s="4" t="s">
        <v>25</v>
      </c>
      <c r="I255" s="5">
        <v>44378</v>
      </c>
      <c r="J255" s="6">
        <v>7485</v>
      </c>
      <c r="K255" s="6">
        <v>3118.9994999999999</v>
      </c>
      <c r="L255" s="6">
        <v>0</v>
      </c>
      <c r="M255" s="6">
        <v>0</v>
      </c>
      <c r="N255" s="6">
        <v>0</v>
      </c>
      <c r="O255" s="6">
        <v>0</v>
      </c>
      <c r="P255" s="6">
        <v>18</v>
      </c>
      <c r="Q255" s="4" t="s">
        <v>58</v>
      </c>
      <c r="R255" s="4">
        <v>0</v>
      </c>
      <c r="S255" s="6">
        <v>18</v>
      </c>
      <c r="T255" s="6">
        <v>0</v>
      </c>
      <c r="U255" s="6">
        <v>0</v>
      </c>
      <c r="V255" s="6">
        <f>IF(ISERROR(VLOOKUP($S$255,'TAR FIN'!$A$1:$O$86,15,0)),0,VLOOKUP($S$255,'TAR FIN'!$A$1:$O$86,15,0))</f>
        <v>19.239999999999998</v>
      </c>
      <c r="W255" s="6">
        <f>IF(ISERROR(VLOOKUP($T$255,'TAR FIN'!$A$1:$O$86,15,0)),0,VLOOKUP($T$255,'TAR FIN'!$A$1:$O$86,15,0))</f>
        <v>0</v>
      </c>
      <c r="X255" s="6">
        <f>IF(ISERROR(VLOOKUP($U$255,'TAR FIN'!$A$1:$O$86,15,0)),0,VLOOKUP($U$255,'TAR FIN'!$A$1:$O$86,15,0))</f>
        <v>0</v>
      </c>
      <c r="Y255" s="6">
        <f ca="1">('TUSD BE'!$AM$11+'TUSD BF'!$AM$11+'TUSD CVA'!$AM$11)*1</f>
        <v>15.19295792072058</v>
      </c>
      <c r="Z255" s="6"/>
      <c r="AA255" s="6"/>
      <c r="AB255" s="6">
        <f>$K$255*$V$255</f>
        <v>60009.550379999993</v>
      </c>
      <c r="AC255" s="6">
        <f>$M$255*$W$255</f>
        <v>0</v>
      </c>
      <c r="AD255" s="6">
        <f>$O$255*$X$255</f>
        <v>0</v>
      </c>
      <c r="AE255" s="6">
        <f ca="1">$K$255*$Y$255</f>
        <v>47386.828158248529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38</v>
      </c>
      <c r="C256" s="4" t="s">
        <v>40</v>
      </c>
      <c r="D256" s="4" t="s">
        <v>37</v>
      </c>
      <c r="E256" s="4" t="s">
        <v>25</v>
      </c>
      <c r="F256" s="4" t="s">
        <v>57</v>
      </c>
      <c r="G256" s="4" t="s">
        <v>25</v>
      </c>
      <c r="H256" s="4" t="s">
        <v>25</v>
      </c>
      <c r="I256" s="5">
        <v>44409</v>
      </c>
      <c r="J256" s="6">
        <v>7309</v>
      </c>
      <c r="K256" s="6">
        <v>3045.6603</v>
      </c>
      <c r="L256" s="6">
        <v>0</v>
      </c>
      <c r="M256" s="6">
        <v>0</v>
      </c>
      <c r="N256" s="6">
        <v>0</v>
      </c>
      <c r="O256" s="6">
        <v>0</v>
      </c>
      <c r="P256" s="6">
        <v>18</v>
      </c>
      <c r="Q256" s="4" t="s">
        <v>58</v>
      </c>
      <c r="R256" s="4">
        <v>0</v>
      </c>
      <c r="S256" s="6">
        <v>18</v>
      </c>
      <c r="T256" s="6">
        <v>0</v>
      </c>
      <c r="U256" s="6">
        <v>0</v>
      </c>
      <c r="V256" s="6">
        <f>IF(ISERROR(VLOOKUP($S$256,'TAR FIN'!$A$1:$O$86,15,0)),0,VLOOKUP($S$256,'TAR FIN'!$A$1:$O$86,15,0))</f>
        <v>19.239999999999998</v>
      </c>
      <c r="W256" s="6">
        <f>IF(ISERROR(VLOOKUP($T$256,'TAR FIN'!$A$1:$O$86,15,0)),0,VLOOKUP($T$256,'TAR FIN'!$A$1:$O$86,15,0))</f>
        <v>0</v>
      </c>
      <c r="X256" s="6">
        <f>IF(ISERROR(VLOOKUP($U$256,'TAR FIN'!$A$1:$O$86,15,0)),0,VLOOKUP($U$256,'TAR FIN'!$A$1:$O$86,15,0))</f>
        <v>0</v>
      </c>
      <c r="Y256" s="6">
        <f ca="1">('TUSD BE'!$AM$11+'TUSD BF'!$AM$11+'TUSD CVA'!$AM$11)*1</f>
        <v>15.19295792072058</v>
      </c>
      <c r="Z256" s="6"/>
      <c r="AA256" s="6"/>
      <c r="AB256" s="6">
        <f>$K$256*$V$256</f>
        <v>58598.504171999994</v>
      </c>
      <c r="AC256" s="6">
        <f>$M$256*$W$256</f>
        <v>0</v>
      </c>
      <c r="AD256" s="6">
        <f>$O$256*$X$256</f>
        <v>0</v>
      </c>
      <c r="AE256" s="6">
        <f ca="1">$K$256*$Y$256</f>
        <v>46272.588778709222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21</v>
      </c>
      <c r="B257" s="4" t="s">
        <v>38</v>
      </c>
      <c r="C257" s="4" t="s">
        <v>40</v>
      </c>
      <c r="D257" s="4" t="s">
        <v>37</v>
      </c>
      <c r="E257" s="4" t="s">
        <v>25</v>
      </c>
      <c r="F257" s="4" t="s">
        <v>57</v>
      </c>
      <c r="G257" s="4" t="s">
        <v>25</v>
      </c>
      <c r="H257" s="4" t="s">
        <v>25</v>
      </c>
      <c r="I257" s="5">
        <v>44440</v>
      </c>
      <c r="J257" s="6">
        <v>7360</v>
      </c>
      <c r="K257" s="6">
        <v>3066.9119999999998</v>
      </c>
      <c r="L257" s="6">
        <v>0</v>
      </c>
      <c r="M257" s="6">
        <v>0</v>
      </c>
      <c r="N257" s="6">
        <v>0</v>
      </c>
      <c r="O257" s="6">
        <v>0</v>
      </c>
      <c r="P257" s="6">
        <v>18</v>
      </c>
      <c r="Q257" s="4" t="s">
        <v>58</v>
      </c>
      <c r="R257" s="4">
        <v>0</v>
      </c>
      <c r="S257" s="6">
        <v>18</v>
      </c>
      <c r="T257" s="6">
        <v>0</v>
      </c>
      <c r="U257" s="6">
        <v>0</v>
      </c>
      <c r="V257" s="6">
        <f>IF(ISERROR(VLOOKUP($S$257,'TAR FIN'!$A$1:$O$86,15,0)),0,VLOOKUP($S$257,'TAR FIN'!$A$1:$O$86,15,0))</f>
        <v>19.239999999999998</v>
      </c>
      <c r="W257" s="6">
        <f>IF(ISERROR(VLOOKUP($T$257,'TAR FIN'!$A$1:$O$86,15,0)),0,VLOOKUP($T$257,'TAR FIN'!$A$1:$O$86,15,0))</f>
        <v>0</v>
      </c>
      <c r="X257" s="6">
        <f>IF(ISERROR(VLOOKUP($U$257,'TAR FIN'!$A$1:$O$86,15,0)),0,VLOOKUP($U$257,'TAR FIN'!$A$1:$O$86,15,0))</f>
        <v>0</v>
      </c>
      <c r="Y257" s="6">
        <f ca="1">('TUSD BE'!$AM$11+'TUSD BF'!$AM$11+'TUSD CVA'!$AM$11)*1</f>
        <v>15.19295792072058</v>
      </c>
      <c r="Z257" s="6"/>
      <c r="AA257" s="6"/>
      <c r="AB257" s="6">
        <f>$K$257*$V$257</f>
        <v>59007.386879999991</v>
      </c>
      <c r="AC257" s="6">
        <f>$M$257*$W$257</f>
        <v>0</v>
      </c>
      <c r="AD257" s="6">
        <f>$O$257*$X$257</f>
        <v>0</v>
      </c>
      <c r="AE257" s="6">
        <f ca="1">$K$257*$Y$257</f>
        <v>46595.464962552993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38</v>
      </c>
      <c r="C258" s="4" t="s">
        <v>40</v>
      </c>
      <c r="D258" s="4" t="s">
        <v>37</v>
      </c>
      <c r="E258" s="4" t="s">
        <v>25</v>
      </c>
      <c r="F258" s="4" t="s">
        <v>57</v>
      </c>
      <c r="G258" s="4" t="s">
        <v>25</v>
      </c>
      <c r="H258" s="4" t="s">
        <v>25</v>
      </c>
      <c r="I258" s="5">
        <v>44470</v>
      </c>
      <c r="J258" s="6">
        <v>7363</v>
      </c>
      <c r="K258" s="6">
        <v>3068.1621</v>
      </c>
      <c r="L258" s="6">
        <v>0</v>
      </c>
      <c r="M258" s="6">
        <v>0</v>
      </c>
      <c r="N258" s="6">
        <v>0</v>
      </c>
      <c r="O258" s="6">
        <v>0</v>
      </c>
      <c r="P258" s="6">
        <v>18</v>
      </c>
      <c r="Q258" s="4" t="s">
        <v>58</v>
      </c>
      <c r="R258" s="4">
        <v>0</v>
      </c>
      <c r="S258" s="6">
        <v>18</v>
      </c>
      <c r="T258" s="6">
        <v>0</v>
      </c>
      <c r="U258" s="6">
        <v>0</v>
      </c>
      <c r="V258" s="6">
        <f>IF(ISERROR(VLOOKUP($S$258,'TAR FIN'!$A$1:$O$86,15,0)),0,VLOOKUP($S$258,'TAR FIN'!$A$1:$O$86,15,0))</f>
        <v>19.239999999999998</v>
      </c>
      <c r="W258" s="6">
        <f>IF(ISERROR(VLOOKUP($T$258,'TAR FIN'!$A$1:$O$86,15,0)),0,VLOOKUP($T$258,'TAR FIN'!$A$1:$O$86,15,0))</f>
        <v>0</v>
      </c>
      <c r="X258" s="6">
        <f>IF(ISERROR(VLOOKUP($U$258,'TAR FIN'!$A$1:$O$86,15,0)),0,VLOOKUP($U$258,'TAR FIN'!$A$1:$O$86,15,0))</f>
        <v>0</v>
      </c>
      <c r="Y258" s="6">
        <f ca="1">('TUSD BE'!$AM$11+'TUSD BF'!$AM$11+'TUSD CVA'!$AM$11)*1</f>
        <v>15.19295792072058</v>
      </c>
      <c r="Z258" s="6"/>
      <c r="AA258" s="6"/>
      <c r="AB258" s="6">
        <f>$K$258*$V$258</f>
        <v>59031.438803999998</v>
      </c>
      <c r="AC258" s="6">
        <f>$M$258*$W$258</f>
        <v>0</v>
      </c>
      <c r="AD258" s="6">
        <f>$O$258*$X$258</f>
        <v>0</v>
      </c>
      <c r="AE258" s="6">
        <f ca="1">$K$258*$Y$258</f>
        <v>46614.457679249688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21</v>
      </c>
      <c r="B259" s="4" t="s">
        <v>38</v>
      </c>
      <c r="C259" s="4" t="s">
        <v>40</v>
      </c>
      <c r="D259" s="4" t="s">
        <v>37</v>
      </c>
      <c r="E259" s="4" t="s">
        <v>25</v>
      </c>
      <c r="F259" s="4" t="s">
        <v>57</v>
      </c>
      <c r="G259" s="4" t="s">
        <v>25</v>
      </c>
      <c r="H259" s="4" t="s">
        <v>25</v>
      </c>
      <c r="I259" s="5">
        <v>44501</v>
      </c>
      <c r="J259" s="6">
        <v>7578</v>
      </c>
      <c r="K259" s="6">
        <v>2841.75</v>
      </c>
      <c r="L259" s="6">
        <v>0</v>
      </c>
      <c r="M259" s="6">
        <v>0</v>
      </c>
      <c r="N259" s="6">
        <v>0</v>
      </c>
      <c r="O259" s="6">
        <v>0</v>
      </c>
      <c r="P259" s="6">
        <v>18</v>
      </c>
      <c r="Q259" s="4" t="s">
        <v>58</v>
      </c>
      <c r="R259" s="4">
        <v>0</v>
      </c>
      <c r="S259" s="6">
        <v>18</v>
      </c>
      <c r="T259" s="6">
        <v>0</v>
      </c>
      <c r="U259" s="6">
        <v>0</v>
      </c>
      <c r="V259" s="6">
        <f>IF(ISERROR(VLOOKUP($S$259,'TAR FIN'!$A$1:$O$86,15,0)),0,VLOOKUP($S$259,'TAR FIN'!$A$1:$O$86,15,0))</f>
        <v>19.239999999999998</v>
      </c>
      <c r="W259" s="6">
        <f>IF(ISERROR(VLOOKUP($T$259,'TAR FIN'!$A$1:$O$86,15,0)),0,VLOOKUP($T$259,'TAR FIN'!$A$1:$O$86,15,0))</f>
        <v>0</v>
      </c>
      <c r="X259" s="6">
        <f>IF(ISERROR(VLOOKUP($U$259,'TAR FIN'!$A$1:$O$86,15,0)),0,VLOOKUP($U$259,'TAR FIN'!$A$1:$O$86,15,0))</f>
        <v>0</v>
      </c>
      <c r="Y259" s="6">
        <f ca="1">('TUSD BE'!$AM$11+'TUSD BF'!$AM$11+'TUSD CVA'!$AM$11)*1</f>
        <v>15.19295792072058</v>
      </c>
      <c r="Z259" s="6"/>
      <c r="AA259" s="6"/>
      <c r="AB259" s="6">
        <f>$K$259*$V$259</f>
        <v>54675.27</v>
      </c>
      <c r="AC259" s="6">
        <f>$M$259*$W$259</f>
        <v>0</v>
      </c>
      <c r="AD259" s="6">
        <f>$O$259*$X$259</f>
        <v>0</v>
      </c>
      <c r="AE259" s="6">
        <f ca="1">$K$259*$Y$259</f>
        <v>43174.58817120771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38</v>
      </c>
      <c r="C260" s="4" t="s">
        <v>40</v>
      </c>
      <c r="D260" s="4" t="s">
        <v>37</v>
      </c>
      <c r="E260" s="4" t="s">
        <v>25</v>
      </c>
      <c r="F260" s="4" t="s">
        <v>57</v>
      </c>
      <c r="G260" s="4" t="s">
        <v>25</v>
      </c>
      <c r="H260" s="4" t="s">
        <v>25</v>
      </c>
      <c r="I260" s="5">
        <v>44531</v>
      </c>
      <c r="J260" s="6">
        <v>7655</v>
      </c>
      <c r="K260" s="6">
        <v>3223.5205000000001</v>
      </c>
      <c r="L260" s="6">
        <v>0</v>
      </c>
      <c r="M260" s="6">
        <v>0</v>
      </c>
      <c r="N260" s="6">
        <v>0</v>
      </c>
      <c r="O260" s="6">
        <v>0</v>
      </c>
      <c r="P260" s="6">
        <v>19</v>
      </c>
      <c r="Q260" s="4" t="s">
        <v>58</v>
      </c>
      <c r="R260" s="4">
        <v>0</v>
      </c>
      <c r="S260" s="6">
        <v>18</v>
      </c>
      <c r="T260" s="6">
        <v>0</v>
      </c>
      <c r="U260" s="6">
        <v>0</v>
      </c>
      <c r="V260" s="6">
        <f>IF(ISERROR(VLOOKUP($S$260,'TAR FIN'!$A$1:$O$86,15,0)),0,VLOOKUP($S$260,'TAR FIN'!$A$1:$O$86,15,0))</f>
        <v>19.239999999999998</v>
      </c>
      <c r="W260" s="6">
        <f>IF(ISERROR(VLOOKUP($T$260,'TAR FIN'!$A$1:$O$86,15,0)),0,VLOOKUP($T$260,'TAR FIN'!$A$1:$O$86,15,0))</f>
        <v>0</v>
      </c>
      <c r="X260" s="6">
        <f>IF(ISERROR(VLOOKUP($U$260,'TAR FIN'!$A$1:$O$86,15,0)),0,VLOOKUP($U$260,'TAR FIN'!$A$1:$O$86,15,0))</f>
        <v>0</v>
      </c>
      <c r="Y260" s="6">
        <f ca="1">('TUSD BE'!$AM$11+'TUSD BF'!$AM$11+'TUSD CVA'!$AM$11)*1</f>
        <v>15.19295792072058</v>
      </c>
      <c r="Z260" s="6"/>
      <c r="AA260" s="6"/>
      <c r="AB260" s="6">
        <f>$K$260*$V$260</f>
        <v>62020.534419999996</v>
      </c>
      <c r="AC260" s="6">
        <f>$M$260*$W$260</f>
        <v>0</v>
      </c>
      <c r="AD260" s="6">
        <f>$O$260*$X$260</f>
        <v>0</v>
      </c>
      <c r="AE260" s="6">
        <f ca="1">$K$260*$Y$260</f>
        <v>48974.811313080165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21</v>
      </c>
      <c r="B261" s="4" t="s">
        <v>38</v>
      </c>
      <c r="C261" s="4" t="s">
        <v>40</v>
      </c>
      <c r="D261" s="4" t="s">
        <v>37</v>
      </c>
      <c r="E261" s="4" t="s">
        <v>25</v>
      </c>
      <c r="F261" s="4" t="s">
        <v>57</v>
      </c>
      <c r="G261" s="4" t="s">
        <v>25</v>
      </c>
      <c r="H261" s="4" t="s">
        <v>25</v>
      </c>
      <c r="I261" s="5">
        <v>44562</v>
      </c>
      <c r="J261" s="6">
        <v>7910</v>
      </c>
      <c r="K261" s="6">
        <v>3213.0419999999999</v>
      </c>
      <c r="L261" s="6">
        <v>0</v>
      </c>
      <c r="M261" s="6">
        <v>0</v>
      </c>
      <c r="N261" s="6">
        <v>0</v>
      </c>
      <c r="O261" s="6">
        <v>0</v>
      </c>
      <c r="P261" s="6">
        <v>19</v>
      </c>
      <c r="Q261" s="4" t="s">
        <v>58</v>
      </c>
      <c r="R261" s="4">
        <v>0</v>
      </c>
      <c r="S261" s="6">
        <v>18</v>
      </c>
      <c r="T261" s="6">
        <v>0</v>
      </c>
      <c r="U261" s="6">
        <v>0</v>
      </c>
      <c r="V261" s="6">
        <f>IF(ISERROR(VLOOKUP($S$261,'TAR FIN'!$A$1:$O$86,15,0)),0,VLOOKUP($S$261,'TAR FIN'!$A$1:$O$86,15,0))</f>
        <v>19.239999999999998</v>
      </c>
      <c r="W261" s="6">
        <f>IF(ISERROR(VLOOKUP($T$261,'TAR FIN'!$A$1:$O$86,15,0)),0,VLOOKUP($T$261,'TAR FIN'!$A$1:$O$86,15,0))</f>
        <v>0</v>
      </c>
      <c r="X261" s="6">
        <f>IF(ISERROR(VLOOKUP($U$261,'TAR FIN'!$A$1:$O$86,15,0)),0,VLOOKUP($U$261,'TAR FIN'!$A$1:$O$86,15,0))</f>
        <v>0</v>
      </c>
      <c r="Y261" s="6">
        <f ca="1">('TUSD BE'!$AM$11+'TUSD BF'!$AM$11+'TUSD CVA'!$AM$11)*1</f>
        <v>15.19295792072058</v>
      </c>
      <c r="Z261" s="6"/>
      <c r="AA261" s="6"/>
      <c r="AB261" s="6">
        <f>$K$261*$V$261</f>
        <v>61818.928079999991</v>
      </c>
      <c r="AC261" s="6">
        <f>$M$261*$W$261</f>
        <v>0</v>
      </c>
      <c r="AD261" s="6">
        <f>$O$261*$X$261</f>
        <v>0</v>
      </c>
      <c r="AE261" s="6">
        <f ca="1">$K$261*$Y$261</f>
        <v>48815.611903507895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38</v>
      </c>
      <c r="C262" s="4" t="s">
        <v>40</v>
      </c>
      <c r="D262" s="4" t="s">
        <v>37</v>
      </c>
      <c r="E262" s="4" t="s">
        <v>25</v>
      </c>
      <c r="F262" s="4" t="s">
        <v>57</v>
      </c>
      <c r="G262" s="4" t="s">
        <v>25</v>
      </c>
      <c r="H262" s="4" t="s">
        <v>25</v>
      </c>
      <c r="I262" s="5">
        <v>44593</v>
      </c>
      <c r="J262" s="6">
        <v>7814</v>
      </c>
      <c r="K262" s="6">
        <v>3290.4753999999998</v>
      </c>
      <c r="L262" s="6">
        <v>0</v>
      </c>
      <c r="M262" s="6">
        <v>0</v>
      </c>
      <c r="N262" s="6">
        <v>0</v>
      </c>
      <c r="O262" s="6">
        <v>0</v>
      </c>
      <c r="P262" s="6">
        <v>19</v>
      </c>
      <c r="Q262" s="4" t="s">
        <v>58</v>
      </c>
      <c r="R262" s="4">
        <v>0</v>
      </c>
      <c r="S262" s="6">
        <v>18</v>
      </c>
      <c r="T262" s="6">
        <v>0</v>
      </c>
      <c r="U262" s="6">
        <v>0</v>
      </c>
      <c r="V262" s="6">
        <f>IF(ISERROR(VLOOKUP($S$262,'TAR FIN'!$A$1:$O$86,15,0)),0,VLOOKUP($S$262,'TAR FIN'!$A$1:$O$86,15,0))</f>
        <v>19.239999999999998</v>
      </c>
      <c r="W262" s="6">
        <f>IF(ISERROR(VLOOKUP($T$262,'TAR FIN'!$A$1:$O$86,15,0)),0,VLOOKUP($T$262,'TAR FIN'!$A$1:$O$86,15,0))</f>
        <v>0</v>
      </c>
      <c r="X262" s="6">
        <f>IF(ISERROR(VLOOKUP($U$262,'TAR FIN'!$A$1:$O$86,15,0)),0,VLOOKUP($U$262,'TAR FIN'!$A$1:$O$86,15,0))</f>
        <v>0</v>
      </c>
      <c r="Y262" s="6">
        <f ca="1">('TUSD BE'!$AM$11+'TUSD BF'!$AM$11+'TUSD CVA'!$AM$11)*1</f>
        <v>15.19295792072058</v>
      </c>
      <c r="Z262" s="6"/>
      <c r="AA262" s="6"/>
      <c r="AB262" s="6">
        <f>$K$262*$V$262</f>
        <v>63308.746695999995</v>
      </c>
      <c r="AC262" s="6">
        <f>$M$262*$W$262</f>
        <v>0</v>
      </c>
      <c r="AD262" s="6">
        <f>$O$262*$X$262</f>
        <v>0</v>
      </c>
      <c r="AE262" s="6">
        <f ca="1">$K$262*$Y$262</f>
        <v>49992.054291366214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21</v>
      </c>
      <c r="B263" s="4" t="s">
        <v>38</v>
      </c>
      <c r="C263" s="4" t="s">
        <v>40</v>
      </c>
      <c r="D263" s="4" t="s">
        <v>37</v>
      </c>
      <c r="E263" s="4" t="s">
        <v>25</v>
      </c>
      <c r="F263" s="4" t="s">
        <v>57</v>
      </c>
      <c r="G263" s="4" t="s">
        <v>25</v>
      </c>
      <c r="H263" s="4" t="s">
        <v>25</v>
      </c>
      <c r="I263" s="5">
        <v>44621</v>
      </c>
      <c r="J263" s="6">
        <v>7899</v>
      </c>
      <c r="K263" s="6">
        <v>3291.5133000000001</v>
      </c>
      <c r="L263" s="6">
        <v>0</v>
      </c>
      <c r="M263" s="6">
        <v>0</v>
      </c>
      <c r="N263" s="6">
        <v>0</v>
      </c>
      <c r="O263" s="6">
        <v>0</v>
      </c>
      <c r="P263" s="6">
        <v>18</v>
      </c>
      <c r="Q263" s="4" t="s">
        <v>58</v>
      </c>
      <c r="R263" s="4">
        <v>0</v>
      </c>
      <c r="S263" s="6">
        <v>18</v>
      </c>
      <c r="T263" s="6">
        <v>0</v>
      </c>
      <c r="U263" s="6">
        <v>0</v>
      </c>
      <c r="V263" s="6">
        <f>IF(ISERROR(VLOOKUP($S$263,'TAR FIN'!$A$1:$O$86,15,0)),0,VLOOKUP($S$263,'TAR FIN'!$A$1:$O$86,15,0))</f>
        <v>19.239999999999998</v>
      </c>
      <c r="W263" s="6">
        <f>IF(ISERROR(VLOOKUP($T$263,'TAR FIN'!$A$1:$O$86,15,0)),0,VLOOKUP($T$263,'TAR FIN'!$A$1:$O$86,15,0))</f>
        <v>0</v>
      </c>
      <c r="X263" s="6">
        <f>IF(ISERROR(VLOOKUP($U$263,'TAR FIN'!$A$1:$O$86,15,0)),0,VLOOKUP($U$263,'TAR FIN'!$A$1:$O$86,15,0))</f>
        <v>0</v>
      </c>
      <c r="Y263" s="6">
        <f ca="1">('TUSD BE'!$AM$11+'TUSD BF'!$AM$11+'TUSD CVA'!$AM$11)*1</f>
        <v>15.19295792072058</v>
      </c>
      <c r="Z263" s="6"/>
      <c r="AA263" s="6"/>
      <c r="AB263" s="6">
        <f>$K$263*$V$263</f>
        <v>63328.715891999993</v>
      </c>
      <c r="AC263" s="6">
        <f>$M$263*$W$263</f>
        <v>0</v>
      </c>
      <c r="AD263" s="6">
        <f>$O$263*$X$263</f>
        <v>0</v>
      </c>
      <c r="AE263" s="6">
        <f ca="1">$K$263*$Y$263</f>
        <v>50007.823062392141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38</v>
      </c>
      <c r="C264" s="4" t="s">
        <v>40</v>
      </c>
      <c r="D264" s="4" t="s">
        <v>37</v>
      </c>
      <c r="E264" s="4" t="s">
        <v>25</v>
      </c>
      <c r="F264" s="4" t="s">
        <v>57</v>
      </c>
      <c r="G264" s="4" t="s">
        <v>25</v>
      </c>
      <c r="H264" s="4" t="s">
        <v>25</v>
      </c>
      <c r="I264" s="5">
        <v>44652</v>
      </c>
      <c r="J264" s="6">
        <v>7918</v>
      </c>
      <c r="K264" s="6">
        <v>3299.4306000000001</v>
      </c>
      <c r="L264" s="6">
        <v>0</v>
      </c>
      <c r="M264" s="6">
        <v>0</v>
      </c>
      <c r="N264" s="6">
        <v>0</v>
      </c>
      <c r="O264" s="6">
        <v>0</v>
      </c>
      <c r="P264" s="6">
        <v>18</v>
      </c>
      <c r="Q264" s="4" t="s">
        <v>58</v>
      </c>
      <c r="R264" s="4">
        <v>0</v>
      </c>
      <c r="S264" s="6">
        <v>18</v>
      </c>
      <c r="T264" s="6">
        <v>0</v>
      </c>
      <c r="U264" s="6">
        <v>0</v>
      </c>
      <c r="V264" s="6">
        <f>IF(ISERROR(VLOOKUP($S$264,'TAR FIN'!$A$1:$O$86,15,0)),0,VLOOKUP($S$264,'TAR FIN'!$A$1:$O$86,15,0))</f>
        <v>19.239999999999998</v>
      </c>
      <c r="W264" s="6">
        <f>IF(ISERROR(VLOOKUP($T$264,'TAR FIN'!$A$1:$O$86,15,0)),0,VLOOKUP($T$264,'TAR FIN'!$A$1:$O$86,15,0))</f>
        <v>0</v>
      </c>
      <c r="X264" s="6">
        <f>IF(ISERROR(VLOOKUP($U$264,'TAR FIN'!$A$1:$O$86,15,0)),0,VLOOKUP($U$264,'TAR FIN'!$A$1:$O$86,15,0))</f>
        <v>0</v>
      </c>
      <c r="Y264" s="6">
        <f ca="1">('TUSD BE'!$AM$11+'TUSD BF'!$AM$11+'TUSD CVA'!$AM$11)*1</f>
        <v>15.19295792072058</v>
      </c>
      <c r="Z264" s="6"/>
      <c r="AA264" s="6"/>
      <c r="AB264" s="6">
        <f>$K$264*$V$264</f>
        <v>63481.044743999999</v>
      </c>
      <c r="AC264" s="6">
        <f>$M$264*$W$264</f>
        <v>0</v>
      </c>
      <c r="AD264" s="6">
        <f>$O$264*$X$264</f>
        <v>0</v>
      </c>
      <c r="AE264" s="6">
        <f ca="1">$K$264*$Y$264</f>
        <v>50128.110268137862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38</v>
      </c>
      <c r="C265" s="4" t="s">
        <v>40</v>
      </c>
      <c r="D265" s="4" t="s">
        <v>37</v>
      </c>
      <c r="E265" s="4" t="s">
        <v>25</v>
      </c>
      <c r="F265" s="4" t="s">
        <v>57</v>
      </c>
      <c r="G265" s="4" t="s">
        <v>25</v>
      </c>
      <c r="H265" s="4" t="s">
        <v>25</v>
      </c>
      <c r="I265" s="5">
        <v>44682</v>
      </c>
      <c r="J265" s="6">
        <v>7718</v>
      </c>
      <c r="K265" s="6">
        <v>3216.0906</v>
      </c>
      <c r="L265" s="6">
        <v>0</v>
      </c>
      <c r="M265" s="6">
        <v>0</v>
      </c>
      <c r="N265" s="6">
        <v>0</v>
      </c>
      <c r="O265" s="6">
        <v>0</v>
      </c>
      <c r="P265" s="6">
        <v>18</v>
      </c>
      <c r="Q265" s="4" t="s">
        <v>58</v>
      </c>
      <c r="R265" s="4">
        <v>0</v>
      </c>
      <c r="S265" s="6">
        <v>18</v>
      </c>
      <c r="T265" s="6">
        <v>0</v>
      </c>
      <c r="U265" s="6">
        <v>0</v>
      </c>
      <c r="V265" s="6">
        <f>IF(ISERROR(VLOOKUP($S$265,'TAR FIN'!$A$1:$O$86,15,0)),0,VLOOKUP($S$265,'TAR FIN'!$A$1:$O$86,15,0))</f>
        <v>19.239999999999998</v>
      </c>
      <c r="W265" s="6">
        <f>IF(ISERROR(VLOOKUP($T$265,'TAR FIN'!$A$1:$O$86,15,0)),0,VLOOKUP($T$265,'TAR FIN'!$A$1:$O$86,15,0))</f>
        <v>0</v>
      </c>
      <c r="X265" s="6">
        <f>IF(ISERROR(VLOOKUP($U$265,'TAR FIN'!$A$1:$O$86,15,0)),0,VLOOKUP($U$265,'TAR FIN'!$A$1:$O$86,15,0))</f>
        <v>0</v>
      </c>
      <c r="Y265" s="6">
        <f ca="1">('TUSD BE'!$AM$11+'TUSD BF'!$AM$11+'TUSD CVA'!$AM$11)*1</f>
        <v>15.19295792072058</v>
      </c>
      <c r="Z265" s="6"/>
      <c r="AA265" s="6"/>
      <c r="AB265" s="6">
        <f>$K$265*$V$265</f>
        <v>61877.583143999997</v>
      </c>
      <c r="AC265" s="6">
        <f>$M$265*$W$265</f>
        <v>0</v>
      </c>
      <c r="AD265" s="6">
        <f>$O$265*$X$265</f>
        <v>0</v>
      </c>
      <c r="AE265" s="6">
        <f ca="1">$K$265*$Y$265</f>
        <v>48861.929155025005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56</v>
      </c>
      <c r="B266" s="4" t="s">
        <v>38</v>
      </c>
      <c r="C266" s="4" t="s">
        <v>40</v>
      </c>
      <c r="D266" s="4" t="s">
        <v>37</v>
      </c>
      <c r="E266" s="4" t="s">
        <v>25</v>
      </c>
      <c r="F266" s="4" t="s">
        <v>57</v>
      </c>
      <c r="G266" s="4" t="s">
        <v>25</v>
      </c>
      <c r="H266" s="4" t="s">
        <v>25</v>
      </c>
      <c r="I266" s="5">
        <v>44713</v>
      </c>
      <c r="J266" s="6">
        <v>7718</v>
      </c>
      <c r="K266" s="6">
        <v>3216.0906</v>
      </c>
      <c r="L266" s="6">
        <v>0</v>
      </c>
      <c r="M266" s="6">
        <v>0</v>
      </c>
      <c r="N266" s="6">
        <v>0</v>
      </c>
      <c r="O266" s="6">
        <v>0</v>
      </c>
      <c r="P266" s="6">
        <v>18</v>
      </c>
      <c r="Q266" s="4" t="s">
        <v>58</v>
      </c>
      <c r="R266" s="4">
        <v>0</v>
      </c>
      <c r="S266" s="6">
        <v>18</v>
      </c>
      <c r="T266" s="6">
        <v>0</v>
      </c>
      <c r="U266" s="6">
        <v>0</v>
      </c>
      <c r="V266" s="6">
        <f>IF(ISERROR(VLOOKUP($S$266,'TAR FIN'!$A$1:$O$86,15,0)),0,VLOOKUP($S$266,'TAR FIN'!$A$1:$O$86,15,0))</f>
        <v>19.239999999999998</v>
      </c>
      <c r="W266" s="6">
        <f>IF(ISERROR(VLOOKUP($T$266,'TAR FIN'!$A$1:$O$86,15,0)),0,VLOOKUP($T$266,'TAR FIN'!$A$1:$O$86,15,0))</f>
        <v>0</v>
      </c>
      <c r="X266" s="6">
        <f>IF(ISERROR(VLOOKUP($U$266,'TAR FIN'!$A$1:$O$86,15,0)),0,VLOOKUP($U$266,'TAR FIN'!$A$1:$O$86,15,0))</f>
        <v>0</v>
      </c>
      <c r="Y266" s="6">
        <f ca="1">('TUSD BE'!$AM$11+'TUSD BF'!$AM$11+'TUSD CVA'!$AM$11)*1</f>
        <v>15.19295792072058</v>
      </c>
      <c r="Z266" s="6"/>
      <c r="AA266" s="6"/>
      <c r="AB266" s="6">
        <f>$K$266*$V$266</f>
        <v>61877.583143999997</v>
      </c>
      <c r="AC266" s="6">
        <f>$M$266*$W$266</f>
        <v>0</v>
      </c>
      <c r="AD266" s="6">
        <f>$O$266*$X$266</f>
        <v>0</v>
      </c>
      <c r="AE266" s="6">
        <f ca="1">$K$266*$Y$266</f>
        <v>48861.929155025005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21</v>
      </c>
      <c r="B267" s="4" t="s">
        <v>38</v>
      </c>
      <c r="C267" s="4" t="s">
        <v>40</v>
      </c>
      <c r="D267" s="4" t="s">
        <v>37</v>
      </c>
      <c r="E267" s="4" t="s">
        <v>25</v>
      </c>
      <c r="F267" s="4" t="s">
        <v>57</v>
      </c>
      <c r="G267" s="4" t="s">
        <v>25</v>
      </c>
      <c r="H267" s="4" t="s">
        <v>33</v>
      </c>
      <c r="I267" s="5">
        <v>44378</v>
      </c>
      <c r="J267" s="6">
        <v>0</v>
      </c>
      <c r="K267" s="6">
        <v>0</v>
      </c>
      <c r="L267" s="6">
        <v>219.119</v>
      </c>
      <c r="M267" s="6">
        <v>91.3068873</v>
      </c>
      <c r="N267" s="6">
        <v>0</v>
      </c>
      <c r="O267" s="6">
        <v>0</v>
      </c>
      <c r="P267" s="6">
        <v>0</v>
      </c>
      <c r="Q267" s="4" t="s">
        <v>58</v>
      </c>
      <c r="R267" s="4">
        <v>0</v>
      </c>
      <c r="S267" s="6">
        <v>0</v>
      </c>
      <c r="T267" s="6">
        <v>16</v>
      </c>
      <c r="U267" s="6">
        <v>0</v>
      </c>
      <c r="V267" s="6">
        <f>IF(ISERROR(VLOOKUP($S$267,'TAR FIN'!$A$1:$O$86,15,0)),0,VLOOKUP($S$267,'TAR FIN'!$A$1:$O$86,15,0))</f>
        <v>0</v>
      </c>
      <c r="W267" s="6">
        <f>IF(ISERROR(VLOOKUP($T$267,'TAR FIN'!$A$1:$O$86,15,0)),0,VLOOKUP($T$267,'TAR FIN'!$A$1:$O$86,15,0))</f>
        <v>1329.67</v>
      </c>
      <c r="X267" s="6">
        <f>IF(ISERROR(VLOOKUP($U$267,'TAR FIN'!$A$1:$O$86,15,0)),0,VLOOKUP($U$267,'TAR FIN'!$A$1:$O$86,15,0))</f>
        <v>0</v>
      </c>
      <c r="Y267" s="6"/>
      <c r="Z267" s="6">
        <f ca="1">('TUSD BE'!$AM$12+'TUSD BF'!$AM$12+'TUSD CVA'!$AM$12)*1</f>
        <v>1074.3612836602365</v>
      </c>
      <c r="AA267" s="6"/>
      <c r="AB267" s="6">
        <f>$K$267*$V$267</f>
        <v>0</v>
      </c>
      <c r="AC267" s="6">
        <f>$M$267*$W$267</f>
        <v>121408.02883619101</v>
      </c>
      <c r="AD267" s="6">
        <f>$O$267*$X$267</f>
        <v>0</v>
      </c>
      <c r="AE267" s="6">
        <f>$K$267*$Y$267</f>
        <v>0</v>
      </c>
      <c r="AF267" s="6">
        <f ca="1">$M$267*$Z$267</f>
        <v>98096.584646648538</v>
      </c>
      <c r="AG267" s="6">
        <f>$O$267*$AA$267</f>
        <v>0</v>
      </c>
    </row>
    <row r="268" spans="1:33" ht="11.25" customHeight="1" x14ac:dyDescent="0.25">
      <c r="A268" s="4" t="s">
        <v>21</v>
      </c>
      <c r="B268" s="4" t="s">
        <v>38</v>
      </c>
      <c r="C268" s="4" t="s">
        <v>40</v>
      </c>
      <c r="D268" s="4" t="s">
        <v>37</v>
      </c>
      <c r="E268" s="4" t="s">
        <v>25</v>
      </c>
      <c r="F268" s="4" t="s">
        <v>57</v>
      </c>
      <c r="G268" s="4" t="s">
        <v>25</v>
      </c>
      <c r="H268" s="4" t="s">
        <v>33</v>
      </c>
      <c r="I268" s="5">
        <v>44409</v>
      </c>
      <c r="J268" s="6">
        <v>0</v>
      </c>
      <c r="K268" s="6">
        <v>0</v>
      </c>
      <c r="L268" s="6">
        <v>221.024</v>
      </c>
      <c r="M268" s="6">
        <v>92.100700799999998</v>
      </c>
      <c r="N268" s="6">
        <v>0</v>
      </c>
      <c r="O268" s="6">
        <v>0</v>
      </c>
      <c r="P268" s="6">
        <v>0</v>
      </c>
      <c r="Q268" s="4" t="s">
        <v>58</v>
      </c>
      <c r="R268" s="4">
        <v>0</v>
      </c>
      <c r="S268" s="6">
        <v>0</v>
      </c>
      <c r="T268" s="6">
        <v>16</v>
      </c>
      <c r="U268" s="6">
        <v>0</v>
      </c>
      <c r="V268" s="6">
        <f>IF(ISERROR(VLOOKUP($S$268,'TAR FIN'!$A$1:$O$86,15,0)),0,VLOOKUP($S$268,'TAR FIN'!$A$1:$O$86,15,0))</f>
        <v>0</v>
      </c>
      <c r="W268" s="6">
        <f>IF(ISERROR(VLOOKUP($T$268,'TAR FIN'!$A$1:$O$86,15,0)),0,VLOOKUP($T$268,'TAR FIN'!$A$1:$O$86,15,0))</f>
        <v>1329.67</v>
      </c>
      <c r="X268" s="6">
        <f>IF(ISERROR(VLOOKUP($U$268,'TAR FIN'!$A$1:$O$86,15,0)),0,VLOOKUP($U$268,'TAR FIN'!$A$1:$O$86,15,0))</f>
        <v>0</v>
      </c>
      <c r="Y268" s="6"/>
      <c r="Z268" s="6">
        <f ca="1">('TUSD BE'!$AM$12+'TUSD BF'!$AM$12+'TUSD CVA'!$AM$12)*1</f>
        <v>1074.3612836602365</v>
      </c>
      <c r="AA268" s="6"/>
      <c r="AB268" s="6">
        <f>$K$268*$V$268</f>
        <v>0</v>
      </c>
      <c r="AC268" s="6">
        <f>$M$268*$W$268</f>
        <v>122463.538832736</v>
      </c>
      <c r="AD268" s="6">
        <f>$O$268*$X$268</f>
        <v>0</v>
      </c>
      <c r="AE268" s="6">
        <f>$K$268*$Y$268</f>
        <v>0</v>
      </c>
      <c r="AF268" s="6">
        <f ca="1">$M$268*$Z$268</f>
        <v>98949.427137495368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38</v>
      </c>
      <c r="C269" s="4" t="s">
        <v>40</v>
      </c>
      <c r="D269" s="4" t="s">
        <v>37</v>
      </c>
      <c r="E269" s="4" t="s">
        <v>25</v>
      </c>
      <c r="F269" s="4" t="s">
        <v>57</v>
      </c>
      <c r="G269" s="4" t="s">
        <v>25</v>
      </c>
      <c r="H269" s="4" t="s">
        <v>33</v>
      </c>
      <c r="I269" s="5">
        <v>44440</v>
      </c>
      <c r="J269" s="6">
        <v>0</v>
      </c>
      <c r="K269" s="6">
        <v>0</v>
      </c>
      <c r="L269" s="6">
        <v>206.77799999999999</v>
      </c>
      <c r="M269" s="6">
        <v>86.164392599999999</v>
      </c>
      <c r="N269" s="6">
        <v>0</v>
      </c>
      <c r="O269" s="6">
        <v>0</v>
      </c>
      <c r="P269" s="6">
        <v>0</v>
      </c>
      <c r="Q269" s="4" t="s">
        <v>58</v>
      </c>
      <c r="R269" s="4">
        <v>0</v>
      </c>
      <c r="S269" s="6">
        <v>0</v>
      </c>
      <c r="T269" s="6">
        <v>16</v>
      </c>
      <c r="U269" s="6">
        <v>0</v>
      </c>
      <c r="V269" s="6">
        <f>IF(ISERROR(VLOOKUP($S$269,'TAR FIN'!$A$1:$O$86,15,0)),0,VLOOKUP($S$269,'TAR FIN'!$A$1:$O$86,15,0))</f>
        <v>0</v>
      </c>
      <c r="W269" s="6">
        <f>IF(ISERROR(VLOOKUP($T$269,'TAR FIN'!$A$1:$O$86,15,0)),0,VLOOKUP($T$269,'TAR FIN'!$A$1:$O$86,15,0))</f>
        <v>1329.67</v>
      </c>
      <c r="X269" s="6">
        <f>IF(ISERROR(VLOOKUP($U$269,'TAR FIN'!$A$1:$O$86,15,0)),0,VLOOKUP($U$269,'TAR FIN'!$A$1:$O$86,15,0))</f>
        <v>0</v>
      </c>
      <c r="Y269" s="6"/>
      <c r="Z269" s="6">
        <f ca="1">('TUSD BE'!$AM$12+'TUSD BF'!$AM$12+'TUSD CVA'!$AM$12)*1</f>
        <v>1074.3612836602365</v>
      </c>
      <c r="AA269" s="6"/>
      <c r="AB269" s="6">
        <f>$K$269*$V$269</f>
        <v>0</v>
      </c>
      <c r="AC269" s="6">
        <f>$M$269*$W$269</f>
        <v>114570.20790844201</v>
      </c>
      <c r="AD269" s="6">
        <f>$O$269*$X$269</f>
        <v>0</v>
      </c>
      <c r="AE269" s="6">
        <f>$K$269*$Y$269</f>
        <v>0</v>
      </c>
      <c r="AF269" s="6">
        <f ca="1">$M$269*$Z$269</f>
        <v>92571.687439540576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38</v>
      </c>
      <c r="C270" s="4" t="s">
        <v>40</v>
      </c>
      <c r="D270" s="4" t="s">
        <v>37</v>
      </c>
      <c r="E270" s="4" t="s">
        <v>25</v>
      </c>
      <c r="F270" s="4" t="s">
        <v>57</v>
      </c>
      <c r="G270" s="4" t="s">
        <v>25</v>
      </c>
      <c r="H270" s="4" t="s">
        <v>33</v>
      </c>
      <c r="I270" s="5">
        <v>44470</v>
      </c>
      <c r="J270" s="6">
        <v>0</v>
      </c>
      <c r="K270" s="6">
        <v>0</v>
      </c>
      <c r="L270" s="6">
        <v>183.97499999999999</v>
      </c>
      <c r="M270" s="6">
        <v>81.16977</v>
      </c>
      <c r="N270" s="6">
        <v>0</v>
      </c>
      <c r="O270" s="6">
        <v>0</v>
      </c>
      <c r="P270" s="6">
        <v>0</v>
      </c>
      <c r="Q270" s="4" t="s">
        <v>58</v>
      </c>
      <c r="R270" s="4">
        <v>0</v>
      </c>
      <c r="S270" s="6">
        <v>0</v>
      </c>
      <c r="T270" s="6">
        <v>16</v>
      </c>
      <c r="U270" s="6">
        <v>0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1329.67</v>
      </c>
      <c r="X270" s="6">
        <f>IF(ISERROR(VLOOKUP($U$270,'TAR FIN'!$A$1:$O$86,15,0)),0,VLOOKUP($U$270,'TAR FIN'!$A$1:$O$86,15,0))</f>
        <v>0</v>
      </c>
      <c r="Y270" s="6"/>
      <c r="Z270" s="6">
        <f ca="1">('TUSD BE'!$AM$12+'TUSD BF'!$AM$12+'TUSD CVA'!$AM$12)*1</f>
        <v>1074.3612836602365</v>
      </c>
      <c r="AA270" s="6"/>
      <c r="AB270" s="6">
        <f>$K$270*$V$270</f>
        <v>0</v>
      </c>
      <c r="AC270" s="6">
        <f>$M$270*$W$270</f>
        <v>107929.00807590001</v>
      </c>
      <c r="AD270" s="6">
        <f>$O$270*$X$270</f>
        <v>0</v>
      </c>
      <c r="AE270" s="6">
        <f>$K$270*$Y$270</f>
        <v>0</v>
      </c>
      <c r="AF270" s="6">
        <f ca="1">$M$270*$Z$270</f>
        <v>87205.65829160616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38</v>
      </c>
      <c r="C271" s="4" t="s">
        <v>40</v>
      </c>
      <c r="D271" s="4" t="s">
        <v>37</v>
      </c>
      <c r="E271" s="4" t="s">
        <v>25</v>
      </c>
      <c r="F271" s="4" t="s">
        <v>57</v>
      </c>
      <c r="G271" s="4" t="s">
        <v>25</v>
      </c>
      <c r="H271" s="4" t="s">
        <v>33</v>
      </c>
      <c r="I271" s="5">
        <v>44501</v>
      </c>
      <c r="J271" s="6">
        <v>0</v>
      </c>
      <c r="K271" s="6">
        <v>0</v>
      </c>
      <c r="L271" s="6">
        <v>214.07900000000001</v>
      </c>
      <c r="M271" s="6">
        <v>80.279624999999996</v>
      </c>
      <c r="N271" s="6">
        <v>0</v>
      </c>
      <c r="O271" s="6">
        <v>0</v>
      </c>
      <c r="P271" s="6">
        <v>0</v>
      </c>
      <c r="Q271" s="4" t="s">
        <v>58</v>
      </c>
      <c r="R271" s="4">
        <v>0</v>
      </c>
      <c r="S271" s="6">
        <v>0</v>
      </c>
      <c r="T271" s="6">
        <v>16</v>
      </c>
      <c r="U271" s="6">
        <v>0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1329.67</v>
      </c>
      <c r="X271" s="6">
        <f>IF(ISERROR(VLOOKUP($U$271,'TAR FIN'!$A$1:$O$86,15,0)),0,VLOOKUP($U$271,'TAR FIN'!$A$1:$O$86,15,0))</f>
        <v>0</v>
      </c>
      <c r="Y271" s="6"/>
      <c r="Z271" s="6">
        <f ca="1">('TUSD BE'!$AM$12+'TUSD BF'!$AM$12+'TUSD CVA'!$AM$12)*1</f>
        <v>1074.3612836602365</v>
      </c>
      <c r="AA271" s="6"/>
      <c r="AB271" s="6">
        <f>$K$271*$V$271</f>
        <v>0</v>
      </c>
      <c r="AC271" s="6">
        <f>$M$271*$W$271</f>
        <v>106745.40897375</v>
      </c>
      <c r="AD271" s="6">
        <f>$O$271*$X$271</f>
        <v>0</v>
      </c>
      <c r="AE271" s="6">
        <f>$K$271*$Y$271</f>
        <v>0</v>
      </c>
      <c r="AF271" s="6">
        <f ca="1">$M$271*$Z$271</f>
        <v>86249.320966762403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38</v>
      </c>
      <c r="C272" s="4" t="s">
        <v>40</v>
      </c>
      <c r="D272" s="4" t="s">
        <v>37</v>
      </c>
      <c r="E272" s="4" t="s">
        <v>25</v>
      </c>
      <c r="F272" s="4" t="s">
        <v>57</v>
      </c>
      <c r="G272" s="4" t="s">
        <v>25</v>
      </c>
      <c r="H272" s="4" t="s">
        <v>33</v>
      </c>
      <c r="I272" s="5">
        <v>44531</v>
      </c>
      <c r="J272" s="6">
        <v>0</v>
      </c>
      <c r="K272" s="6">
        <v>0</v>
      </c>
      <c r="L272" s="6">
        <v>213.55799999999999</v>
      </c>
      <c r="M272" s="6">
        <v>89.929273800000004</v>
      </c>
      <c r="N272" s="6">
        <v>0</v>
      </c>
      <c r="O272" s="6">
        <v>0</v>
      </c>
      <c r="P272" s="6">
        <v>0</v>
      </c>
      <c r="Q272" s="4" t="s">
        <v>58</v>
      </c>
      <c r="R272" s="4">
        <v>0</v>
      </c>
      <c r="S272" s="6">
        <v>0</v>
      </c>
      <c r="T272" s="6">
        <v>16</v>
      </c>
      <c r="U272" s="6">
        <v>0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1329.67</v>
      </c>
      <c r="X272" s="6">
        <f>IF(ISERROR(VLOOKUP($U$272,'TAR FIN'!$A$1:$O$86,15,0)),0,VLOOKUP($U$272,'TAR FIN'!$A$1:$O$86,15,0))</f>
        <v>0</v>
      </c>
      <c r="Y272" s="6"/>
      <c r="Z272" s="6">
        <f ca="1">('TUSD BE'!$AM$12+'TUSD BF'!$AM$12+'TUSD CVA'!$AM$12)*1</f>
        <v>1074.3612836602365</v>
      </c>
      <c r="AA272" s="6"/>
      <c r="AB272" s="6">
        <f>$K$272*$V$272</f>
        <v>0</v>
      </c>
      <c r="AC272" s="6">
        <f>$M$272*$W$272</f>
        <v>119576.25749364602</v>
      </c>
      <c r="AD272" s="6">
        <f>$O$272*$X$272</f>
        <v>0</v>
      </c>
      <c r="AE272" s="6">
        <f>$K$272*$Y$272</f>
        <v>0</v>
      </c>
      <c r="AF272" s="6">
        <f ca="1">$M$272*$Z$272</f>
        <v>96616.530038400873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38</v>
      </c>
      <c r="C273" s="4" t="s">
        <v>40</v>
      </c>
      <c r="D273" s="4" t="s">
        <v>37</v>
      </c>
      <c r="E273" s="4" t="s">
        <v>25</v>
      </c>
      <c r="F273" s="4" t="s">
        <v>57</v>
      </c>
      <c r="G273" s="4" t="s">
        <v>25</v>
      </c>
      <c r="H273" s="4" t="s">
        <v>33</v>
      </c>
      <c r="I273" s="5">
        <v>44562</v>
      </c>
      <c r="J273" s="6">
        <v>0</v>
      </c>
      <c r="K273" s="6">
        <v>0</v>
      </c>
      <c r="L273" s="6">
        <v>159.66800000000001</v>
      </c>
      <c r="M273" s="6">
        <v>64.857141600000006</v>
      </c>
      <c r="N273" s="6">
        <v>0</v>
      </c>
      <c r="O273" s="6">
        <v>0</v>
      </c>
      <c r="P273" s="6">
        <v>0</v>
      </c>
      <c r="Q273" s="4" t="s">
        <v>58</v>
      </c>
      <c r="R273" s="4">
        <v>0</v>
      </c>
      <c r="S273" s="6">
        <v>0</v>
      </c>
      <c r="T273" s="6">
        <v>16</v>
      </c>
      <c r="U273" s="6">
        <v>0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1329.67</v>
      </c>
      <c r="X273" s="6">
        <f>IF(ISERROR(VLOOKUP($U$273,'TAR FIN'!$A$1:$O$86,15,0)),0,VLOOKUP($U$273,'TAR FIN'!$A$1:$O$86,15,0))</f>
        <v>0</v>
      </c>
      <c r="Y273" s="6"/>
      <c r="Z273" s="6">
        <f ca="1">('TUSD BE'!$AM$12+'TUSD BF'!$AM$12+'TUSD CVA'!$AM$12)*1</f>
        <v>1074.3612836602365</v>
      </c>
      <c r="AA273" s="6"/>
      <c r="AB273" s="6">
        <f>$K$273*$V$273</f>
        <v>0</v>
      </c>
      <c r="AC273" s="6">
        <f>$M$273*$W$273</f>
        <v>86238.595471272012</v>
      </c>
      <c r="AD273" s="6">
        <f>$O$273*$X$273</f>
        <v>0</v>
      </c>
      <c r="AE273" s="6">
        <f>$K$273*$Y$273</f>
        <v>0</v>
      </c>
      <c r="AF273" s="6">
        <f ca="1">$M$273*$Z$273</f>
        <v>69680.001903909724</v>
      </c>
      <c r="AG273" s="6">
        <f>$O$273*$AA$273</f>
        <v>0</v>
      </c>
    </row>
    <row r="274" spans="1:33" ht="11.25" customHeight="1" x14ac:dyDescent="0.25">
      <c r="A274" s="4" t="s">
        <v>21</v>
      </c>
      <c r="B274" s="4" t="s">
        <v>38</v>
      </c>
      <c r="C274" s="4" t="s">
        <v>40</v>
      </c>
      <c r="D274" s="4" t="s">
        <v>37</v>
      </c>
      <c r="E274" s="4" t="s">
        <v>25</v>
      </c>
      <c r="F274" s="4" t="s">
        <v>57</v>
      </c>
      <c r="G274" s="4" t="s">
        <v>25</v>
      </c>
      <c r="H274" s="4" t="s">
        <v>33</v>
      </c>
      <c r="I274" s="5">
        <v>44593</v>
      </c>
      <c r="J274" s="6">
        <v>0</v>
      </c>
      <c r="K274" s="6">
        <v>0</v>
      </c>
      <c r="L274" s="6">
        <v>223.99700000000001</v>
      </c>
      <c r="M274" s="6">
        <v>94.325136700000002</v>
      </c>
      <c r="N274" s="6">
        <v>0</v>
      </c>
      <c r="O274" s="6">
        <v>0</v>
      </c>
      <c r="P274" s="6">
        <v>0</v>
      </c>
      <c r="Q274" s="4" t="s">
        <v>58</v>
      </c>
      <c r="R274" s="4">
        <v>0</v>
      </c>
      <c r="S274" s="6">
        <v>0</v>
      </c>
      <c r="T274" s="6">
        <v>16</v>
      </c>
      <c r="U274" s="6">
        <v>0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1329.67</v>
      </c>
      <c r="X274" s="6">
        <f>IF(ISERROR(VLOOKUP($U$274,'TAR FIN'!$A$1:$O$86,15,0)),0,VLOOKUP($U$274,'TAR FIN'!$A$1:$O$86,15,0))</f>
        <v>0</v>
      </c>
      <c r="Y274" s="6"/>
      <c r="Z274" s="6">
        <f ca="1">('TUSD BE'!$AM$12+'TUSD BF'!$AM$12+'TUSD CVA'!$AM$12)*1</f>
        <v>1074.3612836602365</v>
      </c>
      <c r="AA274" s="6"/>
      <c r="AB274" s="6">
        <f>$K$274*$V$274</f>
        <v>0</v>
      </c>
      <c r="AC274" s="6">
        <f>$M$274*$W$274</f>
        <v>125421.304515889</v>
      </c>
      <c r="AD274" s="6">
        <f>$O$274*$X$274</f>
        <v>0</v>
      </c>
      <c r="AE274" s="6">
        <f>$K$274*$Y$274</f>
        <v>0</v>
      </c>
      <c r="AF274" s="6">
        <f ca="1">$M$274*$Z$274</f>
        <v>101339.27494643928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38</v>
      </c>
      <c r="C275" s="4" t="s">
        <v>40</v>
      </c>
      <c r="D275" s="4" t="s">
        <v>37</v>
      </c>
      <c r="E275" s="4" t="s">
        <v>25</v>
      </c>
      <c r="F275" s="4" t="s">
        <v>57</v>
      </c>
      <c r="G275" s="4" t="s">
        <v>25</v>
      </c>
      <c r="H275" s="4" t="s">
        <v>33</v>
      </c>
      <c r="I275" s="5">
        <v>44621</v>
      </c>
      <c r="J275" s="6">
        <v>0</v>
      </c>
      <c r="K275" s="6">
        <v>0</v>
      </c>
      <c r="L275" s="6">
        <v>263.34199999999998</v>
      </c>
      <c r="M275" s="6">
        <v>109.73461140000001</v>
      </c>
      <c r="N275" s="6">
        <v>0</v>
      </c>
      <c r="O275" s="6">
        <v>0</v>
      </c>
      <c r="P275" s="6">
        <v>0</v>
      </c>
      <c r="Q275" s="4" t="s">
        <v>58</v>
      </c>
      <c r="R275" s="4">
        <v>0</v>
      </c>
      <c r="S275" s="6">
        <v>0</v>
      </c>
      <c r="T275" s="6">
        <v>16</v>
      </c>
      <c r="U275" s="6">
        <v>0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1329.67</v>
      </c>
      <c r="X275" s="6">
        <f>IF(ISERROR(VLOOKUP($U$275,'TAR FIN'!$A$1:$O$86,15,0)),0,VLOOKUP($U$275,'TAR FIN'!$A$1:$O$86,15,0))</f>
        <v>0</v>
      </c>
      <c r="Y275" s="6"/>
      <c r="Z275" s="6">
        <f ca="1">('TUSD BE'!$AM$12+'TUSD BF'!$AM$12+'TUSD CVA'!$AM$12)*1</f>
        <v>1074.3612836602365</v>
      </c>
      <c r="AA275" s="6"/>
      <c r="AB275" s="6">
        <f>$K$275*$V$275</f>
        <v>0</v>
      </c>
      <c r="AC275" s="6">
        <f>$M$275*$W$275</f>
        <v>145910.82074023801</v>
      </c>
      <c r="AD275" s="6">
        <f>$O$275*$X$275</f>
        <v>0</v>
      </c>
      <c r="AE275" s="6">
        <f>$K$275*$Y$275</f>
        <v>0</v>
      </c>
      <c r="AF275" s="6">
        <f ca="1">$M$275*$Z$275</f>
        <v>117894.61796566122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38</v>
      </c>
      <c r="C276" s="4" t="s">
        <v>40</v>
      </c>
      <c r="D276" s="4" t="s">
        <v>37</v>
      </c>
      <c r="E276" s="4" t="s">
        <v>25</v>
      </c>
      <c r="F276" s="4" t="s">
        <v>57</v>
      </c>
      <c r="G276" s="4" t="s">
        <v>25</v>
      </c>
      <c r="H276" s="4" t="s">
        <v>33</v>
      </c>
      <c r="I276" s="5">
        <v>44652</v>
      </c>
      <c r="J276" s="6">
        <v>0</v>
      </c>
      <c r="K276" s="6">
        <v>0</v>
      </c>
      <c r="L276" s="6">
        <v>174.17400000000001</v>
      </c>
      <c r="M276" s="6">
        <v>72.578305799999995</v>
      </c>
      <c r="N276" s="6">
        <v>0</v>
      </c>
      <c r="O276" s="6">
        <v>0</v>
      </c>
      <c r="P276" s="6">
        <v>0</v>
      </c>
      <c r="Q276" s="4" t="s">
        <v>58</v>
      </c>
      <c r="R276" s="4">
        <v>0</v>
      </c>
      <c r="S276" s="6">
        <v>0</v>
      </c>
      <c r="T276" s="6">
        <v>16</v>
      </c>
      <c r="U276" s="6">
        <v>0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1329.67</v>
      </c>
      <c r="X276" s="6">
        <f>IF(ISERROR(VLOOKUP($U$276,'TAR FIN'!$A$1:$O$86,15,0)),0,VLOOKUP($U$276,'TAR FIN'!$A$1:$O$86,15,0))</f>
        <v>0</v>
      </c>
      <c r="Y276" s="6"/>
      <c r="Z276" s="6">
        <f ca="1">('TUSD BE'!$AM$12+'TUSD BF'!$AM$12+'TUSD CVA'!$AM$12)*1</f>
        <v>1074.3612836602365</v>
      </c>
      <c r="AA276" s="6"/>
      <c r="AB276" s="6">
        <f>$K$276*$V$276</f>
        <v>0</v>
      </c>
      <c r="AC276" s="6">
        <f>$M$276*$W$276</f>
        <v>96505.195873086006</v>
      </c>
      <c r="AD276" s="6">
        <f>$O$276*$X$276</f>
        <v>0</v>
      </c>
      <c r="AE276" s="6">
        <f>$K$276*$Y$276</f>
        <v>0</v>
      </c>
      <c r="AF276" s="6">
        <f ca="1">$M$276*$Z$276</f>
        <v>77975.32178517319</v>
      </c>
      <c r="AG276" s="6">
        <f>$O$276*$AA$276</f>
        <v>0</v>
      </c>
    </row>
    <row r="277" spans="1:33" ht="11.25" customHeight="1" x14ac:dyDescent="0.25">
      <c r="A277" s="4" t="s">
        <v>21</v>
      </c>
      <c r="B277" s="4" t="s">
        <v>38</v>
      </c>
      <c r="C277" s="4" t="s">
        <v>40</v>
      </c>
      <c r="D277" s="4" t="s">
        <v>37</v>
      </c>
      <c r="E277" s="4" t="s">
        <v>25</v>
      </c>
      <c r="F277" s="4" t="s">
        <v>57</v>
      </c>
      <c r="G277" s="4" t="s">
        <v>25</v>
      </c>
      <c r="H277" s="4" t="s">
        <v>33</v>
      </c>
      <c r="I277" s="5">
        <v>44682</v>
      </c>
      <c r="J277" s="6">
        <v>0</v>
      </c>
      <c r="K277" s="6">
        <v>0</v>
      </c>
      <c r="L277" s="6">
        <v>244.554</v>
      </c>
      <c r="M277" s="6">
        <v>101.9056518</v>
      </c>
      <c r="N277" s="6">
        <v>0</v>
      </c>
      <c r="O277" s="6">
        <v>0</v>
      </c>
      <c r="P277" s="6">
        <v>0</v>
      </c>
      <c r="Q277" s="4" t="s">
        <v>58</v>
      </c>
      <c r="R277" s="4">
        <v>0</v>
      </c>
      <c r="S277" s="6">
        <v>0</v>
      </c>
      <c r="T277" s="6">
        <v>16</v>
      </c>
      <c r="U277" s="6">
        <v>0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1329.67</v>
      </c>
      <c r="X277" s="6">
        <f>IF(ISERROR(VLOOKUP($U$277,'TAR FIN'!$A$1:$O$86,15,0)),0,VLOOKUP($U$277,'TAR FIN'!$A$1:$O$86,15,0))</f>
        <v>0</v>
      </c>
      <c r="Y277" s="6"/>
      <c r="Z277" s="6">
        <f ca="1">('TUSD BE'!$AM$12+'TUSD BF'!$AM$12+'TUSD CVA'!$AM$12)*1</f>
        <v>1074.3612836602365</v>
      </c>
      <c r="AA277" s="6"/>
      <c r="AB277" s="6">
        <f>$K$277*$V$277</f>
        <v>0</v>
      </c>
      <c r="AC277" s="6">
        <f>$M$277*$W$277</f>
        <v>135500.88802890602</v>
      </c>
      <c r="AD277" s="6">
        <f>$O$277*$X$277</f>
        <v>0</v>
      </c>
      <c r="AE277" s="6">
        <f>$K$277*$Y$277</f>
        <v>0</v>
      </c>
      <c r="AF277" s="6">
        <f ca="1">$M$277*$Z$277</f>
        <v>109483.48688008109</v>
      </c>
      <c r="AG277" s="6">
        <f>$O$277*$AA$277</f>
        <v>0</v>
      </c>
    </row>
    <row r="278" spans="1:33" ht="11.25" customHeight="1" x14ac:dyDescent="0.25">
      <c r="A278" s="4" t="s">
        <v>56</v>
      </c>
      <c r="B278" s="4" t="s">
        <v>38</v>
      </c>
      <c r="C278" s="4" t="s">
        <v>40</v>
      </c>
      <c r="D278" s="4" t="s">
        <v>37</v>
      </c>
      <c r="E278" s="4" t="s">
        <v>25</v>
      </c>
      <c r="F278" s="4" t="s">
        <v>57</v>
      </c>
      <c r="G278" s="4" t="s">
        <v>25</v>
      </c>
      <c r="H278" s="4" t="s">
        <v>33</v>
      </c>
      <c r="I278" s="5">
        <v>44713</v>
      </c>
      <c r="J278" s="6">
        <v>0</v>
      </c>
      <c r="K278" s="6">
        <v>0</v>
      </c>
      <c r="L278" s="6">
        <v>244.554</v>
      </c>
      <c r="M278" s="6">
        <v>101.9056518</v>
      </c>
      <c r="N278" s="6">
        <v>0</v>
      </c>
      <c r="O278" s="6">
        <v>0</v>
      </c>
      <c r="P278" s="6">
        <v>0</v>
      </c>
      <c r="Q278" s="4" t="s">
        <v>58</v>
      </c>
      <c r="R278" s="4">
        <v>0</v>
      </c>
      <c r="S278" s="6">
        <v>0</v>
      </c>
      <c r="T278" s="6">
        <v>16</v>
      </c>
      <c r="U278" s="6">
        <v>0</v>
      </c>
      <c r="V278" s="6">
        <f>IF(ISERROR(VLOOKUP($S$278,'TAR FIN'!$A$1:$O$86,15,0)),0,VLOOKUP($S$278,'TAR FIN'!$A$1:$O$86,15,0))</f>
        <v>0</v>
      </c>
      <c r="W278" s="6">
        <f>IF(ISERROR(VLOOKUP($T$278,'TAR FIN'!$A$1:$O$86,15,0)),0,VLOOKUP($T$278,'TAR FIN'!$A$1:$O$86,15,0))</f>
        <v>1329.67</v>
      </c>
      <c r="X278" s="6">
        <f>IF(ISERROR(VLOOKUP($U$278,'TAR FIN'!$A$1:$O$86,15,0)),0,VLOOKUP($U$278,'TAR FIN'!$A$1:$O$86,15,0))</f>
        <v>0</v>
      </c>
      <c r="Y278" s="6"/>
      <c r="Z278" s="6">
        <f ca="1">('TUSD BE'!$AM$12+'TUSD BF'!$AM$12+'TUSD CVA'!$AM$12)*1</f>
        <v>1074.3612836602365</v>
      </c>
      <c r="AA278" s="6"/>
      <c r="AB278" s="6">
        <f>$K$278*$V$278</f>
        <v>0</v>
      </c>
      <c r="AC278" s="6">
        <f>$M$278*$W$278</f>
        <v>135500.88802890602</v>
      </c>
      <c r="AD278" s="6">
        <f>$O$278*$X$278</f>
        <v>0</v>
      </c>
      <c r="AE278" s="6">
        <f>$K$278*$Y$278</f>
        <v>0</v>
      </c>
      <c r="AF278" s="6">
        <f ca="1">$M$278*$Z$278</f>
        <v>109483.48688008109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38</v>
      </c>
      <c r="C279" s="4" t="s">
        <v>40</v>
      </c>
      <c r="D279" s="4" t="s">
        <v>37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44378</v>
      </c>
      <c r="J279" s="6">
        <v>0</v>
      </c>
      <c r="K279" s="6">
        <v>0</v>
      </c>
      <c r="L279" s="6">
        <v>699.19799999999998</v>
      </c>
      <c r="M279" s="6">
        <v>699.19799999999998</v>
      </c>
      <c r="N279" s="6">
        <v>699.19799999999998</v>
      </c>
      <c r="O279" s="6">
        <v>699.19799999999998</v>
      </c>
      <c r="P279" s="6">
        <v>0</v>
      </c>
      <c r="Q279" s="4" t="s">
        <v>26</v>
      </c>
      <c r="R279" s="4">
        <v>0</v>
      </c>
      <c r="S279" s="6">
        <v>0</v>
      </c>
      <c r="T279" s="6">
        <v>14</v>
      </c>
      <c r="U279" s="6">
        <v>42</v>
      </c>
      <c r="V279" s="6">
        <f>IF(ISERROR(VLOOKUP($S$279,'TAR FIN'!$A$1:$O$86,15,0)),0,VLOOKUP($S$279,'TAR FIN'!$A$1:$O$86,15,0))</f>
        <v>0</v>
      </c>
      <c r="W279" s="6">
        <f>IF(ISERROR(VLOOKUP($T$279,'TAR FIN'!$A$1:$O$86,15,0)),0,VLOOKUP($T$279,'TAR FIN'!$A$1:$O$86,15,0))</f>
        <v>78.680000000000007</v>
      </c>
      <c r="X279" s="6">
        <f>IF(ISERROR(VLOOKUP($U$279,'TAR FIN'!$A$1:$O$86,15,0)),0,VLOOKUP($U$279,'TAR FIN'!$A$1:$O$86,15,0))</f>
        <v>246.3</v>
      </c>
      <c r="Y279" s="6"/>
      <c r="Z279" s="6">
        <f ca="1">('TUSD BE'!$AM$13+'TUSD BF'!$AM$13+'TUSD CVA'!$AM$13)*1</f>
        <v>100.23755694003805</v>
      </c>
      <c r="AA279" s="6">
        <f>('TE BE'!$AB$6+'TE BF'!$AB$6+'TE CVA'!$AB$6)*1</f>
        <v>219.40364509824883</v>
      </c>
      <c r="AB279" s="6">
        <f>$K$279*$V$279</f>
        <v>0</v>
      </c>
      <c r="AC279" s="6">
        <f>$M$279*$W$279</f>
        <v>55012.898640000007</v>
      </c>
      <c r="AD279" s="6">
        <f>$O$279*$X$279</f>
        <v>172212.46739999999</v>
      </c>
      <c r="AE279" s="6">
        <f>$K$279*$Y$279</f>
        <v>0</v>
      </c>
      <c r="AF279" s="6">
        <f ca="1">$M$279*$Z$279</f>
        <v>70085.899337360723</v>
      </c>
      <c r="AG279" s="6">
        <f>$O$279*$AA$279</f>
        <v>153406.58984540537</v>
      </c>
    </row>
    <row r="280" spans="1:33" ht="11.25" customHeight="1" x14ac:dyDescent="0.25">
      <c r="A280" s="4" t="s">
        <v>21</v>
      </c>
      <c r="B280" s="4" t="s">
        <v>38</v>
      </c>
      <c r="C280" s="4" t="s">
        <v>40</v>
      </c>
      <c r="D280" s="4" t="s">
        <v>37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44409</v>
      </c>
      <c r="J280" s="6">
        <v>0</v>
      </c>
      <c r="K280" s="6">
        <v>0</v>
      </c>
      <c r="L280" s="6">
        <v>700.65599999999995</v>
      </c>
      <c r="M280" s="6">
        <v>700.65599999999995</v>
      </c>
      <c r="N280" s="6">
        <v>700.65599999999995</v>
      </c>
      <c r="O280" s="6">
        <v>700.65599999999995</v>
      </c>
      <c r="P280" s="6">
        <v>0</v>
      </c>
      <c r="Q280" s="4" t="s">
        <v>26</v>
      </c>
      <c r="R280" s="4">
        <v>0</v>
      </c>
      <c r="S280" s="6">
        <v>0</v>
      </c>
      <c r="T280" s="6">
        <v>14</v>
      </c>
      <c r="U280" s="6">
        <v>42</v>
      </c>
      <c r="V280" s="6">
        <f>IF(ISERROR(VLOOKUP($S$280,'TAR FIN'!$A$1:$O$86,15,0)),0,VLOOKUP($S$280,'TAR FIN'!$A$1:$O$86,15,0))</f>
        <v>0</v>
      </c>
      <c r="W280" s="6">
        <f>IF(ISERROR(VLOOKUP($T$280,'TAR FIN'!$A$1:$O$86,15,0)),0,VLOOKUP($T$280,'TAR FIN'!$A$1:$O$86,15,0))</f>
        <v>78.680000000000007</v>
      </c>
      <c r="X280" s="6">
        <f>IF(ISERROR(VLOOKUP($U$280,'TAR FIN'!$A$1:$O$86,15,0)),0,VLOOKUP($U$280,'TAR FIN'!$A$1:$O$86,15,0))</f>
        <v>246.3</v>
      </c>
      <c r="Y280" s="6"/>
      <c r="Z280" s="6">
        <f ca="1">('TUSD BE'!$AM$13+'TUSD BF'!$AM$13+'TUSD CVA'!$AM$13)*1</f>
        <v>100.23755694003805</v>
      </c>
      <c r="AA280" s="6">
        <f>('TE BE'!$AB$6+'TE BF'!$AB$6+'TE CVA'!$AB$6)*1</f>
        <v>219.40364509824883</v>
      </c>
      <c r="AB280" s="6">
        <f>$K$280*$V$280</f>
        <v>0</v>
      </c>
      <c r="AC280" s="6">
        <f>$M$280*$W$280</f>
        <v>55127.614079999999</v>
      </c>
      <c r="AD280" s="6">
        <f>$O$280*$X$280</f>
        <v>172571.57279999999</v>
      </c>
      <c r="AE280" s="6">
        <f>$K$280*$Y$280</f>
        <v>0</v>
      </c>
      <c r="AF280" s="6">
        <f ca="1">$M$280*$Z$280</f>
        <v>70232.045695379289</v>
      </c>
      <c r="AG280" s="6">
        <f>$O$280*$AA$280</f>
        <v>153726.48035995863</v>
      </c>
    </row>
    <row r="281" spans="1:33" ht="11.25" customHeight="1" x14ac:dyDescent="0.25">
      <c r="A281" s="4" t="s">
        <v>55</v>
      </c>
      <c r="B281" s="4" t="s">
        <v>38</v>
      </c>
      <c r="C281" s="4" t="s">
        <v>40</v>
      </c>
      <c r="D281" s="4" t="s">
        <v>37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44409</v>
      </c>
      <c r="J281" s="6">
        <v>0</v>
      </c>
      <c r="K281" s="6">
        <v>0</v>
      </c>
      <c r="L281" s="6">
        <v>200.49</v>
      </c>
      <c r="M281" s="6">
        <v>200.49</v>
      </c>
      <c r="N281" s="6">
        <v>200.49</v>
      </c>
      <c r="O281" s="6">
        <v>200.49</v>
      </c>
      <c r="P281" s="6">
        <v>0</v>
      </c>
      <c r="Q281" s="4" t="s">
        <v>26</v>
      </c>
      <c r="R281" s="4">
        <v>0</v>
      </c>
      <c r="S281" s="6">
        <v>0</v>
      </c>
      <c r="T281" s="6">
        <v>14</v>
      </c>
      <c r="U281" s="6">
        <v>42</v>
      </c>
      <c r="V281" s="6">
        <f>IF(ISERROR(VLOOKUP($S$281,'TAR FIN'!$A$1:$O$86,15,0)),0,VLOOKUP($S$281,'TAR FIN'!$A$1:$O$86,15,0))</f>
        <v>0</v>
      </c>
      <c r="W281" s="6">
        <f>IF(ISERROR(VLOOKUP($T$281,'TAR FIN'!$A$1:$O$86,15,0)),0,VLOOKUP($T$281,'TAR FIN'!$A$1:$O$86,15,0))</f>
        <v>78.680000000000007</v>
      </c>
      <c r="X281" s="6">
        <f>IF(ISERROR(VLOOKUP($U$281,'TAR FIN'!$A$1:$O$86,15,0)),0,VLOOKUP($U$281,'TAR FIN'!$A$1:$O$86,15,0))</f>
        <v>246.3</v>
      </c>
      <c r="Y281" s="6"/>
      <c r="Z281" s="6">
        <f ca="1">('TUSD BE'!$AM$13+'TUSD BF'!$AM$13+'TUSD CVA'!$AM$13)*1</f>
        <v>100.23755694003805</v>
      </c>
      <c r="AA281" s="6">
        <f>('TE BE'!$AB$6+'TE BF'!$AB$6+'TE CVA'!$AB$6)*1</f>
        <v>219.40364509824883</v>
      </c>
      <c r="AB281" s="6">
        <f>$K$281*$V$281</f>
        <v>0</v>
      </c>
      <c r="AC281" s="6">
        <f>$M$281*$W$281</f>
        <v>15774.553200000002</v>
      </c>
      <c r="AD281" s="6">
        <f>$O$281*$X$281</f>
        <v>49380.687000000005</v>
      </c>
      <c r="AE281" s="6">
        <f>$K$281*$Y$281</f>
        <v>0</v>
      </c>
      <c r="AF281" s="6">
        <f ca="1">$M$281*$Z$281</f>
        <v>20096.627790908227</v>
      </c>
      <c r="AG281" s="6">
        <f>$O$281*$AA$281</f>
        <v>43988.236805747911</v>
      </c>
    </row>
    <row r="282" spans="1:33" ht="11.25" customHeight="1" x14ac:dyDescent="0.25">
      <c r="A282" s="4" t="s">
        <v>21</v>
      </c>
      <c r="B282" s="4" t="s">
        <v>38</v>
      </c>
      <c r="C282" s="4" t="s">
        <v>40</v>
      </c>
      <c r="D282" s="4" t="s">
        <v>37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44440</v>
      </c>
      <c r="J282" s="6">
        <v>0</v>
      </c>
      <c r="K282" s="6">
        <v>0</v>
      </c>
      <c r="L282" s="6">
        <v>685.65599999999995</v>
      </c>
      <c r="M282" s="6">
        <v>685.65599999999995</v>
      </c>
      <c r="N282" s="6">
        <v>685.65599999999995</v>
      </c>
      <c r="O282" s="6">
        <v>685.65599999999995</v>
      </c>
      <c r="P282" s="6">
        <v>0</v>
      </c>
      <c r="Q282" s="4" t="s">
        <v>26</v>
      </c>
      <c r="R282" s="4">
        <v>0</v>
      </c>
      <c r="S282" s="6">
        <v>0</v>
      </c>
      <c r="T282" s="6">
        <v>14</v>
      </c>
      <c r="U282" s="6">
        <v>42</v>
      </c>
      <c r="V282" s="6">
        <f>IF(ISERROR(VLOOKUP($S$282,'TAR FIN'!$A$1:$O$86,15,0)),0,VLOOKUP($S$282,'TAR FIN'!$A$1:$O$86,15,0))</f>
        <v>0</v>
      </c>
      <c r="W282" s="6">
        <f>IF(ISERROR(VLOOKUP($T$282,'TAR FIN'!$A$1:$O$86,15,0)),0,VLOOKUP($T$282,'TAR FIN'!$A$1:$O$86,15,0))</f>
        <v>78.680000000000007</v>
      </c>
      <c r="X282" s="6">
        <f>IF(ISERROR(VLOOKUP($U$282,'TAR FIN'!$A$1:$O$86,15,0)),0,VLOOKUP($U$282,'TAR FIN'!$A$1:$O$86,15,0))</f>
        <v>246.3</v>
      </c>
      <c r="Y282" s="6"/>
      <c r="Z282" s="6">
        <f ca="1">('TUSD BE'!$AM$13+'TUSD BF'!$AM$13+'TUSD CVA'!$AM$13)*1</f>
        <v>100.23755694003805</v>
      </c>
      <c r="AA282" s="6">
        <f>('TE BE'!$AB$6+'TE BF'!$AB$6+'TE CVA'!$AB$6)*1</f>
        <v>219.40364509824883</v>
      </c>
      <c r="AB282" s="6">
        <f>$K$282*$V$282</f>
        <v>0</v>
      </c>
      <c r="AC282" s="6">
        <f>$M$282*$W$282</f>
        <v>53947.414080000002</v>
      </c>
      <c r="AD282" s="6">
        <f>$O$282*$X$282</f>
        <v>168877.07279999999</v>
      </c>
      <c r="AE282" s="6">
        <f>$K$282*$Y$282</f>
        <v>0</v>
      </c>
      <c r="AF282" s="6">
        <f ca="1">$M$282*$Z$282</f>
        <v>68728.482341278723</v>
      </c>
      <c r="AG282" s="6">
        <f>$O$282*$AA$282</f>
        <v>150435.42568348488</v>
      </c>
    </row>
    <row r="283" spans="1:33" ht="11.25" customHeight="1" x14ac:dyDescent="0.25">
      <c r="A283" s="4" t="s">
        <v>55</v>
      </c>
      <c r="B283" s="4" t="s">
        <v>38</v>
      </c>
      <c r="C283" s="4" t="s">
        <v>40</v>
      </c>
      <c r="D283" s="4" t="s">
        <v>37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44440</v>
      </c>
      <c r="J283" s="6">
        <v>0</v>
      </c>
      <c r="K283" s="6">
        <v>0</v>
      </c>
      <c r="L283" s="6">
        <v>190.34100000000001</v>
      </c>
      <c r="M283" s="6">
        <v>190.34100000000001</v>
      </c>
      <c r="N283" s="6">
        <v>190.34100000000001</v>
      </c>
      <c r="O283" s="6">
        <v>190.34100000000001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14</v>
      </c>
      <c r="U283" s="6">
        <v>42</v>
      </c>
      <c r="V283" s="6">
        <f>IF(ISERROR(VLOOKUP($S$283,'TAR FIN'!$A$1:$O$86,15,0)),0,VLOOKUP($S$283,'TAR FIN'!$A$1:$O$86,15,0))</f>
        <v>0</v>
      </c>
      <c r="W283" s="6">
        <f>IF(ISERROR(VLOOKUP($T$283,'TAR FIN'!$A$1:$O$86,15,0)),0,VLOOKUP($T$283,'TAR FIN'!$A$1:$O$86,15,0))</f>
        <v>78.680000000000007</v>
      </c>
      <c r="X283" s="6">
        <f>IF(ISERROR(VLOOKUP($U$283,'TAR FIN'!$A$1:$O$86,15,0)),0,VLOOKUP($U$283,'TAR FIN'!$A$1:$O$86,15,0))</f>
        <v>246.3</v>
      </c>
      <c r="Y283" s="6"/>
      <c r="Z283" s="6">
        <f ca="1">('TUSD BE'!$AM$13+'TUSD BF'!$AM$13+'TUSD CVA'!$AM$13)*1</f>
        <v>100.23755694003805</v>
      </c>
      <c r="AA283" s="6">
        <f>('TE BE'!$AB$6+'TE BF'!$AB$6+'TE CVA'!$AB$6)*1</f>
        <v>219.40364509824883</v>
      </c>
      <c r="AB283" s="6">
        <f>$K$283*$V$283</f>
        <v>0</v>
      </c>
      <c r="AC283" s="6">
        <f>$M$283*$W$283</f>
        <v>14976.029880000002</v>
      </c>
      <c r="AD283" s="6">
        <f>$O$283*$X$283</f>
        <v>46880.988300000005</v>
      </c>
      <c r="AE283" s="6">
        <f>$K$283*$Y$283</f>
        <v>0</v>
      </c>
      <c r="AF283" s="6">
        <f ca="1">$M$283*$Z$283</f>
        <v>19079.316825523783</v>
      </c>
      <c r="AG283" s="6">
        <f>$O$283*$AA$283</f>
        <v>41761.509211645782</v>
      </c>
    </row>
    <row r="284" spans="1:33" ht="11.25" customHeight="1" x14ac:dyDescent="0.25">
      <c r="A284" s="4" t="s">
        <v>21</v>
      </c>
      <c r="B284" s="4" t="s">
        <v>38</v>
      </c>
      <c r="C284" s="4" t="s">
        <v>40</v>
      </c>
      <c r="D284" s="4" t="s">
        <v>37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44470</v>
      </c>
      <c r="J284" s="6">
        <v>0</v>
      </c>
      <c r="K284" s="6">
        <v>0</v>
      </c>
      <c r="L284" s="6">
        <v>630.46100000000001</v>
      </c>
      <c r="M284" s="6">
        <v>630.46100000000001</v>
      </c>
      <c r="N284" s="6">
        <v>630.46100000000001</v>
      </c>
      <c r="O284" s="6">
        <v>630.46100000000001</v>
      </c>
      <c r="P284" s="6">
        <v>0</v>
      </c>
      <c r="Q284" s="4" t="s">
        <v>26</v>
      </c>
      <c r="R284" s="4">
        <v>0</v>
      </c>
      <c r="S284" s="6">
        <v>0</v>
      </c>
      <c r="T284" s="6">
        <v>14</v>
      </c>
      <c r="U284" s="6">
        <v>42</v>
      </c>
      <c r="V284" s="6">
        <f>IF(ISERROR(VLOOKUP($S$284,'TAR FIN'!$A$1:$O$86,15,0)),0,VLOOKUP($S$284,'TAR FIN'!$A$1:$O$86,15,0))</f>
        <v>0</v>
      </c>
      <c r="W284" s="6">
        <f>IF(ISERROR(VLOOKUP($T$284,'TAR FIN'!$A$1:$O$86,15,0)),0,VLOOKUP($T$284,'TAR FIN'!$A$1:$O$86,15,0))</f>
        <v>78.680000000000007</v>
      </c>
      <c r="X284" s="6">
        <f>IF(ISERROR(VLOOKUP($U$284,'TAR FIN'!$A$1:$O$86,15,0)),0,VLOOKUP($U$284,'TAR FIN'!$A$1:$O$86,15,0))</f>
        <v>246.3</v>
      </c>
      <c r="Y284" s="6"/>
      <c r="Z284" s="6">
        <f ca="1">('TUSD BE'!$AM$13+'TUSD BF'!$AM$13+'TUSD CVA'!$AM$13)*1</f>
        <v>100.23755694003805</v>
      </c>
      <c r="AA284" s="6">
        <f>('TE BE'!$AB$6+'TE BF'!$AB$6+'TE CVA'!$AB$6)*1</f>
        <v>219.40364509824883</v>
      </c>
      <c r="AB284" s="6">
        <f>$K$284*$V$284</f>
        <v>0</v>
      </c>
      <c r="AC284" s="6">
        <f>$M$284*$W$284</f>
        <v>49604.671480000005</v>
      </c>
      <c r="AD284" s="6">
        <f>$O$284*$X$284</f>
        <v>155282.54430000001</v>
      </c>
      <c r="AE284" s="6">
        <f>$K$284*$Y$284</f>
        <v>0</v>
      </c>
      <c r="AF284" s="6">
        <f ca="1">$M$284*$Z$284</f>
        <v>63195.870385973329</v>
      </c>
      <c r="AG284" s="6">
        <f>$O$284*$AA$284</f>
        <v>138325.44149228706</v>
      </c>
    </row>
    <row r="285" spans="1:33" ht="11.25" customHeight="1" x14ac:dyDescent="0.25">
      <c r="A285" s="4" t="s">
        <v>55</v>
      </c>
      <c r="B285" s="4" t="s">
        <v>38</v>
      </c>
      <c r="C285" s="4" t="s">
        <v>40</v>
      </c>
      <c r="D285" s="4" t="s">
        <v>37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44470</v>
      </c>
      <c r="J285" s="6">
        <v>0</v>
      </c>
      <c r="K285" s="6">
        <v>0</v>
      </c>
      <c r="L285" s="6">
        <v>195.92599999999999</v>
      </c>
      <c r="M285" s="6">
        <v>195.92599999999999</v>
      </c>
      <c r="N285" s="6">
        <v>195.92599999999999</v>
      </c>
      <c r="O285" s="6">
        <v>195.92599999999999</v>
      </c>
      <c r="P285" s="6">
        <v>0</v>
      </c>
      <c r="Q285" s="4" t="s">
        <v>26</v>
      </c>
      <c r="R285" s="4">
        <v>0</v>
      </c>
      <c r="S285" s="6">
        <v>0</v>
      </c>
      <c r="T285" s="6">
        <v>14</v>
      </c>
      <c r="U285" s="6">
        <v>42</v>
      </c>
      <c r="V285" s="6">
        <f>IF(ISERROR(VLOOKUP($S$285,'TAR FIN'!$A$1:$O$86,15,0)),0,VLOOKUP($S$285,'TAR FIN'!$A$1:$O$86,15,0))</f>
        <v>0</v>
      </c>
      <c r="W285" s="6">
        <f>IF(ISERROR(VLOOKUP($T$285,'TAR FIN'!$A$1:$O$86,15,0)),0,VLOOKUP($T$285,'TAR FIN'!$A$1:$O$86,15,0))</f>
        <v>78.680000000000007</v>
      </c>
      <c r="X285" s="6">
        <f>IF(ISERROR(VLOOKUP($U$285,'TAR FIN'!$A$1:$O$86,15,0)),0,VLOOKUP($U$285,'TAR FIN'!$A$1:$O$86,15,0))</f>
        <v>246.3</v>
      </c>
      <c r="Y285" s="6"/>
      <c r="Z285" s="6">
        <f ca="1">('TUSD BE'!$AM$13+'TUSD BF'!$AM$13+'TUSD CVA'!$AM$13)*1</f>
        <v>100.23755694003805</v>
      </c>
      <c r="AA285" s="6">
        <f>('TE BE'!$AB$6+'TE BF'!$AB$6+'TE CVA'!$AB$6)*1</f>
        <v>219.40364509824883</v>
      </c>
      <c r="AB285" s="6">
        <f>$K$285*$V$285</f>
        <v>0</v>
      </c>
      <c r="AC285" s="6">
        <f>$M$285*$W$285</f>
        <v>15415.45768</v>
      </c>
      <c r="AD285" s="6">
        <f>$O$285*$X$285</f>
        <v>48256.573799999998</v>
      </c>
      <c r="AE285" s="6">
        <f>$K$285*$Y$285</f>
        <v>0</v>
      </c>
      <c r="AF285" s="6">
        <f ca="1">$M$285*$Z$285</f>
        <v>19639.143581033892</v>
      </c>
      <c r="AG285" s="6">
        <f>$O$285*$AA$285</f>
        <v>42986.878569519497</v>
      </c>
    </row>
    <row r="286" spans="1:33" ht="11.25" customHeight="1" x14ac:dyDescent="0.25">
      <c r="A286" s="4" t="s">
        <v>21</v>
      </c>
      <c r="B286" s="4" t="s">
        <v>38</v>
      </c>
      <c r="C286" s="4" t="s">
        <v>40</v>
      </c>
      <c r="D286" s="4" t="s">
        <v>37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44501</v>
      </c>
      <c r="J286" s="6">
        <v>0</v>
      </c>
      <c r="K286" s="6">
        <v>0</v>
      </c>
      <c r="L286" s="6">
        <v>647.51300000000003</v>
      </c>
      <c r="M286" s="6">
        <v>647.51300000000003</v>
      </c>
      <c r="N286" s="6">
        <v>647.51300000000003</v>
      </c>
      <c r="O286" s="6">
        <v>647.51300000000003</v>
      </c>
      <c r="P286" s="6">
        <v>0</v>
      </c>
      <c r="Q286" s="4" t="s">
        <v>26</v>
      </c>
      <c r="R286" s="4">
        <v>0</v>
      </c>
      <c r="S286" s="6">
        <v>0</v>
      </c>
      <c r="T286" s="6">
        <v>14</v>
      </c>
      <c r="U286" s="6">
        <v>42</v>
      </c>
      <c r="V286" s="6">
        <f>IF(ISERROR(VLOOKUP($S$286,'TAR FIN'!$A$1:$O$86,15,0)),0,VLOOKUP($S$286,'TAR FIN'!$A$1:$O$86,15,0))</f>
        <v>0</v>
      </c>
      <c r="W286" s="6">
        <f>IF(ISERROR(VLOOKUP($T$286,'TAR FIN'!$A$1:$O$86,15,0)),0,VLOOKUP($T$286,'TAR FIN'!$A$1:$O$86,15,0))</f>
        <v>78.680000000000007</v>
      </c>
      <c r="X286" s="6">
        <f>IF(ISERROR(VLOOKUP($U$286,'TAR FIN'!$A$1:$O$86,15,0)),0,VLOOKUP($U$286,'TAR FIN'!$A$1:$O$86,15,0))</f>
        <v>246.3</v>
      </c>
      <c r="Y286" s="6"/>
      <c r="Z286" s="6">
        <f ca="1">('TUSD BE'!$AM$13+'TUSD BF'!$AM$13+'TUSD CVA'!$AM$13)*1</f>
        <v>100.23755694003805</v>
      </c>
      <c r="AA286" s="6">
        <f>('TE BE'!$AB$6+'TE BF'!$AB$6+'TE CVA'!$AB$6)*1</f>
        <v>219.40364509824883</v>
      </c>
      <c r="AB286" s="6">
        <f>$K$286*$V$286</f>
        <v>0</v>
      </c>
      <c r="AC286" s="6">
        <f>$M$286*$W$286</f>
        <v>50946.322840000008</v>
      </c>
      <c r="AD286" s="6">
        <f>$O$286*$X$286</f>
        <v>159482.45190000001</v>
      </c>
      <c r="AE286" s="6">
        <f>$K$286*$Y$286</f>
        <v>0</v>
      </c>
      <c r="AF286" s="6">
        <f ca="1">$M$286*$Z$286</f>
        <v>64905.121206914861</v>
      </c>
      <c r="AG286" s="6">
        <f>$O$286*$AA$286</f>
        <v>142066.7124485024</v>
      </c>
    </row>
    <row r="287" spans="1:33" ht="11.25" customHeight="1" x14ac:dyDescent="0.25">
      <c r="A287" s="4" t="s">
        <v>55</v>
      </c>
      <c r="B287" s="4" t="s">
        <v>38</v>
      </c>
      <c r="C287" s="4" t="s">
        <v>40</v>
      </c>
      <c r="D287" s="4" t="s">
        <v>37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44501</v>
      </c>
      <c r="J287" s="6">
        <v>0</v>
      </c>
      <c r="K287" s="6">
        <v>0</v>
      </c>
      <c r="L287" s="6">
        <v>193.21299999999999</v>
      </c>
      <c r="M287" s="6">
        <v>193.21299999999999</v>
      </c>
      <c r="N287" s="6">
        <v>193.21299999999999</v>
      </c>
      <c r="O287" s="6">
        <v>193.21299999999999</v>
      </c>
      <c r="P287" s="6">
        <v>0</v>
      </c>
      <c r="Q287" s="4" t="s">
        <v>26</v>
      </c>
      <c r="R287" s="4">
        <v>0</v>
      </c>
      <c r="S287" s="6">
        <v>0</v>
      </c>
      <c r="T287" s="6">
        <v>14</v>
      </c>
      <c r="U287" s="6">
        <v>42</v>
      </c>
      <c r="V287" s="6">
        <f>IF(ISERROR(VLOOKUP($S$287,'TAR FIN'!$A$1:$O$86,15,0)),0,VLOOKUP($S$287,'TAR FIN'!$A$1:$O$86,15,0))</f>
        <v>0</v>
      </c>
      <c r="W287" s="6">
        <f>IF(ISERROR(VLOOKUP($T$287,'TAR FIN'!$A$1:$O$86,15,0)),0,VLOOKUP($T$287,'TAR FIN'!$A$1:$O$86,15,0))</f>
        <v>78.680000000000007</v>
      </c>
      <c r="X287" s="6">
        <f>IF(ISERROR(VLOOKUP($U$287,'TAR FIN'!$A$1:$O$86,15,0)),0,VLOOKUP($U$287,'TAR FIN'!$A$1:$O$86,15,0))</f>
        <v>246.3</v>
      </c>
      <c r="Y287" s="6"/>
      <c r="Z287" s="6">
        <f ca="1">('TUSD BE'!$AM$13+'TUSD BF'!$AM$13+'TUSD CVA'!$AM$13)*1</f>
        <v>100.23755694003805</v>
      </c>
      <c r="AA287" s="6">
        <f>('TE BE'!$AB$6+'TE BF'!$AB$6+'TE CVA'!$AB$6)*1</f>
        <v>219.40364509824883</v>
      </c>
      <c r="AB287" s="6">
        <f>$K$287*$V$287</f>
        <v>0</v>
      </c>
      <c r="AC287" s="6">
        <f>$M$287*$W$287</f>
        <v>15201.99884</v>
      </c>
      <c r="AD287" s="6">
        <f>$O$287*$X$287</f>
        <v>47588.361900000004</v>
      </c>
      <c r="AE287" s="6">
        <f>$K$287*$Y$287</f>
        <v>0</v>
      </c>
      <c r="AF287" s="6">
        <f ca="1">$M$287*$Z$287</f>
        <v>19367.199089055572</v>
      </c>
      <c r="AG287" s="6">
        <f>$O$287*$AA$287</f>
        <v>42391.636480367953</v>
      </c>
    </row>
    <row r="288" spans="1:33" ht="11.25" customHeight="1" x14ac:dyDescent="0.25">
      <c r="A288" s="4" t="s">
        <v>21</v>
      </c>
      <c r="B288" s="4" t="s">
        <v>38</v>
      </c>
      <c r="C288" s="4" t="s">
        <v>40</v>
      </c>
      <c r="D288" s="4" t="s">
        <v>37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44531</v>
      </c>
      <c r="J288" s="6">
        <v>0</v>
      </c>
      <c r="K288" s="6">
        <v>0</v>
      </c>
      <c r="L288" s="6">
        <v>554.40800000000002</v>
      </c>
      <c r="M288" s="6">
        <v>554.40800000000002</v>
      </c>
      <c r="N288" s="6">
        <v>554.40800000000002</v>
      </c>
      <c r="O288" s="6">
        <v>554.40800000000002</v>
      </c>
      <c r="P288" s="6">
        <v>0</v>
      </c>
      <c r="Q288" s="4" t="s">
        <v>26</v>
      </c>
      <c r="R288" s="4">
        <v>0</v>
      </c>
      <c r="S288" s="6">
        <v>0</v>
      </c>
      <c r="T288" s="6">
        <v>14</v>
      </c>
      <c r="U288" s="6">
        <v>42</v>
      </c>
      <c r="V288" s="6">
        <f>IF(ISERROR(VLOOKUP($S$288,'TAR FIN'!$A$1:$O$86,15,0)),0,VLOOKUP($S$288,'TAR FIN'!$A$1:$O$86,15,0))</f>
        <v>0</v>
      </c>
      <c r="W288" s="6">
        <f>IF(ISERROR(VLOOKUP($T$288,'TAR FIN'!$A$1:$O$86,15,0)),0,VLOOKUP($T$288,'TAR FIN'!$A$1:$O$86,15,0))</f>
        <v>78.680000000000007</v>
      </c>
      <c r="X288" s="6">
        <f>IF(ISERROR(VLOOKUP($U$288,'TAR FIN'!$A$1:$O$86,15,0)),0,VLOOKUP($U$288,'TAR FIN'!$A$1:$O$86,15,0))</f>
        <v>246.3</v>
      </c>
      <c r="Y288" s="6"/>
      <c r="Z288" s="6">
        <f ca="1">('TUSD BE'!$AM$13+'TUSD BF'!$AM$13+'TUSD CVA'!$AM$13)*1</f>
        <v>100.23755694003805</v>
      </c>
      <c r="AA288" s="6">
        <f>('TE BE'!$AB$6+'TE BF'!$AB$6+'TE CVA'!$AB$6)*1</f>
        <v>219.40364509824883</v>
      </c>
      <c r="AB288" s="6">
        <f>$K$288*$V$288</f>
        <v>0</v>
      </c>
      <c r="AC288" s="6">
        <f>$M$288*$W$288</f>
        <v>43620.821440000007</v>
      </c>
      <c r="AD288" s="6">
        <f>$O$288*$X$288</f>
        <v>136550.69040000002</v>
      </c>
      <c r="AE288" s="6">
        <f>$K$288*$Y$288</f>
        <v>0</v>
      </c>
      <c r="AF288" s="6">
        <f ca="1">$M$288*$Z$288</f>
        <v>55572.503468012612</v>
      </c>
      <c r="AG288" s="6">
        <f>$O$288*$AA$288</f>
        <v>121639.13607162994</v>
      </c>
    </row>
    <row r="289" spans="1:33" ht="11.25" customHeight="1" x14ac:dyDescent="0.25">
      <c r="A289" s="4" t="s">
        <v>55</v>
      </c>
      <c r="B289" s="4" t="s">
        <v>38</v>
      </c>
      <c r="C289" s="4" t="s">
        <v>40</v>
      </c>
      <c r="D289" s="4" t="s">
        <v>37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44531</v>
      </c>
      <c r="J289" s="6">
        <v>0</v>
      </c>
      <c r="K289" s="6">
        <v>0</v>
      </c>
      <c r="L289" s="6">
        <v>188.411</v>
      </c>
      <c r="M289" s="6">
        <v>188.411</v>
      </c>
      <c r="N289" s="6">
        <v>188.411</v>
      </c>
      <c r="O289" s="6">
        <v>188.411</v>
      </c>
      <c r="P289" s="6">
        <v>0</v>
      </c>
      <c r="Q289" s="4" t="s">
        <v>26</v>
      </c>
      <c r="R289" s="4">
        <v>0</v>
      </c>
      <c r="S289" s="6">
        <v>0</v>
      </c>
      <c r="T289" s="6">
        <v>14</v>
      </c>
      <c r="U289" s="6">
        <v>42</v>
      </c>
      <c r="V289" s="6">
        <f>IF(ISERROR(VLOOKUP($S$289,'TAR FIN'!$A$1:$O$86,15,0)),0,VLOOKUP($S$289,'TAR FIN'!$A$1:$O$86,15,0))</f>
        <v>0</v>
      </c>
      <c r="W289" s="6">
        <f>IF(ISERROR(VLOOKUP($T$289,'TAR FIN'!$A$1:$O$86,15,0)),0,VLOOKUP($T$289,'TAR FIN'!$A$1:$O$86,15,0))</f>
        <v>78.680000000000007</v>
      </c>
      <c r="X289" s="6">
        <f>IF(ISERROR(VLOOKUP($U$289,'TAR FIN'!$A$1:$O$86,15,0)),0,VLOOKUP($U$289,'TAR FIN'!$A$1:$O$86,15,0))</f>
        <v>246.3</v>
      </c>
      <c r="Y289" s="6"/>
      <c r="Z289" s="6">
        <f ca="1">('TUSD BE'!$AM$13+'TUSD BF'!$AM$13+'TUSD CVA'!$AM$13)*1</f>
        <v>100.23755694003805</v>
      </c>
      <c r="AA289" s="6">
        <f>('TE BE'!$AB$6+'TE BF'!$AB$6+'TE CVA'!$AB$6)*1</f>
        <v>219.40364509824883</v>
      </c>
      <c r="AB289" s="6">
        <f>$K$289*$V$289</f>
        <v>0</v>
      </c>
      <c r="AC289" s="6">
        <f>$M$289*$W$289</f>
        <v>14824.177480000002</v>
      </c>
      <c r="AD289" s="6">
        <f>$O$289*$X$289</f>
        <v>46405.629300000001</v>
      </c>
      <c r="AE289" s="6">
        <f>$K$289*$Y$289</f>
        <v>0</v>
      </c>
      <c r="AF289" s="6">
        <f ca="1">$M$289*$Z$289</f>
        <v>18885.858340629507</v>
      </c>
      <c r="AG289" s="6">
        <f>$O$289*$AA$289</f>
        <v>41338.060176606159</v>
      </c>
    </row>
    <row r="290" spans="1:33" ht="11.25" customHeight="1" x14ac:dyDescent="0.25">
      <c r="A290" s="4" t="s">
        <v>21</v>
      </c>
      <c r="B290" s="4" t="s">
        <v>38</v>
      </c>
      <c r="C290" s="4" t="s">
        <v>40</v>
      </c>
      <c r="D290" s="4" t="s">
        <v>37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44562</v>
      </c>
      <c r="J290" s="6">
        <v>0</v>
      </c>
      <c r="K290" s="6">
        <v>0</v>
      </c>
      <c r="L290" s="6">
        <v>589.08799999999997</v>
      </c>
      <c r="M290" s="6">
        <v>589.08799999999997</v>
      </c>
      <c r="N290" s="6">
        <v>589.08799999999997</v>
      </c>
      <c r="O290" s="6">
        <v>589.08799999999997</v>
      </c>
      <c r="P290" s="6">
        <v>0</v>
      </c>
      <c r="Q290" s="4" t="s">
        <v>26</v>
      </c>
      <c r="R290" s="4">
        <v>0</v>
      </c>
      <c r="S290" s="6">
        <v>0</v>
      </c>
      <c r="T290" s="6">
        <v>14</v>
      </c>
      <c r="U290" s="6">
        <v>42</v>
      </c>
      <c r="V290" s="6">
        <f>IF(ISERROR(VLOOKUP($S$290,'TAR FIN'!$A$1:$O$86,15,0)),0,VLOOKUP($S$290,'TAR FIN'!$A$1:$O$86,15,0))</f>
        <v>0</v>
      </c>
      <c r="W290" s="6">
        <f>IF(ISERROR(VLOOKUP($T$290,'TAR FIN'!$A$1:$O$86,15,0)),0,VLOOKUP($T$290,'TAR FIN'!$A$1:$O$86,15,0))</f>
        <v>78.680000000000007</v>
      </c>
      <c r="X290" s="6">
        <f>IF(ISERROR(VLOOKUP($U$290,'TAR FIN'!$A$1:$O$86,15,0)),0,VLOOKUP($U$290,'TAR FIN'!$A$1:$O$86,15,0))</f>
        <v>246.3</v>
      </c>
      <c r="Y290" s="6"/>
      <c r="Z290" s="6">
        <f ca="1">('TUSD BE'!$AM$13+'TUSD BF'!$AM$13+'TUSD CVA'!$AM$13)*1</f>
        <v>100.23755694003805</v>
      </c>
      <c r="AA290" s="6">
        <f>('TE BE'!$AB$6+'TE BF'!$AB$6+'TE CVA'!$AB$6)*1</f>
        <v>219.40364509824883</v>
      </c>
      <c r="AB290" s="6">
        <f>$K$290*$V$290</f>
        <v>0</v>
      </c>
      <c r="AC290" s="6">
        <f>$M$290*$W$290</f>
        <v>46349.44384</v>
      </c>
      <c r="AD290" s="6">
        <f>$O$290*$X$290</f>
        <v>145092.3744</v>
      </c>
      <c r="AE290" s="6">
        <f>$K$290*$Y$290</f>
        <v>0</v>
      </c>
      <c r="AF290" s="6">
        <f ca="1">$M$290*$Z$290</f>
        <v>59048.74194269313</v>
      </c>
      <c r="AG290" s="6">
        <f>$O$290*$AA$290</f>
        <v>129248.0544836372</v>
      </c>
    </row>
    <row r="291" spans="1:33" ht="11.25" customHeight="1" x14ac:dyDescent="0.25">
      <c r="A291" s="4" t="s">
        <v>55</v>
      </c>
      <c r="B291" s="4" t="s">
        <v>38</v>
      </c>
      <c r="C291" s="4" t="s">
        <v>40</v>
      </c>
      <c r="D291" s="4" t="s">
        <v>37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44562</v>
      </c>
      <c r="J291" s="6">
        <v>0</v>
      </c>
      <c r="K291" s="6">
        <v>0</v>
      </c>
      <c r="L291" s="6">
        <v>179.262</v>
      </c>
      <c r="M291" s="6">
        <v>179.262</v>
      </c>
      <c r="N291" s="6">
        <v>179.262</v>
      </c>
      <c r="O291" s="6">
        <v>179.262</v>
      </c>
      <c r="P291" s="6">
        <v>0</v>
      </c>
      <c r="Q291" s="4" t="s">
        <v>26</v>
      </c>
      <c r="R291" s="4">
        <v>0</v>
      </c>
      <c r="S291" s="6">
        <v>0</v>
      </c>
      <c r="T291" s="6">
        <v>14</v>
      </c>
      <c r="U291" s="6">
        <v>42</v>
      </c>
      <c r="V291" s="6">
        <f>IF(ISERROR(VLOOKUP($S$291,'TAR FIN'!$A$1:$O$86,15,0)),0,VLOOKUP($S$291,'TAR FIN'!$A$1:$O$86,15,0))</f>
        <v>0</v>
      </c>
      <c r="W291" s="6">
        <f>IF(ISERROR(VLOOKUP($T$291,'TAR FIN'!$A$1:$O$86,15,0)),0,VLOOKUP($T$291,'TAR FIN'!$A$1:$O$86,15,0))</f>
        <v>78.680000000000007</v>
      </c>
      <c r="X291" s="6">
        <f>IF(ISERROR(VLOOKUP($U$291,'TAR FIN'!$A$1:$O$86,15,0)),0,VLOOKUP($U$291,'TAR FIN'!$A$1:$O$86,15,0))</f>
        <v>246.3</v>
      </c>
      <c r="Y291" s="6"/>
      <c r="Z291" s="6">
        <f ca="1">('TUSD BE'!$AM$13+'TUSD BF'!$AM$13+'TUSD CVA'!$AM$13)*1</f>
        <v>100.23755694003805</v>
      </c>
      <c r="AA291" s="6">
        <f>('TE BE'!$AB$6+'TE BF'!$AB$6+'TE CVA'!$AB$6)*1</f>
        <v>219.40364509824883</v>
      </c>
      <c r="AB291" s="6">
        <f>$K$291*$V$291</f>
        <v>0</v>
      </c>
      <c r="AC291" s="6">
        <f>$M$291*$W$291</f>
        <v>14104.334160000002</v>
      </c>
      <c r="AD291" s="6">
        <f>$O$291*$X$291</f>
        <v>44152.230600000003</v>
      </c>
      <c r="AE291" s="6">
        <f>$K$291*$Y$291</f>
        <v>0</v>
      </c>
      <c r="AF291" s="6">
        <f ca="1">$M$291*$Z$291</f>
        <v>17968.784932185099</v>
      </c>
      <c r="AG291" s="6">
        <f>$O$291*$AA$291</f>
        <v>39330.736227602283</v>
      </c>
    </row>
    <row r="292" spans="1:33" ht="11.25" customHeight="1" x14ac:dyDescent="0.25">
      <c r="A292" s="4" t="s">
        <v>21</v>
      </c>
      <c r="B292" s="4" t="s">
        <v>38</v>
      </c>
      <c r="C292" s="4" t="s">
        <v>40</v>
      </c>
      <c r="D292" s="4" t="s">
        <v>37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44593</v>
      </c>
      <c r="J292" s="6">
        <v>0</v>
      </c>
      <c r="K292" s="6">
        <v>0</v>
      </c>
      <c r="L292" s="6">
        <v>357.04599999999999</v>
      </c>
      <c r="M292" s="6">
        <v>357.04599999999999</v>
      </c>
      <c r="N292" s="6">
        <v>357.04599999999999</v>
      </c>
      <c r="O292" s="6">
        <v>357.04599999999999</v>
      </c>
      <c r="P292" s="6">
        <v>0</v>
      </c>
      <c r="Q292" s="4" t="s">
        <v>26</v>
      </c>
      <c r="R292" s="4">
        <v>0</v>
      </c>
      <c r="S292" s="6">
        <v>0</v>
      </c>
      <c r="T292" s="6">
        <v>14</v>
      </c>
      <c r="U292" s="6">
        <v>42</v>
      </c>
      <c r="V292" s="6">
        <f>IF(ISERROR(VLOOKUP($S$292,'TAR FIN'!$A$1:$O$86,15,0)),0,VLOOKUP($S$292,'TAR FIN'!$A$1:$O$86,15,0))</f>
        <v>0</v>
      </c>
      <c r="W292" s="6">
        <f>IF(ISERROR(VLOOKUP($T$292,'TAR FIN'!$A$1:$O$86,15,0)),0,VLOOKUP($T$292,'TAR FIN'!$A$1:$O$86,15,0))</f>
        <v>78.680000000000007</v>
      </c>
      <c r="X292" s="6">
        <f>IF(ISERROR(VLOOKUP($U$292,'TAR FIN'!$A$1:$O$86,15,0)),0,VLOOKUP($U$292,'TAR FIN'!$A$1:$O$86,15,0))</f>
        <v>246.3</v>
      </c>
      <c r="Y292" s="6"/>
      <c r="Z292" s="6">
        <f ca="1">('TUSD BE'!$AM$13+'TUSD BF'!$AM$13+'TUSD CVA'!$AM$13)*1</f>
        <v>100.23755694003805</v>
      </c>
      <c r="AA292" s="6">
        <f>('TE BE'!$AB$6+'TE BF'!$AB$6+'TE CVA'!$AB$6)*1</f>
        <v>219.40364509824883</v>
      </c>
      <c r="AB292" s="6">
        <f>$K$292*$V$292</f>
        <v>0</v>
      </c>
      <c r="AC292" s="6">
        <f>$M$292*$W$292</f>
        <v>28092.379280000001</v>
      </c>
      <c r="AD292" s="6">
        <f>$O$292*$X$292</f>
        <v>87940.429799999998</v>
      </c>
      <c r="AE292" s="6">
        <f>$K$292*$Y$292</f>
        <v>0</v>
      </c>
      <c r="AF292" s="6">
        <f ca="1">$M$292*$Z$292</f>
        <v>35789.418755212821</v>
      </c>
      <c r="AG292" s="6">
        <f>$O$292*$AA$292</f>
        <v>78337.193867749345</v>
      </c>
    </row>
    <row r="293" spans="1:33" ht="11.25" customHeight="1" x14ac:dyDescent="0.25">
      <c r="A293" s="4" t="s">
        <v>55</v>
      </c>
      <c r="B293" s="4" t="s">
        <v>38</v>
      </c>
      <c r="C293" s="4" t="s">
        <v>40</v>
      </c>
      <c r="D293" s="4" t="s">
        <v>37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44593</v>
      </c>
      <c r="J293" s="6">
        <v>0</v>
      </c>
      <c r="K293" s="6">
        <v>0</v>
      </c>
      <c r="L293" s="6">
        <v>404.48500000000001</v>
      </c>
      <c r="M293" s="6">
        <v>404.48500000000001</v>
      </c>
      <c r="N293" s="6">
        <v>404.48500000000001</v>
      </c>
      <c r="O293" s="6">
        <v>404.48500000000001</v>
      </c>
      <c r="P293" s="6">
        <v>0</v>
      </c>
      <c r="Q293" s="4" t="s">
        <v>26</v>
      </c>
      <c r="R293" s="4">
        <v>0</v>
      </c>
      <c r="S293" s="6">
        <v>0</v>
      </c>
      <c r="T293" s="6">
        <v>14</v>
      </c>
      <c r="U293" s="6">
        <v>42</v>
      </c>
      <c r="V293" s="6">
        <f>IF(ISERROR(VLOOKUP($S$293,'TAR FIN'!$A$1:$O$86,15,0)),0,VLOOKUP($S$293,'TAR FIN'!$A$1:$O$86,15,0))</f>
        <v>0</v>
      </c>
      <c r="W293" s="6">
        <f>IF(ISERROR(VLOOKUP($T$293,'TAR FIN'!$A$1:$O$86,15,0)),0,VLOOKUP($T$293,'TAR FIN'!$A$1:$O$86,15,0))</f>
        <v>78.680000000000007</v>
      </c>
      <c r="X293" s="6">
        <f>IF(ISERROR(VLOOKUP($U$293,'TAR FIN'!$A$1:$O$86,15,0)),0,VLOOKUP($U$293,'TAR FIN'!$A$1:$O$86,15,0))</f>
        <v>246.3</v>
      </c>
      <c r="Y293" s="6"/>
      <c r="Z293" s="6">
        <f ca="1">('TUSD BE'!$AM$13+'TUSD BF'!$AM$13+'TUSD CVA'!$AM$13)*1</f>
        <v>100.23755694003805</v>
      </c>
      <c r="AA293" s="6">
        <f>('TE BE'!$AB$6+'TE BF'!$AB$6+'TE CVA'!$AB$6)*1</f>
        <v>219.40364509824883</v>
      </c>
      <c r="AB293" s="6">
        <f>$K$293*$V$293</f>
        <v>0</v>
      </c>
      <c r="AC293" s="6">
        <f>$M$293*$W$293</f>
        <v>31824.879800000002</v>
      </c>
      <c r="AD293" s="6">
        <f>$O$293*$X$293</f>
        <v>99624.655500000008</v>
      </c>
      <c r="AE293" s="6">
        <f>$K$293*$Y$293</f>
        <v>0</v>
      </c>
      <c r="AF293" s="6">
        <f ca="1">$M$293*$Z$293</f>
        <v>40544.588218891287</v>
      </c>
      <c r="AG293" s="6">
        <f>$O$293*$AA$293</f>
        <v>88745.483387565182</v>
      </c>
    </row>
    <row r="294" spans="1:33" ht="11.25" customHeight="1" x14ac:dyDescent="0.25">
      <c r="A294" s="4" t="s">
        <v>21</v>
      </c>
      <c r="B294" s="4" t="s">
        <v>38</v>
      </c>
      <c r="C294" s="4" t="s">
        <v>40</v>
      </c>
      <c r="D294" s="4" t="s">
        <v>37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44621</v>
      </c>
      <c r="J294" s="6">
        <v>0</v>
      </c>
      <c r="K294" s="6">
        <v>0</v>
      </c>
      <c r="L294" s="6">
        <v>428.29199999999997</v>
      </c>
      <c r="M294" s="6">
        <v>428.29199999999997</v>
      </c>
      <c r="N294" s="6">
        <v>428.29199999999997</v>
      </c>
      <c r="O294" s="6">
        <v>428.29199999999997</v>
      </c>
      <c r="P294" s="6">
        <v>0</v>
      </c>
      <c r="Q294" s="4" t="s">
        <v>26</v>
      </c>
      <c r="R294" s="4">
        <v>0</v>
      </c>
      <c r="S294" s="6">
        <v>0</v>
      </c>
      <c r="T294" s="6">
        <v>14</v>
      </c>
      <c r="U294" s="6">
        <v>42</v>
      </c>
      <c r="V294" s="6">
        <f>IF(ISERROR(VLOOKUP($S$294,'TAR FIN'!$A$1:$O$86,15,0)),0,VLOOKUP($S$294,'TAR FIN'!$A$1:$O$86,15,0))</f>
        <v>0</v>
      </c>
      <c r="W294" s="6">
        <f>IF(ISERROR(VLOOKUP($T$294,'TAR FIN'!$A$1:$O$86,15,0)),0,VLOOKUP($T$294,'TAR FIN'!$A$1:$O$86,15,0))</f>
        <v>78.680000000000007</v>
      </c>
      <c r="X294" s="6">
        <f>IF(ISERROR(VLOOKUP($U$294,'TAR FIN'!$A$1:$O$86,15,0)),0,VLOOKUP($U$294,'TAR FIN'!$A$1:$O$86,15,0))</f>
        <v>246.3</v>
      </c>
      <c r="Y294" s="6"/>
      <c r="Z294" s="6">
        <f ca="1">('TUSD BE'!$AM$13+'TUSD BF'!$AM$13+'TUSD CVA'!$AM$13)*1</f>
        <v>100.23755694003805</v>
      </c>
      <c r="AA294" s="6">
        <f>('TE BE'!$AB$6+'TE BF'!$AB$6+'TE CVA'!$AB$6)*1</f>
        <v>219.40364509824883</v>
      </c>
      <c r="AB294" s="6">
        <f>$K$294*$V$294</f>
        <v>0</v>
      </c>
      <c r="AC294" s="6">
        <f>$M$294*$W$294</f>
        <v>33698.014560000003</v>
      </c>
      <c r="AD294" s="6">
        <f>$O$294*$X$294</f>
        <v>105488.3196</v>
      </c>
      <c r="AE294" s="6">
        <f>$K$294*$Y$294</f>
        <v>0</v>
      </c>
      <c r="AF294" s="6">
        <f ca="1">$M$294*$Z$294</f>
        <v>42930.94373696277</v>
      </c>
      <c r="AG294" s="6">
        <f>$O$294*$AA$294</f>
        <v>93968.825966419186</v>
      </c>
    </row>
    <row r="295" spans="1:33" ht="11.25" customHeight="1" x14ac:dyDescent="0.25">
      <c r="A295" s="4" t="s">
        <v>55</v>
      </c>
      <c r="B295" s="4" t="s">
        <v>38</v>
      </c>
      <c r="C295" s="4" t="s">
        <v>40</v>
      </c>
      <c r="D295" s="4" t="s">
        <v>37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44621</v>
      </c>
      <c r="J295" s="6">
        <v>0</v>
      </c>
      <c r="K295" s="6">
        <v>0</v>
      </c>
      <c r="L295" s="6">
        <v>279.54599999999999</v>
      </c>
      <c r="M295" s="6">
        <v>279.54599999999999</v>
      </c>
      <c r="N295" s="6">
        <v>279.54599999999999</v>
      </c>
      <c r="O295" s="6">
        <v>279.54599999999999</v>
      </c>
      <c r="P295" s="6">
        <v>0</v>
      </c>
      <c r="Q295" s="4" t="s">
        <v>26</v>
      </c>
      <c r="R295" s="4">
        <v>0</v>
      </c>
      <c r="S295" s="6">
        <v>0</v>
      </c>
      <c r="T295" s="6">
        <v>14</v>
      </c>
      <c r="U295" s="6">
        <v>42</v>
      </c>
      <c r="V295" s="6">
        <f>IF(ISERROR(VLOOKUP($S$295,'TAR FIN'!$A$1:$O$86,15,0)),0,VLOOKUP($S$295,'TAR FIN'!$A$1:$O$86,15,0))</f>
        <v>0</v>
      </c>
      <c r="W295" s="6">
        <f>IF(ISERROR(VLOOKUP($T$295,'TAR FIN'!$A$1:$O$86,15,0)),0,VLOOKUP($T$295,'TAR FIN'!$A$1:$O$86,15,0))</f>
        <v>78.680000000000007</v>
      </c>
      <c r="X295" s="6">
        <f>IF(ISERROR(VLOOKUP($U$295,'TAR FIN'!$A$1:$O$86,15,0)),0,VLOOKUP($U$295,'TAR FIN'!$A$1:$O$86,15,0))</f>
        <v>246.3</v>
      </c>
      <c r="Y295" s="6"/>
      <c r="Z295" s="6">
        <f ca="1">('TUSD BE'!$AM$13+'TUSD BF'!$AM$13+'TUSD CVA'!$AM$13)*1</f>
        <v>100.23755694003805</v>
      </c>
      <c r="AA295" s="6">
        <f>('TE BE'!$AB$6+'TE BF'!$AB$6+'TE CVA'!$AB$6)*1</f>
        <v>219.40364509824883</v>
      </c>
      <c r="AB295" s="6">
        <f>$K$295*$V$295</f>
        <v>0</v>
      </c>
      <c r="AC295" s="6">
        <f>$M$295*$W$295</f>
        <v>21994.67928</v>
      </c>
      <c r="AD295" s="6">
        <f>$O$295*$X$295</f>
        <v>68852.179799999998</v>
      </c>
      <c r="AE295" s="6">
        <f>$K$295*$Y$295</f>
        <v>0</v>
      </c>
      <c r="AF295" s="6">
        <f ca="1">$M$295*$Z$295</f>
        <v>28021.008092359876</v>
      </c>
      <c r="AG295" s="6">
        <f>$O$295*$AA$295</f>
        <v>61333.411372635062</v>
      </c>
    </row>
    <row r="296" spans="1:33" ht="11.25" customHeight="1" x14ac:dyDescent="0.25">
      <c r="A296" s="4" t="s">
        <v>21</v>
      </c>
      <c r="B296" s="4" t="s">
        <v>38</v>
      </c>
      <c r="C296" s="4" t="s">
        <v>40</v>
      </c>
      <c r="D296" s="4" t="s">
        <v>37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44652</v>
      </c>
      <c r="J296" s="6">
        <v>0</v>
      </c>
      <c r="K296" s="6">
        <v>0</v>
      </c>
      <c r="L296" s="6">
        <v>369.57600000000002</v>
      </c>
      <c r="M296" s="6">
        <v>369.57600000000002</v>
      </c>
      <c r="N296" s="6">
        <v>369.57600000000002</v>
      </c>
      <c r="O296" s="6">
        <v>369.57600000000002</v>
      </c>
      <c r="P296" s="6">
        <v>0</v>
      </c>
      <c r="Q296" s="4" t="s">
        <v>26</v>
      </c>
      <c r="R296" s="4">
        <v>0</v>
      </c>
      <c r="S296" s="6">
        <v>0</v>
      </c>
      <c r="T296" s="6">
        <v>14</v>
      </c>
      <c r="U296" s="6">
        <v>42</v>
      </c>
      <c r="V296" s="6">
        <f>IF(ISERROR(VLOOKUP($S$296,'TAR FIN'!$A$1:$O$86,15,0)),0,VLOOKUP($S$296,'TAR FIN'!$A$1:$O$86,15,0))</f>
        <v>0</v>
      </c>
      <c r="W296" s="6">
        <f>IF(ISERROR(VLOOKUP($T$296,'TAR FIN'!$A$1:$O$86,15,0)),0,VLOOKUP($T$296,'TAR FIN'!$A$1:$O$86,15,0))</f>
        <v>78.680000000000007</v>
      </c>
      <c r="X296" s="6">
        <f>IF(ISERROR(VLOOKUP($U$296,'TAR FIN'!$A$1:$O$86,15,0)),0,VLOOKUP($U$296,'TAR FIN'!$A$1:$O$86,15,0))</f>
        <v>246.3</v>
      </c>
      <c r="Y296" s="6"/>
      <c r="Z296" s="6">
        <f ca="1">('TUSD BE'!$AM$13+'TUSD BF'!$AM$13+'TUSD CVA'!$AM$13)*1</f>
        <v>100.23755694003805</v>
      </c>
      <c r="AA296" s="6">
        <f>('TE BE'!$AB$6+'TE BF'!$AB$6+'TE CVA'!$AB$6)*1</f>
        <v>219.40364509824883</v>
      </c>
      <c r="AB296" s="6">
        <f>$K$296*$V$296</f>
        <v>0</v>
      </c>
      <c r="AC296" s="6">
        <f>$M$296*$W$296</f>
        <v>29078.239680000006</v>
      </c>
      <c r="AD296" s="6">
        <f>$O$296*$X$296</f>
        <v>91026.568800000008</v>
      </c>
      <c r="AE296" s="6">
        <f>$K$296*$Y$296</f>
        <v>0</v>
      </c>
      <c r="AF296" s="6">
        <f ca="1">$M$296*$Z$296</f>
        <v>37045.395343671502</v>
      </c>
      <c r="AG296" s="6">
        <f>$O$296*$AA$296</f>
        <v>81086.32154083041</v>
      </c>
    </row>
    <row r="297" spans="1:33" ht="11.25" customHeight="1" x14ac:dyDescent="0.25">
      <c r="A297" s="4" t="s">
        <v>55</v>
      </c>
      <c r="B297" s="4" t="s">
        <v>38</v>
      </c>
      <c r="C297" s="4" t="s">
        <v>40</v>
      </c>
      <c r="D297" s="4" t="s">
        <v>37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44652</v>
      </c>
      <c r="J297" s="6">
        <v>0</v>
      </c>
      <c r="K297" s="6">
        <v>0</v>
      </c>
      <c r="L297" s="6">
        <v>184.70699999999999</v>
      </c>
      <c r="M297" s="6">
        <v>184.70699999999999</v>
      </c>
      <c r="N297" s="6">
        <v>184.70699999999999</v>
      </c>
      <c r="O297" s="6">
        <v>184.70699999999999</v>
      </c>
      <c r="P297" s="6">
        <v>0</v>
      </c>
      <c r="Q297" s="4" t="s">
        <v>26</v>
      </c>
      <c r="R297" s="4">
        <v>0</v>
      </c>
      <c r="S297" s="6">
        <v>0</v>
      </c>
      <c r="T297" s="6">
        <v>14</v>
      </c>
      <c r="U297" s="6">
        <v>42</v>
      </c>
      <c r="V297" s="6">
        <f>IF(ISERROR(VLOOKUP($S$297,'TAR FIN'!$A$1:$O$86,15,0)),0,VLOOKUP($S$297,'TAR FIN'!$A$1:$O$86,15,0))</f>
        <v>0</v>
      </c>
      <c r="W297" s="6">
        <f>IF(ISERROR(VLOOKUP($T$297,'TAR FIN'!$A$1:$O$86,15,0)),0,VLOOKUP($T$297,'TAR FIN'!$A$1:$O$86,15,0))</f>
        <v>78.680000000000007</v>
      </c>
      <c r="X297" s="6">
        <f>IF(ISERROR(VLOOKUP($U$297,'TAR FIN'!$A$1:$O$86,15,0)),0,VLOOKUP($U$297,'TAR FIN'!$A$1:$O$86,15,0))</f>
        <v>246.3</v>
      </c>
      <c r="Y297" s="6"/>
      <c r="Z297" s="6">
        <f ca="1">('TUSD BE'!$AM$13+'TUSD BF'!$AM$13+'TUSD CVA'!$AM$13)*1</f>
        <v>100.23755694003805</v>
      </c>
      <c r="AA297" s="6">
        <f>('TE BE'!$AB$6+'TE BF'!$AB$6+'TE CVA'!$AB$6)*1</f>
        <v>219.40364509824883</v>
      </c>
      <c r="AB297" s="6">
        <f>$K$297*$V$297</f>
        <v>0</v>
      </c>
      <c r="AC297" s="6">
        <f>$M$297*$W$297</f>
        <v>14532.74676</v>
      </c>
      <c r="AD297" s="6">
        <f>$O$297*$X$297</f>
        <v>45493.3341</v>
      </c>
      <c r="AE297" s="6">
        <f>$K$297*$Y$297</f>
        <v>0</v>
      </c>
      <c r="AF297" s="6">
        <f ca="1">$M$297*$Z$297</f>
        <v>18514.578429723606</v>
      </c>
      <c r="AG297" s="6">
        <f>$O$297*$AA$297</f>
        <v>40525.389075162246</v>
      </c>
    </row>
    <row r="298" spans="1:33" ht="11.25" customHeight="1" x14ac:dyDescent="0.25">
      <c r="A298" s="4" t="s">
        <v>21</v>
      </c>
      <c r="B298" s="4" t="s">
        <v>38</v>
      </c>
      <c r="C298" s="4" t="s">
        <v>40</v>
      </c>
      <c r="D298" s="4" t="s">
        <v>37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44682</v>
      </c>
      <c r="J298" s="6">
        <v>0</v>
      </c>
      <c r="K298" s="6">
        <v>0</v>
      </c>
      <c r="L298" s="6">
        <v>338.89</v>
      </c>
      <c r="M298" s="6">
        <v>338.89</v>
      </c>
      <c r="N298" s="6">
        <v>338.89</v>
      </c>
      <c r="O298" s="6">
        <v>338.89</v>
      </c>
      <c r="P298" s="6">
        <v>0</v>
      </c>
      <c r="Q298" s="4" t="s">
        <v>26</v>
      </c>
      <c r="R298" s="4">
        <v>0</v>
      </c>
      <c r="S298" s="6">
        <v>0</v>
      </c>
      <c r="T298" s="6">
        <v>14</v>
      </c>
      <c r="U298" s="6">
        <v>42</v>
      </c>
      <c r="V298" s="6">
        <f>IF(ISERROR(VLOOKUP($S$298,'TAR FIN'!$A$1:$O$86,15,0)),0,VLOOKUP($S$298,'TAR FIN'!$A$1:$O$86,15,0))</f>
        <v>0</v>
      </c>
      <c r="W298" s="6">
        <f>IF(ISERROR(VLOOKUP($T$298,'TAR FIN'!$A$1:$O$86,15,0)),0,VLOOKUP($T$298,'TAR FIN'!$A$1:$O$86,15,0))</f>
        <v>78.680000000000007</v>
      </c>
      <c r="X298" s="6">
        <f>IF(ISERROR(VLOOKUP($U$298,'TAR FIN'!$A$1:$O$86,15,0)),0,VLOOKUP($U$298,'TAR FIN'!$A$1:$O$86,15,0))</f>
        <v>246.3</v>
      </c>
      <c r="Y298" s="6"/>
      <c r="Z298" s="6">
        <f ca="1">('TUSD BE'!$AM$13+'TUSD BF'!$AM$13+'TUSD CVA'!$AM$13)*1</f>
        <v>100.23755694003805</v>
      </c>
      <c r="AA298" s="6">
        <f>('TE BE'!$AB$6+'TE BF'!$AB$6+'TE CVA'!$AB$6)*1</f>
        <v>219.40364509824883</v>
      </c>
      <c r="AB298" s="6">
        <f>$K$298*$V$298</f>
        <v>0</v>
      </c>
      <c r="AC298" s="6">
        <f>$M$298*$W$298</f>
        <v>26663.8652</v>
      </c>
      <c r="AD298" s="6">
        <f>$O$298*$X$298</f>
        <v>83468.607000000004</v>
      </c>
      <c r="AE298" s="6">
        <f>$K$298*$Y$298</f>
        <v>0</v>
      </c>
      <c r="AF298" s="6">
        <f ca="1">$M$298*$Z$298</f>
        <v>33969.50567140949</v>
      </c>
      <c r="AG298" s="6">
        <f>$O$298*$AA$298</f>
        <v>74353.701287345539</v>
      </c>
    </row>
    <row r="299" spans="1:33" ht="11.25" customHeight="1" x14ac:dyDescent="0.25">
      <c r="A299" s="4" t="s">
        <v>55</v>
      </c>
      <c r="B299" s="4" t="s">
        <v>38</v>
      </c>
      <c r="C299" s="4" t="s">
        <v>40</v>
      </c>
      <c r="D299" s="4" t="s">
        <v>37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44682</v>
      </c>
      <c r="J299" s="6">
        <v>0</v>
      </c>
      <c r="K299" s="6">
        <v>0</v>
      </c>
      <c r="L299" s="6">
        <v>309.73599999999999</v>
      </c>
      <c r="M299" s="6">
        <v>309.73599999999999</v>
      </c>
      <c r="N299" s="6">
        <v>309.73599999999999</v>
      </c>
      <c r="O299" s="6">
        <v>309.73599999999999</v>
      </c>
      <c r="P299" s="6">
        <v>0</v>
      </c>
      <c r="Q299" s="4" t="s">
        <v>26</v>
      </c>
      <c r="R299" s="4">
        <v>0</v>
      </c>
      <c r="S299" s="6">
        <v>0</v>
      </c>
      <c r="T299" s="6">
        <v>14</v>
      </c>
      <c r="U299" s="6">
        <v>42</v>
      </c>
      <c r="V299" s="6">
        <f>IF(ISERROR(VLOOKUP($S$299,'TAR FIN'!$A$1:$O$86,15,0)),0,VLOOKUP($S$299,'TAR FIN'!$A$1:$O$86,15,0))</f>
        <v>0</v>
      </c>
      <c r="W299" s="6">
        <f>IF(ISERROR(VLOOKUP($T$299,'TAR FIN'!$A$1:$O$86,15,0)),0,VLOOKUP($T$299,'TAR FIN'!$A$1:$O$86,15,0))</f>
        <v>78.680000000000007</v>
      </c>
      <c r="X299" s="6">
        <f>IF(ISERROR(VLOOKUP($U$299,'TAR FIN'!$A$1:$O$86,15,0)),0,VLOOKUP($U$299,'TAR FIN'!$A$1:$O$86,15,0))</f>
        <v>246.3</v>
      </c>
      <c r="Y299" s="6"/>
      <c r="Z299" s="6">
        <f ca="1">('TUSD BE'!$AM$13+'TUSD BF'!$AM$13+'TUSD CVA'!$AM$13)*1</f>
        <v>100.23755694003805</v>
      </c>
      <c r="AA299" s="6">
        <f>('TE BE'!$AB$6+'TE BF'!$AB$6+'TE CVA'!$AB$6)*1</f>
        <v>219.40364509824883</v>
      </c>
      <c r="AB299" s="6">
        <f>$K$299*$V$299</f>
        <v>0</v>
      </c>
      <c r="AC299" s="6">
        <f>$M$299*$W$299</f>
        <v>24370.028480000001</v>
      </c>
      <c r="AD299" s="6">
        <f>$O$299*$X$299</f>
        <v>76287.976800000004</v>
      </c>
      <c r="AE299" s="6">
        <f>$K$299*$Y$299</f>
        <v>0</v>
      </c>
      <c r="AF299" s="6">
        <f ca="1">$M$299*$Z$299</f>
        <v>31047.179936379624</v>
      </c>
      <c r="AG299" s="6">
        <f>$O$299*$AA$299</f>
        <v>67957.2074181512</v>
      </c>
    </row>
    <row r="300" spans="1:33" ht="11.25" customHeight="1" x14ac:dyDescent="0.25">
      <c r="A300" s="4" t="s">
        <v>56</v>
      </c>
      <c r="B300" s="4" t="s">
        <v>38</v>
      </c>
      <c r="C300" s="4" t="s">
        <v>40</v>
      </c>
      <c r="D300" s="4" t="s">
        <v>37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44713</v>
      </c>
      <c r="J300" s="6">
        <v>0</v>
      </c>
      <c r="K300" s="6">
        <v>0</v>
      </c>
      <c r="L300" s="6">
        <v>338.89</v>
      </c>
      <c r="M300" s="6">
        <v>338.89</v>
      </c>
      <c r="N300" s="6">
        <v>338.89</v>
      </c>
      <c r="O300" s="6">
        <v>338.89</v>
      </c>
      <c r="P300" s="6">
        <v>0</v>
      </c>
      <c r="Q300" s="4" t="s">
        <v>26</v>
      </c>
      <c r="R300" s="4">
        <v>0</v>
      </c>
      <c r="S300" s="6">
        <v>0</v>
      </c>
      <c r="T300" s="6">
        <v>14</v>
      </c>
      <c r="U300" s="6">
        <v>42</v>
      </c>
      <c r="V300" s="6">
        <f>IF(ISERROR(VLOOKUP($S$300,'TAR FIN'!$A$1:$O$86,15,0)),0,VLOOKUP($S$300,'TAR FIN'!$A$1:$O$86,15,0))</f>
        <v>0</v>
      </c>
      <c r="W300" s="6">
        <f>IF(ISERROR(VLOOKUP($T$300,'TAR FIN'!$A$1:$O$86,15,0)),0,VLOOKUP($T$300,'TAR FIN'!$A$1:$O$86,15,0))</f>
        <v>78.680000000000007</v>
      </c>
      <c r="X300" s="6">
        <f>IF(ISERROR(VLOOKUP($U$300,'TAR FIN'!$A$1:$O$86,15,0)),0,VLOOKUP($U$300,'TAR FIN'!$A$1:$O$86,15,0))</f>
        <v>246.3</v>
      </c>
      <c r="Y300" s="6"/>
      <c r="Z300" s="6">
        <f ca="1">('TUSD BE'!$AM$13+'TUSD BF'!$AM$13+'TUSD CVA'!$AM$13)*1</f>
        <v>100.23755694003805</v>
      </c>
      <c r="AA300" s="6">
        <f>('TE BE'!$AB$6+'TE BF'!$AB$6+'TE CVA'!$AB$6)*1</f>
        <v>219.40364509824883</v>
      </c>
      <c r="AB300" s="6">
        <f>$K$300*$V$300</f>
        <v>0</v>
      </c>
      <c r="AC300" s="6">
        <f>$M$300*$W$300</f>
        <v>26663.8652</v>
      </c>
      <c r="AD300" s="6">
        <f>$O$300*$X$300</f>
        <v>83468.607000000004</v>
      </c>
      <c r="AE300" s="6">
        <f>$K$300*$Y$300</f>
        <v>0</v>
      </c>
      <c r="AF300" s="6">
        <f ca="1">$M$300*$Z$300</f>
        <v>33969.50567140949</v>
      </c>
      <c r="AG300" s="6">
        <f>$O$300*$AA$300</f>
        <v>74353.701287345539</v>
      </c>
    </row>
    <row r="301" spans="1:33" ht="11.25" customHeight="1" x14ac:dyDescent="0.25">
      <c r="A301" s="4" t="s">
        <v>56</v>
      </c>
      <c r="B301" s="4" t="s">
        <v>38</v>
      </c>
      <c r="C301" s="4" t="s">
        <v>40</v>
      </c>
      <c r="D301" s="4" t="s">
        <v>37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44713</v>
      </c>
      <c r="J301" s="6">
        <v>0</v>
      </c>
      <c r="K301" s="6">
        <v>0</v>
      </c>
      <c r="L301" s="6">
        <v>309.73599999999999</v>
      </c>
      <c r="M301" s="6">
        <v>309.73599999999999</v>
      </c>
      <c r="N301" s="6">
        <v>309.73599999999999</v>
      </c>
      <c r="O301" s="6">
        <v>309.73599999999999</v>
      </c>
      <c r="P301" s="6">
        <v>0</v>
      </c>
      <c r="Q301" s="4" t="s">
        <v>26</v>
      </c>
      <c r="R301" s="4">
        <v>0</v>
      </c>
      <c r="S301" s="6">
        <v>0</v>
      </c>
      <c r="T301" s="6">
        <v>14</v>
      </c>
      <c r="U301" s="6">
        <v>42</v>
      </c>
      <c r="V301" s="6">
        <f>IF(ISERROR(VLOOKUP($S$301,'TAR FIN'!$A$1:$O$86,15,0)),0,VLOOKUP($S$301,'TAR FIN'!$A$1:$O$86,15,0))</f>
        <v>0</v>
      </c>
      <c r="W301" s="6">
        <f>IF(ISERROR(VLOOKUP($T$301,'TAR FIN'!$A$1:$O$86,15,0)),0,VLOOKUP($T$301,'TAR FIN'!$A$1:$O$86,15,0))</f>
        <v>78.680000000000007</v>
      </c>
      <c r="X301" s="6">
        <f>IF(ISERROR(VLOOKUP($U$301,'TAR FIN'!$A$1:$O$86,15,0)),0,VLOOKUP($U$301,'TAR FIN'!$A$1:$O$86,15,0))</f>
        <v>246.3</v>
      </c>
      <c r="Y301" s="6"/>
      <c r="Z301" s="6">
        <f ca="1">('TUSD BE'!$AM$13+'TUSD BF'!$AM$13+'TUSD CVA'!$AM$13)*1</f>
        <v>100.23755694003805</v>
      </c>
      <c r="AA301" s="6">
        <f>('TE BE'!$AB$6+'TE BF'!$AB$6+'TE CVA'!$AB$6)*1</f>
        <v>219.40364509824883</v>
      </c>
      <c r="AB301" s="6">
        <f>$K$301*$V$301</f>
        <v>0</v>
      </c>
      <c r="AC301" s="6">
        <f>$M$301*$W$301</f>
        <v>24370.028480000001</v>
      </c>
      <c r="AD301" s="6">
        <f>$O$301*$X$301</f>
        <v>76287.976800000004</v>
      </c>
      <c r="AE301" s="6">
        <f>$K$301*$Y$301</f>
        <v>0</v>
      </c>
      <c r="AF301" s="6">
        <f ca="1">$M$301*$Z$301</f>
        <v>31047.179936379624</v>
      </c>
      <c r="AG301" s="6">
        <f>$O$301*$AA$301</f>
        <v>67957.2074181512</v>
      </c>
    </row>
    <row r="302" spans="1:33" ht="11.25" customHeight="1" x14ac:dyDescent="0.25">
      <c r="A302" s="4" t="s">
        <v>21</v>
      </c>
      <c r="B302" s="4" t="s">
        <v>38</v>
      </c>
      <c r="C302" s="4" t="s">
        <v>40</v>
      </c>
      <c r="D302" s="4" t="s">
        <v>37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44378</v>
      </c>
      <c r="J302" s="6">
        <v>5055</v>
      </c>
      <c r="K302" s="6">
        <v>5055</v>
      </c>
      <c r="L302" s="6">
        <v>0</v>
      </c>
      <c r="M302" s="6">
        <v>0</v>
      </c>
      <c r="N302" s="6">
        <v>0</v>
      </c>
      <c r="O302" s="6">
        <v>0</v>
      </c>
      <c r="P302" s="6">
        <v>26</v>
      </c>
      <c r="Q302" s="4" t="s">
        <v>26</v>
      </c>
      <c r="R302" s="4">
        <v>0</v>
      </c>
      <c r="S302" s="6">
        <v>18</v>
      </c>
      <c r="T302" s="6">
        <v>0</v>
      </c>
      <c r="U302" s="6">
        <v>0</v>
      </c>
      <c r="V302" s="6">
        <f>IF(ISERROR(VLOOKUP($S$302,'TAR FIN'!$A$1:$O$86,15,0)),0,VLOOKUP($S$302,'TAR FIN'!$A$1:$O$86,15,0))</f>
        <v>19.239999999999998</v>
      </c>
      <c r="W302" s="6">
        <f>IF(ISERROR(VLOOKUP($T$302,'TAR FIN'!$A$1:$O$86,15,0)),0,VLOOKUP($T$302,'TAR FIN'!$A$1:$O$86,15,0))</f>
        <v>0</v>
      </c>
      <c r="X302" s="6">
        <f>IF(ISERROR(VLOOKUP($U$302,'TAR FIN'!$A$1:$O$86,15,0)),0,VLOOKUP($U$302,'TAR FIN'!$A$1:$O$86,15,0))</f>
        <v>0</v>
      </c>
      <c r="Y302" s="6">
        <f ca="1">('TUSD BE'!$AM$11+'TUSD BF'!$AM$11+'TUSD CVA'!$AM$11)*1</f>
        <v>15.19295792072058</v>
      </c>
      <c r="Z302" s="6"/>
      <c r="AA302" s="6"/>
      <c r="AB302" s="6">
        <f>$K$302*$V$302</f>
        <v>97258.2</v>
      </c>
      <c r="AC302" s="6">
        <f>$M$302*$W$302</f>
        <v>0</v>
      </c>
      <c r="AD302" s="6">
        <f>$O$302*$X$302</f>
        <v>0</v>
      </c>
      <c r="AE302" s="6">
        <f ca="1">$K$302*$Y$302</f>
        <v>76800.402289242527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21</v>
      </c>
      <c r="B303" s="4" t="s">
        <v>38</v>
      </c>
      <c r="C303" s="4" t="s">
        <v>40</v>
      </c>
      <c r="D303" s="4" t="s">
        <v>37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44409</v>
      </c>
      <c r="J303" s="6">
        <v>4712</v>
      </c>
      <c r="K303" s="6">
        <v>4712</v>
      </c>
      <c r="L303" s="6">
        <v>0</v>
      </c>
      <c r="M303" s="6">
        <v>0</v>
      </c>
      <c r="N303" s="6">
        <v>0</v>
      </c>
      <c r="O303" s="6">
        <v>0</v>
      </c>
      <c r="P303" s="6">
        <v>26</v>
      </c>
      <c r="Q303" s="4" t="s">
        <v>26</v>
      </c>
      <c r="R303" s="4">
        <v>0</v>
      </c>
      <c r="S303" s="6">
        <v>18</v>
      </c>
      <c r="T303" s="6">
        <v>0</v>
      </c>
      <c r="U303" s="6">
        <v>0</v>
      </c>
      <c r="V303" s="6">
        <f>IF(ISERROR(VLOOKUP($S$303,'TAR FIN'!$A$1:$O$86,15,0)),0,VLOOKUP($S$303,'TAR FIN'!$A$1:$O$86,15,0))</f>
        <v>19.239999999999998</v>
      </c>
      <c r="W303" s="6">
        <f>IF(ISERROR(VLOOKUP($T$303,'TAR FIN'!$A$1:$O$86,15,0)),0,VLOOKUP($T$303,'TAR FIN'!$A$1:$O$86,15,0))</f>
        <v>0</v>
      </c>
      <c r="X303" s="6">
        <f>IF(ISERROR(VLOOKUP($U$303,'TAR FIN'!$A$1:$O$86,15,0)),0,VLOOKUP($U$303,'TAR FIN'!$A$1:$O$86,15,0))</f>
        <v>0</v>
      </c>
      <c r="Y303" s="6">
        <f ca="1">('TUSD BE'!$AM$11+'TUSD BF'!$AM$11+'TUSD CVA'!$AM$11)*1</f>
        <v>15.19295792072058</v>
      </c>
      <c r="Z303" s="6"/>
      <c r="AA303" s="6"/>
      <c r="AB303" s="6">
        <f>$K$303*$V$303</f>
        <v>90658.87999999999</v>
      </c>
      <c r="AC303" s="6">
        <f>$M$303*$W$303</f>
        <v>0</v>
      </c>
      <c r="AD303" s="6">
        <f>$O$303*$X$303</f>
        <v>0</v>
      </c>
      <c r="AE303" s="6">
        <f ca="1">$K$303*$Y$303</f>
        <v>71589.21772243538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55</v>
      </c>
      <c r="B304" s="4" t="s">
        <v>38</v>
      </c>
      <c r="C304" s="4" t="s">
        <v>40</v>
      </c>
      <c r="D304" s="4" t="s">
        <v>37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44409</v>
      </c>
      <c r="J304" s="6">
        <v>1162</v>
      </c>
      <c r="K304" s="6">
        <v>1162</v>
      </c>
      <c r="L304" s="6">
        <v>0</v>
      </c>
      <c r="M304" s="6">
        <v>0</v>
      </c>
      <c r="N304" s="6">
        <v>0</v>
      </c>
      <c r="O304" s="6">
        <v>0</v>
      </c>
      <c r="P304" s="6">
        <v>5</v>
      </c>
      <c r="Q304" s="4" t="s">
        <v>26</v>
      </c>
      <c r="R304" s="4">
        <v>0</v>
      </c>
      <c r="S304" s="6">
        <v>18</v>
      </c>
      <c r="T304" s="6">
        <v>0</v>
      </c>
      <c r="U304" s="6">
        <v>0</v>
      </c>
      <c r="V304" s="6">
        <f>IF(ISERROR(VLOOKUP($S$304,'TAR FIN'!$A$1:$O$86,15,0)),0,VLOOKUP($S$304,'TAR FIN'!$A$1:$O$86,15,0))</f>
        <v>19.239999999999998</v>
      </c>
      <c r="W304" s="6">
        <f>IF(ISERROR(VLOOKUP($T$304,'TAR FIN'!$A$1:$O$86,15,0)),0,VLOOKUP($T$304,'TAR FIN'!$A$1:$O$86,15,0))</f>
        <v>0</v>
      </c>
      <c r="X304" s="6">
        <f>IF(ISERROR(VLOOKUP($U$304,'TAR FIN'!$A$1:$O$86,15,0)),0,VLOOKUP($U$304,'TAR FIN'!$A$1:$O$86,15,0))</f>
        <v>0</v>
      </c>
      <c r="Y304" s="6">
        <f ca="1">('TUSD BE'!$AM$11+'TUSD BF'!$AM$11+'TUSD CVA'!$AM$11)*1</f>
        <v>15.19295792072058</v>
      </c>
      <c r="Z304" s="6"/>
      <c r="AA304" s="6"/>
      <c r="AB304" s="6">
        <f>$K$304*$V$304</f>
        <v>22356.879999999997</v>
      </c>
      <c r="AC304" s="6">
        <f>$M$304*$W$304</f>
        <v>0</v>
      </c>
      <c r="AD304" s="6">
        <f>$O$304*$X$304</f>
        <v>0</v>
      </c>
      <c r="AE304" s="6">
        <f ca="1">$K$304*$Y$304</f>
        <v>17654.217103877316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38</v>
      </c>
      <c r="C305" s="4" t="s">
        <v>40</v>
      </c>
      <c r="D305" s="4" t="s">
        <v>37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44440</v>
      </c>
      <c r="J305" s="6">
        <v>4690</v>
      </c>
      <c r="K305" s="6">
        <v>4690</v>
      </c>
      <c r="L305" s="6">
        <v>0</v>
      </c>
      <c r="M305" s="6">
        <v>0</v>
      </c>
      <c r="N305" s="6">
        <v>0</v>
      </c>
      <c r="O305" s="6">
        <v>0</v>
      </c>
      <c r="P305" s="6">
        <v>26</v>
      </c>
      <c r="Q305" s="4" t="s">
        <v>26</v>
      </c>
      <c r="R305" s="4">
        <v>0</v>
      </c>
      <c r="S305" s="6">
        <v>18</v>
      </c>
      <c r="T305" s="6">
        <v>0</v>
      </c>
      <c r="U305" s="6">
        <v>0</v>
      </c>
      <c r="V305" s="6">
        <f>IF(ISERROR(VLOOKUP($S$305,'TAR FIN'!$A$1:$O$86,15,0)),0,VLOOKUP($S$305,'TAR FIN'!$A$1:$O$86,15,0))</f>
        <v>19.239999999999998</v>
      </c>
      <c r="W305" s="6">
        <f>IF(ISERROR(VLOOKUP($T$305,'TAR FIN'!$A$1:$O$86,15,0)),0,VLOOKUP($T$305,'TAR FIN'!$A$1:$O$86,15,0))</f>
        <v>0</v>
      </c>
      <c r="X305" s="6">
        <f>IF(ISERROR(VLOOKUP($U$305,'TAR FIN'!$A$1:$O$86,15,0)),0,VLOOKUP($U$305,'TAR FIN'!$A$1:$O$86,15,0))</f>
        <v>0</v>
      </c>
      <c r="Y305" s="6">
        <f ca="1">('TUSD BE'!$AM$11+'TUSD BF'!$AM$11+'TUSD CVA'!$AM$11)*1</f>
        <v>15.19295792072058</v>
      </c>
      <c r="Z305" s="6"/>
      <c r="AA305" s="6"/>
      <c r="AB305" s="6">
        <f>$K$305*$V$305</f>
        <v>90235.599999999991</v>
      </c>
      <c r="AC305" s="6">
        <f>$M$305*$W$305</f>
        <v>0</v>
      </c>
      <c r="AD305" s="6">
        <f>$O$305*$X$305</f>
        <v>0</v>
      </c>
      <c r="AE305" s="6">
        <f ca="1">$K$305*$Y$305</f>
        <v>71254.972648179522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55</v>
      </c>
      <c r="B306" s="4" t="s">
        <v>38</v>
      </c>
      <c r="C306" s="4" t="s">
        <v>40</v>
      </c>
      <c r="D306" s="4" t="s">
        <v>37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44440</v>
      </c>
      <c r="J306" s="6">
        <v>1137</v>
      </c>
      <c r="K306" s="6">
        <v>1137</v>
      </c>
      <c r="L306" s="6">
        <v>0</v>
      </c>
      <c r="M306" s="6">
        <v>0</v>
      </c>
      <c r="N306" s="6">
        <v>0</v>
      </c>
      <c r="O306" s="6">
        <v>0</v>
      </c>
      <c r="P306" s="6">
        <v>5</v>
      </c>
      <c r="Q306" s="4" t="s">
        <v>26</v>
      </c>
      <c r="R306" s="4">
        <v>0</v>
      </c>
      <c r="S306" s="6">
        <v>18</v>
      </c>
      <c r="T306" s="6">
        <v>0</v>
      </c>
      <c r="U306" s="6">
        <v>0</v>
      </c>
      <c r="V306" s="6">
        <f>IF(ISERROR(VLOOKUP($S$306,'TAR FIN'!$A$1:$O$86,15,0)),0,VLOOKUP($S$306,'TAR FIN'!$A$1:$O$86,15,0))</f>
        <v>19.239999999999998</v>
      </c>
      <c r="W306" s="6">
        <f>IF(ISERROR(VLOOKUP($T$306,'TAR FIN'!$A$1:$O$86,15,0)),0,VLOOKUP($T$306,'TAR FIN'!$A$1:$O$86,15,0))</f>
        <v>0</v>
      </c>
      <c r="X306" s="6">
        <f>IF(ISERROR(VLOOKUP($U$306,'TAR FIN'!$A$1:$O$86,15,0)),0,VLOOKUP($U$306,'TAR FIN'!$A$1:$O$86,15,0))</f>
        <v>0</v>
      </c>
      <c r="Y306" s="6">
        <f ca="1">('TUSD BE'!$AM$11+'TUSD BF'!$AM$11+'TUSD CVA'!$AM$11)*1</f>
        <v>15.19295792072058</v>
      </c>
      <c r="Z306" s="6"/>
      <c r="AA306" s="6"/>
      <c r="AB306" s="6">
        <f>$K$306*$V$306</f>
        <v>21875.879999999997</v>
      </c>
      <c r="AC306" s="6">
        <f>$M$306*$W$306</f>
        <v>0</v>
      </c>
      <c r="AD306" s="6">
        <f>$O$306*$X$306</f>
        <v>0</v>
      </c>
      <c r="AE306" s="6">
        <f ca="1">$K$306*$Y$306</f>
        <v>17274.393155859299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38</v>
      </c>
      <c r="C307" s="4" t="s">
        <v>40</v>
      </c>
      <c r="D307" s="4" t="s">
        <v>37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44470</v>
      </c>
      <c r="J307" s="6">
        <v>4760</v>
      </c>
      <c r="K307" s="6">
        <v>4760</v>
      </c>
      <c r="L307" s="6">
        <v>0</v>
      </c>
      <c r="M307" s="6">
        <v>0</v>
      </c>
      <c r="N307" s="6">
        <v>0</v>
      </c>
      <c r="O307" s="6">
        <v>0</v>
      </c>
      <c r="P307" s="6">
        <v>26</v>
      </c>
      <c r="Q307" s="4" t="s">
        <v>26</v>
      </c>
      <c r="R307" s="4">
        <v>0</v>
      </c>
      <c r="S307" s="6">
        <v>18</v>
      </c>
      <c r="T307" s="6">
        <v>0</v>
      </c>
      <c r="U307" s="6">
        <v>0</v>
      </c>
      <c r="V307" s="6">
        <f>IF(ISERROR(VLOOKUP($S$307,'TAR FIN'!$A$1:$O$86,15,0)),0,VLOOKUP($S$307,'TAR FIN'!$A$1:$O$86,15,0))</f>
        <v>19.239999999999998</v>
      </c>
      <c r="W307" s="6">
        <f>IF(ISERROR(VLOOKUP($T$307,'TAR FIN'!$A$1:$O$86,15,0)),0,VLOOKUP($T$307,'TAR FIN'!$A$1:$O$86,15,0))</f>
        <v>0</v>
      </c>
      <c r="X307" s="6">
        <f>IF(ISERROR(VLOOKUP($U$307,'TAR FIN'!$A$1:$O$86,15,0)),0,VLOOKUP($U$307,'TAR FIN'!$A$1:$O$86,15,0))</f>
        <v>0</v>
      </c>
      <c r="Y307" s="6">
        <f ca="1">('TUSD BE'!$AM$11+'TUSD BF'!$AM$11+'TUSD CVA'!$AM$11)*1</f>
        <v>15.19295792072058</v>
      </c>
      <c r="Z307" s="6"/>
      <c r="AA307" s="6"/>
      <c r="AB307" s="6">
        <f>$K$307*$V$307</f>
        <v>91582.399999999994</v>
      </c>
      <c r="AC307" s="6">
        <f>$M$307*$W$307</f>
        <v>0</v>
      </c>
      <c r="AD307" s="6">
        <f>$O$307*$X$307</f>
        <v>0</v>
      </c>
      <c r="AE307" s="6">
        <f ca="1">$K$307*$Y$307</f>
        <v>72318.479702629964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55</v>
      </c>
      <c r="B308" s="4" t="s">
        <v>38</v>
      </c>
      <c r="C308" s="4" t="s">
        <v>40</v>
      </c>
      <c r="D308" s="4" t="s">
        <v>37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44470</v>
      </c>
      <c r="J308" s="6">
        <v>1194</v>
      </c>
      <c r="K308" s="6">
        <v>1194</v>
      </c>
      <c r="L308" s="6">
        <v>0</v>
      </c>
      <c r="M308" s="6">
        <v>0</v>
      </c>
      <c r="N308" s="6">
        <v>0</v>
      </c>
      <c r="O308" s="6">
        <v>0</v>
      </c>
      <c r="P308" s="6">
        <v>5</v>
      </c>
      <c r="Q308" s="4" t="s">
        <v>26</v>
      </c>
      <c r="R308" s="4">
        <v>0</v>
      </c>
      <c r="S308" s="6">
        <v>18</v>
      </c>
      <c r="T308" s="6">
        <v>0</v>
      </c>
      <c r="U308" s="6">
        <v>0</v>
      </c>
      <c r="V308" s="6">
        <f>IF(ISERROR(VLOOKUP($S$308,'TAR FIN'!$A$1:$O$86,15,0)),0,VLOOKUP($S$308,'TAR FIN'!$A$1:$O$86,15,0))</f>
        <v>19.239999999999998</v>
      </c>
      <c r="W308" s="6">
        <f>IF(ISERROR(VLOOKUP($T$308,'TAR FIN'!$A$1:$O$86,15,0)),0,VLOOKUP($T$308,'TAR FIN'!$A$1:$O$86,15,0))</f>
        <v>0</v>
      </c>
      <c r="X308" s="6">
        <f>IF(ISERROR(VLOOKUP($U$308,'TAR FIN'!$A$1:$O$86,15,0)),0,VLOOKUP($U$308,'TAR FIN'!$A$1:$O$86,15,0))</f>
        <v>0</v>
      </c>
      <c r="Y308" s="6">
        <f ca="1">('TUSD BE'!$AM$11+'TUSD BF'!$AM$11+'TUSD CVA'!$AM$11)*1</f>
        <v>15.19295792072058</v>
      </c>
      <c r="Z308" s="6"/>
      <c r="AA308" s="6"/>
      <c r="AB308" s="6">
        <f>$K$308*$V$308</f>
        <v>22972.559999999998</v>
      </c>
      <c r="AC308" s="6">
        <f>$M$308*$W$308</f>
        <v>0</v>
      </c>
      <c r="AD308" s="6">
        <f>$O$308*$X$308</f>
        <v>0</v>
      </c>
      <c r="AE308" s="6">
        <f ca="1">$K$308*$Y$308</f>
        <v>18140.391757340374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38</v>
      </c>
      <c r="C309" s="4" t="s">
        <v>40</v>
      </c>
      <c r="D309" s="4" t="s">
        <v>37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44501</v>
      </c>
      <c r="J309" s="6">
        <v>4769</v>
      </c>
      <c r="K309" s="6">
        <v>4769</v>
      </c>
      <c r="L309" s="6">
        <v>0</v>
      </c>
      <c r="M309" s="6">
        <v>0</v>
      </c>
      <c r="N309" s="6">
        <v>0</v>
      </c>
      <c r="O309" s="6">
        <v>0</v>
      </c>
      <c r="P309" s="6">
        <v>26</v>
      </c>
      <c r="Q309" s="4" t="s">
        <v>26</v>
      </c>
      <c r="R309" s="4">
        <v>0</v>
      </c>
      <c r="S309" s="6">
        <v>18</v>
      </c>
      <c r="T309" s="6">
        <v>0</v>
      </c>
      <c r="U309" s="6">
        <v>0</v>
      </c>
      <c r="V309" s="6">
        <f>IF(ISERROR(VLOOKUP($S$309,'TAR FIN'!$A$1:$O$86,15,0)),0,VLOOKUP($S$309,'TAR FIN'!$A$1:$O$86,15,0))</f>
        <v>19.239999999999998</v>
      </c>
      <c r="W309" s="6">
        <f>IF(ISERROR(VLOOKUP($T$309,'TAR FIN'!$A$1:$O$86,15,0)),0,VLOOKUP($T$309,'TAR FIN'!$A$1:$O$86,15,0))</f>
        <v>0</v>
      </c>
      <c r="X309" s="6">
        <f>IF(ISERROR(VLOOKUP($U$309,'TAR FIN'!$A$1:$O$86,15,0)),0,VLOOKUP($U$309,'TAR FIN'!$A$1:$O$86,15,0))</f>
        <v>0</v>
      </c>
      <c r="Y309" s="6">
        <f ca="1">('TUSD BE'!$AM$11+'TUSD BF'!$AM$11+'TUSD CVA'!$AM$11)*1</f>
        <v>15.19295792072058</v>
      </c>
      <c r="Z309" s="6"/>
      <c r="AA309" s="6"/>
      <c r="AB309" s="6">
        <f>$K$309*$V$309</f>
        <v>91755.56</v>
      </c>
      <c r="AC309" s="6">
        <f>$M$309*$W$309</f>
        <v>0</v>
      </c>
      <c r="AD309" s="6">
        <f>$O$309*$X$309</f>
        <v>0</v>
      </c>
      <c r="AE309" s="6">
        <f ca="1">$K$309*$Y$309</f>
        <v>72455.216323916451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55</v>
      </c>
      <c r="B310" s="4" t="s">
        <v>38</v>
      </c>
      <c r="C310" s="4" t="s">
        <v>40</v>
      </c>
      <c r="D310" s="4" t="s">
        <v>37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44501</v>
      </c>
      <c r="J310" s="6">
        <v>1245</v>
      </c>
      <c r="K310" s="6">
        <v>1245</v>
      </c>
      <c r="L310" s="6">
        <v>0</v>
      </c>
      <c r="M310" s="6">
        <v>0</v>
      </c>
      <c r="N310" s="6">
        <v>0</v>
      </c>
      <c r="O310" s="6">
        <v>0</v>
      </c>
      <c r="P310" s="6">
        <v>5</v>
      </c>
      <c r="Q310" s="4" t="s">
        <v>26</v>
      </c>
      <c r="R310" s="4">
        <v>0</v>
      </c>
      <c r="S310" s="6">
        <v>18</v>
      </c>
      <c r="T310" s="6">
        <v>0</v>
      </c>
      <c r="U310" s="6">
        <v>0</v>
      </c>
      <c r="V310" s="6">
        <f>IF(ISERROR(VLOOKUP($S$310,'TAR FIN'!$A$1:$O$86,15,0)),0,VLOOKUP($S$310,'TAR FIN'!$A$1:$O$86,15,0))</f>
        <v>19.239999999999998</v>
      </c>
      <c r="W310" s="6">
        <f>IF(ISERROR(VLOOKUP($T$310,'TAR FIN'!$A$1:$O$86,15,0)),0,VLOOKUP($T$310,'TAR FIN'!$A$1:$O$86,15,0))</f>
        <v>0</v>
      </c>
      <c r="X310" s="6">
        <f>IF(ISERROR(VLOOKUP($U$310,'TAR FIN'!$A$1:$O$86,15,0)),0,VLOOKUP($U$310,'TAR FIN'!$A$1:$O$86,15,0))</f>
        <v>0</v>
      </c>
      <c r="Y310" s="6">
        <f ca="1">('TUSD BE'!$AM$11+'TUSD BF'!$AM$11+'TUSD CVA'!$AM$11)*1</f>
        <v>15.19295792072058</v>
      </c>
      <c r="Z310" s="6"/>
      <c r="AA310" s="6"/>
      <c r="AB310" s="6">
        <f>$K$310*$V$310</f>
        <v>23953.8</v>
      </c>
      <c r="AC310" s="6">
        <f>$M$310*$W$310</f>
        <v>0</v>
      </c>
      <c r="AD310" s="6">
        <f>$O$310*$X$310</f>
        <v>0</v>
      </c>
      <c r="AE310" s="6">
        <f ca="1">$K$310*$Y$310</f>
        <v>18915.232611297124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38</v>
      </c>
      <c r="C311" s="4" t="s">
        <v>40</v>
      </c>
      <c r="D311" s="4" t="s">
        <v>37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44531</v>
      </c>
      <c r="J311" s="6">
        <v>4786</v>
      </c>
      <c r="K311" s="6">
        <v>4786</v>
      </c>
      <c r="L311" s="6">
        <v>0</v>
      </c>
      <c r="M311" s="6">
        <v>0</v>
      </c>
      <c r="N311" s="6">
        <v>0</v>
      </c>
      <c r="O311" s="6">
        <v>0</v>
      </c>
      <c r="P311" s="6">
        <v>26</v>
      </c>
      <c r="Q311" s="4" t="s">
        <v>26</v>
      </c>
      <c r="R311" s="4">
        <v>0</v>
      </c>
      <c r="S311" s="6">
        <v>18</v>
      </c>
      <c r="T311" s="6">
        <v>0</v>
      </c>
      <c r="U311" s="6">
        <v>0</v>
      </c>
      <c r="V311" s="6">
        <f>IF(ISERROR(VLOOKUP($S$311,'TAR FIN'!$A$1:$O$86,15,0)),0,VLOOKUP($S$311,'TAR FIN'!$A$1:$O$86,15,0))</f>
        <v>19.239999999999998</v>
      </c>
      <c r="W311" s="6">
        <f>IF(ISERROR(VLOOKUP($T$311,'TAR FIN'!$A$1:$O$86,15,0)),0,VLOOKUP($T$311,'TAR FIN'!$A$1:$O$86,15,0))</f>
        <v>0</v>
      </c>
      <c r="X311" s="6">
        <f>IF(ISERROR(VLOOKUP($U$311,'TAR FIN'!$A$1:$O$86,15,0)),0,VLOOKUP($U$311,'TAR FIN'!$A$1:$O$86,15,0))</f>
        <v>0</v>
      </c>
      <c r="Y311" s="6">
        <f ca="1">('TUSD BE'!$AM$11+'TUSD BF'!$AM$11+'TUSD CVA'!$AM$11)*1</f>
        <v>15.19295792072058</v>
      </c>
      <c r="Z311" s="6"/>
      <c r="AA311" s="6"/>
      <c r="AB311" s="6">
        <f>$K$311*$V$311</f>
        <v>92082.64</v>
      </c>
      <c r="AC311" s="6">
        <f>$M$311*$W$311</f>
        <v>0</v>
      </c>
      <c r="AD311" s="6">
        <f>$O$311*$X$311</f>
        <v>0</v>
      </c>
      <c r="AE311" s="6">
        <f ca="1">$K$311*$Y$311</f>
        <v>72713.496608568705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55</v>
      </c>
      <c r="B312" s="4" t="s">
        <v>38</v>
      </c>
      <c r="C312" s="4" t="s">
        <v>40</v>
      </c>
      <c r="D312" s="4" t="s">
        <v>37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44531</v>
      </c>
      <c r="J312" s="6">
        <v>1276</v>
      </c>
      <c r="K312" s="6">
        <v>1276</v>
      </c>
      <c r="L312" s="6">
        <v>0</v>
      </c>
      <c r="M312" s="6">
        <v>0</v>
      </c>
      <c r="N312" s="6">
        <v>0</v>
      </c>
      <c r="O312" s="6">
        <v>0</v>
      </c>
      <c r="P312" s="6">
        <v>5</v>
      </c>
      <c r="Q312" s="4" t="s">
        <v>26</v>
      </c>
      <c r="R312" s="4">
        <v>0</v>
      </c>
      <c r="S312" s="6">
        <v>18</v>
      </c>
      <c r="T312" s="6">
        <v>0</v>
      </c>
      <c r="U312" s="6">
        <v>0</v>
      </c>
      <c r="V312" s="6">
        <f>IF(ISERROR(VLOOKUP($S$312,'TAR FIN'!$A$1:$O$86,15,0)),0,VLOOKUP($S$312,'TAR FIN'!$A$1:$O$86,15,0))</f>
        <v>19.239999999999998</v>
      </c>
      <c r="W312" s="6">
        <f>IF(ISERROR(VLOOKUP($T$312,'TAR FIN'!$A$1:$O$86,15,0)),0,VLOOKUP($T$312,'TAR FIN'!$A$1:$O$86,15,0))</f>
        <v>0</v>
      </c>
      <c r="X312" s="6">
        <f>IF(ISERROR(VLOOKUP($U$312,'TAR FIN'!$A$1:$O$86,15,0)),0,VLOOKUP($U$312,'TAR FIN'!$A$1:$O$86,15,0))</f>
        <v>0</v>
      </c>
      <c r="Y312" s="6">
        <f ca="1">('TUSD BE'!$AM$11+'TUSD BF'!$AM$11+'TUSD CVA'!$AM$11)*1</f>
        <v>15.19295792072058</v>
      </c>
      <c r="Z312" s="6"/>
      <c r="AA312" s="6"/>
      <c r="AB312" s="6">
        <f>$K$312*$V$312</f>
        <v>24550.239999999998</v>
      </c>
      <c r="AC312" s="6">
        <f>$M$312*$W$312</f>
        <v>0</v>
      </c>
      <c r="AD312" s="6">
        <f>$O$312*$X$312</f>
        <v>0</v>
      </c>
      <c r="AE312" s="6">
        <f ca="1">$K$312*$Y$312</f>
        <v>19386.214306839462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38</v>
      </c>
      <c r="C313" s="4" t="s">
        <v>40</v>
      </c>
      <c r="D313" s="4" t="s">
        <v>37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44562</v>
      </c>
      <c r="J313" s="6">
        <v>4559</v>
      </c>
      <c r="K313" s="6">
        <v>4559</v>
      </c>
      <c r="L313" s="6">
        <v>0</v>
      </c>
      <c r="M313" s="6">
        <v>0</v>
      </c>
      <c r="N313" s="6">
        <v>0</v>
      </c>
      <c r="O313" s="6">
        <v>0</v>
      </c>
      <c r="P313" s="6">
        <v>25</v>
      </c>
      <c r="Q313" s="4" t="s">
        <v>26</v>
      </c>
      <c r="R313" s="4">
        <v>0</v>
      </c>
      <c r="S313" s="6">
        <v>18</v>
      </c>
      <c r="T313" s="6">
        <v>0</v>
      </c>
      <c r="U313" s="6">
        <v>0</v>
      </c>
      <c r="V313" s="6">
        <f>IF(ISERROR(VLOOKUP($S$313,'TAR FIN'!$A$1:$O$86,15,0)),0,VLOOKUP($S$313,'TAR FIN'!$A$1:$O$86,15,0))</f>
        <v>19.239999999999998</v>
      </c>
      <c r="W313" s="6">
        <f>IF(ISERROR(VLOOKUP($T$313,'TAR FIN'!$A$1:$O$86,15,0)),0,VLOOKUP($T$313,'TAR FIN'!$A$1:$O$86,15,0))</f>
        <v>0</v>
      </c>
      <c r="X313" s="6">
        <f>IF(ISERROR(VLOOKUP($U$313,'TAR FIN'!$A$1:$O$86,15,0)),0,VLOOKUP($U$313,'TAR FIN'!$A$1:$O$86,15,0))</f>
        <v>0</v>
      </c>
      <c r="Y313" s="6">
        <f ca="1">('TUSD BE'!$AM$11+'TUSD BF'!$AM$11+'TUSD CVA'!$AM$11)*1</f>
        <v>15.19295792072058</v>
      </c>
      <c r="Z313" s="6"/>
      <c r="AA313" s="6"/>
      <c r="AB313" s="6">
        <f>$K$313*$V$313</f>
        <v>87715.159999999989</v>
      </c>
      <c r="AC313" s="6">
        <f>$M$313*$W$313</f>
        <v>0</v>
      </c>
      <c r="AD313" s="6">
        <f>$O$313*$X$313</f>
        <v>0</v>
      </c>
      <c r="AE313" s="6">
        <f ca="1">$K$313*$Y$313</f>
        <v>69264.695160565127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55</v>
      </c>
      <c r="B314" s="4" t="s">
        <v>38</v>
      </c>
      <c r="C314" s="4" t="s">
        <v>40</v>
      </c>
      <c r="D314" s="4" t="s">
        <v>37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44562</v>
      </c>
      <c r="J314" s="6">
        <v>1186</v>
      </c>
      <c r="K314" s="6">
        <v>1186</v>
      </c>
      <c r="L314" s="6">
        <v>0</v>
      </c>
      <c r="M314" s="6">
        <v>0</v>
      </c>
      <c r="N314" s="6">
        <v>0</v>
      </c>
      <c r="O314" s="6">
        <v>0</v>
      </c>
      <c r="P314" s="6">
        <v>5</v>
      </c>
      <c r="Q314" s="4" t="s">
        <v>26</v>
      </c>
      <c r="R314" s="4">
        <v>0</v>
      </c>
      <c r="S314" s="6">
        <v>18</v>
      </c>
      <c r="T314" s="6">
        <v>0</v>
      </c>
      <c r="U314" s="6">
        <v>0</v>
      </c>
      <c r="V314" s="6">
        <f>IF(ISERROR(VLOOKUP($S$314,'TAR FIN'!$A$1:$O$86,15,0)),0,VLOOKUP($S$314,'TAR FIN'!$A$1:$O$86,15,0))</f>
        <v>19.239999999999998</v>
      </c>
      <c r="W314" s="6">
        <f>IF(ISERROR(VLOOKUP($T$314,'TAR FIN'!$A$1:$O$86,15,0)),0,VLOOKUP($T$314,'TAR FIN'!$A$1:$O$86,15,0))</f>
        <v>0</v>
      </c>
      <c r="X314" s="6">
        <f>IF(ISERROR(VLOOKUP($U$314,'TAR FIN'!$A$1:$O$86,15,0)),0,VLOOKUP($U$314,'TAR FIN'!$A$1:$O$86,15,0))</f>
        <v>0</v>
      </c>
      <c r="Y314" s="6">
        <f ca="1">('TUSD BE'!$AM$11+'TUSD BF'!$AM$11+'TUSD CVA'!$AM$11)*1</f>
        <v>15.19295792072058</v>
      </c>
      <c r="Z314" s="6"/>
      <c r="AA314" s="6"/>
      <c r="AB314" s="6">
        <f>$K$314*$V$314</f>
        <v>22818.639999999999</v>
      </c>
      <c r="AC314" s="6">
        <f>$M$314*$W$314</f>
        <v>0</v>
      </c>
      <c r="AD314" s="6">
        <f>$O$314*$X$314</f>
        <v>0</v>
      </c>
      <c r="AE314" s="6">
        <f ca="1">$K$314*$Y$314</f>
        <v>18018.848093974608</v>
      </c>
      <c r="AF314" s="6">
        <f>$M$314*$Z$314</f>
        <v>0</v>
      </c>
      <c r="AG314" s="6">
        <f>$O$314*$AA$314</f>
        <v>0</v>
      </c>
    </row>
    <row r="315" spans="1:33" ht="11.25" customHeight="1" x14ac:dyDescent="0.25">
      <c r="A315" s="4" t="s">
        <v>55</v>
      </c>
      <c r="B315" s="4" t="s">
        <v>38</v>
      </c>
      <c r="C315" s="4" t="s">
        <v>40</v>
      </c>
      <c r="D315" s="4" t="s">
        <v>37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44562</v>
      </c>
      <c r="J315" s="6">
        <v>-58</v>
      </c>
      <c r="K315" s="6">
        <v>-58</v>
      </c>
      <c r="L315" s="6">
        <v>0</v>
      </c>
      <c r="M315" s="6">
        <v>0</v>
      </c>
      <c r="N315" s="6">
        <v>0</v>
      </c>
      <c r="O315" s="6">
        <v>0</v>
      </c>
      <c r="P315" s="6">
        <v>2</v>
      </c>
      <c r="Q315" s="4" t="s">
        <v>26</v>
      </c>
      <c r="R315" s="4">
        <v>0</v>
      </c>
      <c r="S315" s="6">
        <v>18</v>
      </c>
      <c r="T315" s="6">
        <v>0</v>
      </c>
      <c r="U315" s="6">
        <v>0</v>
      </c>
      <c r="V315" s="6">
        <f>IF(ISERROR(VLOOKUP($S$315,'TAR FIN'!$A$1:$O$86,15,0)),0,VLOOKUP($S$315,'TAR FIN'!$A$1:$O$86,15,0))</f>
        <v>19.239999999999998</v>
      </c>
      <c r="W315" s="6">
        <f>IF(ISERROR(VLOOKUP($T$315,'TAR FIN'!$A$1:$O$86,15,0)),0,VLOOKUP($T$315,'TAR FIN'!$A$1:$O$86,15,0))</f>
        <v>0</v>
      </c>
      <c r="X315" s="6">
        <f>IF(ISERROR(VLOOKUP($U$315,'TAR FIN'!$A$1:$O$86,15,0)),0,VLOOKUP($U$315,'TAR FIN'!$A$1:$O$86,15,0))</f>
        <v>0</v>
      </c>
      <c r="Y315" s="6">
        <f ca="1">('TUSD BE'!$AM$11+'TUSD BF'!$AM$11+'TUSD CVA'!$AM$11)*1</f>
        <v>15.19295792072058</v>
      </c>
      <c r="Z315" s="6"/>
      <c r="AA315" s="6"/>
      <c r="AB315" s="6">
        <f>$K$315*$V$315</f>
        <v>-1115.9199999999998</v>
      </c>
      <c r="AC315" s="6">
        <f>$M$315*$W$315</f>
        <v>0</v>
      </c>
      <c r="AD315" s="6">
        <f>$O$315*$X$315</f>
        <v>0</v>
      </c>
      <c r="AE315" s="6">
        <f ca="1">$K$315*$Y$315</f>
        <v>-881.19155940179371</v>
      </c>
      <c r="AF315" s="6">
        <f>$M$315*$Z$315</f>
        <v>0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38</v>
      </c>
      <c r="C316" s="4" t="s">
        <v>40</v>
      </c>
      <c r="D316" s="4" t="s">
        <v>37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44593</v>
      </c>
      <c r="J316" s="6">
        <v>3137</v>
      </c>
      <c r="K316" s="6">
        <v>3137</v>
      </c>
      <c r="L316" s="6">
        <v>0</v>
      </c>
      <c r="M316" s="6">
        <v>0</v>
      </c>
      <c r="N316" s="6">
        <v>0</v>
      </c>
      <c r="O316" s="6">
        <v>0</v>
      </c>
      <c r="P316" s="6">
        <v>19</v>
      </c>
      <c r="Q316" s="4" t="s">
        <v>26</v>
      </c>
      <c r="R316" s="4">
        <v>0</v>
      </c>
      <c r="S316" s="6">
        <v>18</v>
      </c>
      <c r="T316" s="6">
        <v>0</v>
      </c>
      <c r="U316" s="6">
        <v>0</v>
      </c>
      <c r="V316" s="6">
        <f>IF(ISERROR(VLOOKUP($S$316,'TAR FIN'!$A$1:$O$86,15,0)),0,VLOOKUP($S$316,'TAR FIN'!$A$1:$O$86,15,0))</f>
        <v>19.239999999999998</v>
      </c>
      <c r="W316" s="6">
        <f>IF(ISERROR(VLOOKUP($T$316,'TAR FIN'!$A$1:$O$86,15,0)),0,VLOOKUP($T$316,'TAR FIN'!$A$1:$O$86,15,0))</f>
        <v>0</v>
      </c>
      <c r="X316" s="6">
        <f>IF(ISERROR(VLOOKUP($U$316,'TAR FIN'!$A$1:$O$86,15,0)),0,VLOOKUP($U$316,'TAR FIN'!$A$1:$O$86,15,0))</f>
        <v>0</v>
      </c>
      <c r="Y316" s="6">
        <f ca="1">('TUSD BE'!$AM$11+'TUSD BF'!$AM$11+'TUSD CVA'!$AM$11)*1</f>
        <v>15.19295792072058</v>
      </c>
      <c r="Z316" s="6"/>
      <c r="AA316" s="6"/>
      <c r="AB316" s="6">
        <f>$K$316*$V$316</f>
        <v>60355.88</v>
      </c>
      <c r="AC316" s="6">
        <f>$M$316*$W$316</f>
        <v>0</v>
      </c>
      <c r="AD316" s="6">
        <f>$O$316*$X$316</f>
        <v>0</v>
      </c>
      <c r="AE316" s="6">
        <f ca="1">$K$316*$Y$316</f>
        <v>47660.308997300461</v>
      </c>
      <c r="AF316" s="6">
        <f>$M$316*$Z$316</f>
        <v>0</v>
      </c>
      <c r="AG316" s="6">
        <f>$O$316*$AA$316</f>
        <v>0</v>
      </c>
    </row>
    <row r="317" spans="1:33" ht="11.25" customHeight="1" x14ac:dyDescent="0.25">
      <c r="A317" s="4" t="s">
        <v>55</v>
      </c>
      <c r="B317" s="4" t="s">
        <v>38</v>
      </c>
      <c r="C317" s="4" t="s">
        <v>40</v>
      </c>
      <c r="D317" s="4" t="s">
        <v>37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44593</v>
      </c>
      <c r="J317" s="6">
        <v>2576</v>
      </c>
      <c r="K317" s="6">
        <v>2576</v>
      </c>
      <c r="L317" s="6">
        <v>0</v>
      </c>
      <c r="M317" s="6">
        <v>0</v>
      </c>
      <c r="N317" s="6">
        <v>0</v>
      </c>
      <c r="O317" s="6">
        <v>0</v>
      </c>
      <c r="P317" s="6">
        <v>11</v>
      </c>
      <c r="Q317" s="4" t="s">
        <v>26</v>
      </c>
      <c r="R317" s="4">
        <v>0</v>
      </c>
      <c r="S317" s="6">
        <v>18</v>
      </c>
      <c r="T317" s="6">
        <v>0</v>
      </c>
      <c r="U317" s="6">
        <v>0</v>
      </c>
      <c r="V317" s="6">
        <f>IF(ISERROR(VLOOKUP($S$317,'TAR FIN'!$A$1:$O$86,15,0)),0,VLOOKUP($S$317,'TAR FIN'!$A$1:$O$86,15,0))</f>
        <v>19.239999999999998</v>
      </c>
      <c r="W317" s="6">
        <f>IF(ISERROR(VLOOKUP($T$317,'TAR FIN'!$A$1:$O$86,15,0)),0,VLOOKUP($T$317,'TAR FIN'!$A$1:$O$86,15,0))</f>
        <v>0</v>
      </c>
      <c r="X317" s="6">
        <f>IF(ISERROR(VLOOKUP($U$317,'TAR FIN'!$A$1:$O$86,15,0)),0,VLOOKUP($U$317,'TAR FIN'!$A$1:$O$86,15,0))</f>
        <v>0</v>
      </c>
      <c r="Y317" s="6">
        <f ca="1">('TUSD BE'!$AM$11+'TUSD BF'!$AM$11+'TUSD CVA'!$AM$11)*1</f>
        <v>15.19295792072058</v>
      </c>
      <c r="Z317" s="6"/>
      <c r="AA317" s="6"/>
      <c r="AB317" s="6">
        <f>$K$317*$V$317</f>
        <v>49562.239999999998</v>
      </c>
      <c r="AC317" s="6">
        <f>$M$317*$W$317</f>
        <v>0</v>
      </c>
      <c r="AD317" s="6">
        <f>$O$317*$X$317</f>
        <v>0</v>
      </c>
      <c r="AE317" s="6">
        <f ca="1">$K$317*$Y$317</f>
        <v>39137.059603776215</v>
      </c>
      <c r="AF317" s="6">
        <f>$M$317*$Z$317</f>
        <v>0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38</v>
      </c>
      <c r="C318" s="4" t="s">
        <v>40</v>
      </c>
      <c r="D318" s="4" t="s">
        <v>37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44621</v>
      </c>
      <c r="J318" s="6">
        <v>3715</v>
      </c>
      <c r="K318" s="6">
        <v>3715</v>
      </c>
      <c r="L318" s="6">
        <v>0</v>
      </c>
      <c r="M318" s="6">
        <v>0</v>
      </c>
      <c r="N318" s="6">
        <v>0</v>
      </c>
      <c r="O318" s="6">
        <v>0</v>
      </c>
      <c r="P318" s="6">
        <v>21</v>
      </c>
      <c r="Q318" s="4" t="s">
        <v>26</v>
      </c>
      <c r="R318" s="4">
        <v>0</v>
      </c>
      <c r="S318" s="6">
        <v>18</v>
      </c>
      <c r="T318" s="6">
        <v>0</v>
      </c>
      <c r="U318" s="6">
        <v>0</v>
      </c>
      <c r="V318" s="6">
        <f>IF(ISERROR(VLOOKUP($S$318,'TAR FIN'!$A$1:$O$86,15,0)),0,VLOOKUP($S$318,'TAR FIN'!$A$1:$O$86,15,0))</f>
        <v>19.239999999999998</v>
      </c>
      <c r="W318" s="6">
        <f>IF(ISERROR(VLOOKUP($T$318,'TAR FIN'!$A$1:$O$86,15,0)),0,VLOOKUP($T$318,'TAR FIN'!$A$1:$O$86,15,0))</f>
        <v>0</v>
      </c>
      <c r="X318" s="6">
        <f>IF(ISERROR(VLOOKUP($U$318,'TAR FIN'!$A$1:$O$86,15,0)),0,VLOOKUP($U$318,'TAR FIN'!$A$1:$O$86,15,0))</f>
        <v>0</v>
      </c>
      <c r="Y318" s="6">
        <f ca="1">('TUSD BE'!$AM$11+'TUSD BF'!$AM$11+'TUSD CVA'!$AM$11)*1</f>
        <v>15.19295792072058</v>
      </c>
      <c r="Z318" s="6"/>
      <c r="AA318" s="6"/>
      <c r="AB318" s="6">
        <f>$K$318*$V$318</f>
        <v>71476.599999999991</v>
      </c>
      <c r="AC318" s="6">
        <f>$M$318*$W$318</f>
        <v>0</v>
      </c>
      <c r="AD318" s="6">
        <f>$O$318*$X$318</f>
        <v>0</v>
      </c>
      <c r="AE318" s="6">
        <f ca="1">$K$318*$Y$318</f>
        <v>56441.83867547696</v>
      </c>
      <c r="AF318" s="6">
        <f>$M$318*$Z$318</f>
        <v>0</v>
      </c>
      <c r="AG318" s="6">
        <f>$O$318*$AA$318</f>
        <v>0</v>
      </c>
    </row>
    <row r="319" spans="1:33" ht="11.25" customHeight="1" x14ac:dyDescent="0.25">
      <c r="A319" s="4" t="s">
        <v>55</v>
      </c>
      <c r="B319" s="4" t="s">
        <v>38</v>
      </c>
      <c r="C319" s="4" t="s">
        <v>40</v>
      </c>
      <c r="D319" s="4" t="s">
        <v>37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44621</v>
      </c>
      <c r="J319" s="6">
        <v>3980</v>
      </c>
      <c r="K319" s="6">
        <v>3980</v>
      </c>
      <c r="L319" s="6">
        <v>0</v>
      </c>
      <c r="M319" s="6">
        <v>0</v>
      </c>
      <c r="N319" s="6">
        <v>0</v>
      </c>
      <c r="O319" s="6">
        <v>0</v>
      </c>
      <c r="P319" s="6">
        <v>11</v>
      </c>
      <c r="Q319" s="4" t="s">
        <v>26</v>
      </c>
      <c r="R319" s="4">
        <v>0</v>
      </c>
      <c r="S319" s="6">
        <v>18</v>
      </c>
      <c r="T319" s="6">
        <v>0</v>
      </c>
      <c r="U319" s="6">
        <v>0</v>
      </c>
      <c r="V319" s="6">
        <f>IF(ISERROR(VLOOKUP($S$319,'TAR FIN'!$A$1:$O$86,15,0)),0,VLOOKUP($S$319,'TAR FIN'!$A$1:$O$86,15,0))</f>
        <v>19.239999999999998</v>
      </c>
      <c r="W319" s="6">
        <f>IF(ISERROR(VLOOKUP($T$319,'TAR FIN'!$A$1:$O$86,15,0)),0,VLOOKUP($T$319,'TAR FIN'!$A$1:$O$86,15,0))</f>
        <v>0</v>
      </c>
      <c r="X319" s="6">
        <f>IF(ISERROR(VLOOKUP($U$319,'TAR FIN'!$A$1:$O$86,15,0)),0,VLOOKUP($U$319,'TAR FIN'!$A$1:$O$86,15,0))</f>
        <v>0</v>
      </c>
      <c r="Y319" s="6">
        <f ca="1">('TUSD BE'!$AM$11+'TUSD BF'!$AM$11+'TUSD CVA'!$AM$11)*1</f>
        <v>15.19295792072058</v>
      </c>
      <c r="Z319" s="6"/>
      <c r="AA319" s="6"/>
      <c r="AB319" s="6">
        <f>$K$319*$V$319</f>
        <v>76575.199999999997</v>
      </c>
      <c r="AC319" s="6">
        <f>$M$319*$W$319</f>
        <v>0</v>
      </c>
      <c r="AD319" s="6">
        <f>$O$319*$X$319</f>
        <v>0</v>
      </c>
      <c r="AE319" s="6">
        <f ca="1">$K$319*$Y$319</f>
        <v>60467.972524467914</v>
      </c>
      <c r="AF319" s="6">
        <f>$M$319*$Z$319</f>
        <v>0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38</v>
      </c>
      <c r="C320" s="4" t="s">
        <v>40</v>
      </c>
      <c r="D320" s="4" t="s">
        <v>37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44652</v>
      </c>
      <c r="J320" s="6">
        <v>3323</v>
      </c>
      <c r="K320" s="6">
        <v>3323</v>
      </c>
      <c r="L320" s="6">
        <v>0</v>
      </c>
      <c r="M320" s="6">
        <v>0</v>
      </c>
      <c r="N320" s="6">
        <v>0</v>
      </c>
      <c r="O320" s="6">
        <v>0</v>
      </c>
      <c r="P320" s="6">
        <v>20</v>
      </c>
      <c r="Q320" s="4" t="s">
        <v>26</v>
      </c>
      <c r="R320" s="4">
        <v>0</v>
      </c>
      <c r="S320" s="6">
        <v>18</v>
      </c>
      <c r="T320" s="6">
        <v>0</v>
      </c>
      <c r="U320" s="6">
        <v>0</v>
      </c>
      <c r="V320" s="6">
        <f>IF(ISERROR(VLOOKUP($S$320,'TAR FIN'!$A$1:$O$86,15,0)),0,VLOOKUP($S$320,'TAR FIN'!$A$1:$O$86,15,0))</f>
        <v>19.239999999999998</v>
      </c>
      <c r="W320" s="6">
        <f>IF(ISERROR(VLOOKUP($T$320,'TAR FIN'!$A$1:$O$86,15,0)),0,VLOOKUP($T$320,'TAR FIN'!$A$1:$O$86,15,0))</f>
        <v>0</v>
      </c>
      <c r="X320" s="6">
        <f>IF(ISERROR(VLOOKUP($U$320,'TAR FIN'!$A$1:$O$86,15,0)),0,VLOOKUP($U$320,'TAR FIN'!$A$1:$O$86,15,0))</f>
        <v>0</v>
      </c>
      <c r="Y320" s="6">
        <f ca="1">('TUSD BE'!$AM$11+'TUSD BF'!$AM$11+'TUSD CVA'!$AM$11)*1</f>
        <v>15.19295792072058</v>
      </c>
      <c r="Z320" s="6"/>
      <c r="AA320" s="6"/>
      <c r="AB320" s="6">
        <f>$K$320*$V$320</f>
        <v>63934.52</v>
      </c>
      <c r="AC320" s="6">
        <f>$M$320*$W$320</f>
        <v>0</v>
      </c>
      <c r="AD320" s="6">
        <f>$O$320*$X$320</f>
        <v>0</v>
      </c>
      <c r="AE320" s="6">
        <f ca="1">$K$320*$Y$320</f>
        <v>50486.199170554486</v>
      </c>
      <c r="AF320" s="6">
        <f>$M$320*$Z$320</f>
        <v>0</v>
      </c>
      <c r="AG320" s="6">
        <f>$O$320*$AA$320</f>
        <v>0</v>
      </c>
    </row>
    <row r="321" spans="1:33" ht="11.25" customHeight="1" x14ac:dyDescent="0.25">
      <c r="A321" s="4" t="s">
        <v>55</v>
      </c>
      <c r="B321" s="4" t="s">
        <v>38</v>
      </c>
      <c r="C321" s="4" t="s">
        <v>40</v>
      </c>
      <c r="D321" s="4" t="s">
        <v>37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44652</v>
      </c>
      <c r="J321" s="6">
        <v>4419</v>
      </c>
      <c r="K321" s="6">
        <v>4419</v>
      </c>
      <c r="L321" s="6">
        <v>0</v>
      </c>
      <c r="M321" s="6">
        <v>0</v>
      </c>
      <c r="N321" s="6">
        <v>0</v>
      </c>
      <c r="O321" s="6">
        <v>0</v>
      </c>
      <c r="P321" s="6">
        <v>13</v>
      </c>
      <c r="Q321" s="4" t="s">
        <v>26</v>
      </c>
      <c r="R321" s="4">
        <v>0</v>
      </c>
      <c r="S321" s="6">
        <v>18</v>
      </c>
      <c r="T321" s="6">
        <v>0</v>
      </c>
      <c r="U321" s="6">
        <v>0</v>
      </c>
      <c r="V321" s="6">
        <f>IF(ISERROR(VLOOKUP($S$321,'TAR FIN'!$A$1:$O$86,15,0)),0,VLOOKUP($S$321,'TAR FIN'!$A$1:$O$86,15,0))</f>
        <v>19.239999999999998</v>
      </c>
      <c r="W321" s="6">
        <f>IF(ISERROR(VLOOKUP($T$321,'TAR FIN'!$A$1:$O$86,15,0)),0,VLOOKUP($T$321,'TAR FIN'!$A$1:$O$86,15,0))</f>
        <v>0</v>
      </c>
      <c r="X321" s="6">
        <f>IF(ISERROR(VLOOKUP($U$321,'TAR FIN'!$A$1:$O$86,15,0)),0,VLOOKUP($U$321,'TAR FIN'!$A$1:$O$86,15,0))</f>
        <v>0</v>
      </c>
      <c r="Y321" s="6">
        <f ca="1">('TUSD BE'!$AM$11+'TUSD BF'!$AM$11+'TUSD CVA'!$AM$11)*1</f>
        <v>15.19295792072058</v>
      </c>
      <c r="Z321" s="6"/>
      <c r="AA321" s="6"/>
      <c r="AB321" s="6">
        <f>$K$321*$V$321</f>
        <v>85021.56</v>
      </c>
      <c r="AC321" s="6">
        <f>$M$321*$W$321</f>
        <v>0</v>
      </c>
      <c r="AD321" s="6">
        <f>$O$321*$X$321</f>
        <v>0</v>
      </c>
      <c r="AE321" s="6">
        <f ca="1">$K$321*$Y$321</f>
        <v>67137.681051664244</v>
      </c>
      <c r="AF321" s="6">
        <f>$M$321*$Z$321</f>
        <v>0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38</v>
      </c>
      <c r="C322" s="4" t="s">
        <v>40</v>
      </c>
      <c r="D322" s="4" t="s">
        <v>37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44682</v>
      </c>
      <c r="J322" s="6">
        <v>3170</v>
      </c>
      <c r="K322" s="6">
        <v>3170</v>
      </c>
      <c r="L322" s="6">
        <v>0</v>
      </c>
      <c r="M322" s="6">
        <v>0</v>
      </c>
      <c r="N322" s="6">
        <v>0</v>
      </c>
      <c r="O322" s="6">
        <v>0</v>
      </c>
      <c r="P322" s="6">
        <v>20</v>
      </c>
      <c r="Q322" s="4" t="s">
        <v>26</v>
      </c>
      <c r="R322" s="4">
        <v>0</v>
      </c>
      <c r="S322" s="6">
        <v>18</v>
      </c>
      <c r="T322" s="6">
        <v>0</v>
      </c>
      <c r="U322" s="6">
        <v>0</v>
      </c>
      <c r="V322" s="6">
        <f>IF(ISERROR(VLOOKUP($S$322,'TAR FIN'!$A$1:$O$86,15,0)),0,VLOOKUP($S$322,'TAR FIN'!$A$1:$O$86,15,0))</f>
        <v>19.239999999999998</v>
      </c>
      <c r="W322" s="6">
        <f>IF(ISERROR(VLOOKUP($T$322,'TAR FIN'!$A$1:$O$86,15,0)),0,VLOOKUP($T$322,'TAR FIN'!$A$1:$O$86,15,0))</f>
        <v>0</v>
      </c>
      <c r="X322" s="6">
        <f>IF(ISERROR(VLOOKUP($U$322,'TAR FIN'!$A$1:$O$86,15,0)),0,VLOOKUP($U$322,'TAR FIN'!$A$1:$O$86,15,0))</f>
        <v>0</v>
      </c>
      <c r="Y322" s="6">
        <f ca="1">('TUSD BE'!$AM$11+'TUSD BF'!$AM$11+'TUSD CVA'!$AM$11)*1</f>
        <v>15.19295792072058</v>
      </c>
      <c r="Z322" s="6"/>
      <c r="AA322" s="6"/>
      <c r="AB322" s="6">
        <f>$K$322*$V$322</f>
        <v>60990.799999999996</v>
      </c>
      <c r="AC322" s="6">
        <f>$M$322*$W$322</f>
        <v>0</v>
      </c>
      <c r="AD322" s="6">
        <f>$O$322*$X$322</f>
        <v>0</v>
      </c>
      <c r="AE322" s="6">
        <f ca="1">$K$322*$Y$322</f>
        <v>48161.67660868424</v>
      </c>
      <c r="AF322" s="6">
        <f>$M$322*$Z$322</f>
        <v>0</v>
      </c>
      <c r="AG322" s="6">
        <f>$O$322*$AA$322</f>
        <v>0</v>
      </c>
    </row>
    <row r="323" spans="1:33" ht="11.25" customHeight="1" x14ac:dyDescent="0.25">
      <c r="A323" s="4" t="s">
        <v>55</v>
      </c>
      <c r="B323" s="4" t="s">
        <v>38</v>
      </c>
      <c r="C323" s="4" t="s">
        <v>40</v>
      </c>
      <c r="D323" s="4" t="s">
        <v>37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44682</v>
      </c>
      <c r="J323" s="6">
        <v>4129</v>
      </c>
      <c r="K323" s="6">
        <v>4129</v>
      </c>
      <c r="L323" s="6">
        <v>0</v>
      </c>
      <c r="M323" s="6">
        <v>0</v>
      </c>
      <c r="N323" s="6">
        <v>0</v>
      </c>
      <c r="O323" s="6">
        <v>0</v>
      </c>
      <c r="P323" s="6">
        <v>13</v>
      </c>
      <c r="Q323" s="4" t="s">
        <v>26</v>
      </c>
      <c r="R323" s="4">
        <v>0</v>
      </c>
      <c r="S323" s="6">
        <v>18</v>
      </c>
      <c r="T323" s="6">
        <v>0</v>
      </c>
      <c r="U323" s="6">
        <v>0</v>
      </c>
      <c r="V323" s="6">
        <f>IF(ISERROR(VLOOKUP($S$323,'TAR FIN'!$A$1:$O$86,15,0)),0,VLOOKUP($S$323,'TAR FIN'!$A$1:$O$86,15,0))</f>
        <v>19.239999999999998</v>
      </c>
      <c r="W323" s="6">
        <f>IF(ISERROR(VLOOKUP($T$323,'TAR FIN'!$A$1:$O$86,15,0)),0,VLOOKUP($T$323,'TAR FIN'!$A$1:$O$86,15,0))</f>
        <v>0</v>
      </c>
      <c r="X323" s="6">
        <f>IF(ISERROR(VLOOKUP($U$323,'TAR FIN'!$A$1:$O$86,15,0)),0,VLOOKUP($U$323,'TAR FIN'!$A$1:$O$86,15,0))</f>
        <v>0</v>
      </c>
      <c r="Y323" s="6">
        <f ca="1">('TUSD BE'!$AM$11+'TUSD BF'!$AM$11+'TUSD CVA'!$AM$11)*1</f>
        <v>15.19295792072058</v>
      </c>
      <c r="Z323" s="6"/>
      <c r="AA323" s="6"/>
      <c r="AB323" s="6">
        <f>$K$323*$V$323</f>
        <v>79441.959999999992</v>
      </c>
      <c r="AC323" s="6">
        <f>$M$323*$W$323</f>
        <v>0</v>
      </c>
      <c r="AD323" s="6">
        <f>$O$323*$X$323</f>
        <v>0</v>
      </c>
      <c r="AE323" s="6">
        <f ca="1">$K$323*$Y$323</f>
        <v>62731.723254655277</v>
      </c>
      <c r="AF323" s="6">
        <f>$M$323*$Z$323</f>
        <v>0</v>
      </c>
      <c r="AG323" s="6">
        <f>$O$323*$AA$323</f>
        <v>0</v>
      </c>
    </row>
    <row r="324" spans="1:33" ht="11.25" customHeight="1" x14ac:dyDescent="0.25">
      <c r="A324" s="4" t="s">
        <v>56</v>
      </c>
      <c r="B324" s="4" t="s">
        <v>38</v>
      </c>
      <c r="C324" s="4" t="s">
        <v>40</v>
      </c>
      <c r="D324" s="4" t="s">
        <v>37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3170</v>
      </c>
      <c r="K324" s="6">
        <v>3170</v>
      </c>
      <c r="L324" s="6">
        <v>0</v>
      </c>
      <c r="M324" s="6">
        <v>0</v>
      </c>
      <c r="N324" s="6">
        <v>0</v>
      </c>
      <c r="O324" s="6">
        <v>0</v>
      </c>
      <c r="P324" s="6">
        <v>20</v>
      </c>
      <c r="Q324" s="4" t="s">
        <v>26</v>
      </c>
      <c r="R324" s="4">
        <v>0</v>
      </c>
      <c r="S324" s="6">
        <v>18</v>
      </c>
      <c r="T324" s="6">
        <v>0</v>
      </c>
      <c r="U324" s="6">
        <v>0</v>
      </c>
      <c r="V324" s="6">
        <f>IF(ISERROR(VLOOKUP($S$324,'TAR FIN'!$A$1:$O$86,15,0)),0,VLOOKUP($S$324,'TAR FIN'!$A$1:$O$86,15,0))</f>
        <v>19.239999999999998</v>
      </c>
      <c r="W324" s="6">
        <f>IF(ISERROR(VLOOKUP($T$324,'TAR FIN'!$A$1:$O$86,15,0)),0,VLOOKUP($T$324,'TAR FIN'!$A$1:$O$86,15,0))</f>
        <v>0</v>
      </c>
      <c r="X324" s="6">
        <f>IF(ISERROR(VLOOKUP($U$324,'TAR FIN'!$A$1:$O$86,15,0)),0,VLOOKUP($U$324,'TAR FIN'!$A$1:$O$86,15,0))</f>
        <v>0</v>
      </c>
      <c r="Y324" s="6">
        <f ca="1">('TUSD BE'!$AM$11+'TUSD BF'!$AM$11+'TUSD CVA'!$AM$11)*1</f>
        <v>15.19295792072058</v>
      </c>
      <c r="Z324" s="6"/>
      <c r="AA324" s="6"/>
      <c r="AB324" s="6">
        <f>$K$324*$V$324</f>
        <v>60990.799999999996</v>
      </c>
      <c r="AC324" s="6">
        <f>$M$324*$W$324</f>
        <v>0</v>
      </c>
      <c r="AD324" s="6">
        <f>$O$324*$X$324</f>
        <v>0</v>
      </c>
      <c r="AE324" s="6">
        <f ca="1">$K$324*$Y$324</f>
        <v>48161.67660868424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56</v>
      </c>
      <c r="B325" s="4" t="s">
        <v>38</v>
      </c>
      <c r="C325" s="4" t="s">
        <v>40</v>
      </c>
      <c r="D325" s="4" t="s">
        <v>37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44713</v>
      </c>
      <c r="J325" s="6">
        <v>4129</v>
      </c>
      <c r="K325" s="6">
        <v>4129</v>
      </c>
      <c r="L325" s="6">
        <v>0</v>
      </c>
      <c r="M325" s="6">
        <v>0</v>
      </c>
      <c r="N325" s="6">
        <v>0</v>
      </c>
      <c r="O325" s="6">
        <v>0</v>
      </c>
      <c r="P325" s="6">
        <v>13</v>
      </c>
      <c r="Q325" s="4" t="s">
        <v>26</v>
      </c>
      <c r="R325" s="4">
        <v>0</v>
      </c>
      <c r="S325" s="6">
        <v>18</v>
      </c>
      <c r="T325" s="6">
        <v>0</v>
      </c>
      <c r="U325" s="6">
        <v>0</v>
      </c>
      <c r="V325" s="6">
        <f>IF(ISERROR(VLOOKUP($S$325,'TAR FIN'!$A$1:$O$86,15,0)),0,VLOOKUP($S$325,'TAR FIN'!$A$1:$O$86,15,0))</f>
        <v>19.239999999999998</v>
      </c>
      <c r="W325" s="6">
        <f>IF(ISERROR(VLOOKUP($T$325,'TAR FIN'!$A$1:$O$86,15,0)),0,VLOOKUP($T$325,'TAR FIN'!$A$1:$O$86,15,0))</f>
        <v>0</v>
      </c>
      <c r="X325" s="6">
        <f>IF(ISERROR(VLOOKUP($U$325,'TAR FIN'!$A$1:$O$86,15,0)),0,VLOOKUP($U$325,'TAR FIN'!$A$1:$O$86,15,0))</f>
        <v>0</v>
      </c>
      <c r="Y325" s="6">
        <f ca="1">('TUSD BE'!$AM$11+'TUSD BF'!$AM$11+'TUSD CVA'!$AM$11)*1</f>
        <v>15.19295792072058</v>
      </c>
      <c r="Z325" s="6"/>
      <c r="AA325" s="6"/>
      <c r="AB325" s="6">
        <f>$K$325*$V$325</f>
        <v>79441.959999999992</v>
      </c>
      <c r="AC325" s="6">
        <f>$M$325*$W$325</f>
        <v>0</v>
      </c>
      <c r="AD325" s="6">
        <f>$O$325*$X$325</f>
        <v>0</v>
      </c>
      <c r="AE325" s="6">
        <f ca="1">$K$325*$Y$325</f>
        <v>62731.723254655277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38</v>
      </c>
      <c r="C326" s="4" t="s">
        <v>40</v>
      </c>
      <c r="D326" s="4" t="s">
        <v>37</v>
      </c>
      <c r="E326" s="4" t="s">
        <v>25</v>
      </c>
      <c r="F326" s="4" t="s">
        <v>25</v>
      </c>
      <c r="G326" s="4" t="s">
        <v>25</v>
      </c>
      <c r="H326" s="4" t="s">
        <v>33</v>
      </c>
      <c r="I326" s="5">
        <v>44378</v>
      </c>
      <c r="J326" s="6">
        <v>0</v>
      </c>
      <c r="K326" s="6">
        <v>0</v>
      </c>
      <c r="L326" s="6">
        <v>34.518000000000001</v>
      </c>
      <c r="M326" s="6">
        <v>34.518000000000001</v>
      </c>
      <c r="N326" s="6">
        <v>34.518000000000001</v>
      </c>
      <c r="O326" s="6">
        <v>34.518000000000001</v>
      </c>
      <c r="P326" s="6">
        <v>0</v>
      </c>
      <c r="Q326" s="4" t="s">
        <v>26</v>
      </c>
      <c r="R326" s="4">
        <v>0</v>
      </c>
      <c r="S326" s="6">
        <v>0</v>
      </c>
      <c r="T326" s="6">
        <v>16</v>
      </c>
      <c r="U326" s="6">
        <v>47</v>
      </c>
      <c r="V326" s="6">
        <f>IF(ISERROR(VLOOKUP($S$326,'TAR FIN'!$A$1:$O$86,15,0)),0,VLOOKUP($S$326,'TAR FIN'!$A$1:$O$86,15,0))</f>
        <v>0</v>
      </c>
      <c r="W326" s="6">
        <f>IF(ISERROR(VLOOKUP($T$326,'TAR FIN'!$A$1:$O$86,15,0)),0,VLOOKUP($T$326,'TAR FIN'!$A$1:$O$86,15,0))</f>
        <v>1329.67</v>
      </c>
      <c r="X326" s="6">
        <f>IF(ISERROR(VLOOKUP($U$326,'TAR FIN'!$A$1:$O$86,15,0)),0,VLOOKUP($U$326,'TAR FIN'!$A$1:$O$86,15,0))</f>
        <v>389.21</v>
      </c>
      <c r="Y326" s="6"/>
      <c r="Z326" s="6">
        <f ca="1">('TUSD BE'!$AM$12+'TUSD BF'!$AM$12+'TUSD CVA'!$AM$12)*1</f>
        <v>1074.3612836602365</v>
      </c>
      <c r="AA326" s="6">
        <f>('TE BE'!$AB$5+'TE BF'!$AB$5+'TE CVA'!$AB$5)*1</f>
        <v>353.55100010229148</v>
      </c>
      <c r="AB326" s="6">
        <f>$K$326*$V$326</f>
        <v>0</v>
      </c>
      <c r="AC326" s="6">
        <f>$M$326*$W$326</f>
        <v>45897.549060000005</v>
      </c>
      <c r="AD326" s="6">
        <f>$O$326*$X$326</f>
        <v>13434.75078</v>
      </c>
      <c r="AE326" s="6">
        <f>$K$326*$Y$326</f>
        <v>0</v>
      </c>
      <c r="AF326" s="6">
        <f ca="1">$M$326*$Z$326</f>
        <v>37084.802789384041</v>
      </c>
      <c r="AG326" s="6">
        <f>$O$326*$AA$326</f>
        <v>12203.873421530898</v>
      </c>
    </row>
    <row r="327" spans="1:33" ht="11.25" customHeight="1" x14ac:dyDescent="0.25">
      <c r="A327" s="4" t="s">
        <v>21</v>
      </c>
      <c r="B327" s="4" t="s">
        <v>38</v>
      </c>
      <c r="C327" s="4" t="s">
        <v>40</v>
      </c>
      <c r="D327" s="4" t="s">
        <v>37</v>
      </c>
      <c r="E327" s="4" t="s">
        <v>25</v>
      </c>
      <c r="F327" s="4" t="s">
        <v>25</v>
      </c>
      <c r="G327" s="4" t="s">
        <v>25</v>
      </c>
      <c r="H327" s="4" t="s">
        <v>33</v>
      </c>
      <c r="I327" s="5">
        <v>44409</v>
      </c>
      <c r="J327" s="6">
        <v>0</v>
      </c>
      <c r="K327" s="6">
        <v>0</v>
      </c>
      <c r="L327" s="6">
        <v>35.642000000000003</v>
      </c>
      <c r="M327" s="6">
        <v>35.642000000000003</v>
      </c>
      <c r="N327" s="6">
        <v>35.642000000000003</v>
      </c>
      <c r="O327" s="6">
        <v>35.642000000000003</v>
      </c>
      <c r="P327" s="6">
        <v>0</v>
      </c>
      <c r="Q327" s="4" t="s">
        <v>26</v>
      </c>
      <c r="R327" s="4">
        <v>0</v>
      </c>
      <c r="S327" s="6">
        <v>0</v>
      </c>
      <c r="T327" s="6">
        <v>16</v>
      </c>
      <c r="U327" s="6">
        <v>47</v>
      </c>
      <c r="V327" s="6">
        <f>IF(ISERROR(VLOOKUP($S$327,'TAR FIN'!$A$1:$O$86,15,0)),0,VLOOKUP($S$327,'TAR FIN'!$A$1:$O$86,15,0))</f>
        <v>0</v>
      </c>
      <c r="W327" s="6">
        <f>IF(ISERROR(VLOOKUP($T$327,'TAR FIN'!$A$1:$O$86,15,0)),0,VLOOKUP($T$327,'TAR FIN'!$A$1:$O$86,15,0))</f>
        <v>1329.67</v>
      </c>
      <c r="X327" s="6">
        <f>IF(ISERROR(VLOOKUP($U$327,'TAR FIN'!$A$1:$O$86,15,0)),0,VLOOKUP($U$327,'TAR FIN'!$A$1:$O$86,15,0))</f>
        <v>389.21</v>
      </c>
      <c r="Y327" s="6"/>
      <c r="Z327" s="6">
        <f ca="1">('TUSD BE'!$AM$12+'TUSD BF'!$AM$12+'TUSD CVA'!$AM$12)*1</f>
        <v>1074.3612836602365</v>
      </c>
      <c r="AA327" s="6">
        <f>('TE BE'!$AB$5+'TE BF'!$AB$5+'TE CVA'!$AB$5)*1</f>
        <v>353.55100010229148</v>
      </c>
      <c r="AB327" s="6">
        <f>$K$327*$V$327</f>
        <v>0</v>
      </c>
      <c r="AC327" s="6">
        <f>$M$327*$W$327</f>
        <v>47392.098140000009</v>
      </c>
      <c r="AD327" s="6">
        <f>$O$327*$X$327</f>
        <v>13872.222820000001</v>
      </c>
      <c r="AE327" s="6">
        <f>$K$327*$Y$327</f>
        <v>0</v>
      </c>
      <c r="AF327" s="6">
        <f ca="1">$M$327*$Z$327</f>
        <v>38292.38487221815</v>
      </c>
      <c r="AG327" s="6">
        <f>$O$327*$AA$327</f>
        <v>12601.264745645874</v>
      </c>
    </row>
    <row r="328" spans="1:33" ht="11.25" customHeight="1" x14ac:dyDescent="0.25">
      <c r="A328" s="4" t="s">
        <v>55</v>
      </c>
      <c r="B328" s="4" t="s">
        <v>38</v>
      </c>
      <c r="C328" s="4" t="s">
        <v>40</v>
      </c>
      <c r="D328" s="4" t="s">
        <v>37</v>
      </c>
      <c r="E328" s="4" t="s">
        <v>25</v>
      </c>
      <c r="F328" s="4" t="s">
        <v>25</v>
      </c>
      <c r="G328" s="4" t="s">
        <v>25</v>
      </c>
      <c r="H328" s="4" t="s">
        <v>33</v>
      </c>
      <c r="I328" s="5">
        <v>44409</v>
      </c>
      <c r="J328" s="6">
        <v>0</v>
      </c>
      <c r="K328" s="6">
        <v>0</v>
      </c>
      <c r="L328" s="6">
        <v>20.943000000000001</v>
      </c>
      <c r="M328" s="6">
        <v>20.943000000000001</v>
      </c>
      <c r="N328" s="6">
        <v>20.943000000000001</v>
      </c>
      <c r="O328" s="6">
        <v>20.943000000000001</v>
      </c>
      <c r="P328" s="6">
        <v>0</v>
      </c>
      <c r="Q328" s="4" t="s">
        <v>26</v>
      </c>
      <c r="R328" s="4">
        <v>0</v>
      </c>
      <c r="S328" s="6">
        <v>0</v>
      </c>
      <c r="T328" s="6">
        <v>16</v>
      </c>
      <c r="U328" s="6">
        <v>47</v>
      </c>
      <c r="V328" s="6">
        <f>IF(ISERROR(VLOOKUP($S$328,'TAR FIN'!$A$1:$O$86,15,0)),0,VLOOKUP($S$328,'TAR FIN'!$A$1:$O$86,15,0))</f>
        <v>0</v>
      </c>
      <c r="W328" s="6">
        <f>IF(ISERROR(VLOOKUP($T$328,'TAR FIN'!$A$1:$O$86,15,0)),0,VLOOKUP($T$328,'TAR FIN'!$A$1:$O$86,15,0))</f>
        <v>1329.67</v>
      </c>
      <c r="X328" s="6">
        <f>IF(ISERROR(VLOOKUP($U$328,'TAR FIN'!$A$1:$O$86,15,0)),0,VLOOKUP($U$328,'TAR FIN'!$A$1:$O$86,15,0))</f>
        <v>389.21</v>
      </c>
      <c r="Y328" s="6"/>
      <c r="Z328" s="6">
        <f ca="1">('TUSD BE'!$AM$12+'TUSD BF'!$AM$12+'TUSD CVA'!$AM$12)*1</f>
        <v>1074.3612836602365</v>
      </c>
      <c r="AA328" s="6">
        <f>('TE BE'!$AB$5+'TE BF'!$AB$5+'TE CVA'!$AB$5)*1</f>
        <v>353.55100010229148</v>
      </c>
      <c r="AB328" s="6">
        <f>$K$328*$V$328</f>
        <v>0</v>
      </c>
      <c r="AC328" s="6">
        <f>$M$328*$W$328</f>
        <v>27847.278810000003</v>
      </c>
      <c r="AD328" s="6">
        <f>$O$328*$X$328</f>
        <v>8151.2250300000005</v>
      </c>
      <c r="AE328" s="6">
        <f>$K$328*$Y$328</f>
        <v>0</v>
      </c>
      <c r="AF328" s="6">
        <f ca="1">$M$328*$Z$328</f>
        <v>22500.348363696336</v>
      </c>
      <c r="AG328" s="6">
        <f>$O$328*$AA$328</f>
        <v>7404.4185951422915</v>
      </c>
    </row>
    <row r="329" spans="1:33" ht="11.25" customHeight="1" x14ac:dyDescent="0.25">
      <c r="A329" s="4" t="s">
        <v>21</v>
      </c>
      <c r="B329" s="4" t="s">
        <v>38</v>
      </c>
      <c r="C329" s="4" t="s">
        <v>40</v>
      </c>
      <c r="D329" s="4" t="s">
        <v>37</v>
      </c>
      <c r="E329" s="4" t="s">
        <v>25</v>
      </c>
      <c r="F329" s="4" t="s">
        <v>25</v>
      </c>
      <c r="G329" s="4" t="s">
        <v>25</v>
      </c>
      <c r="H329" s="4" t="s">
        <v>33</v>
      </c>
      <c r="I329" s="5">
        <v>44440</v>
      </c>
      <c r="J329" s="6">
        <v>0</v>
      </c>
      <c r="K329" s="6">
        <v>0</v>
      </c>
      <c r="L329" s="6">
        <v>34.057000000000002</v>
      </c>
      <c r="M329" s="6">
        <v>34.057000000000002</v>
      </c>
      <c r="N329" s="6">
        <v>34.057000000000002</v>
      </c>
      <c r="O329" s="6">
        <v>34.057000000000002</v>
      </c>
      <c r="P329" s="6">
        <v>0</v>
      </c>
      <c r="Q329" s="4" t="s">
        <v>26</v>
      </c>
      <c r="R329" s="4">
        <v>0</v>
      </c>
      <c r="S329" s="6">
        <v>0</v>
      </c>
      <c r="T329" s="6">
        <v>16</v>
      </c>
      <c r="U329" s="6">
        <v>47</v>
      </c>
      <c r="V329" s="6">
        <f>IF(ISERROR(VLOOKUP($S$329,'TAR FIN'!$A$1:$O$86,15,0)),0,VLOOKUP($S$329,'TAR FIN'!$A$1:$O$86,15,0))</f>
        <v>0</v>
      </c>
      <c r="W329" s="6">
        <f>IF(ISERROR(VLOOKUP($T$329,'TAR FIN'!$A$1:$O$86,15,0)),0,VLOOKUP($T$329,'TAR FIN'!$A$1:$O$86,15,0))</f>
        <v>1329.67</v>
      </c>
      <c r="X329" s="6">
        <f>IF(ISERROR(VLOOKUP($U$329,'TAR FIN'!$A$1:$O$86,15,0)),0,VLOOKUP($U$329,'TAR FIN'!$A$1:$O$86,15,0))</f>
        <v>389.21</v>
      </c>
      <c r="Y329" s="6"/>
      <c r="Z329" s="6">
        <f ca="1">('TUSD BE'!$AM$12+'TUSD BF'!$AM$12+'TUSD CVA'!$AM$12)*1</f>
        <v>1074.3612836602365</v>
      </c>
      <c r="AA329" s="6">
        <f>('TE BE'!$AB$5+'TE BF'!$AB$5+'TE CVA'!$AB$5)*1</f>
        <v>353.55100010229148</v>
      </c>
      <c r="AB329" s="6">
        <f>$K$329*$V$329</f>
        <v>0</v>
      </c>
      <c r="AC329" s="6">
        <f>$M$329*$W$329</f>
        <v>45284.571190000002</v>
      </c>
      <c r="AD329" s="6">
        <f>$O$329*$X$329</f>
        <v>13255.32497</v>
      </c>
      <c r="AE329" s="6">
        <f>$K$329*$Y$329</f>
        <v>0</v>
      </c>
      <c r="AF329" s="6">
        <f ca="1">$M$329*$Z$329</f>
        <v>36589.522237616678</v>
      </c>
      <c r="AG329" s="6">
        <f>$O$329*$AA$329</f>
        <v>12040.886410483741</v>
      </c>
    </row>
    <row r="330" spans="1:33" ht="11.25" customHeight="1" x14ac:dyDescent="0.25">
      <c r="A330" s="4" t="s">
        <v>55</v>
      </c>
      <c r="B330" s="4" t="s">
        <v>38</v>
      </c>
      <c r="C330" s="4" t="s">
        <v>40</v>
      </c>
      <c r="D330" s="4" t="s">
        <v>37</v>
      </c>
      <c r="E330" s="4" t="s">
        <v>25</v>
      </c>
      <c r="F330" s="4" t="s">
        <v>25</v>
      </c>
      <c r="G330" s="4" t="s">
        <v>25</v>
      </c>
      <c r="H330" s="4" t="s">
        <v>33</v>
      </c>
      <c r="I330" s="5">
        <v>44440</v>
      </c>
      <c r="J330" s="6">
        <v>0</v>
      </c>
      <c r="K330" s="6">
        <v>0</v>
      </c>
      <c r="L330" s="6">
        <v>16.451000000000001</v>
      </c>
      <c r="M330" s="6">
        <v>16.451000000000001</v>
      </c>
      <c r="N330" s="6">
        <v>16.451000000000001</v>
      </c>
      <c r="O330" s="6">
        <v>16.451000000000001</v>
      </c>
      <c r="P330" s="6">
        <v>0</v>
      </c>
      <c r="Q330" s="4" t="s">
        <v>26</v>
      </c>
      <c r="R330" s="4">
        <v>0</v>
      </c>
      <c r="S330" s="6">
        <v>0</v>
      </c>
      <c r="T330" s="6">
        <v>16</v>
      </c>
      <c r="U330" s="6">
        <v>47</v>
      </c>
      <c r="V330" s="6">
        <f>IF(ISERROR(VLOOKUP($S$330,'TAR FIN'!$A$1:$O$86,15,0)),0,VLOOKUP($S$330,'TAR FIN'!$A$1:$O$86,15,0))</f>
        <v>0</v>
      </c>
      <c r="W330" s="6">
        <f>IF(ISERROR(VLOOKUP($T$330,'TAR FIN'!$A$1:$O$86,15,0)),0,VLOOKUP($T$330,'TAR FIN'!$A$1:$O$86,15,0))</f>
        <v>1329.67</v>
      </c>
      <c r="X330" s="6">
        <f>IF(ISERROR(VLOOKUP($U$330,'TAR FIN'!$A$1:$O$86,15,0)),0,VLOOKUP($U$330,'TAR FIN'!$A$1:$O$86,15,0))</f>
        <v>389.21</v>
      </c>
      <c r="Y330" s="6"/>
      <c r="Z330" s="6">
        <f ca="1">('TUSD BE'!$AM$12+'TUSD BF'!$AM$12+'TUSD CVA'!$AM$12)*1</f>
        <v>1074.3612836602365</v>
      </c>
      <c r="AA330" s="6">
        <f>('TE BE'!$AB$5+'TE BF'!$AB$5+'TE CVA'!$AB$5)*1</f>
        <v>353.55100010229148</v>
      </c>
      <c r="AB330" s="6">
        <f>$K$330*$V$330</f>
        <v>0</v>
      </c>
      <c r="AC330" s="6">
        <f>$M$330*$W$330</f>
        <v>21874.401170000001</v>
      </c>
      <c r="AD330" s="6">
        <f>$O$330*$X$330</f>
        <v>6402.8937100000003</v>
      </c>
      <c r="AE330" s="6">
        <f>$K$330*$Y$330</f>
        <v>0</v>
      </c>
      <c r="AF330" s="6">
        <f ca="1">$M$330*$Z$330</f>
        <v>17674.317477494551</v>
      </c>
      <c r="AG330" s="6">
        <f>$O$330*$AA$330</f>
        <v>5816.2675026827974</v>
      </c>
    </row>
    <row r="331" spans="1:33" ht="11.25" customHeight="1" x14ac:dyDescent="0.25">
      <c r="A331" s="4" t="s">
        <v>21</v>
      </c>
      <c r="B331" s="4" t="s">
        <v>38</v>
      </c>
      <c r="C331" s="4" t="s">
        <v>40</v>
      </c>
      <c r="D331" s="4" t="s">
        <v>37</v>
      </c>
      <c r="E331" s="4" t="s">
        <v>25</v>
      </c>
      <c r="F331" s="4" t="s">
        <v>25</v>
      </c>
      <c r="G331" s="4" t="s">
        <v>25</v>
      </c>
      <c r="H331" s="4" t="s">
        <v>33</v>
      </c>
      <c r="I331" s="5">
        <v>44470</v>
      </c>
      <c r="J331" s="6">
        <v>0</v>
      </c>
      <c r="K331" s="6">
        <v>0</v>
      </c>
      <c r="L331" s="6">
        <v>25.83</v>
      </c>
      <c r="M331" s="6">
        <v>25.83</v>
      </c>
      <c r="N331" s="6">
        <v>25.83</v>
      </c>
      <c r="O331" s="6">
        <v>25.83</v>
      </c>
      <c r="P331" s="6">
        <v>0</v>
      </c>
      <c r="Q331" s="4" t="s">
        <v>26</v>
      </c>
      <c r="R331" s="4">
        <v>0</v>
      </c>
      <c r="S331" s="6">
        <v>0</v>
      </c>
      <c r="T331" s="6">
        <v>16</v>
      </c>
      <c r="U331" s="6">
        <v>47</v>
      </c>
      <c r="V331" s="6">
        <f>IF(ISERROR(VLOOKUP($S$331,'TAR FIN'!$A$1:$O$86,15,0)),0,VLOOKUP($S$331,'TAR FIN'!$A$1:$O$86,15,0))</f>
        <v>0</v>
      </c>
      <c r="W331" s="6">
        <f>IF(ISERROR(VLOOKUP($T$331,'TAR FIN'!$A$1:$O$86,15,0)),0,VLOOKUP($T$331,'TAR FIN'!$A$1:$O$86,15,0))</f>
        <v>1329.67</v>
      </c>
      <c r="X331" s="6">
        <f>IF(ISERROR(VLOOKUP($U$331,'TAR FIN'!$A$1:$O$86,15,0)),0,VLOOKUP($U$331,'TAR FIN'!$A$1:$O$86,15,0))</f>
        <v>389.21</v>
      </c>
      <c r="Y331" s="6"/>
      <c r="Z331" s="6">
        <f ca="1">('TUSD BE'!$AM$12+'TUSD BF'!$AM$12+'TUSD CVA'!$AM$12)*1</f>
        <v>1074.3612836602365</v>
      </c>
      <c r="AA331" s="6">
        <f>('TE BE'!$AB$5+'TE BF'!$AB$5+'TE CVA'!$AB$5)*1</f>
        <v>353.55100010229148</v>
      </c>
      <c r="AB331" s="6">
        <f>$K$331*$V$331</f>
        <v>0</v>
      </c>
      <c r="AC331" s="6">
        <f>$M$331*$W$331</f>
        <v>34345.376100000001</v>
      </c>
      <c r="AD331" s="6">
        <f>$O$331*$X$331</f>
        <v>10053.2943</v>
      </c>
      <c r="AE331" s="6">
        <f>$K$331*$Y$331</f>
        <v>0</v>
      </c>
      <c r="AF331" s="6">
        <f ca="1">$M$331*$Z$331</f>
        <v>27750.751956943906</v>
      </c>
      <c r="AG331" s="6">
        <f>$O$331*$AA$331</f>
        <v>9132.2223326421881</v>
      </c>
    </row>
    <row r="332" spans="1:33" ht="11.25" customHeight="1" x14ac:dyDescent="0.25">
      <c r="A332" s="4" t="s">
        <v>55</v>
      </c>
      <c r="B332" s="4" t="s">
        <v>38</v>
      </c>
      <c r="C332" s="4" t="s">
        <v>40</v>
      </c>
      <c r="D332" s="4" t="s">
        <v>37</v>
      </c>
      <c r="E332" s="4" t="s">
        <v>25</v>
      </c>
      <c r="F332" s="4" t="s">
        <v>25</v>
      </c>
      <c r="G332" s="4" t="s">
        <v>25</v>
      </c>
      <c r="H332" s="4" t="s">
        <v>33</v>
      </c>
      <c r="I332" s="5">
        <v>44470</v>
      </c>
      <c r="J332" s="6">
        <v>0</v>
      </c>
      <c r="K332" s="6">
        <v>0</v>
      </c>
      <c r="L332" s="6">
        <v>18.449000000000002</v>
      </c>
      <c r="M332" s="6">
        <v>18.449000000000002</v>
      </c>
      <c r="N332" s="6">
        <v>18.449000000000002</v>
      </c>
      <c r="O332" s="6">
        <v>18.449000000000002</v>
      </c>
      <c r="P332" s="6">
        <v>0</v>
      </c>
      <c r="Q332" s="4" t="s">
        <v>26</v>
      </c>
      <c r="R332" s="4">
        <v>0</v>
      </c>
      <c r="S332" s="6">
        <v>0</v>
      </c>
      <c r="T332" s="6">
        <v>16</v>
      </c>
      <c r="U332" s="6">
        <v>47</v>
      </c>
      <c r="V332" s="6">
        <f>IF(ISERROR(VLOOKUP($S$332,'TAR FIN'!$A$1:$O$86,15,0)),0,VLOOKUP($S$332,'TAR FIN'!$A$1:$O$86,15,0))</f>
        <v>0</v>
      </c>
      <c r="W332" s="6">
        <f>IF(ISERROR(VLOOKUP($T$332,'TAR FIN'!$A$1:$O$86,15,0)),0,VLOOKUP($T$332,'TAR FIN'!$A$1:$O$86,15,0))</f>
        <v>1329.67</v>
      </c>
      <c r="X332" s="6">
        <f>IF(ISERROR(VLOOKUP($U$332,'TAR FIN'!$A$1:$O$86,15,0)),0,VLOOKUP($U$332,'TAR FIN'!$A$1:$O$86,15,0))</f>
        <v>389.21</v>
      </c>
      <c r="Y332" s="6"/>
      <c r="Z332" s="6">
        <f ca="1">('TUSD BE'!$AM$12+'TUSD BF'!$AM$12+'TUSD CVA'!$AM$12)*1</f>
        <v>1074.3612836602365</v>
      </c>
      <c r="AA332" s="6">
        <f>('TE BE'!$AB$5+'TE BF'!$AB$5+'TE CVA'!$AB$5)*1</f>
        <v>353.55100010229148</v>
      </c>
      <c r="AB332" s="6">
        <f>$K$332*$V$332</f>
        <v>0</v>
      </c>
      <c r="AC332" s="6">
        <f>$M$332*$W$332</f>
        <v>24531.081830000003</v>
      </c>
      <c r="AD332" s="6">
        <f>$O$332*$X$332</f>
        <v>7180.5352899999998</v>
      </c>
      <c r="AE332" s="6">
        <f>$K$332*$Y$332</f>
        <v>0</v>
      </c>
      <c r="AF332" s="6">
        <f ca="1">$M$332*$Z$332</f>
        <v>19820.891322247706</v>
      </c>
      <c r="AG332" s="6">
        <f>$O$332*$AA$332</f>
        <v>6522.6624008871759</v>
      </c>
    </row>
    <row r="333" spans="1:33" ht="11.25" customHeight="1" x14ac:dyDescent="0.25">
      <c r="A333" s="4" t="s">
        <v>21</v>
      </c>
      <c r="B333" s="4" t="s">
        <v>38</v>
      </c>
      <c r="C333" s="4" t="s">
        <v>40</v>
      </c>
      <c r="D333" s="4" t="s">
        <v>37</v>
      </c>
      <c r="E333" s="4" t="s">
        <v>25</v>
      </c>
      <c r="F333" s="4" t="s">
        <v>25</v>
      </c>
      <c r="G333" s="4" t="s">
        <v>25</v>
      </c>
      <c r="H333" s="4" t="s">
        <v>33</v>
      </c>
      <c r="I333" s="5">
        <v>44501</v>
      </c>
      <c r="J333" s="6">
        <v>0</v>
      </c>
      <c r="K333" s="6">
        <v>0</v>
      </c>
      <c r="L333" s="6">
        <v>30.093</v>
      </c>
      <c r="M333" s="6">
        <v>30.093</v>
      </c>
      <c r="N333" s="6">
        <v>30.093</v>
      </c>
      <c r="O333" s="6">
        <v>30.093</v>
      </c>
      <c r="P333" s="6">
        <v>0</v>
      </c>
      <c r="Q333" s="4" t="s">
        <v>26</v>
      </c>
      <c r="R333" s="4">
        <v>0</v>
      </c>
      <c r="S333" s="6">
        <v>0</v>
      </c>
      <c r="T333" s="6">
        <v>16</v>
      </c>
      <c r="U333" s="6">
        <v>47</v>
      </c>
      <c r="V333" s="6">
        <f>IF(ISERROR(VLOOKUP($S$333,'TAR FIN'!$A$1:$O$86,15,0)),0,VLOOKUP($S$333,'TAR FIN'!$A$1:$O$86,15,0))</f>
        <v>0</v>
      </c>
      <c r="W333" s="6">
        <f>IF(ISERROR(VLOOKUP($T$333,'TAR FIN'!$A$1:$O$86,15,0)),0,VLOOKUP($T$333,'TAR FIN'!$A$1:$O$86,15,0))</f>
        <v>1329.67</v>
      </c>
      <c r="X333" s="6">
        <f>IF(ISERROR(VLOOKUP($U$333,'TAR FIN'!$A$1:$O$86,15,0)),0,VLOOKUP($U$333,'TAR FIN'!$A$1:$O$86,15,0))</f>
        <v>389.21</v>
      </c>
      <c r="Y333" s="6"/>
      <c r="Z333" s="6">
        <f ca="1">('TUSD BE'!$AM$12+'TUSD BF'!$AM$12+'TUSD CVA'!$AM$12)*1</f>
        <v>1074.3612836602365</v>
      </c>
      <c r="AA333" s="6">
        <f>('TE BE'!$AB$5+'TE BF'!$AB$5+'TE CVA'!$AB$5)*1</f>
        <v>353.55100010229148</v>
      </c>
      <c r="AB333" s="6">
        <f>$K$333*$V$333</f>
        <v>0</v>
      </c>
      <c r="AC333" s="6">
        <f>$M$333*$W$333</f>
        <v>40013.759310000001</v>
      </c>
      <c r="AD333" s="6">
        <f>$O$333*$X$333</f>
        <v>11712.496529999999</v>
      </c>
      <c r="AE333" s="6">
        <f>$K$333*$Y$333</f>
        <v>0</v>
      </c>
      <c r="AF333" s="6">
        <f ca="1">$M$333*$Z$333</f>
        <v>32330.754109187495</v>
      </c>
      <c r="AG333" s="6">
        <f>$O$333*$AA$333</f>
        <v>10639.410246078258</v>
      </c>
    </row>
    <row r="334" spans="1:33" ht="11.25" customHeight="1" x14ac:dyDescent="0.25">
      <c r="A334" s="4" t="s">
        <v>55</v>
      </c>
      <c r="B334" s="4" t="s">
        <v>38</v>
      </c>
      <c r="C334" s="4" t="s">
        <v>40</v>
      </c>
      <c r="D334" s="4" t="s">
        <v>37</v>
      </c>
      <c r="E334" s="4" t="s">
        <v>25</v>
      </c>
      <c r="F334" s="4" t="s">
        <v>25</v>
      </c>
      <c r="G334" s="4" t="s">
        <v>25</v>
      </c>
      <c r="H334" s="4" t="s">
        <v>33</v>
      </c>
      <c r="I334" s="5">
        <v>44501</v>
      </c>
      <c r="J334" s="6">
        <v>0</v>
      </c>
      <c r="K334" s="6">
        <v>0</v>
      </c>
      <c r="L334" s="6">
        <v>17.776</v>
      </c>
      <c r="M334" s="6">
        <v>17.776</v>
      </c>
      <c r="N334" s="6">
        <v>17.776</v>
      </c>
      <c r="O334" s="6">
        <v>17.776</v>
      </c>
      <c r="P334" s="6">
        <v>0</v>
      </c>
      <c r="Q334" s="4" t="s">
        <v>26</v>
      </c>
      <c r="R334" s="4">
        <v>0</v>
      </c>
      <c r="S334" s="6">
        <v>0</v>
      </c>
      <c r="T334" s="6">
        <v>16</v>
      </c>
      <c r="U334" s="6">
        <v>47</v>
      </c>
      <c r="V334" s="6">
        <f>IF(ISERROR(VLOOKUP($S$334,'TAR FIN'!$A$1:$O$86,15,0)),0,VLOOKUP($S$334,'TAR FIN'!$A$1:$O$86,15,0))</f>
        <v>0</v>
      </c>
      <c r="W334" s="6">
        <f>IF(ISERROR(VLOOKUP($T$334,'TAR FIN'!$A$1:$O$86,15,0)),0,VLOOKUP($T$334,'TAR FIN'!$A$1:$O$86,15,0))</f>
        <v>1329.67</v>
      </c>
      <c r="X334" s="6">
        <f>IF(ISERROR(VLOOKUP($U$334,'TAR FIN'!$A$1:$O$86,15,0)),0,VLOOKUP($U$334,'TAR FIN'!$A$1:$O$86,15,0))</f>
        <v>389.21</v>
      </c>
      <c r="Y334" s="6"/>
      <c r="Z334" s="6">
        <f ca="1">('TUSD BE'!$AM$12+'TUSD BF'!$AM$12+'TUSD CVA'!$AM$12)*1</f>
        <v>1074.3612836602365</v>
      </c>
      <c r="AA334" s="6">
        <f>('TE BE'!$AB$5+'TE BF'!$AB$5+'TE CVA'!$AB$5)*1</f>
        <v>353.55100010229148</v>
      </c>
      <c r="AB334" s="6">
        <f>$K$334*$V$334</f>
        <v>0</v>
      </c>
      <c r="AC334" s="6">
        <f>$M$334*$W$334</f>
        <v>23636.213920000002</v>
      </c>
      <c r="AD334" s="6">
        <f>$O$334*$X$334</f>
        <v>6918.5969599999999</v>
      </c>
      <c r="AE334" s="6">
        <f>$K$334*$Y$334</f>
        <v>0</v>
      </c>
      <c r="AF334" s="6">
        <f ca="1">$M$334*$Z$334</f>
        <v>19097.846178344364</v>
      </c>
      <c r="AG334" s="6">
        <f>$O$334*$AA$334</f>
        <v>6284.7225778183329</v>
      </c>
    </row>
    <row r="335" spans="1:33" ht="11.25" customHeight="1" x14ac:dyDescent="0.25">
      <c r="A335" s="4" t="s">
        <v>21</v>
      </c>
      <c r="B335" s="4" t="s">
        <v>38</v>
      </c>
      <c r="C335" s="4" t="s">
        <v>40</v>
      </c>
      <c r="D335" s="4" t="s">
        <v>37</v>
      </c>
      <c r="E335" s="4" t="s">
        <v>25</v>
      </c>
      <c r="F335" s="4" t="s">
        <v>25</v>
      </c>
      <c r="G335" s="4" t="s">
        <v>25</v>
      </c>
      <c r="H335" s="4" t="s">
        <v>33</v>
      </c>
      <c r="I335" s="5">
        <v>44531</v>
      </c>
      <c r="J335" s="6">
        <v>0</v>
      </c>
      <c r="K335" s="6">
        <v>0</v>
      </c>
      <c r="L335" s="6">
        <v>25.414000000000001</v>
      </c>
      <c r="M335" s="6">
        <v>25.414000000000001</v>
      </c>
      <c r="N335" s="6">
        <v>25.414000000000001</v>
      </c>
      <c r="O335" s="6">
        <v>25.414000000000001</v>
      </c>
      <c r="P335" s="6">
        <v>0</v>
      </c>
      <c r="Q335" s="4" t="s">
        <v>26</v>
      </c>
      <c r="R335" s="4">
        <v>0</v>
      </c>
      <c r="S335" s="6">
        <v>0</v>
      </c>
      <c r="T335" s="6">
        <v>16</v>
      </c>
      <c r="U335" s="6">
        <v>47</v>
      </c>
      <c r="V335" s="6">
        <f>IF(ISERROR(VLOOKUP($S$335,'TAR FIN'!$A$1:$O$86,15,0)),0,VLOOKUP($S$335,'TAR FIN'!$A$1:$O$86,15,0))</f>
        <v>0</v>
      </c>
      <c r="W335" s="6">
        <f>IF(ISERROR(VLOOKUP($T$335,'TAR FIN'!$A$1:$O$86,15,0)),0,VLOOKUP($T$335,'TAR FIN'!$A$1:$O$86,15,0))</f>
        <v>1329.67</v>
      </c>
      <c r="X335" s="6">
        <f>IF(ISERROR(VLOOKUP($U$335,'TAR FIN'!$A$1:$O$86,15,0)),0,VLOOKUP($U$335,'TAR FIN'!$A$1:$O$86,15,0))</f>
        <v>389.21</v>
      </c>
      <c r="Y335" s="6"/>
      <c r="Z335" s="6">
        <f ca="1">('TUSD BE'!$AM$12+'TUSD BF'!$AM$12+'TUSD CVA'!$AM$12)*1</f>
        <v>1074.3612836602365</v>
      </c>
      <c r="AA335" s="6">
        <f>('TE BE'!$AB$5+'TE BF'!$AB$5+'TE CVA'!$AB$5)*1</f>
        <v>353.55100010229148</v>
      </c>
      <c r="AB335" s="6">
        <f>$K$335*$V$335</f>
        <v>0</v>
      </c>
      <c r="AC335" s="6">
        <f>$M$335*$W$335</f>
        <v>33792.233380000005</v>
      </c>
      <c r="AD335" s="6">
        <f>$O$335*$X$335</f>
        <v>9891.3829399999995</v>
      </c>
      <c r="AE335" s="6">
        <f>$K$335*$Y$335</f>
        <v>0</v>
      </c>
      <c r="AF335" s="6">
        <f ca="1">$M$335*$Z$335</f>
        <v>27303.817662941252</v>
      </c>
      <c r="AG335" s="6">
        <f>$O$335*$AA$335</f>
        <v>8985.1451165996368</v>
      </c>
    </row>
    <row r="336" spans="1:33" ht="11.25" customHeight="1" x14ac:dyDescent="0.25">
      <c r="A336" s="4" t="s">
        <v>55</v>
      </c>
      <c r="B336" s="4" t="s">
        <v>38</v>
      </c>
      <c r="C336" s="4" t="s">
        <v>40</v>
      </c>
      <c r="D336" s="4" t="s">
        <v>37</v>
      </c>
      <c r="E336" s="4" t="s">
        <v>25</v>
      </c>
      <c r="F336" s="4" t="s">
        <v>25</v>
      </c>
      <c r="G336" s="4" t="s">
        <v>25</v>
      </c>
      <c r="H336" s="4" t="s">
        <v>33</v>
      </c>
      <c r="I336" s="5">
        <v>44531</v>
      </c>
      <c r="J336" s="6">
        <v>0</v>
      </c>
      <c r="K336" s="6">
        <v>0</v>
      </c>
      <c r="L336" s="6">
        <v>21.821999999999999</v>
      </c>
      <c r="M336" s="6">
        <v>21.821999999999999</v>
      </c>
      <c r="N336" s="6">
        <v>21.821999999999999</v>
      </c>
      <c r="O336" s="6">
        <v>21.821999999999999</v>
      </c>
      <c r="P336" s="6">
        <v>0</v>
      </c>
      <c r="Q336" s="4" t="s">
        <v>26</v>
      </c>
      <c r="R336" s="4">
        <v>0</v>
      </c>
      <c r="S336" s="6">
        <v>0</v>
      </c>
      <c r="T336" s="6">
        <v>16</v>
      </c>
      <c r="U336" s="6">
        <v>47</v>
      </c>
      <c r="V336" s="6">
        <f>IF(ISERROR(VLOOKUP($S$336,'TAR FIN'!$A$1:$O$86,15,0)),0,VLOOKUP($S$336,'TAR FIN'!$A$1:$O$86,15,0))</f>
        <v>0</v>
      </c>
      <c r="W336" s="6">
        <f>IF(ISERROR(VLOOKUP($T$336,'TAR FIN'!$A$1:$O$86,15,0)),0,VLOOKUP($T$336,'TAR FIN'!$A$1:$O$86,15,0))</f>
        <v>1329.67</v>
      </c>
      <c r="X336" s="6">
        <f>IF(ISERROR(VLOOKUP($U$336,'TAR FIN'!$A$1:$O$86,15,0)),0,VLOOKUP($U$336,'TAR FIN'!$A$1:$O$86,15,0))</f>
        <v>389.21</v>
      </c>
      <c r="Y336" s="6"/>
      <c r="Z336" s="6">
        <f ca="1">('TUSD BE'!$AM$12+'TUSD BF'!$AM$12+'TUSD CVA'!$AM$12)*1</f>
        <v>1074.3612836602365</v>
      </c>
      <c r="AA336" s="6">
        <f>('TE BE'!$AB$5+'TE BF'!$AB$5+'TE CVA'!$AB$5)*1</f>
        <v>353.55100010229148</v>
      </c>
      <c r="AB336" s="6">
        <f>$K$336*$V$336</f>
        <v>0</v>
      </c>
      <c r="AC336" s="6">
        <f>$M$336*$W$336</f>
        <v>29016.05874</v>
      </c>
      <c r="AD336" s="6">
        <f>$O$336*$X$336</f>
        <v>8493.340619999999</v>
      </c>
      <c r="AE336" s="6">
        <f>$K$336*$Y$336</f>
        <v>0</v>
      </c>
      <c r="AF336" s="6">
        <f ca="1">$M$336*$Z$336</f>
        <v>23444.711932033679</v>
      </c>
      <c r="AG336" s="6">
        <f>$O$336*$AA$336</f>
        <v>7715.1899242322042</v>
      </c>
    </row>
    <row r="337" spans="1:33" ht="11.25" customHeight="1" x14ac:dyDescent="0.25">
      <c r="A337" s="4" t="s">
        <v>21</v>
      </c>
      <c r="B337" s="4" t="s">
        <v>38</v>
      </c>
      <c r="C337" s="4" t="s">
        <v>40</v>
      </c>
      <c r="D337" s="4" t="s">
        <v>37</v>
      </c>
      <c r="E337" s="4" t="s">
        <v>25</v>
      </c>
      <c r="F337" s="4" t="s">
        <v>25</v>
      </c>
      <c r="G337" s="4" t="s">
        <v>25</v>
      </c>
      <c r="H337" s="4" t="s">
        <v>33</v>
      </c>
      <c r="I337" s="5">
        <v>44562</v>
      </c>
      <c r="J337" s="6">
        <v>0</v>
      </c>
      <c r="K337" s="6">
        <v>0</v>
      </c>
      <c r="L337" s="6">
        <v>23.061</v>
      </c>
      <c r="M337" s="6">
        <v>23.061</v>
      </c>
      <c r="N337" s="6">
        <v>23.061</v>
      </c>
      <c r="O337" s="6">
        <v>23.061</v>
      </c>
      <c r="P337" s="6">
        <v>0</v>
      </c>
      <c r="Q337" s="4" t="s">
        <v>26</v>
      </c>
      <c r="R337" s="4">
        <v>0</v>
      </c>
      <c r="S337" s="6">
        <v>0</v>
      </c>
      <c r="T337" s="6">
        <v>16</v>
      </c>
      <c r="U337" s="6">
        <v>47</v>
      </c>
      <c r="V337" s="6">
        <f>IF(ISERROR(VLOOKUP($S$337,'TAR FIN'!$A$1:$O$86,15,0)),0,VLOOKUP($S$337,'TAR FIN'!$A$1:$O$86,15,0))</f>
        <v>0</v>
      </c>
      <c r="W337" s="6">
        <f>IF(ISERROR(VLOOKUP($T$337,'TAR FIN'!$A$1:$O$86,15,0)),0,VLOOKUP($T$337,'TAR FIN'!$A$1:$O$86,15,0))</f>
        <v>1329.67</v>
      </c>
      <c r="X337" s="6">
        <f>IF(ISERROR(VLOOKUP($U$337,'TAR FIN'!$A$1:$O$86,15,0)),0,VLOOKUP($U$337,'TAR FIN'!$A$1:$O$86,15,0))</f>
        <v>389.21</v>
      </c>
      <c r="Y337" s="6"/>
      <c r="Z337" s="6">
        <f ca="1">('TUSD BE'!$AM$12+'TUSD BF'!$AM$12+'TUSD CVA'!$AM$12)*1</f>
        <v>1074.3612836602365</v>
      </c>
      <c r="AA337" s="6">
        <f>('TE BE'!$AB$5+'TE BF'!$AB$5+'TE CVA'!$AB$5)*1</f>
        <v>353.55100010229148</v>
      </c>
      <c r="AB337" s="6">
        <f>$K$337*$V$337</f>
        <v>0</v>
      </c>
      <c r="AC337" s="6">
        <f>$M$337*$W$337</f>
        <v>30663.51987</v>
      </c>
      <c r="AD337" s="6">
        <f>$O$337*$X$337</f>
        <v>8975.5718099999995</v>
      </c>
      <c r="AE337" s="6">
        <f>$K$337*$Y$337</f>
        <v>0</v>
      </c>
      <c r="AF337" s="6">
        <f ca="1">$M$337*$Z$337</f>
        <v>24775.845562488714</v>
      </c>
      <c r="AG337" s="6">
        <f>$O$337*$AA$337</f>
        <v>8153.2396133589436</v>
      </c>
    </row>
    <row r="338" spans="1:33" ht="11.25" customHeight="1" x14ac:dyDescent="0.25">
      <c r="A338" s="4" t="s">
        <v>55</v>
      </c>
      <c r="B338" s="4" t="s">
        <v>38</v>
      </c>
      <c r="C338" s="4" t="s">
        <v>40</v>
      </c>
      <c r="D338" s="4" t="s">
        <v>37</v>
      </c>
      <c r="E338" s="4" t="s">
        <v>25</v>
      </c>
      <c r="F338" s="4" t="s">
        <v>25</v>
      </c>
      <c r="G338" s="4" t="s">
        <v>25</v>
      </c>
      <c r="H338" s="4" t="s">
        <v>33</v>
      </c>
      <c r="I338" s="5">
        <v>44562</v>
      </c>
      <c r="J338" s="6">
        <v>0</v>
      </c>
      <c r="K338" s="6">
        <v>0</v>
      </c>
      <c r="L338" s="6">
        <v>17.661999999999999</v>
      </c>
      <c r="M338" s="6">
        <v>17.661999999999999</v>
      </c>
      <c r="N338" s="6">
        <v>17.661999999999999</v>
      </c>
      <c r="O338" s="6">
        <v>17.661999999999999</v>
      </c>
      <c r="P338" s="6">
        <v>0</v>
      </c>
      <c r="Q338" s="4" t="s">
        <v>26</v>
      </c>
      <c r="R338" s="4">
        <v>0</v>
      </c>
      <c r="S338" s="6">
        <v>0</v>
      </c>
      <c r="T338" s="6">
        <v>16</v>
      </c>
      <c r="U338" s="6">
        <v>47</v>
      </c>
      <c r="V338" s="6">
        <f>IF(ISERROR(VLOOKUP($S$338,'TAR FIN'!$A$1:$O$86,15,0)),0,VLOOKUP($S$338,'TAR FIN'!$A$1:$O$86,15,0))</f>
        <v>0</v>
      </c>
      <c r="W338" s="6">
        <f>IF(ISERROR(VLOOKUP($T$338,'TAR FIN'!$A$1:$O$86,15,0)),0,VLOOKUP($T$338,'TAR FIN'!$A$1:$O$86,15,0))</f>
        <v>1329.67</v>
      </c>
      <c r="X338" s="6">
        <f>IF(ISERROR(VLOOKUP($U$338,'TAR FIN'!$A$1:$O$86,15,0)),0,VLOOKUP($U$338,'TAR FIN'!$A$1:$O$86,15,0))</f>
        <v>389.21</v>
      </c>
      <c r="Y338" s="6"/>
      <c r="Z338" s="6">
        <f ca="1">('TUSD BE'!$AM$12+'TUSD BF'!$AM$12+'TUSD CVA'!$AM$12)*1</f>
        <v>1074.3612836602365</v>
      </c>
      <c r="AA338" s="6">
        <f>('TE BE'!$AB$5+'TE BF'!$AB$5+'TE CVA'!$AB$5)*1</f>
        <v>353.55100010229148</v>
      </c>
      <c r="AB338" s="6">
        <f>$K$338*$V$338</f>
        <v>0</v>
      </c>
      <c r="AC338" s="6">
        <f>$M$338*$W$338</f>
        <v>23484.631539999998</v>
      </c>
      <c r="AD338" s="6">
        <f>$O$338*$X$338</f>
        <v>6874.2270199999994</v>
      </c>
      <c r="AE338" s="6">
        <f>$K$338*$Y$338</f>
        <v>0</v>
      </c>
      <c r="AF338" s="6">
        <f ca="1">$M$338*$Z$338</f>
        <v>18975.368992007097</v>
      </c>
      <c r="AG338" s="6">
        <f>$O$338*$AA$338</f>
        <v>6244.4177638066722</v>
      </c>
    </row>
    <row r="339" spans="1:33" ht="11.25" customHeight="1" x14ac:dyDescent="0.25">
      <c r="A339" s="4" t="s">
        <v>21</v>
      </c>
      <c r="B339" s="4" t="s">
        <v>38</v>
      </c>
      <c r="C339" s="4" t="s">
        <v>40</v>
      </c>
      <c r="D339" s="4" t="s">
        <v>37</v>
      </c>
      <c r="E339" s="4" t="s">
        <v>25</v>
      </c>
      <c r="F339" s="4" t="s">
        <v>25</v>
      </c>
      <c r="G339" s="4" t="s">
        <v>25</v>
      </c>
      <c r="H339" s="4" t="s">
        <v>33</v>
      </c>
      <c r="I339" s="5">
        <v>44593</v>
      </c>
      <c r="J339" s="6">
        <v>0</v>
      </c>
      <c r="K339" s="6">
        <v>0</v>
      </c>
      <c r="L339" s="6">
        <v>24.135999999999999</v>
      </c>
      <c r="M339" s="6">
        <v>24.135999999999999</v>
      </c>
      <c r="N339" s="6">
        <v>24.135999999999999</v>
      </c>
      <c r="O339" s="6">
        <v>24.135999999999999</v>
      </c>
      <c r="P339" s="6">
        <v>0</v>
      </c>
      <c r="Q339" s="4" t="s">
        <v>26</v>
      </c>
      <c r="R339" s="4">
        <v>0</v>
      </c>
      <c r="S339" s="6">
        <v>0</v>
      </c>
      <c r="T339" s="6">
        <v>16</v>
      </c>
      <c r="U339" s="6">
        <v>47</v>
      </c>
      <c r="V339" s="6">
        <f>IF(ISERROR(VLOOKUP($S$339,'TAR FIN'!$A$1:$O$86,15,0)),0,VLOOKUP($S$339,'TAR FIN'!$A$1:$O$86,15,0))</f>
        <v>0</v>
      </c>
      <c r="W339" s="6">
        <f>IF(ISERROR(VLOOKUP($T$339,'TAR FIN'!$A$1:$O$86,15,0)),0,VLOOKUP($T$339,'TAR FIN'!$A$1:$O$86,15,0))</f>
        <v>1329.67</v>
      </c>
      <c r="X339" s="6">
        <f>IF(ISERROR(VLOOKUP($U$339,'TAR FIN'!$A$1:$O$86,15,0)),0,VLOOKUP($U$339,'TAR FIN'!$A$1:$O$86,15,0))</f>
        <v>389.21</v>
      </c>
      <c r="Y339" s="6"/>
      <c r="Z339" s="6">
        <f ca="1">('TUSD BE'!$AM$12+'TUSD BF'!$AM$12+'TUSD CVA'!$AM$12)*1</f>
        <v>1074.3612836602365</v>
      </c>
      <c r="AA339" s="6">
        <f>('TE BE'!$AB$5+'TE BF'!$AB$5+'TE CVA'!$AB$5)*1</f>
        <v>353.55100010229148</v>
      </c>
      <c r="AB339" s="6">
        <f>$K$339*$V$339</f>
        <v>0</v>
      </c>
      <c r="AC339" s="6">
        <f>$M$339*$W$339</f>
        <v>32092.915120000001</v>
      </c>
      <c r="AD339" s="6">
        <f>$O$339*$X$339</f>
        <v>9393.9725599999983</v>
      </c>
      <c r="AE339" s="6">
        <f>$K$339*$Y$339</f>
        <v>0</v>
      </c>
      <c r="AF339" s="6">
        <f ca="1">$M$339*$Z$339</f>
        <v>25930.783942423466</v>
      </c>
      <c r="AG339" s="6">
        <f>$O$339*$AA$339</f>
        <v>8533.3069384689061</v>
      </c>
    </row>
    <row r="340" spans="1:33" ht="11.25" customHeight="1" x14ac:dyDescent="0.25">
      <c r="A340" s="4" t="s">
        <v>55</v>
      </c>
      <c r="B340" s="4" t="s">
        <v>38</v>
      </c>
      <c r="C340" s="4" t="s">
        <v>40</v>
      </c>
      <c r="D340" s="4" t="s">
        <v>37</v>
      </c>
      <c r="E340" s="4" t="s">
        <v>25</v>
      </c>
      <c r="F340" s="4" t="s">
        <v>25</v>
      </c>
      <c r="G340" s="4" t="s">
        <v>25</v>
      </c>
      <c r="H340" s="4" t="s">
        <v>33</v>
      </c>
      <c r="I340" s="5">
        <v>44593</v>
      </c>
      <c r="J340" s="6">
        <v>0</v>
      </c>
      <c r="K340" s="6">
        <v>0</v>
      </c>
      <c r="L340" s="6">
        <v>25.388999999999999</v>
      </c>
      <c r="M340" s="6">
        <v>25.388999999999999</v>
      </c>
      <c r="N340" s="6">
        <v>25.388999999999999</v>
      </c>
      <c r="O340" s="6">
        <v>25.388999999999999</v>
      </c>
      <c r="P340" s="6">
        <v>0</v>
      </c>
      <c r="Q340" s="4" t="s">
        <v>26</v>
      </c>
      <c r="R340" s="4">
        <v>0</v>
      </c>
      <c r="S340" s="6">
        <v>0</v>
      </c>
      <c r="T340" s="6">
        <v>16</v>
      </c>
      <c r="U340" s="6">
        <v>47</v>
      </c>
      <c r="V340" s="6">
        <f>IF(ISERROR(VLOOKUP($S$340,'TAR FIN'!$A$1:$O$86,15,0)),0,VLOOKUP($S$340,'TAR FIN'!$A$1:$O$86,15,0))</f>
        <v>0</v>
      </c>
      <c r="W340" s="6">
        <f>IF(ISERROR(VLOOKUP($T$340,'TAR FIN'!$A$1:$O$86,15,0)),0,VLOOKUP($T$340,'TAR FIN'!$A$1:$O$86,15,0))</f>
        <v>1329.67</v>
      </c>
      <c r="X340" s="6">
        <f>IF(ISERROR(VLOOKUP($U$340,'TAR FIN'!$A$1:$O$86,15,0)),0,VLOOKUP($U$340,'TAR FIN'!$A$1:$O$86,15,0))</f>
        <v>389.21</v>
      </c>
      <c r="Y340" s="6"/>
      <c r="Z340" s="6">
        <f ca="1">('TUSD BE'!$AM$12+'TUSD BF'!$AM$12+'TUSD CVA'!$AM$12)*1</f>
        <v>1074.3612836602365</v>
      </c>
      <c r="AA340" s="6">
        <f>('TE BE'!$AB$5+'TE BF'!$AB$5+'TE CVA'!$AB$5)*1</f>
        <v>353.55100010229148</v>
      </c>
      <c r="AB340" s="6">
        <f>$K$340*$V$340</f>
        <v>0</v>
      </c>
      <c r="AC340" s="6">
        <f>$M$340*$W$340</f>
        <v>33758.991630000004</v>
      </c>
      <c r="AD340" s="6">
        <f>$O$340*$X$340</f>
        <v>9881.652689999999</v>
      </c>
      <c r="AE340" s="6">
        <f>$K$340*$Y$340</f>
        <v>0</v>
      </c>
      <c r="AF340" s="6">
        <f ca="1">$M$340*$Z$340</f>
        <v>27276.958630849742</v>
      </c>
      <c r="AG340" s="6">
        <f>$O$340*$AA$340</f>
        <v>8976.3063415970773</v>
      </c>
    </row>
    <row r="341" spans="1:33" ht="11.25" customHeight="1" x14ac:dyDescent="0.25">
      <c r="A341" s="4" t="s">
        <v>21</v>
      </c>
      <c r="B341" s="4" t="s">
        <v>38</v>
      </c>
      <c r="C341" s="4" t="s">
        <v>40</v>
      </c>
      <c r="D341" s="4" t="s">
        <v>37</v>
      </c>
      <c r="E341" s="4" t="s">
        <v>25</v>
      </c>
      <c r="F341" s="4" t="s">
        <v>25</v>
      </c>
      <c r="G341" s="4" t="s">
        <v>25</v>
      </c>
      <c r="H341" s="4" t="s">
        <v>33</v>
      </c>
      <c r="I341" s="5">
        <v>44621</v>
      </c>
      <c r="J341" s="6">
        <v>0</v>
      </c>
      <c r="K341" s="6">
        <v>0</v>
      </c>
      <c r="L341" s="6">
        <v>20.448</v>
      </c>
      <c r="M341" s="6">
        <v>20.448</v>
      </c>
      <c r="N341" s="6">
        <v>20.448</v>
      </c>
      <c r="O341" s="6">
        <v>20.448</v>
      </c>
      <c r="P341" s="6">
        <v>0</v>
      </c>
      <c r="Q341" s="4" t="s">
        <v>26</v>
      </c>
      <c r="R341" s="4">
        <v>0</v>
      </c>
      <c r="S341" s="6">
        <v>0</v>
      </c>
      <c r="T341" s="6">
        <v>16</v>
      </c>
      <c r="U341" s="6">
        <v>47</v>
      </c>
      <c r="V341" s="6">
        <f>IF(ISERROR(VLOOKUP($S$341,'TAR FIN'!$A$1:$O$86,15,0)),0,VLOOKUP($S$341,'TAR FIN'!$A$1:$O$86,15,0))</f>
        <v>0</v>
      </c>
      <c r="W341" s="6">
        <f>IF(ISERROR(VLOOKUP($T$341,'TAR FIN'!$A$1:$O$86,15,0)),0,VLOOKUP($T$341,'TAR FIN'!$A$1:$O$86,15,0))</f>
        <v>1329.67</v>
      </c>
      <c r="X341" s="6">
        <f>IF(ISERROR(VLOOKUP($U$341,'TAR FIN'!$A$1:$O$86,15,0)),0,VLOOKUP($U$341,'TAR FIN'!$A$1:$O$86,15,0))</f>
        <v>389.21</v>
      </c>
      <c r="Y341" s="6"/>
      <c r="Z341" s="6">
        <f ca="1">('TUSD BE'!$AM$12+'TUSD BF'!$AM$12+'TUSD CVA'!$AM$12)*1</f>
        <v>1074.3612836602365</v>
      </c>
      <c r="AA341" s="6">
        <f>('TE BE'!$AB$5+'TE BF'!$AB$5+'TE CVA'!$AB$5)*1</f>
        <v>353.55100010229148</v>
      </c>
      <c r="AB341" s="6">
        <f>$K$341*$V$341</f>
        <v>0</v>
      </c>
      <c r="AC341" s="6">
        <f>$M$341*$W$341</f>
        <v>27189.092160000004</v>
      </c>
      <c r="AD341" s="6">
        <f>$O$341*$X$341</f>
        <v>7958.5660799999996</v>
      </c>
      <c r="AE341" s="6">
        <f>$K$341*$Y$341</f>
        <v>0</v>
      </c>
      <c r="AF341" s="6">
        <f ca="1">$M$341*$Z$341</f>
        <v>21968.539528284517</v>
      </c>
      <c r="AG341" s="6">
        <f>$O$341*$AA$341</f>
        <v>7229.4108500916564</v>
      </c>
    </row>
    <row r="342" spans="1:33" ht="11.25" customHeight="1" x14ac:dyDescent="0.25">
      <c r="A342" s="4" t="s">
        <v>55</v>
      </c>
      <c r="B342" s="4" t="s">
        <v>38</v>
      </c>
      <c r="C342" s="4" t="s">
        <v>40</v>
      </c>
      <c r="D342" s="4" t="s">
        <v>37</v>
      </c>
      <c r="E342" s="4" t="s">
        <v>25</v>
      </c>
      <c r="F342" s="4" t="s">
        <v>25</v>
      </c>
      <c r="G342" s="4" t="s">
        <v>25</v>
      </c>
      <c r="H342" s="4" t="s">
        <v>33</v>
      </c>
      <c r="I342" s="5">
        <v>44621</v>
      </c>
      <c r="J342" s="6">
        <v>0</v>
      </c>
      <c r="K342" s="6">
        <v>0</v>
      </c>
      <c r="L342" s="6">
        <v>25.614000000000001</v>
      </c>
      <c r="M342" s="6">
        <v>25.614000000000001</v>
      </c>
      <c r="N342" s="6">
        <v>25.614000000000001</v>
      </c>
      <c r="O342" s="6">
        <v>25.614000000000001</v>
      </c>
      <c r="P342" s="6">
        <v>0</v>
      </c>
      <c r="Q342" s="4" t="s">
        <v>26</v>
      </c>
      <c r="R342" s="4">
        <v>0</v>
      </c>
      <c r="S342" s="6">
        <v>0</v>
      </c>
      <c r="T342" s="6">
        <v>16</v>
      </c>
      <c r="U342" s="6">
        <v>47</v>
      </c>
      <c r="V342" s="6">
        <f>IF(ISERROR(VLOOKUP($S$342,'TAR FIN'!$A$1:$O$86,15,0)),0,VLOOKUP($S$342,'TAR FIN'!$A$1:$O$86,15,0))</f>
        <v>0</v>
      </c>
      <c r="W342" s="6">
        <f>IF(ISERROR(VLOOKUP($T$342,'TAR FIN'!$A$1:$O$86,15,0)),0,VLOOKUP($T$342,'TAR FIN'!$A$1:$O$86,15,0))</f>
        <v>1329.67</v>
      </c>
      <c r="X342" s="6">
        <f>IF(ISERROR(VLOOKUP($U$342,'TAR FIN'!$A$1:$O$86,15,0)),0,VLOOKUP($U$342,'TAR FIN'!$A$1:$O$86,15,0))</f>
        <v>389.21</v>
      </c>
      <c r="Y342" s="6"/>
      <c r="Z342" s="6">
        <f ca="1">('TUSD BE'!$AM$12+'TUSD BF'!$AM$12+'TUSD CVA'!$AM$12)*1</f>
        <v>1074.3612836602365</v>
      </c>
      <c r="AA342" s="6">
        <f>('TE BE'!$AB$5+'TE BF'!$AB$5+'TE CVA'!$AB$5)*1</f>
        <v>353.55100010229148</v>
      </c>
      <c r="AB342" s="6">
        <f>$K$342*$V$342</f>
        <v>0</v>
      </c>
      <c r="AC342" s="6">
        <f>$M$342*$W$342</f>
        <v>34058.167380000006</v>
      </c>
      <c r="AD342" s="6">
        <f>$O$342*$X$342</f>
        <v>9969.2249400000001</v>
      </c>
      <c r="AE342" s="6">
        <f>$K$342*$Y$342</f>
        <v>0</v>
      </c>
      <c r="AF342" s="6">
        <f ca="1">$M$342*$Z$342</f>
        <v>27518.689919673299</v>
      </c>
      <c r="AG342" s="6">
        <f>$O$342*$AA$342</f>
        <v>9055.8553166200945</v>
      </c>
    </row>
    <row r="343" spans="1:33" ht="11.25" customHeight="1" x14ac:dyDescent="0.25">
      <c r="A343" s="4" t="s">
        <v>21</v>
      </c>
      <c r="B343" s="4" t="s">
        <v>38</v>
      </c>
      <c r="C343" s="4" t="s">
        <v>40</v>
      </c>
      <c r="D343" s="4" t="s">
        <v>37</v>
      </c>
      <c r="E343" s="4" t="s">
        <v>25</v>
      </c>
      <c r="F343" s="4" t="s">
        <v>25</v>
      </c>
      <c r="G343" s="4" t="s">
        <v>25</v>
      </c>
      <c r="H343" s="4" t="s">
        <v>33</v>
      </c>
      <c r="I343" s="5">
        <v>44652</v>
      </c>
      <c r="J343" s="6">
        <v>0</v>
      </c>
      <c r="K343" s="6">
        <v>0</v>
      </c>
      <c r="L343" s="6">
        <v>23.533000000000001</v>
      </c>
      <c r="M343" s="6">
        <v>23.533000000000001</v>
      </c>
      <c r="N343" s="6">
        <v>23.533000000000001</v>
      </c>
      <c r="O343" s="6">
        <v>23.533000000000001</v>
      </c>
      <c r="P343" s="6">
        <v>0</v>
      </c>
      <c r="Q343" s="4" t="s">
        <v>26</v>
      </c>
      <c r="R343" s="4">
        <v>0</v>
      </c>
      <c r="S343" s="6">
        <v>0</v>
      </c>
      <c r="T343" s="6">
        <v>16</v>
      </c>
      <c r="U343" s="6">
        <v>47</v>
      </c>
      <c r="V343" s="6">
        <f>IF(ISERROR(VLOOKUP($S$343,'TAR FIN'!$A$1:$O$86,15,0)),0,VLOOKUP($S$343,'TAR FIN'!$A$1:$O$86,15,0))</f>
        <v>0</v>
      </c>
      <c r="W343" s="6">
        <f>IF(ISERROR(VLOOKUP($T$343,'TAR FIN'!$A$1:$O$86,15,0)),0,VLOOKUP($T$343,'TAR FIN'!$A$1:$O$86,15,0))</f>
        <v>1329.67</v>
      </c>
      <c r="X343" s="6">
        <f>IF(ISERROR(VLOOKUP($U$343,'TAR FIN'!$A$1:$O$86,15,0)),0,VLOOKUP($U$343,'TAR FIN'!$A$1:$O$86,15,0))</f>
        <v>389.21</v>
      </c>
      <c r="Y343" s="6"/>
      <c r="Z343" s="6">
        <f ca="1">('TUSD BE'!$AM$12+'TUSD BF'!$AM$12+'TUSD CVA'!$AM$12)*1</f>
        <v>1074.3612836602365</v>
      </c>
      <c r="AA343" s="6">
        <f>('TE BE'!$AB$5+'TE BF'!$AB$5+'TE CVA'!$AB$5)*1</f>
        <v>353.55100010229148</v>
      </c>
      <c r="AB343" s="6">
        <f>$K$343*$V$343</f>
        <v>0</v>
      </c>
      <c r="AC343" s="6">
        <f>$M$343*$W$343</f>
        <v>31291.124110000004</v>
      </c>
      <c r="AD343" s="6">
        <f>$O$343*$X$343</f>
        <v>9159.2789300000004</v>
      </c>
      <c r="AE343" s="6">
        <f>$K$343*$Y$343</f>
        <v>0</v>
      </c>
      <c r="AF343" s="6">
        <f ca="1">$M$343*$Z$343</f>
        <v>25282.944088376345</v>
      </c>
      <c r="AG343" s="6">
        <f>$O$343*$AA$343</f>
        <v>8320.1156854072251</v>
      </c>
    </row>
    <row r="344" spans="1:33" ht="11.25" customHeight="1" x14ac:dyDescent="0.25">
      <c r="A344" s="4" t="s">
        <v>55</v>
      </c>
      <c r="B344" s="4" t="s">
        <v>38</v>
      </c>
      <c r="C344" s="4" t="s">
        <v>40</v>
      </c>
      <c r="D344" s="4" t="s">
        <v>37</v>
      </c>
      <c r="E344" s="4" t="s">
        <v>25</v>
      </c>
      <c r="F344" s="4" t="s">
        <v>25</v>
      </c>
      <c r="G344" s="4" t="s">
        <v>25</v>
      </c>
      <c r="H344" s="4" t="s">
        <v>33</v>
      </c>
      <c r="I344" s="5">
        <v>44652</v>
      </c>
      <c r="J344" s="6">
        <v>0</v>
      </c>
      <c r="K344" s="6">
        <v>0</v>
      </c>
      <c r="L344" s="6">
        <v>11.302</v>
      </c>
      <c r="M344" s="6">
        <v>11.302</v>
      </c>
      <c r="N344" s="6">
        <v>11.302</v>
      </c>
      <c r="O344" s="6">
        <v>11.302</v>
      </c>
      <c r="P344" s="6">
        <v>0</v>
      </c>
      <c r="Q344" s="4" t="s">
        <v>26</v>
      </c>
      <c r="R344" s="4">
        <v>0</v>
      </c>
      <c r="S344" s="6">
        <v>0</v>
      </c>
      <c r="T344" s="6">
        <v>16</v>
      </c>
      <c r="U344" s="6">
        <v>47</v>
      </c>
      <c r="V344" s="6">
        <f>IF(ISERROR(VLOOKUP($S$344,'TAR FIN'!$A$1:$O$86,15,0)),0,VLOOKUP($S$344,'TAR FIN'!$A$1:$O$86,15,0))</f>
        <v>0</v>
      </c>
      <c r="W344" s="6">
        <f>IF(ISERROR(VLOOKUP($T$344,'TAR FIN'!$A$1:$O$86,15,0)),0,VLOOKUP($T$344,'TAR FIN'!$A$1:$O$86,15,0))</f>
        <v>1329.67</v>
      </c>
      <c r="X344" s="6">
        <f>IF(ISERROR(VLOOKUP($U$344,'TAR FIN'!$A$1:$O$86,15,0)),0,VLOOKUP($U$344,'TAR FIN'!$A$1:$O$86,15,0))</f>
        <v>389.21</v>
      </c>
      <c r="Y344" s="6"/>
      <c r="Z344" s="6">
        <f ca="1">('TUSD BE'!$AM$12+'TUSD BF'!$AM$12+'TUSD CVA'!$AM$12)*1</f>
        <v>1074.3612836602365</v>
      </c>
      <c r="AA344" s="6">
        <f>('TE BE'!$AB$5+'TE BF'!$AB$5+'TE CVA'!$AB$5)*1</f>
        <v>353.55100010229148</v>
      </c>
      <c r="AB344" s="6">
        <f>$K$344*$V$344</f>
        <v>0</v>
      </c>
      <c r="AC344" s="6">
        <f>$M$344*$W$344</f>
        <v>15027.930340000001</v>
      </c>
      <c r="AD344" s="6">
        <f>$O$344*$X$344</f>
        <v>4398.85142</v>
      </c>
      <c r="AE344" s="6">
        <f>$K$344*$Y$344</f>
        <v>0</v>
      </c>
      <c r="AF344" s="6">
        <f ca="1">$M$344*$Z$344</f>
        <v>12142.431227927993</v>
      </c>
      <c r="AG344" s="6">
        <f>$O$344*$AA$344</f>
        <v>3995.833403156098</v>
      </c>
    </row>
    <row r="345" spans="1:33" ht="11.25" customHeight="1" x14ac:dyDescent="0.25">
      <c r="A345" s="4" t="s">
        <v>21</v>
      </c>
      <c r="B345" s="4" t="s">
        <v>38</v>
      </c>
      <c r="C345" s="4" t="s">
        <v>40</v>
      </c>
      <c r="D345" s="4" t="s">
        <v>37</v>
      </c>
      <c r="E345" s="4" t="s">
        <v>25</v>
      </c>
      <c r="F345" s="4" t="s">
        <v>25</v>
      </c>
      <c r="G345" s="4" t="s">
        <v>25</v>
      </c>
      <c r="H345" s="4" t="s">
        <v>33</v>
      </c>
      <c r="I345" s="5">
        <v>44682</v>
      </c>
      <c r="J345" s="6">
        <v>0</v>
      </c>
      <c r="K345" s="6">
        <v>0</v>
      </c>
      <c r="L345" s="6">
        <v>20.510999999999999</v>
      </c>
      <c r="M345" s="6">
        <v>20.510999999999999</v>
      </c>
      <c r="N345" s="6">
        <v>20.510999999999999</v>
      </c>
      <c r="O345" s="6">
        <v>20.510999999999999</v>
      </c>
      <c r="P345" s="6">
        <v>0</v>
      </c>
      <c r="Q345" s="4" t="s">
        <v>26</v>
      </c>
      <c r="R345" s="4">
        <v>0</v>
      </c>
      <c r="S345" s="6">
        <v>0</v>
      </c>
      <c r="T345" s="6">
        <v>16</v>
      </c>
      <c r="U345" s="6">
        <v>47</v>
      </c>
      <c r="V345" s="6">
        <f>IF(ISERROR(VLOOKUP($S$345,'TAR FIN'!$A$1:$O$86,15,0)),0,VLOOKUP($S$345,'TAR FIN'!$A$1:$O$86,15,0))</f>
        <v>0</v>
      </c>
      <c r="W345" s="6">
        <f>IF(ISERROR(VLOOKUP($T$345,'TAR FIN'!$A$1:$O$86,15,0)),0,VLOOKUP($T$345,'TAR FIN'!$A$1:$O$86,15,0))</f>
        <v>1329.67</v>
      </c>
      <c r="X345" s="6">
        <f>IF(ISERROR(VLOOKUP($U$345,'TAR FIN'!$A$1:$O$86,15,0)),0,VLOOKUP($U$345,'TAR FIN'!$A$1:$O$86,15,0))</f>
        <v>389.21</v>
      </c>
      <c r="Y345" s="6"/>
      <c r="Z345" s="6">
        <f ca="1">('TUSD BE'!$AM$12+'TUSD BF'!$AM$12+'TUSD CVA'!$AM$12)*1</f>
        <v>1074.3612836602365</v>
      </c>
      <c r="AA345" s="6">
        <f>('TE BE'!$AB$5+'TE BF'!$AB$5+'TE CVA'!$AB$5)*1</f>
        <v>353.55100010229148</v>
      </c>
      <c r="AB345" s="6">
        <f>$K$345*$V$345</f>
        <v>0</v>
      </c>
      <c r="AC345" s="6">
        <f>$M$345*$W$345</f>
        <v>27272.861369999999</v>
      </c>
      <c r="AD345" s="6">
        <f>$O$345*$X$345</f>
        <v>7983.0863099999997</v>
      </c>
      <c r="AE345" s="6">
        <f>$K$345*$Y$345</f>
        <v>0</v>
      </c>
      <c r="AF345" s="6">
        <f ca="1">$M$345*$Z$345</f>
        <v>22036.22428915511</v>
      </c>
      <c r="AG345" s="6">
        <f>$O$345*$AA$345</f>
        <v>7251.6845630981006</v>
      </c>
    </row>
    <row r="346" spans="1:33" ht="11.25" customHeight="1" x14ac:dyDescent="0.25">
      <c r="A346" s="4" t="s">
        <v>55</v>
      </c>
      <c r="B346" s="4" t="s">
        <v>38</v>
      </c>
      <c r="C346" s="4" t="s">
        <v>40</v>
      </c>
      <c r="D346" s="4" t="s">
        <v>37</v>
      </c>
      <c r="E346" s="4" t="s">
        <v>25</v>
      </c>
      <c r="F346" s="4" t="s">
        <v>25</v>
      </c>
      <c r="G346" s="4" t="s">
        <v>25</v>
      </c>
      <c r="H346" s="4" t="s">
        <v>33</v>
      </c>
      <c r="I346" s="5">
        <v>44682</v>
      </c>
      <c r="J346" s="6">
        <v>0</v>
      </c>
      <c r="K346" s="6">
        <v>0</v>
      </c>
      <c r="L346" s="6">
        <v>11.206</v>
      </c>
      <c r="M346" s="6">
        <v>11.206</v>
      </c>
      <c r="N346" s="6">
        <v>11.206</v>
      </c>
      <c r="O346" s="6">
        <v>11.206</v>
      </c>
      <c r="P346" s="6">
        <v>0</v>
      </c>
      <c r="Q346" s="4" t="s">
        <v>26</v>
      </c>
      <c r="R346" s="4">
        <v>0</v>
      </c>
      <c r="S346" s="6">
        <v>0</v>
      </c>
      <c r="T346" s="6">
        <v>16</v>
      </c>
      <c r="U346" s="6">
        <v>47</v>
      </c>
      <c r="V346" s="6">
        <f>IF(ISERROR(VLOOKUP($S$346,'TAR FIN'!$A$1:$O$86,15,0)),0,VLOOKUP($S$346,'TAR FIN'!$A$1:$O$86,15,0))</f>
        <v>0</v>
      </c>
      <c r="W346" s="6">
        <f>IF(ISERROR(VLOOKUP($T$346,'TAR FIN'!$A$1:$O$86,15,0)),0,VLOOKUP($T$346,'TAR FIN'!$A$1:$O$86,15,0))</f>
        <v>1329.67</v>
      </c>
      <c r="X346" s="6">
        <f>IF(ISERROR(VLOOKUP($U$346,'TAR FIN'!$A$1:$O$86,15,0)),0,VLOOKUP($U$346,'TAR FIN'!$A$1:$O$86,15,0))</f>
        <v>389.21</v>
      </c>
      <c r="Y346" s="6"/>
      <c r="Z346" s="6">
        <f ca="1">('TUSD BE'!$AM$12+'TUSD BF'!$AM$12+'TUSD CVA'!$AM$12)*1</f>
        <v>1074.3612836602365</v>
      </c>
      <c r="AA346" s="6">
        <f>('TE BE'!$AB$5+'TE BF'!$AB$5+'TE CVA'!$AB$5)*1</f>
        <v>353.55100010229148</v>
      </c>
      <c r="AB346" s="6">
        <f>$K$346*$V$346</f>
        <v>0</v>
      </c>
      <c r="AC346" s="6">
        <f>$M$346*$W$346</f>
        <v>14900.282020000001</v>
      </c>
      <c r="AD346" s="6">
        <f>$O$346*$X$346</f>
        <v>4361.4872599999999</v>
      </c>
      <c r="AE346" s="6">
        <f>$K$346*$Y$346</f>
        <v>0</v>
      </c>
      <c r="AF346" s="6">
        <f ca="1">$M$346*$Z$346</f>
        <v>12039.292544696609</v>
      </c>
      <c r="AG346" s="6">
        <f>$O$346*$AA$346</f>
        <v>3961.8925071462781</v>
      </c>
    </row>
    <row r="347" spans="1:33" ht="11.25" customHeight="1" x14ac:dyDescent="0.25">
      <c r="A347" s="4" t="s">
        <v>56</v>
      </c>
      <c r="B347" s="4" t="s">
        <v>38</v>
      </c>
      <c r="C347" s="4" t="s">
        <v>40</v>
      </c>
      <c r="D347" s="4" t="s">
        <v>37</v>
      </c>
      <c r="E347" s="4" t="s">
        <v>25</v>
      </c>
      <c r="F347" s="4" t="s">
        <v>25</v>
      </c>
      <c r="G347" s="4" t="s">
        <v>25</v>
      </c>
      <c r="H347" s="4" t="s">
        <v>33</v>
      </c>
      <c r="I347" s="5">
        <v>44713</v>
      </c>
      <c r="J347" s="6">
        <v>0</v>
      </c>
      <c r="K347" s="6">
        <v>0</v>
      </c>
      <c r="L347" s="6">
        <v>20.510999999999999</v>
      </c>
      <c r="M347" s="6">
        <v>20.510999999999999</v>
      </c>
      <c r="N347" s="6">
        <v>20.510999999999999</v>
      </c>
      <c r="O347" s="6">
        <v>20.510999999999999</v>
      </c>
      <c r="P347" s="6">
        <v>0</v>
      </c>
      <c r="Q347" s="4" t="s">
        <v>26</v>
      </c>
      <c r="R347" s="4">
        <v>0</v>
      </c>
      <c r="S347" s="6">
        <v>0</v>
      </c>
      <c r="T347" s="6">
        <v>16</v>
      </c>
      <c r="U347" s="6">
        <v>47</v>
      </c>
      <c r="V347" s="6">
        <f>IF(ISERROR(VLOOKUP($S$347,'TAR FIN'!$A$1:$O$86,15,0)),0,VLOOKUP($S$347,'TAR FIN'!$A$1:$O$86,15,0))</f>
        <v>0</v>
      </c>
      <c r="W347" s="6">
        <f>IF(ISERROR(VLOOKUP($T$347,'TAR FIN'!$A$1:$O$86,15,0)),0,VLOOKUP($T$347,'TAR FIN'!$A$1:$O$86,15,0))</f>
        <v>1329.67</v>
      </c>
      <c r="X347" s="6">
        <f>IF(ISERROR(VLOOKUP($U$347,'TAR FIN'!$A$1:$O$86,15,0)),0,VLOOKUP($U$347,'TAR FIN'!$A$1:$O$86,15,0))</f>
        <v>389.21</v>
      </c>
      <c r="Y347" s="6"/>
      <c r="Z347" s="6">
        <f ca="1">('TUSD BE'!$AM$12+'TUSD BF'!$AM$12+'TUSD CVA'!$AM$12)*1</f>
        <v>1074.3612836602365</v>
      </c>
      <c r="AA347" s="6">
        <f>('TE BE'!$AB$5+'TE BF'!$AB$5+'TE CVA'!$AB$5)*1</f>
        <v>353.55100010229148</v>
      </c>
      <c r="AB347" s="6">
        <f>$K$347*$V$347</f>
        <v>0</v>
      </c>
      <c r="AC347" s="6">
        <f>$M$347*$W$347</f>
        <v>27272.861369999999</v>
      </c>
      <c r="AD347" s="6">
        <f>$O$347*$X$347</f>
        <v>7983.0863099999997</v>
      </c>
      <c r="AE347" s="6">
        <f>$K$347*$Y$347</f>
        <v>0</v>
      </c>
      <c r="AF347" s="6">
        <f ca="1">$M$347*$Z$347</f>
        <v>22036.22428915511</v>
      </c>
      <c r="AG347" s="6">
        <f>$O$347*$AA$347</f>
        <v>7251.6845630981006</v>
      </c>
    </row>
    <row r="348" spans="1:33" ht="11.25" customHeight="1" x14ac:dyDescent="0.25">
      <c r="A348" s="4" t="s">
        <v>56</v>
      </c>
      <c r="B348" s="4" t="s">
        <v>38</v>
      </c>
      <c r="C348" s="4" t="s">
        <v>40</v>
      </c>
      <c r="D348" s="4" t="s">
        <v>37</v>
      </c>
      <c r="E348" s="4" t="s">
        <v>25</v>
      </c>
      <c r="F348" s="4" t="s">
        <v>25</v>
      </c>
      <c r="G348" s="4" t="s">
        <v>25</v>
      </c>
      <c r="H348" s="4" t="s">
        <v>33</v>
      </c>
      <c r="I348" s="5">
        <v>44713</v>
      </c>
      <c r="J348" s="6">
        <v>0</v>
      </c>
      <c r="K348" s="6">
        <v>0</v>
      </c>
      <c r="L348" s="6">
        <v>11.206</v>
      </c>
      <c r="M348" s="6">
        <v>11.206</v>
      </c>
      <c r="N348" s="6">
        <v>11.206</v>
      </c>
      <c r="O348" s="6">
        <v>11.206</v>
      </c>
      <c r="P348" s="6">
        <v>0</v>
      </c>
      <c r="Q348" s="4" t="s">
        <v>26</v>
      </c>
      <c r="R348" s="4">
        <v>0</v>
      </c>
      <c r="S348" s="6">
        <v>0</v>
      </c>
      <c r="T348" s="6">
        <v>16</v>
      </c>
      <c r="U348" s="6">
        <v>47</v>
      </c>
      <c r="V348" s="6">
        <f>IF(ISERROR(VLOOKUP($S$348,'TAR FIN'!$A$1:$O$86,15,0)),0,VLOOKUP($S$348,'TAR FIN'!$A$1:$O$86,15,0))</f>
        <v>0</v>
      </c>
      <c r="W348" s="6">
        <f>IF(ISERROR(VLOOKUP($T$348,'TAR FIN'!$A$1:$O$86,15,0)),0,VLOOKUP($T$348,'TAR FIN'!$A$1:$O$86,15,0))</f>
        <v>1329.67</v>
      </c>
      <c r="X348" s="6">
        <f>IF(ISERROR(VLOOKUP($U$348,'TAR FIN'!$A$1:$O$86,15,0)),0,VLOOKUP($U$348,'TAR FIN'!$A$1:$O$86,15,0))</f>
        <v>389.21</v>
      </c>
      <c r="Y348" s="6"/>
      <c r="Z348" s="6">
        <f ca="1">('TUSD BE'!$AM$12+'TUSD BF'!$AM$12+'TUSD CVA'!$AM$12)*1</f>
        <v>1074.3612836602365</v>
      </c>
      <c r="AA348" s="6">
        <f>('TE BE'!$AB$5+'TE BF'!$AB$5+'TE CVA'!$AB$5)*1</f>
        <v>353.55100010229148</v>
      </c>
      <c r="AB348" s="6">
        <f>$K$348*$V$348</f>
        <v>0</v>
      </c>
      <c r="AC348" s="6">
        <f>$M$348*$W$348</f>
        <v>14900.282020000001</v>
      </c>
      <c r="AD348" s="6">
        <f>$O$348*$X$348</f>
        <v>4361.4872599999999</v>
      </c>
      <c r="AE348" s="6">
        <f>$K$348*$Y$348</f>
        <v>0</v>
      </c>
      <c r="AF348" s="6">
        <f ca="1">$M$348*$Z$348</f>
        <v>12039.292544696609</v>
      </c>
      <c r="AG348" s="6">
        <f>$O$348*$AA$348</f>
        <v>3961.8925071462781</v>
      </c>
    </row>
    <row r="349" spans="1:33" ht="11.25" customHeight="1" x14ac:dyDescent="0.25">
      <c r="A349" s="4" t="s">
        <v>21</v>
      </c>
      <c r="B349" s="4" t="s">
        <v>38</v>
      </c>
      <c r="C349" s="4" t="s">
        <v>40</v>
      </c>
      <c r="D349" s="4" t="s">
        <v>44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44378</v>
      </c>
      <c r="J349" s="6">
        <v>0</v>
      </c>
      <c r="K349" s="6">
        <v>0</v>
      </c>
      <c r="L349" s="6">
        <v>36.948999999999998</v>
      </c>
      <c r="M349" s="6">
        <v>36.948999999999998</v>
      </c>
      <c r="N349" s="6">
        <v>36.948999999999998</v>
      </c>
      <c r="O349" s="6">
        <v>36.948999999999998</v>
      </c>
      <c r="P349" s="6">
        <v>0</v>
      </c>
      <c r="Q349" s="4" t="s">
        <v>26</v>
      </c>
      <c r="R349" s="4">
        <v>0</v>
      </c>
      <c r="S349" s="6">
        <v>0</v>
      </c>
      <c r="T349" s="6">
        <v>14</v>
      </c>
      <c r="U349" s="6">
        <v>42</v>
      </c>
      <c r="V349" s="6">
        <f>IF(ISERROR(VLOOKUP($S$349,'TAR FIN'!$A$1:$O$86,15,0)),0,VLOOKUP($S$349,'TAR FIN'!$A$1:$O$86,15,0))</f>
        <v>0</v>
      </c>
      <c r="W349" s="6">
        <f>IF(ISERROR(VLOOKUP($T$349,'TAR FIN'!$A$1:$O$86,15,0)),0,VLOOKUP($T$349,'TAR FIN'!$A$1:$O$86,15,0))</f>
        <v>78.680000000000007</v>
      </c>
      <c r="X349" s="6">
        <f>IF(ISERROR(VLOOKUP($U$349,'TAR FIN'!$A$1:$O$86,15,0)),0,VLOOKUP($U$349,'TAR FIN'!$A$1:$O$86,15,0))</f>
        <v>246.3</v>
      </c>
      <c r="Y349" s="6"/>
      <c r="Z349" s="6">
        <f ca="1">('TUSD BE'!$AM$13+'TUSD BF'!$AM$13+'TUSD CVA'!$AM$13)*1</f>
        <v>100.23755694003805</v>
      </c>
      <c r="AA349" s="6">
        <f>('TE BE'!$AB$6+'TE BF'!$AB$6+'TE CVA'!$AB$6)*1</f>
        <v>219.40364509824883</v>
      </c>
      <c r="AB349" s="6">
        <f>$K$349*$V$349</f>
        <v>0</v>
      </c>
      <c r="AC349" s="6">
        <f>$M$349*$W$349</f>
        <v>2907.14732</v>
      </c>
      <c r="AD349" s="6">
        <f>$O$349*$X$349</f>
        <v>9100.5386999999992</v>
      </c>
      <c r="AE349" s="6">
        <f>$K$349*$Y$349</f>
        <v>0</v>
      </c>
      <c r="AF349" s="6">
        <f ca="1">$M$349*$Z$349</f>
        <v>3703.6774913774657</v>
      </c>
      <c r="AG349" s="6">
        <f>$O$349*$AA$349</f>
        <v>8106.7452827351954</v>
      </c>
    </row>
    <row r="350" spans="1:33" ht="11.25" customHeight="1" x14ac:dyDescent="0.25">
      <c r="A350" s="4" t="s">
        <v>21</v>
      </c>
      <c r="B350" s="4" t="s">
        <v>38</v>
      </c>
      <c r="C350" s="4" t="s">
        <v>40</v>
      </c>
      <c r="D350" s="4" t="s">
        <v>44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44409</v>
      </c>
      <c r="J350" s="6">
        <v>0</v>
      </c>
      <c r="K350" s="6">
        <v>0</v>
      </c>
      <c r="L350" s="6">
        <v>32.012999999999998</v>
      </c>
      <c r="M350" s="6">
        <v>32.012999999999998</v>
      </c>
      <c r="N350" s="6">
        <v>32.012999999999998</v>
      </c>
      <c r="O350" s="6">
        <v>32.012999999999998</v>
      </c>
      <c r="P350" s="6">
        <v>0</v>
      </c>
      <c r="Q350" s="4" t="s">
        <v>26</v>
      </c>
      <c r="R350" s="4">
        <v>0</v>
      </c>
      <c r="S350" s="6">
        <v>0</v>
      </c>
      <c r="T350" s="6">
        <v>14</v>
      </c>
      <c r="U350" s="6">
        <v>42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78.680000000000007</v>
      </c>
      <c r="X350" s="6">
        <f>IF(ISERROR(VLOOKUP($U$350,'TAR FIN'!$A$1:$O$86,15,0)),0,VLOOKUP($U$350,'TAR FIN'!$A$1:$O$86,15,0))</f>
        <v>246.3</v>
      </c>
      <c r="Y350" s="6"/>
      <c r="Z350" s="6">
        <f ca="1">('TUSD BE'!$AM$13+'TUSD BF'!$AM$13+'TUSD CVA'!$AM$13)*1</f>
        <v>100.23755694003805</v>
      </c>
      <c r="AA350" s="6">
        <f>('TE BE'!$AB$6+'TE BF'!$AB$6+'TE CVA'!$AB$6)*1</f>
        <v>219.40364509824883</v>
      </c>
      <c r="AB350" s="6">
        <f>$K$350*$V$350</f>
        <v>0</v>
      </c>
      <c r="AC350" s="6">
        <f>$M$350*$W$350</f>
        <v>2518.7828399999999</v>
      </c>
      <c r="AD350" s="6">
        <f>$O$350*$X$350</f>
        <v>7884.8018999999995</v>
      </c>
      <c r="AE350" s="6">
        <f>$K$350*$Y$350</f>
        <v>0</v>
      </c>
      <c r="AF350" s="6">
        <f ca="1">$M$350*$Z$350</f>
        <v>3208.9049103214379</v>
      </c>
      <c r="AG350" s="6">
        <f>$O$350*$AA$350</f>
        <v>7023.7688905302393</v>
      </c>
    </row>
    <row r="351" spans="1:33" ht="11.25" customHeight="1" x14ac:dyDescent="0.25">
      <c r="A351" s="4" t="s">
        <v>21</v>
      </c>
      <c r="B351" s="4" t="s">
        <v>38</v>
      </c>
      <c r="C351" s="4" t="s">
        <v>40</v>
      </c>
      <c r="D351" s="4" t="s">
        <v>44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44440</v>
      </c>
      <c r="J351" s="6">
        <v>0</v>
      </c>
      <c r="K351" s="6">
        <v>0</v>
      </c>
      <c r="L351" s="6">
        <v>28.440999999999999</v>
      </c>
      <c r="M351" s="6">
        <v>28.440999999999999</v>
      </c>
      <c r="N351" s="6">
        <v>28.440999999999999</v>
      </c>
      <c r="O351" s="6">
        <v>28.440999999999999</v>
      </c>
      <c r="P351" s="6">
        <v>0</v>
      </c>
      <c r="Q351" s="4" t="s">
        <v>26</v>
      </c>
      <c r="R351" s="4">
        <v>0</v>
      </c>
      <c r="S351" s="6">
        <v>0</v>
      </c>
      <c r="T351" s="6">
        <v>14</v>
      </c>
      <c r="U351" s="6">
        <v>42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78.680000000000007</v>
      </c>
      <c r="X351" s="6">
        <f>IF(ISERROR(VLOOKUP($U$351,'TAR FIN'!$A$1:$O$86,15,0)),0,VLOOKUP($U$351,'TAR FIN'!$A$1:$O$86,15,0))</f>
        <v>246.3</v>
      </c>
      <c r="Y351" s="6"/>
      <c r="Z351" s="6">
        <f ca="1">('TUSD BE'!$AM$13+'TUSD BF'!$AM$13+'TUSD CVA'!$AM$13)*1</f>
        <v>100.23755694003805</v>
      </c>
      <c r="AA351" s="6">
        <f>('TE BE'!$AB$6+'TE BF'!$AB$6+'TE CVA'!$AB$6)*1</f>
        <v>219.40364509824883</v>
      </c>
      <c r="AB351" s="6">
        <f>$K$351*$V$351</f>
        <v>0</v>
      </c>
      <c r="AC351" s="6">
        <f>$M$351*$W$351</f>
        <v>2237.7378800000001</v>
      </c>
      <c r="AD351" s="6">
        <f>$O$351*$X$351</f>
        <v>7005.0182999999997</v>
      </c>
      <c r="AE351" s="6">
        <f>$K$351*$Y$351</f>
        <v>0</v>
      </c>
      <c r="AF351" s="6">
        <f ca="1">$M$351*$Z$351</f>
        <v>2850.856356931622</v>
      </c>
      <c r="AG351" s="6">
        <f>$O$351*$AA$351</f>
        <v>6240.0590702392947</v>
      </c>
    </row>
    <row r="352" spans="1:33" ht="11.25" customHeight="1" x14ac:dyDescent="0.25">
      <c r="A352" s="4" t="s">
        <v>21</v>
      </c>
      <c r="B352" s="4" t="s">
        <v>38</v>
      </c>
      <c r="C352" s="4" t="s">
        <v>40</v>
      </c>
      <c r="D352" s="4" t="s">
        <v>44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44470</v>
      </c>
      <c r="J352" s="6">
        <v>0</v>
      </c>
      <c r="K352" s="6">
        <v>0</v>
      </c>
      <c r="L352" s="6">
        <v>28.876999999999999</v>
      </c>
      <c r="M352" s="6">
        <v>28.876999999999999</v>
      </c>
      <c r="N352" s="6">
        <v>28.876999999999999</v>
      </c>
      <c r="O352" s="6">
        <v>28.876999999999999</v>
      </c>
      <c r="P352" s="6">
        <v>0</v>
      </c>
      <c r="Q352" s="4" t="s">
        <v>26</v>
      </c>
      <c r="R352" s="4">
        <v>0</v>
      </c>
      <c r="S352" s="6">
        <v>0</v>
      </c>
      <c r="T352" s="6">
        <v>14</v>
      </c>
      <c r="U352" s="6">
        <v>42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78.680000000000007</v>
      </c>
      <c r="X352" s="6">
        <f>IF(ISERROR(VLOOKUP($U$352,'TAR FIN'!$A$1:$O$86,15,0)),0,VLOOKUP($U$352,'TAR FIN'!$A$1:$O$86,15,0))</f>
        <v>246.3</v>
      </c>
      <c r="Y352" s="6"/>
      <c r="Z352" s="6">
        <f ca="1">('TUSD BE'!$AM$13+'TUSD BF'!$AM$13+'TUSD CVA'!$AM$13)*1</f>
        <v>100.23755694003805</v>
      </c>
      <c r="AA352" s="6">
        <f>('TE BE'!$AB$6+'TE BF'!$AB$6+'TE CVA'!$AB$6)*1</f>
        <v>219.40364509824883</v>
      </c>
      <c r="AB352" s="6">
        <f>$K$352*$V$352</f>
        <v>0</v>
      </c>
      <c r="AC352" s="6">
        <f>$M$352*$W$352</f>
        <v>2272.0423599999999</v>
      </c>
      <c r="AD352" s="6">
        <f>$O$352*$X$352</f>
        <v>7112.4050999999999</v>
      </c>
      <c r="AE352" s="6">
        <f>$K$352*$Y$352</f>
        <v>0</v>
      </c>
      <c r="AF352" s="6">
        <f ca="1">$M$352*$Z$352</f>
        <v>2894.5599317574784</v>
      </c>
      <c r="AG352" s="6">
        <f>$O$352*$AA$352</f>
        <v>6335.7190595021311</v>
      </c>
    </row>
    <row r="353" spans="1:33" ht="11.25" customHeight="1" x14ac:dyDescent="0.25">
      <c r="A353" s="4" t="s">
        <v>21</v>
      </c>
      <c r="B353" s="4" t="s">
        <v>38</v>
      </c>
      <c r="C353" s="4" t="s">
        <v>40</v>
      </c>
      <c r="D353" s="4" t="s">
        <v>44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44501</v>
      </c>
      <c r="J353" s="6">
        <v>0</v>
      </c>
      <c r="K353" s="6">
        <v>0</v>
      </c>
      <c r="L353" s="6">
        <v>35.542999999999999</v>
      </c>
      <c r="M353" s="6">
        <v>35.542999999999999</v>
      </c>
      <c r="N353" s="6">
        <v>35.542999999999999</v>
      </c>
      <c r="O353" s="6">
        <v>35.542999999999999</v>
      </c>
      <c r="P353" s="6">
        <v>0</v>
      </c>
      <c r="Q353" s="4" t="s">
        <v>26</v>
      </c>
      <c r="R353" s="4">
        <v>0</v>
      </c>
      <c r="S353" s="6">
        <v>0</v>
      </c>
      <c r="T353" s="6">
        <v>14</v>
      </c>
      <c r="U353" s="6">
        <v>42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78.680000000000007</v>
      </c>
      <c r="X353" s="6">
        <f>IF(ISERROR(VLOOKUP($U$353,'TAR FIN'!$A$1:$O$86,15,0)),0,VLOOKUP($U$353,'TAR FIN'!$A$1:$O$86,15,0))</f>
        <v>246.3</v>
      </c>
      <c r="Y353" s="6"/>
      <c r="Z353" s="6">
        <f ca="1">('TUSD BE'!$AM$13+'TUSD BF'!$AM$13+'TUSD CVA'!$AM$13)*1</f>
        <v>100.23755694003805</v>
      </c>
      <c r="AA353" s="6">
        <f>('TE BE'!$AB$6+'TE BF'!$AB$6+'TE CVA'!$AB$6)*1</f>
        <v>219.40364509824883</v>
      </c>
      <c r="AB353" s="6">
        <f>$K$353*$V$353</f>
        <v>0</v>
      </c>
      <c r="AC353" s="6">
        <f>$M$353*$W$353</f>
        <v>2796.52324</v>
      </c>
      <c r="AD353" s="6">
        <f>$O$353*$X$353</f>
        <v>8754.2409000000007</v>
      </c>
      <c r="AE353" s="6">
        <f>$K$353*$Y$353</f>
        <v>0</v>
      </c>
      <c r="AF353" s="6">
        <f ca="1">$M$353*$Z$353</f>
        <v>3562.7434863197723</v>
      </c>
      <c r="AG353" s="6">
        <f>$O$353*$AA$353</f>
        <v>7798.263757727058</v>
      </c>
    </row>
    <row r="354" spans="1:33" ht="11.25" customHeight="1" x14ac:dyDescent="0.25">
      <c r="A354" s="4" t="s">
        <v>21</v>
      </c>
      <c r="B354" s="4" t="s">
        <v>38</v>
      </c>
      <c r="C354" s="4" t="s">
        <v>40</v>
      </c>
      <c r="D354" s="4" t="s">
        <v>44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44531</v>
      </c>
      <c r="J354" s="6">
        <v>0</v>
      </c>
      <c r="K354" s="6">
        <v>0</v>
      </c>
      <c r="L354" s="6">
        <v>37.052</v>
      </c>
      <c r="M354" s="6">
        <v>37.052</v>
      </c>
      <c r="N354" s="6">
        <v>37.052</v>
      </c>
      <c r="O354" s="6">
        <v>37.052</v>
      </c>
      <c r="P354" s="6">
        <v>0</v>
      </c>
      <c r="Q354" s="4" t="s">
        <v>26</v>
      </c>
      <c r="R354" s="4">
        <v>0</v>
      </c>
      <c r="S354" s="6">
        <v>0</v>
      </c>
      <c r="T354" s="6">
        <v>14</v>
      </c>
      <c r="U354" s="6">
        <v>42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78.680000000000007</v>
      </c>
      <c r="X354" s="6">
        <f>IF(ISERROR(VLOOKUP($U$354,'TAR FIN'!$A$1:$O$86,15,0)),0,VLOOKUP($U$354,'TAR FIN'!$A$1:$O$86,15,0))</f>
        <v>246.3</v>
      </c>
      <c r="Y354" s="6"/>
      <c r="Z354" s="6">
        <f ca="1">('TUSD BE'!$AM$13+'TUSD BF'!$AM$13+'TUSD CVA'!$AM$13)*1</f>
        <v>100.23755694003805</v>
      </c>
      <c r="AA354" s="6">
        <f>('TE BE'!$AB$6+'TE BF'!$AB$6+'TE CVA'!$AB$6)*1</f>
        <v>219.40364509824883</v>
      </c>
      <c r="AB354" s="6">
        <f>$K$354*$V$354</f>
        <v>0</v>
      </c>
      <c r="AC354" s="6">
        <f>$M$354*$W$354</f>
        <v>2915.2513600000002</v>
      </c>
      <c r="AD354" s="6">
        <f>$O$354*$X$354</f>
        <v>9125.9076000000005</v>
      </c>
      <c r="AE354" s="6">
        <f>$K$354*$Y$354</f>
        <v>0</v>
      </c>
      <c r="AF354" s="6">
        <f ca="1">$M$354*$Z$354</f>
        <v>3714.0019597422897</v>
      </c>
      <c r="AG354" s="6">
        <f>$O$354*$AA$354</f>
        <v>8129.3438581803157</v>
      </c>
    </row>
    <row r="355" spans="1:33" ht="11.25" customHeight="1" x14ac:dyDescent="0.25">
      <c r="A355" s="4" t="s">
        <v>21</v>
      </c>
      <c r="B355" s="4" t="s">
        <v>38</v>
      </c>
      <c r="C355" s="4" t="s">
        <v>40</v>
      </c>
      <c r="D355" s="4" t="s">
        <v>44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44562</v>
      </c>
      <c r="J355" s="6">
        <v>0</v>
      </c>
      <c r="K355" s="6">
        <v>0</v>
      </c>
      <c r="L355" s="6">
        <v>37.652999999999999</v>
      </c>
      <c r="M355" s="6">
        <v>37.652999999999999</v>
      </c>
      <c r="N355" s="6">
        <v>37.652999999999999</v>
      </c>
      <c r="O355" s="6">
        <v>37.652999999999999</v>
      </c>
      <c r="P355" s="6">
        <v>0</v>
      </c>
      <c r="Q355" s="4" t="s">
        <v>26</v>
      </c>
      <c r="R355" s="4">
        <v>0</v>
      </c>
      <c r="S355" s="6">
        <v>0</v>
      </c>
      <c r="T355" s="6">
        <v>14</v>
      </c>
      <c r="U355" s="6">
        <v>42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78.680000000000007</v>
      </c>
      <c r="X355" s="6">
        <f>IF(ISERROR(VLOOKUP($U$355,'TAR FIN'!$A$1:$O$86,15,0)),0,VLOOKUP($U$355,'TAR FIN'!$A$1:$O$86,15,0))</f>
        <v>246.3</v>
      </c>
      <c r="Y355" s="6"/>
      <c r="Z355" s="6">
        <f ca="1">('TUSD BE'!$AM$13+'TUSD BF'!$AM$13+'TUSD CVA'!$AM$13)*1</f>
        <v>100.23755694003805</v>
      </c>
      <c r="AA355" s="6">
        <f>('TE BE'!$AB$6+'TE BF'!$AB$6+'TE CVA'!$AB$6)*1</f>
        <v>219.40364509824883</v>
      </c>
      <c r="AB355" s="6">
        <f>$K$355*$V$355</f>
        <v>0</v>
      </c>
      <c r="AC355" s="6">
        <f>$M$355*$W$355</f>
        <v>2962.5380400000004</v>
      </c>
      <c r="AD355" s="6">
        <f>$O$355*$X$355</f>
        <v>9273.9339</v>
      </c>
      <c r="AE355" s="6">
        <f>$K$355*$Y$355</f>
        <v>0</v>
      </c>
      <c r="AF355" s="6">
        <f ca="1">$M$355*$Z$355</f>
        <v>3774.2447314632523</v>
      </c>
      <c r="AG355" s="6">
        <f>$O$355*$AA$355</f>
        <v>8261.2054488843623</v>
      </c>
    </row>
    <row r="356" spans="1:33" ht="11.25" customHeight="1" x14ac:dyDescent="0.25">
      <c r="A356" s="4" t="s">
        <v>21</v>
      </c>
      <c r="B356" s="4" t="s">
        <v>38</v>
      </c>
      <c r="C356" s="4" t="s">
        <v>40</v>
      </c>
      <c r="D356" s="4" t="s">
        <v>44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44593</v>
      </c>
      <c r="J356" s="6">
        <v>0</v>
      </c>
      <c r="K356" s="6">
        <v>0</v>
      </c>
      <c r="L356" s="6">
        <v>48.042000000000002</v>
      </c>
      <c r="M356" s="6">
        <v>48.042000000000002</v>
      </c>
      <c r="N356" s="6">
        <v>48.042000000000002</v>
      </c>
      <c r="O356" s="6">
        <v>48.042000000000002</v>
      </c>
      <c r="P356" s="6">
        <v>0</v>
      </c>
      <c r="Q356" s="4" t="s">
        <v>26</v>
      </c>
      <c r="R356" s="4">
        <v>0</v>
      </c>
      <c r="S356" s="6">
        <v>0</v>
      </c>
      <c r="T356" s="6">
        <v>14</v>
      </c>
      <c r="U356" s="6">
        <v>42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78.680000000000007</v>
      </c>
      <c r="X356" s="6">
        <f>IF(ISERROR(VLOOKUP($U$356,'TAR FIN'!$A$1:$O$86,15,0)),0,VLOOKUP($U$356,'TAR FIN'!$A$1:$O$86,15,0))</f>
        <v>246.3</v>
      </c>
      <c r="Y356" s="6"/>
      <c r="Z356" s="6">
        <f ca="1">('TUSD BE'!$AM$13+'TUSD BF'!$AM$13+'TUSD CVA'!$AM$13)*1</f>
        <v>100.23755694003805</v>
      </c>
      <c r="AA356" s="6">
        <f>('TE BE'!$AB$6+'TE BF'!$AB$6+'TE CVA'!$AB$6)*1</f>
        <v>219.40364509824883</v>
      </c>
      <c r="AB356" s="6">
        <f>$K$356*$V$356</f>
        <v>0</v>
      </c>
      <c r="AC356" s="6">
        <f>$M$356*$W$356</f>
        <v>3779.9445600000004</v>
      </c>
      <c r="AD356" s="6">
        <f>$O$356*$X$356</f>
        <v>11832.744600000002</v>
      </c>
      <c r="AE356" s="6">
        <f>$K$356*$Y$356</f>
        <v>0</v>
      </c>
      <c r="AF356" s="6">
        <f ca="1">$M$356*$Z$356</f>
        <v>4815.6127105133082</v>
      </c>
      <c r="AG356" s="6">
        <f>$O$356*$AA$356</f>
        <v>10540.58991781007</v>
      </c>
    </row>
    <row r="357" spans="1:33" ht="11.25" customHeight="1" x14ac:dyDescent="0.25">
      <c r="A357" s="4" t="s">
        <v>21</v>
      </c>
      <c r="B357" s="4" t="s">
        <v>38</v>
      </c>
      <c r="C357" s="4" t="s">
        <v>40</v>
      </c>
      <c r="D357" s="4" t="s">
        <v>44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44621</v>
      </c>
      <c r="J357" s="6">
        <v>0</v>
      </c>
      <c r="K357" s="6">
        <v>0</v>
      </c>
      <c r="L357" s="6">
        <v>54.744</v>
      </c>
      <c r="M357" s="6">
        <v>54.744</v>
      </c>
      <c r="N357" s="6">
        <v>54.744</v>
      </c>
      <c r="O357" s="6">
        <v>54.744</v>
      </c>
      <c r="P357" s="6">
        <v>0</v>
      </c>
      <c r="Q357" s="4" t="s">
        <v>26</v>
      </c>
      <c r="R357" s="4">
        <v>0</v>
      </c>
      <c r="S357" s="6">
        <v>0</v>
      </c>
      <c r="T357" s="6">
        <v>14</v>
      </c>
      <c r="U357" s="6">
        <v>42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78.680000000000007</v>
      </c>
      <c r="X357" s="6">
        <f>IF(ISERROR(VLOOKUP($U$357,'TAR FIN'!$A$1:$O$86,15,0)),0,VLOOKUP($U$357,'TAR FIN'!$A$1:$O$86,15,0))</f>
        <v>246.3</v>
      </c>
      <c r="Y357" s="6"/>
      <c r="Z357" s="6">
        <f ca="1">('TUSD BE'!$AM$13+'TUSD BF'!$AM$13+'TUSD CVA'!$AM$13)*1</f>
        <v>100.23755694003805</v>
      </c>
      <c r="AA357" s="6">
        <f>('TE BE'!$AB$6+'TE BF'!$AB$6+'TE CVA'!$AB$6)*1</f>
        <v>219.40364509824883</v>
      </c>
      <c r="AB357" s="6">
        <f>$K$357*$V$357</f>
        <v>0</v>
      </c>
      <c r="AC357" s="6">
        <f>$M$357*$W$357</f>
        <v>4307.25792</v>
      </c>
      <c r="AD357" s="6">
        <f>$O$357*$X$357</f>
        <v>13483.447200000001</v>
      </c>
      <c r="AE357" s="6">
        <f>$K$357*$Y$357</f>
        <v>0</v>
      </c>
      <c r="AF357" s="6">
        <f ca="1">$M$357*$Z$357</f>
        <v>5487.4048171254426</v>
      </c>
      <c r="AG357" s="6">
        <f>$O$357*$AA$357</f>
        <v>12011.033147258533</v>
      </c>
    </row>
    <row r="358" spans="1:33" ht="11.25" customHeight="1" x14ac:dyDescent="0.25">
      <c r="A358" s="4" t="s">
        <v>21</v>
      </c>
      <c r="B358" s="4" t="s">
        <v>38</v>
      </c>
      <c r="C358" s="4" t="s">
        <v>40</v>
      </c>
      <c r="D358" s="4" t="s">
        <v>44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44652</v>
      </c>
      <c r="J358" s="6">
        <v>0</v>
      </c>
      <c r="K358" s="6">
        <v>0</v>
      </c>
      <c r="L358" s="6">
        <v>42.78</v>
      </c>
      <c r="M358" s="6">
        <v>42.78</v>
      </c>
      <c r="N358" s="6">
        <v>42.78</v>
      </c>
      <c r="O358" s="6">
        <v>42.78</v>
      </c>
      <c r="P358" s="6">
        <v>0</v>
      </c>
      <c r="Q358" s="4" t="s">
        <v>26</v>
      </c>
      <c r="R358" s="4">
        <v>0</v>
      </c>
      <c r="S358" s="6">
        <v>0</v>
      </c>
      <c r="T358" s="6">
        <v>14</v>
      </c>
      <c r="U358" s="6">
        <v>42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78.680000000000007</v>
      </c>
      <c r="X358" s="6">
        <f>IF(ISERROR(VLOOKUP($U$358,'TAR FIN'!$A$1:$O$86,15,0)),0,VLOOKUP($U$358,'TAR FIN'!$A$1:$O$86,15,0))</f>
        <v>246.3</v>
      </c>
      <c r="Y358" s="6"/>
      <c r="Z358" s="6">
        <f ca="1">('TUSD BE'!$AM$13+'TUSD BF'!$AM$13+'TUSD CVA'!$AM$13)*1</f>
        <v>100.23755694003805</v>
      </c>
      <c r="AA358" s="6">
        <f>('TE BE'!$AB$6+'TE BF'!$AB$6+'TE CVA'!$AB$6)*1</f>
        <v>219.40364509824883</v>
      </c>
      <c r="AB358" s="6">
        <f>$K$358*$V$358</f>
        <v>0</v>
      </c>
      <c r="AC358" s="6">
        <f>$M$358*$W$358</f>
        <v>3365.9304000000002</v>
      </c>
      <c r="AD358" s="6">
        <f>$O$358*$X$358</f>
        <v>10536.714</v>
      </c>
      <c r="AE358" s="6">
        <f>$K$358*$Y$358</f>
        <v>0</v>
      </c>
      <c r="AF358" s="6">
        <f ca="1">$M$358*$Z$358</f>
        <v>4288.1626858948275</v>
      </c>
      <c r="AG358" s="6">
        <f>$O$358*$AA$358</f>
        <v>9386.0879373030857</v>
      </c>
    </row>
    <row r="359" spans="1:33" ht="11.25" customHeight="1" x14ac:dyDescent="0.25">
      <c r="A359" s="4" t="s">
        <v>21</v>
      </c>
      <c r="B359" s="4" t="s">
        <v>38</v>
      </c>
      <c r="C359" s="4" t="s">
        <v>40</v>
      </c>
      <c r="D359" s="4" t="s">
        <v>44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44682</v>
      </c>
      <c r="J359" s="6">
        <v>0</v>
      </c>
      <c r="K359" s="6">
        <v>0</v>
      </c>
      <c r="L359" s="6">
        <v>50.999000000000002</v>
      </c>
      <c r="M359" s="6">
        <v>50.999000000000002</v>
      </c>
      <c r="N359" s="6">
        <v>50.999000000000002</v>
      </c>
      <c r="O359" s="6">
        <v>50.999000000000002</v>
      </c>
      <c r="P359" s="6">
        <v>0</v>
      </c>
      <c r="Q359" s="4" t="s">
        <v>26</v>
      </c>
      <c r="R359" s="4">
        <v>0</v>
      </c>
      <c r="S359" s="6">
        <v>0</v>
      </c>
      <c r="T359" s="6">
        <v>14</v>
      </c>
      <c r="U359" s="6">
        <v>42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78.680000000000007</v>
      </c>
      <c r="X359" s="6">
        <f>IF(ISERROR(VLOOKUP($U$359,'TAR FIN'!$A$1:$O$86,15,0)),0,VLOOKUP($U$359,'TAR FIN'!$A$1:$O$86,15,0))</f>
        <v>246.3</v>
      </c>
      <c r="Y359" s="6"/>
      <c r="Z359" s="6">
        <f ca="1">('TUSD BE'!$AM$13+'TUSD BF'!$AM$13+'TUSD CVA'!$AM$13)*1</f>
        <v>100.23755694003805</v>
      </c>
      <c r="AA359" s="6">
        <f>('TE BE'!$AB$6+'TE BF'!$AB$6+'TE CVA'!$AB$6)*1</f>
        <v>219.40364509824883</v>
      </c>
      <c r="AB359" s="6">
        <f>$K$359*$V$359</f>
        <v>0</v>
      </c>
      <c r="AC359" s="6">
        <f>$M$359*$W$359</f>
        <v>4012.6013200000007</v>
      </c>
      <c r="AD359" s="6">
        <f>$O$359*$X$359</f>
        <v>12561.0537</v>
      </c>
      <c r="AE359" s="6">
        <f>$K$359*$Y$359</f>
        <v>0</v>
      </c>
      <c r="AF359" s="6">
        <f ca="1">$M$359*$Z$359</f>
        <v>5112.0151663850002</v>
      </c>
      <c r="AG359" s="6">
        <f>$O$359*$AA$359</f>
        <v>11189.366496365592</v>
      </c>
    </row>
    <row r="360" spans="1:33" ht="11.25" customHeight="1" x14ac:dyDescent="0.25">
      <c r="A360" s="4" t="s">
        <v>56</v>
      </c>
      <c r="B360" s="4" t="s">
        <v>38</v>
      </c>
      <c r="C360" s="4" t="s">
        <v>40</v>
      </c>
      <c r="D360" s="4" t="s">
        <v>44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44713</v>
      </c>
      <c r="J360" s="6">
        <v>0</v>
      </c>
      <c r="K360" s="6">
        <v>0</v>
      </c>
      <c r="L360" s="6">
        <v>50.999000000000002</v>
      </c>
      <c r="M360" s="6">
        <v>50.999000000000002</v>
      </c>
      <c r="N360" s="6">
        <v>50.999000000000002</v>
      </c>
      <c r="O360" s="6">
        <v>50.999000000000002</v>
      </c>
      <c r="P360" s="6">
        <v>0</v>
      </c>
      <c r="Q360" s="4" t="s">
        <v>26</v>
      </c>
      <c r="R360" s="4">
        <v>0</v>
      </c>
      <c r="S360" s="6">
        <v>0</v>
      </c>
      <c r="T360" s="6">
        <v>14</v>
      </c>
      <c r="U360" s="6">
        <v>42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78.680000000000007</v>
      </c>
      <c r="X360" s="6">
        <f>IF(ISERROR(VLOOKUP($U$360,'TAR FIN'!$A$1:$O$86,15,0)),0,VLOOKUP($U$360,'TAR FIN'!$A$1:$O$86,15,0))</f>
        <v>246.3</v>
      </c>
      <c r="Y360" s="6"/>
      <c r="Z360" s="6">
        <f ca="1">('TUSD BE'!$AM$13+'TUSD BF'!$AM$13+'TUSD CVA'!$AM$13)*1</f>
        <v>100.23755694003805</v>
      </c>
      <c r="AA360" s="6">
        <f>('TE BE'!$AB$6+'TE BF'!$AB$6+'TE CVA'!$AB$6)*1</f>
        <v>219.40364509824883</v>
      </c>
      <c r="AB360" s="6">
        <f>$K$360*$V$360</f>
        <v>0</v>
      </c>
      <c r="AC360" s="6">
        <f>$M$360*$W$360</f>
        <v>4012.6013200000007</v>
      </c>
      <c r="AD360" s="6">
        <f>$O$360*$X$360</f>
        <v>12561.0537</v>
      </c>
      <c r="AE360" s="6">
        <f>$K$360*$Y$360</f>
        <v>0</v>
      </c>
      <c r="AF360" s="6">
        <f ca="1">$M$360*$Z$360</f>
        <v>5112.0151663850002</v>
      </c>
      <c r="AG360" s="6">
        <f>$O$360*$AA$360</f>
        <v>11189.366496365592</v>
      </c>
    </row>
    <row r="361" spans="1:33" ht="11.25" customHeight="1" x14ac:dyDescent="0.25">
      <c r="A361" s="4" t="s">
        <v>21</v>
      </c>
      <c r="B361" s="4" t="s">
        <v>38</v>
      </c>
      <c r="C361" s="4" t="s">
        <v>40</v>
      </c>
      <c r="D361" s="4" t="s">
        <v>44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44378</v>
      </c>
      <c r="J361" s="6">
        <v>388</v>
      </c>
      <c r="K361" s="6">
        <v>388</v>
      </c>
      <c r="L361" s="6">
        <v>0</v>
      </c>
      <c r="M361" s="6">
        <v>0</v>
      </c>
      <c r="N361" s="6">
        <v>0</v>
      </c>
      <c r="O361" s="6">
        <v>0</v>
      </c>
      <c r="P361" s="6">
        <v>8</v>
      </c>
      <c r="Q361" s="4" t="s">
        <v>26</v>
      </c>
      <c r="R361" s="4">
        <v>0</v>
      </c>
      <c r="S361" s="6">
        <v>18</v>
      </c>
      <c r="T361" s="6">
        <v>0</v>
      </c>
      <c r="U361" s="6">
        <v>0</v>
      </c>
      <c r="V361" s="6">
        <f>IF(ISERROR(VLOOKUP($S$361,'TAR FIN'!$A$1:$O$86,15,0)),0,VLOOKUP($S$361,'TAR FIN'!$A$1:$O$86,15,0))</f>
        <v>19.239999999999998</v>
      </c>
      <c r="W361" s="6">
        <f>IF(ISERROR(VLOOKUP($T$361,'TAR FIN'!$A$1:$O$86,15,0)),0,VLOOKUP($T$361,'TAR FIN'!$A$1:$O$86,15,0))</f>
        <v>0</v>
      </c>
      <c r="X361" s="6">
        <f>IF(ISERROR(VLOOKUP($U$361,'TAR FIN'!$A$1:$O$86,15,0)),0,VLOOKUP($U$361,'TAR FIN'!$A$1:$O$86,15,0))</f>
        <v>0</v>
      </c>
      <c r="Y361" s="6">
        <f ca="1">('TUSD BE'!$AM$11+'TUSD BF'!$AM$11+'TUSD CVA'!$AM$11)*1</f>
        <v>15.19295792072058</v>
      </c>
      <c r="Z361" s="6"/>
      <c r="AA361" s="6"/>
      <c r="AB361" s="6">
        <f>$K$361*$V$361</f>
        <v>7465.119999999999</v>
      </c>
      <c r="AC361" s="6">
        <f>$M$361*$W$361</f>
        <v>0</v>
      </c>
      <c r="AD361" s="6">
        <f>$O$361*$X$361</f>
        <v>0</v>
      </c>
      <c r="AE361" s="6">
        <f ca="1">$K$361*$Y$361</f>
        <v>5894.8676732395852</v>
      </c>
      <c r="AF361" s="6">
        <f>$M$361*$Z$361</f>
        <v>0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38</v>
      </c>
      <c r="C362" s="4" t="s">
        <v>40</v>
      </c>
      <c r="D362" s="4" t="s">
        <v>44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44409</v>
      </c>
      <c r="J362" s="6">
        <v>382</v>
      </c>
      <c r="K362" s="6">
        <v>382</v>
      </c>
      <c r="L362" s="6">
        <v>0</v>
      </c>
      <c r="M362" s="6">
        <v>0</v>
      </c>
      <c r="N362" s="6">
        <v>0</v>
      </c>
      <c r="O362" s="6">
        <v>0</v>
      </c>
      <c r="P362" s="6">
        <v>8</v>
      </c>
      <c r="Q362" s="4" t="s">
        <v>26</v>
      </c>
      <c r="R362" s="4">
        <v>0</v>
      </c>
      <c r="S362" s="6">
        <v>18</v>
      </c>
      <c r="T362" s="6">
        <v>0</v>
      </c>
      <c r="U362" s="6">
        <v>0</v>
      </c>
      <c r="V362" s="6">
        <f>IF(ISERROR(VLOOKUP($S$362,'TAR FIN'!$A$1:$O$86,15,0)),0,VLOOKUP($S$362,'TAR FIN'!$A$1:$O$86,15,0))</f>
        <v>19.239999999999998</v>
      </c>
      <c r="W362" s="6">
        <f>IF(ISERROR(VLOOKUP($T$362,'TAR FIN'!$A$1:$O$86,15,0)),0,VLOOKUP($T$362,'TAR FIN'!$A$1:$O$86,15,0))</f>
        <v>0</v>
      </c>
      <c r="X362" s="6">
        <f>IF(ISERROR(VLOOKUP($U$362,'TAR FIN'!$A$1:$O$86,15,0)),0,VLOOKUP($U$362,'TAR FIN'!$A$1:$O$86,15,0))</f>
        <v>0</v>
      </c>
      <c r="Y362" s="6">
        <f ca="1">('TUSD BE'!$AM$11+'TUSD BF'!$AM$11+'TUSD CVA'!$AM$11)*1</f>
        <v>15.19295792072058</v>
      </c>
      <c r="Z362" s="6"/>
      <c r="AA362" s="6"/>
      <c r="AB362" s="6">
        <f>$K$362*$V$362</f>
        <v>7349.6799999999994</v>
      </c>
      <c r="AC362" s="6">
        <f>$M$362*$W$362</f>
        <v>0</v>
      </c>
      <c r="AD362" s="6">
        <f>$O$362*$X$362</f>
        <v>0</v>
      </c>
      <c r="AE362" s="6">
        <f ca="1">$K$362*$Y$362</f>
        <v>5803.7099257152613</v>
      </c>
      <c r="AF362" s="6">
        <f>$M$362*$Z$362</f>
        <v>0</v>
      </c>
      <c r="AG362" s="6">
        <f>$O$362*$AA$362</f>
        <v>0</v>
      </c>
    </row>
    <row r="363" spans="1:33" ht="11.25" customHeight="1" x14ac:dyDescent="0.25">
      <c r="A363" s="4" t="s">
        <v>21</v>
      </c>
      <c r="B363" s="4" t="s">
        <v>38</v>
      </c>
      <c r="C363" s="4" t="s">
        <v>40</v>
      </c>
      <c r="D363" s="4" t="s">
        <v>44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44440</v>
      </c>
      <c r="J363" s="6">
        <v>378</v>
      </c>
      <c r="K363" s="6">
        <v>378</v>
      </c>
      <c r="L363" s="6">
        <v>0</v>
      </c>
      <c r="M363" s="6">
        <v>0</v>
      </c>
      <c r="N363" s="6">
        <v>0</v>
      </c>
      <c r="O363" s="6">
        <v>0</v>
      </c>
      <c r="P363" s="6">
        <v>8</v>
      </c>
      <c r="Q363" s="4" t="s">
        <v>26</v>
      </c>
      <c r="R363" s="4">
        <v>0</v>
      </c>
      <c r="S363" s="6">
        <v>18</v>
      </c>
      <c r="T363" s="6">
        <v>0</v>
      </c>
      <c r="U363" s="6">
        <v>0</v>
      </c>
      <c r="V363" s="6">
        <f>IF(ISERROR(VLOOKUP($S$363,'TAR FIN'!$A$1:$O$86,15,0)),0,VLOOKUP($S$363,'TAR FIN'!$A$1:$O$86,15,0))</f>
        <v>19.239999999999998</v>
      </c>
      <c r="W363" s="6">
        <f>IF(ISERROR(VLOOKUP($T$363,'TAR FIN'!$A$1:$O$86,15,0)),0,VLOOKUP($T$363,'TAR FIN'!$A$1:$O$86,15,0))</f>
        <v>0</v>
      </c>
      <c r="X363" s="6">
        <f>IF(ISERROR(VLOOKUP($U$363,'TAR FIN'!$A$1:$O$86,15,0)),0,VLOOKUP($U$363,'TAR FIN'!$A$1:$O$86,15,0))</f>
        <v>0</v>
      </c>
      <c r="Y363" s="6">
        <f ca="1">('TUSD BE'!$AM$11+'TUSD BF'!$AM$11+'TUSD CVA'!$AM$11)*1</f>
        <v>15.19295792072058</v>
      </c>
      <c r="Z363" s="6"/>
      <c r="AA363" s="6"/>
      <c r="AB363" s="6">
        <f>$K$363*$V$363</f>
        <v>7272.7199999999993</v>
      </c>
      <c r="AC363" s="6">
        <f>$M$363*$W$363</f>
        <v>0</v>
      </c>
      <c r="AD363" s="6">
        <f>$O$363*$X$363</f>
        <v>0</v>
      </c>
      <c r="AE363" s="6">
        <f ca="1">$K$363*$Y$363</f>
        <v>5742.938094032379</v>
      </c>
      <c r="AF363" s="6">
        <f>$M$363*$Z$363</f>
        <v>0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38</v>
      </c>
      <c r="C364" s="4" t="s">
        <v>40</v>
      </c>
      <c r="D364" s="4" t="s">
        <v>44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44470</v>
      </c>
      <c r="J364" s="6">
        <v>381</v>
      </c>
      <c r="K364" s="6">
        <v>381</v>
      </c>
      <c r="L364" s="6">
        <v>0</v>
      </c>
      <c r="M364" s="6">
        <v>0</v>
      </c>
      <c r="N364" s="6">
        <v>0</v>
      </c>
      <c r="O364" s="6">
        <v>0</v>
      </c>
      <c r="P364" s="6">
        <v>8</v>
      </c>
      <c r="Q364" s="4" t="s">
        <v>26</v>
      </c>
      <c r="R364" s="4">
        <v>0</v>
      </c>
      <c r="S364" s="6">
        <v>18</v>
      </c>
      <c r="T364" s="6">
        <v>0</v>
      </c>
      <c r="U364" s="6">
        <v>0</v>
      </c>
      <c r="V364" s="6">
        <f>IF(ISERROR(VLOOKUP($S$364,'TAR FIN'!$A$1:$O$86,15,0)),0,VLOOKUP($S$364,'TAR FIN'!$A$1:$O$86,15,0))</f>
        <v>19.239999999999998</v>
      </c>
      <c r="W364" s="6">
        <f>IF(ISERROR(VLOOKUP($T$364,'TAR FIN'!$A$1:$O$86,15,0)),0,VLOOKUP($T$364,'TAR FIN'!$A$1:$O$86,15,0))</f>
        <v>0</v>
      </c>
      <c r="X364" s="6">
        <f>IF(ISERROR(VLOOKUP($U$364,'TAR FIN'!$A$1:$O$86,15,0)),0,VLOOKUP($U$364,'TAR FIN'!$A$1:$O$86,15,0))</f>
        <v>0</v>
      </c>
      <c r="Y364" s="6">
        <f ca="1">('TUSD BE'!$AM$11+'TUSD BF'!$AM$11+'TUSD CVA'!$AM$11)*1</f>
        <v>15.19295792072058</v>
      </c>
      <c r="Z364" s="6"/>
      <c r="AA364" s="6"/>
      <c r="AB364" s="6">
        <f>$K$364*$V$364</f>
        <v>7330.44</v>
      </c>
      <c r="AC364" s="6">
        <f>$M$364*$W$364</f>
        <v>0</v>
      </c>
      <c r="AD364" s="6">
        <f>$O$364*$X$364</f>
        <v>0</v>
      </c>
      <c r="AE364" s="6">
        <f ca="1">$K$364*$Y$364</f>
        <v>5788.5169677945414</v>
      </c>
      <c r="AF364" s="6">
        <f>$M$364*$Z$364</f>
        <v>0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38</v>
      </c>
      <c r="C365" s="4" t="s">
        <v>40</v>
      </c>
      <c r="D365" s="4" t="s">
        <v>44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44501</v>
      </c>
      <c r="J365" s="6">
        <v>381</v>
      </c>
      <c r="K365" s="6">
        <v>381</v>
      </c>
      <c r="L365" s="6">
        <v>0</v>
      </c>
      <c r="M365" s="6">
        <v>0</v>
      </c>
      <c r="N365" s="6">
        <v>0</v>
      </c>
      <c r="O365" s="6">
        <v>0</v>
      </c>
      <c r="P365" s="6">
        <v>8</v>
      </c>
      <c r="Q365" s="4" t="s">
        <v>26</v>
      </c>
      <c r="R365" s="4">
        <v>0</v>
      </c>
      <c r="S365" s="6">
        <v>18</v>
      </c>
      <c r="T365" s="6">
        <v>0</v>
      </c>
      <c r="U365" s="6">
        <v>0</v>
      </c>
      <c r="V365" s="6">
        <f>IF(ISERROR(VLOOKUP($S$365,'TAR FIN'!$A$1:$O$86,15,0)),0,VLOOKUP($S$365,'TAR FIN'!$A$1:$O$86,15,0))</f>
        <v>19.239999999999998</v>
      </c>
      <c r="W365" s="6">
        <f>IF(ISERROR(VLOOKUP($T$365,'TAR FIN'!$A$1:$O$86,15,0)),0,VLOOKUP($T$365,'TAR FIN'!$A$1:$O$86,15,0))</f>
        <v>0</v>
      </c>
      <c r="X365" s="6">
        <f>IF(ISERROR(VLOOKUP($U$365,'TAR FIN'!$A$1:$O$86,15,0)),0,VLOOKUP($U$365,'TAR FIN'!$A$1:$O$86,15,0))</f>
        <v>0</v>
      </c>
      <c r="Y365" s="6">
        <f ca="1">('TUSD BE'!$AM$11+'TUSD BF'!$AM$11+'TUSD CVA'!$AM$11)*1</f>
        <v>15.19295792072058</v>
      </c>
      <c r="Z365" s="6"/>
      <c r="AA365" s="6"/>
      <c r="AB365" s="6">
        <f>$K$365*$V$365</f>
        <v>7330.44</v>
      </c>
      <c r="AC365" s="6">
        <f>$M$365*$W$365</f>
        <v>0</v>
      </c>
      <c r="AD365" s="6">
        <f>$O$365*$X$365</f>
        <v>0</v>
      </c>
      <c r="AE365" s="6">
        <f ca="1">$K$365*$Y$365</f>
        <v>5788.5169677945414</v>
      </c>
      <c r="AF365" s="6">
        <f>$M$365*$Z$365</f>
        <v>0</v>
      </c>
      <c r="AG365" s="6">
        <f>$O$365*$AA$365</f>
        <v>0</v>
      </c>
    </row>
    <row r="366" spans="1:33" ht="11.25" customHeight="1" x14ac:dyDescent="0.25">
      <c r="A366" s="4" t="s">
        <v>21</v>
      </c>
      <c r="B366" s="4" t="s">
        <v>38</v>
      </c>
      <c r="C366" s="4" t="s">
        <v>40</v>
      </c>
      <c r="D366" s="4" t="s">
        <v>44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44531</v>
      </c>
      <c r="J366" s="6">
        <v>396</v>
      </c>
      <c r="K366" s="6">
        <v>396</v>
      </c>
      <c r="L366" s="6">
        <v>0</v>
      </c>
      <c r="M366" s="6">
        <v>0</v>
      </c>
      <c r="N366" s="6">
        <v>0</v>
      </c>
      <c r="O366" s="6">
        <v>0</v>
      </c>
      <c r="P366" s="6">
        <v>8</v>
      </c>
      <c r="Q366" s="4" t="s">
        <v>26</v>
      </c>
      <c r="R366" s="4">
        <v>0</v>
      </c>
      <c r="S366" s="6">
        <v>18</v>
      </c>
      <c r="T366" s="6">
        <v>0</v>
      </c>
      <c r="U366" s="6">
        <v>0</v>
      </c>
      <c r="V366" s="6">
        <f>IF(ISERROR(VLOOKUP($S$366,'TAR FIN'!$A$1:$O$86,15,0)),0,VLOOKUP($S$366,'TAR FIN'!$A$1:$O$86,15,0))</f>
        <v>19.239999999999998</v>
      </c>
      <c r="W366" s="6">
        <f>IF(ISERROR(VLOOKUP($T$366,'TAR FIN'!$A$1:$O$86,15,0)),0,VLOOKUP($T$366,'TAR FIN'!$A$1:$O$86,15,0))</f>
        <v>0</v>
      </c>
      <c r="X366" s="6">
        <f>IF(ISERROR(VLOOKUP($U$366,'TAR FIN'!$A$1:$O$86,15,0)),0,VLOOKUP($U$366,'TAR FIN'!$A$1:$O$86,15,0))</f>
        <v>0</v>
      </c>
      <c r="Y366" s="6">
        <f ca="1">('TUSD BE'!$AM$11+'TUSD BF'!$AM$11+'TUSD CVA'!$AM$11)*1</f>
        <v>15.19295792072058</v>
      </c>
      <c r="Z366" s="6"/>
      <c r="AA366" s="6"/>
      <c r="AB366" s="6">
        <f>$K$366*$V$366</f>
        <v>7619.0399999999991</v>
      </c>
      <c r="AC366" s="6">
        <f>$M$366*$W$366</f>
        <v>0</v>
      </c>
      <c r="AD366" s="6">
        <f>$O$366*$X$366</f>
        <v>0</v>
      </c>
      <c r="AE366" s="6">
        <f ca="1">$K$366*$Y$366</f>
        <v>6016.4113366053498</v>
      </c>
      <c r="AF366" s="6">
        <f>$M$366*$Z$366</f>
        <v>0</v>
      </c>
      <c r="AG366" s="6">
        <f>$O$366*$AA$366</f>
        <v>0</v>
      </c>
    </row>
    <row r="367" spans="1:33" ht="11.25" customHeight="1" x14ac:dyDescent="0.25">
      <c r="A367" s="4" t="s">
        <v>21</v>
      </c>
      <c r="B367" s="4" t="s">
        <v>38</v>
      </c>
      <c r="C367" s="4" t="s">
        <v>40</v>
      </c>
      <c r="D367" s="4" t="s">
        <v>44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44562</v>
      </c>
      <c r="J367" s="6">
        <v>401</v>
      </c>
      <c r="K367" s="6">
        <v>401</v>
      </c>
      <c r="L367" s="6">
        <v>0</v>
      </c>
      <c r="M367" s="6">
        <v>0</v>
      </c>
      <c r="N367" s="6">
        <v>0</v>
      </c>
      <c r="O367" s="6">
        <v>0</v>
      </c>
      <c r="P367" s="6">
        <v>8</v>
      </c>
      <c r="Q367" s="4" t="s">
        <v>26</v>
      </c>
      <c r="R367" s="4">
        <v>0</v>
      </c>
      <c r="S367" s="6">
        <v>18</v>
      </c>
      <c r="T367" s="6">
        <v>0</v>
      </c>
      <c r="U367" s="6">
        <v>0</v>
      </c>
      <c r="V367" s="6">
        <f>IF(ISERROR(VLOOKUP($S$367,'TAR FIN'!$A$1:$O$86,15,0)),0,VLOOKUP($S$367,'TAR FIN'!$A$1:$O$86,15,0))</f>
        <v>19.239999999999998</v>
      </c>
      <c r="W367" s="6">
        <f>IF(ISERROR(VLOOKUP($T$367,'TAR FIN'!$A$1:$O$86,15,0)),0,VLOOKUP($T$367,'TAR FIN'!$A$1:$O$86,15,0))</f>
        <v>0</v>
      </c>
      <c r="X367" s="6">
        <f>IF(ISERROR(VLOOKUP($U$367,'TAR FIN'!$A$1:$O$86,15,0)),0,VLOOKUP($U$367,'TAR FIN'!$A$1:$O$86,15,0))</f>
        <v>0</v>
      </c>
      <c r="Y367" s="6">
        <f ca="1">('TUSD BE'!$AM$11+'TUSD BF'!$AM$11+'TUSD CVA'!$AM$11)*1</f>
        <v>15.19295792072058</v>
      </c>
      <c r="Z367" s="6"/>
      <c r="AA367" s="6"/>
      <c r="AB367" s="6">
        <f>$K$367*$V$367</f>
        <v>7715.24</v>
      </c>
      <c r="AC367" s="6">
        <f>$M$367*$W$367</f>
        <v>0</v>
      </c>
      <c r="AD367" s="6">
        <f>$O$367*$X$367</f>
        <v>0</v>
      </c>
      <c r="AE367" s="6">
        <f ca="1">$K$367*$Y$367</f>
        <v>6092.3761262089529</v>
      </c>
      <c r="AF367" s="6">
        <f>$M$367*$Z$367</f>
        <v>0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38</v>
      </c>
      <c r="C368" s="4" t="s">
        <v>40</v>
      </c>
      <c r="D368" s="4" t="s">
        <v>44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44593</v>
      </c>
      <c r="J368" s="6">
        <v>474</v>
      </c>
      <c r="K368" s="6">
        <v>474</v>
      </c>
      <c r="L368" s="6">
        <v>0</v>
      </c>
      <c r="M368" s="6">
        <v>0</v>
      </c>
      <c r="N368" s="6">
        <v>0</v>
      </c>
      <c r="O368" s="6">
        <v>0</v>
      </c>
      <c r="P368" s="6">
        <v>9</v>
      </c>
      <c r="Q368" s="4" t="s">
        <v>26</v>
      </c>
      <c r="R368" s="4">
        <v>0</v>
      </c>
      <c r="S368" s="6">
        <v>18</v>
      </c>
      <c r="T368" s="6">
        <v>0</v>
      </c>
      <c r="U368" s="6">
        <v>0</v>
      </c>
      <c r="V368" s="6">
        <f>IF(ISERROR(VLOOKUP($S$368,'TAR FIN'!$A$1:$O$86,15,0)),0,VLOOKUP($S$368,'TAR FIN'!$A$1:$O$86,15,0))</f>
        <v>19.239999999999998</v>
      </c>
      <c r="W368" s="6">
        <f>IF(ISERROR(VLOOKUP($T$368,'TAR FIN'!$A$1:$O$86,15,0)),0,VLOOKUP($T$368,'TAR FIN'!$A$1:$O$86,15,0))</f>
        <v>0</v>
      </c>
      <c r="X368" s="6">
        <f>IF(ISERROR(VLOOKUP($U$368,'TAR FIN'!$A$1:$O$86,15,0)),0,VLOOKUP($U$368,'TAR FIN'!$A$1:$O$86,15,0))</f>
        <v>0</v>
      </c>
      <c r="Y368" s="6">
        <f ca="1">('TUSD BE'!$AM$11+'TUSD BF'!$AM$11+'TUSD CVA'!$AM$11)*1</f>
        <v>15.19295792072058</v>
      </c>
      <c r="Z368" s="6"/>
      <c r="AA368" s="6"/>
      <c r="AB368" s="6">
        <f>$K$368*$V$368</f>
        <v>9119.7599999999984</v>
      </c>
      <c r="AC368" s="6">
        <f>$M$368*$W$368</f>
        <v>0</v>
      </c>
      <c r="AD368" s="6">
        <f>$O$368*$X$368</f>
        <v>0</v>
      </c>
      <c r="AE368" s="6">
        <f ca="1">$K$368*$Y$368</f>
        <v>7201.462054421555</v>
      </c>
      <c r="AF368" s="6">
        <f>$M$368*$Z$368</f>
        <v>0</v>
      </c>
      <c r="AG368" s="6">
        <f>$O$368*$AA$368</f>
        <v>0</v>
      </c>
    </row>
    <row r="369" spans="1:33" ht="11.25" customHeight="1" x14ac:dyDescent="0.25">
      <c r="A369" s="4" t="s">
        <v>21</v>
      </c>
      <c r="B369" s="4" t="s">
        <v>38</v>
      </c>
      <c r="C369" s="4" t="s">
        <v>40</v>
      </c>
      <c r="D369" s="4" t="s">
        <v>44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44621</v>
      </c>
      <c r="J369" s="6">
        <v>501</v>
      </c>
      <c r="K369" s="6">
        <v>501</v>
      </c>
      <c r="L369" s="6">
        <v>0</v>
      </c>
      <c r="M369" s="6">
        <v>0</v>
      </c>
      <c r="N369" s="6">
        <v>0</v>
      </c>
      <c r="O369" s="6">
        <v>0</v>
      </c>
      <c r="P369" s="6">
        <v>9</v>
      </c>
      <c r="Q369" s="4" t="s">
        <v>26</v>
      </c>
      <c r="R369" s="4">
        <v>0</v>
      </c>
      <c r="S369" s="6">
        <v>18</v>
      </c>
      <c r="T369" s="6">
        <v>0</v>
      </c>
      <c r="U369" s="6">
        <v>0</v>
      </c>
      <c r="V369" s="6">
        <f>IF(ISERROR(VLOOKUP($S$369,'TAR FIN'!$A$1:$O$86,15,0)),0,VLOOKUP($S$369,'TAR FIN'!$A$1:$O$86,15,0))</f>
        <v>19.239999999999998</v>
      </c>
      <c r="W369" s="6">
        <f>IF(ISERROR(VLOOKUP($T$369,'TAR FIN'!$A$1:$O$86,15,0)),0,VLOOKUP($T$369,'TAR FIN'!$A$1:$O$86,15,0))</f>
        <v>0</v>
      </c>
      <c r="X369" s="6">
        <f>IF(ISERROR(VLOOKUP($U$369,'TAR FIN'!$A$1:$O$86,15,0)),0,VLOOKUP($U$369,'TAR FIN'!$A$1:$O$86,15,0))</f>
        <v>0</v>
      </c>
      <c r="Y369" s="6">
        <f ca="1">('TUSD BE'!$AM$11+'TUSD BF'!$AM$11+'TUSD CVA'!$AM$11)*1</f>
        <v>15.19295792072058</v>
      </c>
      <c r="Z369" s="6"/>
      <c r="AA369" s="6"/>
      <c r="AB369" s="6">
        <f>$K$369*$V$369</f>
        <v>9639.24</v>
      </c>
      <c r="AC369" s="6">
        <f>$M$369*$W$369</f>
        <v>0</v>
      </c>
      <c r="AD369" s="6">
        <f>$O$369*$X$369</f>
        <v>0</v>
      </c>
      <c r="AE369" s="6">
        <f ca="1">$K$369*$Y$369</f>
        <v>7611.6719182810111</v>
      </c>
      <c r="AF369" s="6">
        <f>$M$369*$Z$369</f>
        <v>0</v>
      </c>
      <c r="AG369" s="6">
        <f>$O$369*$AA$369</f>
        <v>0</v>
      </c>
    </row>
    <row r="370" spans="1:33" ht="11.25" customHeight="1" x14ac:dyDescent="0.25">
      <c r="A370" s="4" t="s">
        <v>21</v>
      </c>
      <c r="B370" s="4" t="s">
        <v>38</v>
      </c>
      <c r="C370" s="4" t="s">
        <v>40</v>
      </c>
      <c r="D370" s="4" t="s">
        <v>44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44652</v>
      </c>
      <c r="J370" s="6">
        <v>495</v>
      </c>
      <c r="K370" s="6">
        <v>495</v>
      </c>
      <c r="L370" s="6">
        <v>0</v>
      </c>
      <c r="M370" s="6">
        <v>0</v>
      </c>
      <c r="N370" s="6">
        <v>0</v>
      </c>
      <c r="O370" s="6">
        <v>0</v>
      </c>
      <c r="P370" s="6">
        <v>9</v>
      </c>
      <c r="Q370" s="4" t="s">
        <v>26</v>
      </c>
      <c r="R370" s="4">
        <v>0</v>
      </c>
      <c r="S370" s="6">
        <v>18</v>
      </c>
      <c r="T370" s="6">
        <v>0</v>
      </c>
      <c r="U370" s="6">
        <v>0</v>
      </c>
      <c r="V370" s="6">
        <f>IF(ISERROR(VLOOKUP($S$370,'TAR FIN'!$A$1:$O$86,15,0)),0,VLOOKUP($S$370,'TAR FIN'!$A$1:$O$86,15,0))</f>
        <v>19.239999999999998</v>
      </c>
      <c r="W370" s="6">
        <f>IF(ISERROR(VLOOKUP($T$370,'TAR FIN'!$A$1:$O$86,15,0)),0,VLOOKUP($T$370,'TAR FIN'!$A$1:$O$86,15,0))</f>
        <v>0</v>
      </c>
      <c r="X370" s="6">
        <f>IF(ISERROR(VLOOKUP($U$370,'TAR FIN'!$A$1:$O$86,15,0)),0,VLOOKUP($U$370,'TAR FIN'!$A$1:$O$86,15,0))</f>
        <v>0</v>
      </c>
      <c r="Y370" s="6">
        <f ca="1">('TUSD BE'!$AM$11+'TUSD BF'!$AM$11+'TUSD CVA'!$AM$11)*1</f>
        <v>15.19295792072058</v>
      </c>
      <c r="Z370" s="6"/>
      <c r="AA370" s="6"/>
      <c r="AB370" s="6">
        <f>$K$370*$V$370</f>
        <v>9523.7999999999993</v>
      </c>
      <c r="AC370" s="6">
        <f>$M$370*$W$370</f>
        <v>0</v>
      </c>
      <c r="AD370" s="6">
        <f>$O$370*$X$370</f>
        <v>0</v>
      </c>
      <c r="AE370" s="6">
        <f ca="1">$K$370*$Y$370</f>
        <v>7520.5141707566872</v>
      </c>
      <c r="AF370" s="6">
        <f>$M$370*$Z$370</f>
        <v>0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38</v>
      </c>
      <c r="C371" s="4" t="s">
        <v>40</v>
      </c>
      <c r="D371" s="4" t="s">
        <v>44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44682</v>
      </c>
      <c r="J371" s="6">
        <v>494</v>
      </c>
      <c r="K371" s="6">
        <v>494</v>
      </c>
      <c r="L371" s="6">
        <v>0</v>
      </c>
      <c r="M371" s="6">
        <v>0</v>
      </c>
      <c r="N371" s="6">
        <v>0</v>
      </c>
      <c r="O371" s="6">
        <v>0</v>
      </c>
      <c r="P371" s="6">
        <v>9</v>
      </c>
      <c r="Q371" s="4" t="s">
        <v>26</v>
      </c>
      <c r="R371" s="4">
        <v>0</v>
      </c>
      <c r="S371" s="6">
        <v>18</v>
      </c>
      <c r="T371" s="6">
        <v>0</v>
      </c>
      <c r="U371" s="6">
        <v>0</v>
      </c>
      <c r="V371" s="6">
        <f>IF(ISERROR(VLOOKUP($S$371,'TAR FIN'!$A$1:$O$86,15,0)),0,VLOOKUP($S$371,'TAR FIN'!$A$1:$O$86,15,0))</f>
        <v>19.239999999999998</v>
      </c>
      <c r="W371" s="6">
        <f>IF(ISERROR(VLOOKUP($T$371,'TAR FIN'!$A$1:$O$86,15,0)),0,VLOOKUP($T$371,'TAR FIN'!$A$1:$O$86,15,0))</f>
        <v>0</v>
      </c>
      <c r="X371" s="6">
        <f>IF(ISERROR(VLOOKUP($U$371,'TAR FIN'!$A$1:$O$86,15,0)),0,VLOOKUP($U$371,'TAR FIN'!$A$1:$O$86,15,0))</f>
        <v>0</v>
      </c>
      <c r="Y371" s="6">
        <f ca="1">('TUSD BE'!$AM$11+'TUSD BF'!$AM$11+'TUSD CVA'!$AM$11)*1</f>
        <v>15.19295792072058</v>
      </c>
      <c r="Z371" s="6"/>
      <c r="AA371" s="6"/>
      <c r="AB371" s="6">
        <f>$K$371*$V$371</f>
        <v>9504.56</v>
      </c>
      <c r="AC371" s="6">
        <f>$M$371*$W$371</f>
        <v>0</v>
      </c>
      <c r="AD371" s="6">
        <f>$O$371*$X$371</f>
        <v>0</v>
      </c>
      <c r="AE371" s="6">
        <f ca="1">$K$371*$Y$371</f>
        <v>7505.3212128359664</v>
      </c>
      <c r="AF371" s="6">
        <f>$M$371*$Z$371</f>
        <v>0</v>
      </c>
      <c r="AG371" s="6">
        <f>$O$371*$AA$371</f>
        <v>0</v>
      </c>
    </row>
    <row r="372" spans="1:33" ht="11.25" customHeight="1" x14ac:dyDescent="0.25">
      <c r="A372" s="4" t="s">
        <v>56</v>
      </c>
      <c r="B372" s="4" t="s">
        <v>38</v>
      </c>
      <c r="C372" s="4" t="s">
        <v>40</v>
      </c>
      <c r="D372" s="4" t="s">
        <v>44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44713</v>
      </c>
      <c r="J372" s="6">
        <v>494</v>
      </c>
      <c r="K372" s="6">
        <v>494</v>
      </c>
      <c r="L372" s="6">
        <v>0</v>
      </c>
      <c r="M372" s="6">
        <v>0</v>
      </c>
      <c r="N372" s="6">
        <v>0</v>
      </c>
      <c r="O372" s="6">
        <v>0</v>
      </c>
      <c r="P372" s="6">
        <v>9</v>
      </c>
      <c r="Q372" s="4" t="s">
        <v>26</v>
      </c>
      <c r="R372" s="4">
        <v>0</v>
      </c>
      <c r="S372" s="6">
        <v>18</v>
      </c>
      <c r="T372" s="6">
        <v>0</v>
      </c>
      <c r="U372" s="6">
        <v>0</v>
      </c>
      <c r="V372" s="6">
        <f>IF(ISERROR(VLOOKUP($S$372,'TAR FIN'!$A$1:$O$86,15,0)),0,VLOOKUP($S$372,'TAR FIN'!$A$1:$O$86,15,0))</f>
        <v>19.239999999999998</v>
      </c>
      <c r="W372" s="6">
        <f>IF(ISERROR(VLOOKUP($T$372,'TAR FIN'!$A$1:$O$86,15,0)),0,VLOOKUP($T$372,'TAR FIN'!$A$1:$O$86,15,0))</f>
        <v>0</v>
      </c>
      <c r="X372" s="6">
        <f>IF(ISERROR(VLOOKUP($U$372,'TAR FIN'!$A$1:$O$86,15,0)),0,VLOOKUP($U$372,'TAR FIN'!$A$1:$O$86,15,0))</f>
        <v>0</v>
      </c>
      <c r="Y372" s="6">
        <f ca="1">('TUSD BE'!$AM$11+'TUSD BF'!$AM$11+'TUSD CVA'!$AM$11)*1</f>
        <v>15.19295792072058</v>
      </c>
      <c r="Z372" s="6"/>
      <c r="AA372" s="6"/>
      <c r="AB372" s="6">
        <f>$K$372*$V$372</f>
        <v>9504.56</v>
      </c>
      <c r="AC372" s="6">
        <f>$M$372*$W$372</f>
        <v>0</v>
      </c>
      <c r="AD372" s="6">
        <f>$O$372*$X$372</f>
        <v>0</v>
      </c>
      <c r="AE372" s="6">
        <f ca="1">$K$372*$Y$372</f>
        <v>7505.3212128359664</v>
      </c>
      <c r="AF372" s="6">
        <f>$M$372*$Z$372</f>
        <v>0</v>
      </c>
      <c r="AG372" s="6">
        <f>$O$372*$AA$372</f>
        <v>0</v>
      </c>
    </row>
    <row r="373" spans="1:33" ht="11.25" customHeight="1" x14ac:dyDescent="0.25">
      <c r="A373" s="4" t="s">
        <v>21</v>
      </c>
      <c r="B373" s="4" t="s">
        <v>38</v>
      </c>
      <c r="C373" s="4" t="s">
        <v>40</v>
      </c>
      <c r="D373" s="4" t="s">
        <v>44</v>
      </c>
      <c r="E373" s="4" t="s">
        <v>25</v>
      </c>
      <c r="F373" s="4" t="s">
        <v>25</v>
      </c>
      <c r="G373" s="4" t="s">
        <v>25</v>
      </c>
      <c r="H373" s="4" t="s">
        <v>33</v>
      </c>
      <c r="I373" s="5">
        <v>44378</v>
      </c>
      <c r="J373" s="6">
        <v>0</v>
      </c>
      <c r="K373" s="6">
        <v>0</v>
      </c>
      <c r="L373" s="6">
        <v>3.0659999999999998</v>
      </c>
      <c r="M373" s="6">
        <v>3.0659999999999998</v>
      </c>
      <c r="N373" s="6">
        <v>3.0659999999999998</v>
      </c>
      <c r="O373" s="6">
        <v>3.0659999999999998</v>
      </c>
      <c r="P373" s="6">
        <v>0</v>
      </c>
      <c r="Q373" s="4" t="s">
        <v>26</v>
      </c>
      <c r="R373" s="4">
        <v>0</v>
      </c>
      <c r="S373" s="6">
        <v>0</v>
      </c>
      <c r="T373" s="6">
        <v>16</v>
      </c>
      <c r="U373" s="6">
        <v>47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1329.67</v>
      </c>
      <c r="X373" s="6">
        <f>IF(ISERROR(VLOOKUP($U$373,'TAR FIN'!$A$1:$O$86,15,0)),0,VLOOKUP($U$373,'TAR FIN'!$A$1:$O$86,15,0))</f>
        <v>389.21</v>
      </c>
      <c r="Y373" s="6"/>
      <c r="Z373" s="6">
        <f ca="1">('TUSD BE'!$AM$12+'TUSD BF'!$AM$12+'TUSD CVA'!$AM$12)*1</f>
        <v>1074.3612836602365</v>
      </c>
      <c r="AA373" s="6">
        <f>('TE BE'!$AB$5+'TE BF'!$AB$5+'TE CVA'!$AB$5)*1</f>
        <v>353.55100010229148</v>
      </c>
      <c r="AB373" s="6">
        <f>$K$373*$V$373</f>
        <v>0</v>
      </c>
      <c r="AC373" s="6">
        <f>$M$373*$W$373</f>
        <v>4076.7682199999999</v>
      </c>
      <c r="AD373" s="6">
        <f>$O$373*$X$373</f>
        <v>1193.3178599999999</v>
      </c>
      <c r="AE373" s="6">
        <f>$K$373*$Y$373</f>
        <v>0</v>
      </c>
      <c r="AF373" s="6">
        <f ca="1">$M$373*$Z$373</f>
        <v>3293.9916957022851</v>
      </c>
      <c r="AG373" s="6">
        <f>$O$373*$AA$373</f>
        <v>1083.9873663136257</v>
      </c>
    </row>
    <row r="374" spans="1:33" ht="11.25" customHeight="1" x14ac:dyDescent="0.25">
      <c r="A374" s="4" t="s">
        <v>21</v>
      </c>
      <c r="B374" s="4" t="s">
        <v>38</v>
      </c>
      <c r="C374" s="4" t="s">
        <v>40</v>
      </c>
      <c r="D374" s="4" t="s">
        <v>44</v>
      </c>
      <c r="E374" s="4" t="s">
        <v>25</v>
      </c>
      <c r="F374" s="4" t="s">
        <v>25</v>
      </c>
      <c r="G374" s="4" t="s">
        <v>25</v>
      </c>
      <c r="H374" s="4" t="s">
        <v>33</v>
      </c>
      <c r="I374" s="5">
        <v>44409</v>
      </c>
      <c r="J374" s="6">
        <v>0</v>
      </c>
      <c r="K374" s="6">
        <v>0</v>
      </c>
      <c r="L374" s="6">
        <v>2.851</v>
      </c>
      <c r="M374" s="6">
        <v>2.851</v>
      </c>
      <c r="N374" s="6">
        <v>2.851</v>
      </c>
      <c r="O374" s="6">
        <v>2.851</v>
      </c>
      <c r="P374" s="6">
        <v>0</v>
      </c>
      <c r="Q374" s="4" t="s">
        <v>26</v>
      </c>
      <c r="R374" s="4">
        <v>0</v>
      </c>
      <c r="S374" s="6">
        <v>0</v>
      </c>
      <c r="T374" s="6">
        <v>16</v>
      </c>
      <c r="U374" s="6">
        <v>47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1329.67</v>
      </c>
      <c r="X374" s="6">
        <f>IF(ISERROR(VLOOKUP($U$374,'TAR FIN'!$A$1:$O$86,15,0)),0,VLOOKUP($U$374,'TAR FIN'!$A$1:$O$86,15,0))</f>
        <v>389.21</v>
      </c>
      <c r="Y374" s="6"/>
      <c r="Z374" s="6">
        <f ca="1">('TUSD BE'!$AM$12+'TUSD BF'!$AM$12+'TUSD CVA'!$AM$12)*1</f>
        <v>1074.3612836602365</v>
      </c>
      <c r="AA374" s="6">
        <f>('TE BE'!$AB$5+'TE BF'!$AB$5+'TE CVA'!$AB$5)*1</f>
        <v>353.55100010229148</v>
      </c>
      <c r="AB374" s="6">
        <f>$K$374*$V$374</f>
        <v>0</v>
      </c>
      <c r="AC374" s="6">
        <f>$M$374*$W$374</f>
        <v>3790.8891700000004</v>
      </c>
      <c r="AD374" s="6">
        <f>$O$374*$X$374</f>
        <v>1109.63771</v>
      </c>
      <c r="AE374" s="6">
        <f>$K$374*$Y$374</f>
        <v>0</v>
      </c>
      <c r="AF374" s="6">
        <f ca="1">$M$374*$Z$374</f>
        <v>3063.0040197153344</v>
      </c>
      <c r="AG374" s="6">
        <f>$O$374*$AA$374</f>
        <v>1007.973901291633</v>
      </c>
    </row>
    <row r="375" spans="1:33" ht="11.25" customHeight="1" x14ac:dyDescent="0.25">
      <c r="A375" s="4" t="s">
        <v>21</v>
      </c>
      <c r="B375" s="4" t="s">
        <v>38</v>
      </c>
      <c r="C375" s="4" t="s">
        <v>40</v>
      </c>
      <c r="D375" s="4" t="s">
        <v>44</v>
      </c>
      <c r="E375" s="4" t="s">
        <v>25</v>
      </c>
      <c r="F375" s="4" t="s">
        <v>25</v>
      </c>
      <c r="G375" s="4" t="s">
        <v>25</v>
      </c>
      <c r="H375" s="4" t="s">
        <v>33</v>
      </c>
      <c r="I375" s="5">
        <v>44440</v>
      </c>
      <c r="J375" s="6">
        <v>0</v>
      </c>
      <c r="K375" s="6">
        <v>0</v>
      </c>
      <c r="L375" s="6">
        <v>2.589</v>
      </c>
      <c r="M375" s="6">
        <v>2.589</v>
      </c>
      <c r="N375" s="6">
        <v>2.589</v>
      </c>
      <c r="O375" s="6">
        <v>2.589</v>
      </c>
      <c r="P375" s="6">
        <v>0</v>
      </c>
      <c r="Q375" s="4" t="s">
        <v>26</v>
      </c>
      <c r="R375" s="4">
        <v>0</v>
      </c>
      <c r="S375" s="6">
        <v>0</v>
      </c>
      <c r="T375" s="6">
        <v>16</v>
      </c>
      <c r="U375" s="6">
        <v>47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1329.67</v>
      </c>
      <c r="X375" s="6">
        <f>IF(ISERROR(VLOOKUP($U$375,'TAR FIN'!$A$1:$O$86,15,0)),0,VLOOKUP($U$375,'TAR FIN'!$A$1:$O$86,15,0))</f>
        <v>389.21</v>
      </c>
      <c r="Y375" s="6"/>
      <c r="Z375" s="6">
        <f ca="1">('TUSD BE'!$AM$12+'TUSD BF'!$AM$12+'TUSD CVA'!$AM$12)*1</f>
        <v>1074.3612836602365</v>
      </c>
      <c r="AA375" s="6">
        <f>('TE BE'!$AB$5+'TE BF'!$AB$5+'TE CVA'!$AB$5)*1</f>
        <v>353.55100010229148</v>
      </c>
      <c r="AB375" s="6">
        <f>$K$375*$V$375</f>
        <v>0</v>
      </c>
      <c r="AC375" s="6">
        <f>$M$375*$W$375</f>
        <v>3442.5156300000003</v>
      </c>
      <c r="AD375" s="6">
        <f>$O$375*$X$375</f>
        <v>1007.66469</v>
      </c>
      <c r="AE375" s="6">
        <f>$K$375*$Y$375</f>
        <v>0</v>
      </c>
      <c r="AF375" s="6">
        <f ca="1">$M$375*$Z$375</f>
        <v>2781.5213633963522</v>
      </c>
      <c r="AG375" s="6">
        <f>$O$375*$AA$375</f>
        <v>915.34353926483266</v>
      </c>
    </row>
    <row r="376" spans="1:33" ht="11.25" customHeight="1" x14ac:dyDescent="0.25">
      <c r="A376" s="4" t="s">
        <v>21</v>
      </c>
      <c r="B376" s="4" t="s">
        <v>38</v>
      </c>
      <c r="C376" s="4" t="s">
        <v>40</v>
      </c>
      <c r="D376" s="4" t="s">
        <v>44</v>
      </c>
      <c r="E376" s="4" t="s">
        <v>25</v>
      </c>
      <c r="F376" s="4" t="s">
        <v>25</v>
      </c>
      <c r="G376" s="4" t="s">
        <v>25</v>
      </c>
      <c r="H376" s="4" t="s">
        <v>33</v>
      </c>
      <c r="I376" s="5">
        <v>44470</v>
      </c>
      <c r="J376" s="6">
        <v>0</v>
      </c>
      <c r="K376" s="6">
        <v>0</v>
      </c>
      <c r="L376" s="6">
        <v>2.4740000000000002</v>
      </c>
      <c r="M376" s="6">
        <v>2.4740000000000002</v>
      </c>
      <c r="N376" s="6">
        <v>2.4740000000000002</v>
      </c>
      <c r="O376" s="6">
        <v>2.4740000000000002</v>
      </c>
      <c r="P376" s="6">
        <v>0</v>
      </c>
      <c r="Q376" s="4" t="s">
        <v>26</v>
      </c>
      <c r="R376" s="4">
        <v>0</v>
      </c>
      <c r="S376" s="6">
        <v>0</v>
      </c>
      <c r="T376" s="6">
        <v>16</v>
      </c>
      <c r="U376" s="6">
        <v>47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1329.67</v>
      </c>
      <c r="X376" s="6">
        <f>IF(ISERROR(VLOOKUP($U$376,'TAR FIN'!$A$1:$O$86,15,0)),0,VLOOKUP($U$376,'TAR FIN'!$A$1:$O$86,15,0))</f>
        <v>389.21</v>
      </c>
      <c r="Y376" s="6"/>
      <c r="Z376" s="6">
        <f ca="1">('TUSD BE'!$AM$12+'TUSD BF'!$AM$12+'TUSD CVA'!$AM$12)*1</f>
        <v>1074.3612836602365</v>
      </c>
      <c r="AA376" s="6">
        <f>('TE BE'!$AB$5+'TE BF'!$AB$5+'TE CVA'!$AB$5)*1</f>
        <v>353.55100010229148</v>
      </c>
      <c r="AB376" s="6">
        <f>$K$376*$V$376</f>
        <v>0</v>
      </c>
      <c r="AC376" s="6">
        <f>$M$376*$W$376</f>
        <v>3289.6035800000004</v>
      </c>
      <c r="AD376" s="6">
        <f>$O$376*$X$376</f>
        <v>962.90553999999997</v>
      </c>
      <c r="AE376" s="6">
        <f>$K$376*$Y$376</f>
        <v>0</v>
      </c>
      <c r="AF376" s="6">
        <f ca="1">$M$376*$Z$376</f>
        <v>2657.9698157754251</v>
      </c>
      <c r="AG376" s="6">
        <f>$O$376*$AA$376</f>
        <v>874.68517425306925</v>
      </c>
    </row>
    <row r="377" spans="1:33" ht="11.25" customHeight="1" x14ac:dyDescent="0.25">
      <c r="A377" s="4" t="s">
        <v>21</v>
      </c>
      <c r="B377" s="4" t="s">
        <v>38</v>
      </c>
      <c r="C377" s="4" t="s">
        <v>40</v>
      </c>
      <c r="D377" s="4" t="s">
        <v>44</v>
      </c>
      <c r="E377" s="4" t="s">
        <v>25</v>
      </c>
      <c r="F377" s="4" t="s">
        <v>25</v>
      </c>
      <c r="G377" s="4" t="s">
        <v>25</v>
      </c>
      <c r="H377" s="4" t="s">
        <v>33</v>
      </c>
      <c r="I377" s="5">
        <v>44501</v>
      </c>
      <c r="J377" s="6">
        <v>0</v>
      </c>
      <c r="K377" s="6">
        <v>0</v>
      </c>
      <c r="L377" s="6">
        <v>2.9470000000000001</v>
      </c>
      <c r="M377" s="6">
        <v>2.9470000000000001</v>
      </c>
      <c r="N377" s="6">
        <v>2.9470000000000001</v>
      </c>
      <c r="O377" s="6">
        <v>2.9470000000000001</v>
      </c>
      <c r="P377" s="6">
        <v>0</v>
      </c>
      <c r="Q377" s="4" t="s">
        <v>26</v>
      </c>
      <c r="R377" s="4">
        <v>0</v>
      </c>
      <c r="S377" s="6">
        <v>0</v>
      </c>
      <c r="T377" s="6">
        <v>16</v>
      </c>
      <c r="U377" s="6">
        <v>47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1329.67</v>
      </c>
      <c r="X377" s="6">
        <f>IF(ISERROR(VLOOKUP($U$377,'TAR FIN'!$A$1:$O$86,15,0)),0,VLOOKUP($U$377,'TAR FIN'!$A$1:$O$86,15,0))</f>
        <v>389.21</v>
      </c>
      <c r="Y377" s="6"/>
      <c r="Z377" s="6">
        <f ca="1">('TUSD BE'!$AM$12+'TUSD BF'!$AM$12+'TUSD CVA'!$AM$12)*1</f>
        <v>1074.3612836602365</v>
      </c>
      <c r="AA377" s="6">
        <f>('TE BE'!$AB$5+'TE BF'!$AB$5+'TE CVA'!$AB$5)*1</f>
        <v>353.55100010229148</v>
      </c>
      <c r="AB377" s="6">
        <f>$K$377*$V$377</f>
        <v>0</v>
      </c>
      <c r="AC377" s="6">
        <f>$M$377*$W$377</f>
        <v>3918.5374900000002</v>
      </c>
      <c r="AD377" s="6">
        <f>$O$377*$X$377</f>
        <v>1147.0018700000001</v>
      </c>
      <c r="AE377" s="6">
        <f>$K$377*$Y$377</f>
        <v>0</v>
      </c>
      <c r="AF377" s="6">
        <f ca="1">$M$377*$Z$377</f>
        <v>3166.1427029467172</v>
      </c>
      <c r="AG377" s="6">
        <f>$O$377*$AA$377</f>
        <v>1041.9147973014531</v>
      </c>
    </row>
    <row r="378" spans="1:33" ht="11.25" customHeight="1" x14ac:dyDescent="0.25">
      <c r="A378" s="4" t="s">
        <v>21</v>
      </c>
      <c r="B378" s="4" t="s">
        <v>38</v>
      </c>
      <c r="C378" s="4" t="s">
        <v>40</v>
      </c>
      <c r="D378" s="4" t="s">
        <v>44</v>
      </c>
      <c r="E378" s="4" t="s">
        <v>25</v>
      </c>
      <c r="F378" s="4" t="s">
        <v>25</v>
      </c>
      <c r="G378" s="4" t="s">
        <v>25</v>
      </c>
      <c r="H378" s="4" t="s">
        <v>33</v>
      </c>
      <c r="I378" s="5">
        <v>44531</v>
      </c>
      <c r="J378" s="6">
        <v>0</v>
      </c>
      <c r="K378" s="6">
        <v>0</v>
      </c>
      <c r="L378" s="6">
        <v>3.286</v>
      </c>
      <c r="M378" s="6">
        <v>3.286</v>
      </c>
      <c r="N378" s="6">
        <v>3.286</v>
      </c>
      <c r="O378" s="6">
        <v>3.286</v>
      </c>
      <c r="P378" s="6">
        <v>0</v>
      </c>
      <c r="Q378" s="4" t="s">
        <v>26</v>
      </c>
      <c r="R378" s="4">
        <v>0</v>
      </c>
      <c r="S378" s="6">
        <v>0</v>
      </c>
      <c r="T378" s="6">
        <v>16</v>
      </c>
      <c r="U378" s="6">
        <v>47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1329.67</v>
      </c>
      <c r="X378" s="6">
        <f>IF(ISERROR(VLOOKUP($U$378,'TAR FIN'!$A$1:$O$86,15,0)),0,VLOOKUP($U$378,'TAR FIN'!$A$1:$O$86,15,0))</f>
        <v>389.21</v>
      </c>
      <c r="Y378" s="6"/>
      <c r="Z378" s="6">
        <f ca="1">('TUSD BE'!$AM$12+'TUSD BF'!$AM$12+'TUSD CVA'!$AM$12)*1</f>
        <v>1074.3612836602365</v>
      </c>
      <c r="AA378" s="6">
        <f>('TE BE'!$AB$5+'TE BF'!$AB$5+'TE CVA'!$AB$5)*1</f>
        <v>353.55100010229148</v>
      </c>
      <c r="AB378" s="6">
        <f>$K$378*$V$378</f>
        <v>0</v>
      </c>
      <c r="AC378" s="6">
        <f>$M$378*$W$378</f>
        <v>4369.2956199999999</v>
      </c>
      <c r="AD378" s="6">
        <f>$O$378*$X$378</f>
        <v>1278.94406</v>
      </c>
      <c r="AE378" s="6">
        <f>$K$378*$Y$378</f>
        <v>0</v>
      </c>
      <c r="AF378" s="6">
        <f ca="1">$M$378*$Z$378</f>
        <v>3530.3511781075372</v>
      </c>
      <c r="AG378" s="6">
        <f>$O$378*$AA$378</f>
        <v>1161.7685863361298</v>
      </c>
    </row>
    <row r="379" spans="1:33" ht="11.25" customHeight="1" x14ac:dyDescent="0.25">
      <c r="A379" s="4" t="s">
        <v>21</v>
      </c>
      <c r="B379" s="4" t="s">
        <v>38</v>
      </c>
      <c r="C379" s="4" t="s">
        <v>40</v>
      </c>
      <c r="D379" s="4" t="s">
        <v>44</v>
      </c>
      <c r="E379" s="4" t="s">
        <v>25</v>
      </c>
      <c r="F379" s="4" t="s">
        <v>25</v>
      </c>
      <c r="G379" s="4" t="s">
        <v>25</v>
      </c>
      <c r="H379" s="4" t="s">
        <v>33</v>
      </c>
      <c r="I379" s="5">
        <v>44562</v>
      </c>
      <c r="J379" s="6">
        <v>0</v>
      </c>
      <c r="K379" s="6">
        <v>0</v>
      </c>
      <c r="L379" s="6">
        <v>3.45</v>
      </c>
      <c r="M379" s="6">
        <v>3.45</v>
      </c>
      <c r="N379" s="6">
        <v>3.45</v>
      </c>
      <c r="O379" s="6">
        <v>3.45</v>
      </c>
      <c r="P379" s="6">
        <v>0</v>
      </c>
      <c r="Q379" s="4" t="s">
        <v>26</v>
      </c>
      <c r="R379" s="4">
        <v>0</v>
      </c>
      <c r="S379" s="6">
        <v>0</v>
      </c>
      <c r="T379" s="6">
        <v>16</v>
      </c>
      <c r="U379" s="6">
        <v>47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1329.67</v>
      </c>
      <c r="X379" s="6">
        <f>IF(ISERROR(VLOOKUP($U$379,'TAR FIN'!$A$1:$O$86,15,0)),0,VLOOKUP($U$379,'TAR FIN'!$A$1:$O$86,15,0))</f>
        <v>389.21</v>
      </c>
      <c r="Y379" s="6"/>
      <c r="Z379" s="6">
        <f ca="1">('TUSD BE'!$AM$12+'TUSD BF'!$AM$12+'TUSD CVA'!$AM$12)*1</f>
        <v>1074.3612836602365</v>
      </c>
      <c r="AA379" s="6">
        <f>('TE BE'!$AB$5+'TE BF'!$AB$5+'TE CVA'!$AB$5)*1</f>
        <v>353.55100010229148</v>
      </c>
      <c r="AB379" s="6">
        <f>$K$379*$V$379</f>
        <v>0</v>
      </c>
      <c r="AC379" s="6">
        <f>$M$379*$W$379</f>
        <v>4587.3615000000009</v>
      </c>
      <c r="AD379" s="6">
        <f>$O$379*$X$379</f>
        <v>1342.7745</v>
      </c>
      <c r="AE379" s="6">
        <f>$K$379*$Y$379</f>
        <v>0</v>
      </c>
      <c r="AF379" s="6">
        <f ca="1">$M$379*$Z$379</f>
        <v>3706.5464286278161</v>
      </c>
      <c r="AG379" s="6">
        <f>$O$379*$AA$379</f>
        <v>1219.7509503529056</v>
      </c>
    </row>
    <row r="380" spans="1:33" ht="11.25" customHeight="1" x14ac:dyDescent="0.25">
      <c r="A380" s="4" t="s">
        <v>21</v>
      </c>
      <c r="B380" s="4" t="s">
        <v>38</v>
      </c>
      <c r="C380" s="4" t="s">
        <v>40</v>
      </c>
      <c r="D380" s="4" t="s">
        <v>44</v>
      </c>
      <c r="E380" s="4" t="s">
        <v>25</v>
      </c>
      <c r="F380" s="4" t="s">
        <v>25</v>
      </c>
      <c r="G380" s="4" t="s">
        <v>25</v>
      </c>
      <c r="H380" s="4" t="s">
        <v>33</v>
      </c>
      <c r="I380" s="5">
        <v>44593</v>
      </c>
      <c r="J380" s="6">
        <v>0</v>
      </c>
      <c r="K380" s="6">
        <v>0</v>
      </c>
      <c r="L380" s="6">
        <v>4.9450000000000003</v>
      </c>
      <c r="M380" s="6">
        <v>4.9450000000000003</v>
      </c>
      <c r="N380" s="6">
        <v>4.9450000000000003</v>
      </c>
      <c r="O380" s="6">
        <v>4.9450000000000003</v>
      </c>
      <c r="P380" s="6">
        <v>0</v>
      </c>
      <c r="Q380" s="4" t="s">
        <v>26</v>
      </c>
      <c r="R380" s="4">
        <v>0</v>
      </c>
      <c r="S380" s="6">
        <v>0</v>
      </c>
      <c r="T380" s="6">
        <v>16</v>
      </c>
      <c r="U380" s="6">
        <v>47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1329.67</v>
      </c>
      <c r="X380" s="6">
        <f>IF(ISERROR(VLOOKUP($U$380,'TAR FIN'!$A$1:$O$86,15,0)),0,VLOOKUP($U$380,'TAR FIN'!$A$1:$O$86,15,0))</f>
        <v>389.21</v>
      </c>
      <c r="Y380" s="6"/>
      <c r="Z380" s="6">
        <f ca="1">('TUSD BE'!$AM$12+'TUSD BF'!$AM$12+'TUSD CVA'!$AM$12)*1</f>
        <v>1074.3612836602365</v>
      </c>
      <c r="AA380" s="6">
        <f>('TE BE'!$AB$5+'TE BF'!$AB$5+'TE CVA'!$AB$5)*1</f>
        <v>353.55100010229148</v>
      </c>
      <c r="AB380" s="6">
        <f>$K$380*$V$380</f>
        <v>0</v>
      </c>
      <c r="AC380" s="6">
        <f>$M$380*$W$380</f>
        <v>6575.2181500000006</v>
      </c>
      <c r="AD380" s="6">
        <f>$O$380*$X$380</f>
        <v>1924.64345</v>
      </c>
      <c r="AE380" s="6">
        <f>$K$380*$Y$380</f>
        <v>0</v>
      </c>
      <c r="AF380" s="6">
        <f ca="1">$M$380*$Z$380</f>
        <v>5312.7165476998698</v>
      </c>
      <c r="AG380" s="6">
        <f>$O$380*$AA$380</f>
        <v>1748.3096955058315</v>
      </c>
    </row>
    <row r="381" spans="1:33" ht="11.25" customHeight="1" x14ac:dyDescent="0.25">
      <c r="A381" s="4" t="s">
        <v>21</v>
      </c>
      <c r="B381" s="4" t="s">
        <v>38</v>
      </c>
      <c r="C381" s="4" t="s">
        <v>40</v>
      </c>
      <c r="D381" s="4" t="s">
        <v>44</v>
      </c>
      <c r="E381" s="4" t="s">
        <v>25</v>
      </c>
      <c r="F381" s="4" t="s">
        <v>25</v>
      </c>
      <c r="G381" s="4" t="s">
        <v>25</v>
      </c>
      <c r="H381" s="4" t="s">
        <v>33</v>
      </c>
      <c r="I381" s="5">
        <v>44621</v>
      </c>
      <c r="J381" s="6">
        <v>0</v>
      </c>
      <c r="K381" s="6">
        <v>0</v>
      </c>
      <c r="L381" s="6">
        <v>6.1059999999999999</v>
      </c>
      <c r="M381" s="6">
        <v>6.1059999999999999</v>
      </c>
      <c r="N381" s="6">
        <v>6.1059999999999999</v>
      </c>
      <c r="O381" s="6">
        <v>6.1059999999999999</v>
      </c>
      <c r="P381" s="6">
        <v>0</v>
      </c>
      <c r="Q381" s="4" t="s">
        <v>26</v>
      </c>
      <c r="R381" s="4">
        <v>0</v>
      </c>
      <c r="S381" s="6">
        <v>0</v>
      </c>
      <c r="T381" s="6">
        <v>16</v>
      </c>
      <c r="U381" s="6">
        <v>47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1329.67</v>
      </c>
      <c r="X381" s="6">
        <f>IF(ISERROR(VLOOKUP($U$381,'TAR FIN'!$A$1:$O$86,15,0)),0,VLOOKUP($U$381,'TAR FIN'!$A$1:$O$86,15,0))</f>
        <v>389.21</v>
      </c>
      <c r="Y381" s="6"/>
      <c r="Z381" s="6">
        <f ca="1">('TUSD BE'!$AM$12+'TUSD BF'!$AM$12+'TUSD CVA'!$AM$12)*1</f>
        <v>1074.3612836602365</v>
      </c>
      <c r="AA381" s="6">
        <f>('TE BE'!$AB$5+'TE BF'!$AB$5+'TE CVA'!$AB$5)*1</f>
        <v>353.55100010229148</v>
      </c>
      <c r="AB381" s="6">
        <f>$K$381*$V$381</f>
        <v>0</v>
      </c>
      <c r="AC381" s="6">
        <f>$M$381*$W$381</f>
        <v>8118.9650200000005</v>
      </c>
      <c r="AD381" s="6">
        <f>$O$381*$X$381</f>
        <v>2376.5162599999999</v>
      </c>
      <c r="AE381" s="6">
        <f>$K$381*$Y$381</f>
        <v>0</v>
      </c>
      <c r="AF381" s="6">
        <f ca="1">$M$381*$Z$381</f>
        <v>6560.0499980294035</v>
      </c>
      <c r="AG381" s="6">
        <f>$O$381*$AA$381</f>
        <v>2158.7824066245917</v>
      </c>
    </row>
    <row r="382" spans="1:33" ht="11.25" customHeight="1" x14ac:dyDescent="0.25">
      <c r="A382" s="4" t="s">
        <v>21</v>
      </c>
      <c r="B382" s="4" t="s">
        <v>38</v>
      </c>
      <c r="C382" s="4" t="s">
        <v>40</v>
      </c>
      <c r="D382" s="4" t="s">
        <v>44</v>
      </c>
      <c r="E382" s="4" t="s">
        <v>25</v>
      </c>
      <c r="F382" s="4" t="s">
        <v>25</v>
      </c>
      <c r="G382" s="4" t="s">
        <v>25</v>
      </c>
      <c r="H382" s="4" t="s">
        <v>33</v>
      </c>
      <c r="I382" s="5">
        <v>44652</v>
      </c>
      <c r="J382" s="6">
        <v>0</v>
      </c>
      <c r="K382" s="6">
        <v>0</v>
      </c>
      <c r="L382" s="6">
        <v>4.4820000000000002</v>
      </c>
      <c r="M382" s="6">
        <v>4.4820000000000002</v>
      </c>
      <c r="N382" s="6">
        <v>4.4820000000000002</v>
      </c>
      <c r="O382" s="6">
        <v>4.4820000000000002</v>
      </c>
      <c r="P382" s="6">
        <v>0</v>
      </c>
      <c r="Q382" s="4" t="s">
        <v>26</v>
      </c>
      <c r="R382" s="4">
        <v>0</v>
      </c>
      <c r="S382" s="6">
        <v>0</v>
      </c>
      <c r="T382" s="6">
        <v>16</v>
      </c>
      <c r="U382" s="6">
        <v>47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1329.67</v>
      </c>
      <c r="X382" s="6">
        <f>IF(ISERROR(VLOOKUP($U$382,'TAR FIN'!$A$1:$O$86,15,0)),0,VLOOKUP($U$382,'TAR FIN'!$A$1:$O$86,15,0))</f>
        <v>389.21</v>
      </c>
      <c r="Y382" s="6"/>
      <c r="Z382" s="6">
        <f ca="1">('TUSD BE'!$AM$12+'TUSD BF'!$AM$12+'TUSD CVA'!$AM$12)*1</f>
        <v>1074.3612836602365</v>
      </c>
      <c r="AA382" s="6">
        <f>('TE BE'!$AB$5+'TE BF'!$AB$5+'TE CVA'!$AB$5)*1</f>
        <v>353.55100010229148</v>
      </c>
      <c r="AB382" s="6">
        <f>$K$382*$V$382</f>
        <v>0</v>
      </c>
      <c r="AC382" s="6">
        <f>$M$382*$W$382</f>
        <v>5959.5809400000007</v>
      </c>
      <c r="AD382" s="6">
        <f>$O$382*$X$382</f>
        <v>1744.43922</v>
      </c>
      <c r="AE382" s="6">
        <f>$K$382*$Y$382</f>
        <v>0</v>
      </c>
      <c r="AF382" s="6">
        <f ca="1">$M$382*$Z$382</f>
        <v>4815.2872733651802</v>
      </c>
      <c r="AG382" s="6">
        <f>$O$382*$AA$382</f>
        <v>1584.6155824584705</v>
      </c>
    </row>
    <row r="383" spans="1:33" ht="11.25" customHeight="1" x14ac:dyDescent="0.25">
      <c r="A383" s="4" t="s">
        <v>21</v>
      </c>
      <c r="B383" s="4" t="s">
        <v>38</v>
      </c>
      <c r="C383" s="4" t="s">
        <v>40</v>
      </c>
      <c r="D383" s="4" t="s">
        <v>44</v>
      </c>
      <c r="E383" s="4" t="s">
        <v>25</v>
      </c>
      <c r="F383" s="4" t="s">
        <v>25</v>
      </c>
      <c r="G383" s="4" t="s">
        <v>25</v>
      </c>
      <c r="H383" s="4" t="s">
        <v>33</v>
      </c>
      <c r="I383" s="5">
        <v>44682</v>
      </c>
      <c r="J383" s="6">
        <v>0</v>
      </c>
      <c r="K383" s="6">
        <v>0</v>
      </c>
      <c r="L383" s="6">
        <v>5.7409999999999997</v>
      </c>
      <c r="M383" s="6">
        <v>5.7409999999999997</v>
      </c>
      <c r="N383" s="6">
        <v>5.7409999999999997</v>
      </c>
      <c r="O383" s="6">
        <v>5.7409999999999997</v>
      </c>
      <c r="P383" s="6">
        <v>0</v>
      </c>
      <c r="Q383" s="4" t="s">
        <v>26</v>
      </c>
      <c r="R383" s="4">
        <v>0</v>
      </c>
      <c r="S383" s="6">
        <v>0</v>
      </c>
      <c r="T383" s="6">
        <v>16</v>
      </c>
      <c r="U383" s="6">
        <v>47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1329.67</v>
      </c>
      <c r="X383" s="6">
        <f>IF(ISERROR(VLOOKUP($U$383,'TAR FIN'!$A$1:$O$86,15,0)),0,VLOOKUP($U$383,'TAR FIN'!$A$1:$O$86,15,0))</f>
        <v>389.21</v>
      </c>
      <c r="Y383" s="6"/>
      <c r="Z383" s="6">
        <f ca="1">('TUSD BE'!$AM$12+'TUSD BF'!$AM$12+'TUSD CVA'!$AM$12)*1</f>
        <v>1074.3612836602365</v>
      </c>
      <c r="AA383" s="6">
        <f>('TE BE'!$AB$5+'TE BF'!$AB$5+'TE CVA'!$AB$5)*1</f>
        <v>353.55100010229148</v>
      </c>
      <c r="AB383" s="6">
        <f>$K$383*$V$383</f>
        <v>0</v>
      </c>
      <c r="AC383" s="6">
        <f>$M$383*$W$383</f>
        <v>7633.6354700000002</v>
      </c>
      <c r="AD383" s="6">
        <f>$O$383*$X$383</f>
        <v>2234.4546099999998</v>
      </c>
      <c r="AE383" s="6">
        <f>$K$383*$Y$383</f>
        <v>0</v>
      </c>
      <c r="AF383" s="6">
        <f ca="1">$M$383*$Z$383</f>
        <v>6167.9081294934176</v>
      </c>
      <c r="AG383" s="6">
        <f>$O$383*$AA$383</f>
        <v>2029.7362915872552</v>
      </c>
    </row>
    <row r="384" spans="1:33" ht="11.25" customHeight="1" x14ac:dyDescent="0.25">
      <c r="A384" s="4" t="s">
        <v>56</v>
      </c>
      <c r="B384" s="4" t="s">
        <v>38</v>
      </c>
      <c r="C384" s="4" t="s">
        <v>40</v>
      </c>
      <c r="D384" s="4" t="s">
        <v>44</v>
      </c>
      <c r="E384" s="4" t="s">
        <v>25</v>
      </c>
      <c r="F384" s="4" t="s">
        <v>25</v>
      </c>
      <c r="G384" s="4" t="s">
        <v>25</v>
      </c>
      <c r="H384" s="4" t="s">
        <v>33</v>
      </c>
      <c r="I384" s="5">
        <v>44713</v>
      </c>
      <c r="J384" s="6">
        <v>0</v>
      </c>
      <c r="K384" s="6">
        <v>0</v>
      </c>
      <c r="L384" s="6">
        <v>5.7409999999999997</v>
      </c>
      <c r="M384" s="6">
        <v>5.7409999999999997</v>
      </c>
      <c r="N384" s="6">
        <v>5.7409999999999997</v>
      </c>
      <c r="O384" s="6">
        <v>5.7409999999999997</v>
      </c>
      <c r="P384" s="6">
        <v>0</v>
      </c>
      <c r="Q384" s="4" t="s">
        <v>26</v>
      </c>
      <c r="R384" s="4">
        <v>0</v>
      </c>
      <c r="S384" s="6">
        <v>0</v>
      </c>
      <c r="T384" s="6">
        <v>16</v>
      </c>
      <c r="U384" s="6">
        <v>47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1329.67</v>
      </c>
      <c r="X384" s="6">
        <f>IF(ISERROR(VLOOKUP($U$384,'TAR FIN'!$A$1:$O$86,15,0)),0,VLOOKUP($U$384,'TAR FIN'!$A$1:$O$86,15,0))</f>
        <v>389.21</v>
      </c>
      <c r="Y384" s="6"/>
      <c r="Z384" s="6">
        <f ca="1">('TUSD BE'!$AM$12+'TUSD BF'!$AM$12+'TUSD CVA'!$AM$12)*1</f>
        <v>1074.3612836602365</v>
      </c>
      <c r="AA384" s="6">
        <f>('TE BE'!$AB$5+'TE BF'!$AB$5+'TE CVA'!$AB$5)*1</f>
        <v>353.55100010229148</v>
      </c>
      <c r="AB384" s="6">
        <f>$K$384*$V$384</f>
        <v>0</v>
      </c>
      <c r="AC384" s="6">
        <f>$M$384*$W$384</f>
        <v>7633.6354700000002</v>
      </c>
      <c r="AD384" s="6">
        <f>$O$384*$X$384</f>
        <v>2234.4546099999998</v>
      </c>
      <c r="AE384" s="6">
        <f>$K$384*$Y$384</f>
        <v>0</v>
      </c>
      <c r="AF384" s="6">
        <f ca="1">$M$384*$Z$384</f>
        <v>6167.9081294934176</v>
      </c>
      <c r="AG384" s="6">
        <f>$O$384*$AA$384</f>
        <v>2029.7362915872552</v>
      </c>
    </row>
    <row r="385" spans="1:33" ht="11.25" customHeight="1" x14ac:dyDescent="0.25">
      <c r="A385" s="4" t="s">
        <v>21</v>
      </c>
      <c r="B385" s="4" t="s">
        <v>38</v>
      </c>
      <c r="C385" s="4" t="s">
        <v>40</v>
      </c>
      <c r="D385" s="4" t="s">
        <v>43</v>
      </c>
      <c r="E385" s="4" t="s">
        <v>51</v>
      </c>
      <c r="F385" s="4" t="s">
        <v>53</v>
      </c>
      <c r="G385" s="4" t="s">
        <v>25</v>
      </c>
      <c r="H385" s="4" t="s">
        <v>34</v>
      </c>
      <c r="I385" s="5">
        <v>44378</v>
      </c>
      <c r="J385" s="6">
        <v>0</v>
      </c>
      <c r="K385" s="6">
        <v>0</v>
      </c>
      <c r="L385" s="6">
        <v>9.0150000000000006</v>
      </c>
      <c r="M385" s="6">
        <v>2.7044999999999999</v>
      </c>
      <c r="N385" s="6">
        <v>9.0150000000000006</v>
      </c>
      <c r="O385" s="6">
        <v>2.7044999999999999</v>
      </c>
      <c r="P385" s="6">
        <v>0</v>
      </c>
      <c r="Q385" s="4" t="s">
        <v>26</v>
      </c>
      <c r="R385" s="4">
        <v>0</v>
      </c>
      <c r="S385" s="6">
        <v>0</v>
      </c>
      <c r="T385" s="6">
        <v>14</v>
      </c>
      <c r="U385" s="6">
        <v>42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78.680000000000007</v>
      </c>
      <c r="X385" s="6">
        <f>IF(ISERROR(VLOOKUP($U$385,'TAR FIN'!$A$1:$O$86,15,0)),0,VLOOKUP($U$385,'TAR FIN'!$A$1:$O$86,15,0))</f>
        <v>246.3</v>
      </c>
      <c r="Y385" s="6"/>
      <c r="Z385" s="6">
        <f ca="1">('TUSD BE'!$AM$13+'TUSD BF'!$AM$13+'TUSD CVA'!$AM$13)*1</f>
        <v>100.23755694003805</v>
      </c>
      <c r="AA385" s="6">
        <f>('TE BE'!$AB$6+'TE BF'!$AB$6+'TE CVA'!$AB$6)*1</f>
        <v>219.40364509824883</v>
      </c>
      <c r="AB385" s="6">
        <f>$K$385*$V$385</f>
        <v>0</v>
      </c>
      <c r="AC385" s="6">
        <f>$M$385*$W$385</f>
        <v>212.79006000000001</v>
      </c>
      <c r="AD385" s="6">
        <f>$O$385*$X$385</f>
        <v>666.11834999999996</v>
      </c>
      <c r="AE385" s="6">
        <f>$K$385*$Y$385</f>
        <v>0</v>
      </c>
      <c r="AF385" s="6">
        <f ca="1">$M$385*$Z$385</f>
        <v>271.09247274433289</v>
      </c>
      <c r="AG385" s="6">
        <f>$O$385*$AA$385</f>
        <v>593.3771581682139</v>
      </c>
    </row>
    <row r="386" spans="1:33" ht="11.25" customHeight="1" x14ac:dyDescent="0.25">
      <c r="A386" s="4" t="s">
        <v>21</v>
      </c>
      <c r="B386" s="4" t="s">
        <v>38</v>
      </c>
      <c r="C386" s="4" t="s">
        <v>40</v>
      </c>
      <c r="D386" s="4" t="s">
        <v>43</v>
      </c>
      <c r="E386" s="4" t="s">
        <v>51</v>
      </c>
      <c r="F386" s="4" t="s">
        <v>53</v>
      </c>
      <c r="G386" s="4" t="s">
        <v>25</v>
      </c>
      <c r="H386" s="4" t="s">
        <v>34</v>
      </c>
      <c r="I386" s="5">
        <v>44409</v>
      </c>
      <c r="J386" s="6">
        <v>0</v>
      </c>
      <c r="K386" s="6">
        <v>0</v>
      </c>
      <c r="L386" s="6">
        <v>9.0830000000000002</v>
      </c>
      <c r="M386" s="6">
        <v>2.7248999999999999</v>
      </c>
      <c r="N386" s="6">
        <v>9.0830000000000002</v>
      </c>
      <c r="O386" s="6">
        <v>2.7248999999999999</v>
      </c>
      <c r="P386" s="6">
        <v>0</v>
      </c>
      <c r="Q386" s="4" t="s">
        <v>26</v>
      </c>
      <c r="R386" s="4">
        <v>0</v>
      </c>
      <c r="S386" s="6">
        <v>0</v>
      </c>
      <c r="T386" s="6">
        <v>14</v>
      </c>
      <c r="U386" s="6">
        <v>42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78.680000000000007</v>
      </c>
      <c r="X386" s="6">
        <f>IF(ISERROR(VLOOKUP($U$386,'TAR FIN'!$A$1:$O$86,15,0)),0,VLOOKUP($U$386,'TAR FIN'!$A$1:$O$86,15,0))</f>
        <v>246.3</v>
      </c>
      <c r="Y386" s="6"/>
      <c r="Z386" s="6">
        <f ca="1">('TUSD BE'!$AM$13+'TUSD BF'!$AM$13+'TUSD CVA'!$AM$13)*1</f>
        <v>100.23755694003805</v>
      </c>
      <c r="AA386" s="6">
        <f>('TE BE'!$AB$6+'TE BF'!$AB$6+'TE CVA'!$AB$6)*1</f>
        <v>219.40364509824883</v>
      </c>
      <c r="AB386" s="6">
        <f>$K$386*$V$386</f>
        <v>0</v>
      </c>
      <c r="AC386" s="6">
        <f>$M$386*$W$386</f>
        <v>214.39513200000002</v>
      </c>
      <c r="AD386" s="6">
        <f>$O$386*$X$386</f>
        <v>671.14287000000002</v>
      </c>
      <c r="AE386" s="6">
        <f>$K$386*$Y$386</f>
        <v>0</v>
      </c>
      <c r="AF386" s="6">
        <f ca="1">$M$386*$Z$386</f>
        <v>273.13731890590964</v>
      </c>
      <c r="AG386" s="6">
        <f>$O$386*$AA$386</f>
        <v>597.85299252821824</v>
      </c>
    </row>
    <row r="387" spans="1:33" ht="11.25" customHeight="1" x14ac:dyDescent="0.25">
      <c r="A387" s="4" t="s">
        <v>21</v>
      </c>
      <c r="B387" s="4" t="s">
        <v>38</v>
      </c>
      <c r="C387" s="4" t="s">
        <v>40</v>
      </c>
      <c r="D387" s="4" t="s">
        <v>43</v>
      </c>
      <c r="E387" s="4" t="s">
        <v>51</v>
      </c>
      <c r="F387" s="4" t="s">
        <v>53</v>
      </c>
      <c r="G387" s="4" t="s">
        <v>25</v>
      </c>
      <c r="H387" s="4" t="s">
        <v>34</v>
      </c>
      <c r="I387" s="5">
        <v>44440</v>
      </c>
      <c r="J387" s="6">
        <v>0</v>
      </c>
      <c r="K387" s="6">
        <v>0</v>
      </c>
      <c r="L387" s="6">
        <v>8.0559999999999992</v>
      </c>
      <c r="M387" s="6">
        <v>2.4167999999999998</v>
      </c>
      <c r="N387" s="6">
        <v>8.0559999999999992</v>
      </c>
      <c r="O387" s="6">
        <v>2.4167999999999998</v>
      </c>
      <c r="P387" s="6">
        <v>0</v>
      </c>
      <c r="Q387" s="4" t="s">
        <v>26</v>
      </c>
      <c r="R387" s="4">
        <v>0</v>
      </c>
      <c r="S387" s="6">
        <v>0</v>
      </c>
      <c r="T387" s="6">
        <v>14</v>
      </c>
      <c r="U387" s="6">
        <v>42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78.680000000000007</v>
      </c>
      <c r="X387" s="6">
        <f>IF(ISERROR(VLOOKUP($U$387,'TAR FIN'!$A$1:$O$86,15,0)),0,VLOOKUP($U$387,'TAR FIN'!$A$1:$O$86,15,0))</f>
        <v>246.3</v>
      </c>
      <c r="Y387" s="6"/>
      <c r="Z387" s="6">
        <f ca="1">('TUSD BE'!$AM$13+'TUSD BF'!$AM$13+'TUSD CVA'!$AM$13)*1</f>
        <v>100.23755694003805</v>
      </c>
      <c r="AA387" s="6">
        <f>('TE BE'!$AB$6+'TE BF'!$AB$6+'TE CVA'!$AB$6)*1</f>
        <v>219.40364509824883</v>
      </c>
      <c r="AB387" s="6">
        <f>$K$387*$V$387</f>
        <v>0</v>
      </c>
      <c r="AC387" s="6">
        <f>$M$387*$W$387</f>
        <v>190.15382400000001</v>
      </c>
      <c r="AD387" s="6">
        <f>$O$387*$X$387</f>
        <v>595.25783999999999</v>
      </c>
      <c r="AE387" s="6">
        <f>$K$387*$Y$387</f>
        <v>0</v>
      </c>
      <c r="AF387" s="6">
        <f ca="1">$M$387*$Z$387</f>
        <v>242.25412761268393</v>
      </c>
      <c r="AG387" s="6">
        <f>$O$387*$AA$387</f>
        <v>530.2547294734477</v>
      </c>
    </row>
    <row r="388" spans="1:33" ht="11.25" customHeight="1" x14ac:dyDescent="0.25">
      <c r="A388" s="4" t="s">
        <v>21</v>
      </c>
      <c r="B388" s="4" t="s">
        <v>38</v>
      </c>
      <c r="C388" s="4" t="s">
        <v>40</v>
      </c>
      <c r="D388" s="4" t="s">
        <v>43</v>
      </c>
      <c r="E388" s="4" t="s">
        <v>51</v>
      </c>
      <c r="F388" s="4" t="s">
        <v>53</v>
      </c>
      <c r="G388" s="4" t="s">
        <v>25</v>
      </c>
      <c r="H388" s="4" t="s">
        <v>34</v>
      </c>
      <c r="I388" s="5">
        <v>44470</v>
      </c>
      <c r="J388" s="6">
        <v>0</v>
      </c>
      <c r="K388" s="6">
        <v>0</v>
      </c>
      <c r="L388" s="6">
        <v>18.600999999999999</v>
      </c>
      <c r="M388" s="6">
        <v>5.5803000000000003</v>
      </c>
      <c r="N388" s="6">
        <v>18.600999999999999</v>
      </c>
      <c r="O388" s="6">
        <v>5.5803000000000003</v>
      </c>
      <c r="P388" s="6">
        <v>0</v>
      </c>
      <c r="Q388" s="4" t="s">
        <v>26</v>
      </c>
      <c r="R388" s="4">
        <v>0</v>
      </c>
      <c r="S388" s="6">
        <v>0</v>
      </c>
      <c r="T388" s="6">
        <v>14</v>
      </c>
      <c r="U388" s="6">
        <v>42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78.680000000000007</v>
      </c>
      <c r="X388" s="6">
        <f>IF(ISERROR(VLOOKUP($U$388,'TAR FIN'!$A$1:$O$86,15,0)),0,VLOOKUP($U$388,'TAR FIN'!$A$1:$O$86,15,0))</f>
        <v>246.3</v>
      </c>
      <c r="Y388" s="6"/>
      <c r="Z388" s="6">
        <f ca="1">('TUSD BE'!$AM$13+'TUSD BF'!$AM$13+'TUSD CVA'!$AM$13)*1</f>
        <v>100.23755694003805</v>
      </c>
      <c r="AA388" s="6">
        <f>('TE BE'!$AB$6+'TE BF'!$AB$6+'TE CVA'!$AB$6)*1</f>
        <v>219.40364509824883</v>
      </c>
      <c r="AB388" s="6">
        <f>$K$388*$V$388</f>
        <v>0</v>
      </c>
      <c r="AC388" s="6">
        <f>$M$388*$W$388</f>
        <v>439.05800400000004</v>
      </c>
      <c r="AD388" s="6">
        <f>$O$388*$X$388</f>
        <v>1374.4278900000002</v>
      </c>
      <c r="AE388" s="6">
        <f>$K$388*$Y$388</f>
        <v>0</v>
      </c>
      <c r="AF388" s="6">
        <f ca="1">$M$388*$Z$388</f>
        <v>559.35563899249439</v>
      </c>
      <c r="AG388" s="6">
        <f>$O$388*$AA$388</f>
        <v>1224.338160741758</v>
      </c>
    </row>
    <row r="389" spans="1:33" ht="11.25" customHeight="1" x14ac:dyDescent="0.25">
      <c r="A389" s="4" t="s">
        <v>21</v>
      </c>
      <c r="B389" s="4" t="s">
        <v>38</v>
      </c>
      <c r="C389" s="4" t="s">
        <v>40</v>
      </c>
      <c r="D389" s="4" t="s">
        <v>43</v>
      </c>
      <c r="E389" s="4" t="s">
        <v>51</v>
      </c>
      <c r="F389" s="4" t="s">
        <v>53</v>
      </c>
      <c r="G389" s="4" t="s">
        <v>25</v>
      </c>
      <c r="H389" s="4" t="s">
        <v>34</v>
      </c>
      <c r="I389" s="5">
        <v>44501</v>
      </c>
      <c r="J389" s="6">
        <v>0</v>
      </c>
      <c r="K389" s="6">
        <v>0</v>
      </c>
      <c r="L389" s="6">
        <v>197.976</v>
      </c>
      <c r="M389" s="6">
        <v>59.392800000000001</v>
      </c>
      <c r="N389" s="6">
        <v>197.976</v>
      </c>
      <c r="O389" s="6">
        <v>59.392800000000001</v>
      </c>
      <c r="P389" s="6">
        <v>0</v>
      </c>
      <c r="Q389" s="4" t="s">
        <v>26</v>
      </c>
      <c r="R389" s="4">
        <v>0</v>
      </c>
      <c r="S389" s="6">
        <v>0</v>
      </c>
      <c r="T389" s="6">
        <v>14</v>
      </c>
      <c r="U389" s="6">
        <v>42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78.680000000000007</v>
      </c>
      <c r="X389" s="6">
        <f>IF(ISERROR(VLOOKUP($U$389,'TAR FIN'!$A$1:$O$86,15,0)),0,VLOOKUP($U$389,'TAR FIN'!$A$1:$O$86,15,0))</f>
        <v>246.3</v>
      </c>
      <c r="Y389" s="6"/>
      <c r="Z389" s="6">
        <f ca="1">('TUSD BE'!$AM$13+'TUSD BF'!$AM$13+'TUSD CVA'!$AM$13)*1</f>
        <v>100.23755694003805</v>
      </c>
      <c r="AA389" s="6">
        <f>('TE BE'!$AB$6+'TE BF'!$AB$6+'TE CVA'!$AB$6)*1</f>
        <v>219.40364509824883</v>
      </c>
      <c r="AB389" s="6">
        <f>$K$389*$V$389</f>
        <v>0</v>
      </c>
      <c r="AC389" s="6">
        <f>$M$389*$W$389</f>
        <v>4673.0255040000002</v>
      </c>
      <c r="AD389" s="6">
        <f>$O$389*$X$389</f>
        <v>14628.44664</v>
      </c>
      <c r="AE389" s="6">
        <f>$K$389*$Y$389</f>
        <v>0</v>
      </c>
      <c r="AF389" s="6">
        <f ca="1">$M$389*$Z$389</f>
        <v>5953.3891718282921</v>
      </c>
      <c r="AG389" s="6">
        <f>$O$389*$AA$389</f>
        <v>13030.996812591273</v>
      </c>
    </row>
    <row r="390" spans="1:33" ht="11.25" customHeight="1" x14ac:dyDescent="0.25">
      <c r="A390" s="4" t="s">
        <v>21</v>
      </c>
      <c r="B390" s="4" t="s">
        <v>38</v>
      </c>
      <c r="C390" s="4" t="s">
        <v>40</v>
      </c>
      <c r="D390" s="4" t="s">
        <v>43</v>
      </c>
      <c r="E390" s="4" t="s">
        <v>51</v>
      </c>
      <c r="F390" s="4" t="s">
        <v>53</v>
      </c>
      <c r="G390" s="4" t="s">
        <v>25</v>
      </c>
      <c r="H390" s="4" t="s">
        <v>34</v>
      </c>
      <c r="I390" s="5">
        <v>44531</v>
      </c>
      <c r="J390" s="6">
        <v>0</v>
      </c>
      <c r="K390" s="6">
        <v>0</v>
      </c>
      <c r="L390" s="6">
        <v>482.69099999999997</v>
      </c>
      <c r="M390" s="6">
        <v>144.8073</v>
      </c>
      <c r="N390" s="6">
        <v>482.69099999999997</v>
      </c>
      <c r="O390" s="6">
        <v>144.8073</v>
      </c>
      <c r="P390" s="6">
        <v>0</v>
      </c>
      <c r="Q390" s="4" t="s">
        <v>26</v>
      </c>
      <c r="R390" s="4">
        <v>0</v>
      </c>
      <c r="S390" s="6">
        <v>0</v>
      </c>
      <c r="T390" s="6">
        <v>14</v>
      </c>
      <c r="U390" s="6">
        <v>42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78.680000000000007</v>
      </c>
      <c r="X390" s="6">
        <f>IF(ISERROR(VLOOKUP($U$390,'TAR FIN'!$A$1:$O$86,15,0)),0,VLOOKUP($U$390,'TAR FIN'!$A$1:$O$86,15,0))</f>
        <v>246.3</v>
      </c>
      <c r="Y390" s="6"/>
      <c r="Z390" s="6">
        <f ca="1">('TUSD BE'!$AM$13+'TUSD BF'!$AM$13+'TUSD CVA'!$AM$13)*1</f>
        <v>100.23755694003805</v>
      </c>
      <c r="AA390" s="6">
        <f>('TE BE'!$AB$6+'TE BF'!$AB$6+'TE CVA'!$AB$6)*1</f>
        <v>219.40364509824883</v>
      </c>
      <c r="AB390" s="6">
        <f>$K$390*$V$390</f>
        <v>0</v>
      </c>
      <c r="AC390" s="6">
        <f>$M$390*$W$390</f>
        <v>11393.438364000001</v>
      </c>
      <c r="AD390" s="6">
        <f>$O$390*$X$390</f>
        <v>35666.037990000004</v>
      </c>
      <c r="AE390" s="6">
        <f>$K$390*$Y$390</f>
        <v>0</v>
      </c>
      <c r="AF390" s="6">
        <f ca="1">$M$390*$Z$390</f>
        <v>14515.129979083171</v>
      </c>
      <c r="AG390" s="6">
        <f>$O$390*$AA$390</f>
        <v>31771.249456835649</v>
      </c>
    </row>
    <row r="391" spans="1:33" ht="11.25" customHeight="1" x14ac:dyDescent="0.25">
      <c r="A391" s="4" t="s">
        <v>21</v>
      </c>
      <c r="B391" s="4" t="s">
        <v>38</v>
      </c>
      <c r="C391" s="4" t="s">
        <v>40</v>
      </c>
      <c r="D391" s="4" t="s">
        <v>43</v>
      </c>
      <c r="E391" s="4" t="s">
        <v>51</v>
      </c>
      <c r="F391" s="4" t="s">
        <v>53</v>
      </c>
      <c r="G391" s="4" t="s">
        <v>25</v>
      </c>
      <c r="H391" s="4" t="s">
        <v>34</v>
      </c>
      <c r="I391" s="5">
        <v>44562</v>
      </c>
      <c r="J391" s="6">
        <v>0</v>
      </c>
      <c r="K391" s="6">
        <v>0</v>
      </c>
      <c r="L391" s="6">
        <v>304.947</v>
      </c>
      <c r="M391" s="6">
        <v>91.484099999999998</v>
      </c>
      <c r="N391" s="6">
        <v>304.947</v>
      </c>
      <c r="O391" s="6">
        <v>91.484099999999998</v>
      </c>
      <c r="P391" s="6">
        <v>0</v>
      </c>
      <c r="Q391" s="4" t="s">
        <v>26</v>
      </c>
      <c r="R391" s="4">
        <v>0</v>
      </c>
      <c r="S391" s="6">
        <v>0</v>
      </c>
      <c r="T391" s="6">
        <v>14</v>
      </c>
      <c r="U391" s="6">
        <v>42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78.680000000000007</v>
      </c>
      <c r="X391" s="6">
        <f>IF(ISERROR(VLOOKUP($U$391,'TAR FIN'!$A$1:$O$86,15,0)),0,VLOOKUP($U$391,'TAR FIN'!$A$1:$O$86,15,0))</f>
        <v>246.3</v>
      </c>
      <c r="Y391" s="6"/>
      <c r="Z391" s="6">
        <f ca="1">('TUSD BE'!$AM$13+'TUSD BF'!$AM$13+'TUSD CVA'!$AM$13)*1</f>
        <v>100.23755694003805</v>
      </c>
      <c r="AA391" s="6">
        <f>('TE BE'!$AB$6+'TE BF'!$AB$6+'TE CVA'!$AB$6)*1</f>
        <v>219.40364509824883</v>
      </c>
      <c r="AB391" s="6">
        <f>$K$391*$V$391</f>
        <v>0</v>
      </c>
      <c r="AC391" s="6">
        <f>$M$391*$W$391</f>
        <v>7197.9689880000005</v>
      </c>
      <c r="AD391" s="6">
        <f>$O$391*$X$391</f>
        <v>22532.53383</v>
      </c>
      <c r="AE391" s="6">
        <f>$K$391*$Y$391</f>
        <v>0</v>
      </c>
      <c r="AF391" s="6">
        <f ca="1">$M$391*$Z$391</f>
        <v>9170.1426828581352</v>
      </c>
      <c r="AG391" s="6">
        <f>$O$391*$AA$391</f>
        <v>20071.945008532704</v>
      </c>
    </row>
    <row r="392" spans="1:33" ht="11.25" customHeight="1" x14ac:dyDescent="0.25">
      <c r="A392" s="4" t="s">
        <v>21</v>
      </c>
      <c r="B392" s="4" t="s">
        <v>38</v>
      </c>
      <c r="C392" s="4" t="s">
        <v>40</v>
      </c>
      <c r="D392" s="4" t="s">
        <v>43</v>
      </c>
      <c r="E392" s="4" t="s">
        <v>51</v>
      </c>
      <c r="F392" s="4" t="s">
        <v>53</v>
      </c>
      <c r="G392" s="4" t="s">
        <v>25</v>
      </c>
      <c r="H392" s="4" t="s">
        <v>34</v>
      </c>
      <c r="I392" s="5">
        <v>44593</v>
      </c>
      <c r="J392" s="6">
        <v>0</v>
      </c>
      <c r="K392" s="6">
        <v>0</v>
      </c>
      <c r="L392" s="6">
        <v>176.97200000000001</v>
      </c>
      <c r="M392" s="6">
        <v>53.0916</v>
      </c>
      <c r="N392" s="6">
        <v>176.97200000000001</v>
      </c>
      <c r="O392" s="6">
        <v>53.0916</v>
      </c>
      <c r="P392" s="6">
        <v>0</v>
      </c>
      <c r="Q392" s="4" t="s">
        <v>26</v>
      </c>
      <c r="R392" s="4">
        <v>0</v>
      </c>
      <c r="S392" s="6">
        <v>0</v>
      </c>
      <c r="T392" s="6">
        <v>14</v>
      </c>
      <c r="U392" s="6">
        <v>42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78.680000000000007</v>
      </c>
      <c r="X392" s="6">
        <f>IF(ISERROR(VLOOKUP($U$392,'TAR FIN'!$A$1:$O$86,15,0)),0,VLOOKUP($U$392,'TAR FIN'!$A$1:$O$86,15,0))</f>
        <v>246.3</v>
      </c>
      <c r="Y392" s="6"/>
      <c r="Z392" s="6">
        <f ca="1">('TUSD BE'!$AM$13+'TUSD BF'!$AM$13+'TUSD CVA'!$AM$13)*1</f>
        <v>100.23755694003805</v>
      </c>
      <c r="AA392" s="6">
        <f>('TE BE'!$AB$6+'TE BF'!$AB$6+'TE CVA'!$AB$6)*1</f>
        <v>219.40364509824883</v>
      </c>
      <c r="AB392" s="6">
        <f>$K$392*$V$392</f>
        <v>0</v>
      </c>
      <c r="AC392" s="6">
        <f>$M$392*$W$392</f>
        <v>4177.2470880000001</v>
      </c>
      <c r="AD392" s="6">
        <f>$O$392*$X$392</f>
        <v>13076.461080000001</v>
      </c>
      <c r="AE392" s="6">
        <f>$K$392*$Y$392</f>
        <v>0</v>
      </c>
      <c r="AF392" s="6">
        <f ca="1">$M$392*$Z$392</f>
        <v>5321.7722780377244</v>
      </c>
      <c r="AG392" s="6">
        <f>$O$392*$AA$392</f>
        <v>11648.490564098187</v>
      </c>
    </row>
    <row r="393" spans="1:33" ht="11.25" customHeight="1" x14ac:dyDescent="0.25">
      <c r="A393" s="4" t="s">
        <v>21</v>
      </c>
      <c r="B393" s="4" t="s">
        <v>38</v>
      </c>
      <c r="C393" s="4" t="s">
        <v>40</v>
      </c>
      <c r="D393" s="4" t="s">
        <v>43</v>
      </c>
      <c r="E393" s="4" t="s">
        <v>51</v>
      </c>
      <c r="F393" s="4" t="s">
        <v>53</v>
      </c>
      <c r="G393" s="4" t="s">
        <v>25</v>
      </c>
      <c r="H393" s="4" t="s">
        <v>34</v>
      </c>
      <c r="I393" s="5">
        <v>44621</v>
      </c>
      <c r="J393" s="6">
        <v>0</v>
      </c>
      <c r="K393" s="6">
        <v>0</v>
      </c>
      <c r="L393" s="6">
        <v>15.061999999999999</v>
      </c>
      <c r="M393" s="6">
        <v>4.5186000000000002</v>
      </c>
      <c r="N393" s="6">
        <v>15.061999999999999</v>
      </c>
      <c r="O393" s="6">
        <v>4.5186000000000002</v>
      </c>
      <c r="P393" s="6">
        <v>0</v>
      </c>
      <c r="Q393" s="4" t="s">
        <v>26</v>
      </c>
      <c r="R393" s="4">
        <v>0</v>
      </c>
      <c r="S393" s="6">
        <v>0</v>
      </c>
      <c r="T393" s="6">
        <v>14</v>
      </c>
      <c r="U393" s="6">
        <v>42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78.680000000000007</v>
      </c>
      <c r="X393" s="6">
        <f>IF(ISERROR(VLOOKUP($U$393,'TAR FIN'!$A$1:$O$86,15,0)),0,VLOOKUP($U$393,'TAR FIN'!$A$1:$O$86,15,0))</f>
        <v>246.3</v>
      </c>
      <c r="Y393" s="6"/>
      <c r="Z393" s="6">
        <f ca="1">('TUSD BE'!$AM$13+'TUSD BF'!$AM$13+'TUSD CVA'!$AM$13)*1</f>
        <v>100.23755694003805</v>
      </c>
      <c r="AA393" s="6">
        <f>('TE BE'!$AB$6+'TE BF'!$AB$6+'TE CVA'!$AB$6)*1</f>
        <v>219.40364509824883</v>
      </c>
      <c r="AB393" s="6">
        <f>$K$393*$V$393</f>
        <v>0</v>
      </c>
      <c r="AC393" s="6">
        <f>$M$393*$W$393</f>
        <v>355.52344800000003</v>
      </c>
      <c r="AD393" s="6">
        <f>$O$393*$X$393</f>
        <v>1112.93118</v>
      </c>
      <c r="AE393" s="6">
        <f>$K$393*$Y$393</f>
        <v>0</v>
      </c>
      <c r="AF393" s="6">
        <f ca="1">$M$393*$Z$393</f>
        <v>452.93342478925592</v>
      </c>
      <c r="AG393" s="6">
        <f>$O$393*$AA$393</f>
        <v>991.3973107409472</v>
      </c>
    </row>
    <row r="394" spans="1:33" ht="11.25" customHeight="1" x14ac:dyDescent="0.25">
      <c r="A394" s="4" t="s">
        <v>21</v>
      </c>
      <c r="B394" s="4" t="s">
        <v>38</v>
      </c>
      <c r="C394" s="4" t="s">
        <v>40</v>
      </c>
      <c r="D394" s="4" t="s">
        <v>43</v>
      </c>
      <c r="E394" s="4" t="s">
        <v>51</v>
      </c>
      <c r="F394" s="4" t="s">
        <v>53</v>
      </c>
      <c r="G394" s="4" t="s">
        <v>25</v>
      </c>
      <c r="H394" s="4" t="s">
        <v>34</v>
      </c>
      <c r="I394" s="5">
        <v>44652</v>
      </c>
      <c r="J394" s="6">
        <v>0</v>
      </c>
      <c r="K394" s="6">
        <v>0</v>
      </c>
      <c r="L394" s="6">
        <v>6.9829999999999997</v>
      </c>
      <c r="M394" s="6">
        <v>2.0949</v>
      </c>
      <c r="N394" s="6">
        <v>6.9829999999999997</v>
      </c>
      <c r="O394" s="6">
        <v>2.0949</v>
      </c>
      <c r="P394" s="6">
        <v>0</v>
      </c>
      <c r="Q394" s="4" t="s">
        <v>26</v>
      </c>
      <c r="R394" s="4">
        <v>0</v>
      </c>
      <c r="S394" s="6">
        <v>0</v>
      </c>
      <c r="T394" s="6">
        <v>14</v>
      </c>
      <c r="U394" s="6">
        <v>42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78.680000000000007</v>
      </c>
      <c r="X394" s="6">
        <f>IF(ISERROR(VLOOKUP($U$394,'TAR FIN'!$A$1:$O$86,15,0)),0,VLOOKUP($U$394,'TAR FIN'!$A$1:$O$86,15,0))</f>
        <v>246.3</v>
      </c>
      <c r="Y394" s="6"/>
      <c r="Z394" s="6">
        <f ca="1">('TUSD BE'!$AM$13+'TUSD BF'!$AM$13+'TUSD CVA'!$AM$13)*1</f>
        <v>100.23755694003805</v>
      </c>
      <c r="AA394" s="6">
        <f>('TE BE'!$AB$6+'TE BF'!$AB$6+'TE CVA'!$AB$6)*1</f>
        <v>219.40364509824883</v>
      </c>
      <c r="AB394" s="6">
        <f>$K$394*$V$394</f>
        <v>0</v>
      </c>
      <c r="AC394" s="6">
        <f>$M$394*$W$394</f>
        <v>164.82673200000002</v>
      </c>
      <c r="AD394" s="6">
        <f>$O$394*$X$394</f>
        <v>515.97387000000003</v>
      </c>
      <c r="AE394" s="6">
        <f>$K$394*$Y$394</f>
        <v>0</v>
      </c>
      <c r="AF394" s="6">
        <f ca="1">$M$394*$Z$394</f>
        <v>209.9876580336857</v>
      </c>
      <c r="AG394" s="6">
        <f>$O$394*$AA$394</f>
        <v>459.62869611632146</v>
      </c>
    </row>
    <row r="395" spans="1:33" ht="11.25" customHeight="1" x14ac:dyDescent="0.25">
      <c r="A395" s="4" t="s">
        <v>21</v>
      </c>
      <c r="B395" s="4" t="s">
        <v>38</v>
      </c>
      <c r="C395" s="4" t="s">
        <v>40</v>
      </c>
      <c r="D395" s="4" t="s">
        <v>43</v>
      </c>
      <c r="E395" s="4" t="s">
        <v>51</v>
      </c>
      <c r="F395" s="4" t="s">
        <v>53</v>
      </c>
      <c r="G395" s="4" t="s">
        <v>25</v>
      </c>
      <c r="H395" s="4" t="s">
        <v>34</v>
      </c>
      <c r="I395" s="5">
        <v>44682</v>
      </c>
      <c r="J395" s="6">
        <v>0</v>
      </c>
      <c r="K395" s="6">
        <v>0</v>
      </c>
      <c r="L395" s="6">
        <v>12.044</v>
      </c>
      <c r="M395" s="6">
        <v>3.6132</v>
      </c>
      <c r="N395" s="6">
        <v>12.044</v>
      </c>
      <c r="O395" s="6">
        <v>3.6132</v>
      </c>
      <c r="P395" s="6">
        <v>0</v>
      </c>
      <c r="Q395" s="4" t="s">
        <v>26</v>
      </c>
      <c r="R395" s="4">
        <v>0</v>
      </c>
      <c r="S395" s="6">
        <v>0</v>
      </c>
      <c r="T395" s="6">
        <v>14</v>
      </c>
      <c r="U395" s="6">
        <v>42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78.680000000000007</v>
      </c>
      <c r="X395" s="6">
        <f>IF(ISERROR(VLOOKUP($U$395,'TAR FIN'!$A$1:$O$86,15,0)),0,VLOOKUP($U$395,'TAR FIN'!$A$1:$O$86,15,0))</f>
        <v>246.3</v>
      </c>
      <c r="Y395" s="6"/>
      <c r="Z395" s="6">
        <f ca="1">('TUSD BE'!$AM$13+'TUSD BF'!$AM$13+'TUSD CVA'!$AM$13)*1</f>
        <v>100.23755694003805</v>
      </c>
      <c r="AA395" s="6">
        <f>('TE BE'!$AB$6+'TE BF'!$AB$6+'TE CVA'!$AB$6)*1</f>
        <v>219.40364509824883</v>
      </c>
      <c r="AB395" s="6">
        <f>$K$395*$V$395</f>
        <v>0</v>
      </c>
      <c r="AC395" s="6">
        <f>$M$395*$W$395</f>
        <v>284.28657600000003</v>
      </c>
      <c r="AD395" s="6">
        <f>$O$395*$X$395</f>
        <v>889.93115999999998</v>
      </c>
      <c r="AE395" s="6">
        <f>$K$395*$Y$395</f>
        <v>0</v>
      </c>
      <c r="AF395" s="6">
        <f ca="1">$M$395*$Z$395</f>
        <v>362.17834073574545</v>
      </c>
      <c r="AG395" s="6">
        <f>$O$395*$AA$395</f>
        <v>792.74925046899261</v>
      </c>
    </row>
    <row r="396" spans="1:33" ht="11.25" customHeight="1" x14ac:dyDescent="0.25">
      <c r="A396" s="4" t="s">
        <v>56</v>
      </c>
      <c r="B396" s="4" t="s">
        <v>38</v>
      </c>
      <c r="C396" s="4" t="s">
        <v>40</v>
      </c>
      <c r="D396" s="4" t="s">
        <v>43</v>
      </c>
      <c r="E396" s="4" t="s">
        <v>51</v>
      </c>
      <c r="F396" s="4" t="s">
        <v>53</v>
      </c>
      <c r="G396" s="4" t="s">
        <v>25</v>
      </c>
      <c r="H396" s="4" t="s">
        <v>34</v>
      </c>
      <c r="I396" s="5">
        <v>44713</v>
      </c>
      <c r="J396" s="6">
        <v>0</v>
      </c>
      <c r="K396" s="6">
        <v>0</v>
      </c>
      <c r="L396" s="6">
        <v>12.044</v>
      </c>
      <c r="M396" s="6">
        <v>3.6132</v>
      </c>
      <c r="N396" s="6">
        <v>12.044</v>
      </c>
      <c r="O396" s="6">
        <v>3.6132</v>
      </c>
      <c r="P396" s="6">
        <v>0</v>
      </c>
      <c r="Q396" s="4" t="s">
        <v>26</v>
      </c>
      <c r="R396" s="4">
        <v>0</v>
      </c>
      <c r="S396" s="6">
        <v>0</v>
      </c>
      <c r="T396" s="6">
        <v>14</v>
      </c>
      <c r="U396" s="6">
        <v>42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78.680000000000007</v>
      </c>
      <c r="X396" s="6">
        <f>IF(ISERROR(VLOOKUP($U$396,'TAR FIN'!$A$1:$O$86,15,0)),0,VLOOKUP($U$396,'TAR FIN'!$A$1:$O$86,15,0))</f>
        <v>246.3</v>
      </c>
      <c r="Y396" s="6"/>
      <c r="Z396" s="6">
        <f ca="1">('TUSD BE'!$AM$13+'TUSD BF'!$AM$13+'TUSD CVA'!$AM$13)*1</f>
        <v>100.23755694003805</v>
      </c>
      <c r="AA396" s="6">
        <f>('TE BE'!$AB$6+'TE BF'!$AB$6+'TE CVA'!$AB$6)*1</f>
        <v>219.40364509824883</v>
      </c>
      <c r="AB396" s="6">
        <f>$K$396*$V$396</f>
        <v>0</v>
      </c>
      <c r="AC396" s="6">
        <f>$M$396*$W$396</f>
        <v>284.28657600000003</v>
      </c>
      <c r="AD396" s="6">
        <f>$O$396*$X$396</f>
        <v>889.93115999999998</v>
      </c>
      <c r="AE396" s="6">
        <f>$K$396*$Y$396</f>
        <v>0</v>
      </c>
      <c r="AF396" s="6">
        <f ca="1">$M$396*$Z$396</f>
        <v>362.17834073574545</v>
      </c>
      <c r="AG396" s="6">
        <f>$O$396*$AA$396</f>
        <v>792.74925046899261</v>
      </c>
    </row>
    <row r="397" spans="1:33" ht="11.25" customHeight="1" x14ac:dyDescent="0.25">
      <c r="A397" s="4" t="s">
        <v>21</v>
      </c>
      <c r="B397" s="4" t="s">
        <v>38</v>
      </c>
      <c r="C397" s="4" t="s">
        <v>40</v>
      </c>
      <c r="D397" s="4" t="s">
        <v>43</v>
      </c>
      <c r="E397" s="4" t="s">
        <v>51</v>
      </c>
      <c r="F397" s="4" t="s">
        <v>25</v>
      </c>
      <c r="G397" s="4" t="s">
        <v>25</v>
      </c>
      <c r="H397" s="4" t="s">
        <v>34</v>
      </c>
      <c r="I397" s="5">
        <v>44378</v>
      </c>
      <c r="J397" s="6">
        <v>0</v>
      </c>
      <c r="K397" s="97">
        <v>0</v>
      </c>
      <c r="L397" s="6">
        <v>12.837</v>
      </c>
      <c r="M397" s="97">
        <v>12.837</v>
      </c>
      <c r="N397" s="6">
        <v>12.837</v>
      </c>
      <c r="O397" s="97">
        <v>12.837</v>
      </c>
      <c r="P397" s="6">
        <v>0</v>
      </c>
      <c r="Q397" s="4" t="s">
        <v>26</v>
      </c>
      <c r="R397" s="4">
        <v>0</v>
      </c>
      <c r="S397" s="6">
        <v>0</v>
      </c>
      <c r="T397" s="6">
        <v>14</v>
      </c>
      <c r="U397" s="6">
        <v>42</v>
      </c>
      <c r="V397" s="97">
        <f>IF(ISERROR(VLOOKUP($S$397,'TAR FIN'!$A$1:$O$86,15,0)),0,VLOOKUP($S$397,'TAR FIN'!$A$1:$O$86,15,0))</f>
        <v>0</v>
      </c>
      <c r="W397" s="97">
        <f>IF(ISERROR(VLOOKUP($T$397,'TAR FIN'!$A$1:$O$86,15,0)),0,VLOOKUP($T$397,'TAR FIN'!$A$1:$O$86,15,0))*(1-0.04)</f>
        <v>75.532800000000009</v>
      </c>
      <c r="X397" s="97">
        <f>IF(ISERROR(VLOOKUP($U$397,'TAR FIN'!$A$1:$O$86,15,0)),0,VLOOKUP($U$397,'TAR FIN'!$A$1:$O$86,15,0))*(1-0.04)</f>
        <v>236.44800000000001</v>
      </c>
      <c r="Y397" s="97"/>
      <c r="Z397" s="97">
        <f ca="1">('TUSD BE'!$AM$13+'TUSD BF'!$AM$13+'TUSD CVA'!$AM$13)*1*(1-0.02)</f>
        <v>98.232805801237291</v>
      </c>
      <c r="AA397" s="97">
        <f>('TE BE'!$AB$6+'TE BF'!$AB$6+'TE CVA'!$AB$6)*1*(1-0.02)</f>
        <v>215.01557219628384</v>
      </c>
      <c r="AB397" s="6">
        <f>$K$397*$V$397</f>
        <v>0</v>
      </c>
      <c r="AC397" s="6">
        <f>$M$397*$W$397</f>
        <v>969.61455360000014</v>
      </c>
      <c r="AD397" s="6">
        <f>$O$397*$X$397</f>
        <v>3035.282976</v>
      </c>
      <c r="AE397" s="6">
        <f>$K$397*$Y$397</f>
        <v>0</v>
      </c>
      <c r="AF397" s="6">
        <f ca="1">$M$397*$Z$397</f>
        <v>1261.014528070483</v>
      </c>
      <c r="AG397" s="6">
        <f>$O$397*$AA$397</f>
        <v>2760.1549002836955</v>
      </c>
    </row>
    <row r="398" spans="1:33" ht="11.25" customHeight="1" x14ac:dyDescent="0.25">
      <c r="A398" s="4" t="s">
        <v>21</v>
      </c>
      <c r="B398" s="4" t="s">
        <v>38</v>
      </c>
      <c r="C398" s="4" t="s">
        <v>40</v>
      </c>
      <c r="D398" s="4" t="s">
        <v>43</v>
      </c>
      <c r="E398" s="4" t="s">
        <v>51</v>
      </c>
      <c r="F398" s="4" t="s">
        <v>25</v>
      </c>
      <c r="G398" s="4" t="s">
        <v>25</v>
      </c>
      <c r="H398" s="4" t="s">
        <v>34</v>
      </c>
      <c r="I398" s="5">
        <v>44409</v>
      </c>
      <c r="J398" s="6">
        <v>0</v>
      </c>
      <c r="K398" s="97">
        <v>0</v>
      </c>
      <c r="L398" s="6">
        <v>16.324000000000002</v>
      </c>
      <c r="M398" s="97">
        <v>16.324000000000002</v>
      </c>
      <c r="N398" s="6">
        <v>16.324000000000002</v>
      </c>
      <c r="O398" s="97">
        <v>16.324000000000002</v>
      </c>
      <c r="P398" s="6">
        <v>0</v>
      </c>
      <c r="Q398" s="4" t="s">
        <v>26</v>
      </c>
      <c r="R398" s="4">
        <v>0</v>
      </c>
      <c r="S398" s="6">
        <v>0</v>
      </c>
      <c r="T398" s="6">
        <v>14</v>
      </c>
      <c r="U398" s="6">
        <v>42</v>
      </c>
      <c r="V398" s="97">
        <f>IF(ISERROR(VLOOKUP($S$398,'TAR FIN'!$A$1:$O$86,15,0)),0,VLOOKUP($S$398,'TAR FIN'!$A$1:$O$86,15,0))</f>
        <v>0</v>
      </c>
      <c r="W398" s="97">
        <f>IF(ISERROR(VLOOKUP($T$398,'TAR FIN'!$A$1:$O$86,15,0)),0,VLOOKUP($T$398,'TAR FIN'!$A$1:$O$86,15,0))*(1-0.04)</f>
        <v>75.532800000000009</v>
      </c>
      <c r="X398" s="97">
        <f>IF(ISERROR(VLOOKUP($U$398,'TAR FIN'!$A$1:$O$86,15,0)),0,VLOOKUP($U$398,'TAR FIN'!$A$1:$O$86,15,0))*(1-0.04)</f>
        <v>236.44800000000001</v>
      </c>
      <c r="Y398" s="97"/>
      <c r="Z398" s="97">
        <f ca="1">('TUSD BE'!$AM$13+'TUSD BF'!$AM$13+'TUSD CVA'!$AM$13)*1*(1-0.02)</f>
        <v>98.232805801237291</v>
      </c>
      <c r="AA398" s="97">
        <f>('TE BE'!$AB$6+'TE BF'!$AB$6+'TE CVA'!$AB$6)*1*(1-0.02)</f>
        <v>215.01557219628384</v>
      </c>
      <c r="AB398" s="6">
        <f>$K$398*$V$398</f>
        <v>0</v>
      </c>
      <c r="AC398" s="6">
        <f>$M$398*$W$398</f>
        <v>1232.9974272000002</v>
      </c>
      <c r="AD398" s="6">
        <f>$O$398*$X$398</f>
        <v>3859.7771520000006</v>
      </c>
      <c r="AE398" s="6">
        <f>$K$398*$Y$398</f>
        <v>0</v>
      </c>
      <c r="AF398" s="6">
        <f ca="1">$M$398*$Z$398</f>
        <v>1603.5523218993976</v>
      </c>
      <c r="AG398" s="6">
        <f>$O$398*$AA$398</f>
        <v>3509.9142005321378</v>
      </c>
    </row>
    <row r="399" spans="1:33" ht="11.25" customHeight="1" x14ac:dyDescent="0.25">
      <c r="A399" s="4" t="s">
        <v>55</v>
      </c>
      <c r="B399" s="4" t="s">
        <v>38</v>
      </c>
      <c r="C399" s="4" t="s">
        <v>40</v>
      </c>
      <c r="D399" s="4" t="s">
        <v>43</v>
      </c>
      <c r="E399" s="4" t="s">
        <v>51</v>
      </c>
      <c r="F399" s="4" t="s">
        <v>25</v>
      </c>
      <c r="G399" s="4" t="s">
        <v>25</v>
      </c>
      <c r="H399" s="4" t="s">
        <v>34</v>
      </c>
      <c r="I399" s="5">
        <v>44409</v>
      </c>
      <c r="J399" s="6">
        <v>0</v>
      </c>
      <c r="K399" s="97">
        <v>0</v>
      </c>
      <c r="L399" s="6">
        <v>0.70899999999999996</v>
      </c>
      <c r="M399" s="97">
        <v>0.70899999999999996</v>
      </c>
      <c r="N399" s="6">
        <v>0.70899999999999996</v>
      </c>
      <c r="O399" s="97">
        <v>0.70899999999999996</v>
      </c>
      <c r="P399" s="6">
        <v>0</v>
      </c>
      <c r="Q399" s="4" t="s">
        <v>26</v>
      </c>
      <c r="R399" s="4">
        <v>0</v>
      </c>
      <c r="S399" s="6">
        <v>0</v>
      </c>
      <c r="T399" s="6">
        <v>14</v>
      </c>
      <c r="U399" s="6">
        <v>42</v>
      </c>
      <c r="V399" s="97">
        <f>IF(ISERROR(VLOOKUP($S$399,'TAR FIN'!$A$1:$O$86,15,0)),0,VLOOKUP($S$399,'TAR FIN'!$A$1:$O$86,15,0))</f>
        <v>0</v>
      </c>
      <c r="W399" s="97">
        <f>IF(ISERROR(VLOOKUP($T$399,'TAR FIN'!$A$1:$O$86,15,0)),0,VLOOKUP($T$399,'TAR FIN'!$A$1:$O$86,15,0))*(1-0.04)</f>
        <v>75.532800000000009</v>
      </c>
      <c r="X399" s="97">
        <f>IF(ISERROR(VLOOKUP($U$399,'TAR FIN'!$A$1:$O$86,15,0)),0,VLOOKUP($U$399,'TAR FIN'!$A$1:$O$86,15,0))*(1-0.04)</f>
        <v>236.44800000000001</v>
      </c>
      <c r="Y399" s="97"/>
      <c r="Z399" s="97">
        <f ca="1">('TUSD BE'!$AM$13+'TUSD BF'!$AM$13+'TUSD CVA'!$AM$13)*1*(1-0.02)</f>
        <v>98.232805801237291</v>
      </c>
      <c r="AA399" s="97">
        <f>('TE BE'!$AB$6+'TE BF'!$AB$6+'TE CVA'!$AB$6)*1*(1-0.02)</f>
        <v>215.01557219628384</v>
      </c>
      <c r="AB399" s="6">
        <f>$K$399*$V$399</f>
        <v>0</v>
      </c>
      <c r="AC399" s="6">
        <f>$M$399*$W$399</f>
        <v>53.5527552</v>
      </c>
      <c r="AD399" s="6">
        <f>$O$399*$X$399</f>
        <v>167.64163199999999</v>
      </c>
      <c r="AE399" s="6">
        <f>$K$399*$Y$399</f>
        <v>0</v>
      </c>
      <c r="AF399" s="6">
        <f ca="1">$M$399*$Z$399</f>
        <v>69.647059313077236</v>
      </c>
      <c r="AG399" s="6">
        <f>$O$399*$AA$399</f>
        <v>152.44604068716524</v>
      </c>
    </row>
    <row r="400" spans="1:33" ht="11.25" customHeight="1" x14ac:dyDescent="0.25">
      <c r="A400" s="4" t="s">
        <v>21</v>
      </c>
      <c r="B400" s="4" t="s">
        <v>38</v>
      </c>
      <c r="C400" s="4" t="s">
        <v>40</v>
      </c>
      <c r="D400" s="4" t="s">
        <v>43</v>
      </c>
      <c r="E400" s="4" t="s">
        <v>51</v>
      </c>
      <c r="F400" s="4" t="s">
        <v>25</v>
      </c>
      <c r="G400" s="4" t="s">
        <v>25</v>
      </c>
      <c r="H400" s="4" t="s">
        <v>34</v>
      </c>
      <c r="I400" s="5">
        <v>44440</v>
      </c>
      <c r="J400" s="6">
        <v>0</v>
      </c>
      <c r="K400" s="97">
        <v>0</v>
      </c>
      <c r="L400" s="6">
        <v>13.708</v>
      </c>
      <c r="M400" s="97">
        <v>13.708</v>
      </c>
      <c r="N400" s="6">
        <v>13.708</v>
      </c>
      <c r="O400" s="97">
        <v>13.708</v>
      </c>
      <c r="P400" s="6">
        <v>0</v>
      </c>
      <c r="Q400" s="4" t="s">
        <v>26</v>
      </c>
      <c r="R400" s="4">
        <v>0</v>
      </c>
      <c r="S400" s="6">
        <v>0</v>
      </c>
      <c r="T400" s="6">
        <v>14</v>
      </c>
      <c r="U400" s="6">
        <v>42</v>
      </c>
      <c r="V400" s="97">
        <f>IF(ISERROR(VLOOKUP($S$400,'TAR FIN'!$A$1:$O$86,15,0)),0,VLOOKUP($S$400,'TAR FIN'!$A$1:$O$86,15,0))</f>
        <v>0</v>
      </c>
      <c r="W400" s="97">
        <f>IF(ISERROR(VLOOKUP($T$400,'TAR FIN'!$A$1:$O$86,15,0)),0,VLOOKUP($T$400,'TAR FIN'!$A$1:$O$86,15,0))*(1-0.04)</f>
        <v>75.532800000000009</v>
      </c>
      <c r="X400" s="97">
        <f>IF(ISERROR(VLOOKUP($U$400,'TAR FIN'!$A$1:$O$86,15,0)),0,VLOOKUP($U$400,'TAR FIN'!$A$1:$O$86,15,0))*(1-0.04)</f>
        <v>236.44800000000001</v>
      </c>
      <c r="Y400" s="97"/>
      <c r="Z400" s="97">
        <f ca="1">('TUSD BE'!$AM$13+'TUSD BF'!$AM$13+'TUSD CVA'!$AM$13)*1*(1-0.02)</f>
        <v>98.232805801237291</v>
      </c>
      <c r="AA400" s="97">
        <f>('TE BE'!$AB$6+'TE BF'!$AB$6+'TE CVA'!$AB$6)*1*(1-0.02)</f>
        <v>215.01557219628384</v>
      </c>
      <c r="AB400" s="6">
        <f>$K$400*$V$400</f>
        <v>0</v>
      </c>
      <c r="AC400" s="6">
        <f>$M$400*$W$400</f>
        <v>1035.4036224000001</v>
      </c>
      <c r="AD400" s="6">
        <f>$O$400*$X$400</f>
        <v>3241.2291840000003</v>
      </c>
      <c r="AE400" s="6">
        <f>$K$400*$Y$400</f>
        <v>0</v>
      </c>
      <c r="AF400" s="6">
        <f ca="1">$M$400*$Z$400</f>
        <v>1346.5753019233607</v>
      </c>
      <c r="AG400" s="6">
        <f>$O$400*$AA$400</f>
        <v>2947.433463666659</v>
      </c>
    </row>
    <row r="401" spans="1:33" ht="11.25" customHeight="1" x14ac:dyDescent="0.25">
      <c r="A401" s="4" t="s">
        <v>55</v>
      </c>
      <c r="B401" s="4" t="s">
        <v>38</v>
      </c>
      <c r="C401" s="4" t="s">
        <v>40</v>
      </c>
      <c r="D401" s="4" t="s">
        <v>43</v>
      </c>
      <c r="E401" s="4" t="s">
        <v>51</v>
      </c>
      <c r="F401" s="4" t="s">
        <v>25</v>
      </c>
      <c r="G401" s="4" t="s">
        <v>25</v>
      </c>
      <c r="H401" s="4" t="s">
        <v>34</v>
      </c>
      <c r="I401" s="5">
        <v>44440</v>
      </c>
      <c r="J401" s="6">
        <v>0</v>
      </c>
      <c r="K401" s="97">
        <v>0</v>
      </c>
      <c r="L401" s="6">
        <v>2.2109999999999999</v>
      </c>
      <c r="M401" s="97">
        <v>2.2109999999999999</v>
      </c>
      <c r="N401" s="6">
        <v>2.2109999999999999</v>
      </c>
      <c r="O401" s="97">
        <v>2.2109999999999999</v>
      </c>
      <c r="P401" s="6">
        <v>0</v>
      </c>
      <c r="Q401" s="4" t="s">
        <v>26</v>
      </c>
      <c r="R401" s="4">
        <v>0</v>
      </c>
      <c r="S401" s="6">
        <v>0</v>
      </c>
      <c r="T401" s="6">
        <v>14</v>
      </c>
      <c r="U401" s="6">
        <v>42</v>
      </c>
      <c r="V401" s="97">
        <f>IF(ISERROR(VLOOKUP($S$401,'TAR FIN'!$A$1:$O$86,15,0)),0,VLOOKUP($S$401,'TAR FIN'!$A$1:$O$86,15,0))</f>
        <v>0</v>
      </c>
      <c r="W401" s="97">
        <f>IF(ISERROR(VLOOKUP($T$401,'TAR FIN'!$A$1:$O$86,15,0)),0,VLOOKUP($T$401,'TAR FIN'!$A$1:$O$86,15,0))*(1-0.04)</f>
        <v>75.532800000000009</v>
      </c>
      <c r="X401" s="97">
        <f>IF(ISERROR(VLOOKUP($U$401,'TAR FIN'!$A$1:$O$86,15,0)),0,VLOOKUP($U$401,'TAR FIN'!$A$1:$O$86,15,0))*(1-0.04)</f>
        <v>236.44800000000001</v>
      </c>
      <c r="Y401" s="97"/>
      <c r="Z401" s="97">
        <f ca="1">('TUSD BE'!$AM$13+'TUSD BF'!$AM$13+'TUSD CVA'!$AM$13)*1*(1-0.02)</f>
        <v>98.232805801237291</v>
      </c>
      <c r="AA401" s="97">
        <f>('TE BE'!$AB$6+'TE BF'!$AB$6+'TE CVA'!$AB$6)*1*(1-0.02)</f>
        <v>215.01557219628384</v>
      </c>
      <c r="AB401" s="6">
        <f>$K$401*$V$401</f>
        <v>0</v>
      </c>
      <c r="AC401" s="6">
        <f>$M$401*$W$401</f>
        <v>167.0030208</v>
      </c>
      <c r="AD401" s="6">
        <f>$O$401*$X$401</f>
        <v>522.78652799999998</v>
      </c>
      <c r="AE401" s="6">
        <f>$K$401*$Y$401</f>
        <v>0</v>
      </c>
      <c r="AF401" s="6">
        <f ca="1">$M$401*$Z$401</f>
        <v>217.19273362653564</v>
      </c>
      <c r="AG401" s="6">
        <f>$O$401*$AA$401</f>
        <v>475.39943012598354</v>
      </c>
    </row>
    <row r="402" spans="1:33" ht="11.25" customHeight="1" x14ac:dyDescent="0.25">
      <c r="A402" s="4" t="s">
        <v>21</v>
      </c>
      <c r="B402" s="4" t="s">
        <v>38</v>
      </c>
      <c r="C402" s="4" t="s">
        <v>40</v>
      </c>
      <c r="D402" s="4" t="s">
        <v>43</v>
      </c>
      <c r="E402" s="4" t="s">
        <v>51</v>
      </c>
      <c r="F402" s="4" t="s">
        <v>25</v>
      </c>
      <c r="G402" s="4" t="s">
        <v>25</v>
      </c>
      <c r="H402" s="4" t="s">
        <v>34</v>
      </c>
      <c r="I402" s="5">
        <v>44470</v>
      </c>
      <c r="J402" s="6">
        <v>0</v>
      </c>
      <c r="K402" s="97">
        <v>0</v>
      </c>
      <c r="L402" s="6">
        <v>23.190999999999999</v>
      </c>
      <c r="M402" s="97">
        <v>23.190999999999999</v>
      </c>
      <c r="N402" s="6">
        <v>23.190999999999999</v>
      </c>
      <c r="O402" s="97">
        <v>23.190999999999999</v>
      </c>
      <c r="P402" s="6">
        <v>0</v>
      </c>
      <c r="Q402" s="4" t="s">
        <v>26</v>
      </c>
      <c r="R402" s="4">
        <v>0</v>
      </c>
      <c r="S402" s="6">
        <v>0</v>
      </c>
      <c r="T402" s="6">
        <v>14</v>
      </c>
      <c r="U402" s="6">
        <v>42</v>
      </c>
      <c r="V402" s="97">
        <f>IF(ISERROR(VLOOKUP($S$402,'TAR FIN'!$A$1:$O$86,15,0)),0,VLOOKUP($S$402,'TAR FIN'!$A$1:$O$86,15,0))</f>
        <v>0</v>
      </c>
      <c r="W402" s="97">
        <f>IF(ISERROR(VLOOKUP($T$402,'TAR FIN'!$A$1:$O$86,15,0)),0,VLOOKUP($T$402,'TAR FIN'!$A$1:$O$86,15,0))*(1-0.04)</f>
        <v>75.532800000000009</v>
      </c>
      <c r="X402" s="97">
        <f>IF(ISERROR(VLOOKUP($U$402,'TAR FIN'!$A$1:$O$86,15,0)),0,VLOOKUP($U$402,'TAR FIN'!$A$1:$O$86,15,0))*(1-0.04)</f>
        <v>236.44800000000001</v>
      </c>
      <c r="Y402" s="97"/>
      <c r="Z402" s="97">
        <f ca="1">('TUSD BE'!$AM$13+'TUSD BF'!$AM$13+'TUSD CVA'!$AM$13)*1*(1-0.02)</f>
        <v>98.232805801237291</v>
      </c>
      <c r="AA402" s="97">
        <f>('TE BE'!$AB$6+'TE BF'!$AB$6+'TE CVA'!$AB$6)*1*(1-0.02)</f>
        <v>215.01557219628384</v>
      </c>
      <c r="AB402" s="6">
        <f>$K$402*$V$402</f>
        <v>0</v>
      </c>
      <c r="AC402" s="6">
        <f>$M$402*$W$402</f>
        <v>1751.6811648</v>
      </c>
      <c r="AD402" s="6">
        <f>$O$402*$X$402</f>
        <v>5483.4655679999996</v>
      </c>
      <c r="AE402" s="6">
        <f>$K$402*$Y$402</f>
        <v>0</v>
      </c>
      <c r="AF402" s="6">
        <f ca="1">$M$402*$Z$402</f>
        <v>2278.1169993364938</v>
      </c>
      <c r="AG402" s="6">
        <f>$O$402*$AA$402</f>
        <v>4986.4261348040181</v>
      </c>
    </row>
    <row r="403" spans="1:33" ht="11.25" customHeight="1" x14ac:dyDescent="0.25">
      <c r="A403" s="4" t="s">
        <v>55</v>
      </c>
      <c r="B403" s="4" t="s">
        <v>38</v>
      </c>
      <c r="C403" s="4" t="s">
        <v>40</v>
      </c>
      <c r="D403" s="4" t="s">
        <v>43</v>
      </c>
      <c r="E403" s="4" t="s">
        <v>51</v>
      </c>
      <c r="F403" s="4" t="s">
        <v>25</v>
      </c>
      <c r="G403" s="4" t="s">
        <v>25</v>
      </c>
      <c r="H403" s="4" t="s">
        <v>34</v>
      </c>
      <c r="I403" s="5">
        <v>44470</v>
      </c>
      <c r="J403" s="6">
        <v>0</v>
      </c>
      <c r="K403" s="97">
        <v>0</v>
      </c>
      <c r="L403" s="6">
        <v>3.04</v>
      </c>
      <c r="M403" s="97">
        <v>3.04</v>
      </c>
      <c r="N403" s="6">
        <v>3.04</v>
      </c>
      <c r="O403" s="97">
        <v>3.04</v>
      </c>
      <c r="P403" s="6">
        <v>0</v>
      </c>
      <c r="Q403" s="4" t="s">
        <v>26</v>
      </c>
      <c r="R403" s="4">
        <v>0</v>
      </c>
      <c r="S403" s="6">
        <v>0</v>
      </c>
      <c r="T403" s="6">
        <v>14</v>
      </c>
      <c r="U403" s="6">
        <v>42</v>
      </c>
      <c r="V403" s="97">
        <f>IF(ISERROR(VLOOKUP($S$403,'TAR FIN'!$A$1:$O$86,15,0)),0,VLOOKUP($S$403,'TAR FIN'!$A$1:$O$86,15,0))</f>
        <v>0</v>
      </c>
      <c r="W403" s="97">
        <f>IF(ISERROR(VLOOKUP($T$403,'TAR FIN'!$A$1:$O$86,15,0)),0,VLOOKUP($T$403,'TAR FIN'!$A$1:$O$86,15,0))*(1-0.04)</f>
        <v>75.532800000000009</v>
      </c>
      <c r="X403" s="97">
        <f>IF(ISERROR(VLOOKUP($U$403,'TAR FIN'!$A$1:$O$86,15,0)),0,VLOOKUP($U$403,'TAR FIN'!$A$1:$O$86,15,0))*(1-0.04)</f>
        <v>236.44800000000001</v>
      </c>
      <c r="Y403" s="97"/>
      <c r="Z403" s="97">
        <f ca="1">('TUSD BE'!$AM$13+'TUSD BF'!$AM$13+'TUSD CVA'!$AM$13)*1*(1-0.02)</f>
        <v>98.232805801237291</v>
      </c>
      <c r="AA403" s="97">
        <f>('TE BE'!$AB$6+'TE BF'!$AB$6+'TE CVA'!$AB$6)*1*(1-0.02)</f>
        <v>215.01557219628384</v>
      </c>
      <c r="AB403" s="6">
        <f>$K$403*$V$403</f>
        <v>0</v>
      </c>
      <c r="AC403" s="6">
        <f>$M$403*$W$403</f>
        <v>229.61971200000002</v>
      </c>
      <c r="AD403" s="6">
        <f>$O$403*$X$403</f>
        <v>718.80192</v>
      </c>
      <c r="AE403" s="6">
        <f>$K$403*$Y$403</f>
        <v>0</v>
      </c>
      <c r="AF403" s="6">
        <f ca="1">$M$403*$Z$403</f>
        <v>298.62772963576134</v>
      </c>
      <c r="AG403" s="6">
        <f>$O$403*$AA$403</f>
        <v>653.64733947670288</v>
      </c>
    </row>
    <row r="404" spans="1:33" ht="11.25" customHeight="1" x14ac:dyDescent="0.25">
      <c r="A404" s="4" t="s">
        <v>21</v>
      </c>
      <c r="B404" s="4" t="s">
        <v>38</v>
      </c>
      <c r="C404" s="4" t="s">
        <v>40</v>
      </c>
      <c r="D404" s="4" t="s">
        <v>43</v>
      </c>
      <c r="E404" s="4" t="s">
        <v>51</v>
      </c>
      <c r="F404" s="4" t="s">
        <v>25</v>
      </c>
      <c r="G404" s="4" t="s">
        <v>25</v>
      </c>
      <c r="H404" s="4" t="s">
        <v>34</v>
      </c>
      <c r="I404" s="5">
        <v>44501</v>
      </c>
      <c r="J404" s="6">
        <v>0</v>
      </c>
      <c r="K404" s="97">
        <v>0</v>
      </c>
      <c r="L404" s="6">
        <v>177.87</v>
      </c>
      <c r="M404" s="97">
        <v>177.87</v>
      </c>
      <c r="N404" s="6">
        <v>177.87</v>
      </c>
      <c r="O404" s="97">
        <v>177.87</v>
      </c>
      <c r="P404" s="6">
        <v>0</v>
      </c>
      <c r="Q404" s="4" t="s">
        <v>26</v>
      </c>
      <c r="R404" s="4">
        <v>0</v>
      </c>
      <c r="S404" s="6">
        <v>0</v>
      </c>
      <c r="T404" s="6">
        <v>14</v>
      </c>
      <c r="U404" s="6">
        <v>42</v>
      </c>
      <c r="V404" s="97">
        <f>IF(ISERROR(VLOOKUP($S$404,'TAR FIN'!$A$1:$O$86,15,0)),0,VLOOKUP($S$404,'TAR FIN'!$A$1:$O$86,15,0))</f>
        <v>0</v>
      </c>
      <c r="W404" s="97">
        <f>IF(ISERROR(VLOOKUP($T$404,'TAR FIN'!$A$1:$O$86,15,0)),0,VLOOKUP($T$404,'TAR FIN'!$A$1:$O$86,15,0))*(1-0.04)</f>
        <v>75.532800000000009</v>
      </c>
      <c r="X404" s="97">
        <f>IF(ISERROR(VLOOKUP($U$404,'TAR FIN'!$A$1:$O$86,15,0)),0,VLOOKUP($U$404,'TAR FIN'!$A$1:$O$86,15,0))*(1-0.04)</f>
        <v>236.44800000000001</v>
      </c>
      <c r="Y404" s="97"/>
      <c r="Z404" s="97">
        <f ca="1">('TUSD BE'!$AM$13+'TUSD BF'!$AM$13+'TUSD CVA'!$AM$13)*1*(1-0.02)</f>
        <v>98.232805801237291</v>
      </c>
      <c r="AA404" s="97">
        <f>('TE BE'!$AB$6+'TE BF'!$AB$6+'TE CVA'!$AB$6)*1*(1-0.02)</f>
        <v>215.01557219628384</v>
      </c>
      <c r="AB404" s="6">
        <f>$K$404*$V$404</f>
        <v>0</v>
      </c>
      <c r="AC404" s="6">
        <f>$M$404*$W$404</f>
        <v>13435.019136000003</v>
      </c>
      <c r="AD404" s="6">
        <f>$O$404*$X$404</f>
        <v>42057.00576</v>
      </c>
      <c r="AE404" s="6">
        <f>$K$404*$Y$404</f>
        <v>0</v>
      </c>
      <c r="AF404" s="6">
        <f ca="1">$M$404*$Z$404</f>
        <v>17472.669167866079</v>
      </c>
      <c r="AG404" s="6">
        <f>$O$404*$AA$404</f>
        <v>38244.819826553008</v>
      </c>
    </row>
    <row r="405" spans="1:33" ht="11.25" customHeight="1" x14ac:dyDescent="0.25">
      <c r="A405" s="4" t="s">
        <v>55</v>
      </c>
      <c r="B405" s="4" t="s">
        <v>38</v>
      </c>
      <c r="C405" s="4" t="s">
        <v>40</v>
      </c>
      <c r="D405" s="4" t="s">
        <v>43</v>
      </c>
      <c r="E405" s="4" t="s">
        <v>51</v>
      </c>
      <c r="F405" s="4" t="s">
        <v>25</v>
      </c>
      <c r="G405" s="4" t="s">
        <v>25</v>
      </c>
      <c r="H405" s="4" t="s">
        <v>34</v>
      </c>
      <c r="I405" s="5">
        <v>44501</v>
      </c>
      <c r="J405" s="6">
        <v>0</v>
      </c>
      <c r="K405" s="97">
        <v>0</v>
      </c>
      <c r="L405" s="6">
        <v>55.423000000000002</v>
      </c>
      <c r="M405" s="97">
        <v>55.423000000000002</v>
      </c>
      <c r="N405" s="6">
        <v>55.423000000000002</v>
      </c>
      <c r="O405" s="97">
        <v>55.423000000000002</v>
      </c>
      <c r="P405" s="6">
        <v>0</v>
      </c>
      <c r="Q405" s="4" t="s">
        <v>26</v>
      </c>
      <c r="R405" s="4">
        <v>0</v>
      </c>
      <c r="S405" s="6">
        <v>0</v>
      </c>
      <c r="T405" s="6">
        <v>14</v>
      </c>
      <c r="U405" s="6">
        <v>42</v>
      </c>
      <c r="V405" s="97">
        <f>IF(ISERROR(VLOOKUP($S$405,'TAR FIN'!$A$1:$O$86,15,0)),0,VLOOKUP($S$405,'TAR FIN'!$A$1:$O$86,15,0))</f>
        <v>0</v>
      </c>
      <c r="W405" s="97">
        <f>IF(ISERROR(VLOOKUP($T$405,'TAR FIN'!$A$1:$O$86,15,0)),0,VLOOKUP($T$405,'TAR FIN'!$A$1:$O$86,15,0))*(1-0.04)</f>
        <v>75.532800000000009</v>
      </c>
      <c r="X405" s="97">
        <f>IF(ISERROR(VLOOKUP($U$405,'TAR FIN'!$A$1:$O$86,15,0)),0,VLOOKUP($U$405,'TAR FIN'!$A$1:$O$86,15,0))*(1-0.04)</f>
        <v>236.44800000000001</v>
      </c>
      <c r="Y405" s="97"/>
      <c r="Z405" s="97">
        <f ca="1">('TUSD BE'!$AM$13+'TUSD BF'!$AM$13+'TUSD CVA'!$AM$13)*1*(1-0.02)</f>
        <v>98.232805801237291</v>
      </c>
      <c r="AA405" s="97">
        <f>('TE BE'!$AB$6+'TE BF'!$AB$6+'TE CVA'!$AB$6)*1*(1-0.02)</f>
        <v>215.01557219628384</v>
      </c>
      <c r="AB405" s="6">
        <f>$K$405*$V$405</f>
        <v>0</v>
      </c>
      <c r="AC405" s="6">
        <f>$M$405*$W$405</f>
        <v>4186.2543744000004</v>
      </c>
      <c r="AD405" s="6">
        <f>$O$405*$X$405</f>
        <v>13104.657504000001</v>
      </c>
      <c r="AE405" s="6">
        <f>$K$405*$Y$405</f>
        <v>0</v>
      </c>
      <c r="AF405" s="6">
        <f ca="1">$M$405*$Z$405</f>
        <v>5444.3567959219745</v>
      </c>
      <c r="AG405" s="6">
        <f>$O$405*$AA$405</f>
        <v>11916.80805783464</v>
      </c>
    </row>
    <row r="406" spans="1:33" ht="11.25" customHeight="1" x14ac:dyDescent="0.25">
      <c r="A406" s="4" t="s">
        <v>21</v>
      </c>
      <c r="B406" s="4" t="s">
        <v>38</v>
      </c>
      <c r="C406" s="4" t="s">
        <v>40</v>
      </c>
      <c r="D406" s="4" t="s">
        <v>43</v>
      </c>
      <c r="E406" s="4" t="s">
        <v>51</v>
      </c>
      <c r="F406" s="4" t="s">
        <v>25</v>
      </c>
      <c r="G406" s="4" t="s">
        <v>25</v>
      </c>
      <c r="H406" s="4" t="s">
        <v>34</v>
      </c>
      <c r="I406" s="5">
        <v>44531</v>
      </c>
      <c r="J406" s="6">
        <v>0</v>
      </c>
      <c r="K406" s="97">
        <v>0</v>
      </c>
      <c r="L406" s="6">
        <v>379.16300000000001</v>
      </c>
      <c r="M406" s="97">
        <v>379.16300000000001</v>
      </c>
      <c r="N406" s="6">
        <v>379.16300000000001</v>
      </c>
      <c r="O406" s="97">
        <v>379.16300000000001</v>
      </c>
      <c r="P406" s="6">
        <v>0</v>
      </c>
      <c r="Q406" s="4" t="s">
        <v>26</v>
      </c>
      <c r="R406" s="4">
        <v>0</v>
      </c>
      <c r="S406" s="6">
        <v>0</v>
      </c>
      <c r="T406" s="6">
        <v>14</v>
      </c>
      <c r="U406" s="6">
        <v>42</v>
      </c>
      <c r="V406" s="97">
        <f>IF(ISERROR(VLOOKUP($S$406,'TAR FIN'!$A$1:$O$86,15,0)),0,VLOOKUP($S$406,'TAR FIN'!$A$1:$O$86,15,0))</f>
        <v>0</v>
      </c>
      <c r="W406" s="97">
        <f>IF(ISERROR(VLOOKUP($T$406,'TAR FIN'!$A$1:$O$86,15,0)),0,VLOOKUP($T$406,'TAR FIN'!$A$1:$O$86,15,0))*(1-0.04)</f>
        <v>75.532800000000009</v>
      </c>
      <c r="X406" s="97">
        <f>IF(ISERROR(VLOOKUP($U$406,'TAR FIN'!$A$1:$O$86,15,0)),0,VLOOKUP($U$406,'TAR FIN'!$A$1:$O$86,15,0))*(1-0.04)</f>
        <v>236.44800000000001</v>
      </c>
      <c r="Y406" s="97"/>
      <c r="Z406" s="97">
        <f ca="1">('TUSD BE'!$AM$13+'TUSD BF'!$AM$13+'TUSD CVA'!$AM$13)*1*(1-0.02)</f>
        <v>98.232805801237291</v>
      </c>
      <c r="AA406" s="97">
        <f>('TE BE'!$AB$6+'TE BF'!$AB$6+'TE CVA'!$AB$6)*1*(1-0.02)</f>
        <v>215.01557219628384</v>
      </c>
      <c r="AB406" s="6">
        <f>$K$406*$V$406</f>
        <v>0</v>
      </c>
      <c r="AC406" s="6">
        <f>$M$406*$W$406</f>
        <v>28639.243046400003</v>
      </c>
      <c r="AD406" s="6">
        <f>$O$406*$X$406</f>
        <v>89652.333024000007</v>
      </c>
      <c r="AE406" s="6">
        <f>$K$406*$Y$406</f>
        <v>0</v>
      </c>
      <c r="AF406" s="6">
        <f ca="1">$M$406*$Z$406</f>
        <v>37246.245346014533</v>
      </c>
      <c r="AG406" s="6">
        <f>$O$406*$AA$406</f>
        <v>81525.949400659578</v>
      </c>
    </row>
    <row r="407" spans="1:33" ht="11.25" customHeight="1" x14ac:dyDescent="0.25">
      <c r="A407" s="4" t="s">
        <v>55</v>
      </c>
      <c r="B407" s="4" t="s">
        <v>38</v>
      </c>
      <c r="C407" s="4" t="s">
        <v>40</v>
      </c>
      <c r="D407" s="4" t="s">
        <v>43</v>
      </c>
      <c r="E407" s="4" t="s">
        <v>51</v>
      </c>
      <c r="F407" s="4" t="s">
        <v>25</v>
      </c>
      <c r="G407" s="4" t="s">
        <v>25</v>
      </c>
      <c r="H407" s="4" t="s">
        <v>34</v>
      </c>
      <c r="I407" s="5">
        <v>44531</v>
      </c>
      <c r="J407" s="6">
        <v>0</v>
      </c>
      <c r="K407" s="97">
        <v>0</v>
      </c>
      <c r="L407" s="6">
        <v>77.055999999999997</v>
      </c>
      <c r="M407" s="97">
        <v>77.055999999999997</v>
      </c>
      <c r="N407" s="6">
        <v>77.055999999999997</v>
      </c>
      <c r="O407" s="97">
        <v>77.055999999999997</v>
      </c>
      <c r="P407" s="6">
        <v>0</v>
      </c>
      <c r="Q407" s="4" t="s">
        <v>26</v>
      </c>
      <c r="R407" s="4">
        <v>0</v>
      </c>
      <c r="S407" s="6">
        <v>0</v>
      </c>
      <c r="T407" s="6">
        <v>14</v>
      </c>
      <c r="U407" s="6">
        <v>42</v>
      </c>
      <c r="V407" s="97">
        <f>IF(ISERROR(VLOOKUP($S$407,'TAR FIN'!$A$1:$O$86,15,0)),0,VLOOKUP($S$407,'TAR FIN'!$A$1:$O$86,15,0))</f>
        <v>0</v>
      </c>
      <c r="W407" s="97">
        <f>IF(ISERROR(VLOOKUP($T$407,'TAR FIN'!$A$1:$O$86,15,0)),0,VLOOKUP($T$407,'TAR FIN'!$A$1:$O$86,15,0))*(1-0.04)</f>
        <v>75.532800000000009</v>
      </c>
      <c r="X407" s="97">
        <f>IF(ISERROR(VLOOKUP($U$407,'TAR FIN'!$A$1:$O$86,15,0)),0,VLOOKUP($U$407,'TAR FIN'!$A$1:$O$86,15,0))*(1-0.04)</f>
        <v>236.44800000000001</v>
      </c>
      <c r="Y407" s="97"/>
      <c r="Z407" s="97">
        <f ca="1">('TUSD BE'!$AM$13+'TUSD BF'!$AM$13+'TUSD CVA'!$AM$13)*1*(1-0.02)</f>
        <v>98.232805801237291</v>
      </c>
      <c r="AA407" s="97">
        <f>('TE BE'!$AB$6+'TE BF'!$AB$6+'TE CVA'!$AB$6)*1*(1-0.02)</f>
        <v>215.01557219628384</v>
      </c>
      <c r="AB407" s="6">
        <f>$K$407*$V$407</f>
        <v>0</v>
      </c>
      <c r="AC407" s="6">
        <f>$M$407*$W$407</f>
        <v>5820.2554368000001</v>
      </c>
      <c r="AD407" s="6">
        <f>$O$407*$X$407</f>
        <v>18219.737088000002</v>
      </c>
      <c r="AE407" s="6">
        <f>$K$407*$Y$407</f>
        <v>0</v>
      </c>
      <c r="AF407" s="6">
        <f ca="1">$M$407*$Z$407</f>
        <v>7569.4270838201401</v>
      </c>
      <c r="AG407" s="6">
        <f>$O$407*$AA$407</f>
        <v>16568.239931156848</v>
      </c>
    </row>
    <row r="408" spans="1:33" ht="11.25" customHeight="1" x14ac:dyDescent="0.25">
      <c r="A408" s="4" t="s">
        <v>21</v>
      </c>
      <c r="B408" s="4" t="s">
        <v>38</v>
      </c>
      <c r="C408" s="4" t="s">
        <v>40</v>
      </c>
      <c r="D408" s="4" t="s">
        <v>43</v>
      </c>
      <c r="E408" s="4" t="s">
        <v>51</v>
      </c>
      <c r="F408" s="4" t="s">
        <v>25</v>
      </c>
      <c r="G408" s="4" t="s">
        <v>25</v>
      </c>
      <c r="H408" s="4" t="s">
        <v>34</v>
      </c>
      <c r="I408" s="5">
        <v>44562</v>
      </c>
      <c r="J408" s="6">
        <v>0</v>
      </c>
      <c r="K408" s="97">
        <v>0</v>
      </c>
      <c r="L408" s="6">
        <v>248.77</v>
      </c>
      <c r="M408" s="97">
        <v>248.77</v>
      </c>
      <c r="N408" s="6">
        <v>248.77</v>
      </c>
      <c r="O408" s="97">
        <v>248.77</v>
      </c>
      <c r="P408" s="6">
        <v>0</v>
      </c>
      <c r="Q408" s="4" t="s">
        <v>26</v>
      </c>
      <c r="R408" s="4">
        <v>0</v>
      </c>
      <c r="S408" s="6">
        <v>0</v>
      </c>
      <c r="T408" s="6">
        <v>14</v>
      </c>
      <c r="U408" s="6">
        <v>42</v>
      </c>
      <c r="V408" s="97">
        <f>IF(ISERROR(VLOOKUP($S$408,'TAR FIN'!$A$1:$O$86,15,0)),0,VLOOKUP($S$408,'TAR FIN'!$A$1:$O$86,15,0))</f>
        <v>0</v>
      </c>
      <c r="W408" s="97">
        <f>IF(ISERROR(VLOOKUP($T$408,'TAR FIN'!$A$1:$O$86,15,0)),0,VLOOKUP($T$408,'TAR FIN'!$A$1:$O$86,15,0))*(1-0.04)</f>
        <v>75.532800000000009</v>
      </c>
      <c r="X408" s="97">
        <f>IF(ISERROR(VLOOKUP($U$408,'TAR FIN'!$A$1:$O$86,15,0)),0,VLOOKUP($U$408,'TAR FIN'!$A$1:$O$86,15,0))*(1-0.04)</f>
        <v>236.44800000000001</v>
      </c>
      <c r="Y408" s="97"/>
      <c r="Z408" s="97">
        <f ca="1">('TUSD BE'!$AM$13+'TUSD BF'!$AM$13+'TUSD CVA'!$AM$13)*1*(1-0.02)</f>
        <v>98.232805801237291</v>
      </c>
      <c r="AA408" s="97">
        <f>('TE BE'!$AB$6+'TE BF'!$AB$6+'TE CVA'!$AB$6)*1*(1-0.02)</f>
        <v>215.01557219628384</v>
      </c>
      <c r="AB408" s="6">
        <f>$K$408*$V$408</f>
        <v>0</v>
      </c>
      <c r="AC408" s="6">
        <f>$M$408*$W$408</f>
        <v>18790.294656000002</v>
      </c>
      <c r="AD408" s="6">
        <f>$O$408*$X$408</f>
        <v>58821.168960000003</v>
      </c>
      <c r="AE408" s="6">
        <f>$K$408*$Y$408</f>
        <v>0</v>
      </c>
      <c r="AF408" s="6">
        <f ca="1">$M$408*$Z$408</f>
        <v>24437.375099173802</v>
      </c>
      <c r="AG408" s="6">
        <f>$O$408*$AA$408</f>
        <v>53489.42389526953</v>
      </c>
    </row>
    <row r="409" spans="1:33" ht="11.25" customHeight="1" x14ac:dyDescent="0.25">
      <c r="A409" s="4" t="s">
        <v>55</v>
      </c>
      <c r="B409" s="4" t="s">
        <v>38</v>
      </c>
      <c r="C409" s="4" t="s">
        <v>40</v>
      </c>
      <c r="D409" s="4" t="s">
        <v>43</v>
      </c>
      <c r="E409" s="4" t="s">
        <v>51</v>
      </c>
      <c r="F409" s="4" t="s">
        <v>25</v>
      </c>
      <c r="G409" s="4" t="s">
        <v>25</v>
      </c>
      <c r="H409" s="4" t="s">
        <v>34</v>
      </c>
      <c r="I409" s="5">
        <v>44562</v>
      </c>
      <c r="J409" s="6">
        <v>0</v>
      </c>
      <c r="K409" s="97">
        <v>0</v>
      </c>
      <c r="L409" s="6">
        <v>9.4329999999999998</v>
      </c>
      <c r="M409" s="97">
        <v>9.4329999999999998</v>
      </c>
      <c r="N409" s="6">
        <v>9.4329999999999998</v>
      </c>
      <c r="O409" s="97">
        <v>9.4329999999999998</v>
      </c>
      <c r="P409" s="6">
        <v>0</v>
      </c>
      <c r="Q409" s="4" t="s">
        <v>26</v>
      </c>
      <c r="R409" s="4">
        <v>0</v>
      </c>
      <c r="S409" s="6">
        <v>0</v>
      </c>
      <c r="T409" s="6">
        <v>14</v>
      </c>
      <c r="U409" s="6">
        <v>42</v>
      </c>
      <c r="V409" s="97">
        <f>IF(ISERROR(VLOOKUP($S$409,'TAR FIN'!$A$1:$O$86,15,0)),0,VLOOKUP($S$409,'TAR FIN'!$A$1:$O$86,15,0))</f>
        <v>0</v>
      </c>
      <c r="W409" s="97">
        <f>IF(ISERROR(VLOOKUP($T$409,'TAR FIN'!$A$1:$O$86,15,0)),0,VLOOKUP($T$409,'TAR FIN'!$A$1:$O$86,15,0))*(1-0.04)</f>
        <v>75.532800000000009</v>
      </c>
      <c r="X409" s="97">
        <f>IF(ISERROR(VLOOKUP($U$409,'TAR FIN'!$A$1:$O$86,15,0)),0,VLOOKUP($U$409,'TAR FIN'!$A$1:$O$86,15,0))*(1-0.04)</f>
        <v>236.44800000000001</v>
      </c>
      <c r="Y409" s="97"/>
      <c r="Z409" s="97">
        <f ca="1">('TUSD BE'!$AM$13+'TUSD BF'!$AM$13+'TUSD CVA'!$AM$13)*1*(1-0.02)</f>
        <v>98.232805801237291</v>
      </c>
      <c r="AA409" s="97">
        <f>('TE BE'!$AB$6+'TE BF'!$AB$6+'TE CVA'!$AB$6)*1*(1-0.02)</f>
        <v>215.01557219628384</v>
      </c>
      <c r="AB409" s="6">
        <f>$K$409*$V$409</f>
        <v>0</v>
      </c>
      <c r="AC409" s="6">
        <f>$M$409*$W$409</f>
        <v>712.50090240000009</v>
      </c>
      <c r="AD409" s="6">
        <f>$O$409*$X$409</f>
        <v>2230.4139840000003</v>
      </c>
      <c r="AE409" s="6">
        <f>$K$409*$Y$409</f>
        <v>0</v>
      </c>
      <c r="AF409" s="6">
        <f ca="1">$M$409*$Z$409</f>
        <v>926.63005712307131</v>
      </c>
      <c r="AG409" s="6">
        <f>$O$409*$AA$409</f>
        <v>2028.2418925275454</v>
      </c>
    </row>
    <row r="410" spans="1:33" ht="11.25" customHeight="1" x14ac:dyDescent="0.25">
      <c r="A410" s="4" t="s">
        <v>21</v>
      </c>
      <c r="B410" s="4" t="s">
        <v>38</v>
      </c>
      <c r="C410" s="4" t="s">
        <v>40</v>
      </c>
      <c r="D410" s="4" t="s">
        <v>43</v>
      </c>
      <c r="E410" s="4" t="s">
        <v>51</v>
      </c>
      <c r="F410" s="4" t="s">
        <v>25</v>
      </c>
      <c r="G410" s="4" t="s">
        <v>25</v>
      </c>
      <c r="H410" s="4" t="s">
        <v>34</v>
      </c>
      <c r="I410" s="5">
        <v>44593</v>
      </c>
      <c r="J410" s="6">
        <v>0</v>
      </c>
      <c r="K410" s="97">
        <v>0</v>
      </c>
      <c r="L410" s="6">
        <v>125.352</v>
      </c>
      <c r="M410" s="97">
        <v>125.352</v>
      </c>
      <c r="N410" s="6">
        <v>125.352</v>
      </c>
      <c r="O410" s="97">
        <v>125.352</v>
      </c>
      <c r="P410" s="6">
        <v>0</v>
      </c>
      <c r="Q410" s="4" t="s">
        <v>26</v>
      </c>
      <c r="R410" s="4">
        <v>0</v>
      </c>
      <c r="S410" s="6">
        <v>0</v>
      </c>
      <c r="T410" s="6">
        <v>14</v>
      </c>
      <c r="U410" s="6">
        <v>42</v>
      </c>
      <c r="V410" s="97">
        <f>IF(ISERROR(VLOOKUP($S$410,'TAR FIN'!$A$1:$O$86,15,0)),0,VLOOKUP($S$410,'TAR FIN'!$A$1:$O$86,15,0))</f>
        <v>0</v>
      </c>
      <c r="W410" s="97">
        <f>IF(ISERROR(VLOOKUP($T$410,'TAR FIN'!$A$1:$O$86,15,0)),0,VLOOKUP($T$410,'TAR FIN'!$A$1:$O$86,15,0))*(1-0.04)</f>
        <v>75.532800000000009</v>
      </c>
      <c r="X410" s="97">
        <f>IF(ISERROR(VLOOKUP($U$410,'TAR FIN'!$A$1:$O$86,15,0)),0,VLOOKUP($U$410,'TAR FIN'!$A$1:$O$86,15,0))*(1-0.04)</f>
        <v>236.44800000000001</v>
      </c>
      <c r="Y410" s="97"/>
      <c r="Z410" s="97">
        <f ca="1">('TUSD BE'!$AM$13+'TUSD BF'!$AM$13+'TUSD CVA'!$AM$13)*1*(1-0.02)</f>
        <v>98.232805801237291</v>
      </c>
      <c r="AA410" s="97">
        <f>('TE BE'!$AB$6+'TE BF'!$AB$6+'TE CVA'!$AB$6)*1*(1-0.02)</f>
        <v>215.01557219628384</v>
      </c>
      <c r="AB410" s="6">
        <f>$K$410*$V$410</f>
        <v>0</v>
      </c>
      <c r="AC410" s="6">
        <f>$M$410*$W$410</f>
        <v>9468.1875456000016</v>
      </c>
      <c r="AD410" s="6">
        <f>$O$410*$X$410</f>
        <v>29639.229696000002</v>
      </c>
      <c r="AE410" s="6">
        <f>$K$410*$Y$410</f>
        <v>0</v>
      </c>
      <c r="AF410" s="6">
        <f ca="1">$M$410*$Z$410</f>
        <v>12313.678672796697</v>
      </c>
      <c r="AG410" s="6">
        <f>$O$410*$AA$410</f>
        <v>26952.632005948573</v>
      </c>
    </row>
    <row r="411" spans="1:33" ht="11.25" customHeight="1" x14ac:dyDescent="0.25">
      <c r="A411" s="4" t="s">
        <v>55</v>
      </c>
      <c r="B411" s="4" t="s">
        <v>38</v>
      </c>
      <c r="C411" s="4" t="s">
        <v>40</v>
      </c>
      <c r="D411" s="4" t="s">
        <v>43</v>
      </c>
      <c r="E411" s="4" t="s">
        <v>51</v>
      </c>
      <c r="F411" s="4" t="s">
        <v>25</v>
      </c>
      <c r="G411" s="4" t="s">
        <v>25</v>
      </c>
      <c r="H411" s="4" t="s">
        <v>34</v>
      </c>
      <c r="I411" s="5">
        <v>44593</v>
      </c>
      <c r="J411" s="6">
        <v>0</v>
      </c>
      <c r="K411" s="97">
        <v>0</v>
      </c>
      <c r="L411" s="6">
        <v>0.67400000000000004</v>
      </c>
      <c r="M411" s="97">
        <v>0.67400000000000004</v>
      </c>
      <c r="N411" s="6">
        <v>0.67400000000000004</v>
      </c>
      <c r="O411" s="97">
        <v>0.67400000000000004</v>
      </c>
      <c r="P411" s="6">
        <v>0</v>
      </c>
      <c r="Q411" s="4" t="s">
        <v>26</v>
      </c>
      <c r="R411" s="4">
        <v>0</v>
      </c>
      <c r="S411" s="6">
        <v>0</v>
      </c>
      <c r="T411" s="6">
        <v>14</v>
      </c>
      <c r="U411" s="6">
        <v>42</v>
      </c>
      <c r="V411" s="97">
        <f>IF(ISERROR(VLOOKUP($S$411,'TAR FIN'!$A$1:$O$86,15,0)),0,VLOOKUP($S$411,'TAR FIN'!$A$1:$O$86,15,0))</f>
        <v>0</v>
      </c>
      <c r="W411" s="97">
        <f>IF(ISERROR(VLOOKUP($T$411,'TAR FIN'!$A$1:$O$86,15,0)),0,VLOOKUP($T$411,'TAR FIN'!$A$1:$O$86,15,0))*(1-0.04)</f>
        <v>75.532800000000009</v>
      </c>
      <c r="X411" s="97">
        <f>IF(ISERROR(VLOOKUP($U$411,'TAR FIN'!$A$1:$O$86,15,0)),0,VLOOKUP($U$411,'TAR FIN'!$A$1:$O$86,15,0))*(1-0.04)</f>
        <v>236.44800000000001</v>
      </c>
      <c r="Y411" s="97"/>
      <c r="Z411" s="97">
        <f ca="1">('TUSD BE'!$AM$13+'TUSD BF'!$AM$13+'TUSD CVA'!$AM$13)*1*(1-0.02)</f>
        <v>98.232805801237291</v>
      </c>
      <c r="AA411" s="97">
        <f>('TE BE'!$AB$6+'TE BF'!$AB$6+'TE CVA'!$AB$6)*1*(1-0.02)</f>
        <v>215.01557219628384</v>
      </c>
      <c r="AB411" s="6">
        <f>$K$411*$V$411</f>
        <v>0</v>
      </c>
      <c r="AC411" s="6">
        <f>$M$411*$W$411</f>
        <v>50.909107200000008</v>
      </c>
      <c r="AD411" s="6">
        <f>$O$411*$X$411</f>
        <v>159.36595200000002</v>
      </c>
      <c r="AE411" s="6">
        <f>$K$411*$Y$411</f>
        <v>0</v>
      </c>
      <c r="AF411" s="6">
        <f ca="1">$M$411*$Z$411</f>
        <v>66.208911110033938</v>
      </c>
      <c r="AG411" s="6">
        <f>$O$411*$AA$411</f>
        <v>144.92049566029533</v>
      </c>
    </row>
    <row r="412" spans="1:33" ht="11.25" customHeight="1" x14ac:dyDescent="0.25">
      <c r="A412" s="4" t="s">
        <v>21</v>
      </c>
      <c r="B412" s="4" t="s">
        <v>38</v>
      </c>
      <c r="C412" s="4" t="s">
        <v>40</v>
      </c>
      <c r="D412" s="4" t="s">
        <v>43</v>
      </c>
      <c r="E412" s="4" t="s">
        <v>51</v>
      </c>
      <c r="F412" s="4" t="s">
        <v>25</v>
      </c>
      <c r="G412" s="4" t="s">
        <v>25</v>
      </c>
      <c r="H412" s="4" t="s">
        <v>34</v>
      </c>
      <c r="I412" s="5">
        <v>44621</v>
      </c>
      <c r="J412" s="6">
        <v>0</v>
      </c>
      <c r="K412" s="97">
        <v>0</v>
      </c>
      <c r="L412" s="6">
        <v>22.298999999999999</v>
      </c>
      <c r="M412" s="97">
        <v>22.298999999999999</v>
      </c>
      <c r="N412" s="6">
        <v>22.298999999999999</v>
      </c>
      <c r="O412" s="97">
        <v>22.298999999999999</v>
      </c>
      <c r="P412" s="6">
        <v>0</v>
      </c>
      <c r="Q412" s="4" t="s">
        <v>26</v>
      </c>
      <c r="R412" s="4">
        <v>0</v>
      </c>
      <c r="S412" s="6">
        <v>0</v>
      </c>
      <c r="T412" s="6">
        <v>14</v>
      </c>
      <c r="U412" s="6">
        <v>42</v>
      </c>
      <c r="V412" s="97">
        <f>IF(ISERROR(VLOOKUP($S$412,'TAR FIN'!$A$1:$O$86,15,0)),0,VLOOKUP($S$412,'TAR FIN'!$A$1:$O$86,15,0))</f>
        <v>0</v>
      </c>
      <c r="W412" s="97">
        <f>IF(ISERROR(VLOOKUP($T$412,'TAR FIN'!$A$1:$O$86,15,0)),0,VLOOKUP($T$412,'TAR FIN'!$A$1:$O$86,15,0))*(1-0.04)</f>
        <v>75.532800000000009</v>
      </c>
      <c r="X412" s="97">
        <f>IF(ISERROR(VLOOKUP($U$412,'TAR FIN'!$A$1:$O$86,15,0)),0,VLOOKUP($U$412,'TAR FIN'!$A$1:$O$86,15,0))*(1-0.04)</f>
        <v>236.44800000000001</v>
      </c>
      <c r="Y412" s="97"/>
      <c r="Z412" s="97">
        <f ca="1">('TUSD BE'!$AM$13+'TUSD BF'!$AM$13+'TUSD CVA'!$AM$13)*1*(1-0.02)</f>
        <v>98.232805801237291</v>
      </c>
      <c r="AA412" s="97">
        <f>('TE BE'!$AB$6+'TE BF'!$AB$6+'TE CVA'!$AB$6)*1*(1-0.02)</f>
        <v>215.01557219628384</v>
      </c>
      <c r="AB412" s="6">
        <f>$K$412*$V$412</f>
        <v>0</v>
      </c>
      <c r="AC412" s="6">
        <f>$M$412*$W$412</f>
        <v>1684.3059072000001</v>
      </c>
      <c r="AD412" s="6">
        <f>$O$412*$X$412</f>
        <v>5272.5539520000002</v>
      </c>
      <c r="AE412" s="6">
        <f>$K$412*$Y$412</f>
        <v>0</v>
      </c>
      <c r="AF412" s="6">
        <f ca="1">$M$412*$Z$412</f>
        <v>2190.4933365617903</v>
      </c>
      <c r="AG412" s="6">
        <f>$O$412*$AA$412</f>
        <v>4794.6322444049329</v>
      </c>
    </row>
    <row r="413" spans="1:33" ht="11.25" customHeight="1" x14ac:dyDescent="0.25">
      <c r="A413" s="4" t="s">
        <v>55</v>
      </c>
      <c r="B413" s="4" t="s">
        <v>38</v>
      </c>
      <c r="C413" s="4" t="s">
        <v>40</v>
      </c>
      <c r="D413" s="4" t="s">
        <v>43</v>
      </c>
      <c r="E413" s="4" t="s">
        <v>51</v>
      </c>
      <c r="F413" s="4" t="s">
        <v>25</v>
      </c>
      <c r="G413" s="4" t="s">
        <v>25</v>
      </c>
      <c r="H413" s="4" t="s">
        <v>34</v>
      </c>
      <c r="I413" s="5">
        <v>44621</v>
      </c>
      <c r="J413" s="6">
        <v>0</v>
      </c>
      <c r="K413" s="97">
        <v>0</v>
      </c>
      <c r="L413" s="6">
        <v>0.441</v>
      </c>
      <c r="M413" s="97">
        <v>0.441</v>
      </c>
      <c r="N413" s="6">
        <v>0.441</v>
      </c>
      <c r="O413" s="97">
        <v>0.441</v>
      </c>
      <c r="P413" s="6">
        <v>0</v>
      </c>
      <c r="Q413" s="4" t="s">
        <v>26</v>
      </c>
      <c r="R413" s="4">
        <v>0</v>
      </c>
      <c r="S413" s="6">
        <v>0</v>
      </c>
      <c r="T413" s="6">
        <v>14</v>
      </c>
      <c r="U413" s="6">
        <v>42</v>
      </c>
      <c r="V413" s="97">
        <f>IF(ISERROR(VLOOKUP($S$413,'TAR FIN'!$A$1:$O$86,15,0)),0,VLOOKUP($S$413,'TAR FIN'!$A$1:$O$86,15,0))</f>
        <v>0</v>
      </c>
      <c r="W413" s="97">
        <f>IF(ISERROR(VLOOKUP($T$413,'TAR FIN'!$A$1:$O$86,15,0)),0,VLOOKUP($T$413,'TAR FIN'!$A$1:$O$86,15,0))*(1-0.04)</f>
        <v>75.532800000000009</v>
      </c>
      <c r="X413" s="97">
        <f>IF(ISERROR(VLOOKUP($U$413,'TAR FIN'!$A$1:$O$86,15,0)),0,VLOOKUP($U$413,'TAR FIN'!$A$1:$O$86,15,0))*(1-0.04)</f>
        <v>236.44800000000001</v>
      </c>
      <c r="Y413" s="97"/>
      <c r="Z413" s="97">
        <f ca="1">('TUSD BE'!$AM$13+'TUSD BF'!$AM$13+'TUSD CVA'!$AM$13)*1*(1-0.02)</f>
        <v>98.232805801237291</v>
      </c>
      <c r="AA413" s="97">
        <f>('TE BE'!$AB$6+'TE BF'!$AB$6+'TE CVA'!$AB$6)*1*(1-0.02)</f>
        <v>215.01557219628384</v>
      </c>
      <c r="AB413" s="6">
        <f>$K$413*$V$413</f>
        <v>0</v>
      </c>
      <c r="AC413" s="6">
        <f>$M$413*$W$413</f>
        <v>33.309964800000003</v>
      </c>
      <c r="AD413" s="6">
        <f>$O$413*$X$413</f>
        <v>104.273568</v>
      </c>
      <c r="AE413" s="6">
        <f>$K$413*$Y$413</f>
        <v>0</v>
      </c>
      <c r="AF413" s="6">
        <f ca="1">$M$413*$Z$413</f>
        <v>43.320667358345645</v>
      </c>
      <c r="AG413" s="6">
        <f>$O$413*$AA$413</f>
        <v>94.821867338561177</v>
      </c>
    </row>
    <row r="414" spans="1:33" ht="11.25" customHeight="1" x14ac:dyDescent="0.25">
      <c r="A414" s="4" t="s">
        <v>21</v>
      </c>
      <c r="B414" s="4" t="s">
        <v>38</v>
      </c>
      <c r="C414" s="4" t="s">
        <v>40</v>
      </c>
      <c r="D414" s="4" t="s">
        <v>43</v>
      </c>
      <c r="E414" s="4" t="s">
        <v>51</v>
      </c>
      <c r="F414" s="4" t="s">
        <v>25</v>
      </c>
      <c r="G414" s="4" t="s">
        <v>25</v>
      </c>
      <c r="H414" s="4" t="s">
        <v>34</v>
      </c>
      <c r="I414" s="5">
        <v>44652</v>
      </c>
      <c r="J414" s="6">
        <v>0</v>
      </c>
      <c r="K414" s="97">
        <v>0</v>
      </c>
      <c r="L414" s="6">
        <v>9.8059999999999992</v>
      </c>
      <c r="M414" s="97">
        <v>9.8059999999999992</v>
      </c>
      <c r="N414" s="6">
        <v>9.8059999999999992</v>
      </c>
      <c r="O414" s="97">
        <v>9.8059999999999992</v>
      </c>
      <c r="P414" s="6">
        <v>0</v>
      </c>
      <c r="Q414" s="4" t="s">
        <v>26</v>
      </c>
      <c r="R414" s="4">
        <v>0</v>
      </c>
      <c r="S414" s="6">
        <v>0</v>
      </c>
      <c r="T414" s="6">
        <v>14</v>
      </c>
      <c r="U414" s="6">
        <v>42</v>
      </c>
      <c r="V414" s="97">
        <f>IF(ISERROR(VLOOKUP($S$414,'TAR FIN'!$A$1:$O$86,15,0)),0,VLOOKUP($S$414,'TAR FIN'!$A$1:$O$86,15,0))</f>
        <v>0</v>
      </c>
      <c r="W414" s="97">
        <f>IF(ISERROR(VLOOKUP($T$414,'TAR FIN'!$A$1:$O$86,15,0)),0,VLOOKUP($T$414,'TAR FIN'!$A$1:$O$86,15,0))*(1-0.04)</f>
        <v>75.532800000000009</v>
      </c>
      <c r="X414" s="97">
        <f>IF(ISERROR(VLOOKUP($U$414,'TAR FIN'!$A$1:$O$86,15,0)),0,VLOOKUP($U$414,'TAR FIN'!$A$1:$O$86,15,0))*(1-0.04)</f>
        <v>236.44800000000001</v>
      </c>
      <c r="Y414" s="97"/>
      <c r="Z414" s="97">
        <f ca="1">('TUSD BE'!$AM$13+'TUSD BF'!$AM$13+'TUSD CVA'!$AM$13)*1*(1-0.02)</f>
        <v>98.232805801237291</v>
      </c>
      <c r="AA414" s="97">
        <f>('TE BE'!$AB$6+'TE BF'!$AB$6+'TE CVA'!$AB$6)*1*(1-0.02)</f>
        <v>215.01557219628384</v>
      </c>
      <c r="AB414" s="6">
        <f>$K$414*$V$414</f>
        <v>0</v>
      </c>
      <c r="AC414" s="6">
        <f>$M$414*$W$414</f>
        <v>740.67463680000003</v>
      </c>
      <c r="AD414" s="6">
        <f>$O$414*$X$414</f>
        <v>2318.6090879999997</v>
      </c>
      <c r="AE414" s="6">
        <f>$K$414*$Y$414</f>
        <v>0</v>
      </c>
      <c r="AF414" s="6">
        <f ca="1">$M$414*$Z$414</f>
        <v>963.27089368693282</v>
      </c>
      <c r="AG414" s="6">
        <f>$O$414*$AA$414</f>
        <v>2108.4427009567594</v>
      </c>
    </row>
    <row r="415" spans="1:33" ht="11.25" customHeight="1" x14ac:dyDescent="0.25">
      <c r="A415" s="4" t="s">
        <v>55</v>
      </c>
      <c r="B415" s="4" t="s">
        <v>38</v>
      </c>
      <c r="C415" s="4" t="s">
        <v>40</v>
      </c>
      <c r="D415" s="4" t="s">
        <v>43</v>
      </c>
      <c r="E415" s="4" t="s">
        <v>51</v>
      </c>
      <c r="F415" s="4" t="s">
        <v>25</v>
      </c>
      <c r="G415" s="4" t="s">
        <v>25</v>
      </c>
      <c r="H415" s="4" t="s">
        <v>34</v>
      </c>
      <c r="I415" s="5">
        <v>44652</v>
      </c>
      <c r="J415" s="6">
        <v>0</v>
      </c>
      <c r="K415" s="97">
        <v>0</v>
      </c>
      <c r="L415" s="6">
        <v>0.32100000000000001</v>
      </c>
      <c r="M415" s="97">
        <v>0.32100000000000001</v>
      </c>
      <c r="N415" s="6">
        <v>0.32100000000000001</v>
      </c>
      <c r="O415" s="97">
        <v>0.32100000000000001</v>
      </c>
      <c r="P415" s="6">
        <v>0</v>
      </c>
      <c r="Q415" s="4" t="s">
        <v>26</v>
      </c>
      <c r="R415" s="4">
        <v>0</v>
      </c>
      <c r="S415" s="6">
        <v>0</v>
      </c>
      <c r="T415" s="6">
        <v>14</v>
      </c>
      <c r="U415" s="6">
        <v>42</v>
      </c>
      <c r="V415" s="97">
        <f>IF(ISERROR(VLOOKUP($S$415,'TAR FIN'!$A$1:$O$86,15,0)),0,VLOOKUP($S$415,'TAR FIN'!$A$1:$O$86,15,0))</f>
        <v>0</v>
      </c>
      <c r="W415" s="97">
        <f>IF(ISERROR(VLOOKUP($T$415,'TAR FIN'!$A$1:$O$86,15,0)),0,VLOOKUP($T$415,'TAR FIN'!$A$1:$O$86,15,0))*(1-0.04)</f>
        <v>75.532800000000009</v>
      </c>
      <c r="X415" s="97">
        <f>IF(ISERROR(VLOOKUP($U$415,'TAR FIN'!$A$1:$O$86,15,0)),0,VLOOKUP($U$415,'TAR FIN'!$A$1:$O$86,15,0))*(1-0.04)</f>
        <v>236.44800000000001</v>
      </c>
      <c r="Y415" s="97"/>
      <c r="Z415" s="97">
        <f ca="1">('TUSD BE'!$AM$13+'TUSD BF'!$AM$13+'TUSD CVA'!$AM$13)*1*(1-0.02)</f>
        <v>98.232805801237291</v>
      </c>
      <c r="AA415" s="97">
        <f>('TE BE'!$AB$6+'TE BF'!$AB$6+'TE CVA'!$AB$6)*1*(1-0.02)</f>
        <v>215.01557219628384</v>
      </c>
      <c r="AB415" s="6">
        <f>$K$415*$V$415</f>
        <v>0</v>
      </c>
      <c r="AC415" s="6">
        <f>$M$415*$W$415</f>
        <v>24.246028800000005</v>
      </c>
      <c r="AD415" s="6">
        <f>$O$415*$X$415</f>
        <v>75.899808000000007</v>
      </c>
      <c r="AE415" s="6">
        <f>$K$415*$Y$415</f>
        <v>0</v>
      </c>
      <c r="AF415" s="6">
        <f ca="1">$M$415*$Z$415</f>
        <v>31.532730662197171</v>
      </c>
      <c r="AG415" s="6">
        <f>$O$415*$AA$415</f>
        <v>69.019998675007116</v>
      </c>
    </row>
    <row r="416" spans="1:33" ht="11.25" customHeight="1" x14ac:dyDescent="0.25">
      <c r="A416" s="4" t="s">
        <v>21</v>
      </c>
      <c r="B416" s="4" t="s">
        <v>38</v>
      </c>
      <c r="C416" s="4" t="s">
        <v>40</v>
      </c>
      <c r="D416" s="4" t="s">
        <v>43</v>
      </c>
      <c r="E416" s="4" t="s">
        <v>51</v>
      </c>
      <c r="F416" s="4" t="s">
        <v>25</v>
      </c>
      <c r="G416" s="4" t="s">
        <v>25</v>
      </c>
      <c r="H416" s="4" t="s">
        <v>34</v>
      </c>
      <c r="I416" s="5">
        <v>44682</v>
      </c>
      <c r="J416" s="6">
        <v>0</v>
      </c>
      <c r="K416" s="97">
        <v>0</v>
      </c>
      <c r="L416" s="6">
        <v>15.609</v>
      </c>
      <c r="M416" s="97">
        <v>15.609</v>
      </c>
      <c r="N416" s="6">
        <v>15.609</v>
      </c>
      <c r="O416" s="97">
        <v>15.609</v>
      </c>
      <c r="P416" s="6">
        <v>0</v>
      </c>
      <c r="Q416" s="4" t="s">
        <v>26</v>
      </c>
      <c r="R416" s="4">
        <v>0</v>
      </c>
      <c r="S416" s="6">
        <v>0</v>
      </c>
      <c r="T416" s="6">
        <v>14</v>
      </c>
      <c r="U416" s="6">
        <v>42</v>
      </c>
      <c r="V416" s="97">
        <f>IF(ISERROR(VLOOKUP($S$416,'TAR FIN'!$A$1:$O$86,15,0)),0,VLOOKUP($S$416,'TAR FIN'!$A$1:$O$86,15,0))</f>
        <v>0</v>
      </c>
      <c r="W416" s="97">
        <f>IF(ISERROR(VLOOKUP($T$416,'TAR FIN'!$A$1:$O$86,15,0)),0,VLOOKUP($T$416,'TAR FIN'!$A$1:$O$86,15,0))*(1-0.04)</f>
        <v>75.532800000000009</v>
      </c>
      <c r="X416" s="97">
        <f>IF(ISERROR(VLOOKUP($U$416,'TAR FIN'!$A$1:$O$86,15,0)),0,VLOOKUP($U$416,'TAR FIN'!$A$1:$O$86,15,0))*(1-0.04)</f>
        <v>236.44800000000001</v>
      </c>
      <c r="Y416" s="97"/>
      <c r="Z416" s="97">
        <f ca="1">('TUSD BE'!$AM$13+'TUSD BF'!$AM$13+'TUSD CVA'!$AM$13)*1*(1-0.02)</f>
        <v>98.232805801237291</v>
      </c>
      <c r="AA416" s="97">
        <f>('TE BE'!$AB$6+'TE BF'!$AB$6+'TE CVA'!$AB$6)*1*(1-0.02)</f>
        <v>215.01557219628384</v>
      </c>
      <c r="AB416" s="6">
        <f>$K$416*$V$416</f>
        <v>0</v>
      </c>
      <c r="AC416" s="6">
        <f>$M$416*$W$416</f>
        <v>1178.9914752000002</v>
      </c>
      <c r="AD416" s="6">
        <f>$O$416*$X$416</f>
        <v>3690.7168320000001</v>
      </c>
      <c r="AE416" s="6">
        <f>$K$416*$Y$416</f>
        <v>0</v>
      </c>
      <c r="AF416" s="6">
        <f ca="1">$M$416*$Z$416</f>
        <v>1533.3158657515128</v>
      </c>
      <c r="AG416" s="6">
        <f>$O$416*$AA$416</f>
        <v>3356.1780664117946</v>
      </c>
    </row>
    <row r="417" spans="1:33" ht="11.25" customHeight="1" x14ac:dyDescent="0.25">
      <c r="A417" s="4" t="s">
        <v>55</v>
      </c>
      <c r="B417" s="4" t="s">
        <v>38</v>
      </c>
      <c r="C417" s="4" t="s">
        <v>40</v>
      </c>
      <c r="D417" s="4" t="s">
        <v>43</v>
      </c>
      <c r="E417" s="4" t="s">
        <v>51</v>
      </c>
      <c r="F417" s="4" t="s">
        <v>25</v>
      </c>
      <c r="G417" s="4" t="s">
        <v>25</v>
      </c>
      <c r="H417" s="4" t="s">
        <v>34</v>
      </c>
      <c r="I417" s="5">
        <v>44682</v>
      </c>
      <c r="J417" s="6">
        <v>0</v>
      </c>
      <c r="K417" s="97">
        <v>0</v>
      </c>
      <c r="L417" s="6">
        <v>0.33300000000000002</v>
      </c>
      <c r="M417" s="97">
        <v>0.33300000000000002</v>
      </c>
      <c r="N417" s="6">
        <v>0.33300000000000002</v>
      </c>
      <c r="O417" s="97">
        <v>0.33300000000000002</v>
      </c>
      <c r="P417" s="6">
        <v>0</v>
      </c>
      <c r="Q417" s="4" t="s">
        <v>26</v>
      </c>
      <c r="R417" s="4">
        <v>0</v>
      </c>
      <c r="S417" s="6">
        <v>0</v>
      </c>
      <c r="T417" s="6">
        <v>14</v>
      </c>
      <c r="U417" s="6">
        <v>42</v>
      </c>
      <c r="V417" s="97">
        <f>IF(ISERROR(VLOOKUP($S$417,'TAR FIN'!$A$1:$O$86,15,0)),0,VLOOKUP($S$417,'TAR FIN'!$A$1:$O$86,15,0))</f>
        <v>0</v>
      </c>
      <c r="W417" s="97">
        <f>IF(ISERROR(VLOOKUP($T$417,'TAR FIN'!$A$1:$O$86,15,0)),0,VLOOKUP($T$417,'TAR FIN'!$A$1:$O$86,15,0))*(1-0.04)</f>
        <v>75.532800000000009</v>
      </c>
      <c r="X417" s="97">
        <f>IF(ISERROR(VLOOKUP($U$417,'TAR FIN'!$A$1:$O$86,15,0)),0,VLOOKUP($U$417,'TAR FIN'!$A$1:$O$86,15,0))*(1-0.04)</f>
        <v>236.44800000000001</v>
      </c>
      <c r="Y417" s="97"/>
      <c r="Z417" s="97">
        <f ca="1">('TUSD BE'!$AM$13+'TUSD BF'!$AM$13+'TUSD CVA'!$AM$13)*1*(1-0.02)</f>
        <v>98.232805801237291</v>
      </c>
      <c r="AA417" s="97">
        <f>('TE BE'!$AB$6+'TE BF'!$AB$6+'TE CVA'!$AB$6)*1*(1-0.02)</f>
        <v>215.01557219628384</v>
      </c>
      <c r="AB417" s="6">
        <f>$K$417*$V$417</f>
        <v>0</v>
      </c>
      <c r="AC417" s="6">
        <f>$M$417*$W$417</f>
        <v>25.152422400000006</v>
      </c>
      <c r="AD417" s="6">
        <f>$O$417*$X$417</f>
        <v>78.737184000000013</v>
      </c>
      <c r="AE417" s="6">
        <f>$K$417*$Y$417</f>
        <v>0</v>
      </c>
      <c r="AF417" s="6">
        <f ca="1">$M$417*$Z$417</f>
        <v>32.711524331812022</v>
      </c>
      <c r="AG417" s="6">
        <f>$O$417*$AA$417</f>
        <v>71.600185541362521</v>
      </c>
    </row>
    <row r="418" spans="1:33" ht="11.25" customHeight="1" x14ac:dyDescent="0.25">
      <c r="A418" s="4" t="s">
        <v>56</v>
      </c>
      <c r="B418" s="4" t="s">
        <v>38</v>
      </c>
      <c r="C418" s="4" t="s">
        <v>40</v>
      </c>
      <c r="D418" s="4" t="s">
        <v>43</v>
      </c>
      <c r="E418" s="4" t="s">
        <v>51</v>
      </c>
      <c r="F418" s="4" t="s">
        <v>25</v>
      </c>
      <c r="G418" s="4" t="s">
        <v>25</v>
      </c>
      <c r="H418" s="4" t="s">
        <v>34</v>
      </c>
      <c r="I418" s="5">
        <v>44713</v>
      </c>
      <c r="J418" s="6">
        <v>0</v>
      </c>
      <c r="K418" s="97">
        <v>0</v>
      </c>
      <c r="L418" s="6">
        <v>15.609</v>
      </c>
      <c r="M418" s="97">
        <v>15.609</v>
      </c>
      <c r="N418" s="6">
        <v>15.609</v>
      </c>
      <c r="O418" s="97">
        <v>15.609</v>
      </c>
      <c r="P418" s="6">
        <v>0</v>
      </c>
      <c r="Q418" s="4" t="s">
        <v>26</v>
      </c>
      <c r="R418" s="4">
        <v>0</v>
      </c>
      <c r="S418" s="6">
        <v>0</v>
      </c>
      <c r="T418" s="6">
        <v>14</v>
      </c>
      <c r="U418" s="6">
        <v>42</v>
      </c>
      <c r="V418" s="97">
        <f>IF(ISERROR(VLOOKUP($S$418,'TAR FIN'!$A$1:$O$86,15,0)),0,VLOOKUP($S$418,'TAR FIN'!$A$1:$O$86,15,0))</f>
        <v>0</v>
      </c>
      <c r="W418" s="97">
        <f>IF(ISERROR(VLOOKUP($T$418,'TAR FIN'!$A$1:$O$86,15,0)),0,VLOOKUP($T$418,'TAR FIN'!$A$1:$O$86,15,0))*(1-0.04)</f>
        <v>75.532800000000009</v>
      </c>
      <c r="X418" s="97">
        <f>IF(ISERROR(VLOOKUP($U$418,'TAR FIN'!$A$1:$O$86,15,0)),0,VLOOKUP($U$418,'TAR FIN'!$A$1:$O$86,15,0))*(1-0.04)</f>
        <v>236.44800000000001</v>
      </c>
      <c r="Y418" s="97"/>
      <c r="Z418" s="97">
        <f ca="1">('TUSD BE'!$AM$13+'TUSD BF'!$AM$13+'TUSD CVA'!$AM$13)*1*(1-0.02)</f>
        <v>98.232805801237291</v>
      </c>
      <c r="AA418" s="97">
        <f>('TE BE'!$AB$6+'TE BF'!$AB$6+'TE CVA'!$AB$6)*1*(1-0.02)</f>
        <v>215.01557219628384</v>
      </c>
      <c r="AB418" s="6">
        <f>$K$418*$V$418</f>
        <v>0</v>
      </c>
      <c r="AC418" s="6">
        <f>$M$418*$W$418</f>
        <v>1178.9914752000002</v>
      </c>
      <c r="AD418" s="6">
        <f>$O$418*$X$418</f>
        <v>3690.7168320000001</v>
      </c>
      <c r="AE418" s="6">
        <f>$K$418*$Y$418</f>
        <v>0</v>
      </c>
      <c r="AF418" s="6">
        <f ca="1">$M$418*$Z$418</f>
        <v>1533.3158657515128</v>
      </c>
      <c r="AG418" s="6">
        <f>$O$418*$AA$418</f>
        <v>3356.1780664117946</v>
      </c>
    </row>
    <row r="419" spans="1:33" ht="11.25" customHeight="1" x14ac:dyDescent="0.25">
      <c r="A419" s="4" t="s">
        <v>56</v>
      </c>
      <c r="B419" s="4" t="s">
        <v>38</v>
      </c>
      <c r="C419" s="4" t="s">
        <v>40</v>
      </c>
      <c r="D419" s="4" t="s">
        <v>43</v>
      </c>
      <c r="E419" s="4" t="s">
        <v>51</v>
      </c>
      <c r="F419" s="4" t="s">
        <v>25</v>
      </c>
      <c r="G419" s="4" t="s">
        <v>25</v>
      </c>
      <c r="H419" s="4" t="s">
        <v>34</v>
      </c>
      <c r="I419" s="5">
        <v>44713</v>
      </c>
      <c r="J419" s="6">
        <v>0</v>
      </c>
      <c r="K419" s="97">
        <v>0</v>
      </c>
      <c r="L419" s="6">
        <v>0.33300000000000002</v>
      </c>
      <c r="M419" s="97">
        <v>0.33300000000000002</v>
      </c>
      <c r="N419" s="6">
        <v>0.33300000000000002</v>
      </c>
      <c r="O419" s="97">
        <v>0.33300000000000002</v>
      </c>
      <c r="P419" s="6">
        <v>0</v>
      </c>
      <c r="Q419" s="4" t="s">
        <v>26</v>
      </c>
      <c r="R419" s="4">
        <v>0</v>
      </c>
      <c r="S419" s="6">
        <v>0</v>
      </c>
      <c r="T419" s="6">
        <v>14</v>
      </c>
      <c r="U419" s="6">
        <v>42</v>
      </c>
      <c r="V419" s="97">
        <f>IF(ISERROR(VLOOKUP($S$419,'TAR FIN'!$A$1:$O$86,15,0)),0,VLOOKUP($S$419,'TAR FIN'!$A$1:$O$86,15,0))</f>
        <v>0</v>
      </c>
      <c r="W419" s="97">
        <f>IF(ISERROR(VLOOKUP($T$419,'TAR FIN'!$A$1:$O$86,15,0)),0,VLOOKUP($T$419,'TAR FIN'!$A$1:$O$86,15,0))*(1-0.04)</f>
        <v>75.532800000000009</v>
      </c>
      <c r="X419" s="97">
        <f>IF(ISERROR(VLOOKUP($U$419,'TAR FIN'!$A$1:$O$86,15,0)),0,VLOOKUP($U$419,'TAR FIN'!$A$1:$O$86,15,0))*(1-0.04)</f>
        <v>236.44800000000001</v>
      </c>
      <c r="Y419" s="97"/>
      <c r="Z419" s="97">
        <f ca="1">('TUSD BE'!$AM$13+'TUSD BF'!$AM$13+'TUSD CVA'!$AM$13)*1*(1-0.02)</f>
        <v>98.232805801237291</v>
      </c>
      <c r="AA419" s="97">
        <f>('TE BE'!$AB$6+'TE BF'!$AB$6+'TE CVA'!$AB$6)*1*(1-0.02)</f>
        <v>215.01557219628384</v>
      </c>
      <c r="AB419" s="6">
        <f>$K$419*$V$419</f>
        <v>0</v>
      </c>
      <c r="AC419" s="6">
        <f>$M$419*$W$419</f>
        <v>25.152422400000006</v>
      </c>
      <c r="AD419" s="6">
        <f>$O$419*$X$419</f>
        <v>78.737184000000013</v>
      </c>
      <c r="AE419" s="6">
        <f>$K$419*$Y$419</f>
        <v>0</v>
      </c>
      <c r="AF419" s="6">
        <f ca="1">$M$419*$Z$419</f>
        <v>32.711524331812022</v>
      </c>
      <c r="AG419" s="6">
        <f>$O$419*$AA$419</f>
        <v>71.600185541362521</v>
      </c>
    </row>
    <row r="420" spans="1:33" ht="11.25" customHeight="1" x14ac:dyDescent="0.25">
      <c r="A420" s="4" t="s">
        <v>21</v>
      </c>
      <c r="B420" s="4" t="s">
        <v>38</v>
      </c>
      <c r="C420" s="4" t="s">
        <v>40</v>
      </c>
      <c r="D420" s="4" t="s">
        <v>43</v>
      </c>
      <c r="E420" s="4" t="s">
        <v>51</v>
      </c>
      <c r="F420" s="4" t="s">
        <v>25</v>
      </c>
      <c r="G420" s="4" t="s">
        <v>25</v>
      </c>
      <c r="H420" s="4" t="s">
        <v>25</v>
      </c>
      <c r="I420" s="5">
        <v>44378</v>
      </c>
      <c r="J420" s="6">
        <v>450</v>
      </c>
      <c r="K420" s="97">
        <v>450</v>
      </c>
      <c r="L420" s="6">
        <v>0</v>
      </c>
      <c r="M420" s="97">
        <v>0</v>
      </c>
      <c r="N420" s="6">
        <v>0</v>
      </c>
      <c r="O420" s="97">
        <v>0</v>
      </c>
      <c r="P420" s="6">
        <v>8</v>
      </c>
      <c r="Q420" s="4" t="s">
        <v>26</v>
      </c>
      <c r="R420" s="4">
        <v>0</v>
      </c>
      <c r="S420" s="6">
        <v>18</v>
      </c>
      <c r="T420" s="6">
        <v>0</v>
      </c>
      <c r="U420" s="6">
        <v>0</v>
      </c>
      <c r="V420" s="97">
        <f>IF(ISERROR(VLOOKUP($S$420,'TAR FIN'!$A$1:$O$86,15,0)),0,VLOOKUP($S$420,'TAR FIN'!$A$1:$O$86,15,0))*(1-0.04)</f>
        <v>18.470399999999998</v>
      </c>
      <c r="W420" s="97">
        <f>IF(ISERROR(VLOOKUP($T$420,'TAR FIN'!$A$1:$O$86,15,0)),0,VLOOKUP($T$420,'TAR FIN'!$A$1:$O$86,15,0))</f>
        <v>0</v>
      </c>
      <c r="X420" s="97">
        <f>IF(ISERROR(VLOOKUP($U$420,'TAR FIN'!$A$1:$O$86,15,0)),0,VLOOKUP($U$420,'TAR FIN'!$A$1:$O$86,15,0))</f>
        <v>0</v>
      </c>
      <c r="Y420" s="97">
        <f ca="1">('TUSD BE'!$AM$11+'TUSD BF'!$AM$11+'TUSD CVA'!$AM$11)*1*(1-0.02)</f>
        <v>14.889098762306169</v>
      </c>
      <c r="Z420" s="97"/>
      <c r="AA420" s="97"/>
      <c r="AB420" s="6">
        <f>$K$420*$V$420</f>
        <v>8311.6799999999985</v>
      </c>
      <c r="AC420" s="6">
        <f>$M$420*$W$420</f>
        <v>0</v>
      </c>
      <c r="AD420" s="6">
        <f>$O$420*$X$420</f>
        <v>0</v>
      </c>
      <c r="AE420" s="6">
        <f ca="1">$K$420*$Y$420</f>
        <v>6700.0944430377758</v>
      </c>
      <c r="AF420" s="6">
        <f>$M$420*$Z$420</f>
        <v>0</v>
      </c>
      <c r="AG420" s="6">
        <f>$O$420*$AA$420</f>
        <v>0</v>
      </c>
    </row>
    <row r="421" spans="1:33" ht="11.25" customHeight="1" x14ac:dyDescent="0.25">
      <c r="A421" s="4" t="s">
        <v>21</v>
      </c>
      <c r="B421" s="4" t="s">
        <v>38</v>
      </c>
      <c r="C421" s="4" t="s">
        <v>40</v>
      </c>
      <c r="D421" s="4" t="s">
        <v>43</v>
      </c>
      <c r="E421" s="4" t="s">
        <v>51</v>
      </c>
      <c r="F421" s="4" t="s">
        <v>25</v>
      </c>
      <c r="G421" s="4" t="s">
        <v>25</v>
      </c>
      <c r="H421" s="4" t="s">
        <v>25</v>
      </c>
      <c r="I421" s="5">
        <v>44409</v>
      </c>
      <c r="J421" s="6">
        <v>628</v>
      </c>
      <c r="K421" s="97">
        <v>628</v>
      </c>
      <c r="L421" s="6">
        <v>0</v>
      </c>
      <c r="M421" s="97">
        <v>0</v>
      </c>
      <c r="N421" s="6">
        <v>0</v>
      </c>
      <c r="O421" s="97">
        <v>0</v>
      </c>
      <c r="P421" s="6">
        <v>8</v>
      </c>
      <c r="Q421" s="4" t="s">
        <v>26</v>
      </c>
      <c r="R421" s="4">
        <v>0</v>
      </c>
      <c r="S421" s="6">
        <v>18</v>
      </c>
      <c r="T421" s="6">
        <v>0</v>
      </c>
      <c r="U421" s="6">
        <v>0</v>
      </c>
      <c r="V421" s="97">
        <f>IF(ISERROR(VLOOKUP($S$421,'TAR FIN'!$A$1:$O$86,15,0)),0,VLOOKUP($S$421,'TAR FIN'!$A$1:$O$86,15,0))*(1-0.04)</f>
        <v>18.470399999999998</v>
      </c>
      <c r="W421" s="97">
        <f>IF(ISERROR(VLOOKUP($T$421,'TAR FIN'!$A$1:$O$86,15,0)),0,VLOOKUP($T$421,'TAR FIN'!$A$1:$O$86,15,0))</f>
        <v>0</v>
      </c>
      <c r="X421" s="97">
        <f>IF(ISERROR(VLOOKUP($U$421,'TAR FIN'!$A$1:$O$86,15,0)),0,VLOOKUP($U$421,'TAR FIN'!$A$1:$O$86,15,0))</f>
        <v>0</v>
      </c>
      <c r="Y421" s="97">
        <f ca="1">('TUSD BE'!$AM$11+'TUSD BF'!$AM$11+'TUSD CVA'!$AM$11)*1*(1-0.02)</f>
        <v>14.889098762306169</v>
      </c>
      <c r="Z421" s="97"/>
      <c r="AA421" s="97"/>
      <c r="AB421" s="6">
        <f>$K$421*$V$421</f>
        <v>11599.411199999999</v>
      </c>
      <c r="AC421" s="6">
        <f>$M$421*$W$421</f>
        <v>0</v>
      </c>
      <c r="AD421" s="6">
        <f>$O$421*$X$421</f>
        <v>0</v>
      </c>
      <c r="AE421" s="6">
        <f ca="1">$K$421*$Y$421</f>
        <v>9350.3540227282738</v>
      </c>
      <c r="AF421" s="6">
        <f>$M$421*$Z$421</f>
        <v>0</v>
      </c>
      <c r="AG421" s="6">
        <f>$O$421*$AA$421</f>
        <v>0</v>
      </c>
    </row>
    <row r="422" spans="1:33" ht="11.25" customHeight="1" x14ac:dyDescent="0.25">
      <c r="A422" s="4" t="s">
        <v>55</v>
      </c>
      <c r="B422" s="4" t="s">
        <v>38</v>
      </c>
      <c r="C422" s="4" t="s">
        <v>40</v>
      </c>
      <c r="D422" s="4" t="s">
        <v>43</v>
      </c>
      <c r="E422" s="4" t="s">
        <v>51</v>
      </c>
      <c r="F422" s="4" t="s">
        <v>25</v>
      </c>
      <c r="G422" s="4" t="s">
        <v>25</v>
      </c>
      <c r="H422" s="4" t="s">
        <v>25</v>
      </c>
      <c r="I422" s="5">
        <v>44409</v>
      </c>
      <c r="J422" s="6">
        <v>31</v>
      </c>
      <c r="K422" s="97">
        <v>31</v>
      </c>
      <c r="L422" s="6">
        <v>0</v>
      </c>
      <c r="M422" s="97">
        <v>0</v>
      </c>
      <c r="N422" s="6">
        <v>0</v>
      </c>
      <c r="O422" s="97">
        <v>0</v>
      </c>
      <c r="P422" s="6">
        <v>1</v>
      </c>
      <c r="Q422" s="4" t="s">
        <v>26</v>
      </c>
      <c r="R422" s="4">
        <v>0</v>
      </c>
      <c r="S422" s="6">
        <v>18</v>
      </c>
      <c r="T422" s="6">
        <v>0</v>
      </c>
      <c r="U422" s="6">
        <v>0</v>
      </c>
      <c r="V422" s="97">
        <f>IF(ISERROR(VLOOKUP($S$422,'TAR FIN'!$A$1:$O$86,15,0)),0,VLOOKUP($S$422,'TAR FIN'!$A$1:$O$86,15,0))*(1-0.04)</f>
        <v>18.470399999999998</v>
      </c>
      <c r="W422" s="97">
        <f>IF(ISERROR(VLOOKUP($T$422,'TAR FIN'!$A$1:$O$86,15,0)),0,VLOOKUP($T$422,'TAR FIN'!$A$1:$O$86,15,0))</f>
        <v>0</v>
      </c>
      <c r="X422" s="97">
        <f>IF(ISERROR(VLOOKUP($U$422,'TAR FIN'!$A$1:$O$86,15,0)),0,VLOOKUP($U$422,'TAR FIN'!$A$1:$O$86,15,0))</f>
        <v>0</v>
      </c>
      <c r="Y422" s="97">
        <f ca="1">('TUSD BE'!$AM$11+'TUSD BF'!$AM$11+'TUSD CVA'!$AM$11)*1*(1-0.02)</f>
        <v>14.889098762306169</v>
      </c>
      <c r="Z422" s="97"/>
      <c r="AA422" s="97"/>
      <c r="AB422" s="6">
        <f>$K$422*$V$422</f>
        <v>572.58239999999989</v>
      </c>
      <c r="AC422" s="6">
        <f>$M$422*$W$422</f>
        <v>0</v>
      </c>
      <c r="AD422" s="6">
        <f>$O$422*$X$422</f>
        <v>0</v>
      </c>
      <c r="AE422" s="6">
        <f ca="1">$K$422*$Y$422</f>
        <v>461.56206163149125</v>
      </c>
      <c r="AF422" s="6">
        <f>$M$422*$Z$422</f>
        <v>0</v>
      </c>
      <c r="AG422" s="6">
        <f>$O$422*$AA$422</f>
        <v>0</v>
      </c>
    </row>
    <row r="423" spans="1:33" ht="11.25" customHeight="1" x14ac:dyDescent="0.25">
      <c r="A423" s="4" t="s">
        <v>21</v>
      </c>
      <c r="B423" s="4" t="s">
        <v>38</v>
      </c>
      <c r="C423" s="4" t="s">
        <v>40</v>
      </c>
      <c r="D423" s="4" t="s">
        <v>43</v>
      </c>
      <c r="E423" s="4" t="s">
        <v>51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759</v>
      </c>
      <c r="K423" s="97">
        <v>759</v>
      </c>
      <c r="L423" s="6">
        <v>0</v>
      </c>
      <c r="M423" s="97">
        <v>0</v>
      </c>
      <c r="N423" s="6">
        <v>0</v>
      </c>
      <c r="O423" s="97">
        <v>0</v>
      </c>
      <c r="P423" s="6">
        <v>8</v>
      </c>
      <c r="Q423" s="4" t="s">
        <v>26</v>
      </c>
      <c r="R423" s="4">
        <v>0</v>
      </c>
      <c r="S423" s="6">
        <v>18</v>
      </c>
      <c r="T423" s="6">
        <v>0</v>
      </c>
      <c r="U423" s="6">
        <v>0</v>
      </c>
      <c r="V423" s="97">
        <f>IF(ISERROR(VLOOKUP($S$423,'TAR FIN'!$A$1:$O$86,15,0)),0,VLOOKUP($S$423,'TAR FIN'!$A$1:$O$86,15,0))*(1-0.04)</f>
        <v>18.470399999999998</v>
      </c>
      <c r="W423" s="97">
        <f>IF(ISERROR(VLOOKUP($T$423,'TAR FIN'!$A$1:$O$86,15,0)),0,VLOOKUP($T$423,'TAR FIN'!$A$1:$O$86,15,0))</f>
        <v>0</v>
      </c>
      <c r="X423" s="97">
        <f>IF(ISERROR(VLOOKUP($U$423,'TAR FIN'!$A$1:$O$86,15,0)),0,VLOOKUP($U$423,'TAR FIN'!$A$1:$O$86,15,0))</f>
        <v>0</v>
      </c>
      <c r="Y423" s="97">
        <f ca="1">('TUSD BE'!$AM$11+'TUSD BF'!$AM$11+'TUSD CVA'!$AM$11)*1*(1-0.02)</f>
        <v>14.889098762306169</v>
      </c>
      <c r="Z423" s="97"/>
      <c r="AA423" s="97"/>
      <c r="AB423" s="6">
        <f>$K$423*$V$423</f>
        <v>14019.033599999999</v>
      </c>
      <c r="AC423" s="6">
        <f>$M$423*$W$423</f>
        <v>0</v>
      </c>
      <c r="AD423" s="6">
        <f>$O$423*$X$423</f>
        <v>0</v>
      </c>
      <c r="AE423" s="6">
        <f ca="1">$K$423*$Y$423</f>
        <v>11300.825960590382</v>
      </c>
      <c r="AF423" s="6">
        <f>$M$423*$Z$423</f>
        <v>0</v>
      </c>
      <c r="AG423" s="6">
        <f>$O$423*$AA$423</f>
        <v>0</v>
      </c>
    </row>
    <row r="424" spans="1:33" ht="11.25" customHeight="1" x14ac:dyDescent="0.25">
      <c r="A424" s="4" t="s">
        <v>55</v>
      </c>
      <c r="B424" s="4" t="s">
        <v>38</v>
      </c>
      <c r="C424" s="4" t="s">
        <v>40</v>
      </c>
      <c r="D424" s="4" t="s">
        <v>43</v>
      </c>
      <c r="E424" s="4" t="s">
        <v>51</v>
      </c>
      <c r="F424" s="4" t="s">
        <v>25</v>
      </c>
      <c r="G424" s="4" t="s">
        <v>25</v>
      </c>
      <c r="H424" s="4" t="s">
        <v>25</v>
      </c>
      <c r="I424" s="5">
        <v>44440</v>
      </c>
      <c r="J424" s="6">
        <v>131</v>
      </c>
      <c r="K424" s="97">
        <v>131</v>
      </c>
      <c r="L424" s="6">
        <v>0</v>
      </c>
      <c r="M424" s="97">
        <v>0</v>
      </c>
      <c r="N424" s="6">
        <v>0</v>
      </c>
      <c r="O424" s="97">
        <v>0</v>
      </c>
      <c r="P424" s="6">
        <v>1</v>
      </c>
      <c r="Q424" s="4" t="s">
        <v>26</v>
      </c>
      <c r="R424" s="4">
        <v>0</v>
      </c>
      <c r="S424" s="6">
        <v>18</v>
      </c>
      <c r="T424" s="6">
        <v>0</v>
      </c>
      <c r="U424" s="6">
        <v>0</v>
      </c>
      <c r="V424" s="97">
        <f>IF(ISERROR(VLOOKUP($S$424,'TAR FIN'!$A$1:$O$86,15,0)),0,VLOOKUP($S$424,'TAR FIN'!$A$1:$O$86,15,0))*(1-0.04)</f>
        <v>18.470399999999998</v>
      </c>
      <c r="W424" s="97">
        <f>IF(ISERROR(VLOOKUP($T$424,'TAR FIN'!$A$1:$O$86,15,0)),0,VLOOKUP($T$424,'TAR FIN'!$A$1:$O$86,15,0))</f>
        <v>0</v>
      </c>
      <c r="X424" s="97">
        <f>IF(ISERROR(VLOOKUP($U$424,'TAR FIN'!$A$1:$O$86,15,0)),0,VLOOKUP($U$424,'TAR FIN'!$A$1:$O$86,15,0))</f>
        <v>0</v>
      </c>
      <c r="Y424" s="97">
        <f ca="1">('TUSD BE'!$AM$11+'TUSD BF'!$AM$11+'TUSD CVA'!$AM$11)*1*(1-0.02)</f>
        <v>14.889098762306169</v>
      </c>
      <c r="Z424" s="97"/>
      <c r="AA424" s="97"/>
      <c r="AB424" s="6">
        <f>$K$424*$V$424</f>
        <v>2419.6223999999997</v>
      </c>
      <c r="AC424" s="6">
        <f>$M$424*$W$424</f>
        <v>0</v>
      </c>
      <c r="AD424" s="6">
        <f>$O$424*$X$424</f>
        <v>0</v>
      </c>
      <c r="AE424" s="6">
        <f ca="1">$K$424*$Y$424</f>
        <v>1950.4719378621082</v>
      </c>
      <c r="AF424" s="6">
        <f>$M$424*$Z$424</f>
        <v>0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38</v>
      </c>
      <c r="C425" s="4" t="s">
        <v>40</v>
      </c>
      <c r="D425" s="4" t="s">
        <v>43</v>
      </c>
      <c r="E425" s="4" t="s">
        <v>51</v>
      </c>
      <c r="F425" s="4" t="s">
        <v>25</v>
      </c>
      <c r="G425" s="4" t="s">
        <v>25</v>
      </c>
      <c r="H425" s="4" t="s">
        <v>25</v>
      </c>
      <c r="I425" s="5">
        <v>44470</v>
      </c>
      <c r="J425" s="6">
        <v>1132</v>
      </c>
      <c r="K425" s="97">
        <v>1132</v>
      </c>
      <c r="L425" s="6">
        <v>0</v>
      </c>
      <c r="M425" s="97">
        <v>0</v>
      </c>
      <c r="N425" s="6">
        <v>0</v>
      </c>
      <c r="O425" s="97">
        <v>0</v>
      </c>
      <c r="P425" s="6">
        <v>8</v>
      </c>
      <c r="Q425" s="4" t="s">
        <v>26</v>
      </c>
      <c r="R425" s="4">
        <v>0</v>
      </c>
      <c r="S425" s="6">
        <v>18</v>
      </c>
      <c r="T425" s="6">
        <v>0</v>
      </c>
      <c r="U425" s="6">
        <v>0</v>
      </c>
      <c r="V425" s="97">
        <f>IF(ISERROR(VLOOKUP($S$425,'TAR FIN'!$A$1:$O$86,15,0)),0,VLOOKUP($S$425,'TAR FIN'!$A$1:$O$86,15,0))*(1-0.04)</f>
        <v>18.470399999999998</v>
      </c>
      <c r="W425" s="97">
        <f>IF(ISERROR(VLOOKUP($T$425,'TAR FIN'!$A$1:$O$86,15,0)),0,VLOOKUP($T$425,'TAR FIN'!$A$1:$O$86,15,0))</f>
        <v>0</v>
      </c>
      <c r="X425" s="97">
        <f>IF(ISERROR(VLOOKUP($U$425,'TAR FIN'!$A$1:$O$86,15,0)),0,VLOOKUP($U$425,'TAR FIN'!$A$1:$O$86,15,0))</f>
        <v>0</v>
      </c>
      <c r="Y425" s="97">
        <f ca="1">('TUSD BE'!$AM$11+'TUSD BF'!$AM$11+'TUSD CVA'!$AM$11)*1*(1-0.02)</f>
        <v>14.889098762306169</v>
      </c>
      <c r="Z425" s="97"/>
      <c r="AA425" s="97"/>
      <c r="AB425" s="6">
        <f>$K$425*$V$425</f>
        <v>20908.492799999996</v>
      </c>
      <c r="AC425" s="6">
        <f>$M$425*$W$425</f>
        <v>0</v>
      </c>
      <c r="AD425" s="6">
        <f>$O$425*$X$425</f>
        <v>0</v>
      </c>
      <c r="AE425" s="6">
        <f ca="1">$K$425*$Y$425</f>
        <v>16854.459798930584</v>
      </c>
      <c r="AF425" s="6">
        <f>$M$425*$Z$425</f>
        <v>0</v>
      </c>
      <c r="AG425" s="6">
        <f>$O$425*$AA$425</f>
        <v>0</v>
      </c>
    </row>
    <row r="426" spans="1:33" ht="11.25" customHeight="1" x14ac:dyDescent="0.25">
      <c r="A426" s="4" t="s">
        <v>55</v>
      </c>
      <c r="B426" s="4" t="s">
        <v>38</v>
      </c>
      <c r="C426" s="4" t="s">
        <v>40</v>
      </c>
      <c r="D426" s="4" t="s">
        <v>43</v>
      </c>
      <c r="E426" s="4" t="s">
        <v>51</v>
      </c>
      <c r="F426" s="4" t="s">
        <v>25</v>
      </c>
      <c r="G426" s="4" t="s">
        <v>25</v>
      </c>
      <c r="H426" s="4" t="s">
        <v>25</v>
      </c>
      <c r="I426" s="5">
        <v>44470</v>
      </c>
      <c r="J426" s="6">
        <v>251</v>
      </c>
      <c r="K426" s="97">
        <v>251</v>
      </c>
      <c r="L426" s="6">
        <v>0</v>
      </c>
      <c r="M426" s="97">
        <v>0</v>
      </c>
      <c r="N426" s="6">
        <v>0</v>
      </c>
      <c r="O426" s="97">
        <v>0</v>
      </c>
      <c r="P426" s="6">
        <v>1</v>
      </c>
      <c r="Q426" s="4" t="s">
        <v>26</v>
      </c>
      <c r="R426" s="4">
        <v>0</v>
      </c>
      <c r="S426" s="6">
        <v>18</v>
      </c>
      <c r="T426" s="6">
        <v>0</v>
      </c>
      <c r="U426" s="6">
        <v>0</v>
      </c>
      <c r="V426" s="97">
        <f>IF(ISERROR(VLOOKUP($S$426,'TAR FIN'!$A$1:$O$86,15,0)),0,VLOOKUP($S$426,'TAR FIN'!$A$1:$O$86,15,0))*(1-0.04)</f>
        <v>18.470399999999998</v>
      </c>
      <c r="W426" s="97">
        <f>IF(ISERROR(VLOOKUP($T$426,'TAR FIN'!$A$1:$O$86,15,0)),0,VLOOKUP($T$426,'TAR FIN'!$A$1:$O$86,15,0))</f>
        <v>0</v>
      </c>
      <c r="X426" s="97">
        <f>IF(ISERROR(VLOOKUP($U$426,'TAR FIN'!$A$1:$O$86,15,0)),0,VLOOKUP($U$426,'TAR FIN'!$A$1:$O$86,15,0))</f>
        <v>0</v>
      </c>
      <c r="Y426" s="97">
        <f ca="1">('TUSD BE'!$AM$11+'TUSD BF'!$AM$11+'TUSD CVA'!$AM$11)*1*(1-0.02)</f>
        <v>14.889098762306169</v>
      </c>
      <c r="Z426" s="97"/>
      <c r="AA426" s="97"/>
      <c r="AB426" s="6">
        <f>$K$426*$V$426</f>
        <v>4636.0703999999996</v>
      </c>
      <c r="AC426" s="6">
        <f>$M$426*$W$426</f>
        <v>0</v>
      </c>
      <c r="AD426" s="6">
        <f>$O$426*$X$426</f>
        <v>0</v>
      </c>
      <c r="AE426" s="6">
        <f ca="1">$K$426*$Y$426</f>
        <v>3737.1637893388483</v>
      </c>
      <c r="AF426" s="6">
        <f>$M$426*$Z$426</f>
        <v>0</v>
      </c>
      <c r="AG426" s="6">
        <f>$O$426*$AA$426</f>
        <v>0</v>
      </c>
    </row>
    <row r="427" spans="1:33" ht="11.25" customHeight="1" x14ac:dyDescent="0.25">
      <c r="A427" s="4" t="s">
        <v>21</v>
      </c>
      <c r="B427" s="4" t="s">
        <v>38</v>
      </c>
      <c r="C427" s="4" t="s">
        <v>40</v>
      </c>
      <c r="D427" s="4" t="s">
        <v>43</v>
      </c>
      <c r="E427" s="4" t="s">
        <v>51</v>
      </c>
      <c r="F427" s="4" t="s">
        <v>25</v>
      </c>
      <c r="G427" s="4" t="s">
        <v>25</v>
      </c>
      <c r="H427" s="4" t="s">
        <v>25</v>
      </c>
      <c r="I427" s="5">
        <v>44501</v>
      </c>
      <c r="J427" s="6">
        <v>2857</v>
      </c>
      <c r="K427" s="97">
        <v>2857</v>
      </c>
      <c r="L427" s="6">
        <v>0</v>
      </c>
      <c r="M427" s="97">
        <v>0</v>
      </c>
      <c r="N427" s="6">
        <v>0</v>
      </c>
      <c r="O427" s="97">
        <v>0</v>
      </c>
      <c r="P427" s="6">
        <v>8</v>
      </c>
      <c r="Q427" s="4" t="s">
        <v>26</v>
      </c>
      <c r="R427" s="4">
        <v>0</v>
      </c>
      <c r="S427" s="6">
        <v>18</v>
      </c>
      <c r="T427" s="6">
        <v>0</v>
      </c>
      <c r="U427" s="6">
        <v>0</v>
      </c>
      <c r="V427" s="97">
        <f>IF(ISERROR(VLOOKUP($S$427,'TAR FIN'!$A$1:$O$86,15,0)),0,VLOOKUP($S$427,'TAR FIN'!$A$1:$O$86,15,0))*(1-0.04)</f>
        <v>18.470399999999998</v>
      </c>
      <c r="W427" s="97">
        <f>IF(ISERROR(VLOOKUP($T$427,'TAR FIN'!$A$1:$O$86,15,0)),0,VLOOKUP($T$427,'TAR FIN'!$A$1:$O$86,15,0))</f>
        <v>0</v>
      </c>
      <c r="X427" s="97">
        <f>IF(ISERROR(VLOOKUP($U$427,'TAR FIN'!$A$1:$O$86,15,0)),0,VLOOKUP($U$427,'TAR FIN'!$A$1:$O$86,15,0))</f>
        <v>0</v>
      </c>
      <c r="Y427" s="97">
        <f ca="1">('TUSD BE'!$AM$11+'TUSD BF'!$AM$11+'TUSD CVA'!$AM$11)*1*(1-0.02)</f>
        <v>14.889098762306169</v>
      </c>
      <c r="Z427" s="97"/>
      <c r="AA427" s="97"/>
      <c r="AB427" s="6">
        <f>$K$427*$V$427</f>
        <v>52769.932799999995</v>
      </c>
      <c r="AC427" s="6">
        <f>$M$427*$W$427</f>
        <v>0</v>
      </c>
      <c r="AD427" s="6">
        <f>$O$427*$X$427</f>
        <v>0</v>
      </c>
      <c r="AE427" s="6">
        <f ca="1">$K$427*$Y$427</f>
        <v>42538.155163908727</v>
      </c>
      <c r="AF427" s="6">
        <f>$M$427*$Z$427</f>
        <v>0</v>
      </c>
      <c r="AG427" s="6">
        <f>$O$427*$AA$427</f>
        <v>0</v>
      </c>
    </row>
    <row r="428" spans="1:33" ht="11.25" customHeight="1" x14ac:dyDescent="0.25">
      <c r="A428" s="4" t="s">
        <v>55</v>
      </c>
      <c r="B428" s="4" t="s">
        <v>38</v>
      </c>
      <c r="C428" s="4" t="s">
        <v>40</v>
      </c>
      <c r="D428" s="4" t="s">
        <v>43</v>
      </c>
      <c r="E428" s="4" t="s">
        <v>51</v>
      </c>
      <c r="F428" s="4" t="s">
        <v>25</v>
      </c>
      <c r="G428" s="4" t="s">
        <v>25</v>
      </c>
      <c r="H428" s="4" t="s">
        <v>25</v>
      </c>
      <c r="I428" s="5">
        <v>44501</v>
      </c>
      <c r="J428" s="6">
        <v>259</v>
      </c>
      <c r="K428" s="97">
        <v>259</v>
      </c>
      <c r="L428" s="6">
        <v>0</v>
      </c>
      <c r="M428" s="97">
        <v>0</v>
      </c>
      <c r="N428" s="6">
        <v>0</v>
      </c>
      <c r="O428" s="97">
        <v>0</v>
      </c>
      <c r="P428" s="6">
        <v>1</v>
      </c>
      <c r="Q428" s="4" t="s">
        <v>26</v>
      </c>
      <c r="R428" s="4">
        <v>0</v>
      </c>
      <c r="S428" s="6">
        <v>18</v>
      </c>
      <c r="T428" s="6">
        <v>0</v>
      </c>
      <c r="U428" s="6">
        <v>0</v>
      </c>
      <c r="V428" s="97">
        <f>IF(ISERROR(VLOOKUP($S$428,'TAR FIN'!$A$1:$O$86,15,0)),0,VLOOKUP($S$428,'TAR FIN'!$A$1:$O$86,15,0))*(1-0.04)</f>
        <v>18.470399999999998</v>
      </c>
      <c r="W428" s="97">
        <f>IF(ISERROR(VLOOKUP($T$428,'TAR FIN'!$A$1:$O$86,15,0)),0,VLOOKUP($T$428,'TAR FIN'!$A$1:$O$86,15,0))</f>
        <v>0</v>
      </c>
      <c r="X428" s="97">
        <f>IF(ISERROR(VLOOKUP($U$428,'TAR FIN'!$A$1:$O$86,15,0)),0,VLOOKUP($U$428,'TAR FIN'!$A$1:$O$86,15,0))</f>
        <v>0</v>
      </c>
      <c r="Y428" s="97">
        <f ca="1">('TUSD BE'!$AM$11+'TUSD BF'!$AM$11+'TUSD CVA'!$AM$11)*1*(1-0.02)</f>
        <v>14.889098762306169</v>
      </c>
      <c r="Z428" s="97"/>
      <c r="AA428" s="97"/>
      <c r="AB428" s="6">
        <f>$K$428*$V$428</f>
        <v>4783.833599999999</v>
      </c>
      <c r="AC428" s="6">
        <f>$M$428*$W$428</f>
        <v>0</v>
      </c>
      <c r="AD428" s="6">
        <f>$O$428*$X$428</f>
        <v>0</v>
      </c>
      <c r="AE428" s="6">
        <f ca="1">$K$428*$Y$428</f>
        <v>3856.2765794372976</v>
      </c>
      <c r="AF428" s="6">
        <f>$M$428*$Z$428</f>
        <v>0</v>
      </c>
      <c r="AG428" s="6">
        <f>$O$428*$AA$428</f>
        <v>0</v>
      </c>
    </row>
    <row r="429" spans="1:33" ht="11.25" customHeight="1" x14ac:dyDescent="0.25">
      <c r="A429" s="4" t="s">
        <v>21</v>
      </c>
      <c r="B429" s="4" t="s">
        <v>38</v>
      </c>
      <c r="C429" s="4" t="s">
        <v>40</v>
      </c>
      <c r="D429" s="4" t="s">
        <v>43</v>
      </c>
      <c r="E429" s="4" t="s">
        <v>51</v>
      </c>
      <c r="F429" s="4" t="s">
        <v>25</v>
      </c>
      <c r="G429" s="4" t="s">
        <v>25</v>
      </c>
      <c r="H429" s="4" t="s">
        <v>25</v>
      </c>
      <c r="I429" s="5">
        <v>44531</v>
      </c>
      <c r="J429" s="6">
        <v>3618</v>
      </c>
      <c r="K429" s="97">
        <v>3618</v>
      </c>
      <c r="L429" s="6">
        <v>0</v>
      </c>
      <c r="M429" s="97">
        <v>0</v>
      </c>
      <c r="N429" s="6">
        <v>0</v>
      </c>
      <c r="O429" s="97">
        <v>0</v>
      </c>
      <c r="P429" s="6">
        <v>8</v>
      </c>
      <c r="Q429" s="4" t="s">
        <v>26</v>
      </c>
      <c r="R429" s="4">
        <v>0</v>
      </c>
      <c r="S429" s="6">
        <v>18</v>
      </c>
      <c r="T429" s="6">
        <v>0</v>
      </c>
      <c r="U429" s="6">
        <v>0</v>
      </c>
      <c r="V429" s="97">
        <f>IF(ISERROR(VLOOKUP($S$429,'TAR FIN'!$A$1:$O$86,15,0)),0,VLOOKUP($S$429,'TAR FIN'!$A$1:$O$86,15,0))*(1-0.04)</f>
        <v>18.470399999999998</v>
      </c>
      <c r="W429" s="97">
        <f>IF(ISERROR(VLOOKUP($T$429,'TAR FIN'!$A$1:$O$86,15,0)),0,VLOOKUP($T$429,'TAR FIN'!$A$1:$O$86,15,0))</f>
        <v>0</v>
      </c>
      <c r="X429" s="97">
        <f>IF(ISERROR(VLOOKUP($U$429,'TAR FIN'!$A$1:$O$86,15,0)),0,VLOOKUP($U$429,'TAR FIN'!$A$1:$O$86,15,0))</f>
        <v>0</v>
      </c>
      <c r="Y429" s="97">
        <f ca="1">('TUSD BE'!$AM$11+'TUSD BF'!$AM$11+'TUSD CVA'!$AM$11)*1*(1-0.02)</f>
        <v>14.889098762306169</v>
      </c>
      <c r="Z429" s="97"/>
      <c r="AA429" s="97"/>
      <c r="AB429" s="6">
        <f>$K$429*$V$429</f>
        <v>66825.907199999987</v>
      </c>
      <c r="AC429" s="6">
        <f>$M$429*$W$429</f>
        <v>0</v>
      </c>
      <c r="AD429" s="6">
        <f>$O$429*$X$429</f>
        <v>0</v>
      </c>
      <c r="AE429" s="6">
        <f ca="1">$K$429*$Y$429</f>
        <v>53868.759322023718</v>
      </c>
      <c r="AF429" s="6">
        <f>$M$429*$Z$429</f>
        <v>0</v>
      </c>
      <c r="AG429" s="6">
        <f>$O$429*$AA$429</f>
        <v>0</v>
      </c>
    </row>
    <row r="430" spans="1:33" ht="11.25" customHeight="1" x14ac:dyDescent="0.25">
      <c r="A430" s="4" t="s">
        <v>55</v>
      </c>
      <c r="B430" s="4" t="s">
        <v>38</v>
      </c>
      <c r="C430" s="4" t="s">
        <v>40</v>
      </c>
      <c r="D430" s="4" t="s">
        <v>43</v>
      </c>
      <c r="E430" s="4" t="s">
        <v>51</v>
      </c>
      <c r="F430" s="4" t="s">
        <v>25</v>
      </c>
      <c r="G430" s="4" t="s">
        <v>25</v>
      </c>
      <c r="H430" s="4" t="s">
        <v>25</v>
      </c>
      <c r="I430" s="5">
        <v>44531</v>
      </c>
      <c r="J430" s="6">
        <v>254</v>
      </c>
      <c r="K430" s="97">
        <v>254</v>
      </c>
      <c r="L430" s="6">
        <v>0</v>
      </c>
      <c r="M430" s="97">
        <v>0</v>
      </c>
      <c r="N430" s="6">
        <v>0</v>
      </c>
      <c r="O430" s="97">
        <v>0</v>
      </c>
      <c r="P430" s="6">
        <v>1</v>
      </c>
      <c r="Q430" s="4" t="s">
        <v>26</v>
      </c>
      <c r="R430" s="4">
        <v>0</v>
      </c>
      <c r="S430" s="6">
        <v>18</v>
      </c>
      <c r="T430" s="6">
        <v>0</v>
      </c>
      <c r="U430" s="6">
        <v>0</v>
      </c>
      <c r="V430" s="97">
        <f>IF(ISERROR(VLOOKUP($S$430,'TAR FIN'!$A$1:$O$86,15,0)),0,VLOOKUP($S$430,'TAR FIN'!$A$1:$O$86,15,0))*(1-0.04)</f>
        <v>18.470399999999998</v>
      </c>
      <c r="W430" s="97">
        <f>IF(ISERROR(VLOOKUP($T$430,'TAR FIN'!$A$1:$O$86,15,0)),0,VLOOKUP($T$430,'TAR FIN'!$A$1:$O$86,15,0))</f>
        <v>0</v>
      </c>
      <c r="X430" s="97">
        <f>IF(ISERROR(VLOOKUP($U$430,'TAR FIN'!$A$1:$O$86,15,0)),0,VLOOKUP($U$430,'TAR FIN'!$A$1:$O$86,15,0))</f>
        <v>0</v>
      </c>
      <c r="Y430" s="97">
        <f ca="1">('TUSD BE'!$AM$11+'TUSD BF'!$AM$11+'TUSD CVA'!$AM$11)*1*(1-0.02)</f>
        <v>14.889098762306169</v>
      </c>
      <c r="Z430" s="97"/>
      <c r="AA430" s="97"/>
      <c r="AB430" s="6">
        <f>$K$430*$V$430</f>
        <v>4691.4815999999992</v>
      </c>
      <c r="AC430" s="6">
        <f>$M$430*$W$430</f>
        <v>0</v>
      </c>
      <c r="AD430" s="6">
        <f>$O$430*$X$430</f>
        <v>0</v>
      </c>
      <c r="AE430" s="6">
        <f ca="1">$K$430*$Y$430</f>
        <v>3781.8310856257667</v>
      </c>
      <c r="AF430" s="6">
        <f>$M$430*$Z$430</f>
        <v>0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38</v>
      </c>
      <c r="C431" s="4" t="s">
        <v>40</v>
      </c>
      <c r="D431" s="4" t="s">
        <v>43</v>
      </c>
      <c r="E431" s="4" t="s">
        <v>51</v>
      </c>
      <c r="F431" s="4" t="s">
        <v>25</v>
      </c>
      <c r="G431" s="4" t="s">
        <v>25</v>
      </c>
      <c r="H431" s="4" t="s">
        <v>25</v>
      </c>
      <c r="I431" s="5">
        <v>44562</v>
      </c>
      <c r="J431" s="6">
        <v>3650</v>
      </c>
      <c r="K431" s="97">
        <v>3650</v>
      </c>
      <c r="L431" s="6">
        <v>0</v>
      </c>
      <c r="M431" s="97">
        <v>0</v>
      </c>
      <c r="N431" s="6">
        <v>0</v>
      </c>
      <c r="O431" s="97">
        <v>0</v>
      </c>
      <c r="P431" s="6">
        <v>8</v>
      </c>
      <c r="Q431" s="4" t="s">
        <v>26</v>
      </c>
      <c r="R431" s="4">
        <v>0</v>
      </c>
      <c r="S431" s="6">
        <v>18</v>
      </c>
      <c r="T431" s="6">
        <v>0</v>
      </c>
      <c r="U431" s="6">
        <v>0</v>
      </c>
      <c r="V431" s="97">
        <f>IF(ISERROR(VLOOKUP($S$431,'TAR FIN'!$A$1:$O$86,15,0)),0,VLOOKUP($S$431,'TAR FIN'!$A$1:$O$86,15,0))*(1-0.04)</f>
        <v>18.470399999999998</v>
      </c>
      <c r="W431" s="97">
        <f>IF(ISERROR(VLOOKUP($T$431,'TAR FIN'!$A$1:$O$86,15,0)),0,VLOOKUP($T$431,'TAR FIN'!$A$1:$O$86,15,0))</f>
        <v>0</v>
      </c>
      <c r="X431" s="97">
        <f>IF(ISERROR(VLOOKUP($U$431,'TAR FIN'!$A$1:$O$86,15,0)),0,VLOOKUP($U$431,'TAR FIN'!$A$1:$O$86,15,0))</f>
        <v>0</v>
      </c>
      <c r="Y431" s="97">
        <f ca="1">('TUSD BE'!$AM$11+'TUSD BF'!$AM$11+'TUSD CVA'!$AM$11)*1*(1-0.02)</f>
        <v>14.889098762306169</v>
      </c>
      <c r="Z431" s="97"/>
      <c r="AA431" s="97"/>
      <c r="AB431" s="6">
        <f>$K$431*$V$431</f>
        <v>67416.959999999992</v>
      </c>
      <c r="AC431" s="6">
        <f>$M$431*$W$431</f>
        <v>0</v>
      </c>
      <c r="AD431" s="6">
        <f>$O$431*$X$431</f>
        <v>0</v>
      </c>
      <c r="AE431" s="6">
        <f ca="1">$K$431*$Y$431</f>
        <v>54345.210482417519</v>
      </c>
      <c r="AF431" s="6">
        <f>$M$431*$Z$431</f>
        <v>0</v>
      </c>
      <c r="AG431" s="6">
        <f>$O$431*$AA$431</f>
        <v>0</v>
      </c>
    </row>
    <row r="432" spans="1:33" ht="11.25" customHeight="1" x14ac:dyDescent="0.25">
      <c r="A432" s="4" t="s">
        <v>55</v>
      </c>
      <c r="B432" s="4" t="s">
        <v>38</v>
      </c>
      <c r="C432" s="4" t="s">
        <v>40</v>
      </c>
      <c r="D432" s="4" t="s">
        <v>43</v>
      </c>
      <c r="E432" s="4" t="s">
        <v>51</v>
      </c>
      <c r="F432" s="4" t="s">
        <v>25</v>
      </c>
      <c r="G432" s="4" t="s">
        <v>25</v>
      </c>
      <c r="H432" s="4" t="s">
        <v>25</v>
      </c>
      <c r="I432" s="5">
        <v>44562</v>
      </c>
      <c r="J432" s="6">
        <v>154</v>
      </c>
      <c r="K432" s="97">
        <v>154</v>
      </c>
      <c r="L432" s="6">
        <v>0</v>
      </c>
      <c r="M432" s="97">
        <v>0</v>
      </c>
      <c r="N432" s="6">
        <v>0</v>
      </c>
      <c r="O432" s="97">
        <v>0</v>
      </c>
      <c r="P432" s="6">
        <v>1</v>
      </c>
      <c r="Q432" s="4" t="s">
        <v>26</v>
      </c>
      <c r="R432" s="4">
        <v>0</v>
      </c>
      <c r="S432" s="6">
        <v>18</v>
      </c>
      <c r="T432" s="6">
        <v>0</v>
      </c>
      <c r="U432" s="6">
        <v>0</v>
      </c>
      <c r="V432" s="97">
        <f>IF(ISERROR(VLOOKUP($S$432,'TAR FIN'!$A$1:$O$86,15,0)),0,VLOOKUP($S$432,'TAR FIN'!$A$1:$O$86,15,0))*(1-0.04)</f>
        <v>18.470399999999998</v>
      </c>
      <c r="W432" s="97">
        <f>IF(ISERROR(VLOOKUP($T$432,'TAR FIN'!$A$1:$O$86,15,0)),0,VLOOKUP($T$432,'TAR FIN'!$A$1:$O$86,15,0))</f>
        <v>0</v>
      </c>
      <c r="X432" s="97">
        <f>IF(ISERROR(VLOOKUP($U$432,'TAR FIN'!$A$1:$O$86,15,0)),0,VLOOKUP($U$432,'TAR FIN'!$A$1:$O$86,15,0))</f>
        <v>0</v>
      </c>
      <c r="Y432" s="97">
        <f ca="1">('TUSD BE'!$AM$11+'TUSD BF'!$AM$11+'TUSD CVA'!$AM$11)*1*(1-0.02)</f>
        <v>14.889098762306169</v>
      </c>
      <c r="Z432" s="97"/>
      <c r="AA432" s="97"/>
      <c r="AB432" s="6">
        <f>$K$432*$V$432</f>
        <v>2844.4415999999997</v>
      </c>
      <c r="AC432" s="6">
        <f>$M$432*$W$432</f>
        <v>0</v>
      </c>
      <c r="AD432" s="6">
        <f>$O$432*$X$432</f>
        <v>0</v>
      </c>
      <c r="AE432" s="6">
        <f ca="1">$K$432*$Y$432</f>
        <v>2292.9212093951501</v>
      </c>
      <c r="AF432" s="6">
        <f>$M$432*$Z$432</f>
        <v>0</v>
      </c>
      <c r="AG432" s="6">
        <f>$O$432*$AA$432</f>
        <v>0</v>
      </c>
    </row>
    <row r="433" spans="1:33" ht="11.25" customHeight="1" x14ac:dyDescent="0.25">
      <c r="A433" s="4" t="s">
        <v>21</v>
      </c>
      <c r="B433" s="4" t="s">
        <v>38</v>
      </c>
      <c r="C433" s="4" t="s">
        <v>40</v>
      </c>
      <c r="D433" s="4" t="s">
        <v>43</v>
      </c>
      <c r="E433" s="4" t="s">
        <v>51</v>
      </c>
      <c r="F433" s="4" t="s">
        <v>25</v>
      </c>
      <c r="G433" s="4" t="s">
        <v>25</v>
      </c>
      <c r="H433" s="4" t="s">
        <v>25</v>
      </c>
      <c r="I433" s="5">
        <v>44593</v>
      </c>
      <c r="J433" s="6">
        <v>3033</v>
      </c>
      <c r="K433" s="97">
        <v>3033</v>
      </c>
      <c r="L433" s="6">
        <v>0</v>
      </c>
      <c r="M433" s="97">
        <v>0</v>
      </c>
      <c r="N433" s="6">
        <v>0</v>
      </c>
      <c r="O433" s="97">
        <v>0</v>
      </c>
      <c r="P433" s="6">
        <v>8</v>
      </c>
      <c r="Q433" s="4" t="s">
        <v>26</v>
      </c>
      <c r="R433" s="4">
        <v>0</v>
      </c>
      <c r="S433" s="6">
        <v>18</v>
      </c>
      <c r="T433" s="6">
        <v>0</v>
      </c>
      <c r="U433" s="6">
        <v>0</v>
      </c>
      <c r="V433" s="97">
        <f>IF(ISERROR(VLOOKUP($S$433,'TAR FIN'!$A$1:$O$86,15,0)),0,VLOOKUP($S$433,'TAR FIN'!$A$1:$O$86,15,0))*(1-0.04)</f>
        <v>18.470399999999998</v>
      </c>
      <c r="W433" s="97">
        <f>IF(ISERROR(VLOOKUP($T$433,'TAR FIN'!$A$1:$O$86,15,0)),0,VLOOKUP($T$433,'TAR FIN'!$A$1:$O$86,15,0))</f>
        <v>0</v>
      </c>
      <c r="X433" s="97">
        <f>IF(ISERROR(VLOOKUP($U$433,'TAR FIN'!$A$1:$O$86,15,0)),0,VLOOKUP($U$433,'TAR FIN'!$A$1:$O$86,15,0))</f>
        <v>0</v>
      </c>
      <c r="Y433" s="97">
        <f ca="1">('TUSD BE'!$AM$11+'TUSD BF'!$AM$11+'TUSD CVA'!$AM$11)*1*(1-0.02)</f>
        <v>14.889098762306169</v>
      </c>
      <c r="Z433" s="97"/>
      <c r="AA433" s="97"/>
      <c r="AB433" s="6">
        <f>$K$433*$V$433</f>
        <v>56020.723199999993</v>
      </c>
      <c r="AC433" s="6">
        <f>$M$433*$W$433</f>
        <v>0</v>
      </c>
      <c r="AD433" s="6">
        <f>$O$433*$X$433</f>
        <v>0</v>
      </c>
      <c r="AE433" s="6">
        <f ca="1">$K$433*$Y$433</f>
        <v>45158.636546074609</v>
      </c>
      <c r="AF433" s="6">
        <f>$M$433*$Z$433</f>
        <v>0</v>
      </c>
      <c r="AG433" s="6">
        <f>$O$433*$AA$433</f>
        <v>0</v>
      </c>
    </row>
    <row r="434" spans="1:33" ht="11.25" customHeight="1" x14ac:dyDescent="0.25">
      <c r="A434" s="4" t="s">
        <v>55</v>
      </c>
      <c r="B434" s="4" t="s">
        <v>38</v>
      </c>
      <c r="C434" s="4" t="s">
        <v>40</v>
      </c>
      <c r="D434" s="4" t="s">
        <v>43</v>
      </c>
      <c r="E434" s="4" t="s">
        <v>51</v>
      </c>
      <c r="F434" s="4" t="s">
        <v>25</v>
      </c>
      <c r="G434" s="4" t="s">
        <v>25</v>
      </c>
      <c r="H434" s="4" t="s">
        <v>25</v>
      </c>
      <c r="I434" s="5">
        <v>44593</v>
      </c>
      <c r="J434" s="6">
        <v>149</v>
      </c>
      <c r="K434" s="97">
        <v>149</v>
      </c>
      <c r="L434" s="6">
        <v>0</v>
      </c>
      <c r="M434" s="97">
        <v>0</v>
      </c>
      <c r="N434" s="6">
        <v>0</v>
      </c>
      <c r="O434" s="97">
        <v>0</v>
      </c>
      <c r="P434" s="6">
        <v>1</v>
      </c>
      <c r="Q434" s="4" t="s">
        <v>26</v>
      </c>
      <c r="R434" s="4">
        <v>0</v>
      </c>
      <c r="S434" s="6">
        <v>18</v>
      </c>
      <c r="T434" s="6">
        <v>0</v>
      </c>
      <c r="U434" s="6">
        <v>0</v>
      </c>
      <c r="V434" s="97">
        <f>IF(ISERROR(VLOOKUP($S$434,'TAR FIN'!$A$1:$O$86,15,0)),0,VLOOKUP($S$434,'TAR FIN'!$A$1:$O$86,15,0))*(1-0.04)</f>
        <v>18.470399999999998</v>
      </c>
      <c r="W434" s="97">
        <f>IF(ISERROR(VLOOKUP($T$434,'TAR FIN'!$A$1:$O$86,15,0)),0,VLOOKUP($T$434,'TAR FIN'!$A$1:$O$86,15,0))</f>
        <v>0</v>
      </c>
      <c r="X434" s="97">
        <f>IF(ISERROR(VLOOKUP($U$434,'TAR FIN'!$A$1:$O$86,15,0)),0,VLOOKUP($U$434,'TAR FIN'!$A$1:$O$86,15,0))</f>
        <v>0</v>
      </c>
      <c r="Y434" s="97">
        <f ca="1">('TUSD BE'!$AM$11+'TUSD BF'!$AM$11+'TUSD CVA'!$AM$11)*1*(1-0.02)</f>
        <v>14.889098762306169</v>
      </c>
      <c r="Z434" s="97"/>
      <c r="AA434" s="97"/>
      <c r="AB434" s="6">
        <f>$K$434*$V$434</f>
        <v>2752.0895999999998</v>
      </c>
      <c r="AC434" s="6">
        <f>$M$434*$W$434</f>
        <v>0</v>
      </c>
      <c r="AD434" s="6">
        <f>$O$434*$X$434</f>
        <v>0</v>
      </c>
      <c r="AE434" s="6">
        <f ca="1">$K$434*$Y$434</f>
        <v>2218.4757155836191</v>
      </c>
      <c r="AF434" s="6">
        <f>$M$434*$Z$434</f>
        <v>0</v>
      </c>
      <c r="AG434" s="6">
        <f>$O$434*$AA$434</f>
        <v>0</v>
      </c>
    </row>
    <row r="435" spans="1:33" ht="11.25" customHeight="1" x14ac:dyDescent="0.25">
      <c r="A435" s="4" t="s">
        <v>21</v>
      </c>
      <c r="B435" s="4" t="s">
        <v>38</v>
      </c>
      <c r="C435" s="4" t="s">
        <v>40</v>
      </c>
      <c r="D435" s="4" t="s">
        <v>43</v>
      </c>
      <c r="E435" s="4" t="s">
        <v>51</v>
      </c>
      <c r="F435" s="4" t="s">
        <v>25</v>
      </c>
      <c r="G435" s="4" t="s">
        <v>25</v>
      </c>
      <c r="H435" s="4" t="s">
        <v>25</v>
      </c>
      <c r="I435" s="5">
        <v>44621</v>
      </c>
      <c r="J435" s="6">
        <v>1042</v>
      </c>
      <c r="K435" s="97">
        <v>1042</v>
      </c>
      <c r="L435" s="6">
        <v>0</v>
      </c>
      <c r="M435" s="97">
        <v>0</v>
      </c>
      <c r="N435" s="6">
        <v>0</v>
      </c>
      <c r="O435" s="97">
        <v>0</v>
      </c>
      <c r="P435" s="6">
        <v>8</v>
      </c>
      <c r="Q435" s="4" t="s">
        <v>26</v>
      </c>
      <c r="R435" s="4">
        <v>0</v>
      </c>
      <c r="S435" s="6">
        <v>18</v>
      </c>
      <c r="T435" s="6">
        <v>0</v>
      </c>
      <c r="U435" s="6">
        <v>0</v>
      </c>
      <c r="V435" s="97">
        <f>IF(ISERROR(VLOOKUP($S$435,'TAR FIN'!$A$1:$O$86,15,0)),0,VLOOKUP($S$435,'TAR FIN'!$A$1:$O$86,15,0))*(1-0.04)</f>
        <v>18.470399999999998</v>
      </c>
      <c r="W435" s="97">
        <f>IF(ISERROR(VLOOKUP($T$435,'TAR FIN'!$A$1:$O$86,15,0)),0,VLOOKUP($T$435,'TAR FIN'!$A$1:$O$86,15,0))</f>
        <v>0</v>
      </c>
      <c r="X435" s="97">
        <f>IF(ISERROR(VLOOKUP($U$435,'TAR FIN'!$A$1:$O$86,15,0)),0,VLOOKUP($U$435,'TAR FIN'!$A$1:$O$86,15,0))</f>
        <v>0</v>
      </c>
      <c r="Y435" s="97">
        <f ca="1">('TUSD BE'!$AM$11+'TUSD BF'!$AM$11+'TUSD CVA'!$AM$11)*1*(1-0.02)</f>
        <v>14.889098762306169</v>
      </c>
      <c r="Z435" s="97"/>
      <c r="AA435" s="97"/>
      <c r="AB435" s="6">
        <f>$K$435*$V$435</f>
        <v>19246.156799999997</v>
      </c>
      <c r="AC435" s="6">
        <f>$M$435*$W$435</f>
        <v>0</v>
      </c>
      <c r="AD435" s="6">
        <f>$O$435*$X$435</f>
        <v>0</v>
      </c>
      <c r="AE435" s="6">
        <f ca="1">$K$435*$Y$435</f>
        <v>15514.440910323028</v>
      </c>
      <c r="AF435" s="6">
        <f>$M$435*$Z$435</f>
        <v>0</v>
      </c>
      <c r="AG435" s="6">
        <f>$O$435*$AA$435</f>
        <v>0</v>
      </c>
    </row>
    <row r="436" spans="1:33" ht="11.25" customHeight="1" x14ac:dyDescent="0.25">
      <c r="A436" s="4" t="s">
        <v>55</v>
      </c>
      <c r="B436" s="4" t="s">
        <v>38</v>
      </c>
      <c r="C436" s="4" t="s">
        <v>40</v>
      </c>
      <c r="D436" s="4" t="s">
        <v>43</v>
      </c>
      <c r="E436" s="4" t="s">
        <v>51</v>
      </c>
      <c r="F436" s="4" t="s">
        <v>25</v>
      </c>
      <c r="G436" s="4" t="s">
        <v>25</v>
      </c>
      <c r="H436" s="4" t="s">
        <v>25</v>
      </c>
      <c r="I436" s="5">
        <v>44621</v>
      </c>
      <c r="J436" s="6">
        <v>31</v>
      </c>
      <c r="K436" s="97">
        <v>31</v>
      </c>
      <c r="L436" s="6">
        <v>0</v>
      </c>
      <c r="M436" s="97">
        <v>0</v>
      </c>
      <c r="N436" s="6">
        <v>0</v>
      </c>
      <c r="O436" s="97">
        <v>0</v>
      </c>
      <c r="P436" s="6">
        <v>1</v>
      </c>
      <c r="Q436" s="4" t="s">
        <v>26</v>
      </c>
      <c r="R436" s="4">
        <v>0</v>
      </c>
      <c r="S436" s="6">
        <v>18</v>
      </c>
      <c r="T436" s="6">
        <v>0</v>
      </c>
      <c r="U436" s="6">
        <v>0</v>
      </c>
      <c r="V436" s="97">
        <f>IF(ISERROR(VLOOKUP($S$436,'TAR FIN'!$A$1:$O$86,15,0)),0,VLOOKUP($S$436,'TAR FIN'!$A$1:$O$86,15,0))*(1-0.04)</f>
        <v>18.470399999999998</v>
      </c>
      <c r="W436" s="97">
        <f>IF(ISERROR(VLOOKUP($T$436,'TAR FIN'!$A$1:$O$86,15,0)),0,VLOOKUP($T$436,'TAR FIN'!$A$1:$O$86,15,0))</f>
        <v>0</v>
      </c>
      <c r="X436" s="97">
        <f>IF(ISERROR(VLOOKUP($U$436,'TAR FIN'!$A$1:$O$86,15,0)),0,VLOOKUP($U$436,'TAR FIN'!$A$1:$O$86,15,0))</f>
        <v>0</v>
      </c>
      <c r="Y436" s="97">
        <f ca="1">('TUSD BE'!$AM$11+'TUSD BF'!$AM$11+'TUSD CVA'!$AM$11)*1*(1-0.02)</f>
        <v>14.889098762306169</v>
      </c>
      <c r="Z436" s="97"/>
      <c r="AA436" s="97"/>
      <c r="AB436" s="6">
        <f>$K$436*$V$436</f>
        <v>572.58239999999989</v>
      </c>
      <c r="AC436" s="6">
        <f>$M$436*$W$436</f>
        <v>0</v>
      </c>
      <c r="AD436" s="6">
        <f>$O$436*$X$436</f>
        <v>0</v>
      </c>
      <c r="AE436" s="6">
        <f ca="1">$K$436*$Y$436</f>
        <v>461.56206163149125</v>
      </c>
      <c r="AF436" s="6">
        <f>$M$436*$Z$436</f>
        <v>0</v>
      </c>
      <c r="AG436" s="6">
        <f>$O$436*$AA$436</f>
        <v>0</v>
      </c>
    </row>
    <row r="437" spans="1:33" ht="11.25" customHeight="1" x14ac:dyDescent="0.25">
      <c r="A437" s="4" t="s">
        <v>21</v>
      </c>
      <c r="B437" s="4" t="s">
        <v>38</v>
      </c>
      <c r="C437" s="4" t="s">
        <v>40</v>
      </c>
      <c r="D437" s="4" t="s">
        <v>43</v>
      </c>
      <c r="E437" s="4" t="s">
        <v>51</v>
      </c>
      <c r="F437" s="4" t="s">
        <v>25</v>
      </c>
      <c r="G437" s="4" t="s">
        <v>25</v>
      </c>
      <c r="H437" s="4" t="s">
        <v>25</v>
      </c>
      <c r="I437" s="5">
        <v>44652</v>
      </c>
      <c r="J437" s="6">
        <v>443</v>
      </c>
      <c r="K437" s="97">
        <v>443</v>
      </c>
      <c r="L437" s="6">
        <v>0</v>
      </c>
      <c r="M437" s="97">
        <v>0</v>
      </c>
      <c r="N437" s="6">
        <v>0</v>
      </c>
      <c r="O437" s="97">
        <v>0</v>
      </c>
      <c r="P437" s="6">
        <v>8</v>
      </c>
      <c r="Q437" s="4" t="s">
        <v>26</v>
      </c>
      <c r="R437" s="4">
        <v>0</v>
      </c>
      <c r="S437" s="6">
        <v>18</v>
      </c>
      <c r="T437" s="6">
        <v>0</v>
      </c>
      <c r="U437" s="6">
        <v>0</v>
      </c>
      <c r="V437" s="97">
        <f>IF(ISERROR(VLOOKUP($S$437,'TAR FIN'!$A$1:$O$86,15,0)),0,VLOOKUP($S$437,'TAR FIN'!$A$1:$O$86,15,0))*(1-0.04)</f>
        <v>18.470399999999998</v>
      </c>
      <c r="W437" s="97">
        <f>IF(ISERROR(VLOOKUP($T$437,'TAR FIN'!$A$1:$O$86,15,0)),0,VLOOKUP($T$437,'TAR FIN'!$A$1:$O$86,15,0))</f>
        <v>0</v>
      </c>
      <c r="X437" s="97">
        <f>IF(ISERROR(VLOOKUP($U$437,'TAR FIN'!$A$1:$O$86,15,0)),0,VLOOKUP($U$437,'TAR FIN'!$A$1:$O$86,15,0))</f>
        <v>0</v>
      </c>
      <c r="Y437" s="97">
        <f ca="1">('TUSD BE'!$AM$11+'TUSD BF'!$AM$11+'TUSD CVA'!$AM$11)*1*(1-0.02)</f>
        <v>14.889098762306169</v>
      </c>
      <c r="Z437" s="97"/>
      <c r="AA437" s="97"/>
      <c r="AB437" s="6">
        <f>$K$437*$V$437</f>
        <v>8182.3871999999992</v>
      </c>
      <c r="AC437" s="6">
        <f>$M$437*$W$437</f>
        <v>0</v>
      </c>
      <c r="AD437" s="6">
        <f>$O$437*$X$437</f>
        <v>0</v>
      </c>
      <c r="AE437" s="6">
        <f ca="1">$K$437*$Y$437</f>
        <v>6595.8707517016328</v>
      </c>
      <c r="AF437" s="6">
        <f>$M$437*$Z$437</f>
        <v>0</v>
      </c>
      <c r="AG437" s="6">
        <f>$O$437*$AA$437</f>
        <v>0</v>
      </c>
    </row>
    <row r="438" spans="1:33" ht="11.25" customHeight="1" x14ac:dyDescent="0.25">
      <c r="A438" s="4" t="s">
        <v>55</v>
      </c>
      <c r="B438" s="4" t="s">
        <v>38</v>
      </c>
      <c r="C438" s="4" t="s">
        <v>40</v>
      </c>
      <c r="D438" s="4" t="s">
        <v>43</v>
      </c>
      <c r="E438" s="4" t="s">
        <v>51</v>
      </c>
      <c r="F438" s="4" t="s">
        <v>25</v>
      </c>
      <c r="G438" s="4" t="s">
        <v>25</v>
      </c>
      <c r="H438" s="4" t="s">
        <v>25</v>
      </c>
      <c r="I438" s="5">
        <v>44652</v>
      </c>
      <c r="J438" s="6">
        <v>30</v>
      </c>
      <c r="K438" s="97">
        <v>30</v>
      </c>
      <c r="L438" s="6">
        <v>0</v>
      </c>
      <c r="M438" s="97">
        <v>0</v>
      </c>
      <c r="N438" s="6">
        <v>0</v>
      </c>
      <c r="O438" s="97">
        <v>0</v>
      </c>
      <c r="P438" s="6">
        <v>1</v>
      </c>
      <c r="Q438" s="4" t="s">
        <v>26</v>
      </c>
      <c r="R438" s="4">
        <v>0</v>
      </c>
      <c r="S438" s="6">
        <v>18</v>
      </c>
      <c r="T438" s="6">
        <v>0</v>
      </c>
      <c r="U438" s="6">
        <v>0</v>
      </c>
      <c r="V438" s="97">
        <f>IF(ISERROR(VLOOKUP($S$438,'TAR FIN'!$A$1:$O$86,15,0)),0,VLOOKUP($S$438,'TAR FIN'!$A$1:$O$86,15,0))*(1-0.04)</f>
        <v>18.470399999999998</v>
      </c>
      <c r="W438" s="97">
        <f>IF(ISERROR(VLOOKUP($T$438,'TAR FIN'!$A$1:$O$86,15,0)),0,VLOOKUP($T$438,'TAR FIN'!$A$1:$O$86,15,0))</f>
        <v>0</v>
      </c>
      <c r="X438" s="97">
        <f>IF(ISERROR(VLOOKUP($U$438,'TAR FIN'!$A$1:$O$86,15,0)),0,VLOOKUP($U$438,'TAR FIN'!$A$1:$O$86,15,0))</f>
        <v>0</v>
      </c>
      <c r="Y438" s="97">
        <f ca="1">('TUSD BE'!$AM$11+'TUSD BF'!$AM$11+'TUSD CVA'!$AM$11)*1*(1-0.02)</f>
        <v>14.889098762306169</v>
      </c>
      <c r="Z438" s="97"/>
      <c r="AA438" s="97"/>
      <c r="AB438" s="6">
        <f>$K$438*$V$438</f>
        <v>554.11199999999997</v>
      </c>
      <c r="AC438" s="6">
        <f>$M$438*$W$438</f>
        <v>0</v>
      </c>
      <c r="AD438" s="6">
        <f>$O$438*$X$438</f>
        <v>0</v>
      </c>
      <c r="AE438" s="6">
        <f ca="1">$K$438*$Y$438</f>
        <v>446.67296286918508</v>
      </c>
      <c r="AF438" s="6">
        <f>$M$438*$Z$438</f>
        <v>0</v>
      </c>
      <c r="AG438" s="6">
        <f>$O$438*$AA$438</f>
        <v>0</v>
      </c>
    </row>
    <row r="439" spans="1:33" ht="11.25" customHeight="1" x14ac:dyDescent="0.25">
      <c r="A439" s="4" t="s">
        <v>21</v>
      </c>
      <c r="B439" s="4" t="s">
        <v>38</v>
      </c>
      <c r="C439" s="4" t="s">
        <v>40</v>
      </c>
      <c r="D439" s="4" t="s">
        <v>43</v>
      </c>
      <c r="E439" s="4" t="s">
        <v>51</v>
      </c>
      <c r="F439" s="4" t="s">
        <v>25</v>
      </c>
      <c r="G439" s="4" t="s">
        <v>25</v>
      </c>
      <c r="H439" s="4" t="s">
        <v>25</v>
      </c>
      <c r="I439" s="5">
        <v>44682</v>
      </c>
      <c r="J439" s="6">
        <v>642</v>
      </c>
      <c r="K439" s="97">
        <v>642</v>
      </c>
      <c r="L439" s="6">
        <v>0</v>
      </c>
      <c r="M439" s="97">
        <v>0</v>
      </c>
      <c r="N439" s="6">
        <v>0</v>
      </c>
      <c r="O439" s="97">
        <v>0</v>
      </c>
      <c r="P439" s="6">
        <v>8</v>
      </c>
      <c r="Q439" s="4" t="s">
        <v>26</v>
      </c>
      <c r="R439" s="4">
        <v>0</v>
      </c>
      <c r="S439" s="6">
        <v>18</v>
      </c>
      <c r="T439" s="6">
        <v>0</v>
      </c>
      <c r="U439" s="6">
        <v>0</v>
      </c>
      <c r="V439" s="97">
        <f>IF(ISERROR(VLOOKUP($S$439,'TAR FIN'!$A$1:$O$86,15,0)),0,VLOOKUP($S$439,'TAR FIN'!$A$1:$O$86,15,0))*(1-0.04)</f>
        <v>18.470399999999998</v>
      </c>
      <c r="W439" s="97">
        <f>IF(ISERROR(VLOOKUP($T$439,'TAR FIN'!$A$1:$O$86,15,0)),0,VLOOKUP($T$439,'TAR FIN'!$A$1:$O$86,15,0))</f>
        <v>0</v>
      </c>
      <c r="X439" s="97">
        <f>IF(ISERROR(VLOOKUP($U$439,'TAR FIN'!$A$1:$O$86,15,0)),0,VLOOKUP($U$439,'TAR FIN'!$A$1:$O$86,15,0))</f>
        <v>0</v>
      </c>
      <c r="Y439" s="97">
        <f ca="1">('TUSD BE'!$AM$11+'TUSD BF'!$AM$11+'TUSD CVA'!$AM$11)*1*(1-0.02)</f>
        <v>14.889098762306169</v>
      </c>
      <c r="Z439" s="97"/>
      <c r="AA439" s="97"/>
      <c r="AB439" s="6">
        <f>$K$439*$V$439</f>
        <v>11857.996799999999</v>
      </c>
      <c r="AC439" s="6">
        <f>$M$439*$W$439</f>
        <v>0</v>
      </c>
      <c r="AD439" s="6">
        <f>$O$439*$X$439</f>
        <v>0</v>
      </c>
      <c r="AE439" s="6">
        <f ca="1">$K$439*$Y$439</f>
        <v>9558.8014054005598</v>
      </c>
      <c r="AF439" s="6">
        <f>$M$439*$Z$439</f>
        <v>0</v>
      </c>
      <c r="AG439" s="6">
        <f>$O$439*$AA$439</f>
        <v>0</v>
      </c>
    </row>
    <row r="440" spans="1:33" ht="11.25" customHeight="1" x14ac:dyDescent="0.25">
      <c r="A440" s="4" t="s">
        <v>55</v>
      </c>
      <c r="B440" s="4" t="s">
        <v>38</v>
      </c>
      <c r="C440" s="4" t="s">
        <v>40</v>
      </c>
      <c r="D440" s="4" t="s">
        <v>43</v>
      </c>
      <c r="E440" s="4" t="s">
        <v>51</v>
      </c>
      <c r="F440" s="4" t="s">
        <v>25</v>
      </c>
      <c r="G440" s="4" t="s">
        <v>25</v>
      </c>
      <c r="H440" s="4" t="s">
        <v>25</v>
      </c>
      <c r="I440" s="5">
        <v>44682</v>
      </c>
      <c r="J440" s="6">
        <v>26</v>
      </c>
      <c r="K440" s="97">
        <v>26</v>
      </c>
      <c r="L440" s="6">
        <v>0</v>
      </c>
      <c r="M440" s="97">
        <v>0</v>
      </c>
      <c r="N440" s="6">
        <v>0</v>
      </c>
      <c r="O440" s="97">
        <v>0</v>
      </c>
      <c r="P440" s="6">
        <v>1</v>
      </c>
      <c r="Q440" s="4" t="s">
        <v>26</v>
      </c>
      <c r="R440" s="4">
        <v>0</v>
      </c>
      <c r="S440" s="6">
        <v>18</v>
      </c>
      <c r="T440" s="6">
        <v>0</v>
      </c>
      <c r="U440" s="6">
        <v>0</v>
      </c>
      <c r="V440" s="97">
        <f>IF(ISERROR(VLOOKUP($S$440,'TAR FIN'!$A$1:$O$86,15,0)),0,VLOOKUP($S$440,'TAR FIN'!$A$1:$O$86,15,0))*(1-0.04)</f>
        <v>18.470399999999998</v>
      </c>
      <c r="W440" s="97">
        <f>IF(ISERROR(VLOOKUP($T$440,'TAR FIN'!$A$1:$O$86,15,0)),0,VLOOKUP($T$440,'TAR FIN'!$A$1:$O$86,15,0))</f>
        <v>0</v>
      </c>
      <c r="X440" s="97">
        <f>IF(ISERROR(VLOOKUP($U$440,'TAR FIN'!$A$1:$O$86,15,0)),0,VLOOKUP($U$440,'TAR FIN'!$A$1:$O$86,15,0))</f>
        <v>0</v>
      </c>
      <c r="Y440" s="97">
        <f ca="1">('TUSD BE'!$AM$11+'TUSD BF'!$AM$11+'TUSD CVA'!$AM$11)*1*(1-0.02)</f>
        <v>14.889098762306169</v>
      </c>
      <c r="Z440" s="97"/>
      <c r="AA440" s="97"/>
      <c r="AB440" s="6">
        <f>$K$440*$V$440</f>
        <v>480.23039999999992</v>
      </c>
      <c r="AC440" s="6">
        <f>$M$440*$W$440</f>
        <v>0</v>
      </c>
      <c r="AD440" s="6">
        <f>$O$440*$X$440</f>
        <v>0</v>
      </c>
      <c r="AE440" s="6">
        <f ca="1">$K$440*$Y$440</f>
        <v>387.11656781996038</v>
      </c>
      <c r="AF440" s="6">
        <f>$M$440*$Z$440</f>
        <v>0</v>
      </c>
      <c r="AG440" s="6">
        <f>$O$440*$AA$440</f>
        <v>0</v>
      </c>
    </row>
    <row r="441" spans="1:33" ht="11.25" customHeight="1" x14ac:dyDescent="0.25">
      <c r="A441" s="4" t="s">
        <v>56</v>
      </c>
      <c r="B441" s="4" t="s">
        <v>38</v>
      </c>
      <c r="C441" s="4" t="s">
        <v>40</v>
      </c>
      <c r="D441" s="4" t="s">
        <v>43</v>
      </c>
      <c r="E441" s="4" t="s">
        <v>51</v>
      </c>
      <c r="F441" s="4" t="s">
        <v>25</v>
      </c>
      <c r="G441" s="4" t="s">
        <v>25</v>
      </c>
      <c r="H441" s="4" t="s">
        <v>25</v>
      </c>
      <c r="I441" s="5">
        <v>44713</v>
      </c>
      <c r="J441" s="6">
        <v>642</v>
      </c>
      <c r="K441" s="97">
        <v>642</v>
      </c>
      <c r="L441" s="6">
        <v>0</v>
      </c>
      <c r="M441" s="97">
        <v>0</v>
      </c>
      <c r="N441" s="6">
        <v>0</v>
      </c>
      <c r="O441" s="97">
        <v>0</v>
      </c>
      <c r="P441" s="6">
        <v>8</v>
      </c>
      <c r="Q441" s="4" t="s">
        <v>26</v>
      </c>
      <c r="R441" s="4">
        <v>0</v>
      </c>
      <c r="S441" s="6">
        <v>18</v>
      </c>
      <c r="T441" s="6">
        <v>0</v>
      </c>
      <c r="U441" s="6">
        <v>0</v>
      </c>
      <c r="V441" s="97">
        <f>IF(ISERROR(VLOOKUP($S$441,'TAR FIN'!$A$1:$O$86,15,0)),0,VLOOKUP($S$441,'TAR FIN'!$A$1:$O$86,15,0))*(1-0.04)</f>
        <v>18.470399999999998</v>
      </c>
      <c r="W441" s="97">
        <f>IF(ISERROR(VLOOKUP($T$441,'TAR FIN'!$A$1:$O$86,15,0)),0,VLOOKUP($T$441,'TAR FIN'!$A$1:$O$86,15,0))</f>
        <v>0</v>
      </c>
      <c r="X441" s="97">
        <f>IF(ISERROR(VLOOKUP($U$441,'TAR FIN'!$A$1:$O$86,15,0)),0,VLOOKUP($U$441,'TAR FIN'!$A$1:$O$86,15,0))</f>
        <v>0</v>
      </c>
      <c r="Y441" s="97">
        <f ca="1">('TUSD BE'!$AM$11+'TUSD BF'!$AM$11+'TUSD CVA'!$AM$11)*1*(1-0.02)</f>
        <v>14.889098762306169</v>
      </c>
      <c r="Z441" s="97"/>
      <c r="AA441" s="97"/>
      <c r="AB441" s="6">
        <f>$K$441*$V$441</f>
        <v>11857.996799999999</v>
      </c>
      <c r="AC441" s="6">
        <f>$M$441*$W$441</f>
        <v>0</v>
      </c>
      <c r="AD441" s="6">
        <f>$O$441*$X$441</f>
        <v>0</v>
      </c>
      <c r="AE441" s="6">
        <f ca="1">$K$441*$Y$441</f>
        <v>9558.8014054005598</v>
      </c>
      <c r="AF441" s="6">
        <f>$M$441*$Z$441</f>
        <v>0</v>
      </c>
      <c r="AG441" s="6">
        <f>$O$441*$AA$441</f>
        <v>0</v>
      </c>
    </row>
    <row r="442" spans="1:33" ht="11.25" customHeight="1" x14ac:dyDescent="0.25">
      <c r="A442" s="4" t="s">
        <v>56</v>
      </c>
      <c r="B442" s="4" t="s">
        <v>38</v>
      </c>
      <c r="C442" s="4" t="s">
        <v>40</v>
      </c>
      <c r="D442" s="4" t="s">
        <v>43</v>
      </c>
      <c r="E442" s="4" t="s">
        <v>51</v>
      </c>
      <c r="F442" s="4" t="s">
        <v>25</v>
      </c>
      <c r="G442" s="4" t="s">
        <v>25</v>
      </c>
      <c r="H442" s="4" t="s">
        <v>25</v>
      </c>
      <c r="I442" s="5">
        <v>44713</v>
      </c>
      <c r="J442" s="6">
        <v>26</v>
      </c>
      <c r="K442" s="97">
        <v>26</v>
      </c>
      <c r="L442" s="6">
        <v>0</v>
      </c>
      <c r="M442" s="97">
        <v>0</v>
      </c>
      <c r="N442" s="6">
        <v>0</v>
      </c>
      <c r="O442" s="97">
        <v>0</v>
      </c>
      <c r="P442" s="6">
        <v>1</v>
      </c>
      <c r="Q442" s="4" t="s">
        <v>26</v>
      </c>
      <c r="R442" s="4">
        <v>0</v>
      </c>
      <c r="S442" s="6">
        <v>18</v>
      </c>
      <c r="T442" s="6">
        <v>0</v>
      </c>
      <c r="U442" s="6">
        <v>0</v>
      </c>
      <c r="V442" s="97">
        <f>IF(ISERROR(VLOOKUP($S$442,'TAR FIN'!$A$1:$O$86,15,0)),0,VLOOKUP($S$442,'TAR FIN'!$A$1:$O$86,15,0))*(1-0.04)</f>
        <v>18.470399999999998</v>
      </c>
      <c r="W442" s="97">
        <f>IF(ISERROR(VLOOKUP($T$442,'TAR FIN'!$A$1:$O$86,15,0)),0,VLOOKUP($T$442,'TAR FIN'!$A$1:$O$86,15,0))</f>
        <v>0</v>
      </c>
      <c r="X442" s="97">
        <f>IF(ISERROR(VLOOKUP($U$442,'TAR FIN'!$A$1:$O$86,15,0)),0,VLOOKUP($U$442,'TAR FIN'!$A$1:$O$86,15,0))</f>
        <v>0</v>
      </c>
      <c r="Y442" s="97">
        <f ca="1">('TUSD BE'!$AM$11+'TUSD BF'!$AM$11+'TUSD CVA'!$AM$11)*1*(1-0.02)</f>
        <v>14.889098762306169</v>
      </c>
      <c r="Z442" s="97"/>
      <c r="AA442" s="97"/>
      <c r="AB442" s="6">
        <f>$K$442*$V$442</f>
        <v>480.23039999999992</v>
      </c>
      <c r="AC442" s="6">
        <f>$M$442*$W$442</f>
        <v>0</v>
      </c>
      <c r="AD442" s="6">
        <f>$O$442*$X$442</f>
        <v>0</v>
      </c>
      <c r="AE442" s="6">
        <f ca="1">$K$442*$Y$442</f>
        <v>387.11656781996038</v>
      </c>
      <c r="AF442" s="6">
        <f>$M$442*$Z$442</f>
        <v>0</v>
      </c>
      <c r="AG442" s="6">
        <f>$O$442*$AA$442</f>
        <v>0</v>
      </c>
    </row>
    <row r="443" spans="1:33" ht="11.25" customHeight="1" x14ac:dyDescent="0.25">
      <c r="A443" s="4" t="s">
        <v>21</v>
      </c>
      <c r="B443" s="4" t="s">
        <v>38</v>
      </c>
      <c r="C443" s="4" t="s">
        <v>40</v>
      </c>
      <c r="D443" s="4" t="s">
        <v>43</v>
      </c>
      <c r="E443" s="4" t="s">
        <v>51</v>
      </c>
      <c r="F443" s="4" t="s">
        <v>25</v>
      </c>
      <c r="G443" s="4" t="s">
        <v>25</v>
      </c>
      <c r="H443" s="4" t="s">
        <v>33</v>
      </c>
      <c r="I443" s="5">
        <v>44378</v>
      </c>
      <c r="J443" s="6">
        <v>0</v>
      </c>
      <c r="K443" s="97">
        <v>0</v>
      </c>
      <c r="L443" s="6">
        <v>1.4430000000000001</v>
      </c>
      <c r="M443" s="97">
        <v>1.4430000000000001</v>
      </c>
      <c r="N443" s="6">
        <v>1.4430000000000001</v>
      </c>
      <c r="O443" s="97">
        <v>1.4430000000000001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16</v>
      </c>
      <c r="U443" s="6">
        <v>47</v>
      </c>
      <c r="V443" s="97">
        <f>IF(ISERROR(VLOOKUP($S$443,'TAR FIN'!$A$1:$O$86,15,0)),0,VLOOKUP($S$443,'TAR FIN'!$A$1:$O$86,15,0))</f>
        <v>0</v>
      </c>
      <c r="W443" s="97">
        <f>IF(ISERROR(VLOOKUP($T$443,'TAR FIN'!$A$1:$O$86,15,0)),0,VLOOKUP($T$443,'TAR FIN'!$A$1:$O$86,15,0))*(1-0.04)</f>
        <v>1276.4832000000001</v>
      </c>
      <c r="X443" s="97">
        <f>IF(ISERROR(VLOOKUP($U$443,'TAR FIN'!$A$1:$O$86,15,0)),0,VLOOKUP($U$443,'TAR FIN'!$A$1:$O$86,15,0))*(1-0.04)</f>
        <v>373.64159999999998</v>
      </c>
      <c r="Y443" s="97"/>
      <c r="Z443" s="97">
        <f ca="1">('TUSD BE'!$AM$12+'TUSD BF'!$AM$12+'TUSD CVA'!$AM$12)*1*(1-0.02)</f>
        <v>1052.8740579870318</v>
      </c>
      <c r="AA443" s="97">
        <f>('TE BE'!$AB$5+'TE BF'!$AB$5+'TE CVA'!$AB$5)*1*(1-0.02)</f>
        <v>346.47998010024565</v>
      </c>
      <c r="AB443" s="6">
        <f>$K$443*$V$443</f>
        <v>0</v>
      </c>
      <c r="AC443" s="6">
        <f>$M$443*$W$443</f>
        <v>1841.9652576000003</v>
      </c>
      <c r="AD443" s="6">
        <f>$O$443*$X$443</f>
        <v>539.16482880000001</v>
      </c>
      <c r="AE443" s="6">
        <f>$K$443*$Y$443</f>
        <v>0</v>
      </c>
      <c r="AF443" s="6">
        <f ca="1">$M$443*$Z$443</f>
        <v>1519.297265675287</v>
      </c>
      <c r="AG443" s="6">
        <f>$O$443*$AA$443</f>
        <v>499.97061128465452</v>
      </c>
    </row>
    <row r="444" spans="1:33" ht="11.25" customHeight="1" x14ac:dyDescent="0.25">
      <c r="A444" s="4" t="s">
        <v>21</v>
      </c>
      <c r="B444" s="4" t="s">
        <v>38</v>
      </c>
      <c r="C444" s="4" t="s">
        <v>40</v>
      </c>
      <c r="D444" s="4" t="s">
        <v>43</v>
      </c>
      <c r="E444" s="4" t="s">
        <v>51</v>
      </c>
      <c r="F444" s="4" t="s">
        <v>25</v>
      </c>
      <c r="G444" s="4" t="s">
        <v>25</v>
      </c>
      <c r="H444" s="4" t="s">
        <v>33</v>
      </c>
      <c r="I444" s="5">
        <v>44409</v>
      </c>
      <c r="J444" s="6">
        <v>0</v>
      </c>
      <c r="K444" s="97">
        <v>0</v>
      </c>
      <c r="L444" s="6">
        <v>1.7410000000000001</v>
      </c>
      <c r="M444" s="97">
        <v>1.7410000000000001</v>
      </c>
      <c r="N444" s="6">
        <v>1.7410000000000001</v>
      </c>
      <c r="O444" s="97">
        <v>1.7410000000000001</v>
      </c>
      <c r="P444" s="6">
        <v>0</v>
      </c>
      <c r="Q444" s="4" t="s">
        <v>26</v>
      </c>
      <c r="R444" s="4">
        <v>0</v>
      </c>
      <c r="S444" s="6">
        <v>0</v>
      </c>
      <c r="T444" s="6">
        <v>16</v>
      </c>
      <c r="U444" s="6">
        <v>47</v>
      </c>
      <c r="V444" s="97">
        <f>IF(ISERROR(VLOOKUP($S$444,'TAR FIN'!$A$1:$O$86,15,0)),0,VLOOKUP($S$444,'TAR FIN'!$A$1:$O$86,15,0))</f>
        <v>0</v>
      </c>
      <c r="W444" s="97">
        <f>IF(ISERROR(VLOOKUP($T$444,'TAR FIN'!$A$1:$O$86,15,0)),0,VLOOKUP($T$444,'TAR FIN'!$A$1:$O$86,15,0))*(1-0.04)</f>
        <v>1276.4832000000001</v>
      </c>
      <c r="X444" s="97">
        <f>IF(ISERROR(VLOOKUP($U$444,'TAR FIN'!$A$1:$O$86,15,0)),0,VLOOKUP($U$444,'TAR FIN'!$A$1:$O$86,15,0))*(1-0.04)</f>
        <v>373.64159999999998</v>
      </c>
      <c r="Y444" s="97"/>
      <c r="Z444" s="97">
        <f ca="1">('TUSD BE'!$AM$12+'TUSD BF'!$AM$12+'TUSD CVA'!$AM$12)*1*(1-0.02)</f>
        <v>1052.8740579870318</v>
      </c>
      <c r="AA444" s="97">
        <f>('TE BE'!$AB$5+'TE BF'!$AB$5+'TE CVA'!$AB$5)*1*(1-0.02)</f>
        <v>346.47998010024565</v>
      </c>
      <c r="AB444" s="6">
        <f>$K$444*$V$444</f>
        <v>0</v>
      </c>
      <c r="AC444" s="6">
        <f>$M$444*$W$444</f>
        <v>2222.3572512000005</v>
      </c>
      <c r="AD444" s="6">
        <f>$O$444*$X$444</f>
        <v>650.51002560000006</v>
      </c>
      <c r="AE444" s="6">
        <f>$K$444*$Y$444</f>
        <v>0</v>
      </c>
      <c r="AF444" s="6">
        <f ca="1">$M$444*$Z$444</f>
        <v>1833.0537349554224</v>
      </c>
      <c r="AG444" s="6">
        <f>$O$444*$AA$444</f>
        <v>603.22164535452771</v>
      </c>
    </row>
    <row r="445" spans="1:33" ht="11.25" customHeight="1" x14ac:dyDescent="0.25">
      <c r="A445" s="4" t="s">
        <v>55</v>
      </c>
      <c r="B445" s="4" t="s">
        <v>38</v>
      </c>
      <c r="C445" s="4" t="s">
        <v>40</v>
      </c>
      <c r="D445" s="4" t="s">
        <v>43</v>
      </c>
      <c r="E445" s="4" t="s">
        <v>51</v>
      </c>
      <c r="F445" s="4" t="s">
        <v>25</v>
      </c>
      <c r="G445" s="4" t="s">
        <v>25</v>
      </c>
      <c r="H445" s="4" t="s">
        <v>33</v>
      </c>
      <c r="I445" s="5">
        <v>44409</v>
      </c>
      <c r="J445" s="6">
        <v>0</v>
      </c>
      <c r="K445" s="97">
        <v>0</v>
      </c>
      <c r="L445" s="6">
        <v>7.6999999999999999E-2</v>
      </c>
      <c r="M445" s="97">
        <v>7.6999999999999999E-2</v>
      </c>
      <c r="N445" s="6">
        <v>7.6999999999999999E-2</v>
      </c>
      <c r="O445" s="97">
        <v>7.6999999999999999E-2</v>
      </c>
      <c r="P445" s="6">
        <v>0</v>
      </c>
      <c r="Q445" s="4" t="s">
        <v>26</v>
      </c>
      <c r="R445" s="4">
        <v>0</v>
      </c>
      <c r="S445" s="6">
        <v>0</v>
      </c>
      <c r="T445" s="6">
        <v>16</v>
      </c>
      <c r="U445" s="6">
        <v>47</v>
      </c>
      <c r="V445" s="97">
        <f>IF(ISERROR(VLOOKUP($S$445,'TAR FIN'!$A$1:$O$86,15,0)),0,VLOOKUP($S$445,'TAR FIN'!$A$1:$O$86,15,0))</f>
        <v>0</v>
      </c>
      <c r="W445" s="97">
        <f>IF(ISERROR(VLOOKUP($T$445,'TAR FIN'!$A$1:$O$86,15,0)),0,VLOOKUP($T$445,'TAR FIN'!$A$1:$O$86,15,0))*(1-0.04)</f>
        <v>1276.4832000000001</v>
      </c>
      <c r="X445" s="97">
        <f>IF(ISERROR(VLOOKUP($U$445,'TAR FIN'!$A$1:$O$86,15,0)),0,VLOOKUP($U$445,'TAR FIN'!$A$1:$O$86,15,0))*(1-0.04)</f>
        <v>373.64159999999998</v>
      </c>
      <c r="Y445" s="97"/>
      <c r="Z445" s="97">
        <f ca="1">('TUSD BE'!$AM$12+'TUSD BF'!$AM$12+'TUSD CVA'!$AM$12)*1*(1-0.02)</f>
        <v>1052.8740579870318</v>
      </c>
      <c r="AA445" s="97">
        <f>('TE BE'!$AB$5+'TE BF'!$AB$5+'TE CVA'!$AB$5)*1*(1-0.02)</f>
        <v>346.47998010024565</v>
      </c>
      <c r="AB445" s="6">
        <f>$K$445*$V$445</f>
        <v>0</v>
      </c>
      <c r="AC445" s="6">
        <f>$M$445*$W$445</f>
        <v>98.289206400000012</v>
      </c>
      <c r="AD445" s="6">
        <f>$O$445*$X$445</f>
        <v>28.770403199999997</v>
      </c>
      <c r="AE445" s="6">
        <f>$K$445*$Y$445</f>
        <v>0</v>
      </c>
      <c r="AF445" s="6">
        <f ca="1">$M$445*$Z$445</f>
        <v>81.071302465001452</v>
      </c>
      <c r="AG445" s="6">
        <f>$O$445*$AA$445</f>
        <v>26.678958467718914</v>
      </c>
    </row>
    <row r="446" spans="1:33" ht="11.25" customHeight="1" x14ac:dyDescent="0.25">
      <c r="A446" s="4" t="s">
        <v>21</v>
      </c>
      <c r="B446" s="4" t="s">
        <v>38</v>
      </c>
      <c r="C446" s="4" t="s">
        <v>40</v>
      </c>
      <c r="D446" s="4" t="s">
        <v>43</v>
      </c>
      <c r="E446" s="4" t="s">
        <v>51</v>
      </c>
      <c r="F446" s="4" t="s">
        <v>25</v>
      </c>
      <c r="G446" s="4" t="s">
        <v>25</v>
      </c>
      <c r="H446" s="4" t="s">
        <v>33</v>
      </c>
      <c r="I446" s="5">
        <v>44440</v>
      </c>
      <c r="J446" s="6">
        <v>0</v>
      </c>
      <c r="K446" s="97">
        <v>0</v>
      </c>
      <c r="L446" s="6">
        <v>1.625</v>
      </c>
      <c r="M446" s="97">
        <v>1.625</v>
      </c>
      <c r="N446" s="6">
        <v>1.625</v>
      </c>
      <c r="O446" s="97">
        <v>1.625</v>
      </c>
      <c r="P446" s="6">
        <v>0</v>
      </c>
      <c r="Q446" s="4" t="s">
        <v>26</v>
      </c>
      <c r="R446" s="4">
        <v>0</v>
      </c>
      <c r="S446" s="6">
        <v>0</v>
      </c>
      <c r="T446" s="6">
        <v>16</v>
      </c>
      <c r="U446" s="6">
        <v>47</v>
      </c>
      <c r="V446" s="97">
        <f>IF(ISERROR(VLOOKUP($S$446,'TAR FIN'!$A$1:$O$86,15,0)),0,VLOOKUP($S$446,'TAR FIN'!$A$1:$O$86,15,0))</f>
        <v>0</v>
      </c>
      <c r="W446" s="97">
        <f>IF(ISERROR(VLOOKUP($T$446,'TAR FIN'!$A$1:$O$86,15,0)),0,VLOOKUP($T$446,'TAR FIN'!$A$1:$O$86,15,0))*(1-0.04)</f>
        <v>1276.4832000000001</v>
      </c>
      <c r="X446" s="97">
        <f>IF(ISERROR(VLOOKUP($U$446,'TAR FIN'!$A$1:$O$86,15,0)),0,VLOOKUP($U$446,'TAR FIN'!$A$1:$O$86,15,0))*(1-0.04)</f>
        <v>373.64159999999998</v>
      </c>
      <c r="Y446" s="97"/>
      <c r="Z446" s="97">
        <f ca="1">('TUSD BE'!$AM$12+'TUSD BF'!$AM$12+'TUSD CVA'!$AM$12)*1*(1-0.02)</f>
        <v>1052.8740579870318</v>
      </c>
      <c r="AA446" s="97">
        <f>('TE BE'!$AB$5+'TE BF'!$AB$5+'TE CVA'!$AB$5)*1*(1-0.02)</f>
        <v>346.47998010024565</v>
      </c>
      <c r="AB446" s="6">
        <f>$K$446*$V$446</f>
        <v>0</v>
      </c>
      <c r="AC446" s="6">
        <f>$M$446*$W$446</f>
        <v>2074.2852000000003</v>
      </c>
      <c r="AD446" s="6">
        <f>$O$446*$X$446</f>
        <v>607.16759999999999</v>
      </c>
      <c r="AE446" s="6">
        <f>$K$446*$Y$446</f>
        <v>0</v>
      </c>
      <c r="AF446" s="6">
        <f ca="1">$M$446*$Z$446</f>
        <v>1710.9203442289268</v>
      </c>
      <c r="AG446" s="6">
        <f>$O$446*$AA$446</f>
        <v>563.02996766289914</v>
      </c>
    </row>
    <row r="447" spans="1:33" ht="11.25" customHeight="1" x14ac:dyDescent="0.25">
      <c r="A447" s="4" t="s">
        <v>55</v>
      </c>
      <c r="B447" s="4" t="s">
        <v>38</v>
      </c>
      <c r="C447" s="4" t="s">
        <v>40</v>
      </c>
      <c r="D447" s="4" t="s">
        <v>43</v>
      </c>
      <c r="E447" s="4" t="s">
        <v>51</v>
      </c>
      <c r="F447" s="4" t="s">
        <v>25</v>
      </c>
      <c r="G447" s="4" t="s">
        <v>25</v>
      </c>
      <c r="H447" s="4" t="s">
        <v>33</v>
      </c>
      <c r="I447" s="5">
        <v>44440</v>
      </c>
      <c r="J447" s="6">
        <v>0</v>
      </c>
      <c r="K447" s="97">
        <v>0</v>
      </c>
      <c r="L447" s="6">
        <v>0.16700000000000001</v>
      </c>
      <c r="M447" s="97">
        <v>0.16700000000000001</v>
      </c>
      <c r="N447" s="6">
        <v>0.16700000000000001</v>
      </c>
      <c r="O447" s="97">
        <v>0.16700000000000001</v>
      </c>
      <c r="P447" s="6">
        <v>0</v>
      </c>
      <c r="Q447" s="4" t="s">
        <v>26</v>
      </c>
      <c r="R447" s="4">
        <v>0</v>
      </c>
      <c r="S447" s="6">
        <v>0</v>
      </c>
      <c r="T447" s="6">
        <v>16</v>
      </c>
      <c r="U447" s="6">
        <v>47</v>
      </c>
      <c r="V447" s="97">
        <f>IF(ISERROR(VLOOKUP($S$447,'TAR FIN'!$A$1:$O$86,15,0)),0,VLOOKUP($S$447,'TAR FIN'!$A$1:$O$86,15,0))</f>
        <v>0</v>
      </c>
      <c r="W447" s="97">
        <f>IF(ISERROR(VLOOKUP($T$447,'TAR FIN'!$A$1:$O$86,15,0)),0,VLOOKUP($T$447,'TAR FIN'!$A$1:$O$86,15,0))*(1-0.04)</f>
        <v>1276.4832000000001</v>
      </c>
      <c r="X447" s="97">
        <f>IF(ISERROR(VLOOKUP($U$447,'TAR FIN'!$A$1:$O$86,15,0)),0,VLOOKUP($U$447,'TAR FIN'!$A$1:$O$86,15,0))*(1-0.04)</f>
        <v>373.64159999999998</v>
      </c>
      <c r="Y447" s="97"/>
      <c r="Z447" s="97">
        <f ca="1">('TUSD BE'!$AM$12+'TUSD BF'!$AM$12+'TUSD CVA'!$AM$12)*1*(1-0.02)</f>
        <v>1052.8740579870318</v>
      </c>
      <c r="AA447" s="97">
        <f>('TE BE'!$AB$5+'TE BF'!$AB$5+'TE CVA'!$AB$5)*1*(1-0.02)</f>
        <v>346.47998010024565</v>
      </c>
      <c r="AB447" s="6">
        <f>$K$447*$V$447</f>
        <v>0</v>
      </c>
      <c r="AC447" s="6">
        <f>$M$447*$W$447</f>
        <v>213.17269440000004</v>
      </c>
      <c r="AD447" s="6">
        <f>$O$447*$X$447</f>
        <v>62.398147200000004</v>
      </c>
      <c r="AE447" s="6">
        <f>$K$447*$Y$447</f>
        <v>0</v>
      </c>
      <c r="AF447" s="6">
        <f ca="1">$M$447*$Z$447</f>
        <v>175.82996768383433</v>
      </c>
      <c r="AG447" s="6">
        <f>$O$447*$AA$447</f>
        <v>57.86215667674103</v>
      </c>
    </row>
    <row r="448" spans="1:33" ht="11.25" customHeight="1" x14ac:dyDescent="0.25">
      <c r="A448" s="4" t="s">
        <v>21</v>
      </c>
      <c r="B448" s="4" t="s">
        <v>38</v>
      </c>
      <c r="C448" s="4" t="s">
        <v>40</v>
      </c>
      <c r="D448" s="4" t="s">
        <v>43</v>
      </c>
      <c r="E448" s="4" t="s">
        <v>51</v>
      </c>
      <c r="F448" s="4" t="s">
        <v>25</v>
      </c>
      <c r="G448" s="4" t="s">
        <v>25</v>
      </c>
      <c r="H448" s="4" t="s">
        <v>33</v>
      </c>
      <c r="I448" s="5">
        <v>44470</v>
      </c>
      <c r="J448" s="6">
        <v>0</v>
      </c>
      <c r="K448" s="97">
        <v>0</v>
      </c>
      <c r="L448" s="6">
        <v>1.6020000000000001</v>
      </c>
      <c r="M448" s="97">
        <v>1.6020000000000001</v>
      </c>
      <c r="N448" s="6">
        <v>1.6020000000000001</v>
      </c>
      <c r="O448" s="97">
        <v>1.6020000000000001</v>
      </c>
      <c r="P448" s="6">
        <v>0</v>
      </c>
      <c r="Q448" s="4" t="s">
        <v>26</v>
      </c>
      <c r="R448" s="4">
        <v>0</v>
      </c>
      <c r="S448" s="6">
        <v>0</v>
      </c>
      <c r="T448" s="6">
        <v>16</v>
      </c>
      <c r="U448" s="6">
        <v>47</v>
      </c>
      <c r="V448" s="97">
        <f>IF(ISERROR(VLOOKUP($S$448,'TAR FIN'!$A$1:$O$86,15,0)),0,VLOOKUP($S$448,'TAR FIN'!$A$1:$O$86,15,0))</f>
        <v>0</v>
      </c>
      <c r="W448" s="97">
        <f>IF(ISERROR(VLOOKUP($T$448,'TAR FIN'!$A$1:$O$86,15,0)),0,VLOOKUP($T$448,'TAR FIN'!$A$1:$O$86,15,0))*(1-0.04)</f>
        <v>1276.4832000000001</v>
      </c>
      <c r="X448" s="97">
        <f>IF(ISERROR(VLOOKUP($U$448,'TAR FIN'!$A$1:$O$86,15,0)),0,VLOOKUP($U$448,'TAR FIN'!$A$1:$O$86,15,0))*(1-0.04)</f>
        <v>373.64159999999998</v>
      </c>
      <c r="Y448" s="97"/>
      <c r="Z448" s="97">
        <f ca="1">('TUSD BE'!$AM$12+'TUSD BF'!$AM$12+'TUSD CVA'!$AM$12)*1*(1-0.02)</f>
        <v>1052.8740579870318</v>
      </c>
      <c r="AA448" s="97">
        <f>('TE BE'!$AB$5+'TE BF'!$AB$5+'TE CVA'!$AB$5)*1*(1-0.02)</f>
        <v>346.47998010024565</v>
      </c>
      <c r="AB448" s="6">
        <f>$K$448*$V$448</f>
        <v>0</v>
      </c>
      <c r="AC448" s="6">
        <f>$M$448*$W$448</f>
        <v>2044.9260864000003</v>
      </c>
      <c r="AD448" s="6">
        <f>$O$448*$X$448</f>
        <v>598.57384320000006</v>
      </c>
      <c r="AE448" s="6">
        <f>$K$448*$Y$448</f>
        <v>0</v>
      </c>
      <c r="AF448" s="6">
        <f ca="1">$M$448*$Z$448</f>
        <v>1686.7042408952252</v>
      </c>
      <c r="AG448" s="6">
        <f>$O$448*$AA$448</f>
        <v>555.06092812059353</v>
      </c>
    </row>
    <row r="449" spans="1:33" ht="11.25" customHeight="1" x14ac:dyDescent="0.25">
      <c r="A449" s="4" t="s">
        <v>55</v>
      </c>
      <c r="B449" s="4" t="s">
        <v>38</v>
      </c>
      <c r="C449" s="4" t="s">
        <v>40</v>
      </c>
      <c r="D449" s="4" t="s">
        <v>43</v>
      </c>
      <c r="E449" s="4" t="s">
        <v>51</v>
      </c>
      <c r="F449" s="4" t="s">
        <v>25</v>
      </c>
      <c r="G449" s="4" t="s">
        <v>25</v>
      </c>
      <c r="H449" s="4" t="s">
        <v>33</v>
      </c>
      <c r="I449" s="5">
        <v>44470</v>
      </c>
      <c r="J449" s="6">
        <v>0</v>
      </c>
      <c r="K449" s="97">
        <v>0</v>
      </c>
      <c r="L449" s="6">
        <v>0.17499999999999999</v>
      </c>
      <c r="M449" s="97">
        <v>0.17499999999999999</v>
      </c>
      <c r="N449" s="6">
        <v>0.17499999999999999</v>
      </c>
      <c r="O449" s="97">
        <v>0.17499999999999999</v>
      </c>
      <c r="P449" s="6">
        <v>0</v>
      </c>
      <c r="Q449" s="4" t="s">
        <v>26</v>
      </c>
      <c r="R449" s="4">
        <v>0</v>
      </c>
      <c r="S449" s="6">
        <v>0</v>
      </c>
      <c r="T449" s="6">
        <v>16</v>
      </c>
      <c r="U449" s="6">
        <v>47</v>
      </c>
      <c r="V449" s="97">
        <f>IF(ISERROR(VLOOKUP($S$449,'TAR FIN'!$A$1:$O$86,15,0)),0,VLOOKUP($S$449,'TAR FIN'!$A$1:$O$86,15,0))</f>
        <v>0</v>
      </c>
      <c r="W449" s="97">
        <f>IF(ISERROR(VLOOKUP($T$449,'TAR FIN'!$A$1:$O$86,15,0)),0,VLOOKUP($T$449,'TAR FIN'!$A$1:$O$86,15,0))*(1-0.04)</f>
        <v>1276.4832000000001</v>
      </c>
      <c r="X449" s="97">
        <f>IF(ISERROR(VLOOKUP($U$449,'TAR FIN'!$A$1:$O$86,15,0)),0,VLOOKUP($U$449,'TAR FIN'!$A$1:$O$86,15,0))*(1-0.04)</f>
        <v>373.64159999999998</v>
      </c>
      <c r="Y449" s="97"/>
      <c r="Z449" s="97">
        <f ca="1">('TUSD BE'!$AM$12+'TUSD BF'!$AM$12+'TUSD CVA'!$AM$12)*1*(1-0.02)</f>
        <v>1052.8740579870318</v>
      </c>
      <c r="AA449" s="97">
        <f>('TE BE'!$AB$5+'TE BF'!$AB$5+'TE CVA'!$AB$5)*1*(1-0.02)</f>
        <v>346.47998010024565</v>
      </c>
      <c r="AB449" s="6">
        <f>$K$449*$V$449</f>
        <v>0</v>
      </c>
      <c r="AC449" s="6">
        <f>$M$449*$W$449</f>
        <v>223.38456000000002</v>
      </c>
      <c r="AD449" s="6">
        <f>$O$449*$X$449</f>
        <v>65.38727999999999</v>
      </c>
      <c r="AE449" s="6">
        <f>$K$449*$Y$449</f>
        <v>0</v>
      </c>
      <c r="AF449" s="6">
        <f ca="1">$M$449*$Z$449</f>
        <v>184.25296014773056</v>
      </c>
      <c r="AG449" s="6">
        <f>$O$449*$AA$449</f>
        <v>60.633996517542982</v>
      </c>
    </row>
    <row r="450" spans="1:33" ht="11.25" customHeight="1" x14ac:dyDescent="0.25">
      <c r="A450" s="4" t="s">
        <v>21</v>
      </c>
      <c r="B450" s="4" t="s">
        <v>38</v>
      </c>
      <c r="C450" s="4" t="s">
        <v>40</v>
      </c>
      <c r="D450" s="4" t="s">
        <v>43</v>
      </c>
      <c r="E450" s="4" t="s">
        <v>51</v>
      </c>
      <c r="F450" s="4" t="s">
        <v>25</v>
      </c>
      <c r="G450" s="4" t="s">
        <v>25</v>
      </c>
      <c r="H450" s="4" t="s">
        <v>33</v>
      </c>
      <c r="I450" s="5">
        <v>44501</v>
      </c>
      <c r="J450" s="6">
        <v>0</v>
      </c>
      <c r="K450" s="97">
        <v>0</v>
      </c>
      <c r="L450" s="6">
        <v>3.5369999999999999</v>
      </c>
      <c r="M450" s="97">
        <v>3.5369999999999999</v>
      </c>
      <c r="N450" s="6">
        <v>3.5369999999999999</v>
      </c>
      <c r="O450" s="97">
        <v>3.5369999999999999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16</v>
      </c>
      <c r="U450" s="6">
        <v>47</v>
      </c>
      <c r="V450" s="97">
        <f>IF(ISERROR(VLOOKUP($S$450,'TAR FIN'!$A$1:$O$86,15,0)),0,VLOOKUP($S$450,'TAR FIN'!$A$1:$O$86,15,0))</f>
        <v>0</v>
      </c>
      <c r="W450" s="97">
        <f>IF(ISERROR(VLOOKUP($T$450,'TAR FIN'!$A$1:$O$86,15,0)),0,VLOOKUP($T$450,'TAR FIN'!$A$1:$O$86,15,0))*(1-0.04)</f>
        <v>1276.4832000000001</v>
      </c>
      <c r="X450" s="97">
        <f>IF(ISERROR(VLOOKUP($U$450,'TAR FIN'!$A$1:$O$86,15,0)),0,VLOOKUP($U$450,'TAR FIN'!$A$1:$O$86,15,0))*(1-0.04)</f>
        <v>373.64159999999998</v>
      </c>
      <c r="Y450" s="97"/>
      <c r="Z450" s="97">
        <f ca="1">('TUSD BE'!$AM$12+'TUSD BF'!$AM$12+'TUSD CVA'!$AM$12)*1*(1-0.02)</f>
        <v>1052.8740579870318</v>
      </c>
      <c r="AA450" s="97">
        <f>('TE BE'!$AB$5+'TE BF'!$AB$5+'TE CVA'!$AB$5)*1*(1-0.02)</f>
        <v>346.47998010024565</v>
      </c>
      <c r="AB450" s="6">
        <f>$K$450*$V$450</f>
        <v>0</v>
      </c>
      <c r="AC450" s="6">
        <f>$M$450*$W$450</f>
        <v>4514.9210784000006</v>
      </c>
      <c r="AD450" s="6">
        <f>$O$450*$X$450</f>
        <v>1321.5703391999998</v>
      </c>
      <c r="AE450" s="6">
        <f>$K$450*$Y$450</f>
        <v>0</v>
      </c>
      <c r="AF450" s="6">
        <f ca="1">$M$450*$Z$450</f>
        <v>3724.0155431001317</v>
      </c>
      <c r="AG450" s="6">
        <f>$O$450*$AA$450</f>
        <v>1225.4996896145688</v>
      </c>
    </row>
    <row r="451" spans="1:33" ht="11.25" customHeight="1" x14ac:dyDescent="0.25">
      <c r="A451" s="4" t="s">
        <v>55</v>
      </c>
      <c r="B451" s="4" t="s">
        <v>38</v>
      </c>
      <c r="C451" s="4" t="s">
        <v>40</v>
      </c>
      <c r="D451" s="4" t="s">
        <v>43</v>
      </c>
      <c r="E451" s="4" t="s">
        <v>51</v>
      </c>
      <c r="F451" s="4" t="s">
        <v>25</v>
      </c>
      <c r="G451" s="4" t="s">
        <v>25</v>
      </c>
      <c r="H451" s="4" t="s">
        <v>33</v>
      </c>
      <c r="I451" s="5">
        <v>44501</v>
      </c>
      <c r="J451" s="6">
        <v>0</v>
      </c>
      <c r="K451" s="97">
        <v>0</v>
      </c>
      <c r="L451" s="6">
        <v>1.5620000000000001</v>
      </c>
      <c r="M451" s="97">
        <v>1.5620000000000001</v>
      </c>
      <c r="N451" s="6">
        <v>1.5620000000000001</v>
      </c>
      <c r="O451" s="97">
        <v>1.5620000000000001</v>
      </c>
      <c r="P451" s="6">
        <v>0</v>
      </c>
      <c r="Q451" s="4" t="s">
        <v>26</v>
      </c>
      <c r="R451" s="4">
        <v>0</v>
      </c>
      <c r="S451" s="6">
        <v>0</v>
      </c>
      <c r="T451" s="6">
        <v>16</v>
      </c>
      <c r="U451" s="6">
        <v>47</v>
      </c>
      <c r="V451" s="97">
        <f>IF(ISERROR(VLOOKUP($S$451,'TAR FIN'!$A$1:$O$86,15,0)),0,VLOOKUP($S$451,'TAR FIN'!$A$1:$O$86,15,0))</f>
        <v>0</v>
      </c>
      <c r="W451" s="97">
        <f>IF(ISERROR(VLOOKUP($T$451,'TAR FIN'!$A$1:$O$86,15,0)),0,VLOOKUP($T$451,'TAR FIN'!$A$1:$O$86,15,0))*(1-0.04)</f>
        <v>1276.4832000000001</v>
      </c>
      <c r="X451" s="97">
        <f>IF(ISERROR(VLOOKUP($U$451,'TAR FIN'!$A$1:$O$86,15,0)),0,VLOOKUP($U$451,'TAR FIN'!$A$1:$O$86,15,0))*(1-0.04)</f>
        <v>373.64159999999998</v>
      </c>
      <c r="Y451" s="97"/>
      <c r="Z451" s="97">
        <f ca="1">('TUSD BE'!$AM$12+'TUSD BF'!$AM$12+'TUSD CVA'!$AM$12)*1*(1-0.02)</f>
        <v>1052.8740579870318</v>
      </c>
      <c r="AA451" s="97">
        <f>('TE BE'!$AB$5+'TE BF'!$AB$5+'TE CVA'!$AB$5)*1*(1-0.02)</f>
        <v>346.47998010024565</v>
      </c>
      <c r="AB451" s="6">
        <f>$K$451*$V$451</f>
        <v>0</v>
      </c>
      <c r="AC451" s="6">
        <f>$M$451*$W$451</f>
        <v>1993.8667584000002</v>
      </c>
      <c r="AD451" s="6">
        <f>$O$451*$X$451</f>
        <v>583.62817919999998</v>
      </c>
      <c r="AE451" s="6">
        <f>$K$451*$Y$451</f>
        <v>0</v>
      </c>
      <c r="AF451" s="6">
        <f ca="1">$M$451*$Z$451</f>
        <v>1644.5892785757437</v>
      </c>
      <c r="AG451" s="6">
        <f>$O$451*$AA$451</f>
        <v>541.20172891658376</v>
      </c>
    </row>
    <row r="452" spans="1:33" ht="11.25" customHeight="1" x14ac:dyDescent="0.25">
      <c r="A452" s="4" t="s">
        <v>21</v>
      </c>
      <c r="B452" s="4" t="s">
        <v>38</v>
      </c>
      <c r="C452" s="4" t="s">
        <v>40</v>
      </c>
      <c r="D452" s="4" t="s">
        <v>43</v>
      </c>
      <c r="E452" s="4" t="s">
        <v>51</v>
      </c>
      <c r="F452" s="4" t="s">
        <v>25</v>
      </c>
      <c r="G452" s="4" t="s">
        <v>25</v>
      </c>
      <c r="H452" s="4" t="s">
        <v>33</v>
      </c>
      <c r="I452" s="5">
        <v>44531</v>
      </c>
      <c r="J452" s="6">
        <v>0</v>
      </c>
      <c r="K452" s="97">
        <v>0</v>
      </c>
      <c r="L452" s="6">
        <v>17.158000000000001</v>
      </c>
      <c r="M452" s="97">
        <v>17.158000000000001</v>
      </c>
      <c r="N452" s="6">
        <v>17.158000000000001</v>
      </c>
      <c r="O452" s="97">
        <v>17.158000000000001</v>
      </c>
      <c r="P452" s="6">
        <v>0</v>
      </c>
      <c r="Q452" s="4" t="s">
        <v>26</v>
      </c>
      <c r="R452" s="4">
        <v>0</v>
      </c>
      <c r="S452" s="6">
        <v>0</v>
      </c>
      <c r="T452" s="6">
        <v>16</v>
      </c>
      <c r="U452" s="6">
        <v>47</v>
      </c>
      <c r="V452" s="97">
        <f>IF(ISERROR(VLOOKUP($S$452,'TAR FIN'!$A$1:$O$86,15,0)),0,VLOOKUP($S$452,'TAR FIN'!$A$1:$O$86,15,0))</f>
        <v>0</v>
      </c>
      <c r="W452" s="97">
        <f>IF(ISERROR(VLOOKUP($T$452,'TAR FIN'!$A$1:$O$86,15,0)),0,VLOOKUP($T$452,'TAR FIN'!$A$1:$O$86,15,0))*(1-0.04)</f>
        <v>1276.4832000000001</v>
      </c>
      <c r="X452" s="97">
        <f>IF(ISERROR(VLOOKUP($U$452,'TAR FIN'!$A$1:$O$86,15,0)),0,VLOOKUP($U$452,'TAR FIN'!$A$1:$O$86,15,0))*(1-0.04)</f>
        <v>373.64159999999998</v>
      </c>
      <c r="Y452" s="97"/>
      <c r="Z452" s="97">
        <f ca="1">('TUSD BE'!$AM$12+'TUSD BF'!$AM$12+'TUSD CVA'!$AM$12)*1*(1-0.02)</f>
        <v>1052.8740579870318</v>
      </c>
      <c r="AA452" s="97">
        <f>('TE BE'!$AB$5+'TE BF'!$AB$5+'TE CVA'!$AB$5)*1*(1-0.02)</f>
        <v>346.47998010024565</v>
      </c>
      <c r="AB452" s="6">
        <f>$K$452*$V$452</f>
        <v>0</v>
      </c>
      <c r="AC452" s="6">
        <f>$M$452*$W$452</f>
        <v>21901.898745600003</v>
      </c>
      <c r="AD452" s="6">
        <f>$O$452*$X$452</f>
        <v>6410.9425728000006</v>
      </c>
      <c r="AE452" s="6">
        <f>$K$452*$Y$452</f>
        <v>0</v>
      </c>
      <c r="AF452" s="6">
        <f ca="1">$M$452*$Z$452</f>
        <v>18065.213086941494</v>
      </c>
      <c r="AG452" s="6">
        <f>$O$452*$AA$452</f>
        <v>5944.9034985600156</v>
      </c>
    </row>
    <row r="453" spans="1:33" ht="11.25" customHeight="1" x14ac:dyDescent="0.25">
      <c r="A453" s="4" t="s">
        <v>55</v>
      </c>
      <c r="B453" s="4" t="s">
        <v>38</v>
      </c>
      <c r="C453" s="4" t="s">
        <v>40</v>
      </c>
      <c r="D453" s="4" t="s">
        <v>43</v>
      </c>
      <c r="E453" s="4" t="s">
        <v>51</v>
      </c>
      <c r="F453" s="4" t="s">
        <v>25</v>
      </c>
      <c r="G453" s="4" t="s">
        <v>25</v>
      </c>
      <c r="H453" s="4" t="s">
        <v>33</v>
      </c>
      <c r="I453" s="5">
        <v>44531</v>
      </c>
      <c r="J453" s="6">
        <v>0</v>
      </c>
      <c r="K453" s="97">
        <v>0</v>
      </c>
      <c r="L453" s="6">
        <v>1.4259999999999999</v>
      </c>
      <c r="M453" s="97">
        <v>1.4259999999999999</v>
      </c>
      <c r="N453" s="6">
        <v>1.4259999999999999</v>
      </c>
      <c r="O453" s="97">
        <v>1.4259999999999999</v>
      </c>
      <c r="P453" s="6">
        <v>0</v>
      </c>
      <c r="Q453" s="4" t="s">
        <v>26</v>
      </c>
      <c r="R453" s="4">
        <v>0</v>
      </c>
      <c r="S453" s="6">
        <v>0</v>
      </c>
      <c r="T453" s="6">
        <v>16</v>
      </c>
      <c r="U453" s="6">
        <v>47</v>
      </c>
      <c r="V453" s="97">
        <f>IF(ISERROR(VLOOKUP($S$453,'TAR FIN'!$A$1:$O$86,15,0)),0,VLOOKUP($S$453,'TAR FIN'!$A$1:$O$86,15,0))</f>
        <v>0</v>
      </c>
      <c r="W453" s="97">
        <f>IF(ISERROR(VLOOKUP($T$453,'TAR FIN'!$A$1:$O$86,15,0)),0,VLOOKUP($T$453,'TAR FIN'!$A$1:$O$86,15,0))*(1-0.04)</f>
        <v>1276.4832000000001</v>
      </c>
      <c r="X453" s="97">
        <f>IF(ISERROR(VLOOKUP($U$453,'TAR FIN'!$A$1:$O$86,15,0)),0,VLOOKUP($U$453,'TAR FIN'!$A$1:$O$86,15,0))*(1-0.04)</f>
        <v>373.64159999999998</v>
      </c>
      <c r="Y453" s="97"/>
      <c r="Z453" s="97">
        <f ca="1">('TUSD BE'!$AM$12+'TUSD BF'!$AM$12+'TUSD CVA'!$AM$12)*1*(1-0.02)</f>
        <v>1052.8740579870318</v>
      </c>
      <c r="AA453" s="97">
        <f>('TE BE'!$AB$5+'TE BF'!$AB$5+'TE CVA'!$AB$5)*1*(1-0.02)</f>
        <v>346.47998010024565</v>
      </c>
      <c r="AB453" s="6">
        <f>$K$453*$V$453</f>
        <v>0</v>
      </c>
      <c r="AC453" s="6">
        <f>$M$453*$W$453</f>
        <v>1820.2650432</v>
      </c>
      <c r="AD453" s="6">
        <f>$O$453*$X$453</f>
        <v>532.81292159999998</v>
      </c>
      <c r="AE453" s="6">
        <f>$K$453*$Y$453</f>
        <v>0</v>
      </c>
      <c r="AF453" s="6">
        <f ca="1">$M$453*$Z$453</f>
        <v>1501.3984066895073</v>
      </c>
      <c r="AG453" s="6">
        <f>$O$453*$AA$453</f>
        <v>494.08045162295031</v>
      </c>
    </row>
    <row r="454" spans="1:33" ht="11.25" customHeight="1" x14ac:dyDescent="0.25">
      <c r="A454" s="4" t="s">
        <v>21</v>
      </c>
      <c r="B454" s="4" t="s">
        <v>38</v>
      </c>
      <c r="C454" s="4" t="s">
        <v>40</v>
      </c>
      <c r="D454" s="4" t="s">
        <v>43</v>
      </c>
      <c r="E454" s="4" t="s">
        <v>51</v>
      </c>
      <c r="F454" s="4" t="s">
        <v>25</v>
      </c>
      <c r="G454" s="4" t="s">
        <v>25</v>
      </c>
      <c r="H454" s="4" t="s">
        <v>33</v>
      </c>
      <c r="I454" s="5">
        <v>44562</v>
      </c>
      <c r="J454" s="6">
        <v>0</v>
      </c>
      <c r="K454" s="97">
        <v>0</v>
      </c>
      <c r="L454" s="6">
        <v>10.287000000000001</v>
      </c>
      <c r="M454" s="97">
        <v>10.287000000000001</v>
      </c>
      <c r="N454" s="6">
        <v>10.287000000000001</v>
      </c>
      <c r="O454" s="97">
        <v>10.287000000000001</v>
      </c>
      <c r="P454" s="6">
        <v>0</v>
      </c>
      <c r="Q454" s="4" t="s">
        <v>26</v>
      </c>
      <c r="R454" s="4">
        <v>0</v>
      </c>
      <c r="S454" s="6">
        <v>0</v>
      </c>
      <c r="T454" s="6">
        <v>16</v>
      </c>
      <c r="U454" s="6">
        <v>47</v>
      </c>
      <c r="V454" s="97">
        <f>IF(ISERROR(VLOOKUP($S$454,'TAR FIN'!$A$1:$O$86,15,0)),0,VLOOKUP($S$454,'TAR FIN'!$A$1:$O$86,15,0))</f>
        <v>0</v>
      </c>
      <c r="W454" s="97">
        <f>IF(ISERROR(VLOOKUP($T$454,'TAR FIN'!$A$1:$O$86,15,0)),0,VLOOKUP($T$454,'TAR FIN'!$A$1:$O$86,15,0))*(1-0.04)</f>
        <v>1276.4832000000001</v>
      </c>
      <c r="X454" s="97">
        <f>IF(ISERROR(VLOOKUP($U$454,'TAR FIN'!$A$1:$O$86,15,0)),0,VLOOKUP($U$454,'TAR FIN'!$A$1:$O$86,15,0))*(1-0.04)</f>
        <v>373.64159999999998</v>
      </c>
      <c r="Y454" s="97"/>
      <c r="Z454" s="97">
        <f ca="1">('TUSD BE'!$AM$12+'TUSD BF'!$AM$12+'TUSD CVA'!$AM$12)*1*(1-0.02)</f>
        <v>1052.8740579870318</v>
      </c>
      <c r="AA454" s="97">
        <f>('TE BE'!$AB$5+'TE BF'!$AB$5+'TE CVA'!$AB$5)*1*(1-0.02)</f>
        <v>346.47998010024565</v>
      </c>
      <c r="AB454" s="6">
        <f>$K$454*$V$454</f>
        <v>0</v>
      </c>
      <c r="AC454" s="6">
        <f>$M$454*$W$454</f>
        <v>13131.182678400002</v>
      </c>
      <c r="AD454" s="6">
        <f>$O$454*$X$454</f>
        <v>3843.6511392000002</v>
      </c>
      <c r="AE454" s="6">
        <f>$K$454*$Y$454</f>
        <v>0</v>
      </c>
      <c r="AF454" s="6">
        <f ca="1">$M$454*$Z$454</f>
        <v>10830.915434512597</v>
      </c>
      <c r="AG454" s="6">
        <f>$O$454*$AA$454</f>
        <v>3564.2395552912271</v>
      </c>
    </row>
    <row r="455" spans="1:33" ht="11.25" customHeight="1" x14ac:dyDescent="0.25">
      <c r="A455" s="4" t="s">
        <v>55</v>
      </c>
      <c r="B455" s="4" t="s">
        <v>38</v>
      </c>
      <c r="C455" s="4" t="s">
        <v>40</v>
      </c>
      <c r="D455" s="4" t="s">
        <v>43</v>
      </c>
      <c r="E455" s="4" t="s">
        <v>51</v>
      </c>
      <c r="F455" s="4" t="s">
        <v>25</v>
      </c>
      <c r="G455" s="4" t="s">
        <v>25</v>
      </c>
      <c r="H455" s="4" t="s">
        <v>33</v>
      </c>
      <c r="I455" s="5">
        <v>44562</v>
      </c>
      <c r="J455" s="6">
        <v>0</v>
      </c>
      <c r="K455" s="97">
        <v>0</v>
      </c>
      <c r="L455" s="6">
        <v>0.22500000000000001</v>
      </c>
      <c r="M455" s="97">
        <v>0.22500000000000001</v>
      </c>
      <c r="N455" s="6">
        <v>0.22500000000000001</v>
      </c>
      <c r="O455" s="97">
        <v>0.22500000000000001</v>
      </c>
      <c r="P455" s="6">
        <v>0</v>
      </c>
      <c r="Q455" s="4" t="s">
        <v>26</v>
      </c>
      <c r="R455" s="4">
        <v>0</v>
      </c>
      <c r="S455" s="6">
        <v>0</v>
      </c>
      <c r="T455" s="6">
        <v>16</v>
      </c>
      <c r="U455" s="6">
        <v>47</v>
      </c>
      <c r="V455" s="97">
        <f>IF(ISERROR(VLOOKUP($S$455,'TAR FIN'!$A$1:$O$86,15,0)),0,VLOOKUP($S$455,'TAR FIN'!$A$1:$O$86,15,0))</f>
        <v>0</v>
      </c>
      <c r="W455" s="97">
        <f>IF(ISERROR(VLOOKUP($T$455,'TAR FIN'!$A$1:$O$86,15,0)),0,VLOOKUP($T$455,'TAR FIN'!$A$1:$O$86,15,0))*(1-0.04)</f>
        <v>1276.4832000000001</v>
      </c>
      <c r="X455" s="97">
        <f>IF(ISERROR(VLOOKUP($U$455,'TAR FIN'!$A$1:$O$86,15,0)),0,VLOOKUP($U$455,'TAR FIN'!$A$1:$O$86,15,0))*(1-0.04)</f>
        <v>373.64159999999998</v>
      </c>
      <c r="Y455" s="97"/>
      <c r="Z455" s="97">
        <f ca="1">('TUSD BE'!$AM$12+'TUSD BF'!$AM$12+'TUSD CVA'!$AM$12)*1*(1-0.02)</f>
        <v>1052.8740579870318</v>
      </c>
      <c r="AA455" s="97">
        <f>('TE BE'!$AB$5+'TE BF'!$AB$5+'TE CVA'!$AB$5)*1*(1-0.02)</f>
        <v>346.47998010024565</v>
      </c>
      <c r="AB455" s="6">
        <f>$K$455*$V$455</f>
        <v>0</v>
      </c>
      <c r="AC455" s="6">
        <f>$M$455*$W$455</f>
        <v>287.20872000000003</v>
      </c>
      <c r="AD455" s="6">
        <f>$O$455*$X$455</f>
        <v>84.069360000000003</v>
      </c>
      <c r="AE455" s="6">
        <f>$K$455*$Y$455</f>
        <v>0</v>
      </c>
      <c r="AF455" s="6">
        <f ca="1">$M$455*$Z$455</f>
        <v>236.89666304708217</v>
      </c>
      <c r="AG455" s="6">
        <f>$O$455*$AA$455</f>
        <v>77.957995522555279</v>
      </c>
    </row>
    <row r="456" spans="1:33" ht="11.25" customHeight="1" x14ac:dyDescent="0.25">
      <c r="A456" s="4" t="s">
        <v>21</v>
      </c>
      <c r="B456" s="4" t="s">
        <v>38</v>
      </c>
      <c r="C456" s="4" t="s">
        <v>40</v>
      </c>
      <c r="D456" s="4" t="s">
        <v>43</v>
      </c>
      <c r="E456" s="4" t="s">
        <v>51</v>
      </c>
      <c r="F456" s="4" t="s">
        <v>25</v>
      </c>
      <c r="G456" s="4" t="s">
        <v>25</v>
      </c>
      <c r="H456" s="4" t="s">
        <v>33</v>
      </c>
      <c r="I456" s="5">
        <v>44593</v>
      </c>
      <c r="J456" s="6">
        <v>0</v>
      </c>
      <c r="K456" s="97">
        <v>0</v>
      </c>
      <c r="L456" s="6">
        <v>7.0919999999999996</v>
      </c>
      <c r="M456" s="97">
        <v>7.0919999999999996</v>
      </c>
      <c r="N456" s="6">
        <v>7.0919999999999996</v>
      </c>
      <c r="O456" s="97">
        <v>7.0919999999999996</v>
      </c>
      <c r="P456" s="6">
        <v>0</v>
      </c>
      <c r="Q456" s="4" t="s">
        <v>26</v>
      </c>
      <c r="R456" s="4">
        <v>0</v>
      </c>
      <c r="S456" s="6">
        <v>0</v>
      </c>
      <c r="T456" s="6">
        <v>16</v>
      </c>
      <c r="U456" s="6">
        <v>47</v>
      </c>
      <c r="V456" s="97">
        <f>IF(ISERROR(VLOOKUP($S$456,'TAR FIN'!$A$1:$O$86,15,0)),0,VLOOKUP($S$456,'TAR FIN'!$A$1:$O$86,15,0))</f>
        <v>0</v>
      </c>
      <c r="W456" s="97">
        <f>IF(ISERROR(VLOOKUP($T$456,'TAR FIN'!$A$1:$O$86,15,0)),0,VLOOKUP($T$456,'TAR FIN'!$A$1:$O$86,15,0))*(1-0.04)</f>
        <v>1276.4832000000001</v>
      </c>
      <c r="X456" s="97">
        <f>IF(ISERROR(VLOOKUP($U$456,'TAR FIN'!$A$1:$O$86,15,0)),0,VLOOKUP($U$456,'TAR FIN'!$A$1:$O$86,15,0))*(1-0.04)</f>
        <v>373.64159999999998</v>
      </c>
      <c r="Y456" s="97"/>
      <c r="Z456" s="97">
        <f ca="1">('TUSD BE'!$AM$12+'TUSD BF'!$AM$12+'TUSD CVA'!$AM$12)*1*(1-0.02)</f>
        <v>1052.8740579870318</v>
      </c>
      <c r="AA456" s="97">
        <f>('TE BE'!$AB$5+'TE BF'!$AB$5+'TE CVA'!$AB$5)*1*(1-0.02)</f>
        <v>346.47998010024565</v>
      </c>
      <c r="AB456" s="6">
        <f>$K$456*$V$456</f>
        <v>0</v>
      </c>
      <c r="AC456" s="6">
        <f>$M$456*$W$456</f>
        <v>9052.8188544000004</v>
      </c>
      <c r="AD456" s="6">
        <f>$O$456*$X$456</f>
        <v>2649.8662271999997</v>
      </c>
      <c r="AE456" s="6">
        <f>$K$456*$Y$456</f>
        <v>0</v>
      </c>
      <c r="AF456" s="6">
        <f ca="1">$M$456*$Z$456</f>
        <v>7466.9828192440291</v>
      </c>
      <c r="AG456" s="6">
        <f>$O$456*$AA$456</f>
        <v>2457.2360188709422</v>
      </c>
    </row>
    <row r="457" spans="1:33" ht="11.25" customHeight="1" x14ac:dyDescent="0.25">
      <c r="A457" s="4" t="s">
        <v>55</v>
      </c>
      <c r="B457" s="4" t="s">
        <v>38</v>
      </c>
      <c r="C457" s="4" t="s">
        <v>40</v>
      </c>
      <c r="D457" s="4" t="s">
        <v>43</v>
      </c>
      <c r="E457" s="4" t="s">
        <v>51</v>
      </c>
      <c r="F457" s="4" t="s">
        <v>25</v>
      </c>
      <c r="G457" s="4" t="s">
        <v>25</v>
      </c>
      <c r="H457" s="4" t="s">
        <v>33</v>
      </c>
      <c r="I457" s="5">
        <v>44593</v>
      </c>
      <c r="J457" s="6">
        <v>0</v>
      </c>
      <c r="K457" s="97">
        <v>0</v>
      </c>
      <c r="L457" s="6">
        <v>0.104</v>
      </c>
      <c r="M457" s="97">
        <v>0.104</v>
      </c>
      <c r="N457" s="6">
        <v>0.104</v>
      </c>
      <c r="O457" s="97">
        <v>0.104</v>
      </c>
      <c r="P457" s="6">
        <v>0</v>
      </c>
      <c r="Q457" s="4" t="s">
        <v>26</v>
      </c>
      <c r="R457" s="4">
        <v>0</v>
      </c>
      <c r="S457" s="6">
        <v>0</v>
      </c>
      <c r="T457" s="6">
        <v>16</v>
      </c>
      <c r="U457" s="6">
        <v>47</v>
      </c>
      <c r="V457" s="97">
        <f>IF(ISERROR(VLOOKUP($S$457,'TAR FIN'!$A$1:$O$86,15,0)),0,VLOOKUP($S$457,'TAR FIN'!$A$1:$O$86,15,0))</f>
        <v>0</v>
      </c>
      <c r="W457" s="97">
        <f>IF(ISERROR(VLOOKUP($T$457,'TAR FIN'!$A$1:$O$86,15,0)),0,VLOOKUP($T$457,'TAR FIN'!$A$1:$O$86,15,0))*(1-0.04)</f>
        <v>1276.4832000000001</v>
      </c>
      <c r="X457" s="97">
        <f>IF(ISERROR(VLOOKUP($U$457,'TAR FIN'!$A$1:$O$86,15,0)),0,VLOOKUP($U$457,'TAR FIN'!$A$1:$O$86,15,0))*(1-0.04)</f>
        <v>373.64159999999998</v>
      </c>
      <c r="Y457" s="97"/>
      <c r="Z457" s="97">
        <f ca="1">('TUSD BE'!$AM$12+'TUSD BF'!$AM$12+'TUSD CVA'!$AM$12)*1*(1-0.02)</f>
        <v>1052.8740579870318</v>
      </c>
      <c r="AA457" s="97">
        <f>('TE BE'!$AB$5+'TE BF'!$AB$5+'TE CVA'!$AB$5)*1*(1-0.02)</f>
        <v>346.47998010024565</v>
      </c>
      <c r="AB457" s="6">
        <f>$K$457*$V$457</f>
        <v>0</v>
      </c>
      <c r="AC457" s="6">
        <f>$M$457*$W$457</f>
        <v>132.75425280000002</v>
      </c>
      <c r="AD457" s="6">
        <f>$O$457*$X$457</f>
        <v>38.858726399999995</v>
      </c>
      <c r="AE457" s="6">
        <f>$K$457*$Y$457</f>
        <v>0</v>
      </c>
      <c r="AF457" s="6">
        <f ca="1">$M$457*$Z$457</f>
        <v>109.49890203065131</v>
      </c>
      <c r="AG457" s="6">
        <f>$O$457*$AA$457</f>
        <v>36.033917930425545</v>
      </c>
    </row>
    <row r="458" spans="1:33" ht="11.25" customHeight="1" x14ac:dyDescent="0.25">
      <c r="A458" s="4" t="s">
        <v>21</v>
      </c>
      <c r="B458" s="4" t="s">
        <v>38</v>
      </c>
      <c r="C458" s="4" t="s">
        <v>40</v>
      </c>
      <c r="D458" s="4" t="s">
        <v>43</v>
      </c>
      <c r="E458" s="4" t="s">
        <v>51</v>
      </c>
      <c r="F458" s="4" t="s">
        <v>25</v>
      </c>
      <c r="G458" s="4" t="s">
        <v>25</v>
      </c>
      <c r="H458" s="4" t="s">
        <v>33</v>
      </c>
      <c r="I458" s="5">
        <v>44621</v>
      </c>
      <c r="J458" s="6">
        <v>0</v>
      </c>
      <c r="K458" s="97">
        <v>0</v>
      </c>
      <c r="L458" s="6">
        <v>1.716</v>
      </c>
      <c r="M458" s="97">
        <v>1.716</v>
      </c>
      <c r="N458" s="6">
        <v>1.716</v>
      </c>
      <c r="O458" s="97">
        <v>1.716</v>
      </c>
      <c r="P458" s="6">
        <v>0</v>
      </c>
      <c r="Q458" s="4" t="s">
        <v>26</v>
      </c>
      <c r="R458" s="4">
        <v>0</v>
      </c>
      <c r="S458" s="6">
        <v>0</v>
      </c>
      <c r="T458" s="6">
        <v>16</v>
      </c>
      <c r="U458" s="6">
        <v>47</v>
      </c>
      <c r="V458" s="97">
        <f>IF(ISERROR(VLOOKUP($S$458,'TAR FIN'!$A$1:$O$86,15,0)),0,VLOOKUP($S$458,'TAR FIN'!$A$1:$O$86,15,0))</f>
        <v>0</v>
      </c>
      <c r="W458" s="97">
        <f>IF(ISERROR(VLOOKUP($T$458,'TAR FIN'!$A$1:$O$86,15,0)),0,VLOOKUP($T$458,'TAR FIN'!$A$1:$O$86,15,0))*(1-0.04)</f>
        <v>1276.4832000000001</v>
      </c>
      <c r="X458" s="97">
        <f>IF(ISERROR(VLOOKUP($U$458,'TAR FIN'!$A$1:$O$86,15,0)),0,VLOOKUP($U$458,'TAR FIN'!$A$1:$O$86,15,0))*(1-0.04)</f>
        <v>373.64159999999998</v>
      </c>
      <c r="Y458" s="97"/>
      <c r="Z458" s="97">
        <f ca="1">('TUSD BE'!$AM$12+'TUSD BF'!$AM$12+'TUSD CVA'!$AM$12)*1*(1-0.02)</f>
        <v>1052.8740579870318</v>
      </c>
      <c r="AA458" s="97">
        <f>('TE BE'!$AB$5+'TE BF'!$AB$5+'TE CVA'!$AB$5)*1*(1-0.02)</f>
        <v>346.47998010024565</v>
      </c>
      <c r="AB458" s="6">
        <f>$K$458*$V$458</f>
        <v>0</v>
      </c>
      <c r="AC458" s="6">
        <f>$M$458*$W$458</f>
        <v>2190.4451712</v>
      </c>
      <c r="AD458" s="6">
        <f>$O$458*$X$458</f>
        <v>641.16898559999993</v>
      </c>
      <c r="AE458" s="6">
        <f>$K$458*$Y$458</f>
        <v>0</v>
      </c>
      <c r="AF458" s="6">
        <f ca="1">$M$458*$Z$458</f>
        <v>1806.7318835057465</v>
      </c>
      <c r="AG458" s="6">
        <f>$O$458*$AA$458</f>
        <v>594.5596458520215</v>
      </c>
    </row>
    <row r="459" spans="1:33" ht="11.25" customHeight="1" x14ac:dyDescent="0.25">
      <c r="A459" s="4" t="s">
        <v>55</v>
      </c>
      <c r="B459" s="4" t="s">
        <v>38</v>
      </c>
      <c r="C459" s="4" t="s">
        <v>40</v>
      </c>
      <c r="D459" s="4" t="s">
        <v>43</v>
      </c>
      <c r="E459" s="4" t="s">
        <v>51</v>
      </c>
      <c r="F459" s="4" t="s">
        <v>25</v>
      </c>
      <c r="G459" s="4" t="s">
        <v>25</v>
      </c>
      <c r="H459" s="4" t="s">
        <v>33</v>
      </c>
      <c r="I459" s="5">
        <v>44621</v>
      </c>
      <c r="J459" s="6">
        <v>0</v>
      </c>
      <c r="K459" s="97">
        <v>0</v>
      </c>
      <c r="L459" s="6">
        <v>0.10199999999999999</v>
      </c>
      <c r="M459" s="97">
        <v>0.10199999999999999</v>
      </c>
      <c r="N459" s="6">
        <v>0.10199999999999999</v>
      </c>
      <c r="O459" s="97">
        <v>0.10199999999999999</v>
      </c>
      <c r="P459" s="6">
        <v>0</v>
      </c>
      <c r="Q459" s="4" t="s">
        <v>26</v>
      </c>
      <c r="R459" s="4">
        <v>0</v>
      </c>
      <c r="S459" s="6">
        <v>0</v>
      </c>
      <c r="T459" s="6">
        <v>16</v>
      </c>
      <c r="U459" s="6">
        <v>47</v>
      </c>
      <c r="V459" s="97">
        <f>IF(ISERROR(VLOOKUP($S$459,'TAR FIN'!$A$1:$O$86,15,0)),0,VLOOKUP($S$459,'TAR FIN'!$A$1:$O$86,15,0))</f>
        <v>0</v>
      </c>
      <c r="W459" s="97">
        <f>IF(ISERROR(VLOOKUP($T$459,'TAR FIN'!$A$1:$O$86,15,0)),0,VLOOKUP($T$459,'TAR FIN'!$A$1:$O$86,15,0))*(1-0.04)</f>
        <v>1276.4832000000001</v>
      </c>
      <c r="X459" s="97">
        <f>IF(ISERROR(VLOOKUP($U$459,'TAR FIN'!$A$1:$O$86,15,0)),0,VLOOKUP($U$459,'TAR FIN'!$A$1:$O$86,15,0))*(1-0.04)</f>
        <v>373.64159999999998</v>
      </c>
      <c r="Y459" s="97"/>
      <c r="Z459" s="97">
        <f ca="1">('TUSD BE'!$AM$12+'TUSD BF'!$AM$12+'TUSD CVA'!$AM$12)*1*(1-0.02)</f>
        <v>1052.8740579870318</v>
      </c>
      <c r="AA459" s="97">
        <f>('TE BE'!$AB$5+'TE BF'!$AB$5+'TE CVA'!$AB$5)*1*(1-0.02)</f>
        <v>346.47998010024565</v>
      </c>
      <c r="AB459" s="6">
        <f>$K$459*$V$459</f>
        <v>0</v>
      </c>
      <c r="AC459" s="6">
        <f>$M$459*$W$459</f>
        <v>130.20128640000001</v>
      </c>
      <c r="AD459" s="6">
        <f>$O$459*$X$459</f>
        <v>38.111443199999997</v>
      </c>
      <c r="AE459" s="6">
        <f>$K$459*$Y$459</f>
        <v>0</v>
      </c>
      <c r="AF459" s="6">
        <f ca="1">$M$459*$Z$459</f>
        <v>107.39315391467724</v>
      </c>
      <c r="AG459" s="6">
        <f>$O$459*$AA$459</f>
        <v>35.340957970225055</v>
      </c>
    </row>
    <row r="460" spans="1:33" ht="11.25" customHeight="1" x14ac:dyDescent="0.25">
      <c r="A460" s="4" t="s">
        <v>21</v>
      </c>
      <c r="B460" s="4" t="s">
        <v>38</v>
      </c>
      <c r="C460" s="4" t="s">
        <v>40</v>
      </c>
      <c r="D460" s="4" t="s">
        <v>43</v>
      </c>
      <c r="E460" s="4" t="s">
        <v>51</v>
      </c>
      <c r="F460" s="4" t="s">
        <v>25</v>
      </c>
      <c r="G460" s="4" t="s">
        <v>25</v>
      </c>
      <c r="H460" s="4" t="s">
        <v>33</v>
      </c>
      <c r="I460" s="5">
        <v>44652</v>
      </c>
      <c r="J460" s="6">
        <v>0</v>
      </c>
      <c r="K460" s="97">
        <v>0</v>
      </c>
      <c r="L460" s="6">
        <v>1.379</v>
      </c>
      <c r="M460" s="97">
        <v>1.379</v>
      </c>
      <c r="N460" s="6">
        <v>1.379</v>
      </c>
      <c r="O460" s="97">
        <v>1.379</v>
      </c>
      <c r="P460" s="6">
        <v>0</v>
      </c>
      <c r="Q460" s="4" t="s">
        <v>26</v>
      </c>
      <c r="R460" s="4">
        <v>0</v>
      </c>
      <c r="S460" s="6">
        <v>0</v>
      </c>
      <c r="T460" s="6">
        <v>16</v>
      </c>
      <c r="U460" s="6">
        <v>47</v>
      </c>
      <c r="V460" s="97">
        <f>IF(ISERROR(VLOOKUP($S$460,'TAR FIN'!$A$1:$O$86,15,0)),0,VLOOKUP($S$460,'TAR FIN'!$A$1:$O$86,15,0))</f>
        <v>0</v>
      </c>
      <c r="W460" s="97">
        <f>IF(ISERROR(VLOOKUP($T$460,'TAR FIN'!$A$1:$O$86,15,0)),0,VLOOKUP($T$460,'TAR FIN'!$A$1:$O$86,15,0))*(1-0.04)</f>
        <v>1276.4832000000001</v>
      </c>
      <c r="X460" s="97">
        <f>IF(ISERROR(VLOOKUP($U$460,'TAR FIN'!$A$1:$O$86,15,0)),0,VLOOKUP($U$460,'TAR FIN'!$A$1:$O$86,15,0))*(1-0.04)</f>
        <v>373.64159999999998</v>
      </c>
      <c r="Y460" s="97"/>
      <c r="Z460" s="97">
        <f ca="1">('TUSD BE'!$AM$12+'TUSD BF'!$AM$12+'TUSD CVA'!$AM$12)*1*(1-0.02)</f>
        <v>1052.8740579870318</v>
      </c>
      <c r="AA460" s="97">
        <f>('TE BE'!$AB$5+'TE BF'!$AB$5+'TE CVA'!$AB$5)*1*(1-0.02)</f>
        <v>346.47998010024565</v>
      </c>
      <c r="AB460" s="6">
        <f>$K$460*$V$460</f>
        <v>0</v>
      </c>
      <c r="AC460" s="6">
        <f>$M$460*$W$460</f>
        <v>1760.2703328000002</v>
      </c>
      <c r="AD460" s="6">
        <f>$O$460*$X$460</f>
        <v>515.25176639999995</v>
      </c>
      <c r="AE460" s="6">
        <f>$K$460*$Y$460</f>
        <v>0</v>
      </c>
      <c r="AF460" s="6">
        <f ca="1">$M$460*$Z$460</f>
        <v>1451.9133259641169</v>
      </c>
      <c r="AG460" s="6">
        <f>$O$460*$AA$460</f>
        <v>477.79589255823873</v>
      </c>
    </row>
    <row r="461" spans="1:33" ht="11.25" customHeight="1" x14ac:dyDescent="0.25">
      <c r="A461" s="4" t="s">
        <v>55</v>
      </c>
      <c r="B461" s="4" t="s">
        <v>38</v>
      </c>
      <c r="C461" s="4" t="s">
        <v>40</v>
      </c>
      <c r="D461" s="4" t="s">
        <v>43</v>
      </c>
      <c r="E461" s="4" t="s">
        <v>51</v>
      </c>
      <c r="F461" s="4" t="s">
        <v>25</v>
      </c>
      <c r="G461" s="4" t="s">
        <v>25</v>
      </c>
      <c r="H461" s="4" t="s">
        <v>33</v>
      </c>
      <c r="I461" s="5">
        <v>44652</v>
      </c>
      <c r="J461" s="6">
        <v>0</v>
      </c>
      <c r="K461" s="97">
        <v>0</v>
      </c>
      <c r="L461" s="6">
        <v>6.9000000000000006E-2</v>
      </c>
      <c r="M461" s="97">
        <v>6.9000000000000006E-2</v>
      </c>
      <c r="N461" s="6">
        <v>6.9000000000000006E-2</v>
      </c>
      <c r="O461" s="97">
        <v>6.9000000000000006E-2</v>
      </c>
      <c r="P461" s="6">
        <v>0</v>
      </c>
      <c r="Q461" s="4" t="s">
        <v>26</v>
      </c>
      <c r="R461" s="4">
        <v>0</v>
      </c>
      <c r="S461" s="6">
        <v>0</v>
      </c>
      <c r="T461" s="6">
        <v>16</v>
      </c>
      <c r="U461" s="6">
        <v>47</v>
      </c>
      <c r="V461" s="97">
        <f>IF(ISERROR(VLOOKUP($S$461,'TAR FIN'!$A$1:$O$86,15,0)),0,VLOOKUP($S$461,'TAR FIN'!$A$1:$O$86,15,0))</f>
        <v>0</v>
      </c>
      <c r="W461" s="97">
        <f>IF(ISERROR(VLOOKUP($T$461,'TAR FIN'!$A$1:$O$86,15,0)),0,VLOOKUP($T$461,'TAR FIN'!$A$1:$O$86,15,0))*(1-0.04)</f>
        <v>1276.4832000000001</v>
      </c>
      <c r="X461" s="97">
        <f>IF(ISERROR(VLOOKUP($U$461,'TAR FIN'!$A$1:$O$86,15,0)),0,VLOOKUP($U$461,'TAR FIN'!$A$1:$O$86,15,0))*(1-0.04)</f>
        <v>373.64159999999998</v>
      </c>
      <c r="Y461" s="97"/>
      <c r="Z461" s="97">
        <f ca="1">('TUSD BE'!$AM$12+'TUSD BF'!$AM$12+'TUSD CVA'!$AM$12)*1*(1-0.02)</f>
        <v>1052.8740579870318</v>
      </c>
      <c r="AA461" s="97">
        <f>('TE BE'!$AB$5+'TE BF'!$AB$5+'TE CVA'!$AB$5)*1*(1-0.02)</f>
        <v>346.47998010024565</v>
      </c>
      <c r="AB461" s="6">
        <f>$K$461*$V$461</f>
        <v>0</v>
      </c>
      <c r="AC461" s="6">
        <f>$M$461*$W$461</f>
        <v>88.077340800000016</v>
      </c>
      <c r="AD461" s="6">
        <f>$O$461*$X$461</f>
        <v>25.7812704</v>
      </c>
      <c r="AE461" s="6">
        <f>$K$461*$Y$461</f>
        <v>0</v>
      </c>
      <c r="AF461" s="6">
        <f ca="1">$M$461*$Z$461</f>
        <v>72.648310001105202</v>
      </c>
      <c r="AG461" s="6">
        <f>$O$461*$AA$461</f>
        <v>23.907118626916951</v>
      </c>
    </row>
    <row r="462" spans="1:33" ht="11.25" customHeight="1" x14ac:dyDescent="0.25">
      <c r="A462" s="4" t="s">
        <v>21</v>
      </c>
      <c r="B462" s="4" t="s">
        <v>38</v>
      </c>
      <c r="C462" s="4" t="s">
        <v>40</v>
      </c>
      <c r="D462" s="4" t="s">
        <v>43</v>
      </c>
      <c r="E462" s="4" t="s">
        <v>51</v>
      </c>
      <c r="F462" s="4" t="s">
        <v>25</v>
      </c>
      <c r="G462" s="4" t="s">
        <v>25</v>
      </c>
      <c r="H462" s="4" t="s">
        <v>33</v>
      </c>
      <c r="I462" s="5">
        <v>44682</v>
      </c>
      <c r="J462" s="6">
        <v>0</v>
      </c>
      <c r="K462" s="97">
        <v>0</v>
      </c>
      <c r="L462" s="6">
        <v>2.895</v>
      </c>
      <c r="M462" s="97">
        <v>2.895</v>
      </c>
      <c r="N462" s="6">
        <v>2.895</v>
      </c>
      <c r="O462" s="97">
        <v>2.895</v>
      </c>
      <c r="P462" s="6">
        <v>0</v>
      </c>
      <c r="Q462" s="4" t="s">
        <v>26</v>
      </c>
      <c r="R462" s="4">
        <v>0</v>
      </c>
      <c r="S462" s="6">
        <v>0</v>
      </c>
      <c r="T462" s="6">
        <v>16</v>
      </c>
      <c r="U462" s="6">
        <v>47</v>
      </c>
      <c r="V462" s="97">
        <f>IF(ISERROR(VLOOKUP($S$462,'TAR FIN'!$A$1:$O$86,15,0)),0,VLOOKUP($S$462,'TAR FIN'!$A$1:$O$86,15,0))</f>
        <v>0</v>
      </c>
      <c r="W462" s="97">
        <f>IF(ISERROR(VLOOKUP($T$462,'TAR FIN'!$A$1:$O$86,15,0)),0,VLOOKUP($T$462,'TAR FIN'!$A$1:$O$86,15,0))*(1-0.04)</f>
        <v>1276.4832000000001</v>
      </c>
      <c r="X462" s="97">
        <f>IF(ISERROR(VLOOKUP($U$462,'TAR FIN'!$A$1:$O$86,15,0)),0,VLOOKUP($U$462,'TAR FIN'!$A$1:$O$86,15,0))*(1-0.04)</f>
        <v>373.64159999999998</v>
      </c>
      <c r="Y462" s="97"/>
      <c r="Z462" s="97">
        <f ca="1">('TUSD BE'!$AM$12+'TUSD BF'!$AM$12+'TUSD CVA'!$AM$12)*1*(1-0.02)</f>
        <v>1052.8740579870318</v>
      </c>
      <c r="AA462" s="97">
        <f>('TE BE'!$AB$5+'TE BF'!$AB$5+'TE CVA'!$AB$5)*1*(1-0.02)</f>
        <v>346.47998010024565</v>
      </c>
      <c r="AB462" s="6">
        <f>$K$462*$V$462</f>
        <v>0</v>
      </c>
      <c r="AC462" s="6">
        <f>$M$462*$W$462</f>
        <v>3695.4188640000002</v>
      </c>
      <c r="AD462" s="6">
        <f>$O$462*$X$462</f>
        <v>1081.6924320000001</v>
      </c>
      <c r="AE462" s="6">
        <f>$K$462*$Y$462</f>
        <v>0</v>
      </c>
      <c r="AF462" s="6">
        <f ca="1">$M$462*$Z$462</f>
        <v>3048.0703978724573</v>
      </c>
      <c r="AG462" s="6">
        <f>$O$462*$AA$462</f>
        <v>1003.0595423902112</v>
      </c>
    </row>
    <row r="463" spans="1:33" ht="11.25" customHeight="1" x14ac:dyDescent="0.25">
      <c r="A463" s="4" t="s">
        <v>55</v>
      </c>
      <c r="B463" s="4" t="s">
        <v>38</v>
      </c>
      <c r="C463" s="4" t="s">
        <v>40</v>
      </c>
      <c r="D463" s="4" t="s">
        <v>43</v>
      </c>
      <c r="E463" s="4" t="s">
        <v>51</v>
      </c>
      <c r="F463" s="4" t="s">
        <v>25</v>
      </c>
      <c r="G463" s="4" t="s">
        <v>25</v>
      </c>
      <c r="H463" s="4" t="s">
        <v>33</v>
      </c>
      <c r="I463" s="5">
        <v>44682</v>
      </c>
      <c r="J463" s="6">
        <v>0</v>
      </c>
      <c r="K463" s="97">
        <v>0</v>
      </c>
      <c r="L463" s="6">
        <v>0.08</v>
      </c>
      <c r="M463" s="97">
        <v>0.08</v>
      </c>
      <c r="N463" s="6">
        <v>0.08</v>
      </c>
      <c r="O463" s="97">
        <v>0.08</v>
      </c>
      <c r="P463" s="6">
        <v>0</v>
      </c>
      <c r="Q463" s="4" t="s">
        <v>26</v>
      </c>
      <c r="R463" s="4">
        <v>0</v>
      </c>
      <c r="S463" s="6">
        <v>0</v>
      </c>
      <c r="T463" s="6">
        <v>16</v>
      </c>
      <c r="U463" s="6">
        <v>47</v>
      </c>
      <c r="V463" s="97">
        <f>IF(ISERROR(VLOOKUP($S$463,'TAR FIN'!$A$1:$O$86,15,0)),0,VLOOKUP($S$463,'TAR FIN'!$A$1:$O$86,15,0))</f>
        <v>0</v>
      </c>
      <c r="W463" s="97">
        <f>IF(ISERROR(VLOOKUP($T$463,'TAR FIN'!$A$1:$O$86,15,0)),0,VLOOKUP($T$463,'TAR FIN'!$A$1:$O$86,15,0))*(1-0.04)</f>
        <v>1276.4832000000001</v>
      </c>
      <c r="X463" s="97">
        <f>IF(ISERROR(VLOOKUP($U$463,'TAR FIN'!$A$1:$O$86,15,0)),0,VLOOKUP($U$463,'TAR FIN'!$A$1:$O$86,15,0))*(1-0.04)</f>
        <v>373.64159999999998</v>
      </c>
      <c r="Y463" s="97"/>
      <c r="Z463" s="97">
        <f ca="1">('TUSD BE'!$AM$12+'TUSD BF'!$AM$12+'TUSD CVA'!$AM$12)*1*(1-0.02)</f>
        <v>1052.8740579870318</v>
      </c>
      <c r="AA463" s="97">
        <f>('TE BE'!$AB$5+'TE BF'!$AB$5+'TE CVA'!$AB$5)*1*(1-0.02)</f>
        <v>346.47998010024565</v>
      </c>
      <c r="AB463" s="6">
        <f>$K$463*$V$463</f>
        <v>0</v>
      </c>
      <c r="AC463" s="6">
        <f>$M$463*$W$463</f>
        <v>102.11865600000002</v>
      </c>
      <c r="AD463" s="6">
        <f>$O$463*$X$463</f>
        <v>29.891327999999998</v>
      </c>
      <c r="AE463" s="6">
        <f>$K$463*$Y$463</f>
        <v>0</v>
      </c>
      <c r="AF463" s="6">
        <f ca="1">$M$463*$Z$463</f>
        <v>84.229924638962544</v>
      </c>
      <c r="AG463" s="6">
        <f>$O$463*$AA$463</f>
        <v>27.718398408019652</v>
      </c>
    </row>
    <row r="464" spans="1:33" ht="11.25" customHeight="1" x14ac:dyDescent="0.25">
      <c r="A464" s="4" t="s">
        <v>56</v>
      </c>
      <c r="B464" s="4" t="s">
        <v>38</v>
      </c>
      <c r="C464" s="4" t="s">
        <v>40</v>
      </c>
      <c r="D464" s="4" t="s">
        <v>43</v>
      </c>
      <c r="E464" s="4" t="s">
        <v>51</v>
      </c>
      <c r="F464" s="4" t="s">
        <v>25</v>
      </c>
      <c r="G464" s="4" t="s">
        <v>25</v>
      </c>
      <c r="H464" s="4" t="s">
        <v>33</v>
      </c>
      <c r="I464" s="5">
        <v>44713</v>
      </c>
      <c r="J464" s="6">
        <v>0</v>
      </c>
      <c r="K464" s="97">
        <v>0</v>
      </c>
      <c r="L464" s="6">
        <v>2.895</v>
      </c>
      <c r="M464" s="97">
        <v>2.895</v>
      </c>
      <c r="N464" s="6">
        <v>2.895</v>
      </c>
      <c r="O464" s="97">
        <v>2.895</v>
      </c>
      <c r="P464" s="6">
        <v>0</v>
      </c>
      <c r="Q464" s="4" t="s">
        <v>26</v>
      </c>
      <c r="R464" s="4">
        <v>0</v>
      </c>
      <c r="S464" s="6">
        <v>0</v>
      </c>
      <c r="T464" s="6">
        <v>16</v>
      </c>
      <c r="U464" s="6">
        <v>47</v>
      </c>
      <c r="V464" s="97">
        <f>IF(ISERROR(VLOOKUP($S$464,'TAR FIN'!$A$1:$O$86,15,0)),0,VLOOKUP($S$464,'TAR FIN'!$A$1:$O$86,15,0))</f>
        <v>0</v>
      </c>
      <c r="W464" s="97">
        <f>IF(ISERROR(VLOOKUP($T$464,'TAR FIN'!$A$1:$O$86,15,0)),0,VLOOKUP($T$464,'TAR FIN'!$A$1:$O$86,15,0))*(1-0.04)</f>
        <v>1276.4832000000001</v>
      </c>
      <c r="X464" s="97">
        <f>IF(ISERROR(VLOOKUP($U$464,'TAR FIN'!$A$1:$O$86,15,0)),0,VLOOKUP($U$464,'TAR FIN'!$A$1:$O$86,15,0))*(1-0.04)</f>
        <v>373.64159999999998</v>
      </c>
      <c r="Y464" s="97"/>
      <c r="Z464" s="97">
        <f ca="1">('TUSD BE'!$AM$12+'TUSD BF'!$AM$12+'TUSD CVA'!$AM$12)*1*(1-0.02)</f>
        <v>1052.8740579870318</v>
      </c>
      <c r="AA464" s="97">
        <f>('TE BE'!$AB$5+'TE BF'!$AB$5+'TE CVA'!$AB$5)*1*(1-0.02)</f>
        <v>346.47998010024565</v>
      </c>
      <c r="AB464" s="6">
        <f>$K$464*$V$464</f>
        <v>0</v>
      </c>
      <c r="AC464" s="6">
        <f>$M$464*$W$464</f>
        <v>3695.4188640000002</v>
      </c>
      <c r="AD464" s="6">
        <f>$O$464*$X$464</f>
        <v>1081.6924320000001</v>
      </c>
      <c r="AE464" s="6">
        <f>$K$464*$Y$464</f>
        <v>0</v>
      </c>
      <c r="AF464" s="6">
        <f ca="1">$M$464*$Z$464</f>
        <v>3048.0703978724573</v>
      </c>
      <c r="AG464" s="6">
        <f>$O$464*$AA$464</f>
        <v>1003.0595423902112</v>
      </c>
    </row>
    <row r="465" spans="1:33" ht="11.25" customHeight="1" x14ac:dyDescent="0.25">
      <c r="A465" s="4" t="s">
        <v>56</v>
      </c>
      <c r="B465" s="4" t="s">
        <v>38</v>
      </c>
      <c r="C465" s="4" t="s">
        <v>40</v>
      </c>
      <c r="D465" s="4" t="s">
        <v>43</v>
      </c>
      <c r="E465" s="4" t="s">
        <v>51</v>
      </c>
      <c r="F465" s="4" t="s">
        <v>25</v>
      </c>
      <c r="G465" s="4" t="s">
        <v>25</v>
      </c>
      <c r="H465" s="4" t="s">
        <v>33</v>
      </c>
      <c r="I465" s="5">
        <v>44713</v>
      </c>
      <c r="J465" s="6">
        <v>0</v>
      </c>
      <c r="K465" s="97">
        <v>0</v>
      </c>
      <c r="L465" s="6">
        <v>0.08</v>
      </c>
      <c r="M465" s="97">
        <v>0.08</v>
      </c>
      <c r="N465" s="6">
        <v>0.08</v>
      </c>
      <c r="O465" s="97">
        <v>0.08</v>
      </c>
      <c r="P465" s="6">
        <v>0</v>
      </c>
      <c r="Q465" s="4" t="s">
        <v>26</v>
      </c>
      <c r="R465" s="4">
        <v>0</v>
      </c>
      <c r="S465" s="6">
        <v>0</v>
      </c>
      <c r="T465" s="6">
        <v>16</v>
      </c>
      <c r="U465" s="6">
        <v>47</v>
      </c>
      <c r="V465" s="97">
        <f>IF(ISERROR(VLOOKUP($S$465,'TAR FIN'!$A$1:$O$86,15,0)),0,VLOOKUP($S$465,'TAR FIN'!$A$1:$O$86,15,0))</f>
        <v>0</v>
      </c>
      <c r="W465" s="97">
        <f>IF(ISERROR(VLOOKUP($T$465,'TAR FIN'!$A$1:$O$86,15,0)),0,VLOOKUP($T$465,'TAR FIN'!$A$1:$O$86,15,0))*(1-0.04)</f>
        <v>1276.4832000000001</v>
      </c>
      <c r="X465" s="97">
        <f>IF(ISERROR(VLOOKUP($U$465,'TAR FIN'!$A$1:$O$86,15,0)),0,VLOOKUP($U$465,'TAR FIN'!$A$1:$O$86,15,0))*(1-0.04)</f>
        <v>373.64159999999998</v>
      </c>
      <c r="Y465" s="97"/>
      <c r="Z465" s="97">
        <f ca="1">('TUSD BE'!$AM$12+'TUSD BF'!$AM$12+'TUSD CVA'!$AM$12)*1*(1-0.02)</f>
        <v>1052.8740579870318</v>
      </c>
      <c r="AA465" s="97">
        <f>('TE BE'!$AB$5+'TE BF'!$AB$5+'TE CVA'!$AB$5)*1*(1-0.02)</f>
        <v>346.47998010024565</v>
      </c>
      <c r="AB465" s="6">
        <f>$K$465*$V$465</f>
        <v>0</v>
      </c>
      <c r="AC465" s="6">
        <f>$M$465*$W$465</f>
        <v>102.11865600000002</v>
      </c>
      <c r="AD465" s="6">
        <f>$O$465*$X$465</f>
        <v>29.891327999999998</v>
      </c>
      <c r="AE465" s="6">
        <f>$K$465*$Y$465</f>
        <v>0</v>
      </c>
      <c r="AF465" s="6">
        <f ca="1">$M$465*$Z$465</f>
        <v>84.229924638962544</v>
      </c>
      <c r="AG465" s="6">
        <f>$O$465*$AA$465</f>
        <v>27.718398408019652</v>
      </c>
    </row>
    <row r="466" spans="1:33" ht="11.25" customHeight="1" x14ac:dyDescent="0.25">
      <c r="A466" s="4" t="s">
        <v>21</v>
      </c>
      <c r="B466" s="4" t="s">
        <v>38</v>
      </c>
      <c r="C466" s="4" t="s">
        <v>40</v>
      </c>
      <c r="D466" s="4" t="s">
        <v>43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44378</v>
      </c>
      <c r="J466" s="6">
        <v>0</v>
      </c>
      <c r="K466" s="97">
        <v>0</v>
      </c>
      <c r="L466" s="6">
        <v>60.76</v>
      </c>
      <c r="M466" s="97">
        <v>60.76</v>
      </c>
      <c r="N466" s="6">
        <v>60.76</v>
      </c>
      <c r="O466" s="97">
        <v>60.76</v>
      </c>
      <c r="P466" s="6">
        <v>0</v>
      </c>
      <c r="Q466" s="4" t="s">
        <v>26</v>
      </c>
      <c r="R466" s="4">
        <v>0</v>
      </c>
      <c r="S466" s="6">
        <v>0</v>
      </c>
      <c r="T466" s="6">
        <v>14</v>
      </c>
      <c r="U466" s="6">
        <v>42</v>
      </c>
      <c r="V466" s="97">
        <f>IF(ISERROR(VLOOKUP($S$466,'TAR FIN'!$A$1:$O$86,15,0)),0,VLOOKUP($S$466,'TAR FIN'!$A$1:$O$86,15,0))</f>
        <v>0</v>
      </c>
      <c r="W466" s="97">
        <f>IF(ISERROR(VLOOKUP($T$466,'TAR FIN'!$A$1:$O$86,15,0)),0,VLOOKUP($T$466,'TAR FIN'!$A$1:$O$86,15,0))*(1-0.04)</f>
        <v>75.532800000000009</v>
      </c>
      <c r="X466" s="97">
        <f>IF(ISERROR(VLOOKUP($U$466,'TAR FIN'!$A$1:$O$86,15,0)),0,VLOOKUP($U$466,'TAR FIN'!$A$1:$O$86,15,0))*(1-0.04)</f>
        <v>236.44800000000001</v>
      </c>
      <c r="Y466" s="97"/>
      <c r="Z466" s="97">
        <f ca="1">('TUSD BE'!$AM$13+'TUSD BF'!$AM$13+'TUSD CVA'!$AM$13)*1*(1-0.02)</f>
        <v>98.232805801237291</v>
      </c>
      <c r="AA466" s="97">
        <f>('TE BE'!$AB$6+'TE BF'!$AB$6+'TE CVA'!$AB$6)*1*(1-0.02)</f>
        <v>215.01557219628384</v>
      </c>
      <c r="AB466" s="6">
        <f>$K$466*$V$466</f>
        <v>0</v>
      </c>
      <c r="AC466" s="6">
        <f>$M$466*$W$466</f>
        <v>4589.3729280000007</v>
      </c>
      <c r="AD466" s="6">
        <f>$O$466*$X$466</f>
        <v>14366.580480000001</v>
      </c>
      <c r="AE466" s="6">
        <f>$K$466*$Y$466</f>
        <v>0</v>
      </c>
      <c r="AF466" s="6">
        <f ca="1">$M$466*$Z$466</f>
        <v>5968.6252804831774</v>
      </c>
      <c r="AG466" s="6">
        <f>$O$466*$AA$466</f>
        <v>13064.346166646206</v>
      </c>
    </row>
    <row r="467" spans="1:33" ht="11.25" customHeight="1" x14ac:dyDescent="0.25">
      <c r="A467" s="4" t="s">
        <v>21</v>
      </c>
      <c r="B467" s="4" t="s">
        <v>38</v>
      </c>
      <c r="C467" s="4" t="s">
        <v>40</v>
      </c>
      <c r="D467" s="4" t="s">
        <v>43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44409</v>
      </c>
      <c r="J467" s="6">
        <v>0</v>
      </c>
      <c r="K467" s="97">
        <v>0</v>
      </c>
      <c r="L467" s="6">
        <v>38.04</v>
      </c>
      <c r="M467" s="97">
        <v>38.04</v>
      </c>
      <c r="N467" s="6">
        <v>38.04</v>
      </c>
      <c r="O467" s="97">
        <v>38.04</v>
      </c>
      <c r="P467" s="6">
        <v>0</v>
      </c>
      <c r="Q467" s="4" t="s">
        <v>26</v>
      </c>
      <c r="R467" s="4">
        <v>0</v>
      </c>
      <c r="S467" s="6">
        <v>0</v>
      </c>
      <c r="T467" s="6">
        <v>14</v>
      </c>
      <c r="U467" s="6">
        <v>42</v>
      </c>
      <c r="V467" s="97">
        <f>IF(ISERROR(VLOOKUP($S$467,'TAR FIN'!$A$1:$O$86,15,0)),0,VLOOKUP($S$467,'TAR FIN'!$A$1:$O$86,15,0))</f>
        <v>0</v>
      </c>
      <c r="W467" s="97">
        <f>IF(ISERROR(VLOOKUP($T$467,'TAR FIN'!$A$1:$O$86,15,0)),0,VLOOKUP($T$467,'TAR FIN'!$A$1:$O$86,15,0))*(1-0.04)</f>
        <v>75.532800000000009</v>
      </c>
      <c r="X467" s="97">
        <f>IF(ISERROR(VLOOKUP($U$467,'TAR FIN'!$A$1:$O$86,15,0)),0,VLOOKUP($U$467,'TAR FIN'!$A$1:$O$86,15,0))*(1-0.04)</f>
        <v>236.44800000000001</v>
      </c>
      <c r="Y467" s="97"/>
      <c r="Z467" s="97">
        <f ca="1">('TUSD BE'!$AM$13+'TUSD BF'!$AM$13+'TUSD CVA'!$AM$13)*1*(1-0.02)</f>
        <v>98.232805801237291</v>
      </c>
      <c r="AA467" s="97">
        <f>('TE BE'!$AB$6+'TE BF'!$AB$6+'TE CVA'!$AB$6)*1*(1-0.02)</f>
        <v>215.01557219628384</v>
      </c>
      <c r="AB467" s="6">
        <f>$K$467*$V$467</f>
        <v>0</v>
      </c>
      <c r="AC467" s="6">
        <f>$M$467*$W$467</f>
        <v>2873.2677120000003</v>
      </c>
      <c r="AD467" s="6">
        <f>$O$467*$X$467</f>
        <v>8994.4819200000002</v>
      </c>
      <c r="AE467" s="6">
        <f>$K$467*$Y$467</f>
        <v>0</v>
      </c>
      <c r="AF467" s="6">
        <f ca="1">$M$467*$Z$467</f>
        <v>3736.7759326790665</v>
      </c>
      <c r="AG467" s="6">
        <f>$O$467*$AA$467</f>
        <v>8179.1923663466368</v>
      </c>
    </row>
    <row r="468" spans="1:33" ht="11.25" customHeight="1" x14ac:dyDescent="0.25">
      <c r="A468" s="4" t="s">
        <v>21</v>
      </c>
      <c r="B468" s="4" t="s">
        <v>38</v>
      </c>
      <c r="C468" s="4" t="s">
        <v>40</v>
      </c>
      <c r="D468" s="4" t="s">
        <v>43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44440</v>
      </c>
      <c r="J468" s="6">
        <v>0</v>
      </c>
      <c r="K468" s="97">
        <v>0</v>
      </c>
      <c r="L468" s="6">
        <v>37.301000000000002</v>
      </c>
      <c r="M468" s="97">
        <v>37.301000000000002</v>
      </c>
      <c r="N468" s="6">
        <v>37.301000000000002</v>
      </c>
      <c r="O468" s="97">
        <v>37.301000000000002</v>
      </c>
      <c r="P468" s="6">
        <v>0</v>
      </c>
      <c r="Q468" s="4" t="s">
        <v>26</v>
      </c>
      <c r="R468" s="4">
        <v>0</v>
      </c>
      <c r="S468" s="6">
        <v>0</v>
      </c>
      <c r="T468" s="6">
        <v>14</v>
      </c>
      <c r="U468" s="6">
        <v>42</v>
      </c>
      <c r="V468" s="97">
        <f>IF(ISERROR(VLOOKUP($S$468,'TAR FIN'!$A$1:$O$86,15,0)),0,VLOOKUP($S$468,'TAR FIN'!$A$1:$O$86,15,0))</f>
        <v>0</v>
      </c>
      <c r="W468" s="97">
        <f>IF(ISERROR(VLOOKUP($T$468,'TAR FIN'!$A$1:$O$86,15,0)),0,VLOOKUP($T$468,'TAR FIN'!$A$1:$O$86,15,0))*(1-0.04)</f>
        <v>75.532800000000009</v>
      </c>
      <c r="X468" s="97">
        <f>IF(ISERROR(VLOOKUP($U$468,'TAR FIN'!$A$1:$O$86,15,0)),0,VLOOKUP($U$468,'TAR FIN'!$A$1:$O$86,15,0))*(1-0.04)</f>
        <v>236.44800000000001</v>
      </c>
      <c r="Y468" s="97"/>
      <c r="Z468" s="97">
        <f ca="1">('TUSD BE'!$AM$13+'TUSD BF'!$AM$13+'TUSD CVA'!$AM$13)*1*(1-0.02)</f>
        <v>98.232805801237291</v>
      </c>
      <c r="AA468" s="97">
        <f>('TE BE'!$AB$6+'TE BF'!$AB$6+'TE CVA'!$AB$6)*1*(1-0.02)</f>
        <v>215.01557219628384</v>
      </c>
      <c r="AB468" s="6">
        <f>$K$468*$V$468</f>
        <v>0</v>
      </c>
      <c r="AC468" s="6">
        <f>$M$468*$W$468</f>
        <v>2817.4489728000003</v>
      </c>
      <c r="AD468" s="6">
        <f>$O$468*$X$468</f>
        <v>8819.7468480000007</v>
      </c>
      <c r="AE468" s="6">
        <f>$K$468*$Y$468</f>
        <v>0</v>
      </c>
      <c r="AF468" s="6">
        <f ca="1">$M$468*$Z$468</f>
        <v>3664.1818891919525</v>
      </c>
      <c r="AG468" s="6">
        <f>$O$468*$AA$468</f>
        <v>8020.2958584935841</v>
      </c>
    </row>
    <row r="469" spans="1:33" ht="11.25" customHeight="1" x14ac:dyDescent="0.25">
      <c r="A469" s="4" t="s">
        <v>21</v>
      </c>
      <c r="B469" s="4" t="s">
        <v>38</v>
      </c>
      <c r="C469" s="4" t="s">
        <v>40</v>
      </c>
      <c r="D469" s="4" t="s">
        <v>43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44470</v>
      </c>
      <c r="J469" s="6">
        <v>0</v>
      </c>
      <c r="K469" s="97">
        <v>0</v>
      </c>
      <c r="L469" s="6">
        <v>60.843000000000004</v>
      </c>
      <c r="M469" s="97">
        <v>60.843000000000004</v>
      </c>
      <c r="N469" s="6">
        <v>60.843000000000004</v>
      </c>
      <c r="O469" s="97">
        <v>60.843000000000004</v>
      </c>
      <c r="P469" s="6">
        <v>0</v>
      </c>
      <c r="Q469" s="4" t="s">
        <v>26</v>
      </c>
      <c r="R469" s="4">
        <v>0</v>
      </c>
      <c r="S469" s="6">
        <v>0</v>
      </c>
      <c r="T469" s="6">
        <v>14</v>
      </c>
      <c r="U469" s="6">
        <v>42</v>
      </c>
      <c r="V469" s="97">
        <f>IF(ISERROR(VLOOKUP($S$469,'TAR FIN'!$A$1:$O$86,15,0)),0,VLOOKUP($S$469,'TAR FIN'!$A$1:$O$86,15,0))</f>
        <v>0</v>
      </c>
      <c r="W469" s="97">
        <f>IF(ISERROR(VLOOKUP($T$469,'TAR FIN'!$A$1:$O$86,15,0)),0,VLOOKUP($T$469,'TAR FIN'!$A$1:$O$86,15,0))*(1-0.04)</f>
        <v>75.532800000000009</v>
      </c>
      <c r="X469" s="97">
        <f>IF(ISERROR(VLOOKUP($U$469,'TAR FIN'!$A$1:$O$86,15,0)),0,VLOOKUP($U$469,'TAR FIN'!$A$1:$O$86,15,0))*(1-0.04)</f>
        <v>236.44800000000001</v>
      </c>
      <c r="Y469" s="97"/>
      <c r="Z469" s="97">
        <f ca="1">('TUSD BE'!$AM$13+'TUSD BF'!$AM$13+'TUSD CVA'!$AM$13)*1*(1-0.02)</f>
        <v>98.232805801237291</v>
      </c>
      <c r="AA469" s="97">
        <f>('TE BE'!$AB$6+'TE BF'!$AB$6+'TE CVA'!$AB$6)*1*(1-0.02)</f>
        <v>215.01557219628384</v>
      </c>
      <c r="AB469" s="6">
        <f>$K$469*$V$469</f>
        <v>0</v>
      </c>
      <c r="AC469" s="6">
        <f>$M$469*$W$469</f>
        <v>4595.6421504000009</v>
      </c>
      <c r="AD469" s="6">
        <f>$O$469*$X$469</f>
        <v>14386.205664000001</v>
      </c>
      <c r="AE469" s="6">
        <f>$K$469*$Y$469</f>
        <v>0</v>
      </c>
      <c r="AF469" s="6">
        <f ca="1">$M$469*$Z$469</f>
        <v>5976.7786033646807</v>
      </c>
      <c r="AG469" s="6">
        <f>$O$469*$AA$469</f>
        <v>13082.192459138498</v>
      </c>
    </row>
    <row r="470" spans="1:33" ht="11.25" customHeight="1" x14ac:dyDescent="0.25">
      <c r="A470" s="4" t="s">
        <v>21</v>
      </c>
      <c r="B470" s="4" t="s">
        <v>38</v>
      </c>
      <c r="C470" s="4" t="s">
        <v>40</v>
      </c>
      <c r="D470" s="4" t="s">
        <v>43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44501</v>
      </c>
      <c r="J470" s="6">
        <v>0</v>
      </c>
      <c r="K470" s="97">
        <v>0</v>
      </c>
      <c r="L470" s="6">
        <v>113.77</v>
      </c>
      <c r="M470" s="97">
        <v>113.77</v>
      </c>
      <c r="N470" s="6">
        <v>113.77</v>
      </c>
      <c r="O470" s="97">
        <v>113.77</v>
      </c>
      <c r="P470" s="6">
        <v>0</v>
      </c>
      <c r="Q470" s="4" t="s">
        <v>26</v>
      </c>
      <c r="R470" s="4">
        <v>0</v>
      </c>
      <c r="S470" s="6">
        <v>0</v>
      </c>
      <c r="T470" s="6">
        <v>14</v>
      </c>
      <c r="U470" s="6">
        <v>42</v>
      </c>
      <c r="V470" s="97">
        <f>IF(ISERROR(VLOOKUP($S$470,'TAR FIN'!$A$1:$O$86,15,0)),0,VLOOKUP($S$470,'TAR FIN'!$A$1:$O$86,15,0))</f>
        <v>0</v>
      </c>
      <c r="W470" s="97">
        <f>IF(ISERROR(VLOOKUP($T$470,'TAR FIN'!$A$1:$O$86,15,0)),0,VLOOKUP($T$470,'TAR FIN'!$A$1:$O$86,15,0))*(1-0.04)</f>
        <v>75.532800000000009</v>
      </c>
      <c r="X470" s="97">
        <f>IF(ISERROR(VLOOKUP($U$470,'TAR FIN'!$A$1:$O$86,15,0)),0,VLOOKUP($U$470,'TAR FIN'!$A$1:$O$86,15,0))*(1-0.04)</f>
        <v>236.44800000000001</v>
      </c>
      <c r="Y470" s="97"/>
      <c r="Z470" s="97">
        <f ca="1">('TUSD BE'!$AM$13+'TUSD BF'!$AM$13+'TUSD CVA'!$AM$13)*1*(1-0.02)</f>
        <v>98.232805801237291</v>
      </c>
      <c r="AA470" s="97">
        <f>('TE BE'!$AB$6+'TE BF'!$AB$6+'TE CVA'!$AB$6)*1*(1-0.02)</f>
        <v>215.01557219628384</v>
      </c>
      <c r="AB470" s="6">
        <f>$K$470*$V$470</f>
        <v>0</v>
      </c>
      <c r="AC470" s="6">
        <f>$M$470*$W$470</f>
        <v>8593.3666560000001</v>
      </c>
      <c r="AD470" s="6">
        <f>$O$470*$X$470</f>
        <v>26900.688959999999</v>
      </c>
      <c r="AE470" s="6">
        <f>$K$470*$Y$470</f>
        <v>0</v>
      </c>
      <c r="AF470" s="6">
        <f ca="1">$M$470*$Z$470</f>
        <v>11175.946316006766</v>
      </c>
      <c r="AG470" s="6">
        <f>$O$470*$AA$470</f>
        <v>24462.321648771212</v>
      </c>
    </row>
    <row r="471" spans="1:33" ht="11.25" customHeight="1" x14ac:dyDescent="0.25">
      <c r="A471" s="4" t="s">
        <v>21</v>
      </c>
      <c r="B471" s="4" t="s">
        <v>38</v>
      </c>
      <c r="C471" s="4" t="s">
        <v>40</v>
      </c>
      <c r="D471" s="4" t="s">
        <v>43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44531</v>
      </c>
      <c r="J471" s="6">
        <v>0</v>
      </c>
      <c r="K471" s="97">
        <v>0</v>
      </c>
      <c r="L471" s="6">
        <v>60.024999999999999</v>
      </c>
      <c r="M471" s="97">
        <v>60.024999999999999</v>
      </c>
      <c r="N471" s="6">
        <v>60.024999999999999</v>
      </c>
      <c r="O471" s="97">
        <v>60.024999999999999</v>
      </c>
      <c r="P471" s="6">
        <v>0</v>
      </c>
      <c r="Q471" s="4" t="s">
        <v>26</v>
      </c>
      <c r="R471" s="4">
        <v>0</v>
      </c>
      <c r="S471" s="6">
        <v>0</v>
      </c>
      <c r="T471" s="6">
        <v>14</v>
      </c>
      <c r="U471" s="6">
        <v>42</v>
      </c>
      <c r="V471" s="97">
        <f>IF(ISERROR(VLOOKUP($S$471,'TAR FIN'!$A$1:$O$86,15,0)),0,VLOOKUP($S$471,'TAR FIN'!$A$1:$O$86,15,0))</f>
        <v>0</v>
      </c>
      <c r="W471" s="97">
        <f>IF(ISERROR(VLOOKUP($T$471,'TAR FIN'!$A$1:$O$86,15,0)),0,VLOOKUP($T$471,'TAR FIN'!$A$1:$O$86,15,0))*(1-0.04)</f>
        <v>75.532800000000009</v>
      </c>
      <c r="X471" s="97">
        <f>IF(ISERROR(VLOOKUP($U$471,'TAR FIN'!$A$1:$O$86,15,0)),0,VLOOKUP($U$471,'TAR FIN'!$A$1:$O$86,15,0))*(1-0.04)</f>
        <v>236.44800000000001</v>
      </c>
      <c r="Y471" s="97"/>
      <c r="Z471" s="97">
        <f ca="1">('TUSD BE'!$AM$13+'TUSD BF'!$AM$13+'TUSD CVA'!$AM$13)*1*(1-0.02)</f>
        <v>98.232805801237291</v>
      </c>
      <c r="AA471" s="97">
        <f>('TE BE'!$AB$6+'TE BF'!$AB$6+'TE CVA'!$AB$6)*1*(1-0.02)</f>
        <v>215.01557219628384</v>
      </c>
      <c r="AB471" s="6">
        <f>$K$471*$V$471</f>
        <v>0</v>
      </c>
      <c r="AC471" s="6">
        <f>$M$471*$W$471</f>
        <v>4533.8563200000008</v>
      </c>
      <c r="AD471" s="6">
        <f>$O$471*$X$471</f>
        <v>14192.7912</v>
      </c>
      <c r="AE471" s="6">
        <f>$K$471*$Y$471</f>
        <v>0</v>
      </c>
      <c r="AF471" s="6">
        <f ca="1">$M$471*$Z$471</f>
        <v>5896.4241682192678</v>
      </c>
      <c r="AG471" s="6">
        <f>$O$471*$AA$471</f>
        <v>12906.309721081938</v>
      </c>
    </row>
    <row r="472" spans="1:33" ht="11.25" customHeight="1" x14ac:dyDescent="0.25">
      <c r="A472" s="4" t="s">
        <v>21</v>
      </c>
      <c r="B472" s="4" t="s">
        <v>38</v>
      </c>
      <c r="C472" s="4" t="s">
        <v>40</v>
      </c>
      <c r="D472" s="4" t="s">
        <v>43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44562</v>
      </c>
      <c r="J472" s="6">
        <v>0</v>
      </c>
      <c r="K472" s="97">
        <v>0</v>
      </c>
      <c r="L472" s="6">
        <v>72.953999999999994</v>
      </c>
      <c r="M472" s="97">
        <v>72.953999999999994</v>
      </c>
      <c r="N472" s="6">
        <v>72.953999999999994</v>
      </c>
      <c r="O472" s="97">
        <v>72.953999999999994</v>
      </c>
      <c r="P472" s="6">
        <v>0</v>
      </c>
      <c r="Q472" s="4" t="s">
        <v>26</v>
      </c>
      <c r="R472" s="4">
        <v>0</v>
      </c>
      <c r="S472" s="6">
        <v>0</v>
      </c>
      <c r="T472" s="6">
        <v>14</v>
      </c>
      <c r="U472" s="6">
        <v>42</v>
      </c>
      <c r="V472" s="97">
        <f>IF(ISERROR(VLOOKUP($S$472,'TAR FIN'!$A$1:$O$86,15,0)),0,VLOOKUP($S$472,'TAR FIN'!$A$1:$O$86,15,0))</f>
        <v>0</v>
      </c>
      <c r="W472" s="97">
        <f>IF(ISERROR(VLOOKUP($T$472,'TAR FIN'!$A$1:$O$86,15,0)),0,VLOOKUP($T$472,'TAR FIN'!$A$1:$O$86,15,0))*(1-0.04)</f>
        <v>75.532800000000009</v>
      </c>
      <c r="X472" s="97">
        <f>IF(ISERROR(VLOOKUP($U$472,'TAR FIN'!$A$1:$O$86,15,0)),0,VLOOKUP($U$472,'TAR FIN'!$A$1:$O$86,15,0))*(1-0.04)</f>
        <v>236.44800000000001</v>
      </c>
      <c r="Y472" s="97"/>
      <c r="Z472" s="97">
        <f ca="1">('TUSD BE'!$AM$13+'TUSD BF'!$AM$13+'TUSD CVA'!$AM$13)*1*(1-0.02)</f>
        <v>98.232805801237291</v>
      </c>
      <c r="AA472" s="97">
        <f>('TE BE'!$AB$6+'TE BF'!$AB$6+'TE CVA'!$AB$6)*1*(1-0.02)</f>
        <v>215.01557219628384</v>
      </c>
      <c r="AB472" s="6">
        <f>$K$472*$V$472</f>
        <v>0</v>
      </c>
      <c r="AC472" s="6">
        <f>$M$472*$W$472</f>
        <v>5510.4198912000002</v>
      </c>
      <c r="AD472" s="6">
        <f>$O$472*$X$472</f>
        <v>17249.827391999999</v>
      </c>
      <c r="AE472" s="6">
        <f>$K$472*$Y$472</f>
        <v>0</v>
      </c>
      <c r="AF472" s="6">
        <f ca="1">$M$472*$Z$472</f>
        <v>7166.4761144234644</v>
      </c>
      <c r="AG472" s="6">
        <f>$O$472*$AA$472</f>
        <v>15686.24605400769</v>
      </c>
    </row>
    <row r="473" spans="1:33" ht="11.25" customHeight="1" x14ac:dyDescent="0.25">
      <c r="A473" s="4" t="s">
        <v>27</v>
      </c>
      <c r="B473" s="4" t="s">
        <v>38</v>
      </c>
      <c r="C473" s="4" t="s">
        <v>40</v>
      </c>
      <c r="D473" s="4" t="s">
        <v>43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44562</v>
      </c>
      <c r="J473" s="6">
        <v>0</v>
      </c>
      <c r="K473" s="97">
        <v>0</v>
      </c>
      <c r="L473" s="6">
        <v>91.900999999999996</v>
      </c>
      <c r="M473" s="97">
        <v>91.900999999999996</v>
      </c>
      <c r="N473" s="6">
        <v>91.900999999999996</v>
      </c>
      <c r="O473" s="97">
        <v>91.900999999999996</v>
      </c>
      <c r="P473" s="6">
        <v>0</v>
      </c>
      <c r="Q473" s="4" t="s">
        <v>26</v>
      </c>
      <c r="R473" s="4">
        <v>0</v>
      </c>
      <c r="S473" s="6">
        <v>0</v>
      </c>
      <c r="T473" s="6">
        <v>14</v>
      </c>
      <c r="U473" s="6">
        <v>42</v>
      </c>
      <c r="V473" s="97">
        <f>IF(ISERROR(VLOOKUP($S$473,'TAR FIN'!$A$1:$O$86,15,0)),0,VLOOKUP($S$473,'TAR FIN'!$A$1:$O$86,15,0))</f>
        <v>0</v>
      </c>
      <c r="W473" s="97">
        <f>IF(ISERROR(VLOOKUP($T$473,'TAR FIN'!$A$1:$O$86,15,0)),0,VLOOKUP($T$473,'TAR FIN'!$A$1:$O$86,15,0))*(1-0.04)</f>
        <v>75.532800000000009</v>
      </c>
      <c r="X473" s="97">
        <f>IF(ISERROR(VLOOKUP($U$473,'TAR FIN'!$A$1:$O$86,15,0)),0,VLOOKUP($U$473,'TAR FIN'!$A$1:$O$86,15,0))*(1-0.04)</f>
        <v>236.44800000000001</v>
      </c>
      <c r="Y473" s="97"/>
      <c r="Z473" s="97">
        <f ca="1">('TUSD BE'!$AM$13+'TUSD BF'!$AM$13+'TUSD CVA'!$AM$13)*1*(1-0.02)</f>
        <v>98.232805801237291</v>
      </c>
      <c r="AA473" s="97">
        <f>('TE BE'!$AB$6+'TE BF'!$AB$6+'TE CVA'!$AB$6)*1*(1-0.02)</f>
        <v>215.01557219628384</v>
      </c>
      <c r="AB473" s="6">
        <f>$K$473*$V$473</f>
        <v>0</v>
      </c>
      <c r="AC473" s="6">
        <f>$M$473*$W$473</f>
        <v>6941.5398528000005</v>
      </c>
      <c r="AD473" s="6">
        <f>$O$473*$X$473</f>
        <v>21729.807647999998</v>
      </c>
      <c r="AE473" s="6">
        <f>$K$473*$Y$473</f>
        <v>0</v>
      </c>
      <c r="AF473" s="6">
        <f ca="1">$M$473*$Z$473</f>
        <v>9027.693085939507</v>
      </c>
      <c r="AG473" s="6">
        <f>$O$473*$AA$473</f>
        <v>19760.146100410682</v>
      </c>
    </row>
    <row r="474" spans="1:33" ht="11.25" customHeight="1" x14ac:dyDescent="0.25">
      <c r="A474" s="4" t="s">
        <v>21</v>
      </c>
      <c r="B474" s="4" t="s">
        <v>38</v>
      </c>
      <c r="C474" s="4" t="s">
        <v>40</v>
      </c>
      <c r="D474" s="4" t="s">
        <v>43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44593</v>
      </c>
      <c r="J474" s="6">
        <v>0</v>
      </c>
      <c r="K474" s="97">
        <v>0</v>
      </c>
      <c r="L474" s="6">
        <v>44.546999999999997</v>
      </c>
      <c r="M474" s="97">
        <v>44.546999999999997</v>
      </c>
      <c r="N474" s="6">
        <v>44.546999999999997</v>
      </c>
      <c r="O474" s="97">
        <v>44.546999999999997</v>
      </c>
      <c r="P474" s="6">
        <v>0</v>
      </c>
      <c r="Q474" s="4" t="s">
        <v>26</v>
      </c>
      <c r="R474" s="4">
        <v>0</v>
      </c>
      <c r="S474" s="6">
        <v>0</v>
      </c>
      <c r="T474" s="6">
        <v>14</v>
      </c>
      <c r="U474" s="6">
        <v>42</v>
      </c>
      <c r="V474" s="97">
        <f>IF(ISERROR(VLOOKUP($S$474,'TAR FIN'!$A$1:$O$86,15,0)),0,VLOOKUP($S$474,'TAR FIN'!$A$1:$O$86,15,0))</f>
        <v>0</v>
      </c>
      <c r="W474" s="97">
        <f>IF(ISERROR(VLOOKUP($T$474,'TAR FIN'!$A$1:$O$86,15,0)),0,VLOOKUP($T$474,'TAR FIN'!$A$1:$O$86,15,0))*(1-0.04)</f>
        <v>75.532800000000009</v>
      </c>
      <c r="X474" s="97">
        <f>IF(ISERROR(VLOOKUP($U$474,'TAR FIN'!$A$1:$O$86,15,0)),0,VLOOKUP($U$474,'TAR FIN'!$A$1:$O$86,15,0))*(1-0.04)</f>
        <v>236.44800000000001</v>
      </c>
      <c r="Y474" s="97"/>
      <c r="Z474" s="97">
        <f ca="1">('TUSD BE'!$AM$13+'TUSD BF'!$AM$13+'TUSD CVA'!$AM$13)*1*(1-0.02)</f>
        <v>98.232805801237291</v>
      </c>
      <c r="AA474" s="97">
        <f>('TE BE'!$AB$6+'TE BF'!$AB$6+'TE CVA'!$AB$6)*1*(1-0.02)</f>
        <v>215.01557219628384</v>
      </c>
      <c r="AB474" s="6">
        <f>$K$474*$V$474</f>
        <v>0</v>
      </c>
      <c r="AC474" s="6">
        <f>$M$474*$W$474</f>
        <v>3364.7596416000001</v>
      </c>
      <c r="AD474" s="6">
        <f>$O$474*$X$474</f>
        <v>10533.049056</v>
      </c>
      <c r="AE474" s="6">
        <f>$K$474*$Y$474</f>
        <v>0</v>
      </c>
      <c r="AF474" s="6">
        <f ca="1">$M$474*$Z$474</f>
        <v>4375.9768000277172</v>
      </c>
      <c r="AG474" s="6">
        <f>$O$474*$AA$474</f>
        <v>9578.2986946278561</v>
      </c>
    </row>
    <row r="475" spans="1:33" ht="11.25" customHeight="1" x14ac:dyDescent="0.25">
      <c r="A475" s="4" t="s">
        <v>21</v>
      </c>
      <c r="B475" s="4" t="s">
        <v>38</v>
      </c>
      <c r="C475" s="4" t="s">
        <v>40</v>
      </c>
      <c r="D475" s="4" t="s">
        <v>43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44621</v>
      </c>
      <c r="J475" s="6">
        <v>0</v>
      </c>
      <c r="K475" s="97">
        <v>0</v>
      </c>
      <c r="L475" s="6">
        <v>70.852999999999994</v>
      </c>
      <c r="M475" s="97">
        <v>70.852999999999994</v>
      </c>
      <c r="N475" s="6">
        <v>70.852999999999994</v>
      </c>
      <c r="O475" s="97">
        <v>70.852999999999994</v>
      </c>
      <c r="P475" s="6">
        <v>0</v>
      </c>
      <c r="Q475" s="4" t="s">
        <v>26</v>
      </c>
      <c r="R475" s="4">
        <v>0</v>
      </c>
      <c r="S475" s="6">
        <v>0</v>
      </c>
      <c r="T475" s="6">
        <v>14</v>
      </c>
      <c r="U475" s="6">
        <v>42</v>
      </c>
      <c r="V475" s="97">
        <f>IF(ISERROR(VLOOKUP($S$475,'TAR FIN'!$A$1:$O$86,15,0)),0,VLOOKUP($S$475,'TAR FIN'!$A$1:$O$86,15,0))</f>
        <v>0</v>
      </c>
      <c r="W475" s="97">
        <f>IF(ISERROR(VLOOKUP($T$475,'TAR FIN'!$A$1:$O$86,15,0)),0,VLOOKUP($T$475,'TAR FIN'!$A$1:$O$86,15,0))*(1-0.04)</f>
        <v>75.532800000000009</v>
      </c>
      <c r="X475" s="97">
        <f>IF(ISERROR(VLOOKUP($U$475,'TAR FIN'!$A$1:$O$86,15,0)),0,VLOOKUP($U$475,'TAR FIN'!$A$1:$O$86,15,0))*(1-0.04)</f>
        <v>236.44800000000001</v>
      </c>
      <c r="Y475" s="97"/>
      <c r="Z475" s="97">
        <f ca="1">('TUSD BE'!$AM$13+'TUSD BF'!$AM$13+'TUSD CVA'!$AM$13)*1*(1-0.02)</f>
        <v>98.232805801237291</v>
      </c>
      <c r="AA475" s="97">
        <f>('TE BE'!$AB$6+'TE BF'!$AB$6+'TE CVA'!$AB$6)*1*(1-0.02)</f>
        <v>215.01557219628384</v>
      </c>
      <c r="AB475" s="6">
        <f>$K$475*$V$475</f>
        <v>0</v>
      </c>
      <c r="AC475" s="6">
        <f>$M$475*$W$475</f>
        <v>5351.7254784000006</v>
      </c>
      <c r="AD475" s="6">
        <f>$O$475*$X$475</f>
        <v>16753.050144000001</v>
      </c>
      <c r="AE475" s="6">
        <f>$K$475*$Y$475</f>
        <v>0</v>
      </c>
      <c r="AF475" s="6">
        <f ca="1">$M$475*$Z$475</f>
        <v>6960.0889894350648</v>
      </c>
      <c r="AG475" s="6">
        <f>$O$475*$AA$475</f>
        <v>15234.498336823297</v>
      </c>
    </row>
    <row r="476" spans="1:33" ht="11.25" customHeight="1" x14ac:dyDescent="0.25">
      <c r="A476" s="4" t="s">
        <v>21</v>
      </c>
      <c r="B476" s="4" t="s">
        <v>38</v>
      </c>
      <c r="C476" s="4" t="s">
        <v>40</v>
      </c>
      <c r="D476" s="4" t="s">
        <v>43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44652</v>
      </c>
      <c r="J476" s="6">
        <v>0</v>
      </c>
      <c r="K476" s="97">
        <v>0</v>
      </c>
      <c r="L476" s="6">
        <v>154.92699999999999</v>
      </c>
      <c r="M476" s="97">
        <v>154.92699999999999</v>
      </c>
      <c r="N476" s="6">
        <v>154.92699999999999</v>
      </c>
      <c r="O476" s="97">
        <v>154.92699999999999</v>
      </c>
      <c r="P476" s="6">
        <v>0</v>
      </c>
      <c r="Q476" s="4" t="s">
        <v>26</v>
      </c>
      <c r="R476" s="4">
        <v>0</v>
      </c>
      <c r="S476" s="6">
        <v>0</v>
      </c>
      <c r="T476" s="6">
        <v>14</v>
      </c>
      <c r="U476" s="6">
        <v>42</v>
      </c>
      <c r="V476" s="97">
        <f>IF(ISERROR(VLOOKUP($S$476,'TAR FIN'!$A$1:$O$86,15,0)),0,VLOOKUP($S$476,'TAR FIN'!$A$1:$O$86,15,0))</f>
        <v>0</v>
      </c>
      <c r="W476" s="97">
        <f>IF(ISERROR(VLOOKUP($T$476,'TAR FIN'!$A$1:$O$86,15,0)),0,VLOOKUP($T$476,'TAR FIN'!$A$1:$O$86,15,0))*(1-0.04)</f>
        <v>75.532800000000009</v>
      </c>
      <c r="X476" s="97">
        <f>IF(ISERROR(VLOOKUP($U$476,'TAR FIN'!$A$1:$O$86,15,0)),0,VLOOKUP($U$476,'TAR FIN'!$A$1:$O$86,15,0))*(1-0.04)</f>
        <v>236.44800000000001</v>
      </c>
      <c r="Y476" s="97"/>
      <c r="Z476" s="97">
        <f ca="1">('TUSD BE'!$AM$13+'TUSD BF'!$AM$13+'TUSD CVA'!$AM$13)*1*(1-0.02)</f>
        <v>98.232805801237291</v>
      </c>
      <c r="AA476" s="97">
        <f>('TE BE'!$AB$6+'TE BF'!$AB$6+'TE CVA'!$AB$6)*1*(1-0.02)</f>
        <v>215.01557219628384</v>
      </c>
      <c r="AB476" s="6">
        <f>$K$476*$V$476</f>
        <v>0</v>
      </c>
      <c r="AC476" s="6">
        <f>$M$476*$W$476</f>
        <v>11702.070105600002</v>
      </c>
      <c r="AD476" s="6">
        <f>$O$476*$X$476</f>
        <v>36632.179296000002</v>
      </c>
      <c r="AE476" s="6">
        <f>$K$476*$Y$476</f>
        <v>0</v>
      </c>
      <c r="AF476" s="6">
        <f ca="1">$M$476*$Z$476</f>
        <v>15218.91390436829</v>
      </c>
      <c r="AG476" s="6">
        <f>$O$476*$AA$476</f>
        <v>33311.717553653667</v>
      </c>
    </row>
    <row r="477" spans="1:33" ht="11.25" customHeight="1" x14ac:dyDescent="0.25">
      <c r="A477" s="4" t="s">
        <v>21</v>
      </c>
      <c r="B477" s="4" t="s">
        <v>38</v>
      </c>
      <c r="C477" s="4" t="s">
        <v>40</v>
      </c>
      <c r="D477" s="4" t="s">
        <v>43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97">
        <v>0</v>
      </c>
      <c r="L477" s="6">
        <v>77.64</v>
      </c>
      <c r="M477" s="97">
        <v>77.64</v>
      </c>
      <c r="N477" s="6">
        <v>77.64</v>
      </c>
      <c r="O477" s="97">
        <v>77.64</v>
      </c>
      <c r="P477" s="6">
        <v>0</v>
      </c>
      <c r="Q477" s="4" t="s">
        <v>26</v>
      </c>
      <c r="R477" s="4">
        <v>0</v>
      </c>
      <c r="S477" s="6">
        <v>0</v>
      </c>
      <c r="T477" s="6">
        <v>14</v>
      </c>
      <c r="U477" s="6">
        <v>42</v>
      </c>
      <c r="V477" s="97">
        <f>IF(ISERROR(VLOOKUP($S$477,'TAR FIN'!$A$1:$O$86,15,0)),0,VLOOKUP($S$477,'TAR FIN'!$A$1:$O$86,15,0))</f>
        <v>0</v>
      </c>
      <c r="W477" s="97">
        <f>IF(ISERROR(VLOOKUP($T$477,'TAR FIN'!$A$1:$O$86,15,0)),0,VLOOKUP($T$477,'TAR FIN'!$A$1:$O$86,15,0))*(1-0.04)</f>
        <v>75.532800000000009</v>
      </c>
      <c r="X477" s="97">
        <f>IF(ISERROR(VLOOKUP($U$477,'TAR FIN'!$A$1:$O$86,15,0)),0,VLOOKUP($U$477,'TAR FIN'!$A$1:$O$86,15,0))*(1-0.04)</f>
        <v>236.44800000000001</v>
      </c>
      <c r="Y477" s="97"/>
      <c r="Z477" s="97">
        <f ca="1">('TUSD BE'!$AM$13+'TUSD BF'!$AM$13+'TUSD CVA'!$AM$13)*1*(1-0.02)</f>
        <v>98.232805801237291</v>
      </c>
      <c r="AA477" s="97">
        <f>('TE BE'!$AB$6+'TE BF'!$AB$6+'TE CVA'!$AB$6)*1*(1-0.02)</f>
        <v>215.01557219628384</v>
      </c>
      <c r="AB477" s="6">
        <f>$K$477*$V$477</f>
        <v>0</v>
      </c>
      <c r="AC477" s="6">
        <f>$M$477*$W$477</f>
        <v>5864.3665920000003</v>
      </c>
      <c r="AD477" s="6">
        <f>$O$477*$X$477</f>
        <v>18357.82272</v>
      </c>
      <c r="AE477" s="6">
        <f>$K$477*$Y$477</f>
        <v>0</v>
      </c>
      <c r="AF477" s="6">
        <f ca="1">$M$477*$Z$477</f>
        <v>7626.7950424080636</v>
      </c>
      <c r="AG477" s="6">
        <f>$O$477*$AA$477</f>
        <v>16693.809025319479</v>
      </c>
    </row>
    <row r="478" spans="1:33" ht="11.25" customHeight="1" x14ac:dyDescent="0.25">
      <c r="A478" s="4" t="s">
        <v>56</v>
      </c>
      <c r="B478" s="4" t="s">
        <v>38</v>
      </c>
      <c r="C478" s="4" t="s">
        <v>40</v>
      </c>
      <c r="D478" s="4" t="s">
        <v>43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44713</v>
      </c>
      <c r="J478" s="6">
        <v>0</v>
      </c>
      <c r="K478" s="97">
        <v>0</v>
      </c>
      <c r="L478" s="6">
        <v>77.64</v>
      </c>
      <c r="M478" s="97">
        <v>77.64</v>
      </c>
      <c r="N478" s="6">
        <v>77.64</v>
      </c>
      <c r="O478" s="97">
        <v>77.64</v>
      </c>
      <c r="P478" s="6">
        <v>0</v>
      </c>
      <c r="Q478" s="4" t="s">
        <v>26</v>
      </c>
      <c r="R478" s="4">
        <v>0</v>
      </c>
      <c r="S478" s="6">
        <v>0</v>
      </c>
      <c r="T478" s="6">
        <v>14</v>
      </c>
      <c r="U478" s="6">
        <v>42</v>
      </c>
      <c r="V478" s="97">
        <f>IF(ISERROR(VLOOKUP($S$478,'TAR FIN'!$A$1:$O$86,15,0)),0,VLOOKUP($S$478,'TAR FIN'!$A$1:$O$86,15,0))</f>
        <v>0</v>
      </c>
      <c r="W478" s="97">
        <f>IF(ISERROR(VLOOKUP($T$478,'TAR FIN'!$A$1:$O$86,15,0)),0,VLOOKUP($T$478,'TAR FIN'!$A$1:$O$86,15,0))*(1-0.04)</f>
        <v>75.532800000000009</v>
      </c>
      <c r="X478" s="97">
        <f>IF(ISERROR(VLOOKUP($U$478,'TAR FIN'!$A$1:$O$86,15,0)),0,VLOOKUP($U$478,'TAR FIN'!$A$1:$O$86,15,0))*(1-0.04)</f>
        <v>236.44800000000001</v>
      </c>
      <c r="Y478" s="97"/>
      <c r="Z478" s="97">
        <f ca="1">('TUSD BE'!$AM$13+'TUSD BF'!$AM$13+'TUSD CVA'!$AM$13)*1*(1-0.02)</f>
        <v>98.232805801237291</v>
      </c>
      <c r="AA478" s="97">
        <f>('TE BE'!$AB$6+'TE BF'!$AB$6+'TE CVA'!$AB$6)*1*(1-0.02)</f>
        <v>215.01557219628384</v>
      </c>
      <c r="AB478" s="6">
        <f>$K$478*$V$478</f>
        <v>0</v>
      </c>
      <c r="AC478" s="6">
        <f>$M$478*$W$478</f>
        <v>5864.3665920000003</v>
      </c>
      <c r="AD478" s="6">
        <f>$O$478*$X$478</f>
        <v>18357.82272</v>
      </c>
      <c r="AE478" s="6">
        <f>$K$478*$Y$478</f>
        <v>0</v>
      </c>
      <c r="AF478" s="6">
        <f ca="1">$M$478*$Z$478</f>
        <v>7626.7950424080636</v>
      </c>
      <c r="AG478" s="6">
        <f>$O$478*$AA$478</f>
        <v>16693.809025319479</v>
      </c>
    </row>
    <row r="479" spans="1:33" ht="11.25" customHeight="1" x14ac:dyDescent="0.25">
      <c r="A479" s="4" t="s">
        <v>21</v>
      </c>
      <c r="B479" s="4" t="s">
        <v>38</v>
      </c>
      <c r="C479" s="4" t="s">
        <v>40</v>
      </c>
      <c r="D479" s="4" t="s">
        <v>43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44378</v>
      </c>
      <c r="J479" s="6">
        <v>553</v>
      </c>
      <c r="K479" s="97">
        <v>553</v>
      </c>
      <c r="L479" s="6">
        <v>0</v>
      </c>
      <c r="M479" s="97">
        <v>0</v>
      </c>
      <c r="N479" s="6">
        <v>0</v>
      </c>
      <c r="O479" s="97">
        <v>0</v>
      </c>
      <c r="P479" s="6">
        <v>5</v>
      </c>
      <c r="Q479" s="4" t="s">
        <v>26</v>
      </c>
      <c r="R479" s="4">
        <v>0</v>
      </c>
      <c r="S479" s="6">
        <v>18</v>
      </c>
      <c r="T479" s="6">
        <v>0</v>
      </c>
      <c r="U479" s="6">
        <v>0</v>
      </c>
      <c r="V479" s="97">
        <f>IF(ISERROR(VLOOKUP($S$479,'TAR FIN'!$A$1:$O$86,15,0)),0,VLOOKUP($S$479,'TAR FIN'!$A$1:$O$86,15,0))*(1-0.04)</f>
        <v>18.470399999999998</v>
      </c>
      <c r="W479" s="97">
        <f>IF(ISERROR(VLOOKUP($T$479,'TAR FIN'!$A$1:$O$86,15,0)),0,VLOOKUP($T$479,'TAR FIN'!$A$1:$O$86,15,0))</f>
        <v>0</v>
      </c>
      <c r="X479" s="97">
        <f>IF(ISERROR(VLOOKUP($U$479,'TAR FIN'!$A$1:$O$86,15,0)),0,VLOOKUP($U$479,'TAR FIN'!$A$1:$O$86,15,0))</f>
        <v>0</v>
      </c>
      <c r="Y479" s="97">
        <f ca="1">('TUSD BE'!$AM$11+'TUSD BF'!$AM$11+'TUSD CVA'!$AM$11)*1*(1-0.02)</f>
        <v>14.889098762306169</v>
      </c>
      <c r="Z479" s="97"/>
      <c r="AA479" s="97"/>
      <c r="AB479" s="6">
        <f>$K$479*$V$479</f>
        <v>10214.131199999998</v>
      </c>
      <c r="AC479" s="6">
        <f>$M$479*$W$479</f>
        <v>0</v>
      </c>
      <c r="AD479" s="6">
        <f>$O$479*$X$479</f>
        <v>0</v>
      </c>
      <c r="AE479" s="6">
        <f ca="1">$K$479*$Y$479</f>
        <v>8233.6716155553113</v>
      </c>
      <c r="AF479" s="6">
        <f>$M$479*$Z$479</f>
        <v>0</v>
      </c>
      <c r="AG479" s="6">
        <f>$O$479*$AA$479</f>
        <v>0</v>
      </c>
    </row>
    <row r="480" spans="1:33" ht="11.25" customHeight="1" x14ac:dyDescent="0.25">
      <c r="A480" s="4" t="s">
        <v>21</v>
      </c>
      <c r="B480" s="4" t="s">
        <v>38</v>
      </c>
      <c r="C480" s="4" t="s">
        <v>40</v>
      </c>
      <c r="D480" s="4" t="s">
        <v>43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44409</v>
      </c>
      <c r="J480" s="6">
        <v>564</v>
      </c>
      <c r="K480" s="97">
        <v>564</v>
      </c>
      <c r="L480" s="6">
        <v>0</v>
      </c>
      <c r="M480" s="97">
        <v>0</v>
      </c>
      <c r="N480" s="6">
        <v>0</v>
      </c>
      <c r="O480" s="97">
        <v>0</v>
      </c>
      <c r="P480" s="6">
        <v>5</v>
      </c>
      <c r="Q480" s="4" t="s">
        <v>26</v>
      </c>
      <c r="R480" s="4">
        <v>0</v>
      </c>
      <c r="S480" s="6">
        <v>18</v>
      </c>
      <c r="T480" s="6">
        <v>0</v>
      </c>
      <c r="U480" s="6">
        <v>0</v>
      </c>
      <c r="V480" s="97">
        <f>IF(ISERROR(VLOOKUP($S$480,'TAR FIN'!$A$1:$O$86,15,0)),0,VLOOKUP($S$480,'TAR FIN'!$A$1:$O$86,15,0))*(1-0.04)</f>
        <v>18.470399999999998</v>
      </c>
      <c r="W480" s="97">
        <f>IF(ISERROR(VLOOKUP($T$480,'TAR FIN'!$A$1:$O$86,15,0)),0,VLOOKUP($T$480,'TAR FIN'!$A$1:$O$86,15,0))</f>
        <v>0</v>
      </c>
      <c r="X480" s="97">
        <f>IF(ISERROR(VLOOKUP($U$480,'TAR FIN'!$A$1:$O$86,15,0)),0,VLOOKUP($U$480,'TAR FIN'!$A$1:$O$86,15,0))</f>
        <v>0</v>
      </c>
      <c r="Y480" s="97">
        <f ca="1">('TUSD BE'!$AM$11+'TUSD BF'!$AM$11+'TUSD CVA'!$AM$11)*1*(1-0.02)</f>
        <v>14.889098762306169</v>
      </c>
      <c r="Z480" s="97"/>
      <c r="AA480" s="97"/>
      <c r="AB480" s="6">
        <f>$K$480*$V$480</f>
        <v>10417.3056</v>
      </c>
      <c r="AC480" s="6">
        <f>$M$480*$W$480</f>
        <v>0</v>
      </c>
      <c r="AD480" s="6">
        <f>$O$480*$X$480</f>
        <v>0</v>
      </c>
      <c r="AE480" s="6">
        <f ca="1">$K$480*$Y$480</f>
        <v>8397.4517019406794</v>
      </c>
      <c r="AF480" s="6">
        <f>$M$480*$Z$480</f>
        <v>0</v>
      </c>
      <c r="AG480" s="6">
        <f>$O$480*$AA$480</f>
        <v>0</v>
      </c>
    </row>
    <row r="481" spans="1:33" ht="11.25" customHeight="1" x14ac:dyDescent="0.25">
      <c r="A481" s="4" t="s">
        <v>21</v>
      </c>
      <c r="B481" s="4" t="s">
        <v>38</v>
      </c>
      <c r="C481" s="4" t="s">
        <v>40</v>
      </c>
      <c r="D481" s="4" t="s">
        <v>43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44440</v>
      </c>
      <c r="J481" s="6">
        <v>549</v>
      </c>
      <c r="K481" s="97">
        <v>549</v>
      </c>
      <c r="L481" s="6">
        <v>0</v>
      </c>
      <c r="M481" s="97">
        <v>0</v>
      </c>
      <c r="N481" s="6">
        <v>0</v>
      </c>
      <c r="O481" s="97">
        <v>0</v>
      </c>
      <c r="P481" s="6">
        <v>5</v>
      </c>
      <c r="Q481" s="4" t="s">
        <v>26</v>
      </c>
      <c r="R481" s="4">
        <v>0</v>
      </c>
      <c r="S481" s="6">
        <v>18</v>
      </c>
      <c r="T481" s="6">
        <v>0</v>
      </c>
      <c r="U481" s="6">
        <v>0</v>
      </c>
      <c r="V481" s="97">
        <f>IF(ISERROR(VLOOKUP($S$481,'TAR FIN'!$A$1:$O$86,15,0)),0,VLOOKUP($S$481,'TAR FIN'!$A$1:$O$86,15,0))*(1-0.04)</f>
        <v>18.470399999999998</v>
      </c>
      <c r="W481" s="97">
        <f>IF(ISERROR(VLOOKUP($T$481,'TAR FIN'!$A$1:$O$86,15,0)),0,VLOOKUP($T$481,'TAR FIN'!$A$1:$O$86,15,0))</f>
        <v>0</v>
      </c>
      <c r="X481" s="97">
        <f>IF(ISERROR(VLOOKUP($U$481,'TAR FIN'!$A$1:$O$86,15,0)),0,VLOOKUP($U$481,'TAR FIN'!$A$1:$O$86,15,0))</f>
        <v>0</v>
      </c>
      <c r="Y481" s="97">
        <f ca="1">('TUSD BE'!$AM$11+'TUSD BF'!$AM$11+'TUSD CVA'!$AM$11)*1*(1-0.02)</f>
        <v>14.889098762306169</v>
      </c>
      <c r="Z481" s="97"/>
      <c r="AA481" s="97"/>
      <c r="AB481" s="6">
        <f>$K$481*$V$481</f>
        <v>10140.249599999999</v>
      </c>
      <c r="AC481" s="6">
        <f>$M$481*$W$481</f>
        <v>0</v>
      </c>
      <c r="AD481" s="6">
        <f>$O$481*$X$481</f>
        <v>0</v>
      </c>
      <c r="AE481" s="6">
        <f ca="1">$K$481*$Y$481</f>
        <v>8174.1152205060871</v>
      </c>
      <c r="AF481" s="6">
        <f>$M$481*$Z$481</f>
        <v>0</v>
      </c>
      <c r="AG481" s="6">
        <f>$O$481*$AA$481</f>
        <v>0</v>
      </c>
    </row>
    <row r="482" spans="1:33" ht="11.25" customHeight="1" x14ac:dyDescent="0.25">
      <c r="A482" s="4" t="s">
        <v>21</v>
      </c>
      <c r="B482" s="4" t="s">
        <v>38</v>
      </c>
      <c r="C482" s="4" t="s">
        <v>40</v>
      </c>
      <c r="D482" s="4" t="s">
        <v>43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44470</v>
      </c>
      <c r="J482" s="6">
        <v>561</v>
      </c>
      <c r="K482" s="97">
        <v>561</v>
      </c>
      <c r="L482" s="6">
        <v>0</v>
      </c>
      <c r="M482" s="97">
        <v>0</v>
      </c>
      <c r="N482" s="6">
        <v>0</v>
      </c>
      <c r="O482" s="97">
        <v>0</v>
      </c>
      <c r="P482" s="6">
        <v>5</v>
      </c>
      <c r="Q482" s="4" t="s">
        <v>26</v>
      </c>
      <c r="R482" s="4">
        <v>0</v>
      </c>
      <c r="S482" s="6">
        <v>18</v>
      </c>
      <c r="T482" s="6">
        <v>0</v>
      </c>
      <c r="U482" s="6">
        <v>0</v>
      </c>
      <c r="V482" s="97">
        <f>IF(ISERROR(VLOOKUP($S$482,'TAR FIN'!$A$1:$O$86,15,0)),0,VLOOKUP($S$482,'TAR FIN'!$A$1:$O$86,15,0))*(1-0.04)</f>
        <v>18.470399999999998</v>
      </c>
      <c r="W482" s="97">
        <f>IF(ISERROR(VLOOKUP($T$482,'TAR FIN'!$A$1:$O$86,15,0)),0,VLOOKUP($T$482,'TAR FIN'!$A$1:$O$86,15,0))</f>
        <v>0</v>
      </c>
      <c r="X482" s="97">
        <f>IF(ISERROR(VLOOKUP($U$482,'TAR FIN'!$A$1:$O$86,15,0)),0,VLOOKUP($U$482,'TAR FIN'!$A$1:$O$86,15,0))</f>
        <v>0</v>
      </c>
      <c r="Y482" s="97">
        <f ca="1">('TUSD BE'!$AM$11+'TUSD BF'!$AM$11+'TUSD CVA'!$AM$11)*1*(1-0.02)</f>
        <v>14.889098762306169</v>
      </c>
      <c r="Z482" s="97"/>
      <c r="AA482" s="97"/>
      <c r="AB482" s="6">
        <f>$K$482*$V$482</f>
        <v>10361.894399999999</v>
      </c>
      <c r="AC482" s="6">
        <f>$M$482*$W$482</f>
        <v>0</v>
      </c>
      <c r="AD482" s="6">
        <f>$O$482*$X$482</f>
        <v>0</v>
      </c>
      <c r="AE482" s="6">
        <f ca="1">$K$482*$Y$482</f>
        <v>8352.7844056537615</v>
      </c>
      <c r="AF482" s="6">
        <f>$M$482*$Z$482</f>
        <v>0</v>
      </c>
      <c r="AG482" s="6">
        <f>$O$482*$AA$482</f>
        <v>0</v>
      </c>
    </row>
    <row r="483" spans="1:33" ht="11.25" customHeight="1" x14ac:dyDescent="0.25">
      <c r="A483" s="4" t="s">
        <v>21</v>
      </c>
      <c r="B483" s="4" t="s">
        <v>38</v>
      </c>
      <c r="C483" s="4" t="s">
        <v>40</v>
      </c>
      <c r="D483" s="4" t="s">
        <v>43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44501</v>
      </c>
      <c r="J483" s="6">
        <v>658</v>
      </c>
      <c r="K483" s="97">
        <v>658</v>
      </c>
      <c r="L483" s="6">
        <v>0</v>
      </c>
      <c r="M483" s="97">
        <v>0</v>
      </c>
      <c r="N483" s="6">
        <v>0</v>
      </c>
      <c r="O483" s="97">
        <v>0</v>
      </c>
      <c r="P483" s="6">
        <v>5</v>
      </c>
      <c r="Q483" s="4" t="s">
        <v>26</v>
      </c>
      <c r="R483" s="4">
        <v>0</v>
      </c>
      <c r="S483" s="6">
        <v>18</v>
      </c>
      <c r="T483" s="6">
        <v>0</v>
      </c>
      <c r="U483" s="6">
        <v>0</v>
      </c>
      <c r="V483" s="97">
        <f>IF(ISERROR(VLOOKUP($S$483,'TAR FIN'!$A$1:$O$86,15,0)),0,VLOOKUP($S$483,'TAR FIN'!$A$1:$O$86,15,0))*(1-0.04)</f>
        <v>18.470399999999998</v>
      </c>
      <c r="W483" s="97">
        <f>IF(ISERROR(VLOOKUP($T$483,'TAR FIN'!$A$1:$O$86,15,0)),0,VLOOKUP($T$483,'TAR FIN'!$A$1:$O$86,15,0))</f>
        <v>0</v>
      </c>
      <c r="X483" s="97">
        <f>IF(ISERROR(VLOOKUP($U$483,'TAR FIN'!$A$1:$O$86,15,0)),0,VLOOKUP($U$483,'TAR FIN'!$A$1:$O$86,15,0))</f>
        <v>0</v>
      </c>
      <c r="Y483" s="97">
        <f ca="1">('TUSD BE'!$AM$11+'TUSD BF'!$AM$11+'TUSD CVA'!$AM$11)*1*(1-0.02)</f>
        <v>14.889098762306169</v>
      </c>
      <c r="Z483" s="97"/>
      <c r="AA483" s="97"/>
      <c r="AB483" s="6">
        <f>$K$483*$V$483</f>
        <v>12153.523199999998</v>
      </c>
      <c r="AC483" s="6">
        <f>$M$483*$W$483</f>
        <v>0</v>
      </c>
      <c r="AD483" s="6">
        <f>$O$483*$X$483</f>
        <v>0</v>
      </c>
      <c r="AE483" s="6">
        <f ca="1">$K$483*$Y$483</f>
        <v>9797.0269855974584</v>
      </c>
      <c r="AF483" s="6">
        <f>$M$483*$Z$483</f>
        <v>0</v>
      </c>
      <c r="AG483" s="6">
        <f>$O$483*$AA$483</f>
        <v>0</v>
      </c>
    </row>
    <row r="484" spans="1:33" ht="11.25" customHeight="1" x14ac:dyDescent="0.25">
      <c r="A484" s="4" t="s">
        <v>21</v>
      </c>
      <c r="B484" s="4" t="s">
        <v>38</v>
      </c>
      <c r="C484" s="4" t="s">
        <v>40</v>
      </c>
      <c r="D484" s="4" t="s">
        <v>43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44531</v>
      </c>
      <c r="J484" s="6">
        <v>584</v>
      </c>
      <c r="K484" s="97">
        <v>584</v>
      </c>
      <c r="L484" s="6">
        <v>0</v>
      </c>
      <c r="M484" s="97">
        <v>0</v>
      </c>
      <c r="N484" s="6">
        <v>0</v>
      </c>
      <c r="O484" s="97">
        <v>0</v>
      </c>
      <c r="P484" s="6">
        <v>5</v>
      </c>
      <c r="Q484" s="4" t="s">
        <v>26</v>
      </c>
      <c r="R484" s="4">
        <v>0</v>
      </c>
      <c r="S484" s="6">
        <v>18</v>
      </c>
      <c r="T484" s="6">
        <v>0</v>
      </c>
      <c r="U484" s="6">
        <v>0</v>
      </c>
      <c r="V484" s="97">
        <f>IF(ISERROR(VLOOKUP($S$484,'TAR FIN'!$A$1:$O$86,15,0)),0,VLOOKUP($S$484,'TAR FIN'!$A$1:$O$86,15,0))*(1-0.04)</f>
        <v>18.470399999999998</v>
      </c>
      <c r="W484" s="97">
        <f>IF(ISERROR(VLOOKUP($T$484,'TAR FIN'!$A$1:$O$86,15,0)),0,VLOOKUP($T$484,'TAR FIN'!$A$1:$O$86,15,0))</f>
        <v>0</v>
      </c>
      <c r="X484" s="97">
        <f>IF(ISERROR(VLOOKUP($U$484,'TAR FIN'!$A$1:$O$86,15,0)),0,VLOOKUP($U$484,'TAR FIN'!$A$1:$O$86,15,0))</f>
        <v>0</v>
      </c>
      <c r="Y484" s="97">
        <f ca="1">('TUSD BE'!$AM$11+'TUSD BF'!$AM$11+'TUSD CVA'!$AM$11)*1*(1-0.02)</f>
        <v>14.889098762306169</v>
      </c>
      <c r="Z484" s="97"/>
      <c r="AA484" s="97"/>
      <c r="AB484" s="6">
        <f>$K$484*$V$484</f>
        <v>10786.713599999999</v>
      </c>
      <c r="AC484" s="6">
        <f>$M$484*$W$484</f>
        <v>0</v>
      </c>
      <c r="AD484" s="6">
        <f>$O$484*$X$484</f>
        <v>0</v>
      </c>
      <c r="AE484" s="6">
        <f ca="1">$K$484*$Y$484</f>
        <v>8695.2336771868031</v>
      </c>
      <c r="AF484" s="6">
        <f>$M$484*$Z$484</f>
        <v>0</v>
      </c>
      <c r="AG484" s="6">
        <f>$O$484*$AA$484</f>
        <v>0</v>
      </c>
    </row>
    <row r="485" spans="1:33" ht="11.25" customHeight="1" x14ac:dyDescent="0.25">
      <c r="A485" s="4" t="s">
        <v>21</v>
      </c>
      <c r="B485" s="4" t="s">
        <v>38</v>
      </c>
      <c r="C485" s="4" t="s">
        <v>40</v>
      </c>
      <c r="D485" s="4" t="s">
        <v>43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44562</v>
      </c>
      <c r="J485" s="6">
        <v>564</v>
      </c>
      <c r="K485" s="97">
        <v>564</v>
      </c>
      <c r="L485" s="6">
        <v>0</v>
      </c>
      <c r="M485" s="97">
        <v>0</v>
      </c>
      <c r="N485" s="6">
        <v>0</v>
      </c>
      <c r="O485" s="97">
        <v>0</v>
      </c>
      <c r="P485" s="6">
        <v>5</v>
      </c>
      <c r="Q485" s="4" t="s">
        <v>26</v>
      </c>
      <c r="R485" s="4">
        <v>0</v>
      </c>
      <c r="S485" s="6">
        <v>18</v>
      </c>
      <c r="T485" s="6">
        <v>0</v>
      </c>
      <c r="U485" s="6">
        <v>0</v>
      </c>
      <c r="V485" s="97">
        <f>IF(ISERROR(VLOOKUP($S$485,'TAR FIN'!$A$1:$O$86,15,0)),0,VLOOKUP($S$485,'TAR FIN'!$A$1:$O$86,15,0))*(1-0.04)</f>
        <v>18.470399999999998</v>
      </c>
      <c r="W485" s="97">
        <f>IF(ISERROR(VLOOKUP($T$485,'TAR FIN'!$A$1:$O$86,15,0)),0,VLOOKUP($T$485,'TAR FIN'!$A$1:$O$86,15,0))</f>
        <v>0</v>
      </c>
      <c r="X485" s="97">
        <f>IF(ISERROR(VLOOKUP($U$485,'TAR FIN'!$A$1:$O$86,15,0)),0,VLOOKUP($U$485,'TAR FIN'!$A$1:$O$86,15,0))</f>
        <v>0</v>
      </c>
      <c r="Y485" s="97">
        <f ca="1">('TUSD BE'!$AM$11+'TUSD BF'!$AM$11+'TUSD CVA'!$AM$11)*1*(1-0.02)</f>
        <v>14.889098762306169</v>
      </c>
      <c r="Z485" s="97"/>
      <c r="AA485" s="97"/>
      <c r="AB485" s="6">
        <f>$K$485*$V$485</f>
        <v>10417.3056</v>
      </c>
      <c r="AC485" s="6">
        <f>$M$485*$W$485</f>
        <v>0</v>
      </c>
      <c r="AD485" s="6">
        <f>$O$485*$X$485</f>
        <v>0</v>
      </c>
      <c r="AE485" s="6">
        <f ca="1">$K$485*$Y$485</f>
        <v>8397.4517019406794</v>
      </c>
      <c r="AF485" s="6">
        <f>$M$485*$Z$485</f>
        <v>0</v>
      </c>
      <c r="AG485" s="6">
        <f>$O$485*$AA$485</f>
        <v>0</v>
      </c>
    </row>
    <row r="486" spans="1:33" ht="11.25" customHeight="1" x14ac:dyDescent="0.25">
      <c r="A486" s="4" t="s">
        <v>27</v>
      </c>
      <c r="B486" s="4" t="s">
        <v>38</v>
      </c>
      <c r="C486" s="4" t="s">
        <v>40</v>
      </c>
      <c r="D486" s="4" t="s">
        <v>43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44562</v>
      </c>
      <c r="J486" s="6">
        <v>1053</v>
      </c>
      <c r="K486" s="97">
        <v>1053</v>
      </c>
      <c r="L486" s="6">
        <v>0</v>
      </c>
      <c r="M486" s="97">
        <v>0</v>
      </c>
      <c r="N486" s="6">
        <v>0</v>
      </c>
      <c r="O486" s="97">
        <v>0</v>
      </c>
      <c r="P486" s="6">
        <v>0</v>
      </c>
      <c r="Q486" s="4" t="s">
        <v>26</v>
      </c>
      <c r="R486" s="4">
        <v>0</v>
      </c>
      <c r="S486" s="6">
        <v>18</v>
      </c>
      <c r="T486" s="6">
        <v>0</v>
      </c>
      <c r="U486" s="6">
        <v>0</v>
      </c>
      <c r="V486" s="97">
        <f>IF(ISERROR(VLOOKUP($S$486,'TAR FIN'!$A$1:$O$86,15,0)),0,VLOOKUP($S$486,'TAR FIN'!$A$1:$O$86,15,0))*(1-0.04)</f>
        <v>18.470399999999998</v>
      </c>
      <c r="W486" s="97">
        <f>IF(ISERROR(VLOOKUP($T$486,'TAR FIN'!$A$1:$O$86,15,0)),0,VLOOKUP($T$486,'TAR FIN'!$A$1:$O$86,15,0))</f>
        <v>0</v>
      </c>
      <c r="X486" s="97">
        <f>IF(ISERROR(VLOOKUP($U$486,'TAR FIN'!$A$1:$O$86,15,0)),0,VLOOKUP($U$486,'TAR FIN'!$A$1:$O$86,15,0))</f>
        <v>0</v>
      </c>
      <c r="Y486" s="97">
        <f ca="1">('TUSD BE'!$AM$11+'TUSD BF'!$AM$11+'TUSD CVA'!$AM$11)*1*(1-0.02)</f>
        <v>14.889098762306169</v>
      </c>
      <c r="Z486" s="97"/>
      <c r="AA486" s="97"/>
      <c r="AB486" s="6">
        <f>$K$486*$V$486</f>
        <v>19449.331199999997</v>
      </c>
      <c r="AC486" s="6">
        <f>$M$486*$W$486</f>
        <v>0</v>
      </c>
      <c r="AD486" s="6">
        <f>$O$486*$X$486</f>
        <v>0</v>
      </c>
      <c r="AE486" s="6">
        <f ca="1">$K$486*$Y$486</f>
        <v>15678.220996708396</v>
      </c>
      <c r="AF486" s="6">
        <f>$M$486*$Z$486</f>
        <v>0</v>
      </c>
      <c r="AG486" s="6">
        <f>$O$486*$AA$486</f>
        <v>0</v>
      </c>
    </row>
    <row r="487" spans="1:33" ht="11.25" customHeight="1" x14ac:dyDescent="0.25">
      <c r="A487" s="4" t="s">
        <v>21</v>
      </c>
      <c r="B487" s="4" t="s">
        <v>38</v>
      </c>
      <c r="C487" s="4" t="s">
        <v>40</v>
      </c>
      <c r="D487" s="4" t="s">
        <v>43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44593</v>
      </c>
      <c r="J487" s="6">
        <v>461</v>
      </c>
      <c r="K487" s="97">
        <v>461</v>
      </c>
      <c r="L487" s="6">
        <v>0</v>
      </c>
      <c r="M487" s="97">
        <v>0</v>
      </c>
      <c r="N487" s="6">
        <v>0</v>
      </c>
      <c r="O487" s="97">
        <v>0</v>
      </c>
      <c r="P487" s="6">
        <v>4</v>
      </c>
      <c r="Q487" s="4" t="s">
        <v>26</v>
      </c>
      <c r="R487" s="4">
        <v>0</v>
      </c>
      <c r="S487" s="6">
        <v>18</v>
      </c>
      <c r="T487" s="6">
        <v>0</v>
      </c>
      <c r="U487" s="6">
        <v>0</v>
      </c>
      <c r="V487" s="97">
        <f>IF(ISERROR(VLOOKUP($S$487,'TAR FIN'!$A$1:$O$86,15,0)),0,VLOOKUP($S$487,'TAR FIN'!$A$1:$O$86,15,0))*(1-0.04)</f>
        <v>18.470399999999998</v>
      </c>
      <c r="W487" s="97">
        <f>IF(ISERROR(VLOOKUP($T$487,'TAR FIN'!$A$1:$O$86,15,0)),0,VLOOKUP($T$487,'TAR FIN'!$A$1:$O$86,15,0))</f>
        <v>0</v>
      </c>
      <c r="X487" s="97">
        <f>IF(ISERROR(VLOOKUP($U$487,'TAR FIN'!$A$1:$O$86,15,0)),0,VLOOKUP($U$487,'TAR FIN'!$A$1:$O$86,15,0))</f>
        <v>0</v>
      </c>
      <c r="Y487" s="97">
        <f ca="1">('TUSD BE'!$AM$11+'TUSD BF'!$AM$11+'TUSD CVA'!$AM$11)*1*(1-0.02)</f>
        <v>14.889098762306169</v>
      </c>
      <c r="Z487" s="97"/>
      <c r="AA487" s="97"/>
      <c r="AB487" s="6">
        <f>$K$487*$V$487</f>
        <v>8514.8543999999983</v>
      </c>
      <c r="AC487" s="6">
        <f>$M$487*$W$487</f>
        <v>0</v>
      </c>
      <c r="AD487" s="6">
        <f>$O$487*$X$487</f>
        <v>0</v>
      </c>
      <c r="AE487" s="6">
        <f ca="1">$K$487*$Y$487</f>
        <v>6863.8745294231439</v>
      </c>
      <c r="AF487" s="6">
        <f>$M$487*$Z$487</f>
        <v>0</v>
      </c>
      <c r="AG487" s="6">
        <f>$O$487*$AA$487</f>
        <v>0</v>
      </c>
    </row>
    <row r="488" spans="1:33" ht="11.25" customHeight="1" x14ac:dyDescent="0.25">
      <c r="A488" s="4" t="s">
        <v>21</v>
      </c>
      <c r="B488" s="4" t="s">
        <v>38</v>
      </c>
      <c r="C488" s="4" t="s">
        <v>40</v>
      </c>
      <c r="D488" s="4" t="s">
        <v>43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44621</v>
      </c>
      <c r="J488" s="6">
        <v>526</v>
      </c>
      <c r="K488" s="97">
        <v>526</v>
      </c>
      <c r="L488" s="6">
        <v>0</v>
      </c>
      <c r="M488" s="97">
        <v>0</v>
      </c>
      <c r="N488" s="6">
        <v>0</v>
      </c>
      <c r="O488" s="97">
        <v>0</v>
      </c>
      <c r="P488" s="6">
        <v>4</v>
      </c>
      <c r="Q488" s="4" t="s">
        <v>26</v>
      </c>
      <c r="R488" s="4">
        <v>0</v>
      </c>
      <c r="S488" s="6">
        <v>18</v>
      </c>
      <c r="T488" s="6">
        <v>0</v>
      </c>
      <c r="U488" s="6">
        <v>0</v>
      </c>
      <c r="V488" s="97">
        <f>IF(ISERROR(VLOOKUP($S$488,'TAR FIN'!$A$1:$O$86,15,0)),0,VLOOKUP($S$488,'TAR FIN'!$A$1:$O$86,15,0))*(1-0.04)</f>
        <v>18.470399999999998</v>
      </c>
      <c r="W488" s="97">
        <f>IF(ISERROR(VLOOKUP($T$488,'TAR FIN'!$A$1:$O$86,15,0)),0,VLOOKUP($T$488,'TAR FIN'!$A$1:$O$86,15,0))</f>
        <v>0</v>
      </c>
      <c r="X488" s="97">
        <f>IF(ISERROR(VLOOKUP($U$488,'TAR FIN'!$A$1:$O$86,15,0)),0,VLOOKUP($U$488,'TAR FIN'!$A$1:$O$86,15,0))</f>
        <v>0</v>
      </c>
      <c r="Y488" s="97">
        <f ca="1">('TUSD BE'!$AM$11+'TUSD BF'!$AM$11+'TUSD CVA'!$AM$11)*1*(1-0.02)</f>
        <v>14.889098762306169</v>
      </c>
      <c r="Z488" s="97"/>
      <c r="AA488" s="97"/>
      <c r="AB488" s="6">
        <f>$K$488*$V$488</f>
        <v>9715.4303999999993</v>
      </c>
      <c r="AC488" s="6">
        <f>$M$488*$W$488</f>
        <v>0</v>
      </c>
      <c r="AD488" s="6">
        <f>$O$488*$X$488</f>
        <v>0</v>
      </c>
      <c r="AE488" s="6">
        <f ca="1">$K$488*$Y$488</f>
        <v>7831.6659489730446</v>
      </c>
      <c r="AF488" s="6">
        <f>$M$488*$Z$488</f>
        <v>0</v>
      </c>
      <c r="AG488" s="6">
        <f>$O$488*$AA$488</f>
        <v>0</v>
      </c>
    </row>
    <row r="489" spans="1:33" ht="11.25" customHeight="1" x14ac:dyDescent="0.25">
      <c r="A489" s="4" t="s">
        <v>21</v>
      </c>
      <c r="B489" s="4" t="s">
        <v>38</v>
      </c>
      <c r="C489" s="4" t="s">
        <v>40</v>
      </c>
      <c r="D489" s="4" t="s">
        <v>43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44652</v>
      </c>
      <c r="J489" s="6">
        <v>554</v>
      </c>
      <c r="K489" s="97">
        <v>554</v>
      </c>
      <c r="L489" s="6">
        <v>0</v>
      </c>
      <c r="M489" s="97">
        <v>0</v>
      </c>
      <c r="N489" s="6">
        <v>0</v>
      </c>
      <c r="O489" s="97">
        <v>0</v>
      </c>
      <c r="P489" s="6">
        <v>4</v>
      </c>
      <c r="Q489" s="4" t="s">
        <v>26</v>
      </c>
      <c r="R489" s="4">
        <v>0</v>
      </c>
      <c r="S489" s="6">
        <v>18</v>
      </c>
      <c r="T489" s="6">
        <v>0</v>
      </c>
      <c r="U489" s="6">
        <v>0</v>
      </c>
      <c r="V489" s="97">
        <f>IF(ISERROR(VLOOKUP($S$489,'TAR FIN'!$A$1:$O$86,15,0)),0,VLOOKUP($S$489,'TAR FIN'!$A$1:$O$86,15,0))*(1-0.04)</f>
        <v>18.470399999999998</v>
      </c>
      <c r="W489" s="97">
        <f>IF(ISERROR(VLOOKUP($T$489,'TAR FIN'!$A$1:$O$86,15,0)),0,VLOOKUP($T$489,'TAR FIN'!$A$1:$O$86,15,0))</f>
        <v>0</v>
      </c>
      <c r="X489" s="97">
        <f>IF(ISERROR(VLOOKUP($U$489,'TAR FIN'!$A$1:$O$86,15,0)),0,VLOOKUP($U$489,'TAR FIN'!$A$1:$O$86,15,0))</f>
        <v>0</v>
      </c>
      <c r="Y489" s="97">
        <f ca="1">('TUSD BE'!$AM$11+'TUSD BF'!$AM$11+'TUSD CVA'!$AM$11)*1*(1-0.02)</f>
        <v>14.889098762306169</v>
      </c>
      <c r="Z489" s="97"/>
      <c r="AA489" s="97"/>
      <c r="AB489" s="6">
        <f>$K$489*$V$489</f>
        <v>10232.601599999998</v>
      </c>
      <c r="AC489" s="6">
        <f>$M$489*$W$489</f>
        <v>0</v>
      </c>
      <c r="AD489" s="6">
        <f>$O$489*$X$489</f>
        <v>0</v>
      </c>
      <c r="AE489" s="6">
        <f ca="1">$K$489*$Y$489</f>
        <v>8248.5607143176185</v>
      </c>
      <c r="AF489" s="6">
        <f>$M$489*$Z$489</f>
        <v>0</v>
      </c>
      <c r="AG489" s="6">
        <f>$O$489*$AA$489</f>
        <v>0</v>
      </c>
    </row>
    <row r="490" spans="1:33" ht="11.25" customHeight="1" x14ac:dyDescent="0.25">
      <c r="A490" s="4" t="s">
        <v>21</v>
      </c>
      <c r="B490" s="4" t="s">
        <v>38</v>
      </c>
      <c r="C490" s="4" t="s">
        <v>40</v>
      </c>
      <c r="D490" s="4" t="s">
        <v>43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44682</v>
      </c>
      <c r="J490" s="6">
        <v>599</v>
      </c>
      <c r="K490" s="97">
        <v>599</v>
      </c>
      <c r="L490" s="6">
        <v>0</v>
      </c>
      <c r="M490" s="97">
        <v>0</v>
      </c>
      <c r="N490" s="6">
        <v>0</v>
      </c>
      <c r="O490" s="97">
        <v>0</v>
      </c>
      <c r="P490" s="6">
        <v>5</v>
      </c>
      <c r="Q490" s="4" t="s">
        <v>26</v>
      </c>
      <c r="R490" s="4">
        <v>0</v>
      </c>
      <c r="S490" s="6">
        <v>18</v>
      </c>
      <c r="T490" s="6">
        <v>0</v>
      </c>
      <c r="U490" s="6">
        <v>0</v>
      </c>
      <c r="V490" s="97">
        <f>IF(ISERROR(VLOOKUP($S$490,'TAR FIN'!$A$1:$O$86,15,0)),0,VLOOKUP($S$490,'TAR FIN'!$A$1:$O$86,15,0))*(1-0.04)</f>
        <v>18.470399999999998</v>
      </c>
      <c r="W490" s="97">
        <f>IF(ISERROR(VLOOKUP($T$490,'TAR FIN'!$A$1:$O$86,15,0)),0,VLOOKUP($T$490,'TAR FIN'!$A$1:$O$86,15,0))</f>
        <v>0</v>
      </c>
      <c r="X490" s="97">
        <f>IF(ISERROR(VLOOKUP($U$490,'TAR FIN'!$A$1:$O$86,15,0)),0,VLOOKUP($U$490,'TAR FIN'!$A$1:$O$86,15,0))</f>
        <v>0</v>
      </c>
      <c r="Y490" s="97">
        <f ca="1">('TUSD BE'!$AM$11+'TUSD BF'!$AM$11+'TUSD CVA'!$AM$11)*1*(1-0.02)</f>
        <v>14.889098762306169</v>
      </c>
      <c r="Z490" s="97"/>
      <c r="AA490" s="97"/>
      <c r="AB490" s="6">
        <f>$K$490*$V$490</f>
        <v>11063.7696</v>
      </c>
      <c r="AC490" s="6">
        <f>$M$490*$W$490</f>
        <v>0</v>
      </c>
      <c r="AD490" s="6">
        <f>$O$490*$X$490</f>
        <v>0</v>
      </c>
      <c r="AE490" s="6">
        <f ca="1">$K$490*$Y$490</f>
        <v>8918.5701586213945</v>
      </c>
      <c r="AF490" s="6">
        <f>$M$490*$Z$490</f>
        <v>0</v>
      </c>
      <c r="AG490" s="6">
        <f>$O$490*$AA$490</f>
        <v>0</v>
      </c>
    </row>
    <row r="491" spans="1:33" ht="11.25" customHeight="1" x14ac:dyDescent="0.25">
      <c r="A491" s="4" t="s">
        <v>56</v>
      </c>
      <c r="B491" s="4" t="s">
        <v>38</v>
      </c>
      <c r="C491" s="4" t="s">
        <v>40</v>
      </c>
      <c r="D491" s="4" t="s">
        <v>43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44713</v>
      </c>
      <c r="J491" s="6">
        <v>599</v>
      </c>
      <c r="K491" s="97">
        <v>599</v>
      </c>
      <c r="L491" s="6">
        <v>0</v>
      </c>
      <c r="M491" s="97">
        <v>0</v>
      </c>
      <c r="N491" s="6">
        <v>0</v>
      </c>
      <c r="O491" s="97">
        <v>0</v>
      </c>
      <c r="P491" s="6">
        <v>5</v>
      </c>
      <c r="Q491" s="4" t="s">
        <v>26</v>
      </c>
      <c r="R491" s="4">
        <v>0</v>
      </c>
      <c r="S491" s="6">
        <v>18</v>
      </c>
      <c r="T491" s="6">
        <v>0</v>
      </c>
      <c r="U491" s="6">
        <v>0</v>
      </c>
      <c r="V491" s="97">
        <f>IF(ISERROR(VLOOKUP($S$491,'TAR FIN'!$A$1:$O$86,15,0)),0,VLOOKUP($S$491,'TAR FIN'!$A$1:$O$86,15,0))*(1-0.04)</f>
        <v>18.470399999999998</v>
      </c>
      <c r="W491" s="97">
        <f>IF(ISERROR(VLOOKUP($T$491,'TAR FIN'!$A$1:$O$86,15,0)),0,VLOOKUP($T$491,'TAR FIN'!$A$1:$O$86,15,0))</f>
        <v>0</v>
      </c>
      <c r="X491" s="97">
        <f>IF(ISERROR(VLOOKUP($U$491,'TAR FIN'!$A$1:$O$86,15,0)),0,VLOOKUP($U$491,'TAR FIN'!$A$1:$O$86,15,0))</f>
        <v>0</v>
      </c>
      <c r="Y491" s="97">
        <f ca="1">('TUSD BE'!$AM$11+'TUSD BF'!$AM$11+'TUSD CVA'!$AM$11)*1*(1-0.02)</f>
        <v>14.889098762306169</v>
      </c>
      <c r="Z491" s="97"/>
      <c r="AA491" s="97"/>
      <c r="AB491" s="6">
        <f>$K$491*$V$491</f>
        <v>11063.7696</v>
      </c>
      <c r="AC491" s="6">
        <f>$M$491*$W$491</f>
        <v>0</v>
      </c>
      <c r="AD491" s="6">
        <f>$O$491*$X$491</f>
        <v>0</v>
      </c>
      <c r="AE491" s="6">
        <f ca="1">$K$491*$Y$491</f>
        <v>8918.5701586213945</v>
      </c>
      <c r="AF491" s="6">
        <f>$M$491*$Z$491</f>
        <v>0</v>
      </c>
      <c r="AG491" s="6">
        <f>$O$491*$AA$491</f>
        <v>0</v>
      </c>
    </row>
    <row r="492" spans="1:33" ht="11.25" customHeight="1" x14ac:dyDescent="0.25">
      <c r="A492" s="4" t="s">
        <v>21</v>
      </c>
      <c r="B492" s="4" t="s">
        <v>38</v>
      </c>
      <c r="C492" s="4" t="s">
        <v>40</v>
      </c>
      <c r="D492" s="4" t="s">
        <v>43</v>
      </c>
      <c r="E492" s="4" t="s">
        <v>25</v>
      </c>
      <c r="F492" s="4" t="s">
        <v>25</v>
      </c>
      <c r="G492" s="4" t="s">
        <v>25</v>
      </c>
      <c r="H492" s="4" t="s">
        <v>33</v>
      </c>
      <c r="I492" s="5">
        <v>44378</v>
      </c>
      <c r="J492" s="6">
        <v>0</v>
      </c>
      <c r="K492" s="97">
        <v>0</v>
      </c>
      <c r="L492" s="6">
        <v>5.2389999999999999</v>
      </c>
      <c r="M492" s="97">
        <v>5.2389999999999999</v>
      </c>
      <c r="N492" s="6">
        <v>5.2389999999999999</v>
      </c>
      <c r="O492" s="97">
        <v>5.2389999999999999</v>
      </c>
      <c r="P492" s="6">
        <v>0</v>
      </c>
      <c r="Q492" s="4" t="s">
        <v>26</v>
      </c>
      <c r="R492" s="4">
        <v>0</v>
      </c>
      <c r="S492" s="6">
        <v>0</v>
      </c>
      <c r="T492" s="6">
        <v>16</v>
      </c>
      <c r="U492" s="6">
        <v>47</v>
      </c>
      <c r="V492" s="97">
        <f>IF(ISERROR(VLOOKUP($S$492,'TAR FIN'!$A$1:$O$86,15,0)),0,VLOOKUP($S$492,'TAR FIN'!$A$1:$O$86,15,0))</f>
        <v>0</v>
      </c>
      <c r="W492" s="97">
        <f>IF(ISERROR(VLOOKUP($T$492,'TAR FIN'!$A$1:$O$86,15,0)),0,VLOOKUP($T$492,'TAR FIN'!$A$1:$O$86,15,0))*(1-0.04)</f>
        <v>1276.4832000000001</v>
      </c>
      <c r="X492" s="97">
        <f>IF(ISERROR(VLOOKUP($U$492,'TAR FIN'!$A$1:$O$86,15,0)),0,VLOOKUP($U$492,'TAR FIN'!$A$1:$O$86,15,0))*(1-0.04)</f>
        <v>373.64159999999998</v>
      </c>
      <c r="Y492" s="97"/>
      <c r="Z492" s="97">
        <f ca="1">('TUSD BE'!$AM$12+'TUSD BF'!$AM$12+'TUSD CVA'!$AM$12)*1*(1-0.02)</f>
        <v>1052.8740579870318</v>
      </c>
      <c r="AA492" s="97">
        <f>('TE BE'!$AB$5+'TE BF'!$AB$5+'TE CVA'!$AB$5)*1*(1-0.02)</f>
        <v>346.47998010024565</v>
      </c>
      <c r="AB492" s="6">
        <f>$K$492*$V$492</f>
        <v>0</v>
      </c>
      <c r="AC492" s="6">
        <f>$M$492*$W$492</f>
        <v>6687.4954848000007</v>
      </c>
      <c r="AD492" s="6">
        <f>$O$492*$X$492</f>
        <v>1957.5083423999999</v>
      </c>
      <c r="AE492" s="6">
        <f>$K$492*$Y$492</f>
        <v>0</v>
      </c>
      <c r="AF492" s="6">
        <f ca="1">$M$492*$Z$492</f>
        <v>5516.0071897940597</v>
      </c>
      <c r="AG492" s="6">
        <f>$O$492*$AA$492</f>
        <v>1815.208615745187</v>
      </c>
    </row>
    <row r="493" spans="1:33" ht="11.25" customHeight="1" x14ac:dyDescent="0.25">
      <c r="A493" s="4" t="s">
        <v>21</v>
      </c>
      <c r="B493" s="4" t="s">
        <v>38</v>
      </c>
      <c r="C493" s="4" t="s">
        <v>40</v>
      </c>
      <c r="D493" s="4" t="s">
        <v>43</v>
      </c>
      <c r="E493" s="4" t="s">
        <v>25</v>
      </c>
      <c r="F493" s="4" t="s">
        <v>25</v>
      </c>
      <c r="G493" s="4" t="s">
        <v>25</v>
      </c>
      <c r="H493" s="4" t="s">
        <v>33</v>
      </c>
      <c r="I493" s="5">
        <v>44409</v>
      </c>
      <c r="J493" s="6">
        <v>0</v>
      </c>
      <c r="K493" s="97">
        <v>0</v>
      </c>
      <c r="L493" s="6">
        <v>4.5449999999999999</v>
      </c>
      <c r="M493" s="97">
        <v>4.5449999999999999</v>
      </c>
      <c r="N493" s="6">
        <v>4.5449999999999999</v>
      </c>
      <c r="O493" s="97">
        <v>4.5449999999999999</v>
      </c>
      <c r="P493" s="6">
        <v>0</v>
      </c>
      <c r="Q493" s="4" t="s">
        <v>26</v>
      </c>
      <c r="R493" s="4">
        <v>0</v>
      </c>
      <c r="S493" s="6">
        <v>0</v>
      </c>
      <c r="T493" s="6">
        <v>16</v>
      </c>
      <c r="U493" s="6">
        <v>47</v>
      </c>
      <c r="V493" s="97">
        <f>IF(ISERROR(VLOOKUP($S$493,'TAR FIN'!$A$1:$O$86,15,0)),0,VLOOKUP($S$493,'TAR FIN'!$A$1:$O$86,15,0))</f>
        <v>0</v>
      </c>
      <c r="W493" s="97">
        <f>IF(ISERROR(VLOOKUP($T$493,'TAR FIN'!$A$1:$O$86,15,0)),0,VLOOKUP($T$493,'TAR FIN'!$A$1:$O$86,15,0))*(1-0.04)</f>
        <v>1276.4832000000001</v>
      </c>
      <c r="X493" s="97">
        <f>IF(ISERROR(VLOOKUP($U$493,'TAR FIN'!$A$1:$O$86,15,0)),0,VLOOKUP($U$493,'TAR FIN'!$A$1:$O$86,15,0))*(1-0.04)</f>
        <v>373.64159999999998</v>
      </c>
      <c r="Y493" s="97"/>
      <c r="Z493" s="97">
        <f ca="1">('TUSD BE'!$AM$12+'TUSD BF'!$AM$12+'TUSD CVA'!$AM$12)*1*(1-0.02)</f>
        <v>1052.8740579870318</v>
      </c>
      <c r="AA493" s="97">
        <f>('TE BE'!$AB$5+'TE BF'!$AB$5+'TE CVA'!$AB$5)*1*(1-0.02)</f>
        <v>346.47998010024565</v>
      </c>
      <c r="AB493" s="6">
        <f>$K$493*$V$493</f>
        <v>0</v>
      </c>
      <c r="AC493" s="6">
        <f>$M$493*$W$493</f>
        <v>5801.6161440000005</v>
      </c>
      <c r="AD493" s="6">
        <f>$O$493*$X$493</f>
        <v>1698.2010719999998</v>
      </c>
      <c r="AE493" s="6">
        <f>$K$493*$Y$493</f>
        <v>0</v>
      </c>
      <c r="AF493" s="6">
        <f ca="1">$M$493*$Z$493</f>
        <v>4785.3125935510598</v>
      </c>
      <c r="AG493" s="6">
        <f>$O$493*$AA$493</f>
        <v>1574.7515095556164</v>
      </c>
    </row>
    <row r="494" spans="1:33" ht="11.25" customHeight="1" x14ac:dyDescent="0.25">
      <c r="A494" s="4" t="s">
        <v>21</v>
      </c>
      <c r="B494" s="4" t="s">
        <v>38</v>
      </c>
      <c r="C494" s="4" t="s">
        <v>40</v>
      </c>
      <c r="D494" s="4" t="s">
        <v>43</v>
      </c>
      <c r="E494" s="4" t="s">
        <v>25</v>
      </c>
      <c r="F494" s="4" t="s">
        <v>25</v>
      </c>
      <c r="G494" s="4" t="s">
        <v>25</v>
      </c>
      <c r="H494" s="4" t="s">
        <v>33</v>
      </c>
      <c r="I494" s="5">
        <v>44440</v>
      </c>
      <c r="J494" s="6">
        <v>0</v>
      </c>
      <c r="K494" s="97">
        <v>0</v>
      </c>
      <c r="L494" s="6">
        <v>4.774</v>
      </c>
      <c r="M494" s="97">
        <v>4.774</v>
      </c>
      <c r="N494" s="6">
        <v>4.774</v>
      </c>
      <c r="O494" s="97">
        <v>4.774</v>
      </c>
      <c r="P494" s="6">
        <v>0</v>
      </c>
      <c r="Q494" s="4" t="s">
        <v>26</v>
      </c>
      <c r="R494" s="4">
        <v>0</v>
      </c>
      <c r="S494" s="6">
        <v>0</v>
      </c>
      <c r="T494" s="6">
        <v>16</v>
      </c>
      <c r="U494" s="6">
        <v>47</v>
      </c>
      <c r="V494" s="97">
        <f>IF(ISERROR(VLOOKUP($S$494,'TAR FIN'!$A$1:$O$86,15,0)),0,VLOOKUP($S$494,'TAR FIN'!$A$1:$O$86,15,0))</f>
        <v>0</v>
      </c>
      <c r="W494" s="97">
        <f>IF(ISERROR(VLOOKUP($T$494,'TAR FIN'!$A$1:$O$86,15,0)),0,VLOOKUP($T$494,'TAR FIN'!$A$1:$O$86,15,0))*(1-0.04)</f>
        <v>1276.4832000000001</v>
      </c>
      <c r="X494" s="97">
        <f>IF(ISERROR(VLOOKUP($U$494,'TAR FIN'!$A$1:$O$86,15,0)),0,VLOOKUP($U$494,'TAR FIN'!$A$1:$O$86,15,0))*(1-0.04)</f>
        <v>373.64159999999998</v>
      </c>
      <c r="Y494" s="97"/>
      <c r="Z494" s="97">
        <f ca="1">('TUSD BE'!$AM$12+'TUSD BF'!$AM$12+'TUSD CVA'!$AM$12)*1*(1-0.02)</f>
        <v>1052.8740579870318</v>
      </c>
      <c r="AA494" s="97">
        <f>('TE BE'!$AB$5+'TE BF'!$AB$5+'TE CVA'!$AB$5)*1*(1-0.02)</f>
        <v>346.47998010024565</v>
      </c>
      <c r="AB494" s="6">
        <f>$K$494*$V$494</f>
        <v>0</v>
      </c>
      <c r="AC494" s="6">
        <f>$M$494*$W$494</f>
        <v>6093.9307968000003</v>
      </c>
      <c r="AD494" s="6">
        <f>$O$494*$X$494</f>
        <v>1783.7649984</v>
      </c>
      <c r="AE494" s="6">
        <f>$K$494*$Y$494</f>
        <v>0</v>
      </c>
      <c r="AF494" s="6">
        <f ca="1">$M$494*$Z$494</f>
        <v>5026.4207528300904</v>
      </c>
      <c r="AG494" s="6">
        <f>$O$494*$AA$494</f>
        <v>1654.0954249985728</v>
      </c>
    </row>
    <row r="495" spans="1:33" ht="11.25" customHeight="1" x14ac:dyDescent="0.25">
      <c r="A495" s="4" t="s">
        <v>21</v>
      </c>
      <c r="B495" s="4" t="s">
        <v>38</v>
      </c>
      <c r="C495" s="4" t="s">
        <v>40</v>
      </c>
      <c r="D495" s="4" t="s">
        <v>43</v>
      </c>
      <c r="E495" s="4" t="s">
        <v>25</v>
      </c>
      <c r="F495" s="4" t="s">
        <v>25</v>
      </c>
      <c r="G495" s="4" t="s">
        <v>25</v>
      </c>
      <c r="H495" s="4" t="s">
        <v>33</v>
      </c>
      <c r="I495" s="5">
        <v>44470</v>
      </c>
      <c r="J495" s="6">
        <v>0</v>
      </c>
      <c r="K495" s="97">
        <v>0</v>
      </c>
      <c r="L495" s="6">
        <v>8.2390000000000008</v>
      </c>
      <c r="M495" s="97">
        <v>8.2390000000000008</v>
      </c>
      <c r="N495" s="6">
        <v>8.2390000000000008</v>
      </c>
      <c r="O495" s="97">
        <v>8.2390000000000008</v>
      </c>
      <c r="P495" s="6">
        <v>0</v>
      </c>
      <c r="Q495" s="4" t="s">
        <v>26</v>
      </c>
      <c r="R495" s="4">
        <v>0</v>
      </c>
      <c r="S495" s="6">
        <v>0</v>
      </c>
      <c r="T495" s="6">
        <v>16</v>
      </c>
      <c r="U495" s="6">
        <v>47</v>
      </c>
      <c r="V495" s="97">
        <f>IF(ISERROR(VLOOKUP($S$495,'TAR FIN'!$A$1:$O$86,15,0)),0,VLOOKUP($S$495,'TAR FIN'!$A$1:$O$86,15,0))</f>
        <v>0</v>
      </c>
      <c r="W495" s="97">
        <f>IF(ISERROR(VLOOKUP($T$495,'TAR FIN'!$A$1:$O$86,15,0)),0,VLOOKUP($T$495,'TAR FIN'!$A$1:$O$86,15,0))*(1-0.04)</f>
        <v>1276.4832000000001</v>
      </c>
      <c r="X495" s="97">
        <f>IF(ISERROR(VLOOKUP($U$495,'TAR FIN'!$A$1:$O$86,15,0)),0,VLOOKUP($U$495,'TAR FIN'!$A$1:$O$86,15,0))*(1-0.04)</f>
        <v>373.64159999999998</v>
      </c>
      <c r="Y495" s="97"/>
      <c r="Z495" s="97">
        <f ca="1">('TUSD BE'!$AM$12+'TUSD BF'!$AM$12+'TUSD CVA'!$AM$12)*1*(1-0.02)</f>
        <v>1052.8740579870318</v>
      </c>
      <c r="AA495" s="97">
        <f>('TE BE'!$AB$5+'TE BF'!$AB$5+'TE CVA'!$AB$5)*1*(1-0.02)</f>
        <v>346.47998010024565</v>
      </c>
      <c r="AB495" s="6">
        <f>$K$495*$V$495</f>
        <v>0</v>
      </c>
      <c r="AC495" s="6">
        <f>$M$495*$W$495</f>
        <v>10516.945084800001</v>
      </c>
      <c r="AD495" s="6">
        <f>$O$495*$X$495</f>
        <v>3078.4331424000002</v>
      </c>
      <c r="AE495" s="6">
        <f>$K$495*$Y$495</f>
        <v>0</v>
      </c>
      <c r="AF495" s="6">
        <f ca="1">$M$495*$Z$495</f>
        <v>8674.6293637551571</v>
      </c>
      <c r="AG495" s="6">
        <f>$O$495*$AA$495</f>
        <v>2854.6485560459241</v>
      </c>
    </row>
    <row r="496" spans="1:33" ht="11.25" customHeight="1" x14ac:dyDescent="0.25">
      <c r="A496" s="4" t="s">
        <v>21</v>
      </c>
      <c r="B496" s="4" t="s">
        <v>38</v>
      </c>
      <c r="C496" s="4" t="s">
        <v>40</v>
      </c>
      <c r="D496" s="4" t="s">
        <v>43</v>
      </c>
      <c r="E496" s="4" t="s">
        <v>25</v>
      </c>
      <c r="F496" s="4" t="s">
        <v>25</v>
      </c>
      <c r="G496" s="4" t="s">
        <v>25</v>
      </c>
      <c r="H496" s="4" t="s">
        <v>33</v>
      </c>
      <c r="I496" s="5">
        <v>44501</v>
      </c>
      <c r="J496" s="6">
        <v>0</v>
      </c>
      <c r="K496" s="97">
        <v>0</v>
      </c>
      <c r="L496" s="6">
        <v>11.343999999999999</v>
      </c>
      <c r="M496" s="97">
        <v>11.343999999999999</v>
      </c>
      <c r="N496" s="6">
        <v>11.343999999999999</v>
      </c>
      <c r="O496" s="97">
        <v>11.343999999999999</v>
      </c>
      <c r="P496" s="6">
        <v>0</v>
      </c>
      <c r="Q496" s="4" t="s">
        <v>26</v>
      </c>
      <c r="R496" s="4">
        <v>0</v>
      </c>
      <c r="S496" s="6">
        <v>0</v>
      </c>
      <c r="T496" s="6">
        <v>16</v>
      </c>
      <c r="U496" s="6">
        <v>47</v>
      </c>
      <c r="V496" s="97">
        <f>IF(ISERROR(VLOOKUP($S$496,'TAR FIN'!$A$1:$O$86,15,0)),0,VLOOKUP($S$496,'TAR FIN'!$A$1:$O$86,15,0))</f>
        <v>0</v>
      </c>
      <c r="W496" s="97">
        <f>IF(ISERROR(VLOOKUP($T$496,'TAR FIN'!$A$1:$O$86,15,0)),0,VLOOKUP($T$496,'TAR FIN'!$A$1:$O$86,15,0))*(1-0.04)</f>
        <v>1276.4832000000001</v>
      </c>
      <c r="X496" s="97">
        <f>IF(ISERROR(VLOOKUP($U$496,'TAR FIN'!$A$1:$O$86,15,0)),0,VLOOKUP($U$496,'TAR FIN'!$A$1:$O$86,15,0))*(1-0.04)</f>
        <v>373.64159999999998</v>
      </c>
      <c r="Y496" s="97"/>
      <c r="Z496" s="97">
        <f ca="1">('TUSD BE'!$AM$12+'TUSD BF'!$AM$12+'TUSD CVA'!$AM$12)*1*(1-0.02)</f>
        <v>1052.8740579870318</v>
      </c>
      <c r="AA496" s="97">
        <f>('TE BE'!$AB$5+'TE BF'!$AB$5+'TE CVA'!$AB$5)*1*(1-0.02)</f>
        <v>346.47998010024565</v>
      </c>
      <c r="AB496" s="6">
        <f>$K$496*$V$496</f>
        <v>0</v>
      </c>
      <c r="AC496" s="6">
        <f>$M$496*$W$496</f>
        <v>14480.4254208</v>
      </c>
      <c r="AD496" s="6">
        <f>$O$496*$X$496</f>
        <v>4238.5903103999999</v>
      </c>
      <c r="AE496" s="6">
        <f>$K$496*$Y$496</f>
        <v>0</v>
      </c>
      <c r="AF496" s="6">
        <f ca="1">$M$496*$Z$496</f>
        <v>11943.803313804889</v>
      </c>
      <c r="AG496" s="6">
        <f>$O$496*$AA$496</f>
        <v>3930.4688942571865</v>
      </c>
    </row>
    <row r="497" spans="1:33" ht="11.25" customHeight="1" x14ac:dyDescent="0.25">
      <c r="A497" s="4" t="s">
        <v>21</v>
      </c>
      <c r="B497" s="4" t="s">
        <v>38</v>
      </c>
      <c r="C497" s="4" t="s">
        <v>40</v>
      </c>
      <c r="D497" s="4" t="s">
        <v>43</v>
      </c>
      <c r="E497" s="4" t="s">
        <v>25</v>
      </c>
      <c r="F497" s="4" t="s">
        <v>25</v>
      </c>
      <c r="G497" s="4" t="s">
        <v>25</v>
      </c>
      <c r="H497" s="4" t="s">
        <v>33</v>
      </c>
      <c r="I497" s="5">
        <v>44531</v>
      </c>
      <c r="J497" s="6">
        <v>0</v>
      </c>
      <c r="K497" s="97">
        <v>0</v>
      </c>
      <c r="L497" s="6">
        <v>7.3520000000000003</v>
      </c>
      <c r="M497" s="97">
        <v>7.3520000000000003</v>
      </c>
      <c r="N497" s="6">
        <v>7.3520000000000003</v>
      </c>
      <c r="O497" s="97">
        <v>7.3520000000000003</v>
      </c>
      <c r="P497" s="6">
        <v>0</v>
      </c>
      <c r="Q497" s="4" t="s">
        <v>26</v>
      </c>
      <c r="R497" s="4">
        <v>0</v>
      </c>
      <c r="S497" s="6">
        <v>0</v>
      </c>
      <c r="T497" s="6">
        <v>16</v>
      </c>
      <c r="U497" s="6">
        <v>47</v>
      </c>
      <c r="V497" s="97">
        <f>IF(ISERROR(VLOOKUP($S$497,'TAR FIN'!$A$1:$O$86,15,0)),0,VLOOKUP($S$497,'TAR FIN'!$A$1:$O$86,15,0))</f>
        <v>0</v>
      </c>
      <c r="W497" s="97">
        <f>IF(ISERROR(VLOOKUP($T$497,'TAR FIN'!$A$1:$O$86,15,0)),0,VLOOKUP($T$497,'TAR FIN'!$A$1:$O$86,15,0))*(1-0.04)</f>
        <v>1276.4832000000001</v>
      </c>
      <c r="X497" s="97">
        <f>IF(ISERROR(VLOOKUP($U$497,'TAR FIN'!$A$1:$O$86,15,0)),0,VLOOKUP($U$497,'TAR FIN'!$A$1:$O$86,15,0))*(1-0.04)</f>
        <v>373.64159999999998</v>
      </c>
      <c r="Y497" s="97"/>
      <c r="Z497" s="97">
        <f ca="1">('TUSD BE'!$AM$12+'TUSD BF'!$AM$12+'TUSD CVA'!$AM$12)*1*(1-0.02)</f>
        <v>1052.8740579870318</v>
      </c>
      <c r="AA497" s="97">
        <f>('TE BE'!$AB$5+'TE BF'!$AB$5+'TE CVA'!$AB$5)*1*(1-0.02)</f>
        <v>346.47998010024565</v>
      </c>
      <c r="AB497" s="6">
        <f>$K$497*$V$497</f>
        <v>0</v>
      </c>
      <c r="AC497" s="6">
        <f>$M$497*$W$497</f>
        <v>9384.7044864000018</v>
      </c>
      <c r="AD497" s="6">
        <f>$O$497*$X$497</f>
        <v>2747.0130432000001</v>
      </c>
      <c r="AE497" s="6">
        <f>$K$497*$Y$497</f>
        <v>0</v>
      </c>
      <c r="AF497" s="6">
        <f ca="1">$M$497*$Z$497</f>
        <v>7740.7300743206588</v>
      </c>
      <c r="AG497" s="6">
        <f>$O$497*$AA$497</f>
        <v>2547.3208136970061</v>
      </c>
    </row>
    <row r="498" spans="1:33" ht="11.25" customHeight="1" x14ac:dyDescent="0.25">
      <c r="A498" s="4" t="s">
        <v>21</v>
      </c>
      <c r="B498" s="4" t="s">
        <v>38</v>
      </c>
      <c r="C498" s="4" t="s">
        <v>40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33</v>
      </c>
      <c r="I498" s="5">
        <v>44562</v>
      </c>
      <c r="J498" s="6">
        <v>0</v>
      </c>
      <c r="K498" s="97">
        <v>0</v>
      </c>
      <c r="L498" s="6">
        <v>9.4760000000000009</v>
      </c>
      <c r="M498" s="97">
        <v>9.4760000000000009</v>
      </c>
      <c r="N498" s="6">
        <v>9.4760000000000009</v>
      </c>
      <c r="O498" s="97">
        <v>9.4760000000000009</v>
      </c>
      <c r="P498" s="6">
        <v>0</v>
      </c>
      <c r="Q498" s="4" t="s">
        <v>26</v>
      </c>
      <c r="R498" s="4">
        <v>0</v>
      </c>
      <c r="S498" s="6">
        <v>0</v>
      </c>
      <c r="T498" s="6">
        <v>16</v>
      </c>
      <c r="U498" s="6">
        <v>47</v>
      </c>
      <c r="V498" s="97">
        <f>IF(ISERROR(VLOOKUP($S$498,'TAR FIN'!$A$1:$O$86,15,0)),0,VLOOKUP($S$498,'TAR FIN'!$A$1:$O$86,15,0))</f>
        <v>0</v>
      </c>
      <c r="W498" s="97">
        <f>IF(ISERROR(VLOOKUP($T$498,'TAR FIN'!$A$1:$O$86,15,0)),0,VLOOKUP($T$498,'TAR FIN'!$A$1:$O$86,15,0))*(1-0.04)</f>
        <v>1276.4832000000001</v>
      </c>
      <c r="X498" s="97">
        <f>IF(ISERROR(VLOOKUP($U$498,'TAR FIN'!$A$1:$O$86,15,0)),0,VLOOKUP($U$498,'TAR FIN'!$A$1:$O$86,15,0))*(1-0.04)</f>
        <v>373.64159999999998</v>
      </c>
      <c r="Y498" s="97"/>
      <c r="Z498" s="97">
        <f ca="1">('TUSD BE'!$AM$12+'TUSD BF'!$AM$12+'TUSD CVA'!$AM$12)*1*(1-0.02)</f>
        <v>1052.8740579870318</v>
      </c>
      <c r="AA498" s="97">
        <f>('TE BE'!$AB$5+'TE BF'!$AB$5+'TE CVA'!$AB$5)*1*(1-0.02)</f>
        <v>346.47998010024565</v>
      </c>
      <c r="AB498" s="6">
        <f>$K$498*$V$498</f>
        <v>0</v>
      </c>
      <c r="AC498" s="6">
        <f>$M$498*$W$498</f>
        <v>12095.954803200002</v>
      </c>
      <c r="AD498" s="6">
        <f>$O$498*$X$498</f>
        <v>3540.6278016000001</v>
      </c>
      <c r="AE498" s="6">
        <f>$K$498*$Y$498</f>
        <v>0</v>
      </c>
      <c r="AF498" s="6">
        <f ca="1">$M$498*$Z$498</f>
        <v>9977.0345734851144</v>
      </c>
      <c r="AG498" s="6">
        <f>$O$498*$AA$498</f>
        <v>3283.2442914299281</v>
      </c>
    </row>
    <row r="499" spans="1:33" ht="11.25" customHeight="1" x14ac:dyDescent="0.25">
      <c r="A499" s="4" t="s">
        <v>27</v>
      </c>
      <c r="B499" s="4" t="s">
        <v>38</v>
      </c>
      <c r="C499" s="4" t="s">
        <v>40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33</v>
      </c>
      <c r="I499" s="5">
        <v>44562</v>
      </c>
      <c r="J499" s="6">
        <v>0</v>
      </c>
      <c r="K499" s="97">
        <v>0</v>
      </c>
      <c r="L499" s="6">
        <v>8.0869999999999997</v>
      </c>
      <c r="M499" s="97">
        <v>8.0869999999999997</v>
      </c>
      <c r="N499" s="6">
        <v>8.0869999999999997</v>
      </c>
      <c r="O499" s="97">
        <v>8.0869999999999997</v>
      </c>
      <c r="P499" s="6">
        <v>0</v>
      </c>
      <c r="Q499" s="4" t="s">
        <v>26</v>
      </c>
      <c r="R499" s="4">
        <v>0</v>
      </c>
      <c r="S499" s="6">
        <v>0</v>
      </c>
      <c r="T499" s="6">
        <v>16</v>
      </c>
      <c r="U499" s="6">
        <v>47</v>
      </c>
      <c r="V499" s="97">
        <f>IF(ISERROR(VLOOKUP($S$499,'TAR FIN'!$A$1:$O$86,15,0)),0,VLOOKUP($S$499,'TAR FIN'!$A$1:$O$86,15,0))</f>
        <v>0</v>
      </c>
      <c r="W499" s="97">
        <f>IF(ISERROR(VLOOKUP($T$499,'TAR FIN'!$A$1:$O$86,15,0)),0,VLOOKUP($T$499,'TAR FIN'!$A$1:$O$86,15,0))*(1-0.04)</f>
        <v>1276.4832000000001</v>
      </c>
      <c r="X499" s="97">
        <f>IF(ISERROR(VLOOKUP($U$499,'TAR FIN'!$A$1:$O$86,15,0)),0,VLOOKUP($U$499,'TAR FIN'!$A$1:$O$86,15,0))*(1-0.04)</f>
        <v>373.64159999999998</v>
      </c>
      <c r="Y499" s="97"/>
      <c r="Z499" s="97">
        <f ca="1">('TUSD BE'!$AM$12+'TUSD BF'!$AM$12+'TUSD CVA'!$AM$12)*1*(1-0.02)</f>
        <v>1052.8740579870318</v>
      </c>
      <c r="AA499" s="97">
        <f>('TE BE'!$AB$5+'TE BF'!$AB$5+'TE CVA'!$AB$5)*1*(1-0.02)</f>
        <v>346.47998010024565</v>
      </c>
      <c r="AB499" s="6">
        <f>$K$499*$V$499</f>
        <v>0</v>
      </c>
      <c r="AC499" s="6">
        <f>$M$499*$W$499</f>
        <v>10322.919638400001</v>
      </c>
      <c r="AD499" s="6">
        <f>$O$499*$X$499</f>
        <v>3021.6396191999997</v>
      </c>
      <c r="AE499" s="6">
        <f>$K$499*$Y$499</f>
        <v>0</v>
      </c>
      <c r="AF499" s="6">
        <f ca="1">$M$499*$Z$499</f>
        <v>8514.592506941126</v>
      </c>
      <c r="AG499" s="6">
        <f>$O$499*$AA$499</f>
        <v>2801.9835990706865</v>
      </c>
    </row>
    <row r="500" spans="1:33" ht="11.25" customHeight="1" x14ac:dyDescent="0.25">
      <c r="A500" s="4" t="s">
        <v>21</v>
      </c>
      <c r="B500" s="4" t="s">
        <v>38</v>
      </c>
      <c r="C500" s="4" t="s">
        <v>40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33</v>
      </c>
      <c r="I500" s="5">
        <v>44593</v>
      </c>
      <c r="J500" s="6">
        <v>0</v>
      </c>
      <c r="K500" s="97">
        <v>0</v>
      </c>
      <c r="L500" s="6">
        <v>5.8570000000000002</v>
      </c>
      <c r="M500" s="97">
        <v>5.8570000000000002</v>
      </c>
      <c r="N500" s="6">
        <v>5.8570000000000002</v>
      </c>
      <c r="O500" s="97">
        <v>5.8570000000000002</v>
      </c>
      <c r="P500" s="6">
        <v>0</v>
      </c>
      <c r="Q500" s="4" t="s">
        <v>26</v>
      </c>
      <c r="R500" s="4">
        <v>0</v>
      </c>
      <c r="S500" s="6">
        <v>0</v>
      </c>
      <c r="T500" s="6">
        <v>16</v>
      </c>
      <c r="U500" s="6">
        <v>47</v>
      </c>
      <c r="V500" s="97">
        <f>IF(ISERROR(VLOOKUP($S$500,'TAR FIN'!$A$1:$O$86,15,0)),0,VLOOKUP($S$500,'TAR FIN'!$A$1:$O$86,15,0))</f>
        <v>0</v>
      </c>
      <c r="W500" s="97">
        <f>IF(ISERROR(VLOOKUP($T$500,'TAR FIN'!$A$1:$O$86,15,0)),0,VLOOKUP($T$500,'TAR FIN'!$A$1:$O$86,15,0))*(1-0.04)</f>
        <v>1276.4832000000001</v>
      </c>
      <c r="X500" s="97">
        <f>IF(ISERROR(VLOOKUP($U$500,'TAR FIN'!$A$1:$O$86,15,0)),0,VLOOKUP($U$500,'TAR FIN'!$A$1:$O$86,15,0))*(1-0.04)</f>
        <v>373.64159999999998</v>
      </c>
      <c r="Y500" s="97"/>
      <c r="Z500" s="97">
        <f ca="1">('TUSD BE'!$AM$12+'TUSD BF'!$AM$12+'TUSD CVA'!$AM$12)*1*(1-0.02)</f>
        <v>1052.8740579870318</v>
      </c>
      <c r="AA500" s="97">
        <f>('TE BE'!$AB$5+'TE BF'!$AB$5+'TE CVA'!$AB$5)*1*(1-0.02)</f>
        <v>346.47998010024565</v>
      </c>
      <c r="AB500" s="6">
        <f>$K$500*$V$500</f>
        <v>0</v>
      </c>
      <c r="AC500" s="6">
        <f>$M$500*$W$500</f>
        <v>7476.3621024000013</v>
      </c>
      <c r="AD500" s="6">
        <f>$O$500*$X$500</f>
        <v>2188.4188512000001</v>
      </c>
      <c r="AE500" s="6">
        <f>$K$500*$Y$500</f>
        <v>0</v>
      </c>
      <c r="AF500" s="6">
        <f ca="1">$M$500*$Z$500</f>
        <v>6166.683357630046</v>
      </c>
      <c r="AG500" s="6">
        <f>$O$500*$AA$500</f>
        <v>2029.3332434471388</v>
      </c>
    </row>
    <row r="501" spans="1:33" ht="11.25" customHeight="1" x14ac:dyDescent="0.25">
      <c r="A501" s="4" t="s">
        <v>21</v>
      </c>
      <c r="B501" s="4" t="s">
        <v>38</v>
      </c>
      <c r="C501" s="4" t="s">
        <v>40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33</v>
      </c>
      <c r="I501" s="5">
        <v>44621</v>
      </c>
      <c r="J501" s="6">
        <v>0</v>
      </c>
      <c r="K501" s="97">
        <v>0</v>
      </c>
      <c r="L501" s="6">
        <v>9.6010000000000009</v>
      </c>
      <c r="M501" s="97">
        <v>9.6010000000000009</v>
      </c>
      <c r="N501" s="6">
        <v>9.6010000000000009</v>
      </c>
      <c r="O501" s="97">
        <v>9.6010000000000009</v>
      </c>
      <c r="P501" s="6">
        <v>0</v>
      </c>
      <c r="Q501" s="4" t="s">
        <v>26</v>
      </c>
      <c r="R501" s="4">
        <v>0</v>
      </c>
      <c r="S501" s="6">
        <v>0</v>
      </c>
      <c r="T501" s="6">
        <v>16</v>
      </c>
      <c r="U501" s="6">
        <v>47</v>
      </c>
      <c r="V501" s="97">
        <f>IF(ISERROR(VLOOKUP($S$501,'TAR FIN'!$A$1:$O$86,15,0)),0,VLOOKUP($S$501,'TAR FIN'!$A$1:$O$86,15,0))</f>
        <v>0</v>
      </c>
      <c r="W501" s="97">
        <f>IF(ISERROR(VLOOKUP($T$501,'TAR FIN'!$A$1:$O$86,15,0)),0,VLOOKUP($T$501,'TAR FIN'!$A$1:$O$86,15,0))*(1-0.04)</f>
        <v>1276.4832000000001</v>
      </c>
      <c r="X501" s="97">
        <f>IF(ISERROR(VLOOKUP($U$501,'TAR FIN'!$A$1:$O$86,15,0)),0,VLOOKUP($U$501,'TAR FIN'!$A$1:$O$86,15,0))*(1-0.04)</f>
        <v>373.64159999999998</v>
      </c>
      <c r="Y501" s="97"/>
      <c r="Z501" s="97">
        <f ca="1">('TUSD BE'!$AM$12+'TUSD BF'!$AM$12+'TUSD CVA'!$AM$12)*1*(1-0.02)</f>
        <v>1052.8740579870318</v>
      </c>
      <c r="AA501" s="97">
        <f>('TE BE'!$AB$5+'TE BF'!$AB$5+'TE CVA'!$AB$5)*1*(1-0.02)</f>
        <v>346.47998010024565</v>
      </c>
      <c r="AB501" s="6">
        <f>$K$501*$V$501</f>
        <v>0</v>
      </c>
      <c r="AC501" s="6">
        <f>$M$501*$W$501</f>
        <v>12255.515203200002</v>
      </c>
      <c r="AD501" s="6">
        <f>$O$501*$X$501</f>
        <v>3587.3330016</v>
      </c>
      <c r="AE501" s="6">
        <f>$K$501*$Y$501</f>
        <v>0</v>
      </c>
      <c r="AF501" s="6">
        <f ca="1">$M$501*$Z$501</f>
        <v>10108.643830733494</v>
      </c>
      <c r="AG501" s="6">
        <f>$O$501*$AA$501</f>
        <v>3326.5542889424587</v>
      </c>
    </row>
    <row r="502" spans="1:33" ht="11.25" customHeight="1" x14ac:dyDescent="0.25">
      <c r="A502" s="4" t="s">
        <v>21</v>
      </c>
      <c r="B502" s="4" t="s">
        <v>38</v>
      </c>
      <c r="C502" s="4" t="s">
        <v>40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33</v>
      </c>
      <c r="I502" s="5">
        <v>44652</v>
      </c>
      <c r="J502" s="6">
        <v>0</v>
      </c>
      <c r="K502" s="97">
        <v>0</v>
      </c>
      <c r="L502" s="6">
        <v>14.144</v>
      </c>
      <c r="M502" s="97">
        <v>14.144</v>
      </c>
      <c r="N502" s="6">
        <v>14.144</v>
      </c>
      <c r="O502" s="97">
        <v>14.144</v>
      </c>
      <c r="P502" s="6">
        <v>0</v>
      </c>
      <c r="Q502" s="4" t="s">
        <v>26</v>
      </c>
      <c r="R502" s="4">
        <v>0</v>
      </c>
      <c r="S502" s="6">
        <v>0</v>
      </c>
      <c r="T502" s="6">
        <v>16</v>
      </c>
      <c r="U502" s="6">
        <v>47</v>
      </c>
      <c r="V502" s="97">
        <f>IF(ISERROR(VLOOKUP($S$502,'TAR FIN'!$A$1:$O$86,15,0)),0,VLOOKUP($S$502,'TAR FIN'!$A$1:$O$86,15,0))</f>
        <v>0</v>
      </c>
      <c r="W502" s="97">
        <f>IF(ISERROR(VLOOKUP($T$502,'TAR FIN'!$A$1:$O$86,15,0)),0,VLOOKUP($T$502,'TAR FIN'!$A$1:$O$86,15,0))*(1-0.04)</f>
        <v>1276.4832000000001</v>
      </c>
      <c r="X502" s="97">
        <f>IF(ISERROR(VLOOKUP($U$502,'TAR FIN'!$A$1:$O$86,15,0)),0,VLOOKUP($U$502,'TAR FIN'!$A$1:$O$86,15,0))*(1-0.04)</f>
        <v>373.64159999999998</v>
      </c>
      <c r="Y502" s="97"/>
      <c r="Z502" s="97">
        <f ca="1">('TUSD BE'!$AM$12+'TUSD BF'!$AM$12+'TUSD CVA'!$AM$12)*1*(1-0.02)</f>
        <v>1052.8740579870318</v>
      </c>
      <c r="AA502" s="97">
        <f>('TE BE'!$AB$5+'TE BF'!$AB$5+'TE CVA'!$AB$5)*1*(1-0.02)</f>
        <v>346.47998010024565</v>
      </c>
      <c r="AB502" s="6">
        <f>$K$502*$V$502</f>
        <v>0</v>
      </c>
      <c r="AC502" s="6">
        <f>$M$502*$W$502</f>
        <v>18054.578380800001</v>
      </c>
      <c r="AD502" s="6">
        <f>$O$502*$X$502</f>
        <v>5284.7867903999995</v>
      </c>
      <c r="AE502" s="6">
        <f>$K$502*$Y$502</f>
        <v>0</v>
      </c>
      <c r="AF502" s="6">
        <f ca="1">$M$502*$Z$502</f>
        <v>14891.850676168579</v>
      </c>
      <c r="AG502" s="6">
        <f>$O$502*$AA$502</f>
        <v>4900.6128385378743</v>
      </c>
    </row>
    <row r="503" spans="1:33" ht="11.25" customHeight="1" x14ac:dyDescent="0.25">
      <c r="A503" s="4" t="s">
        <v>21</v>
      </c>
      <c r="B503" s="4" t="s">
        <v>38</v>
      </c>
      <c r="C503" s="4" t="s">
        <v>40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33</v>
      </c>
      <c r="I503" s="5">
        <v>44682</v>
      </c>
      <c r="J503" s="6">
        <v>0</v>
      </c>
      <c r="K503" s="97">
        <v>0</v>
      </c>
      <c r="L503" s="6">
        <v>10.738</v>
      </c>
      <c r="M503" s="97">
        <v>10.738</v>
      </c>
      <c r="N503" s="6">
        <v>10.738</v>
      </c>
      <c r="O503" s="97">
        <v>10.738</v>
      </c>
      <c r="P503" s="6">
        <v>0</v>
      </c>
      <c r="Q503" s="4" t="s">
        <v>26</v>
      </c>
      <c r="R503" s="4">
        <v>0</v>
      </c>
      <c r="S503" s="6">
        <v>0</v>
      </c>
      <c r="T503" s="6">
        <v>16</v>
      </c>
      <c r="U503" s="6">
        <v>47</v>
      </c>
      <c r="V503" s="97">
        <f>IF(ISERROR(VLOOKUP($S$503,'TAR FIN'!$A$1:$O$86,15,0)),0,VLOOKUP($S$503,'TAR FIN'!$A$1:$O$86,15,0))</f>
        <v>0</v>
      </c>
      <c r="W503" s="97">
        <f>IF(ISERROR(VLOOKUP($T$503,'TAR FIN'!$A$1:$O$86,15,0)),0,VLOOKUP($T$503,'TAR FIN'!$A$1:$O$86,15,0))*(1-0.04)</f>
        <v>1276.4832000000001</v>
      </c>
      <c r="X503" s="97">
        <f>IF(ISERROR(VLOOKUP($U$503,'TAR FIN'!$A$1:$O$86,15,0)),0,VLOOKUP($U$503,'TAR FIN'!$A$1:$O$86,15,0))*(1-0.04)</f>
        <v>373.64159999999998</v>
      </c>
      <c r="Y503" s="97"/>
      <c r="Z503" s="97">
        <f ca="1">('TUSD BE'!$AM$12+'TUSD BF'!$AM$12+'TUSD CVA'!$AM$12)*1*(1-0.02)</f>
        <v>1052.8740579870318</v>
      </c>
      <c r="AA503" s="97">
        <f>('TE BE'!$AB$5+'TE BF'!$AB$5+'TE CVA'!$AB$5)*1*(1-0.02)</f>
        <v>346.47998010024565</v>
      </c>
      <c r="AB503" s="6">
        <f>$K$503*$V$503</f>
        <v>0</v>
      </c>
      <c r="AC503" s="6">
        <f>$M$503*$W$503</f>
        <v>13706.876601600001</v>
      </c>
      <c r="AD503" s="6">
        <f>$O$503*$X$503</f>
        <v>4012.1635007999998</v>
      </c>
      <c r="AE503" s="6">
        <f>$K$503*$Y$503</f>
        <v>0</v>
      </c>
      <c r="AF503" s="6">
        <f ca="1">$M$503*$Z$503</f>
        <v>11305.761634664748</v>
      </c>
      <c r="AG503" s="6">
        <f>$O$503*$AA$503</f>
        <v>3720.5020263164379</v>
      </c>
    </row>
    <row r="504" spans="1:33" ht="11.25" customHeight="1" x14ac:dyDescent="0.25">
      <c r="A504" s="4" t="s">
        <v>56</v>
      </c>
      <c r="B504" s="4" t="s">
        <v>38</v>
      </c>
      <c r="C504" s="4" t="s">
        <v>40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33</v>
      </c>
      <c r="I504" s="5">
        <v>44713</v>
      </c>
      <c r="J504" s="6">
        <v>0</v>
      </c>
      <c r="K504" s="97">
        <v>0</v>
      </c>
      <c r="L504" s="6">
        <v>10.738</v>
      </c>
      <c r="M504" s="97">
        <v>10.738</v>
      </c>
      <c r="N504" s="6">
        <v>10.738</v>
      </c>
      <c r="O504" s="97">
        <v>10.738</v>
      </c>
      <c r="P504" s="6">
        <v>0</v>
      </c>
      <c r="Q504" s="4" t="s">
        <v>26</v>
      </c>
      <c r="R504" s="4">
        <v>0</v>
      </c>
      <c r="S504" s="6">
        <v>0</v>
      </c>
      <c r="T504" s="6">
        <v>16</v>
      </c>
      <c r="U504" s="6">
        <v>47</v>
      </c>
      <c r="V504" s="97">
        <f>IF(ISERROR(VLOOKUP($S$504,'TAR FIN'!$A$1:$O$86,15,0)),0,VLOOKUP($S$504,'TAR FIN'!$A$1:$O$86,15,0))</f>
        <v>0</v>
      </c>
      <c r="W504" s="97">
        <f>IF(ISERROR(VLOOKUP($T$504,'TAR FIN'!$A$1:$O$86,15,0)),0,VLOOKUP($T$504,'TAR FIN'!$A$1:$O$86,15,0))*(1-0.04)</f>
        <v>1276.4832000000001</v>
      </c>
      <c r="X504" s="97">
        <f>IF(ISERROR(VLOOKUP($U$504,'TAR FIN'!$A$1:$O$86,15,0)),0,VLOOKUP($U$504,'TAR FIN'!$A$1:$O$86,15,0))*(1-0.04)</f>
        <v>373.64159999999998</v>
      </c>
      <c r="Y504" s="97"/>
      <c r="Z504" s="97">
        <f ca="1">('TUSD BE'!$AM$12+'TUSD BF'!$AM$12+'TUSD CVA'!$AM$12)*1*(1-0.02)</f>
        <v>1052.8740579870318</v>
      </c>
      <c r="AA504" s="97">
        <f>('TE BE'!$AB$5+'TE BF'!$AB$5+'TE CVA'!$AB$5)*1*(1-0.02)</f>
        <v>346.47998010024565</v>
      </c>
      <c r="AB504" s="6">
        <f>$K$504*$V$504</f>
        <v>0</v>
      </c>
      <c r="AC504" s="6">
        <f>$M$504*$W$504</f>
        <v>13706.876601600001</v>
      </c>
      <c r="AD504" s="6">
        <f>$O$504*$X$504</f>
        <v>4012.1635007999998</v>
      </c>
      <c r="AE504" s="6">
        <f>$K$504*$Y$504</f>
        <v>0</v>
      </c>
      <c r="AF504" s="6">
        <f ca="1">$M$504*$Z$504</f>
        <v>11305.761634664748</v>
      </c>
      <c r="AG504" s="6">
        <f>$O$504*$AA$504</f>
        <v>3720.5020263164379</v>
      </c>
    </row>
    <row r="505" spans="1:33" ht="11.25" customHeight="1" x14ac:dyDescent="0.25">
      <c r="A505" s="4" t="s">
        <v>21</v>
      </c>
      <c r="B505" s="4" t="s">
        <v>22</v>
      </c>
      <c r="C505" s="4" t="s">
        <v>32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34</v>
      </c>
      <c r="I505" s="5">
        <v>44378</v>
      </c>
      <c r="J505" s="6">
        <v>0</v>
      </c>
      <c r="K505" s="6">
        <v>0</v>
      </c>
      <c r="L505" s="6">
        <v>1.181</v>
      </c>
      <c r="M505" s="6">
        <v>1.181</v>
      </c>
      <c r="N505" s="6">
        <v>1.181</v>
      </c>
      <c r="O505" s="6">
        <v>1.181</v>
      </c>
      <c r="P505" s="6">
        <v>0</v>
      </c>
      <c r="Q505" s="4" t="s">
        <v>26</v>
      </c>
      <c r="R505" s="4">
        <v>0</v>
      </c>
      <c r="S505" s="6">
        <v>0</v>
      </c>
      <c r="T505" s="6">
        <v>23</v>
      </c>
      <c r="U505" s="6">
        <v>56</v>
      </c>
      <c r="V505" s="6">
        <f>IF(ISERROR(VLOOKUP($S$505,'TAR FIN'!$A$1:$O$86,15,0)),0,VLOOKUP($S$505,'TAR FIN'!$A$1:$O$86,15,0))</f>
        <v>0</v>
      </c>
      <c r="W505" s="6">
        <f>IF(ISERROR(VLOOKUP($T$505,'TAR FIN'!$A$1:$O$86,15,0)),0,VLOOKUP($T$505,'TAR FIN'!$A$1:$O$86,15,0))</f>
        <v>196.18</v>
      </c>
      <c r="X505" s="6">
        <f>IF(ISERROR(VLOOKUP($U$505,'TAR FIN'!$A$1:$O$86,15,0)),0,VLOOKUP($U$505,'TAR FIN'!$A$1:$O$86,15,0))</f>
        <v>246.3</v>
      </c>
      <c r="Y505" s="6"/>
      <c r="Z505" s="6">
        <f ca="1">('TUSD BE'!$AM$20+'TUSD BF'!$AM$20+'TUSD CVA'!$AM$20)*1</f>
        <v>198.60138395404957</v>
      </c>
      <c r="AA505" s="6">
        <f>('TE BE'!$AB$10+'TE BF'!$AB$10+'TE CVA'!$AB$10)*1</f>
        <v>219.40364509824883</v>
      </c>
      <c r="AB505" s="6">
        <f>$K$505*$V$505</f>
        <v>0</v>
      </c>
      <c r="AC505" s="6">
        <f>$M$505*$W$505</f>
        <v>231.68858000000003</v>
      </c>
      <c r="AD505" s="6">
        <f>$O$505*$X$505</f>
        <v>290.88030000000003</v>
      </c>
      <c r="AE505" s="6">
        <f>$K$505*$Y$505</f>
        <v>0</v>
      </c>
      <c r="AF505" s="6">
        <f ca="1">$M$505*$Z$505</f>
        <v>234.54823444973255</v>
      </c>
      <c r="AG505" s="6">
        <f>$O$505*$AA$505</f>
        <v>259.11570486103187</v>
      </c>
    </row>
    <row r="506" spans="1:33" ht="11.25" customHeight="1" x14ac:dyDescent="0.25">
      <c r="A506" s="4" t="s">
        <v>21</v>
      </c>
      <c r="B506" s="4" t="s">
        <v>22</v>
      </c>
      <c r="C506" s="4" t="s">
        <v>32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34</v>
      </c>
      <c r="I506" s="5">
        <v>44409</v>
      </c>
      <c r="J506" s="6">
        <v>0</v>
      </c>
      <c r="K506" s="6">
        <v>0</v>
      </c>
      <c r="L506" s="6">
        <v>2.4350000000000001</v>
      </c>
      <c r="M506" s="6">
        <v>2.4350000000000001</v>
      </c>
      <c r="N506" s="6">
        <v>2.4350000000000001</v>
      </c>
      <c r="O506" s="6">
        <v>2.4350000000000001</v>
      </c>
      <c r="P506" s="6">
        <v>0</v>
      </c>
      <c r="Q506" s="4" t="s">
        <v>26</v>
      </c>
      <c r="R506" s="4">
        <v>0</v>
      </c>
      <c r="S506" s="6">
        <v>0</v>
      </c>
      <c r="T506" s="6">
        <v>23</v>
      </c>
      <c r="U506" s="6">
        <v>56</v>
      </c>
      <c r="V506" s="6">
        <f>IF(ISERROR(VLOOKUP($S$506,'TAR FIN'!$A$1:$O$86,15,0)),0,VLOOKUP($S$506,'TAR FIN'!$A$1:$O$86,15,0))</f>
        <v>0</v>
      </c>
      <c r="W506" s="6">
        <f>IF(ISERROR(VLOOKUP($T$506,'TAR FIN'!$A$1:$O$86,15,0)),0,VLOOKUP($T$506,'TAR FIN'!$A$1:$O$86,15,0))</f>
        <v>196.18</v>
      </c>
      <c r="X506" s="6">
        <f>IF(ISERROR(VLOOKUP($U$506,'TAR FIN'!$A$1:$O$86,15,0)),0,VLOOKUP($U$506,'TAR FIN'!$A$1:$O$86,15,0))</f>
        <v>246.3</v>
      </c>
      <c r="Y506" s="6"/>
      <c r="Z506" s="6">
        <f ca="1">('TUSD BE'!$AM$20+'TUSD BF'!$AM$20+'TUSD CVA'!$AM$20)*1</f>
        <v>198.60138395404957</v>
      </c>
      <c r="AA506" s="6">
        <f>('TE BE'!$AB$10+'TE BF'!$AB$10+'TE CVA'!$AB$10)*1</f>
        <v>219.40364509824883</v>
      </c>
      <c r="AB506" s="6">
        <f>$K$506*$V$506</f>
        <v>0</v>
      </c>
      <c r="AC506" s="6">
        <f>$M$506*$W$506</f>
        <v>477.69830000000002</v>
      </c>
      <c r="AD506" s="6">
        <f>$O$506*$X$506</f>
        <v>599.7405</v>
      </c>
      <c r="AE506" s="6">
        <f>$K$506*$Y$506</f>
        <v>0</v>
      </c>
      <c r="AF506" s="6">
        <f ca="1">$M$506*$Z$506</f>
        <v>483.59436992811072</v>
      </c>
      <c r="AG506" s="6">
        <f>$O$506*$AA$506</f>
        <v>534.24787581423595</v>
      </c>
    </row>
    <row r="507" spans="1:33" ht="11.25" customHeight="1" x14ac:dyDescent="0.25">
      <c r="A507" s="4" t="s">
        <v>21</v>
      </c>
      <c r="B507" s="4" t="s">
        <v>22</v>
      </c>
      <c r="C507" s="4" t="s">
        <v>32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34</v>
      </c>
      <c r="I507" s="5">
        <v>44440</v>
      </c>
      <c r="J507" s="6">
        <v>0</v>
      </c>
      <c r="K507" s="6">
        <v>0</v>
      </c>
      <c r="L507" s="6">
        <v>0.71899999999999997</v>
      </c>
      <c r="M507" s="6">
        <v>0.71899999999999997</v>
      </c>
      <c r="N507" s="6">
        <v>0.71899999999999997</v>
      </c>
      <c r="O507" s="6">
        <v>0.71899999999999997</v>
      </c>
      <c r="P507" s="6">
        <v>0</v>
      </c>
      <c r="Q507" s="4" t="s">
        <v>26</v>
      </c>
      <c r="R507" s="4">
        <v>0</v>
      </c>
      <c r="S507" s="6">
        <v>0</v>
      </c>
      <c r="T507" s="6">
        <v>23</v>
      </c>
      <c r="U507" s="6">
        <v>56</v>
      </c>
      <c r="V507" s="6">
        <f>IF(ISERROR(VLOOKUP($S$507,'TAR FIN'!$A$1:$O$86,15,0)),0,VLOOKUP($S$507,'TAR FIN'!$A$1:$O$86,15,0))</f>
        <v>0</v>
      </c>
      <c r="W507" s="6">
        <f>IF(ISERROR(VLOOKUP($T$507,'TAR FIN'!$A$1:$O$86,15,0)),0,VLOOKUP($T$507,'TAR FIN'!$A$1:$O$86,15,0))</f>
        <v>196.18</v>
      </c>
      <c r="X507" s="6">
        <f>IF(ISERROR(VLOOKUP($U$507,'TAR FIN'!$A$1:$O$86,15,0)),0,VLOOKUP($U$507,'TAR FIN'!$A$1:$O$86,15,0))</f>
        <v>246.3</v>
      </c>
      <c r="Y507" s="6"/>
      <c r="Z507" s="6">
        <f ca="1">('TUSD BE'!$AM$20+'TUSD BF'!$AM$20+'TUSD CVA'!$AM$20)*1</f>
        <v>198.60138395404957</v>
      </c>
      <c r="AA507" s="6">
        <f>('TE BE'!$AB$10+'TE BF'!$AB$10+'TE CVA'!$AB$10)*1</f>
        <v>219.40364509824883</v>
      </c>
      <c r="AB507" s="6">
        <f>$K$507*$V$507</f>
        <v>0</v>
      </c>
      <c r="AC507" s="6">
        <f>$M$507*$W$507</f>
        <v>141.05341999999999</v>
      </c>
      <c r="AD507" s="6">
        <f>$O$507*$X$507</f>
        <v>177.08969999999999</v>
      </c>
      <c r="AE507" s="6">
        <f>$K$507*$Y$507</f>
        <v>0</v>
      </c>
      <c r="AF507" s="6">
        <f ca="1">$M$507*$Z$507</f>
        <v>142.79439506296163</v>
      </c>
      <c r="AG507" s="6">
        <f>$O$507*$AA$507</f>
        <v>157.7512208256409</v>
      </c>
    </row>
    <row r="508" spans="1:33" ht="11.25" customHeight="1" x14ac:dyDescent="0.25">
      <c r="A508" s="4" t="s">
        <v>21</v>
      </c>
      <c r="B508" s="4" t="s">
        <v>22</v>
      </c>
      <c r="C508" s="4" t="s">
        <v>32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34</v>
      </c>
      <c r="I508" s="5">
        <v>44470</v>
      </c>
      <c r="J508" s="6">
        <v>0</v>
      </c>
      <c r="K508" s="6">
        <v>0</v>
      </c>
      <c r="L508" s="6">
        <v>0.75900000000000001</v>
      </c>
      <c r="M508" s="6">
        <v>0.75900000000000001</v>
      </c>
      <c r="N508" s="6">
        <v>0.75900000000000001</v>
      </c>
      <c r="O508" s="6">
        <v>0.75900000000000001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23</v>
      </c>
      <c r="U508" s="6">
        <v>56</v>
      </c>
      <c r="V508" s="6">
        <f>IF(ISERROR(VLOOKUP($S$508,'TAR FIN'!$A$1:$O$86,15,0)),0,VLOOKUP($S$508,'TAR FIN'!$A$1:$O$86,15,0))</f>
        <v>0</v>
      </c>
      <c r="W508" s="6">
        <f>IF(ISERROR(VLOOKUP($T$508,'TAR FIN'!$A$1:$O$86,15,0)),0,VLOOKUP($T$508,'TAR FIN'!$A$1:$O$86,15,0))</f>
        <v>196.18</v>
      </c>
      <c r="X508" s="6">
        <f>IF(ISERROR(VLOOKUP($U$508,'TAR FIN'!$A$1:$O$86,15,0)),0,VLOOKUP($U$508,'TAR FIN'!$A$1:$O$86,15,0))</f>
        <v>246.3</v>
      </c>
      <c r="Y508" s="6"/>
      <c r="Z508" s="6">
        <f ca="1">('TUSD BE'!$AM$20+'TUSD BF'!$AM$20+'TUSD CVA'!$AM$20)*1</f>
        <v>198.60138395404957</v>
      </c>
      <c r="AA508" s="6">
        <f>('TE BE'!$AB$10+'TE BF'!$AB$10+'TE CVA'!$AB$10)*1</f>
        <v>219.40364509824883</v>
      </c>
      <c r="AB508" s="6">
        <f>$K$508*$V$508</f>
        <v>0</v>
      </c>
      <c r="AC508" s="6">
        <f>$M$508*$W$508</f>
        <v>148.90062</v>
      </c>
      <c r="AD508" s="6">
        <f>$O$508*$X$508</f>
        <v>186.9417</v>
      </c>
      <c r="AE508" s="6">
        <f>$K$508*$Y$508</f>
        <v>0</v>
      </c>
      <c r="AF508" s="6">
        <f ca="1">$M$508*$Z$508</f>
        <v>150.73845042112362</v>
      </c>
      <c r="AG508" s="6">
        <f>$O$508*$AA$508</f>
        <v>166.52736662957088</v>
      </c>
    </row>
    <row r="509" spans="1:33" ht="11.25" customHeight="1" x14ac:dyDescent="0.25">
      <c r="A509" s="4" t="s">
        <v>21</v>
      </c>
      <c r="B509" s="4" t="s">
        <v>22</v>
      </c>
      <c r="C509" s="4" t="s">
        <v>32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34</v>
      </c>
      <c r="I509" s="5">
        <v>44501</v>
      </c>
      <c r="J509" s="6">
        <v>0</v>
      </c>
      <c r="K509" s="6">
        <v>0</v>
      </c>
      <c r="L509" s="6">
        <v>0.91500000000000004</v>
      </c>
      <c r="M509" s="6">
        <v>0.91500000000000004</v>
      </c>
      <c r="N509" s="6">
        <v>0.91500000000000004</v>
      </c>
      <c r="O509" s="6">
        <v>0.91500000000000004</v>
      </c>
      <c r="P509" s="6">
        <v>0</v>
      </c>
      <c r="Q509" s="4" t="s">
        <v>26</v>
      </c>
      <c r="R509" s="4">
        <v>0</v>
      </c>
      <c r="S509" s="6">
        <v>0</v>
      </c>
      <c r="T509" s="6">
        <v>23</v>
      </c>
      <c r="U509" s="6">
        <v>56</v>
      </c>
      <c r="V509" s="6">
        <f>IF(ISERROR(VLOOKUP($S$509,'TAR FIN'!$A$1:$O$86,15,0)),0,VLOOKUP($S$509,'TAR FIN'!$A$1:$O$86,15,0))</f>
        <v>0</v>
      </c>
      <c r="W509" s="6">
        <f>IF(ISERROR(VLOOKUP($T$509,'TAR FIN'!$A$1:$O$86,15,0)),0,VLOOKUP($T$509,'TAR FIN'!$A$1:$O$86,15,0))</f>
        <v>196.18</v>
      </c>
      <c r="X509" s="6">
        <f>IF(ISERROR(VLOOKUP($U$509,'TAR FIN'!$A$1:$O$86,15,0)),0,VLOOKUP($U$509,'TAR FIN'!$A$1:$O$86,15,0))</f>
        <v>246.3</v>
      </c>
      <c r="Y509" s="6"/>
      <c r="Z509" s="6">
        <f ca="1">('TUSD BE'!$AM$20+'TUSD BF'!$AM$20+'TUSD CVA'!$AM$20)*1</f>
        <v>198.60138395404957</v>
      </c>
      <c r="AA509" s="6">
        <f>('TE BE'!$AB$10+'TE BF'!$AB$10+'TE CVA'!$AB$10)*1</f>
        <v>219.40364509824883</v>
      </c>
      <c r="AB509" s="6">
        <f>$K$509*$V$509</f>
        <v>0</v>
      </c>
      <c r="AC509" s="6">
        <f>$M$509*$W$509</f>
        <v>179.50470000000001</v>
      </c>
      <c r="AD509" s="6">
        <f>$O$509*$X$509</f>
        <v>225.36450000000002</v>
      </c>
      <c r="AE509" s="6">
        <f>$K$509*$Y$509</f>
        <v>0</v>
      </c>
      <c r="AF509" s="6">
        <f ca="1">$M$509*$Z$509</f>
        <v>181.72026631795535</v>
      </c>
      <c r="AG509" s="6">
        <f>$O$509*$AA$509</f>
        <v>200.75433526489769</v>
      </c>
    </row>
    <row r="510" spans="1:33" ht="11.25" customHeight="1" x14ac:dyDescent="0.25">
      <c r="A510" s="4" t="s">
        <v>21</v>
      </c>
      <c r="B510" s="4" t="s">
        <v>22</v>
      </c>
      <c r="C510" s="4" t="s">
        <v>32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34</v>
      </c>
      <c r="I510" s="5">
        <v>44531</v>
      </c>
      <c r="J510" s="6">
        <v>0</v>
      </c>
      <c r="K510" s="6">
        <v>0</v>
      </c>
      <c r="L510" s="6">
        <v>1.01</v>
      </c>
      <c r="M510" s="6">
        <v>1.01</v>
      </c>
      <c r="N510" s="6">
        <v>1.01</v>
      </c>
      <c r="O510" s="6">
        <v>1.01</v>
      </c>
      <c r="P510" s="6">
        <v>0</v>
      </c>
      <c r="Q510" s="4" t="s">
        <v>26</v>
      </c>
      <c r="R510" s="4">
        <v>0</v>
      </c>
      <c r="S510" s="6">
        <v>0</v>
      </c>
      <c r="T510" s="6">
        <v>23</v>
      </c>
      <c r="U510" s="6">
        <v>56</v>
      </c>
      <c r="V510" s="6">
        <f>IF(ISERROR(VLOOKUP($S$510,'TAR FIN'!$A$1:$O$86,15,0)),0,VLOOKUP($S$510,'TAR FIN'!$A$1:$O$86,15,0))</f>
        <v>0</v>
      </c>
      <c r="W510" s="6">
        <f>IF(ISERROR(VLOOKUP($T$510,'TAR FIN'!$A$1:$O$86,15,0)),0,VLOOKUP($T$510,'TAR FIN'!$A$1:$O$86,15,0))</f>
        <v>196.18</v>
      </c>
      <c r="X510" s="6">
        <f>IF(ISERROR(VLOOKUP($U$510,'TAR FIN'!$A$1:$O$86,15,0)),0,VLOOKUP($U$510,'TAR FIN'!$A$1:$O$86,15,0))</f>
        <v>246.3</v>
      </c>
      <c r="Y510" s="6"/>
      <c r="Z510" s="6">
        <f ca="1">('TUSD BE'!$AM$20+'TUSD BF'!$AM$20+'TUSD CVA'!$AM$20)*1</f>
        <v>198.60138395404957</v>
      </c>
      <c r="AA510" s="6">
        <f>('TE BE'!$AB$10+'TE BF'!$AB$10+'TE CVA'!$AB$10)*1</f>
        <v>219.40364509824883</v>
      </c>
      <c r="AB510" s="6">
        <f>$K$510*$V$510</f>
        <v>0</v>
      </c>
      <c r="AC510" s="6">
        <f>$M$510*$W$510</f>
        <v>198.14180000000002</v>
      </c>
      <c r="AD510" s="6">
        <f>$O$510*$X$510</f>
        <v>248.76300000000001</v>
      </c>
      <c r="AE510" s="6">
        <f>$K$510*$Y$510</f>
        <v>0</v>
      </c>
      <c r="AF510" s="6">
        <f ca="1">$M$510*$Z$510</f>
        <v>200.58739779359007</v>
      </c>
      <c r="AG510" s="6">
        <f>$O$510*$AA$510</f>
        <v>221.59768154923131</v>
      </c>
    </row>
    <row r="511" spans="1:33" ht="11.25" customHeight="1" x14ac:dyDescent="0.25">
      <c r="A511" s="4" t="s">
        <v>21</v>
      </c>
      <c r="B511" s="4" t="s">
        <v>22</v>
      </c>
      <c r="C511" s="4" t="s">
        <v>32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34</v>
      </c>
      <c r="I511" s="5">
        <v>44562</v>
      </c>
      <c r="J511" s="6">
        <v>0</v>
      </c>
      <c r="K511" s="6">
        <v>0</v>
      </c>
      <c r="L511" s="6">
        <v>1.4059999999999999</v>
      </c>
      <c r="M511" s="6">
        <v>1.4059999999999999</v>
      </c>
      <c r="N511" s="6">
        <v>1.4059999999999999</v>
      </c>
      <c r="O511" s="6">
        <v>1.4059999999999999</v>
      </c>
      <c r="P511" s="6">
        <v>0</v>
      </c>
      <c r="Q511" s="4" t="s">
        <v>26</v>
      </c>
      <c r="R511" s="4">
        <v>0</v>
      </c>
      <c r="S511" s="6">
        <v>0</v>
      </c>
      <c r="T511" s="6">
        <v>23</v>
      </c>
      <c r="U511" s="6">
        <v>56</v>
      </c>
      <c r="V511" s="6">
        <f>IF(ISERROR(VLOOKUP($S$511,'TAR FIN'!$A$1:$O$86,15,0)),0,VLOOKUP($S$511,'TAR FIN'!$A$1:$O$86,15,0))</f>
        <v>0</v>
      </c>
      <c r="W511" s="6">
        <f>IF(ISERROR(VLOOKUP($T$511,'TAR FIN'!$A$1:$O$86,15,0)),0,VLOOKUP($T$511,'TAR FIN'!$A$1:$O$86,15,0))</f>
        <v>196.18</v>
      </c>
      <c r="X511" s="6">
        <f>IF(ISERROR(VLOOKUP($U$511,'TAR FIN'!$A$1:$O$86,15,0)),0,VLOOKUP($U$511,'TAR FIN'!$A$1:$O$86,15,0))</f>
        <v>246.3</v>
      </c>
      <c r="Y511" s="6"/>
      <c r="Z511" s="6">
        <f ca="1">('TUSD BE'!$AM$20+'TUSD BF'!$AM$20+'TUSD CVA'!$AM$20)*1</f>
        <v>198.60138395404957</v>
      </c>
      <c r="AA511" s="6">
        <f>('TE BE'!$AB$10+'TE BF'!$AB$10+'TE CVA'!$AB$10)*1</f>
        <v>219.40364509824883</v>
      </c>
      <c r="AB511" s="6">
        <f>$K$511*$V$511</f>
        <v>0</v>
      </c>
      <c r="AC511" s="6">
        <f>$M$511*$W$511</f>
        <v>275.82907999999998</v>
      </c>
      <c r="AD511" s="6">
        <f>$O$511*$X$511</f>
        <v>346.2978</v>
      </c>
      <c r="AE511" s="6">
        <f>$K$511*$Y$511</f>
        <v>0</v>
      </c>
      <c r="AF511" s="6">
        <f ca="1">$M$511*$Z$511</f>
        <v>279.23354583939368</v>
      </c>
      <c r="AG511" s="6">
        <f>$O$511*$AA$511</f>
        <v>308.48152500813785</v>
      </c>
    </row>
    <row r="512" spans="1:33" ht="11.25" customHeight="1" x14ac:dyDescent="0.25">
      <c r="A512" s="4" t="s">
        <v>21</v>
      </c>
      <c r="B512" s="4" t="s">
        <v>22</v>
      </c>
      <c r="C512" s="4" t="s">
        <v>32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34</v>
      </c>
      <c r="I512" s="5">
        <v>44593</v>
      </c>
      <c r="J512" s="6">
        <v>0</v>
      </c>
      <c r="K512" s="6">
        <v>0</v>
      </c>
      <c r="L512" s="6">
        <v>0.307</v>
      </c>
      <c r="M512" s="6">
        <v>0.307</v>
      </c>
      <c r="N512" s="6">
        <v>0.307</v>
      </c>
      <c r="O512" s="6">
        <v>0.307</v>
      </c>
      <c r="P512" s="6">
        <v>0</v>
      </c>
      <c r="Q512" s="4" t="s">
        <v>26</v>
      </c>
      <c r="R512" s="4">
        <v>0</v>
      </c>
      <c r="S512" s="6">
        <v>0</v>
      </c>
      <c r="T512" s="6">
        <v>23</v>
      </c>
      <c r="U512" s="6">
        <v>56</v>
      </c>
      <c r="V512" s="6">
        <f>IF(ISERROR(VLOOKUP($S$512,'TAR FIN'!$A$1:$O$86,15,0)),0,VLOOKUP($S$512,'TAR FIN'!$A$1:$O$86,15,0))</f>
        <v>0</v>
      </c>
      <c r="W512" s="6">
        <f>IF(ISERROR(VLOOKUP($T$512,'TAR FIN'!$A$1:$O$86,15,0)),0,VLOOKUP($T$512,'TAR FIN'!$A$1:$O$86,15,0))</f>
        <v>196.18</v>
      </c>
      <c r="X512" s="6">
        <f>IF(ISERROR(VLOOKUP($U$512,'TAR FIN'!$A$1:$O$86,15,0)),0,VLOOKUP($U$512,'TAR FIN'!$A$1:$O$86,15,0))</f>
        <v>246.3</v>
      </c>
      <c r="Y512" s="6"/>
      <c r="Z512" s="6">
        <f ca="1">('TUSD BE'!$AM$20+'TUSD BF'!$AM$20+'TUSD CVA'!$AM$20)*1</f>
        <v>198.60138395404957</v>
      </c>
      <c r="AA512" s="6">
        <f>('TE BE'!$AB$10+'TE BF'!$AB$10+'TE CVA'!$AB$10)*1</f>
        <v>219.40364509824883</v>
      </c>
      <c r="AB512" s="6">
        <f>$K$512*$V$512</f>
        <v>0</v>
      </c>
      <c r="AC512" s="6">
        <f>$M$512*$W$512</f>
        <v>60.227260000000001</v>
      </c>
      <c r="AD512" s="6">
        <f>$O$512*$X$512</f>
        <v>75.614100000000008</v>
      </c>
      <c r="AE512" s="6">
        <f>$K$512*$Y$512</f>
        <v>0</v>
      </c>
      <c r="AF512" s="6">
        <f ca="1">$M$512*$Z$512</f>
        <v>60.970624873893215</v>
      </c>
      <c r="AG512" s="6">
        <f>$O$512*$AA$512</f>
        <v>67.356919045162385</v>
      </c>
    </row>
    <row r="513" spans="1:33" ht="11.25" customHeight="1" x14ac:dyDescent="0.25">
      <c r="A513" s="4" t="s">
        <v>21</v>
      </c>
      <c r="B513" s="4" t="s">
        <v>22</v>
      </c>
      <c r="C513" s="4" t="s">
        <v>32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34</v>
      </c>
      <c r="I513" s="5">
        <v>44621</v>
      </c>
      <c r="J513" s="6">
        <v>0</v>
      </c>
      <c r="K513" s="6">
        <v>0</v>
      </c>
      <c r="L513" s="6">
        <v>0.92500000000000004</v>
      </c>
      <c r="M513" s="6">
        <v>0.92500000000000004</v>
      </c>
      <c r="N513" s="6">
        <v>0.92500000000000004</v>
      </c>
      <c r="O513" s="6">
        <v>0.92500000000000004</v>
      </c>
      <c r="P513" s="6">
        <v>0</v>
      </c>
      <c r="Q513" s="4" t="s">
        <v>26</v>
      </c>
      <c r="R513" s="4">
        <v>0</v>
      </c>
      <c r="S513" s="6">
        <v>0</v>
      </c>
      <c r="T513" s="6">
        <v>23</v>
      </c>
      <c r="U513" s="6">
        <v>56</v>
      </c>
      <c r="V513" s="6">
        <f>IF(ISERROR(VLOOKUP($S$513,'TAR FIN'!$A$1:$O$86,15,0)),0,VLOOKUP($S$513,'TAR FIN'!$A$1:$O$86,15,0))</f>
        <v>0</v>
      </c>
      <c r="W513" s="6">
        <f>IF(ISERROR(VLOOKUP($T$513,'TAR FIN'!$A$1:$O$86,15,0)),0,VLOOKUP($T$513,'TAR FIN'!$A$1:$O$86,15,0))</f>
        <v>196.18</v>
      </c>
      <c r="X513" s="6">
        <f>IF(ISERROR(VLOOKUP($U$513,'TAR FIN'!$A$1:$O$86,15,0)),0,VLOOKUP($U$513,'TAR FIN'!$A$1:$O$86,15,0))</f>
        <v>246.3</v>
      </c>
      <c r="Y513" s="6"/>
      <c r="Z513" s="6">
        <f ca="1">('TUSD BE'!$AM$20+'TUSD BF'!$AM$20+'TUSD CVA'!$AM$20)*1</f>
        <v>198.60138395404957</v>
      </c>
      <c r="AA513" s="6">
        <f>('TE BE'!$AB$10+'TE BF'!$AB$10+'TE CVA'!$AB$10)*1</f>
        <v>219.40364509824883</v>
      </c>
      <c r="AB513" s="6">
        <f>$K$513*$V$513</f>
        <v>0</v>
      </c>
      <c r="AC513" s="6">
        <f>$M$513*$W$513</f>
        <v>181.46650000000002</v>
      </c>
      <c r="AD513" s="6">
        <f>$O$513*$X$513</f>
        <v>227.82750000000001</v>
      </c>
      <c r="AE513" s="6">
        <f>$K$513*$Y$513</f>
        <v>0</v>
      </c>
      <c r="AF513" s="6">
        <f ca="1">$M$513*$Z$513</f>
        <v>183.70628015749585</v>
      </c>
      <c r="AG513" s="6">
        <f>$O$513*$AA$513</f>
        <v>202.94837171588017</v>
      </c>
    </row>
    <row r="514" spans="1:33" ht="11.25" customHeight="1" x14ac:dyDescent="0.25">
      <c r="A514" s="4" t="s">
        <v>21</v>
      </c>
      <c r="B514" s="4" t="s">
        <v>22</v>
      </c>
      <c r="C514" s="4" t="s">
        <v>32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34</v>
      </c>
      <c r="I514" s="5">
        <v>44652</v>
      </c>
      <c r="J514" s="6">
        <v>0</v>
      </c>
      <c r="K514" s="6">
        <v>0</v>
      </c>
      <c r="L514" s="6">
        <v>0.69899999999999995</v>
      </c>
      <c r="M514" s="6">
        <v>0.69899999999999995</v>
      </c>
      <c r="N514" s="6">
        <v>0.69899999999999995</v>
      </c>
      <c r="O514" s="6">
        <v>0.69899999999999995</v>
      </c>
      <c r="P514" s="6">
        <v>0</v>
      </c>
      <c r="Q514" s="4" t="s">
        <v>26</v>
      </c>
      <c r="R514" s="4">
        <v>0</v>
      </c>
      <c r="S514" s="6">
        <v>0</v>
      </c>
      <c r="T514" s="6">
        <v>23</v>
      </c>
      <c r="U514" s="6">
        <v>56</v>
      </c>
      <c r="V514" s="6">
        <f>IF(ISERROR(VLOOKUP($S$514,'TAR FIN'!$A$1:$O$86,15,0)),0,VLOOKUP($S$514,'TAR FIN'!$A$1:$O$86,15,0))</f>
        <v>0</v>
      </c>
      <c r="W514" s="6">
        <f>IF(ISERROR(VLOOKUP($T$514,'TAR FIN'!$A$1:$O$86,15,0)),0,VLOOKUP($T$514,'TAR FIN'!$A$1:$O$86,15,0))</f>
        <v>196.18</v>
      </c>
      <c r="X514" s="6">
        <f>IF(ISERROR(VLOOKUP($U$514,'TAR FIN'!$A$1:$O$86,15,0)),0,VLOOKUP($U$514,'TAR FIN'!$A$1:$O$86,15,0))</f>
        <v>246.3</v>
      </c>
      <c r="Y514" s="6"/>
      <c r="Z514" s="6">
        <f ca="1">('TUSD BE'!$AM$20+'TUSD BF'!$AM$20+'TUSD CVA'!$AM$20)*1</f>
        <v>198.60138395404957</v>
      </c>
      <c r="AA514" s="6">
        <f>('TE BE'!$AB$10+'TE BF'!$AB$10+'TE CVA'!$AB$10)*1</f>
        <v>219.40364509824883</v>
      </c>
      <c r="AB514" s="6">
        <f>$K$514*$V$514</f>
        <v>0</v>
      </c>
      <c r="AC514" s="6">
        <f>$M$514*$W$514</f>
        <v>137.12982</v>
      </c>
      <c r="AD514" s="6">
        <f>$O$514*$X$514</f>
        <v>172.16370000000001</v>
      </c>
      <c r="AE514" s="6">
        <f>$K$514*$Y$514</f>
        <v>0</v>
      </c>
      <c r="AF514" s="6">
        <f ca="1">$M$514*$Z$514</f>
        <v>138.82236738388065</v>
      </c>
      <c r="AG514" s="6">
        <f>$O$514*$AA$514</f>
        <v>153.36314792367591</v>
      </c>
    </row>
    <row r="515" spans="1:33" ht="11.25" customHeight="1" x14ac:dyDescent="0.25">
      <c r="A515" s="4" t="s">
        <v>21</v>
      </c>
      <c r="B515" s="4" t="s">
        <v>22</v>
      </c>
      <c r="C515" s="4" t="s">
        <v>32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44682</v>
      </c>
      <c r="J515" s="6">
        <v>0</v>
      </c>
      <c r="K515" s="6">
        <v>0</v>
      </c>
      <c r="L515" s="6">
        <v>0.75600000000000001</v>
      </c>
      <c r="M515" s="6">
        <v>0.75600000000000001</v>
      </c>
      <c r="N515" s="6">
        <v>0.75600000000000001</v>
      </c>
      <c r="O515" s="6">
        <v>0.75600000000000001</v>
      </c>
      <c r="P515" s="6">
        <v>0</v>
      </c>
      <c r="Q515" s="4" t="s">
        <v>26</v>
      </c>
      <c r="R515" s="4">
        <v>0</v>
      </c>
      <c r="S515" s="6">
        <v>0</v>
      </c>
      <c r="T515" s="6">
        <v>23</v>
      </c>
      <c r="U515" s="6">
        <v>56</v>
      </c>
      <c r="V515" s="6">
        <f>IF(ISERROR(VLOOKUP($S$515,'TAR FIN'!$A$1:$O$86,15,0)),0,VLOOKUP($S$515,'TAR FIN'!$A$1:$O$86,15,0))</f>
        <v>0</v>
      </c>
      <c r="W515" s="6">
        <f>IF(ISERROR(VLOOKUP($T$515,'TAR FIN'!$A$1:$O$86,15,0)),0,VLOOKUP($T$515,'TAR FIN'!$A$1:$O$86,15,0))</f>
        <v>196.18</v>
      </c>
      <c r="X515" s="6">
        <f>IF(ISERROR(VLOOKUP($U$515,'TAR FIN'!$A$1:$O$86,15,0)),0,VLOOKUP($U$515,'TAR FIN'!$A$1:$O$86,15,0))</f>
        <v>246.3</v>
      </c>
      <c r="Y515" s="6"/>
      <c r="Z515" s="6">
        <f ca="1">('TUSD BE'!$AM$20+'TUSD BF'!$AM$20+'TUSD CVA'!$AM$20)*1</f>
        <v>198.60138395404957</v>
      </c>
      <c r="AA515" s="6">
        <f>('TE BE'!$AB$10+'TE BF'!$AB$10+'TE CVA'!$AB$10)*1</f>
        <v>219.40364509824883</v>
      </c>
      <c r="AB515" s="6">
        <f>$K$515*$V$515</f>
        <v>0</v>
      </c>
      <c r="AC515" s="6">
        <f>$M$515*$W$515</f>
        <v>148.31208000000001</v>
      </c>
      <c r="AD515" s="6">
        <f>$O$515*$X$515</f>
        <v>186.2028</v>
      </c>
      <c r="AE515" s="6">
        <f>$K$515*$Y$515</f>
        <v>0</v>
      </c>
      <c r="AF515" s="6">
        <f ca="1">$M$515*$Z$515</f>
        <v>150.14264626926146</v>
      </c>
      <c r="AG515" s="6">
        <f>$O$515*$AA$515</f>
        <v>165.86915569427612</v>
      </c>
    </row>
    <row r="516" spans="1:33" ht="11.25" customHeight="1" x14ac:dyDescent="0.25">
      <c r="A516" s="4" t="s">
        <v>56</v>
      </c>
      <c r="B516" s="4" t="s">
        <v>22</v>
      </c>
      <c r="C516" s="4" t="s">
        <v>32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44713</v>
      </c>
      <c r="J516" s="6">
        <v>0</v>
      </c>
      <c r="K516" s="6">
        <v>0</v>
      </c>
      <c r="L516" s="6">
        <v>0.75600000000000001</v>
      </c>
      <c r="M516" s="6">
        <v>0.75600000000000001</v>
      </c>
      <c r="N516" s="6">
        <v>0.75600000000000001</v>
      </c>
      <c r="O516" s="6">
        <v>0.75600000000000001</v>
      </c>
      <c r="P516" s="6">
        <v>0</v>
      </c>
      <c r="Q516" s="4" t="s">
        <v>26</v>
      </c>
      <c r="R516" s="4">
        <v>0</v>
      </c>
      <c r="S516" s="6">
        <v>0</v>
      </c>
      <c r="T516" s="6">
        <v>23</v>
      </c>
      <c r="U516" s="6">
        <v>56</v>
      </c>
      <c r="V516" s="6">
        <f>IF(ISERROR(VLOOKUP($S$516,'TAR FIN'!$A$1:$O$86,15,0)),0,VLOOKUP($S$516,'TAR FIN'!$A$1:$O$86,15,0))</f>
        <v>0</v>
      </c>
      <c r="W516" s="6">
        <f>IF(ISERROR(VLOOKUP($T$516,'TAR FIN'!$A$1:$O$86,15,0)),0,VLOOKUP($T$516,'TAR FIN'!$A$1:$O$86,15,0))</f>
        <v>196.18</v>
      </c>
      <c r="X516" s="6">
        <f>IF(ISERROR(VLOOKUP($U$516,'TAR FIN'!$A$1:$O$86,15,0)),0,VLOOKUP($U$516,'TAR FIN'!$A$1:$O$86,15,0))</f>
        <v>246.3</v>
      </c>
      <c r="Y516" s="6"/>
      <c r="Z516" s="6">
        <f ca="1">('TUSD BE'!$AM$20+'TUSD BF'!$AM$20+'TUSD CVA'!$AM$20)*1</f>
        <v>198.60138395404957</v>
      </c>
      <c r="AA516" s="6">
        <f>('TE BE'!$AB$10+'TE BF'!$AB$10+'TE CVA'!$AB$10)*1</f>
        <v>219.40364509824883</v>
      </c>
      <c r="AB516" s="6">
        <f>$K$516*$V$516</f>
        <v>0</v>
      </c>
      <c r="AC516" s="6">
        <f>$M$516*$W$516</f>
        <v>148.31208000000001</v>
      </c>
      <c r="AD516" s="6">
        <f>$O$516*$X$516</f>
        <v>186.2028</v>
      </c>
      <c r="AE516" s="6">
        <f>$K$516*$Y$516</f>
        <v>0</v>
      </c>
      <c r="AF516" s="6">
        <f ca="1">$M$516*$Z$516</f>
        <v>150.14264626926146</v>
      </c>
      <c r="AG516" s="6">
        <f>$O$516*$AA$516</f>
        <v>165.86915569427612</v>
      </c>
    </row>
    <row r="517" spans="1:33" ht="11.25" customHeight="1" x14ac:dyDescent="0.25">
      <c r="A517" s="4" t="s">
        <v>21</v>
      </c>
      <c r="B517" s="4" t="s">
        <v>22</v>
      </c>
      <c r="C517" s="4" t="s">
        <v>32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35</v>
      </c>
      <c r="I517" s="5">
        <v>44378</v>
      </c>
      <c r="J517" s="6">
        <v>0</v>
      </c>
      <c r="K517" s="6">
        <v>0</v>
      </c>
      <c r="L517" s="6">
        <v>3.2000000000000001E-2</v>
      </c>
      <c r="M517" s="6">
        <v>3.2000000000000001E-2</v>
      </c>
      <c r="N517" s="6">
        <v>3.2000000000000001E-2</v>
      </c>
      <c r="O517" s="6">
        <v>3.2000000000000001E-2</v>
      </c>
      <c r="P517" s="6">
        <v>0</v>
      </c>
      <c r="Q517" s="4" t="s">
        <v>26</v>
      </c>
      <c r="R517" s="4">
        <v>0</v>
      </c>
      <c r="S517" s="6">
        <v>0</v>
      </c>
      <c r="T517" s="6">
        <v>4</v>
      </c>
      <c r="U517" s="6">
        <v>40</v>
      </c>
      <c r="V517" s="6">
        <f>IF(ISERROR(VLOOKUP($S$517,'TAR FIN'!$A$1:$O$86,15,0)),0,VLOOKUP($S$517,'TAR FIN'!$A$1:$O$86,15,0))</f>
        <v>0</v>
      </c>
      <c r="W517" s="6">
        <f>IF(ISERROR(VLOOKUP($T$517,'TAR FIN'!$A$1:$O$86,15,0)),0,VLOOKUP($T$517,'TAR FIN'!$A$1:$O$86,15,0))</f>
        <v>556.29</v>
      </c>
      <c r="X517" s="6">
        <f>IF(ISERROR(VLOOKUP($U$517,'TAR FIN'!$A$1:$O$86,15,0)),0,VLOOKUP($U$517,'TAR FIN'!$A$1:$O$86,15,0))</f>
        <v>246.3</v>
      </c>
      <c r="Y517" s="6"/>
      <c r="Z517" s="6">
        <f ca="1">('TUSD BE'!$AM$19+'TUSD BF'!$AM$19+'TUSD CVA'!$AM$19)*1</f>
        <v>494.59970140636</v>
      </c>
      <c r="AA517" s="6">
        <f>('TE BE'!$AB$9+'TE BF'!$AB$9+'TE CVA'!$AB$9)*1</f>
        <v>219.40364509824883</v>
      </c>
      <c r="AB517" s="6">
        <f>$K$517*$V$517</f>
        <v>0</v>
      </c>
      <c r="AC517" s="6">
        <f>$M$517*$W$517</f>
        <v>17.801279999999998</v>
      </c>
      <c r="AD517" s="6">
        <f>$O$517*$X$517</f>
        <v>7.8816000000000006</v>
      </c>
      <c r="AE517" s="6">
        <f>$K$517*$Y$517</f>
        <v>0</v>
      </c>
      <c r="AF517" s="6">
        <f ca="1">$M$517*$Z$517</f>
        <v>15.82719044500352</v>
      </c>
      <c r="AG517" s="6">
        <f>$O$517*$AA$517</f>
        <v>7.0209166431439627</v>
      </c>
    </row>
    <row r="518" spans="1:33" ht="11.25" customHeight="1" x14ac:dyDescent="0.25">
      <c r="A518" s="4" t="s">
        <v>21</v>
      </c>
      <c r="B518" s="4" t="s">
        <v>22</v>
      </c>
      <c r="C518" s="4" t="s">
        <v>32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35</v>
      </c>
      <c r="I518" s="5">
        <v>44409</v>
      </c>
      <c r="J518" s="6">
        <v>0</v>
      </c>
      <c r="K518" s="6">
        <v>0</v>
      </c>
      <c r="L518" s="6">
        <v>3.3000000000000002E-2</v>
      </c>
      <c r="M518" s="6">
        <v>3.3000000000000002E-2</v>
      </c>
      <c r="N518" s="6">
        <v>3.3000000000000002E-2</v>
      </c>
      <c r="O518" s="6">
        <v>3.3000000000000002E-2</v>
      </c>
      <c r="P518" s="6">
        <v>0</v>
      </c>
      <c r="Q518" s="4" t="s">
        <v>26</v>
      </c>
      <c r="R518" s="4">
        <v>0</v>
      </c>
      <c r="S518" s="6">
        <v>0</v>
      </c>
      <c r="T518" s="6">
        <v>4</v>
      </c>
      <c r="U518" s="6">
        <v>40</v>
      </c>
      <c r="V518" s="6">
        <f>IF(ISERROR(VLOOKUP($S$518,'TAR FIN'!$A$1:$O$86,15,0)),0,VLOOKUP($S$518,'TAR FIN'!$A$1:$O$86,15,0))</f>
        <v>0</v>
      </c>
      <c r="W518" s="6">
        <f>IF(ISERROR(VLOOKUP($T$518,'TAR FIN'!$A$1:$O$86,15,0)),0,VLOOKUP($T$518,'TAR FIN'!$A$1:$O$86,15,0))</f>
        <v>556.29</v>
      </c>
      <c r="X518" s="6">
        <f>IF(ISERROR(VLOOKUP($U$518,'TAR FIN'!$A$1:$O$86,15,0)),0,VLOOKUP($U$518,'TAR FIN'!$A$1:$O$86,15,0))</f>
        <v>246.3</v>
      </c>
      <c r="Y518" s="6"/>
      <c r="Z518" s="6">
        <f ca="1">('TUSD BE'!$AM$19+'TUSD BF'!$AM$19+'TUSD CVA'!$AM$19)*1</f>
        <v>494.59970140636</v>
      </c>
      <c r="AA518" s="6">
        <f>('TE BE'!$AB$9+'TE BF'!$AB$9+'TE CVA'!$AB$9)*1</f>
        <v>219.40364509824883</v>
      </c>
      <c r="AB518" s="6">
        <f>$K$518*$V$518</f>
        <v>0</v>
      </c>
      <c r="AC518" s="6">
        <f>$M$518*$W$518</f>
        <v>18.357569999999999</v>
      </c>
      <c r="AD518" s="6">
        <f>$O$518*$X$518</f>
        <v>8.1279000000000003</v>
      </c>
      <c r="AE518" s="6">
        <f>$K$518*$Y$518</f>
        <v>0</v>
      </c>
      <c r="AF518" s="6">
        <f ca="1">$M$518*$Z$518</f>
        <v>16.321790146409882</v>
      </c>
      <c r="AG518" s="6">
        <f>$O$518*$AA$518</f>
        <v>7.240320288242212</v>
      </c>
    </row>
    <row r="519" spans="1:33" ht="11.25" customHeight="1" x14ac:dyDescent="0.25">
      <c r="A519" s="4" t="s">
        <v>21</v>
      </c>
      <c r="B519" s="4" t="s">
        <v>22</v>
      </c>
      <c r="C519" s="4" t="s">
        <v>32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35</v>
      </c>
      <c r="I519" s="5">
        <v>44440</v>
      </c>
      <c r="J519" s="6">
        <v>0</v>
      </c>
      <c r="K519" s="6">
        <v>0</v>
      </c>
      <c r="L519" s="6">
        <v>3.9E-2</v>
      </c>
      <c r="M519" s="6">
        <v>3.9E-2</v>
      </c>
      <c r="N519" s="6">
        <v>3.9E-2</v>
      </c>
      <c r="O519" s="6">
        <v>3.9E-2</v>
      </c>
      <c r="P519" s="6">
        <v>0</v>
      </c>
      <c r="Q519" s="4" t="s">
        <v>26</v>
      </c>
      <c r="R519" s="4">
        <v>0</v>
      </c>
      <c r="S519" s="6">
        <v>0</v>
      </c>
      <c r="T519" s="6">
        <v>4</v>
      </c>
      <c r="U519" s="6">
        <v>40</v>
      </c>
      <c r="V519" s="6">
        <f>IF(ISERROR(VLOOKUP($S$519,'TAR FIN'!$A$1:$O$86,15,0)),0,VLOOKUP($S$519,'TAR FIN'!$A$1:$O$86,15,0))</f>
        <v>0</v>
      </c>
      <c r="W519" s="6">
        <f>IF(ISERROR(VLOOKUP($T$519,'TAR FIN'!$A$1:$O$86,15,0)),0,VLOOKUP($T$519,'TAR FIN'!$A$1:$O$86,15,0))</f>
        <v>556.29</v>
      </c>
      <c r="X519" s="6">
        <f>IF(ISERROR(VLOOKUP($U$519,'TAR FIN'!$A$1:$O$86,15,0)),0,VLOOKUP($U$519,'TAR FIN'!$A$1:$O$86,15,0))</f>
        <v>246.3</v>
      </c>
      <c r="Y519" s="6"/>
      <c r="Z519" s="6">
        <f ca="1">('TUSD BE'!$AM$19+'TUSD BF'!$AM$19+'TUSD CVA'!$AM$19)*1</f>
        <v>494.59970140636</v>
      </c>
      <c r="AA519" s="6">
        <f>('TE BE'!$AB$9+'TE BF'!$AB$9+'TE CVA'!$AB$9)*1</f>
        <v>219.40364509824883</v>
      </c>
      <c r="AB519" s="6">
        <f>$K$519*$V$519</f>
        <v>0</v>
      </c>
      <c r="AC519" s="6">
        <f>$M$519*$W$519</f>
        <v>21.695309999999999</v>
      </c>
      <c r="AD519" s="6">
        <f>$O$519*$X$519</f>
        <v>9.6057000000000006</v>
      </c>
      <c r="AE519" s="6">
        <f>$K$519*$Y$519</f>
        <v>0</v>
      </c>
      <c r="AF519" s="6">
        <f ca="1">$M$519*$Z$519</f>
        <v>19.28938835484804</v>
      </c>
      <c r="AG519" s="6">
        <f>$O$519*$AA$519</f>
        <v>8.556742158831705</v>
      </c>
    </row>
    <row r="520" spans="1:33" ht="11.25" customHeight="1" x14ac:dyDescent="0.25">
      <c r="A520" s="4" t="s">
        <v>21</v>
      </c>
      <c r="B520" s="4" t="s">
        <v>22</v>
      </c>
      <c r="C520" s="4" t="s">
        <v>32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35</v>
      </c>
      <c r="I520" s="5">
        <v>44470</v>
      </c>
      <c r="J520" s="6">
        <v>0</v>
      </c>
      <c r="K520" s="6">
        <v>0</v>
      </c>
      <c r="L520" s="6">
        <v>3.5999999999999997E-2</v>
      </c>
      <c r="M520" s="6">
        <v>3.5999999999999997E-2</v>
      </c>
      <c r="N520" s="6">
        <v>3.5999999999999997E-2</v>
      </c>
      <c r="O520" s="6">
        <v>3.5999999999999997E-2</v>
      </c>
      <c r="P520" s="6">
        <v>0</v>
      </c>
      <c r="Q520" s="4" t="s">
        <v>26</v>
      </c>
      <c r="R520" s="4">
        <v>0</v>
      </c>
      <c r="S520" s="6">
        <v>0</v>
      </c>
      <c r="T520" s="6">
        <v>4</v>
      </c>
      <c r="U520" s="6">
        <v>40</v>
      </c>
      <c r="V520" s="6">
        <f>IF(ISERROR(VLOOKUP($S$520,'TAR FIN'!$A$1:$O$86,15,0)),0,VLOOKUP($S$520,'TAR FIN'!$A$1:$O$86,15,0))</f>
        <v>0</v>
      </c>
      <c r="W520" s="6">
        <f>IF(ISERROR(VLOOKUP($T$520,'TAR FIN'!$A$1:$O$86,15,0)),0,VLOOKUP($T$520,'TAR FIN'!$A$1:$O$86,15,0))</f>
        <v>556.29</v>
      </c>
      <c r="X520" s="6">
        <f>IF(ISERROR(VLOOKUP($U$520,'TAR FIN'!$A$1:$O$86,15,0)),0,VLOOKUP($U$520,'TAR FIN'!$A$1:$O$86,15,0))</f>
        <v>246.3</v>
      </c>
      <c r="Y520" s="6"/>
      <c r="Z520" s="6">
        <f ca="1">('TUSD BE'!$AM$19+'TUSD BF'!$AM$19+'TUSD CVA'!$AM$19)*1</f>
        <v>494.59970140636</v>
      </c>
      <c r="AA520" s="6">
        <f>('TE BE'!$AB$9+'TE BF'!$AB$9+'TE CVA'!$AB$9)*1</f>
        <v>219.40364509824883</v>
      </c>
      <c r="AB520" s="6">
        <f>$K$520*$V$520</f>
        <v>0</v>
      </c>
      <c r="AC520" s="6">
        <f>$M$520*$W$520</f>
        <v>20.026439999999997</v>
      </c>
      <c r="AD520" s="6">
        <f>$O$520*$X$520</f>
        <v>8.8667999999999996</v>
      </c>
      <c r="AE520" s="6">
        <f>$K$520*$Y$520</f>
        <v>0</v>
      </c>
      <c r="AF520" s="6">
        <f ca="1">$M$520*$Z$520</f>
        <v>17.805589250628959</v>
      </c>
      <c r="AG520" s="6">
        <f>$O$520*$AA$520</f>
        <v>7.8985312235369571</v>
      </c>
    </row>
    <row r="521" spans="1:33" ht="11.25" customHeight="1" x14ac:dyDescent="0.25">
      <c r="A521" s="4" t="s">
        <v>21</v>
      </c>
      <c r="B521" s="4" t="s">
        <v>22</v>
      </c>
      <c r="C521" s="4" t="s">
        <v>32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35</v>
      </c>
      <c r="I521" s="5">
        <v>44501</v>
      </c>
      <c r="J521" s="6">
        <v>0</v>
      </c>
      <c r="K521" s="6">
        <v>0</v>
      </c>
      <c r="L521" s="6">
        <v>5.3999999999999999E-2</v>
      </c>
      <c r="M521" s="6">
        <v>5.3999999999999999E-2</v>
      </c>
      <c r="N521" s="6">
        <v>5.3999999999999999E-2</v>
      </c>
      <c r="O521" s="6">
        <v>5.3999999999999999E-2</v>
      </c>
      <c r="P521" s="6">
        <v>0</v>
      </c>
      <c r="Q521" s="4" t="s">
        <v>26</v>
      </c>
      <c r="R521" s="4">
        <v>0</v>
      </c>
      <c r="S521" s="6">
        <v>0</v>
      </c>
      <c r="T521" s="6">
        <v>4</v>
      </c>
      <c r="U521" s="6">
        <v>40</v>
      </c>
      <c r="V521" s="6">
        <f>IF(ISERROR(VLOOKUP($S$521,'TAR FIN'!$A$1:$O$86,15,0)),0,VLOOKUP($S$521,'TAR FIN'!$A$1:$O$86,15,0))</f>
        <v>0</v>
      </c>
      <c r="W521" s="6">
        <f>IF(ISERROR(VLOOKUP($T$521,'TAR FIN'!$A$1:$O$86,15,0)),0,VLOOKUP($T$521,'TAR FIN'!$A$1:$O$86,15,0))</f>
        <v>556.29</v>
      </c>
      <c r="X521" s="6">
        <f>IF(ISERROR(VLOOKUP($U$521,'TAR FIN'!$A$1:$O$86,15,0)),0,VLOOKUP($U$521,'TAR FIN'!$A$1:$O$86,15,0))</f>
        <v>246.3</v>
      </c>
      <c r="Y521" s="6"/>
      <c r="Z521" s="6">
        <f ca="1">('TUSD BE'!$AM$19+'TUSD BF'!$AM$19+'TUSD CVA'!$AM$19)*1</f>
        <v>494.59970140636</v>
      </c>
      <c r="AA521" s="6">
        <f>('TE BE'!$AB$9+'TE BF'!$AB$9+'TE CVA'!$AB$9)*1</f>
        <v>219.40364509824883</v>
      </c>
      <c r="AB521" s="6">
        <f>$K$521*$V$521</f>
        <v>0</v>
      </c>
      <c r="AC521" s="6">
        <f>$M$521*$W$521</f>
        <v>30.039659999999998</v>
      </c>
      <c r="AD521" s="6">
        <f>$O$521*$X$521</f>
        <v>13.3002</v>
      </c>
      <c r="AE521" s="6">
        <f>$K$521*$Y$521</f>
        <v>0</v>
      </c>
      <c r="AF521" s="6">
        <f ca="1">$M$521*$Z$521</f>
        <v>26.70838387594344</v>
      </c>
      <c r="AG521" s="6">
        <f>$O$521*$AA$521</f>
        <v>11.847796835305436</v>
      </c>
    </row>
    <row r="522" spans="1:33" ht="11.25" customHeight="1" x14ac:dyDescent="0.25">
      <c r="A522" s="4" t="s">
        <v>21</v>
      </c>
      <c r="B522" s="4" t="s">
        <v>22</v>
      </c>
      <c r="C522" s="4" t="s">
        <v>32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35</v>
      </c>
      <c r="I522" s="5">
        <v>44531</v>
      </c>
      <c r="J522" s="6">
        <v>0</v>
      </c>
      <c r="K522" s="6">
        <v>0</v>
      </c>
      <c r="L522" s="6">
        <v>0.08</v>
      </c>
      <c r="M522" s="6">
        <v>0.08</v>
      </c>
      <c r="N522" s="6">
        <v>0.08</v>
      </c>
      <c r="O522" s="6">
        <v>0.08</v>
      </c>
      <c r="P522" s="6">
        <v>0</v>
      </c>
      <c r="Q522" s="4" t="s">
        <v>26</v>
      </c>
      <c r="R522" s="4">
        <v>0</v>
      </c>
      <c r="S522" s="6">
        <v>0</v>
      </c>
      <c r="T522" s="6">
        <v>4</v>
      </c>
      <c r="U522" s="6">
        <v>40</v>
      </c>
      <c r="V522" s="6">
        <f>IF(ISERROR(VLOOKUP($S$522,'TAR FIN'!$A$1:$O$86,15,0)),0,VLOOKUP($S$522,'TAR FIN'!$A$1:$O$86,15,0))</f>
        <v>0</v>
      </c>
      <c r="W522" s="6">
        <f>IF(ISERROR(VLOOKUP($T$522,'TAR FIN'!$A$1:$O$86,15,0)),0,VLOOKUP($T$522,'TAR FIN'!$A$1:$O$86,15,0))</f>
        <v>556.29</v>
      </c>
      <c r="X522" s="6">
        <f>IF(ISERROR(VLOOKUP($U$522,'TAR FIN'!$A$1:$O$86,15,0)),0,VLOOKUP($U$522,'TAR FIN'!$A$1:$O$86,15,0))</f>
        <v>246.3</v>
      </c>
      <c r="Y522" s="6"/>
      <c r="Z522" s="6">
        <f ca="1">('TUSD BE'!$AM$19+'TUSD BF'!$AM$19+'TUSD CVA'!$AM$19)*1</f>
        <v>494.59970140636</v>
      </c>
      <c r="AA522" s="6">
        <f>('TE BE'!$AB$9+'TE BF'!$AB$9+'TE CVA'!$AB$9)*1</f>
        <v>219.40364509824883</v>
      </c>
      <c r="AB522" s="6">
        <f>$K$522*$V$522</f>
        <v>0</v>
      </c>
      <c r="AC522" s="6">
        <f>$M$522*$W$522</f>
        <v>44.5032</v>
      </c>
      <c r="AD522" s="6">
        <f>$O$522*$X$522</f>
        <v>19.704000000000001</v>
      </c>
      <c r="AE522" s="6">
        <f>$K$522*$Y$522</f>
        <v>0</v>
      </c>
      <c r="AF522" s="6">
        <f ca="1">$M$522*$Z$522</f>
        <v>39.567976112508802</v>
      </c>
      <c r="AG522" s="6">
        <f>$O$522*$AA$522</f>
        <v>17.552291607859907</v>
      </c>
    </row>
    <row r="523" spans="1:33" ht="11.25" customHeight="1" x14ac:dyDescent="0.25">
      <c r="A523" s="4" t="s">
        <v>21</v>
      </c>
      <c r="B523" s="4" t="s">
        <v>22</v>
      </c>
      <c r="C523" s="4" t="s">
        <v>32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35</v>
      </c>
      <c r="I523" s="5">
        <v>44562</v>
      </c>
      <c r="J523" s="6">
        <v>0</v>
      </c>
      <c r="K523" s="6">
        <v>0</v>
      </c>
      <c r="L523" s="6">
        <v>0.1</v>
      </c>
      <c r="M523" s="6">
        <v>0.1</v>
      </c>
      <c r="N523" s="6">
        <v>0.1</v>
      </c>
      <c r="O523" s="6">
        <v>0.1</v>
      </c>
      <c r="P523" s="6">
        <v>0</v>
      </c>
      <c r="Q523" s="4" t="s">
        <v>26</v>
      </c>
      <c r="R523" s="4">
        <v>0</v>
      </c>
      <c r="S523" s="6">
        <v>0</v>
      </c>
      <c r="T523" s="6">
        <v>4</v>
      </c>
      <c r="U523" s="6">
        <v>40</v>
      </c>
      <c r="V523" s="6">
        <f>IF(ISERROR(VLOOKUP($S$523,'TAR FIN'!$A$1:$O$86,15,0)),0,VLOOKUP($S$523,'TAR FIN'!$A$1:$O$86,15,0))</f>
        <v>0</v>
      </c>
      <c r="W523" s="6">
        <f>IF(ISERROR(VLOOKUP($T$523,'TAR FIN'!$A$1:$O$86,15,0)),0,VLOOKUP($T$523,'TAR FIN'!$A$1:$O$86,15,0))</f>
        <v>556.29</v>
      </c>
      <c r="X523" s="6">
        <f>IF(ISERROR(VLOOKUP($U$523,'TAR FIN'!$A$1:$O$86,15,0)),0,VLOOKUP($U$523,'TAR FIN'!$A$1:$O$86,15,0))</f>
        <v>246.3</v>
      </c>
      <c r="Y523" s="6"/>
      <c r="Z523" s="6">
        <f ca="1">('TUSD BE'!$AM$19+'TUSD BF'!$AM$19+'TUSD CVA'!$AM$19)*1</f>
        <v>494.59970140636</v>
      </c>
      <c r="AA523" s="6">
        <f>('TE BE'!$AB$9+'TE BF'!$AB$9+'TE CVA'!$AB$9)*1</f>
        <v>219.40364509824883</v>
      </c>
      <c r="AB523" s="6">
        <f>$K$523*$V$523</f>
        <v>0</v>
      </c>
      <c r="AC523" s="6">
        <f>$M$523*$W$523</f>
        <v>55.628999999999998</v>
      </c>
      <c r="AD523" s="6">
        <f>$O$523*$X$523</f>
        <v>24.630000000000003</v>
      </c>
      <c r="AE523" s="6">
        <f>$K$523*$Y$523</f>
        <v>0</v>
      </c>
      <c r="AF523" s="6">
        <f ca="1">$M$523*$Z$523</f>
        <v>49.459970140636003</v>
      </c>
      <c r="AG523" s="6">
        <f>$O$523*$AA$523</f>
        <v>21.940364509824885</v>
      </c>
    </row>
    <row r="524" spans="1:33" ht="11.25" customHeight="1" x14ac:dyDescent="0.25">
      <c r="A524" s="4" t="s">
        <v>21</v>
      </c>
      <c r="B524" s="4" t="s">
        <v>22</v>
      </c>
      <c r="C524" s="4" t="s">
        <v>32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35</v>
      </c>
      <c r="I524" s="5">
        <v>44593</v>
      </c>
      <c r="J524" s="6">
        <v>0</v>
      </c>
      <c r="K524" s="6">
        <v>0</v>
      </c>
      <c r="L524" s="6">
        <v>3.5000000000000003E-2</v>
      </c>
      <c r="M524" s="6">
        <v>3.5000000000000003E-2</v>
      </c>
      <c r="N524" s="6">
        <v>3.5000000000000003E-2</v>
      </c>
      <c r="O524" s="6">
        <v>3.5000000000000003E-2</v>
      </c>
      <c r="P524" s="6">
        <v>0</v>
      </c>
      <c r="Q524" s="4" t="s">
        <v>26</v>
      </c>
      <c r="R524" s="4">
        <v>0</v>
      </c>
      <c r="S524" s="6">
        <v>0</v>
      </c>
      <c r="T524" s="6">
        <v>4</v>
      </c>
      <c r="U524" s="6">
        <v>40</v>
      </c>
      <c r="V524" s="6">
        <f>IF(ISERROR(VLOOKUP($S$524,'TAR FIN'!$A$1:$O$86,15,0)),0,VLOOKUP($S$524,'TAR FIN'!$A$1:$O$86,15,0))</f>
        <v>0</v>
      </c>
      <c r="W524" s="6">
        <f>IF(ISERROR(VLOOKUP($T$524,'TAR FIN'!$A$1:$O$86,15,0)),0,VLOOKUP($T$524,'TAR FIN'!$A$1:$O$86,15,0))</f>
        <v>556.29</v>
      </c>
      <c r="X524" s="6">
        <f>IF(ISERROR(VLOOKUP($U$524,'TAR FIN'!$A$1:$O$86,15,0)),0,VLOOKUP($U$524,'TAR FIN'!$A$1:$O$86,15,0))</f>
        <v>246.3</v>
      </c>
      <c r="Y524" s="6"/>
      <c r="Z524" s="6">
        <f ca="1">('TUSD BE'!$AM$19+'TUSD BF'!$AM$19+'TUSD CVA'!$AM$19)*1</f>
        <v>494.59970140636</v>
      </c>
      <c r="AA524" s="6">
        <f>('TE BE'!$AB$9+'TE BF'!$AB$9+'TE CVA'!$AB$9)*1</f>
        <v>219.40364509824883</v>
      </c>
      <c r="AB524" s="6">
        <f>$K$524*$V$524</f>
        <v>0</v>
      </c>
      <c r="AC524" s="6">
        <f>$M$524*$W$524</f>
        <v>19.47015</v>
      </c>
      <c r="AD524" s="6">
        <f>$O$524*$X$524</f>
        <v>8.6205000000000016</v>
      </c>
      <c r="AE524" s="6">
        <f>$K$524*$Y$524</f>
        <v>0</v>
      </c>
      <c r="AF524" s="6">
        <f ca="1">$M$524*$Z$524</f>
        <v>17.310989549222601</v>
      </c>
      <c r="AG524" s="6">
        <f>$O$524*$AA$524</f>
        <v>7.6791275784387096</v>
      </c>
    </row>
    <row r="525" spans="1:33" ht="11.25" customHeight="1" x14ac:dyDescent="0.25">
      <c r="A525" s="4" t="s">
        <v>21</v>
      </c>
      <c r="B525" s="4" t="s">
        <v>22</v>
      </c>
      <c r="C525" s="4" t="s">
        <v>32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35</v>
      </c>
      <c r="I525" s="5">
        <v>44621</v>
      </c>
      <c r="J525" s="6">
        <v>0</v>
      </c>
      <c r="K525" s="6">
        <v>0</v>
      </c>
      <c r="L525" s="6">
        <v>0.129</v>
      </c>
      <c r="M525" s="6">
        <v>0.129</v>
      </c>
      <c r="N525" s="6">
        <v>0.129</v>
      </c>
      <c r="O525" s="6">
        <v>0.129</v>
      </c>
      <c r="P525" s="6">
        <v>0</v>
      </c>
      <c r="Q525" s="4" t="s">
        <v>26</v>
      </c>
      <c r="R525" s="4">
        <v>0</v>
      </c>
      <c r="S525" s="6">
        <v>0</v>
      </c>
      <c r="T525" s="6">
        <v>4</v>
      </c>
      <c r="U525" s="6">
        <v>40</v>
      </c>
      <c r="V525" s="6">
        <f>IF(ISERROR(VLOOKUP($S$525,'TAR FIN'!$A$1:$O$86,15,0)),0,VLOOKUP($S$525,'TAR FIN'!$A$1:$O$86,15,0))</f>
        <v>0</v>
      </c>
      <c r="W525" s="6">
        <f>IF(ISERROR(VLOOKUP($T$525,'TAR FIN'!$A$1:$O$86,15,0)),0,VLOOKUP($T$525,'TAR FIN'!$A$1:$O$86,15,0))</f>
        <v>556.29</v>
      </c>
      <c r="X525" s="6">
        <f>IF(ISERROR(VLOOKUP($U$525,'TAR FIN'!$A$1:$O$86,15,0)),0,VLOOKUP($U$525,'TAR FIN'!$A$1:$O$86,15,0))</f>
        <v>246.3</v>
      </c>
      <c r="Y525" s="6"/>
      <c r="Z525" s="6">
        <f ca="1">('TUSD BE'!$AM$19+'TUSD BF'!$AM$19+'TUSD CVA'!$AM$19)*1</f>
        <v>494.59970140636</v>
      </c>
      <c r="AA525" s="6">
        <f>('TE BE'!$AB$9+'TE BF'!$AB$9+'TE CVA'!$AB$9)*1</f>
        <v>219.40364509824883</v>
      </c>
      <c r="AB525" s="6">
        <f>$K$525*$V$525</f>
        <v>0</v>
      </c>
      <c r="AC525" s="6">
        <f>$M$525*$W$525</f>
        <v>71.761409999999998</v>
      </c>
      <c r="AD525" s="6">
        <f>$O$525*$X$525</f>
        <v>31.772700000000004</v>
      </c>
      <c r="AE525" s="6">
        <f>$K$525*$Y$525</f>
        <v>0</v>
      </c>
      <c r="AF525" s="6">
        <f ca="1">$M$525*$Z$525</f>
        <v>63.803361481420438</v>
      </c>
      <c r="AG525" s="6">
        <f>$O$525*$AA$525</f>
        <v>28.303070217674101</v>
      </c>
    </row>
    <row r="526" spans="1:33" ht="11.25" customHeight="1" x14ac:dyDescent="0.25">
      <c r="A526" s="4" t="s">
        <v>21</v>
      </c>
      <c r="B526" s="4" t="s">
        <v>22</v>
      </c>
      <c r="C526" s="4" t="s">
        <v>32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35</v>
      </c>
      <c r="I526" s="5">
        <v>44652</v>
      </c>
      <c r="J526" s="6">
        <v>0</v>
      </c>
      <c r="K526" s="6">
        <v>0</v>
      </c>
      <c r="L526" s="6">
        <v>3.4000000000000002E-2</v>
      </c>
      <c r="M526" s="6">
        <v>3.4000000000000002E-2</v>
      </c>
      <c r="N526" s="6">
        <v>3.4000000000000002E-2</v>
      </c>
      <c r="O526" s="6">
        <v>3.4000000000000002E-2</v>
      </c>
      <c r="P526" s="6">
        <v>0</v>
      </c>
      <c r="Q526" s="4" t="s">
        <v>26</v>
      </c>
      <c r="R526" s="4">
        <v>0</v>
      </c>
      <c r="S526" s="6">
        <v>0</v>
      </c>
      <c r="T526" s="6">
        <v>4</v>
      </c>
      <c r="U526" s="6">
        <v>40</v>
      </c>
      <c r="V526" s="6">
        <f>IF(ISERROR(VLOOKUP($S$526,'TAR FIN'!$A$1:$O$86,15,0)),0,VLOOKUP($S$526,'TAR FIN'!$A$1:$O$86,15,0))</f>
        <v>0</v>
      </c>
      <c r="W526" s="6">
        <f>IF(ISERROR(VLOOKUP($T$526,'TAR FIN'!$A$1:$O$86,15,0)),0,VLOOKUP($T$526,'TAR FIN'!$A$1:$O$86,15,0))</f>
        <v>556.29</v>
      </c>
      <c r="X526" s="6">
        <f>IF(ISERROR(VLOOKUP($U$526,'TAR FIN'!$A$1:$O$86,15,0)),0,VLOOKUP($U$526,'TAR FIN'!$A$1:$O$86,15,0))</f>
        <v>246.3</v>
      </c>
      <c r="Y526" s="6"/>
      <c r="Z526" s="6">
        <f ca="1">('TUSD BE'!$AM$19+'TUSD BF'!$AM$19+'TUSD CVA'!$AM$19)*1</f>
        <v>494.59970140636</v>
      </c>
      <c r="AA526" s="6">
        <f>('TE BE'!$AB$9+'TE BF'!$AB$9+'TE CVA'!$AB$9)*1</f>
        <v>219.40364509824883</v>
      </c>
      <c r="AB526" s="6">
        <f>$K$526*$V$526</f>
        <v>0</v>
      </c>
      <c r="AC526" s="6">
        <f>$M$526*$W$526</f>
        <v>18.91386</v>
      </c>
      <c r="AD526" s="6">
        <f>$O$526*$X$526</f>
        <v>8.3742000000000019</v>
      </c>
      <c r="AE526" s="6">
        <f>$K$526*$Y$526</f>
        <v>0</v>
      </c>
      <c r="AF526" s="6">
        <f ca="1">$M$526*$Z$526</f>
        <v>16.816389847816239</v>
      </c>
      <c r="AG526" s="6">
        <f>$O$526*$AA$526</f>
        <v>7.4597239333404604</v>
      </c>
    </row>
    <row r="527" spans="1:33" ht="11.25" customHeight="1" x14ac:dyDescent="0.25">
      <c r="A527" s="4" t="s">
        <v>21</v>
      </c>
      <c r="B527" s="4" t="s">
        <v>22</v>
      </c>
      <c r="C527" s="4" t="s">
        <v>32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35</v>
      </c>
      <c r="I527" s="5">
        <v>44682</v>
      </c>
      <c r="J527" s="6">
        <v>0</v>
      </c>
      <c r="K527" s="6">
        <v>0</v>
      </c>
      <c r="L527" s="6">
        <v>3.7999999999999999E-2</v>
      </c>
      <c r="M527" s="6">
        <v>3.7999999999999999E-2</v>
      </c>
      <c r="N527" s="6">
        <v>3.7999999999999999E-2</v>
      </c>
      <c r="O527" s="6">
        <v>3.7999999999999999E-2</v>
      </c>
      <c r="P527" s="6">
        <v>0</v>
      </c>
      <c r="Q527" s="4" t="s">
        <v>26</v>
      </c>
      <c r="R527" s="4">
        <v>0</v>
      </c>
      <c r="S527" s="6">
        <v>0</v>
      </c>
      <c r="T527" s="6">
        <v>4</v>
      </c>
      <c r="U527" s="6">
        <v>40</v>
      </c>
      <c r="V527" s="6">
        <f>IF(ISERROR(VLOOKUP($S$527,'TAR FIN'!$A$1:$O$86,15,0)),0,VLOOKUP($S$527,'TAR FIN'!$A$1:$O$86,15,0))</f>
        <v>0</v>
      </c>
      <c r="W527" s="6">
        <f>IF(ISERROR(VLOOKUP($T$527,'TAR FIN'!$A$1:$O$86,15,0)),0,VLOOKUP($T$527,'TAR FIN'!$A$1:$O$86,15,0))</f>
        <v>556.29</v>
      </c>
      <c r="X527" s="6">
        <f>IF(ISERROR(VLOOKUP($U$527,'TAR FIN'!$A$1:$O$86,15,0)),0,VLOOKUP($U$527,'TAR FIN'!$A$1:$O$86,15,0))</f>
        <v>246.3</v>
      </c>
      <c r="Y527" s="6"/>
      <c r="Z527" s="6">
        <f ca="1">('TUSD BE'!$AM$19+'TUSD BF'!$AM$19+'TUSD CVA'!$AM$19)*1</f>
        <v>494.59970140636</v>
      </c>
      <c r="AA527" s="6">
        <f>('TE BE'!$AB$9+'TE BF'!$AB$9+'TE CVA'!$AB$9)*1</f>
        <v>219.40364509824883</v>
      </c>
      <c r="AB527" s="6">
        <f>$K$527*$V$527</f>
        <v>0</v>
      </c>
      <c r="AC527" s="6">
        <f>$M$527*$W$527</f>
        <v>21.139019999999999</v>
      </c>
      <c r="AD527" s="6">
        <f>$O$527*$X$527</f>
        <v>9.3594000000000008</v>
      </c>
      <c r="AE527" s="6">
        <f>$K$527*$Y$527</f>
        <v>0</v>
      </c>
      <c r="AF527" s="6">
        <f ca="1">$M$527*$Z$527</f>
        <v>18.794788653441678</v>
      </c>
      <c r="AG527" s="6">
        <f>$O$527*$AA$527</f>
        <v>8.3373385137334548</v>
      </c>
    </row>
    <row r="528" spans="1:33" ht="11.25" customHeight="1" x14ac:dyDescent="0.25">
      <c r="A528" s="4" t="s">
        <v>56</v>
      </c>
      <c r="B528" s="4" t="s">
        <v>22</v>
      </c>
      <c r="C528" s="4" t="s">
        <v>32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35</v>
      </c>
      <c r="I528" s="5">
        <v>44713</v>
      </c>
      <c r="J528" s="6">
        <v>0</v>
      </c>
      <c r="K528" s="6">
        <v>0</v>
      </c>
      <c r="L528" s="6">
        <v>3.7999999999999999E-2</v>
      </c>
      <c r="M528" s="6">
        <v>3.7999999999999999E-2</v>
      </c>
      <c r="N528" s="6">
        <v>3.7999999999999999E-2</v>
      </c>
      <c r="O528" s="6">
        <v>3.7999999999999999E-2</v>
      </c>
      <c r="P528" s="6">
        <v>0</v>
      </c>
      <c r="Q528" s="4" t="s">
        <v>26</v>
      </c>
      <c r="R528" s="4">
        <v>0</v>
      </c>
      <c r="S528" s="6">
        <v>0</v>
      </c>
      <c r="T528" s="6">
        <v>4</v>
      </c>
      <c r="U528" s="6">
        <v>40</v>
      </c>
      <c r="V528" s="6">
        <f>IF(ISERROR(VLOOKUP($S$528,'TAR FIN'!$A$1:$O$86,15,0)),0,VLOOKUP($S$528,'TAR FIN'!$A$1:$O$86,15,0))</f>
        <v>0</v>
      </c>
      <c r="W528" s="6">
        <f>IF(ISERROR(VLOOKUP($T$528,'TAR FIN'!$A$1:$O$86,15,0)),0,VLOOKUP($T$528,'TAR FIN'!$A$1:$O$86,15,0))</f>
        <v>556.29</v>
      </c>
      <c r="X528" s="6">
        <f>IF(ISERROR(VLOOKUP($U$528,'TAR FIN'!$A$1:$O$86,15,0)),0,VLOOKUP($U$528,'TAR FIN'!$A$1:$O$86,15,0))</f>
        <v>246.3</v>
      </c>
      <c r="Y528" s="6"/>
      <c r="Z528" s="6">
        <f ca="1">('TUSD BE'!$AM$19+'TUSD BF'!$AM$19+'TUSD CVA'!$AM$19)*1</f>
        <v>494.59970140636</v>
      </c>
      <c r="AA528" s="6">
        <f>('TE BE'!$AB$9+'TE BF'!$AB$9+'TE CVA'!$AB$9)*1</f>
        <v>219.40364509824883</v>
      </c>
      <c r="AB528" s="6">
        <f>$K$528*$V$528</f>
        <v>0</v>
      </c>
      <c r="AC528" s="6">
        <f>$M$528*$W$528</f>
        <v>21.139019999999999</v>
      </c>
      <c r="AD528" s="6">
        <f>$O$528*$X$528</f>
        <v>9.3594000000000008</v>
      </c>
      <c r="AE528" s="6">
        <f>$K$528*$Y$528</f>
        <v>0</v>
      </c>
      <c r="AF528" s="6">
        <f ca="1">$M$528*$Z$528</f>
        <v>18.794788653441678</v>
      </c>
      <c r="AG528" s="6">
        <f>$O$528*$AA$528</f>
        <v>8.3373385137334548</v>
      </c>
    </row>
    <row r="529" spans="1:33" ht="11.25" customHeight="1" x14ac:dyDescent="0.25">
      <c r="A529" s="4" t="s">
        <v>21</v>
      </c>
      <c r="B529" s="4" t="s">
        <v>22</v>
      </c>
      <c r="C529" s="4" t="s">
        <v>32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33</v>
      </c>
      <c r="I529" s="5">
        <v>44378</v>
      </c>
      <c r="J529" s="6">
        <v>0</v>
      </c>
      <c r="K529" s="6">
        <v>0</v>
      </c>
      <c r="L529" s="6">
        <v>8.3000000000000004E-2</v>
      </c>
      <c r="M529" s="6">
        <v>8.3000000000000004E-2</v>
      </c>
      <c r="N529" s="6">
        <v>8.3000000000000004E-2</v>
      </c>
      <c r="O529" s="6">
        <v>8.3000000000000004E-2</v>
      </c>
      <c r="P529" s="6">
        <v>0</v>
      </c>
      <c r="Q529" s="4" t="s">
        <v>26</v>
      </c>
      <c r="R529" s="4">
        <v>0</v>
      </c>
      <c r="S529" s="6">
        <v>0</v>
      </c>
      <c r="T529" s="6">
        <v>1</v>
      </c>
      <c r="U529" s="6">
        <v>48</v>
      </c>
      <c r="V529" s="6">
        <f>IF(ISERROR(VLOOKUP($S$529,'TAR FIN'!$A$1:$O$86,15,0)),0,VLOOKUP($S$529,'TAR FIN'!$A$1:$O$86,15,0))</f>
        <v>0</v>
      </c>
      <c r="W529" s="6">
        <f>IF(ISERROR(VLOOKUP($T$529,'TAR FIN'!$A$1:$O$86,15,0)),0,VLOOKUP($T$529,'TAR FIN'!$A$1:$O$86,15,0))</f>
        <v>1014.17</v>
      </c>
      <c r="X529" s="6">
        <f>IF(ISERROR(VLOOKUP($U$529,'TAR FIN'!$A$1:$O$86,15,0)),0,VLOOKUP($U$529,'TAR FIN'!$A$1:$O$86,15,0))</f>
        <v>389.21</v>
      </c>
      <c r="Y529" s="6"/>
      <c r="Z529" s="6">
        <f ca="1">('TUSD BE'!$AM$18+'TUSD BF'!$AM$18+'TUSD CVA'!$AM$18)*1</f>
        <v>864.59749550040999</v>
      </c>
      <c r="AA529" s="6">
        <f>('TE BE'!$AB$8+'TE BF'!$AB$8+'TE CVA'!$AB$8)*1</f>
        <v>353.55100010229148</v>
      </c>
      <c r="AB529" s="6">
        <f>$K$529*$V$529</f>
        <v>0</v>
      </c>
      <c r="AC529" s="6">
        <f>$M$529*$W$529</f>
        <v>84.176109999999994</v>
      </c>
      <c r="AD529" s="6">
        <f>$O$529*$X$529</f>
        <v>32.304430000000004</v>
      </c>
      <c r="AE529" s="6">
        <f>$K$529*$Y$529</f>
        <v>0</v>
      </c>
      <c r="AF529" s="6">
        <f ca="1">$M$529*$Z$529</f>
        <v>71.761592126534026</v>
      </c>
      <c r="AG529" s="6">
        <f>$O$529*$AA$529</f>
        <v>29.344733008490195</v>
      </c>
    </row>
    <row r="530" spans="1:33" ht="11.25" customHeight="1" x14ac:dyDescent="0.25">
      <c r="A530" s="4" t="s">
        <v>21</v>
      </c>
      <c r="B530" s="4" t="s">
        <v>22</v>
      </c>
      <c r="C530" s="4" t="s">
        <v>32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33</v>
      </c>
      <c r="I530" s="5">
        <v>44409</v>
      </c>
      <c r="J530" s="6">
        <v>0</v>
      </c>
      <c r="K530" s="6">
        <v>0</v>
      </c>
      <c r="L530" s="6">
        <v>6.2E-2</v>
      </c>
      <c r="M530" s="6">
        <v>6.2E-2</v>
      </c>
      <c r="N530" s="6">
        <v>6.2E-2</v>
      </c>
      <c r="O530" s="6">
        <v>6.2E-2</v>
      </c>
      <c r="P530" s="6">
        <v>0</v>
      </c>
      <c r="Q530" s="4" t="s">
        <v>26</v>
      </c>
      <c r="R530" s="4">
        <v>0</v>
      </c>
      <c r="S530" s="6">
        <v>0</v>
      </c>
      <c r="T530" s="6">
        <v>1</v>
      </c>
      <c r="U530" s="6">
        <v>48</v>
      </c>
      <c r="V530" s="6">
        <f>IF(ISERROR(VLOOKUP($S$530,'TAR FIN'!$A$1:$O$86,15,0)),0,VLOOKUP($S$530,'TAR FIN'!$A$1:$O$86,15,0))</f>
        <v>0</v>
      </c>
      <c r="W530" s="6">
        <f>IF(ISERROR(VLOOKUP($T$530,'TAR FIN'!$A$1:$O$86,15,0)),0,VLOOKUP($T$530,'TAR FIN'!$A$1:$O$86,15,0))</f>
        <v>1014.17</v>
      </c>
      <c r="X530" s="6">
        <f>IF(ISERROR(VLOOKUP($U$530,'TAR FIN'!$A$1:$O$86,15,0)),0,VLOOKUP($U$530,'TAR FIN'!$A$1:$O$86,15,0))</f>
        <v>389.21</v>
      </c>
      <c r="Y530" s="6"/>
      <c r="Z530" s="6">
        <f ca="1">('TUSD BE'!$AM$18+'TUSD BF'!$AM$18+'TUSD CVA'!$AM$18)*1</f>
        <v>864.59749550040999</v>
      </c>
      <c r="AA530" s="6">
        <f>('TE BE'!$AB$8+'TE BF'!$AB$8+'TE CVA'!$AB$8)*1</f>
        <v>353.55100010229148</v>
      </c>
      <c r="AB530" s="6">
        <f>$K$530*$V$530</f>
        <v>0</v>
      </c>
      <c r="AC530" s="6">
        <f>$M$530*$W$530</f>
        <v>62.878539999999994</v>
      </c>
      <c r="AD530" s="6">
        <f>$O$530*$X$530</f>
        <v>24.131019999999999</v>
      </c>
      <c r="AE530" s="6">
        <f>$K$530*$Y$530</f>
        <v>0</v>
      </c>
      <c r="AF530" s="6">
        <f ca="1">$M$530*$Z$530</f>
        <v>53.605044721025422</v>
      </c>
      <c r="AG530" s="6">
        <f>$O$530*$AA$530</f>
        <v>21.920162006342071</v>
      </c>
    </row>
    <row r="531" spans="1:33" ht="11.25" customHeight="1" x14ac:dyDescent="0.25">
      <c r="A531" s="4" t="s">
        <v>21</v>
      </c>
      <c r="B531" s="4" t="s">
        <v>22</v>
      </c>
      <c r="C531" s="4" t="s">
        <v>32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33</v>
      </c>
      <c r="I531" s="5">
        <v>44440</v>
      </c>
      <c r="J531" s="6">
        <v>0</v>
      </c>
      <c r="K531" s="6">
        <v>0</v>
      </c>
      <c r="L531" s="6">
        <v>7.3999999999999996E-2</v>
      </c>
      <c r="M531" s="6">
        <v>7.3999999999999996E-2</v>
      </c>
      <c r="N531" s="6">
        <v>7.3999999999999996E-2</v>
      </c>
      <c r="O531" s="6">
        <v>7.3999999999999996E-2</v>
      </c>
      <c r="P531" s="6">
        <v>0</v>
      </c>
      <c r="Q531" s="4" t="s">
        <v>26</v>
      </c>
      <c r="R531" s="4">
        <v>0</v>
      </c>
      <c r="S531" s="6">
        <v>0</v>
      </c>
      <c r="T531" s="6">
        <v>1</v>
      </c>
      <c r="U531" s="6">
        <v>48</v>
      </c>
      <c r="V531" s="6">
        <f>IF(ISERROR(VLOOKUP($S$531,'TAR FIN'!$A$1:$O$86,15,0)),0,VLOOKUP($S$531,'TAR FIN'!$A$1:$O$86,15,0))</f>
        <v>0</v>
      </c>
      <c r="W531" s="6">
        <f>IF(ISERROR(VLOOKUP($T$531,'TAR FIN'!$A$1:$O$86,15,0)),0,VLOOKUP($T$531,'TAR FIN'!$A$1:$O$86,15,0))</f>
        <v>1014.17</v>
      </c>
      <c r="X531" s="6">
        <f>IF(ISERROR(VLOOKUP($U$531,'TAR FIN'!$A$1:$O$86,15,0)),0,VLOOKUP($U$531,'TAR FIN'!$A$1:$O$86,15,0))</f>
        <v>389.21</v>
      </c>
      <c r="Y531" s="6"/>
      <c r="Z531" s="6">
        <f ca="1">('TUSD BE'!$AM$18+'TUSD BF'!$AM$18+'TUSD CVA'!$AM$18)*1</f>
        <v>864.59749550040999</v>
      </c>
      <c r="AA531" s="6">
        <f>('TE BE'!$AB$8+'TE BF'!$AB$8+'TE CVA'!$AB$8)*1</f>
        <v>353.55100010229148</v>
      </c>
      <c r="AB531" s="6">
        <f>$K$531*$V$531</f>
        <v>0</v>
      </c>
      <c r="AC531" s="6">
        <f>$M$531*$W$531</f>
        <v>75.048579999999987</v>
      </c>
      <c r="AD531" s="6">
        <f>$O$531*$X$531</f>
        <v>28.801539999999996</v>
      </c>
      <c r="AE531" s="6">
        <f>$K$531*$Y$531</f>
        <v>0</v>
      </c>
      <c r="AF531" s="6">
        <f ca="1">$M$531*$Z$531</f>
        <v>63.980214667030339</v>
      </c>
      <c r="AG531" s="6">
        <f>$O$531*$AA$531</f>
        <v>26.162774007569567</v>
      </c>
    </row>
    <row r="532" spans="1:33" ht="11.25" customHeight="1" x14ac:dyDescent="0.25">
      <c r="A532" s="4" t="s">
        <v>21</v>
      </c>
      <c r="B532" s="4" t="s">
        <v>22</v>
      </c>
      <c r="C532" s="4" t="s">
        <v>32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33</v>
      </c>
      <c r="I532" s="5">
        <v>44470</v>
      </c>
      <c r="J532" s="6">
        <v>0</v>
      </c>
      <c r="K532" s="6">
        <v>0</v>
      </c>
      <c r="L532" s="6">
        <v>8.1000000000000003E-2</v>
      </c>
      <c r="M532" s="6">
        <v>8.1000000000000003E-2</v>
      </c>
      <c r="N532" s="6">
        <v>8.1000000000000003E-2</v>
      </c>
      <c r="O532" s="6">
        <v>8.1000000000000003E-2</v>
      </c>
      <c r="P532" s="6">
        <v>0</v>
      </c>
      <c r="Q532" s="4" t="s">
        <v>26</v>
      </c>
      <c r="R532" s="4">
        <v>0</v>
      </c>
      <c r="S532" s="6">
        <v>0</v>
      </c>
      <c r="T532" s="6">
        <v>1</v>
      </c>
      <c r="U532" s="6">
        <v>48</v>
      </c>
      <c r="V532" s="6">
        <f>IF(ISERROR(VLOOKUP($S$532,'TAR FIN'!$A$1:$O$86,15,0)),0,VLOOKUP($S$532,'TAR FIN'!$A$1:$O$86,15,0))</f>
        <v>0</v>
      </c>
      <c r="W532" s="6">
        <f>IF(ISERROR(VLOOKUP($T$532,'TAR FIN'!$A$1:$O$86,15,0)),0,VLOOKUP($T$532,'TAR FIN'!$A$1:$O$86,15,0))</f>
        <v>1014.17</v>
      </c>
      <c r="X532" s="6">
        <f>IF(ISERROR(VLOOKUP($U$532,'TAR FIN'!$A$1:$O$86,15,0)),0,VLOOKUP($U$532,'TAR FIN'!$A$1:$O$86,15,0))</f>
        <v>389.21</v>
      </c>
      <c r="Y532" s="6"/>
      <c r="Z532" s="6">
        <f ca="1">('TUSD BE'!$AM$18+'TUSD BF'!$AM$18+'TUSD CVA'!$AM$18)*1</f>
        <v>864.59749550040999</v>
      </c>
      <c r="AA532" s="6">
        <f>('TE BE'!$AB$8+'TE BF'!$AB$8+'TE CVA'!$AB$8)*1</f>
        <v>353.55100010229148</v>
      </c>
      <c r="AB532" s="6">
        <f>$K$532*$V$532</f>
        <v>0</v>
      </c>
      <c r="AC532" s="6">
        <f>$M$532*$W$532</f>
        <v>82.147769999999994</v>
      </c>
      <c r="AD532" s="6">
        <f>$O$532*$X$532</f>
        <v>31.526009999999999</v>
      </c>
      <c r="AE532" s="6">
        <f>$K$532*$Y$532</f>
        <v>0</v>
      </c>
      <c r="AF532" s="6">
        <f ca="1">$M$532*$Z$532</f>
        <v>70.032397135533216</v>
      </c>
      <c r="AG532" s="6">
        <f>$O$532*$AA$532</f>
        <v>28.637631008285609</v>
      </c>
    </row>
    <row r="533" spans="1:33" ht="11.25" customHeight="1" x14ac:dyDescent="0.25">
      <c r="A533" s="4" t="s">
        <v>21</v>
      </c>
      <c r="B533" s="4" t="s">
        <v>22</v>
      </c>
      <c r="C533" s="4" t="s">
        <v>32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33</v>
      </c>
      <c r="I533" s="5">
        <v>44501</v>
      </c>
      <c r="J533" s="6">
        <v>0</v>
      </c>
      <c r="K533" s="6">
        <v>0</v>
      </c>
      <c r="L533" s="6">
        <v>9.5000000000000001E-2</v>
      </c>
      <c r="M533" s="6">
        <v>9.5000000000000001E-2</v>
      </c>
      <c r="N533" s="6">
        <v>9.5000000000000001E-2</v>
      </c>
      <c r="O533" s="6">
        <v>9.5000000000000001E-2</v>
      </c>
      <c r="P533" s="6">
        <v>0</v>
      </c>
      <c r="Q533" s="4" t="s">
        <v>26</v>
      </c>
      <c r="R533" s="4">
        <v>0</v>
      </c>
      <c r="S533" s="6">
        <v>0</v>
      </c>
      <c r="T533" s="6">
        <v>1</v>
      </c>
      <c r="U533" s="6">
        <v>48</v>
      </c>
      <c r="V533" s="6">
        <f>IF(ISERROR(VLOOKUP($S$533,'TAR FIN'!$A$1:$O$86,15,0)),0,VLOOKUP($S$533,'TAR FIN'!$A$1:$O$86,15,0))</f>
        <v>0</v>
      </c>
      <c r="W533" s="6">
        <f>IF(ISERROR(VLOOKUP($T$533,'TAR FIN'!$A$1:$O$86,15,0)),0,VLOOKUP($T$533,'TAR FIN'!$A$1:$O$86,15,0))</f>
        <v>1014.17</v>
      </c>
      <c r="X533" s="6">
        <f>IF(ISERROR(VLOOKUP($U$533,'TAR FIN'!$A$1:$O$86,15,0)),0,VLOOKUP($U$533,'TAR FIN'!$A$1:$O$86,15,0))</f>
        <v>389.21</v>
      </c>
      <c r="Y533" s="6"/>
      <c r="Z533" s="6">
        <f ca="1">('TUSD BE'!$AM$18+'TUSD BF'!$AM$18+'TUSD CVA'!$AM$18)*1</f>
        <v>864.59749550040999</v>
      </c>
      <c r="AA533" s="6">
        <f>('TE BE'!$AB$8+'TE BF'!$AB$8+'TE CVA'!$AB$8)*1</f>
        <v>353.55100010229148</v>
      </c>
      <c r="AB533" s="6">
        <f>$K$533*$V$533</f>
        <v>0</v>
      </c>
      <c r="AC533" s="6">
        <f>$M$533*$W$533</f>
        <v>96.346149999999994</v>
      </c>
      <c r="AD533" s="6">
        <f>$O$533*$X$533</f>
        <v>36.97495</v>
      </c>
      <c r="AE533" s="6">
        <f>$K$533*$Y$533</f>
        <v>0</v>
      </c>
      <c r="AF533" s="6">
        <f ca="1">$M$533*$Z$533</f>
        <v>82.136762072538957</v>
      </c>
      <c r="AG533" s="6">
        <f>$O$533*$AA$533</f>
        <v>33.587345009717694</v>
      </c>
    </row>
    <row r="534" spans="1:33" ht="11.25" customHeight="1" x14ac:dyDescent="0.25">
      <c r="A534" s="4" t="s">
        <v>21</v>
      </c>
      <c r="B534" s="4" t="s">
        <v>22</v>
      </c>
      <c r="C534" s="4" t="s">
        <v>32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33</v>
      </c>
      <c r="I534" s="5">
        <v>44531</v>
      </c>
      <c r="J534" s="6">
        <v>0</v>
      </c>
      <c r="K534" s="6">
        <v>0</v>
      </c>
      <c r="L534" s="6">
        <v>0.10299999999999999</v>
      </c>
      <c r="M534" s="6">
        <v>0.10299999999999999</v>
      </c>
      <c r="N534" s="6">
        <v>0.10299999999999999</v>
      </c>
      <c r="O534" s="6">
        <v>0.10299999999999999</v>
      </c>
      <c r="P534" s="6">
        <v>0</v>
      </c>
      <c r="Q534" s="4" t="s">
        <v>26</v>
      </c>
      <c r="R534" s="4">
        <v>0</v>
      </c>
      <c r="S534" s="6">
        <v>0</v>
      </c>
      <c r="T534" s="6">
        <v>1</v>
      </c>
      <c r="U534" s="6">
        <v>48</v>
      </c>
      <c r="V534" s="6">
        <f>IF(ISERROR(VLOOKUP($S$534,'TAR FIN'!$A$1:$O$86,15,0)),0,VLOOKUP($S$534,'TAR FIN'!$A$1:$O$86,15,0))</f>
        <v>0</v>
      </c>
      <c r="W534" s="6">
        <f>IF(ISERROR(VLOOKUP($T$534,'TAR FIN'!$A$1:$O$86,15,0)),0,VLOOKUP($T$534,'TAR FIN'!$A$1:$O$86,15,0))</f>
        <v>1014.17</v>
      </c>
      <c r="X534" s="6">
        <f>IF(ISERROR(VLOOKUP($U$534,'TAR FIN'!$A$1:$O$86,15,0)),0,VLOOKUP($U$534,'TAR FIN'!$A$1:$O$86,15,0))</f>
        <v>389.21</v>
      </c>
      <c r="Y534" s="6"/>
      <c r="Z534" s="6">
        <f ca="1">('TUSD BE'!$AM$18+'TUSD BF'!$AM$18+'TUSD CVA'!$AM$18)*1</f>
        <v>864.59749550040999</v>
      </c>
      <c r="AA534" s="6">
        <f>('TE BE'!$AB$8+'TE BF'!$AB$8+'TE CVA'!$AB$8)*1</f>
        <v>353.55100010229148</v>
      </c>
      <c r="AB534" s="6">
        <f>$K$534*$V$534</f>
        <v>0</v>
      </c>
      <c r="AC534" s="6">
        <f>$M$534*$W$534</f>
        <v>104.45950999999999</v>
      </c>
      <c r="AD534" s="6">
        <f>$O$534*$X$534</f>
        <v>40.088629999999995</v>
      </c>
      <c r="AE534" s="6">
        <f>$K$534*$Y$534</f>
        <v>0</v>
      </c>
      <c r="AF534" s="6">
        <f ca="1">$M$534*$Z$534</f>
        <v>89.053542036542225</v>
      </c>
      <c r="AG534" s="6">
        <f>$O$534*$AA$534</f>
        <v>36.415753010536022</v>
      </c>
    </row>
    <row r="535" spans="1:33" ht="11.25" customHeight="1" x14ac:dyDescent="0.25">
      <c r="A535" s="4" t="s">
        <v>21</v>
      </c>
      <c r="B535" s="4" t="s">
        <v>22</v>
      </c>
      <c r="C535" s="4" t="s">
        <v>32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33</v>
      </c>
      <c r="I535" s="5">
        <v>44562</v>
      </c>
      <c r="J535" s="6">
        <v>0</v>
      </c>
      <c r="K535" s="6">
        <v>0</v>
      </c>
      <c r="L535" s="6">
        <v>0.124</v>
      </c>
      <c r="M535" s="6">
        <v>0.124</v>
      </c>
      <c r="N535" s="6">
        <v>0.124</v>
      </c>
      <c r="O535" s="6">
        <v>0.124</v>
      </c>
      <c r="P535" s="6">
        <v>0</v>
      </c>
      <c r="Q535" s="4" t="s">
        <v>26</v>
      </c>
      <c r="R535" s="4">
        <v>0</v>
      </c>
      <c r="S535" s="6">
        <v>0</v>
      </c>
      <c r="T535" s="6">
        <v>1</v>
      </c>
      <c r="U535" s="6">
        <v>48</v>
      </c>
      <c r="V535" s="6">
        <f>IF(ISERROR(VLOOKUP($S$535,'TAR FIN'!$A$1:$O$86,15,0)),0,VLOOKUP($S$535,'TAR FIN'!$A$1:$O$86,15,0))</f>
        <v>0</v>
      </c>
      <c r="W535" s="6">
        <f>IF(ISERROR(VLOOKUP($T$535,'TAR FIN'!$A$1:$O$86,15,0)),0,VLOOKUP($T$535,'TAR FIN'!$A$1:$O$86,15,0))</f>
        <v>1014.17</v>
      </c>
      <c r="X535" s="6">
        <f>IF(ISERROR(VLOOKUP($U$535,'TAR FIN'!$A$1:$O$86,15,0)),0,VLOOKUP($U$535,'TAR FIN'!$A$1:$O$86,15,0))</f>
        <v>389.21</v>
      </c>
      <c r="Y535" s="6"/>
      <c r="Z535" s="6">
        <f ca="1">('TUSD BE'!$AM$18+'TUSD BF'!$AM$18+'TUSD CVA'!$AM$18)*1</f>
        <v>864.59749550040999</v>
      </c>
      <c r="AA535" s="6">
        <f>('TE BE'!$AB$8+'TE BF'!$AB$8+'TE CVA'!$AB$8)*1</f>
        <v>353.55100010229148</v>
      </c>
      <c r="AB535" s="6">
        <f>$K$535*$V$535</f>
        <v>0</v>
      </c>
      <c r="AC535" s="6">
        <f>$M$535*$W$535</f>
        <v>125.75707999999999</v>
      </c>
      <c r="AD535" s="6">
        <f>$O$535*$X$535</f>
        <v>48.262039999999999</v>
      </c>
      <c r="AE535" s="6">
        <f>$K$535*$Y$535</f>
        <v>0</v>
      </c>
      <c r="AF535" s="6">
        <f ca="1">$M$535*$Z$535</f>
        <v>107.21008944205084</v>
      </c>
      <c r="AG535" s="6">
        <f>$O$535*$AA$535</f>
        <v>43.840324012684142</v>
      </c>
    </row>
    <row r="536" spans="1:33" ht="11.25" customHeight="1" x14ac:dyDescent="0.25">
      <c r="A536" s="4" t="s">
        <v>21</v>
      </c>
      <c r="B536" s="4" t="s">
        <v>22</v>
      </c>
      <c r="C536" s="4" t="s">
        <v>32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33</v>
      </c>
      <c r="I536" s="5">
        <v>44593</v>
      </c>
      <c r="J536" s="6">
        <v>0</v>
      </c>
      <c r="K536" s="6">
        <v>0</v>
      </c>
      <c r="L536" s="6">
        <v>5.8000000000000003E-2</v>
      </c>
      <c r="M536" s="6">
        <v>5.8000000000000003E-2</v>
      </c>
      <c r="N536" s="6">
        <v>5.8000000000000003E-2</v>
      </c>
      <c r="O536" s="6">
        <v>5.8000000000000003E-2</v>
      </c>
      <c r="P536" s="6">
        <v>0</v>
      </c>
      <c r="Q536" s="4" t="s">
        <v>26</v>
      </c>
      <c r="R536" s="4">
        <v>0</v>
      </c>
      <c r="S536" s="6">
        <v>0</v>
      </c>
      <c r="T536" s="6">
        <v>1</v>
      </c>
      <c r="U536" s="6">
        <v>48</v>
      </c>
      <c r="V536" s="6">
        <f>IF(ISERROR(VLOOKUP($S$536,'TAR FIN'!$A$1:$O$86,15,0)),0,VLOOKUP($S$536,'TAR FIN'!$A$1:$O$86,15,0))</f>
        <v>0</v>
      </c>
      <c r="W536" s="6">
        <f>IF(ISERROR(VLOOKUP($T$536,'TAR FIN'!$A$1:$O$86,15,0)),0,VLOOKUP($T$536,'TAR FIN'!$A$1:$O$86,15,0))</f>
        <v>1014.17</v>
      </c>
      <c r="X536" s="6">
        <f>IF(ISERROR(VLOOKUP($U$536,'TAR FIN'!$A$1:$O$86,15,0)),0,VLOOKUP($U$536,'TAR FIN'!$A$1:$O$86,15,0))</f>
        <v>389.21</v>
      </c>
      <c r="Y536" s="6"/>
      <c r="Z536" s="6">
        <f ca="1">('TUSD BE'!$AM$18+'TUSD BF'!$AM$18+'TUSD CVA'!$AM$18)*1</f>
        <v>864.59749550040999</v>
      </c>
      <c r="AA536" s="6">
        <f>('TE BE'!$AB$8+'TE BF'!$AB$8+'TE CVA'!$AB$8)*1</f>
        <v>353.55100010229148</v>
      </c>
      <c r="AB536" s="6">
        <f>$K$536*$V$536</f>
        <v>0</v>
      </c>
      <c r="AC536" s="6">
        <f>$M$536*$W$536</f>
        <v>58.821860000000001</v>
      </c>
      <c r="AD536" s="6">
        <f>$O$536*$X$536</f>
        <v>22.574179999999998</v>
      </c>
      <c r="AE536" s="6">
        <f>$K$536*$Y$536</f>
        <v>0</v>
      </c>
      <c r="AF536" s="6">
        <f ca="1">$M$536*$Z$536</f>
        <v>50.146654739023781</v>
      </c>
      <c r="AG536" s="6">
        <f>$O$536*$AA$536</f>
        <v>20.505958005932907</v>
      </c>
    </row>
    <row r="537" spans="1:33" ht="11.25" customHeight="1" x14ac:dyDescent="0.25">
      <c r="A537" s="4" t="s">
        <v>21</v>
      </c>
      <c r="B537" s="4" t="s">
        <v>22</v>
      </c>
      <c r="C537" s="4" t="s">
        <v>32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33</v>
      </c>
      <c r="I537" s="5">
        <v>44621</v>
      </c>
      <c r="J537" s="6">
        <v>0</v>
      </c>
      <c r="K537" s="6">
        <v>0</v>
      </c>
      <c r="L537" s="6">
        <v>0.20499999999999999</v>
      </c>
      <c r="M537" s="6">
        <v>0.20499999999999999</v>
      </c>
      <c r="N537" s="6">
        <v>0.20499999999999999</v>
      </c>
      <c r="O537" s="6">
        <v>0.20499999999999999</v>
      </c>
      <c r="P537" s="6">
        <v>0</v>
      </c>
      <c r="Q537" s="4" t="s">
        <v>26</v>
      </c>
      <c r="R537" s="4">
        <v>0</v>
      </c>
      <c r="S537" s="6">
        <v>0</v>
      </c>
      <c r="T537" s="6">
        <v>1</v>
      </c>
      <c r="U537" s="6">
        <v>48</v>
      </c>
      <c r="V537" s="6">
        <f>IF(ISERROR(VLOOKUP($S$537,'TAR FIN'!$A$1:$O$86,15,0)),0,VLOOKUP($S$537,'TAR FIN'!$A$1:$O$86,15,0))</f>
        <v>0</v>
      </c>
      <c r="W537" s="6">
        <f>IF(ISERROR(VLOOKUP($T$537,'TAR FIN'!$A$1:$O$86,15,0)),0,VLOOKUP($T$537,'TAR FIN'!$A$1:$O$86,15,0))</f>
        <v>1014.17</v>
      </c>
      <c r="X537" s="6">
        <f>IF(ISERROR(VLOOKUP($U$537,'TAR FIN'!$A$1:$O$86,15,0)),0,VLOOKUP($U$537,'TAR FIN'!$A$1:$O$86,15,0))</f>
        <v>389.21</v>
      </c>
      <c r="Y537" s="6"/>
      <c r="Z537" s="6">
        <f ca="1">('TUSD BE'!$AM$18+'TUSD BF'!$AM$18+'TUSD CVA'!$AM$18)*1</f>
        <v>864.59749550040999</v>
      </c>
      <c r="AA537" s="6">
        <f>('TE BE'!$AB$8+'TE BF'!$AB$8+'TE CVA'!$AB$8)*1</f>
        <v>353.55100010229148</v>
      </c>
      <c r="AB537" s="6">
        <f>$K$537*$V$537</f>
        <v>0</v>
      </c>
      <c r="AC537" s="6">
        <f>$M$537*$W$537</f>
        <v>207.90484999999998</v>
      </c>
      <c r="AD537" s="6">
        <f>$O$537*$X$537</f>
        <v>79.788049999999984</v>
      </c>
      <c r="AE537" s="6">
        <f>$K$537*$Y$537</f>
        <v>0</v>
      </c>
      <c r="AF537" s="6">
        <f ca="1">$M$537*$Z$537</f>
        <v>177.24248657758403</v>
      </c>
      <c r="AG537" s="6">
        <f>$O$537*$AA$537</f>
        <v>72.477955020969745</v>
      </c>
    </row>
    <row r="538" spans="1:33" ht="11.25" customHeight="1" x14ac:dyDescent="0.25">
      <c r="A538" s="4" t="s">
        <v>21</v>
      </c>
      <c r="B538" s="4" t="s">
        <v>22</v>
      </c>
      <c r="C538" s="4" t="s">
        <v>32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33</v>
      </c>
      <c r="I538" s="5">
        <v>44652</v>
      </c>
      <c r="J538" s="6">
        <v>0</v>
      </c>
      <c r="K538" s="6">
        <v>0</v>
      </c>
      <c r="L538" s="6">
        <v>7.1999999999999995E-2</v>
      </c>
      <c r="M538" s="6">
        <v>7.1999999999999995E-2</v>
      </c>
      <c r="N538" s="6">
        <v>7.1999999999999995E-2</v>
      </c>
      <c r="O538" s="6">
        <v>7.1999999999999995E-2</v>
      </c>
      <c r="P538" s="6">
        <v>0</v>
      </c>
      <c r="Q538" s="4" t="s">
        <v>26</v>
      </c>
      <c r="R538" s="4">
        <v>0</v>
      </c>
      <c r="S538" s="6">
        <v>0</v>
      </c>
      <c r="T538" s="6">
        <v>1</v>
      </c>
      <c r="U538" s="6">
        <v>48</v>
      </c>
      <c r="V538" s="6">
        <f>IF(ISERROR(VLOOKUP($S$538,'TAR FIN'!$A$1:$O$86,15,0)),0,VLOOKUP($S$538,'TAR FIN'!$A$1:$O$86,15,0))</f>
        <v>0</v>
      </c>
      <c r="W538" s="6">
        <f>IF(ISERROR(VLOOKUP($T$538,'TAR FIN'!$A$1:$O$86,15,0)),0,VLOOKUP($T$538,'TAR FIN'!$A$1:$O$86,15,0))</f>
        <v>1014.17</v>
      </c>
      <c r="X538" s="6">
        <f>IF(ISERROR(VLOOKUP($U$538,'TAR FIN'!$A$1:$O$86,15,0)),0,VLOOKUP($U$538,'TAR FIN'!$A$1:$O$86,15,0))</f>
        <v>389.21</v>
      </c>
      <c r="Y538" s="6"/>
      <c r="Z538" s="6">
        <f ca="1">('TUSD BE'!$AM$18+'TUSD BF'!$AM$18+'TUSD CVA'!$AM$18)*1</f>
        <v>864.59749550040999</v>
      </c>
      <c r="AA538" s="6">
        <f>('TE BE'!$AB$8+'TE BF'!$AB$8+'TE CVA'!$AB$8)*1</f>
        <v>353.55100010229148</v>
      </c>
      <c r="AB538" s="6">
        <f>$K$538*$V$538</f>
        <v>0</v>
      </c>
      <c r="AC538" s="6">
        <f>$M$538*$W$538</f>
        <v>73.020239999999987</v>
      </c>
      <c r="AD538" s="6">
        <f>$O$538*$X$538</f>
        <v>28.023119999999995</v>
      </c>
      <c r="AE538" s="6">
        <f>$K$538*$Y$538</f>
        <v>0</v>
      </c>
      <c r="AF538" s="6">
        <f ca="1">$M$538*$Z$538</f>
        <v>62.251019676029514</v>
      </c>
      <c r="AG538" s="6">
        <f>$O$538*$AA$538</f>
        <v>25.455672007364985</v>
      </c>
    </row>
    <row r="539" spans="1:33" ht="11.25" customHeight="1" x14ac:dyDescent="0.25">
      <c r="A539" s="4" t="s">
        <v>21</v>
      </c>
      <c r="B539" s="4" t="s">
        <v>22</v>
      </c>
      <c r="C539" s="4" t="s">
        <v>32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33</v>
      </c>
      <c r="I539" s="5">
        <v>44682</v>
      </c>
      <c r="J539" s="6">
        <v>0</v>
      </c>
      <c r="K539" s="6">
        <v>0</v>
      </c>
      <c r="L539" s="6">
        <v>7.2999999999999995E-2</v>
      </c>
      <c r="M539" s="6">
        <v>7.2999999999999995E-2</v>
      </c>
      <c r="N539" s="6">
        <v>7.2999999999999995E-2</v>
      </c>
      <c r="O539" s="6">
        <v>7.2999999999999995E-2</v>
      </c>
      <c r="P539" s="6">
        <v>0</v>
      </c>
      <c r="Q539" s="4" t="s">
        <v>26</v>
      </c>
      <c r="R539" s="4">
        <v>0</v>
      </c>
      <c r="S539" s="6">
        <v>0</v>
      </c>
      <c r="T539" s="6">
        <v>1</v>
      </c>
      <c r="U539" s="6">
        <v>48</v>
      </c>
      <c r="V539" s="6">
        <f>IF(ISERROR(VLOOKUP($S$539,'TAR FIN'!$A$1:$O$86,15,0)),0,VLOOKUP($S$539,'TAR FIN'!$A$1:$O$86,15,0))</f>
        <v>0</v>
      </c>
      <c r="W539" s="6">
        <f>IF(ISERROR(VLOOKUP($T$539,'TAR FIN'!$A$1:$O$86,15,0)),0,VLOOKUP($T$539,'TAR FIN'!$A$1:$O$86,15,0))</f>
        <v>1014.17</v>
      </c>
      <c r="X539" s="6">
        <f>IF(ISERROR(VLOOKUP($U$539,'TAR FIN'!$A$1:$O$86,15,0)),0,VLOOKUP($U$539,'TAR FIN'!$A$1:$O$86,15,0))</f>
        <v>389.21</v>
      </c>
      <c r="Y539" s="6"/>
      <c r="Z539" s="6">
        <f ca="1">('TUSD BE'!$AM$18+'TUSD BF'!$AM$18+'TUSD CVA'!$AM$18)*1</f>
        <v>864.59749550040999</v>
      </c>
      <c r="AA539" s="6">
        <f>('TE BE'!$AB$8+'TE BF'!$AB$8+'TE CVA'!$AB$8)*1</f>
        <v>353.55100010229148</v>
      </c>
      <c r="AB539" s="6">
        <f>$K$539*$V$539</f>
        <v>0</v>
      </c>
      <c r="AC539" s="6">
        <f>$M$539*$W$539</f>
        <v>74.034409999999994</v>
      </c>
      <c r="AD539" s="6">
        <f>$O$539*$X$539</f>
        <v>28.412329999999997</v>
      </c>
      <c r="AE539" s="6">
        <f>$K$539*$Y$539</f>
        <v>0</v>
      </c>
      <c r="AF539" s="6">
        <f ca="1">$M$539*$Z$539</f>
        <v>63.115617171529927</v>
      </c>
      <c r="AG539" s="6">
        <f>$O$539*$AA$539</f>
        <v>25.809223007467278</v>
      </c>
    </row>
    <row r="540" spans="1:33" ht="11.25" customHeight="1" x14ac:dyDescent="0.25">
      <c r="A540" s="4" t="s">
        <v>56</v>
      </c>
      <c r="B540" s="4" t="s">
        <v>22</v>
      </c>
      <c r="C540" s="4" t="s">
        <v>32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33</v>
      </c>
      <c r="I540" s="5">
        <v>44713</v>
      </c>
      <c r="J540" s="6">
        <v>0</v>
      </c>
      <c r="K540" s="6">
        <v>0</v>
      </c>
      <c r="L540" s="6">
        <v>7.2999999999999995E-2</v>
      </c>
      <c r="M540" s="6">
        <v>7.2999999999999995E-2</v>
      </c>
      <c r="N540" s="6">
        <v>7.2999999999999995E-2</v>
      </c>
      <c r="O540" s="6">
        <v>7.2999999999999995E-2</v>
      </c>
      <c r="P540" s="6">
        <v>0</v>
      </c>
      <c r="Q540" s="4" t="s">
        <v>26</v>
      </c>
      <c r="R540" s="4">
        <v>0</v>
      </c>
      <c r="S540" s="6">
        <v>0</v>
      </c>
      <c r="T540" s="6">
        <v>1</v>
      </c>
      <c r="U540" s="6">
        <v>48</v>
      </c>
      <c r="V540" s="6">
        <f>IF(ISERROR(VLOOKUP($S$540,'TAR FIN'!$A$1:$O$86,15,0)),0,VLOOKUP($S$540,'TAR FIN'!$A$1:$O$86,15,0))</f>
        <v>0</v>
      </c>
      <c r="W540" s="6">
        <f>IF(ISERROR(VLOOKUP($T$540,'TAR FIN'!$A$1:$O$86,15,0)),0,VLOOKUP($T$540,'TAR FIN'!$A$1:$O$86,15,0))</f>
        <v>1014.17</v>
      </c>
      <c r="X540" s="6">
        <f>IF(ISERROR(VLOOKUP($U$540,'TAR FIN'!$A$1:$O$86,15,0)),0,VLOOKUP($U$540,'TAR FIN'!$A$1:$O$86,15,0))</f>
        <v>389.21</v>
      </c>
      <c r="Y540" s="6"/>
      <c r="Z540" s="6">
        <f ca="1">('TUSD BE'!$AM$18+'TUSD BF'!$AM$18+'TUSD CVA'!$AM$18)*1</f>
        <v>864.59749550040999</v>
      </c>
      <c r="AA540" s="6">
        <f>('TE BE'!$AB$8+'TE BF'!$AB$8+'TE CVA'!$AB$8)*1</f>
        <v>353.55100010229148</v>
      </c>
      <c r="AB540" s="6">
        <f>$K$540*$V$540</f>
        <v>0</v>
      </c>
      <c r="AC540" s="6">
        <f>$M$540*$W$540</f>
        <v>74.034409999999994</v>
      </c>
      <c r="AD540" s="6">
        <f>$O$540*$X$540</f>
        <v>28.412329999999997</v>
      </c>
      <c r="AE540" s="6">
        <f>$K$540*$Y$540</f>
        <v>0</v>
      </c>
      <c r="AF540" s="6">
        <f ca="1">$M$540*$Z$540</f>
        <v>63.115617171529927</v>
      </c>
      <c r="AG540" s="6">
        <f>$O$540*$AA$540</f>
        <v>25.809223007467278</v>
      </c>
    </row>
    <row r="541" spans="1:33" ht="11.25" customHeight="1" x14ac:dyDescent="0.25">
      <c r="A541" s="4" t="s">
        <v>21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44378</v>
      </c>
      <c r="J541" s="6">
        <v>0</v>
      </c>
      <c r="K541" s="6">
        <v>0</v>
      </c>
      <c r="L541" s="6">
        <v>5560.54</v>
      </c>
      <c r="M541" s="6">
        <v>5560.54</v>
      </c>
      <c r="N541" s="6">
        <v>5560.54</v>
      </c>
      <c r="O541" s="6">
        <v>5560.54</v>
      </c>
      <c r="P541" s="6">
        <v>28902</v>
      </c>
      <c r="Q541" s="4" t="s">
        <v>26</v>
      </c>
      <c r="R541" s="4">
        <v>0</v>
      </c>
      <c r="S541" s="6">
        <v>0</v>
      </c>
      <c r="T541" s="6">
        <v>27</v>
      </c>
      <c r="U541" s="6">
        <v>52</v>
      </c>
      <c r="V541" s="6">
        <f>IF(ISERROR(VLOOKUP($S$541,'TAR FIN'!$A$1:$O$86,15,0)),0,VLOOKUP($S$541,'TAR FIN'!$A$1:$O$86,15,0))</f>
        <v>0</v>
      </c>
      <c r="W541" s="6">
        <f>IF(ISERROR(VLOOKUP($T$541,'TAR FIN'!$A$1:$O$86,15,0)),0,VLOOKUP($T$541,'TAR FIN'!$A$1:$O$86,15,0))</f>
        <v>324.5</v>
      </c>
      <c r="X541" s="6">
        <f>IF(ISERROR(VLOOKUP($U$541,'TAR FIN'!$A$1:$O$86,15,0)),0,VLOOKUP($U$541,'TAR FIN'!$A$1:$O$86,15,0))</f>
        <v>258.20999999999998</v>
      </c>
      <c r="Y541" s="6"/>
      <c r="Z541" s="6">
        <f ca="1">('TUSD BE'!$AM$21+'TUSD BF'!$AM$21+'TUSD CVA'!$AM$21)*1</f>
        <v>330.1561966420345</v>
      </c>
      <c r="AA541" s="6">
        <f>('TE BE'!$AB$11+'TE BF'!$AB$11+'TE CVA'!$AB$11)*1</f>
        <v>230.58259134858577</v>
      </c>
      <c r="AB541" s="6">
        <f>$K$541*$V$541</f>
        <v>0</v>
      </c>
      <c r="AC541" s="6">
        <f>$M$541*$W$541</f>
        <v>1804395.23</v>
      </c>
      <c r="AD541" s="6">
        <f>$O$541*$X$541</f>
        <v>1435787.0333999998</v>
      </c>
      <c r="AE541" s="6">
        <f>$K$541*$Y$541</f>
        <v>0</v>
      </c>
      <c r="AF541" s="6">
        <f ca="1">$M$541*$Z$541</f>
        <v>1835846.7376758985</v>
      </c>
      <c r="AG541" s="6">
        <f>$O$541*$AA$541</f>
        <v>1282163.7224974651</v>
      </c>
    </row>
    <row r="542" spans="1:33" ht="11.25" customHeight="1" x14ac:dyDescent="0.25">
      <c r="A542" s="4" t="s">
        <v>27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44378</v>
      </c>
      <c r="J542" s="6">
        <v>0</v>
      </c>
      <c r="K542" s="6">
        <v>0</v>
      </c>
      <c r="L542" s="6">
        <v>-4.4160000000000004</v>
      </c>
      <c r="M542" s="6">
        <v>-4.4160000000000004</v>
      </c>
      <c r="N542" s="6">
        <v>-4.4160000000000004</v>
      </c>
      <c r="O542" s="6">
        <v>-4.4160000000000004</v>
      </c>
      <c r="P542" s="6">
        <v>0</v>
      </c>
      <c r="Q542" s="4" t="s">
        <v>26</v>
      </c>
      <c r="R542" s="4">
        <v>0</v>
      </c>
      <c r="S542" s="6">
        <v>0</v>
      </c>
      <c r="T542" s="6">
        <v>27</v>
      </c>
      <c r="U542" s="6">
        <v>52</v>
      </c>
      <c r="V542" s="6">
        <f>IF(ISERROR(VLOOKUP($S$542,'TAR FIN'!$A$1:$O$86,15,0)),0,VLOOKUP($S$542,'TAR FIN'!$A$1:$O$86,15,0))</f>
        <v>0</v>
      </c>
      <c r="W542" s="6">
        <f>IF(ISERROR(VLOOKUP($T$542,'TAR FIN'!$A$1:$O$86,15,0)),0,VLOOKUP($T$542,'TAR FIN'!$A$1:$O$86,15,0))</f>
        <v>324.5</v>
      </c>
      <c r="X542" s="6">
        <f>IF(ISERROR(VLOOKUP($U$542,'TAR FIN'!$A$1:$O$86,15,0)),0,VLOOKUP($U$542,'TAR FIN'!$A$1:$O$86,15,0))</f>
        <v>258.20999999999998</v>
      </c>
      <c r="Y542" s="6"/>
      <c r="Z542" s="6">
        <f ca="1">('TUSD BE'!$AM$21+'TUSD BF'!$AM$21+'TUSD CVA'!$AM$21)*1</f>
        <v>330.1561966420345</v>
      </c>
      <c r="AA542" s="6">
        <f>('TE BE'!$AB$11+'TE BF'!$AB$11+'TE CVA'!$AB$11)*1</f>
        <v>230.58259134858577</v>
      </c>
      <c r="AB542" s="6">
        <f>$K$542*$V$542</f>
        <v>0</v>
      </c>
      <c r="AC542" s="6">
        <f>$M$542*$W$542</f>
        <v>-1432.9920000000002</v>
      </c>
      <c r="AD542" s="6">
        <f>$O$542*$X$542</f>
        <v>-1140.2553600000001</v>
      </c>
      <c r="AE542" s="6">
        <f>$K$542*$Y$542</f>
        <v>0</v>
      </c>
      <c r="AF542" s="6">
        <f ca="1">$M$542*$Z$542</f>
        <v>-1457.9697643712245</v>
      </c>
      <c r="AG542" s="6">
        <f>$O$542*$AA$542</f>
        <v>-1018.2527233953548</v>
      </c>
    </row>
    <row r="543" spans="1:33" ht="11.25" customHeight="1" x14ac:dyDescent="0.25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44409</v>
      </c>
      <c r="J543" s="6">
        <v>0</v>
      </c>
      <c r="K543" s="6">
        <v>0</v>
      </c>
      <c r="L543" s="6">
        <v>5280.817</v>
      </c>
      <c r="M543" s="6">
        <v>5280.817</v>
      </c>
      <c r="N543" s="6">
        <v>5280.817</v>
      </c>
      <c r="O543" s="6">
        <v>5280.817</v>
      </c>
      <c r="P543" s="6">
        <v>28896</v>
      </c>
      <c r="Q543" s="4" t="s">
        <v>26</v>
      </c>
      <c r="R543" s="4">
        <v>0</v>
      </c>
      <c r="S543" s="6">
        <v>0</v>
      </c>
      <c r="T543" s="6">
        <v>27</v>
      </c>
      <c r="U543" s="6">
        <v>52</v>
      </c>
      <c r="V543" s="6">
        <f>IF(ISERROR(VLOOKUP($S$543,'TAR FIN'!$A$1:$O$86,15,0)),0,VLOOKUP($S$543,'TAR FIN'!$A$1:$O$86,15,0))</f>
        <v>0</v>
      </c>
      <c r="W543" s="6">
        <f>IF(ISERROR(VLOOKUP($T$543,'TAR FIN'!$A$1:$O$86,15,0)),0,VLOOKUP($T$543,'TAR FIN'!$A$1:$O$86,15,0))</f>
        <v>324.5</v>
      </c>
      <c r="X543" s="6">
        <f>IF(ISERROR(VLOOKUP($U$543,'TAR FIN'!$A$1:$O$86,15,0)),0,VLOOKUP($U$543,'TAR FIN'!$A$1:$O$86,15,0))</f>
        <v>258.20999999999998</v>
      </c>
      <c r="Y543" s="6"/>
      <c r="Z543" s="6">
        <f ca="1">('TUSD BE'!$AM$21+'TUSD BF'!$AM$21+'TUSD CVA'!$AM$21)*1</f>
        <v>330.1561966420345</v>
      </c>
      <c r="AA543" s="6">
        <f>('TE BE'!$AB$11+'TE BF'!$AB$11+'TE CVA'!$AB$11)*1</f>
        <v>230.58259134858577</v>
      </c>
      <c r="AB543" s="6">
        <f>$K$543*$V$543</f>
        <v>0</v>
      </c>
      <c r="AC543" s="6">
        <f>$M$543*$W$543</f>
        <v>1713625.1165</v>
      </c>
      <c r="AD543" s="6">
        <f>$O$543*$X$543</f>
        <v>1363559.7575699999</v>
      </c>
      <c r="AE543" s="6">
        <f>$K$543*$Y$543</f>
        <v>0</v>
      </c>
      <c r="AF543" s="6">
        <f ca="1">$M$543*$Z$543</f>
        <v>1743494.4558825986</v>
      </c>
      <c r="AG543" s="6">
        <f>$O$543*$AA$543</f>
        <v>1217664.4682976645</v>
      </c>
    </row>
    <row r="544" spans="1:33" ht="11.25" customHeight="1" x14ac:dyDescent="0.25">
      <c r="A544" s="4" t="s">
        <v>27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44409</v>
      </c>
      <c r="J544" s="6">
        <v>0</v>
      </c>
      <c r="K544" s="6">
        <v>0</v>
      </c>
      <c r="L544" s="6">
        <v>-12.452</v>
      </c>
      <c r="M544" s="6">
        <v>-12.452</v>
      </c>
      <c r="N544" s="6">
        <v>-12.452</v>
      </c>
      <c r="O544" s="6">
        <v>-12.452</v>
      </c>
      <c r="P544" s="6">
        <v>0</v>
      </c>
      <c r="Q544" s="4" t="s">
        <v>26</v>
      </c>
      <c r="R544" s="4">
        <v>0</v>
      </c>
      <c r="S544" s="6">
        <v>0</v>
      </c>
      <c r="T544" s="6">
        <v>27</v>
      </c>
      <c r="U544" s="6">
        <v>52</v>
      </c>
      <c r="V544" s="6">
        <f>IF(ISERROR(VLOOKUP($S$544,'TAR FIN'!$A$1:$O$86,15,0)),0,VLOOKUP($S$544,'TAR FIN'!$A$1:$O$86,15,0))</f>
        <v>0</v>
      </c>
      <c r="W544" s="6">
        <f>IF(ISERROR(VLOOKUP($T$544,'TAR FIN'!$A$1:$O$86,15,0)),0,VLOOKUP($T$544,'TAR FIN'!$A$1:$O$86,15,0))</f>
        <v>324.5</v>
      </c>
      <c r="X544" s="6">
        <f>IF(ISERROR(VLOOKUP($U$544,'TAR FIN'!$A$1:$O$86,15,0)),0,VLOOKUP($U$544,'TAR FIN'!$A$1:$O$86,15,0))</f>
        <v>258.20999999999998</v>
      </c>
      <c r="Y544" s="6"/>
      <c r="Z544" s="6">
        <f ca="1">('TUSD BE'!$AM$21+'TUSD BF'!$AM$21+'TUSD CVA'!$AM$21)*1</f>
        <v>330.1561966420345</v>
      </c>
      <c r="AA544" s="6">
        <f>('TE BE'!$AB$11+'TE BF'!$AB$11+'TE CVA'!$AB$11)*1</f>
        <v>230.58259134858577</v>
      </c>
      <c r="AB544" s="6">
        <f>$K$544*$V$544</f>
        <v>0</v>
      </c>
      <c r="AC544" s="6">
        <f>$M$544*$W$544</f>
        <v>-4040.674</v>
      </c>
      <c r="AD544" s="6">
        <f>$O$544*$X$544</f>
        <v>-3215.2309199999995</v>
      </c>
      <c r="AE544" s="6">
        <f>$K$544*$Y$544</f>
        <v>0</v>
      </c>
      <c r="AF544" s="6">
        <f ca="1">$M$544*$Z$544</f>
        <v>-4111.1049605866137</v>
      </c>
      <c r="AG544" s="6">
        <f>$O$544*$AA$544</f>
        <v>-2871.2144274725902</v>
      </c>
    </row>
    <row r="545" spans="1:33" ht="11.25" customHeight="1" x14ac:dyDescent="0.25">
      <c r="A545" s="4" t="s">
        <v>55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44409</v>
      </c>
      <c r="J545" s="6">
        <v>0</v>
      </c>
      <c r="K545" s="6">
        <v>0</v>
      </c>
      <c r="L545" s="6">
        <v>115.262</v>
      </c>
      <c r="M545" s="6">
        <v>115.262</v>
      </c>
      <c r="N545" s="6">
        <v>115.262</v>
      </c>
      <c r="O545" s="6">
        <v>115.262</v>
      </c>
      <c r="P545" s="6">
        <v>918</v>
      </c>
      <c r="Q545" s="4" t="s">
        <v>26</v>
      </c>
      <c r="R545" s="4">
        <v>0</v>
      </c>
      <c r="S545" s="6">
        <v>0</v>
      </c>
      <c r="T545" s="6">
        <v>27</v>
      </c>
      <c r="U545" s="6">
        <v>52</v>
      </c>
      <c r="V545" s="6">
        <f>IF(ISERROR(VLOOKUP($S$545,'TAR FIN'!$A$1:$O$86,15,0)),0,VLOOKUP($S$545,'TAR FIN'!$A$1:$O$86,15,0))</f>
        <v>0</v>
      </c>
      <c r="W545" s="6">
        <f>IF(ISERROR(VLOOKUP($T$545,'TAR FIN'!$A$1:$O$86,15,0)),0,VLOOKUP($T$545,'TAR FIN'!$A$1:$O$86,15,0))</f>
        <v>324.5</v>
      </c>
      <c r="X545" s="6">
        <f>IF(ISERROR(VLOOKUP($U$545,'TAR FIN'!$A$1:$O$86,15,0)),0,VLOOKUP($U$545,'TAR FIN'!$A$1:$O$86,15,0))</f>
        <v>258.20999999999998</v>
      </c>
      <c r="Y545" s="6"/>
      <c r="Z545" s="6">
        <f ca="1">('TUSD BE'!$AM$21+'TUSD BF'!$AM$21+'TUSD CVA'!$AM$21)*1</f>
        <v>330.1561966420345</v>
      </c>
      <c r="AA545" s="6">
        <f>('TE BE'!$AB$11+'TE BF'!$AB$11+'TE CVA'!$AB$11)*1</f>
        <v>230.58259134858577</v>
      </c>
      <c r="AB545" s="6">
        <f>$K$545*$V$545</f>
        <v>0</v>
      </c>
      <c r="AC545" s="6">
        <f>$M$545*$W$545</f>
        <v>37402.519</v>
      </c>
      <c r="AD545" s="6">
        <f>$O$545*$X$545</f>
        <v>29761.801019999999</v>
      </c>
      <c r="AE545" s="6">
        <f>$K$545*$Y$545</f>
        <v>0</v>
      </c>
      <c r="AF545" s="6">
        <f ca="1">$M$545*$Z$545</f>
        <v>38054.463537354182</v>
      </c>
      <c r="AG545" s="6">
        <f>$O$545*$AA$545</f>
        <v>26577.410644020692</v>
      </c>
    </row>
    <row r="546" spans="1:33" ht="11.25" customHeight="1" x14ac:dyDescent="0.25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44440</v>
      </c>
      <c r="J546" s="6">
        <v>0</v>
      </c>
      <c r="K546" s="6">
        <v>0</v>
      </c>
      <c r="L546" s="6">
        <v>4919.5429999999997</v>
      </c>
      <c r="M546" s="6">
        <v>4919.5429999999997</v>
      </c>
      <c r="N546" s="6">
        <v>4919.5429999999997</v>
      </c>
      <c r="O546" s="6">
        <v>4919.5429999999997</v>
      </c>
      <c r="P546" s="6">
        <v>28940</v>
      </c>
      <c r="Q546" s="4" t="s">
        <v>26</v>
      </c>
      <c r="R546" s="4">
        <v>0</v>
      </c>
      <c r="S546" s="6">
        <v>0</v>
      </c>
      <c r="T546" s="6">
        <v>27</v>
      </c>
      <c r="U546" s="6">
        <v>52</v>
      </c>
      <c r="V546" s="6">
        <f>IF(ISERROR(VLOOKUP($S$546,'TAR FIN'!$A$1:$O$86,15,0)),0,VLOOKUP($S$546,'TAR FIN'!$A$1:$O$86,15,0))</f>
        <v>0</v>
      </c>
      <c r="W546" s="6">
        <f>IF(ISERROR(VLOOKUP($T$546,'TAR FIN'!$A$1:$O$86,15,0)),0,VLOOKUP($T$546,'TAR FIN'!$A$1:$O$86,15,0))</f>
        <v>324.5</v>
      </c>
      <c r="X546" s="6">
        <f>IF(ISERROR(VLOOKUP($U$546,'TAR FIN'!$A$1:$O$86,15,0)),0,VLOOKUP($U$546,'TAR FIN'!$A$1:$O$86,15,0))</f>
        <v>258.20999999999998</v>
      </c>
      <c r="Y546" s="6"/>
      <c r="Z546" s="6">
        <f ca="1">('TUSD BE'!$AM$21+'TUSD BF'!$AM$21+'TUSD CVA'!$AM$21)*1</f>
        <v>330.1561966420345</v>
      </c>
      <c r="AA546" s="6">
        <f>('TE BE'!$AB$11+'TE BF'!$AB$11+'TE CVA'!$AB$11)*1</f>
        <v>230.58259134858577</v>
      </c>
      <c r="AB546" s="6">
        <f>$K$546*$V$546</f>
        <v>0</v>
      </c>
      <c r="AC546" s="6">
        <f>$M$546*$W$546</f>
        <v>1596391.7034999998</v>
      </c>
      <c r="AD546" s="6">
        <f>$O$546*$X$546</f>
        <v>1270275.1980299999</v>
      </c>
      <c r="AE546" s="6">
        <f>$K$546*$Y$546</f>
        <v>0</v>
      </c>
      <c r="AF546" s="6">
        <f ca="1">$M$546*$Z$546</f>
        <v>1624217.6060969443</v>
      </c>
      <c r="AG546" s="6">
        <f>$O$546*$AA$546</f>
        <v>1134360.9731907956</v>
      </c>
    </row>
    <row r="547" spans="1:33" ht="11.25" customHeight="1" x14ac:dyDescent="0.25">
      <c r="A547" s="4" t="s">
        <v>27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44440</v>
      </c>
      <c r="J547" s="6">
        <v>0</v>
      </c>
      <c r="K547" s="6">
        <v>0</v>
      </c>
      <c r="L547" s="6">
        <v>-10.339</v>
      </c>
      <c r="M547" s="6">
        <v>-10.339</v>
      </c>
      <c r="N547" s="6">
        <v>-10.339</v>
      </c>
      <c r="O547" s="6">
        <v>-10.339</v>
      </c>
      <c r="P547" s="6">
        <v>0</v>
      </c>
      <c r="Q547" s="4" t="s">
        <v>26</v>
      </c>
      <c r="R547" s="4">
        <v>0</v>
      </c>
      <c r="S547" s="6">
        <v>0</v>
      </c>
      <c r="T547" s="6">
        <v>27</v>
      </c>
      <c r="U547" s="6">
        <v>52</v>
      </c>
      <c r="V547" s="6">
        <f>IF(ISERROR(VLOOKUP($S$547,'TAR FIN'!$A$1:$O$86,15,0)),0,VLOOKUP($S$547,'TAR FIN'!$A$1:$O$86,15,0))</f>
        <v>0</v>
      </c>
      <c r="W547" s="6">
        <f>IF(ISERROR(VLOOKUP($T$547,'TAR FIN'!$A$1:$O$86,15,0)),0,VLOOKUP($T$547,'TAR FIN'!$A$1:$O$86,15,0))</f>
        <v>324.5</v>
      </c>
      <c r="X547" s="6">
        <f>IF(ISERROR(VLOOKUP($U$547,'TAR FIN'!$A$1:$O$86,15,0)),0,VLOOKUP($U$547,'TAR FIN'!$A$1:$O$86,15,0))</f>
        <v>258.20999999999998</v>
      </c>
      <c r="Y547" s="6"/>
      <c r="Z547" s="6">
        <f ca="1">('TUSD BE'!$AM$21+'TUSD BF'!$AM$21+'TUSD CVA'!$AM$21)*1</f>
        <v>330.1561966420345</v>
      </c>
      <c r="AA547" s="6">
        <f>('TE BE'!$AB$11+'TE BF'!$AB$11+'TE CVA'!$AB$11)*1</f>
        <v>230.58259134858577</v>
      </c>
      <c r="AB547" s="6">
        <f>$K$547*$V$547</f>
        <v>0</v>
      </c>
      <c r="AC547" s="6">
        <f>$M$547*$W$547</f>
        <v>-3355.0055000000002</v>
      </c>
      <c r="AD547" s="6">
        <f>$O$547*$X$547</f>
        <v>-2669.63319</v>
      </c>
      <c r="AE547" s="6">
        <f>$K$547*$Y$547</f>
        <v>0</v>
      </c>
      <c r="AF547" s="6">
        <f ca="1">$M$547*$Z$547</f>
        <v>-3413.4849170819948</v>
      </c>
      <c r="AG547" s="6">
        <f>$O$547*$AA$547</f>
        <v>-2383.9934119530285</v>
      </c>
    </row>
    <row r="548" spans="1:33" ht="11.25" customHeight="1" x14ac:dyDescent="0.25">
      <c r="A548" s="4" t="s">
        <v>55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44440</v>
      </c>
      <c r="J548" s="6">
        <v>0</v>
      </c>
      <c r="K548" s="6">
        <v>0</v>
      </c>
      <c r="L548" s="6">
        <v>87.186999999999998</v>
      </c>
      <c r="M548" s="6">
        <v>87.186999999999998</v>
      </c>
      <c r="N548" s="6">
        <v>87.186999999999998</v>
      </c>
      <c r="O548" s="6">
        <v>87.186999999999998</v>
      </c>
      <c r="P548" s="6">
        <v>950</v>
      </c>
      <c r="Q548" s="4" t="s">
        <v>26</v>
      </c>
      <c r="R548" s="4">
        <v>0</v>
      </c>
      <c r="S548" s="6">
        <v>0</v>
      </c>
      <c r="T548" s="6">
        <v>27</v>
      </c>
      <c r="U548" s="6">
        <v>52</v>
      </c>
      <c r="V548" s="6">
        <f>IF(ISERROR(VLOOKUP($S$548,'TAR FIN'!$A$1:$O$86,15,0)),0,VLOOKUP($S$548,'TAR FIN'!$A$1:$O$86,15,0))</f>
        <v>0</v>
      </c>
      <c r="W548" s="6">
        <f>IF(ISERROR(VLOOKUP($T$548,'TAR FIN'!$A$1:$O$86,15,0)),0,VLOOKUP($T$548,'TAR FIN'!$A$1:$O$86,15,0))</f>
        <v>324.5</v>
      </c>
      <c r="X548" s="6">
        <f>IF(ISERROR(VLOOKUP($U$548,'TAR FIN'!$A$1:$O$86,15,0)),0,VLOOKUP($U$548,'TAR FIN'!$A$1:$O$86,15,0))</f>
        <v>258.20999999999998</v>
      </c>
      <c r="Y548" s="6"/>
      <c r="Z548" s="6">
        <f ca="1">('TUSD BE'!$AM$21+'TUSD BF'!$AM$21+'TUSD CVA'!$AM$21)*1</f>
        <v>330.1561966420345</v>
      </c>
      <c r="AA548" s="6">
        <f>('TE BE'!$AB$11+'TE BF'!$AB$11+'TE CVA'!$AB$11)*1</f>
        <v>230.58259134858577</v>
      </c>
      <c r="AB548" s="6">
        <f>$K$548*$V$548</f>
        <v>0</v>
      </c>
      <c r="AC548" s="6">
        <f>$M$548*$W$548</f>
        <v>28292.181499999999</v>
      </c>
      <c r="AD548" s="6">
        <f>$O$548*$X$548</f>
        <v>22512.555269999997</v>
      </c>
      <c r="AE548" s="6">
        <f>$K$548*$Y$548</f>
        <v>0</v>
      </c>
      <c r="AF548" s="6">
        <f ca="1">$M$548*$Z$548</f>
        <v>28785.32831662906</v>
      </c>
      <c r="AG548" s="6">
        <f>$O$548*$AA$548</f>
        <v>20103.804391909147</v>
      </c>
    </row>
    <row r="549" spans="1:33" ht="11.25" customHeight="1" x14ac:dyDescent="0.25">
      <c r="A549" s="4" t="s">
        <v>21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44470</v>
      </c>
      <c r="J549" s="6">
        <v>0</v>
      </c>
      <c r="K549" s="6">
        <v>0</v>
      </c>
      <c r="L549" s="6">
        <v>4834.3940000000002</v>
      </c>
      <c r="M549" s="6">
        <v>4834.3940000000002</v>
      </c>
      <c r="N549" s="6">
        <v>4834.3940000000002</v>
      </c>
      <c r="O549" s="6">
        <v>4834.3940000000002</v>
      </c>
      <c r="P549" s="6">
        <v>28924</v>
      </c>
      <c r="Q549" s="4" t="s">
        <v>26</v>
      </c>
      <c r="R549" s="4">
        <v>0</v>
      </c>
      <c r="S549" s="6">
        <v>0</v>
      </c>
      <c r="T549" s="6">
        <v>27</v>
      </c>
      <c r="U549" s="6">
        <v>52</v>
      </c>
      <c r="V549" s="6">
        <f>IF(ISERROR(VLOOKUP($S$549,'TAR FIN'!$A$1:$O$86,15,0)),0,VLOOKUP($S$549,'TAR FIN'!$A$1:$O$86,15,0))</f>
        <v>0</v>
      </c>
      <c r="W549" s="6">
        <f>IF(ISERROR(VLOOKUP($T$549,'TAR FIN'!$A$1:$O$86,15,0)),0,VLOOKUP($T$549,'TAR FIN'!$A$1:$O$86,15,0))</f>
        <v>324.5</v>
      </c>
      <c r="X549" s="6">
        <f>IF(ISERROR(VLOOKUP($U$549,'TAR FIN'!$A$1:$O$86,15,0)),0,VLOOKUP($U$549,'TAR FIN'!$A$1:$O$86,15,0))</f>
        <v>258.20999999999998</v>
      </c>
      <c r="Y549" s="6"/>
      <c r="Z549" s="6">
        <f ca="1">('TUSD BE'!$AM$21+'TUSD BF'!$AM$21+'TUSD CVA'!$AM$21)*1</f>
        <v>330.1561966420345</v>
      </c>
      <c r="AA549" s="6">
        <f>('TE BE'!$AB$11+'TE BF'!$AB$11+'TE CVA'!$AB$11)*1</f>
        <v>230.58259134858577</v>
      </c>
      <c r="AB549" s="6">
        <f>$K$549*$V$549</f>
        <v>0</v>
      </c>
      <c r="AC549" s="6">
        <f>$M$549*$W$549</f>
        <v>1568760.8530000001</v>
      </c>
      <c r="AD549" s="6">
        <f>$O$549*$X$549</f>
        <v>1248288.8747399999</v>
      </c>
      <c r="AE549" s="6">
        <f>$K$549*$Y$549</f>
        <v>0</v>
      </c>
      <c r="AF549" s="6">
        <f ca="1">$M$549*$Z$549</f>
        <v>1596105.1361090718</v>
      </c>
      <c r="AG549" s="6">
        <f>$O$549*$AA$549</f>
        <v>1114727.0961200551</v>
      </c>
    </row>
    <row r="550" spans="1:33" ht="11.25" customHeight="1" x14ac:dyDescent="0.25">
      <c r="A550" s="4" t="s">
        <v>27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44470</v>
      </c>
      <c r="J550" s="6">
        <v>0</v>
      </c>
      <c r="K550" s="6">
        <v>0</v>
      </c>
      <c r="L550" s="6">
        <v>-7.2140000000000004</v>
      </c>
      <c r="M550" s="6">
        <v>-7.2140000000000004</v>
      </c>
      <c r="N550" s="6">
        <v>-7.2140000000000004</v>
      </c>
      <c r="O550" s="6">
        <v>-7.2140000000000004</v>
      </c>
      <c r="P550" s="6">
        <v>0</v>
      </c>
      <c r="Q550" s="4" t="s">
        <v>26</v>
      </c>
      <c r="R550" s="4">
        <v>0</v>
      </c>
      <c r="S550" s="6">
        <v>0</v>
      </c>
      <c r="T550" s="6">
        <v>27</v>
      </c>
      <c r="U550" s="6">
        <v>52</v>
      </c>
      <c r="V550" s="6">
        <f>IF(ISERROR(VLOOKUP($S$550,'TAR FIN'!$A$1:$O$86,15,0)),0,VLOOKUP($S$550,'TAR FIN'!$A$1:$O$86,15,0))</f>
        <v>0</v>
      </c>
      <c r="W550" s="6">
        <f>IF(ISERROR(VLOOKUP($T$550,'TAR FIN'!$A$1:$O$86,15,0)),0,VLOOKUP($T$550,'TAR FIN'!$A$1:$O$86,15,0))</f>
        <v>324.5</v>
      </c>
      <c r="X550" s="6">
        <f>IF(ISERROR(VLOOKUP($U$550,'TAR FIN'!$A$1:$O$86,15,0)),0,VLOOKUP($U$550,'TAR FIN'!$A$1:$O$86,15,0))</f>
        <v>258.20999999999998</v>
      </c>
      <c r="Y550" s="6"/>
      <c r="Z550" s="6">
        <f ca="1">('TUSD BE'!$AM$21+'TUSD BF'!$AM$21+'TUSD CVA'!$AM$21)*1</f>
        <v>330.1561966420345</v>
      </c>
      <c r="AA550" s="6">
        <f>('TE BE'!$AB$11+'TE BF'!$AB$11+'TE CVA'!$AB$11)*1</f>
        <v>230.58259134858577</v>
      </c>
      <c r="AB550" s="6">
        <f>$K$550*$V$550</f>
        <v>0</v>
      </c>
      <c r="AC550" s="6">
        <f>$M$550*$W$550</f>
        <v>-2340.9430000000002</v>
      </c>
      <c r="AD550" s="6">
        <f>$O$550*$X$550</f>
        <v>-1862.72694</v>
      </c>
      <c r="AE550" s="6">
        <f>$K$550*$Y$550</f>
        <v>0</v>
      </c>
      <c r="AF550" s="6">
        <f ca="1">$M$550*$Z$550</f>
        <v>-2381.746802575637</v>
      </c>
      <c r="AG550" s="6">
        <f>$O$550*$AA$550</f>
        <v>-1663.4228139886977</v>
      </c>
    </row>
    <row r="551" spans="1:33" ht="11.25" customHeight="1" x14ac:dyDescent="0.25">
      <c r="A551" s="4" t="s">
        <v>55</v>
      </c>
      <c r="B551" s="4" t="s">
        <v>22</v>
      </c>
      <c r="C551" s="4" t="s">
        <v>23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25</v>
      </c>
      <c r="I551" s="5">
        <v>44470</v>
      </c>
      <c r="J551" s="6">
        <v>0</v>
      </c>
      <c r="K551" s="6">
        <v>0</v>
      </c>
      <c r="L551" s="6">
        <v>88.784000000000006</v>
      </c>
      <c r="M551" s="6">
        <v>88.784000000000006</v>
      </c>
      <c r="N551" s="6">
        <v>88.784000000000006</v>
      </c>
      <c r="O551" s="6">
        <v>88.784000000000006</v>
      </c>
      <c r="P551" s="6">
        <v>1011</v>
      </c>
      <c r="Q551" s="4" t="s">
        <v>26</v>
      </c>
      <c r="R551" s="4">
        <v>0</v>
      </c>
      <c r="S551" s="6">
        <v>0</v>
      </c>
      <c r="T551" s="6">
        <v>27</v>
      </c>
      <c r="U551" s="6">
        <v>52</v>
      </c>
      <c r="V551" s="6">
        <f>IF(ISERROR(VLOOKUP($S$551,'TAR FIN'!$A$1:$O$86,15,0)),0,VLOOKUP($S$551,'TAR FIN'!$A$1:$O$86,15,0))</f>
        <v>0</v>
      </c>
      <c r="W551" s="6">
        <f>IF(ISERROR(VLOOKUP($T$551,'TAR FIN'!$A$1:$O$86,15,0)),0,VLOOKUP($T$551,'TAR FIN'!$A$1:$O$86,15,0))</f>
        <v>324.5</v>
      </c>
      <c r="X551" s="6">
        <f>IF(ISERROR(VLOOKUP($U$551,'TAR FIN'!$A$1:$O$86,15,0)),0,VLOOKUP($U$551,'TAR FIN'!$A$1:$O$86,15,0))</f>
        <v>258.20999999999998</v>
      </c>
      <c r="Y551" s="6"/>
      <c r="Z551" s="6">
        <f ca="1">('TUSD BE'!$AM$21+'TUSD BF'!$AM$21+'TUSD CVA'!$AM$21)*1</f>
        <v>330.1561966420345</v>
      </c>
      <c r="AA551" s="6">
        <f>('TE BE'!$AB$11+'TE BF'!$AB$11+'TE CVA'!$AB$11)*1</f>
        <v>230.58259134858577</v>
      </c>
      <c r="AB551" s="6">
        <f>$K$551*$V$551</f>
        <v>0</v>
      </c>
      <c r="AC551" s="6">
        <f>$M$551*$W$551</f>
        <v>28810.408000000003</v>
      </c>
      <c r="AD551" s="6">
        <f>$O$551*$X$551</f>
        <v>22924.916639999999</v>
      </c>
      <c r="AE551" s="6">
        <f>$K$551*$Y$551</f>
        <v>0</v>
      </c>
      <c r="AF551" s="6">
        <f ca="1">$M$551*$Z$551</f>
        <v>29312.587762666393</v>
      </c>
      <c r="AG551" s="6">
        <f>$O$551*$AA$551</f>
        <v>20472.044790292839</v>
      </c>
    </row>
    <row r="552" spans="1:33" ht="11.25" customHeight="1" x14ac:dyDescent="0.25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25</v>
      </c>
      <c r="I552" s="5">
        <v>44501</v>
      </c>
      <c r="J552" s="6">
        <v>0</v>
      </c>
      <c r="K552" s="6">
        <v>0</v>
      </c>
      <c r="L552" s="6">
        <v>5093.0770000000002</v>
      </c>
      <c r="M552" s="6">
        <v>5093.0770000000002</v>
      </c>
      <c r="N552" s="6">
        <v>5093.0770000000002</v>
      </c>
      <c r="O552" s="6">
        <v>5093.0770000000002</v>
      </c>
      <c r="P552" s="6">
        <v>28948</v>
      </c>
      <c r="Q552" s="4" t="s">
        <v>26</v>
      </c>
      <c r="R552" s="4">
        <v>0</v>
      </c>
      <c r="S552" s="6">
        <v>0</v>
      </c>
      <c r="T552" s="6">
        <v>27</v>
      </c>
      <c r="U552" s="6">
        <v>52</v>
      </c>
      <c r="V552" s="6">
        <f>IF(ISERROR(VLOOKUP($S$552,'TAR FIN'!$A$1:$O$86,15,0)),0,VLOOKUP($S$552,'TAR FIN'!$A$1:$O$86,15,0))</f>
        <v>0</v>
      </c>
      <c r="W552" s="6">
        <f>IF(ISERROR(VLOOKUP($T$552,'TAR FIN'!$A$1:$O$86,15,0)),0,VLOOKUP($T$552,'TAR FIN'!$A$1:$O$86,15,0))</f>
        <v>324.5</v>
      </c>
      <c r="X552" s="6">
        <f>IF(ISERROR(VLOOKUP($U$552,'TAR FIN'!$A$1:$O$86,15,0)),0,VLOOKUP($U$552,'TAR FIN'!$A$1:$O$86,15,0))</f>
        <v>258.20999999999998</v>
      </c>
      <c r="Y552" s="6"/>
      <c r="Z552" s="6">
        <f ca="1">('TUSD BE'!$AM$21+'TUSD BF'!$AM$21+'TUSD CVA'!$AM$21)*1</f>
        <v>330.1561966420345</v>
      </c>
      <c r="AA552" s="6">
        <f>('TE BE'!$AB$11+'TE BF'!$AB$11+'TE CVA'!$AB$11)*1</f>
        <v>230.58259134858577</v>
      </c>
      <c r="AB552" s="6">
        <f>$K$552*$V$552</f>
        <v>0</v>
      </c>
      <c r="AC552" s="6">
        <f>$M$552*$W$552</f>
        <v>1652703.4865000001</v>
      </c>
      <c r="AD552" s="6">
        <f>$O$552*$X$552</f>
        <v>1315083.4121699999</v>
      </c>
      <c r="AE552" s="6">
        <f>$K$552*$Y$552</f>
        <v>0</v>
      </c>
      <c r="AF552" s="6">
        <f ca="1">$M$552*$Z$552</f>
        <v>1681510.9315250232</v>
      </c>
      <c r="AG552" s="6">
        <f>$O$552*$AA$552</f>
        <v>1174374.8925978811</v>
      </c>
    </row>
    <row r="553" spans="1:33" ht="11.25" customHeight="1" x14ac:dyDescent="0.25">
      <c r="A553" s="4" t="s">
        <v>27</v>
      </c>
      <c r="B553" s="4" t="s">
        <v>22</v>
      </c>
      <c r="C553" s="4" t="s">
        <v>23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25</v>
      </c>
      <c r="I553" s="5">
        <v>44501</v>
      </c>
      <c r="J553" s="6">
        <v>0</v>
      </c>
      <c r="K553" s="6">
        <v>0</v>
      </c>
      <c r="L553" s="6">
        <v>-2.4289999999999998</v>
      </c>
      <c r="M553" s="6">
        <v>-2.4289999999999998</v>
      </c>
      <c r="N553" s="6">
        <v>-2.4289999999999998</v>
      </c>
      <c r="O553" s="6">
        <v>-2.4289999999999998</v>
      </c>
      <c r="P553" s="6">
        <v>0</v>
      </c>
      <c r="Q553" s="4" t="s">
        <v>26</v>
      </c>
      <c r="R553" s="4">
        <v>0</v>
      </c>
      <c r="S553" s="6">
        <v>0</v>
      </c>
      <c r="T553" s="6">
        <v>27</v>
      </c>
      <c r="U553" s="6">
        <v>52</v>
      </c>
      <c r="V553" s="6">
        <f>IF(ISERROR(VLOOKUP($S$553,'TAR FIN'!$A$1:$O$86,15,0)),0,VLOOKUP($S$553,'TAR FIN'!$A$1:$O$86,15,0))</f>
        <v>0</v>
      </c>
      <c r="W553" s="6">
        <f>IF(ISERROR(VLOOKUP($T$553,'TAR FIN'!$A$1:$O$86,15,0)),0,VLOOKUP($T$553,'TAR FIN'!$A$1:$O$86,15,0))</f>
        <v>324.5</v>
      </c>
      <c r="X553" s="6">
        <f>IF(ISERROR(VLOOKUP($U$553,'TAR FIN'!$A$1:$O$86,15,0)),0,VLOOKUP($U$553,'TAR FIN'!$A$1:$O$86,15,0))</f>
        <v>258.20999999999998</v>
      </c>
      <c r="Y553" s="6"/>
      <c r="Z553" s="6">
        <f ca="1">('TUSD BE'!$AM$21+'TUSD BF'!$AM$21+'TUSD CVA'!$AM$21)*1</f>
        <v>330.1561966420345</v>
      </c>
      <c r="AA553" s="6">
        <f>('TE BE'!$AB$11+'TE BF'!$AB$11+'TE CVA'!$AB$11)*1</f>
        <v>230.58259134858577</v>
      </c>
      <c r="AB553" s="6">
        <f>$K$553*$V$553</f>
        <v>0</v>
      </c>
      <c r="AC553" s="6">
        <f>$M$553*$W$553</f>
        <v>-788.21049999999991</v>
      </c>
      <c r="AD553" s="6">
        <f>$O$553*$X$553</f>
        <v>-627.19208999999989</v>
      </c>
      <c r="AE553" s="6">
        <f>$K$553*$Y$553</f>
        <v>0</v>
      </c>
      <c r="AF553" s="6">
        <f ca="1">$M$553*$Z$553</f>
        <v>-801.9494016435018</v>
      </c>
      <c r="AG553" s="6">
        <f>$O$553*$AA$553</f>
        <v>-560.08511438571475</v>
      </c>
    </row>
    <row r="554" spans="1:33" ht="11.25" customHeight="1" x14ac:dyDescent="0.25">
      <c r="A554" s="4" t="s">
        <v>55</v>
      </c>
      <c r="B554" s="4" t="s">
        <v>22</v>
      </c>
      <c r="C554" s="4" t="s">
        <v>23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25</v>
      </c>
      <c r="I554" s="5">
        <v>44501</v>
      </c>
      <c r="J554" s="6">
        <v>0</v>
      </c>
      <c r="K554" s="6">
        <v>0</v>
      </c>
      <c r="L554" s="6">
        <v>159.61099999999999</v>
      </c>
      <c r="M554" s="6">
        <v>159.61099999999999</v>
      </c>
      <c r="N554" s="6">
        <v>159.61099999999999</v>
      </c>
      <c r="O554" s="6">
        <v>159.61099999999999</v>
      </c>
      <c r="P554" s="6">
        <v>1089</v>
      </c>
      <c r="Q554" s="4" t="s">
        <v>26</v>
      </c>
      <c r="R554" s="4">
        <v>0</v>
      </c>
      <c r="S554" s="6">
        <v>0</v>
      </c>
      <c r="T554" s="6">
        <v>27</v>
      </c>
      <c r="U554" s="6">
        <v>52</v>
      </c>
      <c r="V554" s="6">
        <f>IF(ISERROR(VLOOKUP($S$554,'TAR FIN'!$A$1:$O$86,15,0)),0,VLOOKUP($S$554,'TAR FIN'!$A$1:$O$86,15,0))</f>
        <v>0</v>
      </c>
      <c r="W554" s="6">
        <f>IF(ISERROR(VLOOKUP($T$554,'TAR FIN'!$A$1:$O$86,15,0)),0,VLOOKUP($T$554,'TAR FIN'!$A$1:$O$86,15,0))</f>
        <v>324.5</v>
      </c>
      <c r="X554" s="6">
        <f>IF(ISERROR(VLOOKUP($U$554,'TAR FIN'!$A$1:$O$86,15,0)),0,VLOOKUP($U$554,'TAR FIN'!$A$1:$O$86,15,0))</f>
        <v>258.20999999999998</v>
      </c>
      <c r="Y554" s="6"/>
      <c r="Z554" s="6">
        <f ca="1">('TUSD BE'!$AM$21+'TUSD BF'!$AM$21+'TUSD CVA'!$AM$21)*1</f>
        <v>330.1561966420345</v>
      </c>
      <c r="AA554" s="6">
        <f>('TE BE'!$AB$11+'TE BF'!$AB$11+'TE CVA'!$AB$11)*1</f>
        <v>230.58259134858577</v>
      </c>
      <c r="AB554" s="6">
        <f>$K$554*$V$554</f>
        <v>0</v>
      </c>
      <c r="AC554" s="6">
        <f>$M$554*$W$554</f>
        <v>51793.769499999995</v>
      </c>
      <c r="AD554" s="6">
        <f>$O$554*$X$554</f>
        <v>41213.156309999991</v>
      </c>
      <c r="AE554" s="6">
        <f>$K$554*$Y$554</f>
        <v>0</v>
      </c>
      <c r="AF554" s="6">
        <f ca="1">$M$554*$Z$554</f>
        <v>52696.560702231764</v>
      </c>
      <c r="AG554" s="6">
        <f>$O$554*$AA$554</f>
        <v>36803.51798773912</v>
      </c>
    </row>
    <row r="555" spans="1:33" ht="11.25" customHeight="1" x14ac:dyDescent="0.25">
      <c r="A555" s="4" t="s">
        <v>55</v>
      </c>
      <c r="B555" s="4" t="s">
        <v>22</v>
      </c>
      <c r="C555" s="4" t="s">
        <v>23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25</v>
      </c>
      <c r="I555" s="5">
        <v>44501</v>
      </c>
      <c r="J555" s="6">
        <v>0</v>
      </c>
      <c r="K555" s="6">
        <v>0</v>
      </c>
      <c r="L555" s="6">
        <v>-76.093000000000004</v>
      </c>
      <c r="M555" s="6">
        <v>-76.093000000000004</v>
      </c>
      <c r="N555" s="6">
        <v>-76.093000000000004</v>
      </c>
      <c r="O555" s="6">
        <v>-76.093000000000004</v>
      </c>
      <c r="P555" s="6">
        <v>5</v>
      </c>
      <c r="Q555" s="4" t="s">
        <v>26</v>
      </c>
      <c r="R555" s="4">
        <v>0</v>
      </c>
      <c r="S555" s="6">
        <v>0</v>
      </c>
      <c r="T555" s="6">
        <v>27</v>
      </c>
      <c r="U555" s="6">
        <v>52</v>
      </c>
      <c r="V555" s="6">
        <f>IF(ISERROR(VLOOKUP($S$555,'TAR FIN'!$A$1:$O$86,15,0)),0,VLOOKUP($S$555,'TAR FIN'!$A$1:$O$86,15,0))</f>
        <v>0</v>
      </c>
      <c r="W555" s="6">
        <f>IF(ISERROR(VLOOKUP($T$555,'TAR FIN'!$A$1:$O$86,15,0)),0,VLOOKUP($T$555,'TAR FIN'!$A$1:$O$86,15,0))</f>
        <v>324.5</v>
      </c>
      <c r="X555" s="6">
        <f>IF(ISERROR(VLOOKUP($U$555,'TAR FIN'!$A$1:$O$86,15,0)),0,VLOOKUP($U$555,'TAR FIN'!$A$1:$O$86,15,0))</f>
        <v>258.20999999999998</v>
      </c>
      <c r="Y555" s="6"/>
      <c r="Z555" s="6">
        <f ca="1">('TUSD BE'!$AM$21+'TUSD BF'!$AM$21+'TUSD CVA'!$AM$21)*1</f>
        <v>330.1561966420345</v>
      </c>
      <c r="AA555" s="6">
        <f>('TE BE'!$AB$11+'TE BF'!$AB$11+'TE CVA'!$AB$11)*1</f>
        <v>230.58259134858577</v>
      </c>
      <c r="AB555" s="6">
        <f>$K$555*$V$555</f>
        <v>0</v>
      </c>
      <c r="AC555" s="6">
        <f>$M$555*$W$555</f>
        <v>-24692.178500000002</v>
      </c>
      <c r="AD555" s="6">
        <f>$O$555*$X$555</f>
        <v>-19647.973529999999</v>
      </c>
      <c r="AE555" s="6">
        <f>$K$555*$Y$555</f>
        <v>0</v>
      </c>
      <c r="AF555" s="6">
        <f ca="1">$M$555*$Z$555</f>
        <v>-25122.575471082331</v>
      </c>
      <c r="AG555" s="6">
        <f>$O$555*$AA$555</f>
        <v>-17545.721123487936</v>
      </c>
    </row>
    <row r="556" spans="1:33" ht="11.25" customHeight="1" x14ac:dyDescent="0.25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25</v>
      </c>
      <c r="I556" s="5">
        <v>44531</v>
      </c>
      <c r="J556" s="6">
        <v>0</v>
      </c>
      <c r="K556" s="6">
        <v>0</v>
      </c>
      <c r="L556" s="6">
        <v>5215.2510000000002</v>
      </c>
      <c r="M556" s="6">
        <v>5215.2510000000002</v>
      </c>
      <c r="N556" s="6">
        <v>5215.2510000000002</v>
      </c>
      <c r="O556" s="6">
        <v>5215.2510000000002</v>
      </c>
      <c r="P556" s="6">
        <v>28905</v>
      </c>
      <c r="Q556" s="4" t="s">
        <v>26</v>
      </c>
      <c r="R556" s="4">
        <v>0</v>
      </c>
      <c r="S556" s="6">
        <v>0</v>
      </c>
      <c r="T556" s="6">
        <v>27</v>
      </c>
      <c r="U556" s="6">
        <v>52</v>
      </c>
      <c r="V556" s="6">
        <f>IF(ISERROR(VLOOKUP($S$556,'TAR FIN'!$A$1:$O$86,15,0)),0,VLOOKUP($S$556,'TAR FIN'!$A$1:$O$86,15,0))</f>
        <v>0</v>
      </c>
      <c r="W556" s="6">
        <f>IF(ISERROR(VLOOKUP($T$556,'TAR FIN'!$A$1:$O$86,15,0)),0,VLOOKUP($T$556,'TAR FIN'!$A$1:$O$86,15,0))</f>
        <v>324.5</v>
      </c>
      <c r="X556" s="6">
        <f>IF(ISERROR(VLOOKUP($U$556,'TAR FIN'!$A$1:$O$86,15,0)),0,VLOOKUP($U$556,'TAR FIN'!$A$1:$O$86,15,0))</f>
        <v>258.20999999999998</v>
      </c>
      <c r="Y556" s="6"/>
      <c r="Z556" s="6">
        <f ca="1">('TUSD BE'!$AM$21+'TUSD BF'!$AM$21+'TUSD CVA'!$AM$21)*1</f>
        <v>330.1561966420345</v>
      </c>
      <c r="AA556" s="6">
        <f>('TE BE'!$AB$11+'TE BF'!$AB$11+'TE CVA'!$AB$11)*1</f>
        <v>230.58259134858577</v>
      </c>
      <c r="AB556" s="6">
        <f>$K$556*$V$556</f>
        <v>0</v>
      </c>
      <c r="AC556" s="6">
        <f>$M$556*$W$556</f>
        <v>1692348.9495000001</v>
      </c>
      <c r="AD556" s="6">
        <f>$O$556*$X$556</f>
        <v>1346629.96071</v>
      </c>
      <c r="AE556" s="6">
        <f>$K$556*$Y$556</f>
        <v>0</v>
      </c>
      <c r="AF556" s="6">
        <f ca="1">$M$556*$Z$556</f>
        <v>1721847.4346935672</v>
      </c>
      <c r="AG556" s="6">
        <f>$O$556*$AA$556</f>
        <v>1202546.0901133034</v>
      </c>
    </row>
    <row r="557" spans="1:33" ht="11.25" customHeight="1" x14ac:dyDescent="0.25">
      <c r="A557" s="4" t="s">
        <v>27</v>
      </c>
      <c r="B557" s="4" t="s">
        <v>22</v>
      </c>
      <c r="C557" s="4" t="s">
        <v>23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25</v>
      </c>
      <c r="I557" s="5">
        <v>44531</v>
      </c>
      <c r="J557" s="6">
        <v>0</v>
      </c>
      <c r="K557" s="6">
        <v>0</v>
      </c>
      <c r="L557" s="6">
        <v>-100.86799999999999</v>
      </c>
      <c r="M557" s="6">
        <v>-100.86799999999999</v>
      </c>
      <c r="N557" s="6">
        <v>-100.86799999999999</v>
      </c>
      <c r="O557" s="6">
        <v>-100.86799999999999</v>
      </c>
      <c r="P557" s="6">
        <v>0</v>
      </c>
      <c r="Q557" s="4" t="s">
        <v>26</v>
      </c>
      <c r="R557" s="4">
        <v>0</v>
      </c>
      <c r="S557" s="6">
        <v>0</v>
      </c>
      <c r="T557" s="6">
        <v>27</v>
      </c>
      <c r="U557" s="6">
        <v>52</v>
      </c>
      <c r="V557" s="6">
        <f>IF(ISERROR(VLOOKUP($S$557,'TAR FIN'!$A$1:$O$86,15,0)),0,VLOOKUP($S$557,'TAR FIN'!$A$1:$O$86,15,0))</f>
        <v>0</v>
      </c>
      <c r="W557" s="6">
        <f>IF(ISERROR(VLOOKUP($T$557,'TAR FIN'!$A$1:$O$86,15,0)),0,VLOOKUP($T$557,'TAR FIN'!$A$1:$O$86,15,0))</f>
        <v>324.5</v>
      </c>
      <c r="X557" s="6">
        <f>IF(ISERROR(VLOOKUP($U$557,'TAR FIN'!$A$1:$O$86,15,0)),0,VLOOKUP($U$557,'TAR FIN'!$A$1:$O$86,15,0))</f>
        <v>258.20999999999998</v>
      </c>
      <c r="Y557" s="6"/>
      <c r="Z557" s="6">
        <f ca="1">('TUSD BE'!$AM$21+'TUSD BF'!$AM$21+'TUSD CVA'!$AM$21)*1</f>
        <v>330.1561966420345</v>
      </c>
      <c r="AA557" s="6">
        <f>('TE BE'!$AB$11+'TE BF'!$AB$11+'TE CVA'!$AB$11)*1</f>
        <v>230.58259134858577</v>
      </c>
      <c r="AB557" s="6">
        <f>$K$557*$V$557</f>
        <v>0</v>
      </c>
      <c r="AC557" s="6">
        <f>$M$557*$W$557</f>
        <v>-32731.665999999997</v>
      </c>
      <c r="AD557" s="6">
        <f>$O$557*$X$557</f>
        <v>-26045.126279999997</v>
      </c>
      <c r="AE557" s="6">
        <f>$K$557*$Y$557</f>
        <v>0</v>
      </c>
      <c r="AF557" s="6">
        <f ca="1">$M$557*$Z$557</f>
        <v>-33302.195242888738</v>
      </c>
      <c r="AG557" s="6">
        <f>$O$557*$AA$557</f>
        <v>-23258.404824149147</v>
      </c>
    </row>
    <row r="558" spans="1:33" ht="11.25" customHeight="1" x14ac:dyDescent="0.25">
      <c r="A558" s="4" t="s">
        <v>55</v>
      </c>
      <c r="B558" s="4" t="s">
        <v>22</v>
      </c>
      <c r="C558" s="4" t="s">
        <v>23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25</v>
      </c>
      <c r="I558" s="5">
        <v>44531</v>
      </c>
      <c r="J558" s="6">
        <v>0</v>
      </c>
      <c r="K558" s="6">
        <v>0</v>
      </c>
      <c r="L558" s="6">
        <v>92.31</v>
      </c>
      <c r="M558" s="6">
        <v>92.31</v>
      </c>
      <c r="N558" s="6">
        <v>92.31</v>
      </c>
      <c r="O558" s="6">
        <v>92.31</v>
      </c>
      <c r="P558" s="6">
        <v>1198</v>
      </c>
      <c r="Q558" s="4" t="s">
        <v>26</v>
      </c>
      <c r="R558" s="4">
        <v>0</v>
      </c>
      <c r="S558" s="6">
        <v>0</v>
      </c>
      <c r="T558" s="6">
        <v>27</v>
      </c>
      <c r="U558" s="6">
        <v>52</v>
      </c>
      <c r="V558" s="6">
        <f>IF(ISERROR(VLOOKUP($S$558,'TAR FIN'!$A$1:$O$86,15,0)),0,VLOOKUP($S$558,'TAR FIN'!$A$1:$O$86,15,0))</f>
        <v>0</v>
      </c>
      <c r="W558" s="6">
        <f>IF(ISERROR(VLOOKUP($T$558,'TAR FIN'!$A$1:$O$86,15,0)),0,VLOOKUP($T$558,'TAR FIN'!$A$1:$O$86,15,0))</f>
        <v>324.5</v>
      </c>
      <c r="X558" s="6">
        <f>IF(ISERROR(VLOOKUP($U$558,'TAR FIN'!$A$1:$O$86,15,0)),0,VLOOKUP($U$558,'TAR FIN'!$A$1:$O$86,15,0))</f>
        <v>258.20999999999998</v>
      </c>
      <c r="Y558" s="6"/>
      <c r="Z558" s="6">
        <f ca="1">('TUSD BE'!$AM$21+'TUSD BF'!$AM$21+'TUSD CVA'!$AM$21)*1</f>
        <v>330.1561966420345</v>
      </c>
      <c r="AA558" s="6">
        <f>('TE BE'!$AB$11+'TE BF'!$AB$11+'TE CVA'!$AB$11)*1</f>
        <v>230.58259134858577</v>
      </c>
      <c r="AB558" s="6">
        <f>$K$558*$V$558</f>
        <v>0</v>
      </c>
      <c r="AC558" s="6">
        <f>$M$558*$W$558</f>
        <v>29954.595000000001</v>
      </c>
      <c r="AD558" s="6">
        <f>$O$558*$X$558</f>
        <v>23835.365099999999</v>
      </c>
      <c r="AE558" s="6">
        <f>$K$558*$Y$558</f>
        <v>0</v>
      </c>
      <c r="AF558" s="6">
        <f ca="1">$M$558*$Z$558</f>
        <v>30476.718512026204</v>
      </c>
      <c r="AG558" s="6">
        <f>$O$558*$AA$558</f>
        <v>21285.079007387954</v>
      </c>
    </row>
    <row r="559" spans="1:33" ht="11.25" customHeight="1" x14ac:dyDescent="0.25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25</v>
      </c>
      <c r="I559" s="5">
        <v>44562</v>
      </c>
      <c r="J559" s="6">
        <v>0</v>
      </c>
      <c r="K559" s="6">
        <v>0</v>
      </c>
      <c r="L559" s="6">
        <v>5967.1880000000001</v>
      </c>
      <c r="M559" s="6">
        <v>5967.1880000000001</v>
      </c>
      <c r="N559" s="6">
        <v>5967.1880000000001</v>
      </c>
      <c r="O559" s="6">
        <v>5967.1880000000001</v>
      </c>
      <c r="P559" s="6">
        <v>28831</v>
      </c>
      <c r="Q559" s="4" t="s">
        <v>26</v>
      </c>
      <c r="R559" s="4">
        <v>0</v>
      </c>
      <c r="S559" s="6">
        <v>0</v>
      </c>
      <c r="T559" s="6">
        <v>27</v>
      </c>
      <c r="U559" s="6">
        <v>52</v>
      </c>
      <c r="V559" s="6">
        <f>IF(ISERROR(VLOOKUP($S$559,'TAR FIN'!$A$1:$O$86,15,0)),0,VLOOKUP($S$559,'TAR FIN'!$A$1:$O$86,15,0))</f>
        <v>0</v>
      </c>
      <c r="W559" s="6">
        <f>IF(ISERROR(VLOOKUP($T$559,'TAR FIN'!$A$1:$O$86,15,0)),0,VLOOKUP($T$559,'TAR FIN'!$A$1:$O$86,15,0))</f>
        <v>324.5</v>
      </c>
      <c r="X559" s="6">
        <f>IF(ISERROR(VLOOKUP($U$559,'TAR FIN'!$A$1:$O$86,15,0)),0,VLOOKUP($U$559,'TAR FIN'!$A$1:$O$86,15,0))</f>
        <v>258.20999999999998</v>
      </c>
      <c r="Y559" s="6"/>
      <c r="Z559" s="6">
        <f ca="1">('TUSD BE'!$AM$21+'TUSD BF'!$AM$21+'TUSD CVA'!$AM$21)*1</f>
        <v>330.1561966420345</v>
      </c>
      <c r="AA559" s="6">
        <f>('TE BE'!$AB$11+'TE BF'!$AB$11+'TE CVA'!$AB$11)*1</f>
        <v>230.58259134858577</v>
      </c>
      <c r="AB559" s="6">
        <f>$K$559*$V$559</f>
        <v>0</v>
      </c>
      <c r="AC559" s="6">
        <f>$M$559*$W$559</f>
        <v>1936352.5060000001</v>
      </c>
      <c r="AD559" s="6">
        <f>$O$559*$X$559</f>
        <v>1540787.6134799998</v>
      </c>
      <c r="AE559" s="6">
        <f>$K$559*$Y$559</f>
        <v>0</v>
      </c>
      <c r="AF559" s="6">
        <f ca="1">$M$559*$Z$559</f>
        <v>1970104.0947279886</v>
      </c>
      <c r="AG559" s="6">
        <f>$O$559*$AA$559</f>
        <v>1375929.6721041847</v>
      </c>
    </row>
    <row r="560" spans="1:33" ht="11.25" customHeight="1" x14ac:dyDescent="0.25">
      <c r="A560" s="4" t="s">
        <v>27</v>
      </c>
      <c r="B560" s="4" t="s">
        <v>22</v>
      </c>
      <c r="C560" s="4" t="s">
        <v>23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25</v>
      </c>
      <c r="I560" s="5">
        <v>44562</v>
      </c>
      <c r="J560" s="6">
        <v>0</v>
      </c>
      <c r="K560" s="6">
        <v>0</v>
      </c>
      <c r="L560" s="6">
        <v>-12.202999999999999</v>
      </c>
      <c r="M560" s="6">
        <v>-12.202999999999999</v>
      </c>
      <c r="N560" s="6">
        <v>-12.202999999999999</v>
      </c>
      <c r="O560" s="6">
        <v>-12.202999999999999</v>
      </c>
      <c r="P560" s="6">
        <v>0</v>
      </c>
      <c r="Q560" s="4" t="s">
        <v>26</v>
      </c>
      <c r="R560" s="4">
        <v>0</v>
      </c>
      <c r="S560" s="6">
        <v>0</v>
      </c>
      <c r="T560" s="6">
        <v>27</v>
      </c>
      <c r="U560" s="6">
        <v>52</v>
      </c>
      <c r="V560" s="6">
        <f>IF(ISERROR(VLOOKUP($S$560,'TAR FIN'!$A$1:$O$86,15,0)),0,VLOOKUP($S$560,'TAR FIN'!$A$1:$O$86,15,0))</f>
        <v>0</v>
      </c>
      <c r="W560" s="6">
        <f>IF(ISERROR(VLOOKUP($T$560,'TAR FIN'!$A$1:$O$86,15,0)),0,VLOOKUP($T$560,'TAR FIN'!$A$1:$O$86,15,0))</f>
        <v>324.5</v>
      </c>
      <c r="X560" s="6">
        <f>IF(ISERROR(VLOOKUP($U$560,'TAR FIN'!$A$1:$O$86,15,0)),0,VLOOKUP($U$560,'TAR FIN'!$A$1:$O$86,15,0))</f>
        <v>258.20999999999998</v>
      </c>
      <c r="Y560" s="6"/>
      <c r="Z560" s="6">
        <f ca="1">('TUSD BE'!$AM$21+'TUSD BF'!$AM$21+'TUSD CVA'!$AM$21)*1</f>
        <v>330.1561966420345</v>
      </c>
      <c r="AA560" s="6">
        <f>('TE BE'!$AB$11+'TE BF'!$AB$11+'TE CVA'!$AB$11)*1</f>
        <v>230.58259134858577</v>
      </c>
      <c r="AB560" s="6">
        <f>$K$560*$V$560</f>
        <v>0</v>
      </c>
      <c r="AC560" s="6">
        <f>$M$560*$W$560</f>
        <v>-3959.8734999999997</v>
      </c>
      <c r="AD560" s="6">
        <f>$O$560*$X$560</f>
        <v>-3150.9366299999997</v>
      </c>
      <c r="AE560" s="6">
        <f>$K$560*$Y$560</f>
        <v>0</v>
      </c>
      <c r="AF560" s="6">
        <f ca="1">$M$560*$Z$560</f>
        <v>-4028.8960676227466</v>
      </c>
      <c r="AG560" s="6">
        <f>$O$560*$AA$560</f>
        <v>-2813.7993622267918</v>
      </c>
    </row>
    <row r="561" spans="1:33" ht="11.25" customHeight="1" x14ac:dyDescent="0.25">
      <c r="A561" s="4" t="s">
        <v>55</v>
      </c>
      <c r="B561" s="4" t="s">
        <v>22</v>
      </c>
      <c r="C561" s="4" t="s">
        <v>23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25</v>
      </c>
      <c r="I561" s="5">
        <v>44562</v>
      </c>
      <c r="J561" s="6">
        <v>0</v>
      </c>
      <c r="K561" s="6">
        <v>0</v>
      </c>
      <c r="L561" s="6">
        <v>109.601</v>
      </c>
      <c r="M561" s="6">
        <v>109.601</v>
      </c>
      <c r="N561" s="6">
        <v>109.601</v>
      </c>
      <c r="O561" s="6">
        <v>109.601</v>
      </c>
      <c r="P561" s="6">
        <v>1274</v>
      </c>
      <c r="Q561" s="4" t="s">
        <v>26</v>
      </c>
      <c r="R561" s="4">
        <v>0</v>
      </c>
      <c r="S561" s="6">
        <v>0</v>
      </c>
      <c r="T561" s="6">
        <v>27</v>
      </c>
      <c r="U561" s="6">
        <v>52</v>
      </c>
      <c r="V561" s="6">
        <f>IF(ISERROR(VLOOKUP($S$561,'TAR FIN'!$A$1:$O$86,15,0)),0,VLOOKUP($S$561,'TAR FIN'!$A$1:$O$86,15,0))</f>
        <v>0</v>
      </c>
      <c r="W561" s="6">
        <f>IF(ISERROR(VLOOKUP($T$561,'TAR FIN'!$A$1:$O$86,15,0)),0,VLOOKUP($T$561,'TAR FIN'!$A$1:$O$86,15,0))</f>
        <v>324.5</v>
      </c>
      <c r="X561" s="6">
        <f>IF(ISERROR(VLOOKUP($U$561,'TAR FIN'!$A$1:$O$86,15,0)),0,VLOOKUP($U$561,'TAR FIN'!$A$1:$O$86,15,0))</f>
        <v>258.20999999999998</v>
      </c>
      <c r="Y561" s="6"/>
      <c r="Z561" s="6">
        <f ca="1">('TUSD BE'!$AM$21+'TUSD BF'!$AM$21+'TUSD CVA'!$AM$21)*1</f>
        <v>330.1561966420345</v>
      </c>
      <c r="AA561" s="6">
        <f>('TE BE'!$AB$11+'TE BF'!$AB$11+'TE CVA'!$AB$11)*1</f>
        <v>230.58259134858577</v>
      </c>
      <c r="AB561" s="6">
        <f>$K$561*$V$561</f>
        <v>0</v>
      </c>
      <c r="AC561" s="6">
        <f>$M$561*$W$561</f>
        <v>35565.5245</v>
      </c>
      <c r="AD561" s="6">
        <f>$O$561*$X$561</f>
        <v>28300.074209999999</v>
      </c>
      <c r="AE561" s="6">
        <f>$K$561*$Y$561</f>
        <v>0</v>
      </c>
      <c r="AF561" s="6">
        <f ca="1">$M$561*$Z$561</f>
        <v>36185.449308163625</v>
      </c>
      <c r="AG561" s="6">
        <f>$O$561*$AA$561</f>
        <v>25272.08259439635</v>
      </c>
    </row>
    <row r="562" spans="1:33" ht="11.25" customHeight="1" x14ac:dyDescent="0.25">
      <c r="A562" s="4" t="s">
        <v>55</v>
      </c>
      <c r="B562" s="4" t="s">
        <v>22</v>
      </c>
      <c r="C562" s="4" t="s">
        <v>23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25</v>
      </c>
      <c r="I562" s="5">
        <v>44562</v>
      </c>
      <c r="J562" s="6">
        <v>0</v>
      </c>
      <c r="K562" s="6">
        <v>0</v>
      </c>
      <c r="L562" s="6">
        <v>-1.0089999999999999</v>
      </c>
      <c r="M562" s="6">
        <v>-1.0089999999999999</v>
      </c>
      <c r="N562" s="6">
        <v>-1.0089999999999999</v>
      </c>
      <c r="O562" s="6">
        <v>-1.0089999999999999</v>
      </c>
      <c r="P562" s="6">
        <v>4</v>
      </c>
      <c r="Q562" s="4" t="s">
        <v>26</v>
      </c>
      <c r="R562" s="4">
        <v>0</v>
      </c>
      <c r="S562" s="6">
        <v>0</v>
      </c>
      <c r="T562" s="6">
        <v>27</v>
      </c>
      <c r="U562" s="6">
        <v>52</v>
      </c>
      <c r="V562" s="6">
        <f>IF(ISERROR(VLOOKUP($S$562,'TAR FIN'!$A$1:$O$86,15,0)),0,VLOOKUP($S$562,'TAR FIN'!$A$1:$O$86,15,0))</f>
        <v>0</v>
      </c>
      <c r="W562" s="6">
        <f>IF(ISERROR(VLOOKUP($T$562,'TAR FIN'!$A$1:$O$86,15,0)),0,VLOOKUP($T$562,'TAR FIN'!$A$1:$O$86,15,0))</f>
        <v>324.5</v>
      </c>
      <c r="X562" s="6">
        <f>IF(ISERROR(VLOOKUP($U$562,'TAR FIN'!$A$1:$O$86,15,0)),0,VLOOKUP($U$562,'TAR FIN'!$A$1:$O$86,15,0))</f>
        <v>258.20999999999998</v>
      </c>
      <c r="Y562" s="6"/>
      <c r="Z562" s="6">
        <f ca="1">('TUSD BE'!$AM$21+'TUSD BF'!$AM$21+'TUSD CVA'!$AM$21)*1</f>
        <v>330.1561966420345</v>
      </c>
      <c r="AA562" s="6">
        <f>('TE BE'!$AB$11+'TE BF'!$AB$11+'TE CVA'!$AB$11)*1</f>
        <v>230.58259134858577</v>
      </c>
      <c r="AB562" s="6">
        <f>$K$562*$V$562</f>
        <v>0</v>
      </c>
      <c r="AC562" s="6">
        <f>$M$562*$W$562</f>
        <v>-327.42049999999995</v>
      </c>
      <c r="AD562" s="6">
        <f>$O$562*$X$562</f>
        <v>-260.53388999999993</v>
      </c>
      <c r="AE562" s="6">
        <f>$K$562*$Y$562</f>
        <v>0</v>
      </c>
      <c r="AF562" s="6">
        <f ca="1">$M$562*$Z$562</f>
        <v>-333.1276024118128</v>
      </c>
      <c r="AG562" s="6">
        <f>$O$562*$AA$562</f>
        <v>-232.65783467072302</v>
      </c>
    </row>
    <row r="563" spans="1:33" ht="11.25" customHeight="1" x14ac:dyDescent="0.25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25</v>
      </c>
      <c r="I563" s="5">
        <v>44593</v>
      </c>
      <c r="J563" s="6">
        <v>0</v>
      </c>
      <c r="K563" s="6">
        <v>0</v>
      </c>
      <c r="L563" s="6">
        <v>5847.8370000000004</v>
      </c>
      <c r="M563" s="6">
        <v>5847.8370000000004</v>
      </c>
      <c r="N563" s="6">
        <v>5847.8370000000004</v>
      </c>
      <c r="O563" s="6">
        <v>5847.8370000000004</v>
      </c>
      <c r="P563" s="6">
        <v>28801</v>
      </c>
      <c r="Q563" s="4" t="s">
        <v>26</v>
      </c>
      <c r="R563" s="4">
        <v>0</v>
      </c>
      <c r="S563" s="6">
        <v>0</v>
      </c>
      <c r="T563" s="6">
        <v>27</v>
      </c>
      <c r="U563" s="6">
        <v>52</v>
      </c>
      <c r="V563" s="6">
        <f>IF(ISERROR(VLOOKUP($S$563,'TAR FIN'!$A$1:$O$86,15,0)),0,VLOOKUP($S$563,'TAR FIN'!$A$1:$O$86,15,0))</f>
        <v>0</v>
      </c>
      <c r="W563" s="6">
        <f>IF(ISERROR(VLOOKUP($T$563,'TAR FIN'!$A$1:$O$86,15,0)),0,VLOOKUP($T$563,'TAR FIN'!$A$1:$O$86,15,0))</f>
        <v>324.5</v>
      </c>
      <c r="X563" s="6">
        <f>IF(ISERROR(VLOOKUP($U$563,'TAR FIN'!$A$1:$O$86,15,0)),0,VLOOKUP($U$563,'TAR FIN'!$A$1:$O$86,15,0))</f>
        <v>258.20999999999998</v>
      </c>
      <c r="Y563" s="6"/>
      <c r="Z563" s="6">
        <f ca="1">('TUSD BE'!$AM$21+'TUSD BF'!$AM$21+'TUSD CVA'!$AM$21)*1</f>
        <v>330.1561966420345</v>
      </c>
      <c r="AA563" s="6">
        <f>('TE BE'!$AB$11+'TE BF'!$AB$11+'TE CVA'!$AB$11)*1</f>
        <v>230.58259134858577</v>
      </c>
      <c r="AB563" s="6">
        <f>$K$563*$V$563</f>
        <v>0</v>
      </c>
      <c r="AC563" s="6">
        <f>$M$563*$W$563</f>
        <v>1897623.1065000002</v>
      </c>
      <c r="AD563" s="6">
        <f>$O$563*$X$563</f>
        <v>1509969.99177</v>
      </c>
      <c r="AE563" s="6">
        <f>$K$563*$Y$563</f>
        <v>0</v>
      </c>
      <c r="AF563" s="6">
        <f ca="1">$M$563*$Z$563</f>
        <v>1930699.6225025652</v>
      </c>
      <c r="AG563" s="6">
        <f>$O$563*$AA$563</f>
        <v>1348409.4092441399</v>
      </c>
    </row>
    <row r="564" spans="1:33" ht="11.25" customHeight="1" x14ac:dyDescent="0.25">
      <c r="A564" s="4" t="s">
        <v>27</v>
      </c>
      <c r="B564" s="4" t="s">
        <v>22</v>
      </c>
      <c r="C564" s="4" t="s">
        <v>23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25</v>
      </c>
      <c r="I564" s="5">
        <v>44593</v>
      </c>
      <c r="J564" s="6">
        <v>0</v>
      </c>
      <c r="K564" s="6">
        <v>0</v>
      </c>
      <c r="L564" s="6">
        <v>-9.6020000000000003</v>
      </c>
      <c r="M564" s="6">
        <v>-9.6020000000000003</v>
      </c>
      <c r="N564" s="6">
        <v>-9.6020000000000003</v>
      </c>
      <c r="O564" s="6">
        <v>-9.6020000000000003</v>
      </c>
      <c r="P564" s="6">
        <v>0</v>
      </c>
      <c r="Q564" s="4" t="s">
        <v>26</v>
      </c>
      <c r="R564" s="4">
        <v>0</v>
      </c>
      <c r="S564" s="6">
        <v>0</v>
      </c>
      <c r="T564" s="6">
        <v>27</v>
      </c>
      <c r="U564" s="6">
        <v>52</v>
      </c>
      <c r="V564" s="6">
        <f>IF(ISERROR(VLOOKUP($S$564,'TAR FIN'!$A$1:$O$86,15,0)),0,VLOOKUP($S$564,'TAR FIN'!$A$1:$O$86,15,0))</f>
        <v>0</v>
      </c>
      <c r="W564" s="6">
        <f>IF(ISERROR(VLOOKUP($T$564,'TAR FIN'!$A$1:$O$86,15,0)),0,VLOOKUP($T$564,'TAR FIN'!$A$1:$O$86,15,0))</f>
        <v>324.5</v>
      </c>
      <c r="X564" s="6">
        <f>IF(ISERROR(VLOOKUP($U$564,'TAR FIN'!$A$1:$O$86,15,0)),0,VLOOKUP($U$564,'TAR FIN'!$A$1:$O$86,15,0))</f>
        <v>258.20999999999998</v>
      </c>
      <c r="Y564" s="6"/>
      <c r="Z564" s="6">
        <f ca="1">('TUSD BE'!$AM$21+'TUSD BF'!$AM$21+'TUSD CVA'!$AM$21)*1</f>
        <v>330.1561966420345</v>
      </c>
      <c r="AA564" s="6">
        <f>('TE BE'!$AB$11+'TE BF'!$AB$11+'TE CVA'!$AB$11)*1</f>
        <v>230.58259134858577</v>
      </c>
      <c r="AB564" s="6">
        <f>$K$564*$V$564</f>
        <v>0</v>
      </c>
      <c r="AC564" s="6">
        <f>$M$564*$W$564</f>
        <v>-3115.8490000000002</v>
      </c>
      <c r="AD564" s="6">
        <f>$O$564*$X$564</f>
        <v>-2479.3324199999997</v>
      </c>
      <c r="AE564" s="6">
        <f>$K$564*$Y$564</f>
        <v>0</v>
      </c>
      <c r="AF564" s="6">
        <f ca="1">$M$564*$Z$564</f>
        <v>-3170.1598001568154</v>
      </c>
      <c r="AG564" s="6">
        <f>$O$564*$AA$564</f>
        <v>-2214.0540421291207</v>
      </c>
    </row>
    <row r="565" spans="1:33" ht="11.25" customHeight="1" x14ac:dyDescent="0.25">
      <c r="A565" s="4" t="s">
        <v>55</v>
      </c>
      <c r="B565" s="4" t="s">
        <v>22</v>
      </c>
      <c r="C565" s="4" t="s">
        <v>23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25</v>
      </c>
      <c r="I565" s="5">
        <v>44593</v>
      </c>
      <c r="J565" s="6">
        <v>0</v>
      </c>
      <c r="K565" s="6">
        <v>0</v>
      </c>
      <c r="L565" s="6">
        <v>125.297</v>
      </c>
      <c r="M565" s="6">
        <v>125.297</v>
      </c>
      <c r="N565" s="6">
        <v>125.297</v>
      </c>
      <c r="O565" s="6">
        <v>125.297</v>
      </c>
      <c r="P565" s="6">
        <v>1341</v>
      </c>
      <c r="Q565" s="4" t="s">
        <v>26</v>
      </c>
      <c r="R565" s="4">
        <v>0</v>
      </c>
      <c r="S565" s="6">
        <v>0</v>
      </c>
      <c r="T565" s="6">
        <v>27</v>
      </c>
      <c r="U565" s="6">
        <v>52</v>
      </c>
      <c r="V565" s="6">
        <f>IF(ISERROR(VLOOKUP($S$565,'TAR FIN'!$A$1:$O$86,15,0)),0,VLOOKUP($S$565,'TAR FIN'!$A$1:$O$86,15,0))</f>
        <v>0</v>
      </c>
      <c r="W565" s="6">
        <f>IF(ISERROR(VLOOKUP($T$565,'TAR FIN'!$A$1:$O$86,15,0)),0,VLOOKUP($T$565,'TAR FIN'!$A$1:$O$86,15,0))</f>
        <v>324.5</v>
      </c>
      <c r="X565" s="6">
        <f>IF(ISERROR(VLOOKUP($U$565,'TAR FIN'!$A$1:$O$86,15,0)),0,VLOOKUP($U$565,'TAR FIN'!$A$1:$O$86,15,0))</f>
        <v>258.20999999999998</v>
      </c>
      <c r="Y565" s="6"/>
      <c r="Z565" s="6">
        <f ca="1">('TUSD BE'!$AM$21+'TUSD BF'!$AM$21+'TUSD CVA'!$AM$21)*1</f>
        <v>330.1561966420345</v>
      </c>
      <c r="AA565" s="6">
        <f>('TE BE'!$AB$11+'TE BF'!$AB$11+'TE CVA'!$AB$11)*1</f>
        <v>230.58259134858577</v>
      </c>
      <c r="AB565" s="6">
        <f>$K$565*$V$565</f>
        <v>0</v>
      </c>
      <c r="AC565" s="6">
        <f>$M$565*$W$565</f>
        <v>40658.876499999998</v>
      </c>
      <c r="AD565" s="6">
        <f>$O$565*$X$565</f>
        <v>32352.938369999996</v>
      </c>
      <c r="AE565" s="6">
        <f>$K$565*$Y$565</f>
        <v>0</v>
      </c>
      <c r="AF565" s="6">
        <f ca="1">$M$565*$Z$565</f>
        <v>41367.580970656993</v>
      </c>
      <c r="AG565" s="6">
        <f>$O$565*$AA$565</f>
        <v>28891.30694820375</v>
      </c>
    </row>
    <row r="566" spans="1:33" ht="11.25" customHeight="1" x14ac:dyDescent="0.25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25</v>
      </c>
      <c r="I566" s="5">
        <v>44621</v>
      </c>
      <c r="J566" s="6">
        <v>0</v>
      </c>
      <c r="K566" s="6">
        <v>0</v>
      </c>
      <c r="L566" s="6">
        <v>5757.4809999999998</v>
      </c>
      <c r="M566" s="6">
        <v>5757.4809999999998</v>
      </c>
      <c r="N566" s="6">
        <v>5757.4809999999998</v>
      </c>
      <c r="O566" s="6">
        <v>5757.4809999999998</v>
      </c>
      <c r="P566" s="6">
        <v>28768</v>
      </c>
      <c r="Q566" s="4" t="s">
        <v>26</v>
      </c>
      <c r="R566" s="4">
        <v>0</v>
      </c>
      <c r="S566" s="6">
        <v>0</v>
      </c>
      <c r="T566" s="6">
        <v>27</v>
      </c>
      <c r="U566" s="6">
        <v>52</v>
      </c>
      <c r="V566" s="6">
        <f>IF(ISERROR(VLOOKUP($S$566,'TAR FIN'!$A$1:$O$86,15,0)),0,VLOOKUP($S$566,'TAR FIN'!$A$1:$O$86,15,0))</f>
        <v>0</v>
      </c>
      <c r="W566" s="6">
        <f>IF(ISERROR(VLOOKUP($T$566,'TAR FIN'!$A$1:$O$86,15,0)),0,VLOOKUP($T$566,'TAR FIN'!$A$1:$O$86,15,0))</f>
        <v>324.5</v>
      </c>
      <c r="X566" s="6">
        <f>IF(ISERROR(VLOOKUP($U$566,'TAR FIN'!$A$1:$O$86,15,0)),0,VLOOKUP($U$566,'TAR FIN'!$A$1:$O$86,15,0))</f>
        <v>258.20999999999998</v>
      </c>
      <c r="Y566" s="6"/>
      <c r="Z566" s="6">
        <f ca="1">('TUSD BE'!$AM$21+'TUSD BF'!$AM$21+'TUSD CVA'!$AM$21)*1</f>
        <v>330.1561966420345</v>
      </c>
      <c r="AA566" s="6">
        <f>('TE BE'!$AB$11+'TE BF'!$AB$11+'TE CVA'!$AB$11)*1</f>
        <v>230.58259134858577</v>
      </c>
      <c r="AB566" s="6">
        <f>$K$566*$V$566</f>
        <v>0</v>
      </c>
      <c r="AC566" s="6">
        <f>$M$566*$W$566</f>
        <v>1868302.5844999999</v>
      </c>
      <c r="AD566" s="6">
        <f>$O$566*$X$566</f>
        <v>1486639.1690099998</v>
      </c>
      <c r="AE566" s="6">
        <f>$K$566*$Y$566</f>
        <v>0</v>
      </c>
      <c r="AF566" s="6">
        <f ca="1">$M$566*$Z$566</f>
        <v>1900868.0291987774</v>
      </c>
      <c r="AG566" s="6">
        <f>$O$566*$AA$566</f>
        <v>1327574.8886202469</v>
      </c>
    </row>
    <row r="567" spans="1:33" ht="11.25" customHeight="1" x14ac:dyDescent="0.25">
      <c r="A567" s="4" t="s">
        <v>27</v>
      </c>
      <c r="B567" s="4" t="s">
        <v>22</v>
      </c>
      <c r="C567" s="4" t="s">
        <v>23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25</v>
      </c>
      <c r="I567" s="5">
        <v>44621</v>
      </c>
      <c r="J567" s="6">
        <v>0</v>
      </c>
      <c r="K567" s="6">
        <v>0</v>
      </c>
      <c r="L567" s="6">
        <v>-28.117000000000001</v>
      </c>
      <c r="M567" s="6">
        <v>-28.117000000000001</v>
      </c>
      <c r="N567" s="6">
        <v>-28.117000000000001</v>
      </c>
      <c r="O567" s="6">
        <v>-28.117000000000001</v>
      </c>
      <c r="P567" s="6">
        <v>0</v>
      </c>
      <c r="Q567" s="4" t="s">
        <v>26</v>
      </c>
      <c r="R567" s="4">
        <v>0</v>
      </c>
      <c r="S567" s="6">
        <v>0</v>
      </c>
      <c r="T567" s="6">
        <v>27</v>
      </c>
      <c r="U567" s="6">
        <v>52</v>
      </c>
      <c r="V567" s="6">
        <f>IF(ISERROR(VLOOKUP($S$567,'TAR FIN'!$A$1:$O$86,15,0)),0,VLOOKUP($S$567,'TAR FIN'!$A$1:$O$86,15,0))</f>
        <v>0</v>
      </c>
      <c r="W567" s="6">
        <f>IF(ISERROR(VLOOKUP($T$567,'TAR FIN'!$A$1:$O$86,15,0)),0,VLOOKUP($T$567,'TAR FIN'!$A$1:$O$86,15,0))</f>
        <v>324.5</v>
      </c>
      <c r="X567" s="6">
        <f>IF(ISERROR(VLOOKUP($U$567,'TAR FIN'!$A$1:$O$86,15,0)),0,VLOOKUP($U$567,'TAR FIN'!$A$1:$O$86,15,0))</f>
        <v>258.20999999999998</v>
      </c>
      <c r="Y567" s="6"/>
      <c r="Z567" s="6">
        <f ca="1">('TUSD BE'!$AM$21+'TUSD BF'!$AM$21+'TUSD CVA'!$AM$21)*1</f>
        <v>330.1561966420345</v>
      </c>
      <c r="AA567" s="6">
        <f>('TE BE'!$AB$11+'TE BF'!$AB$11+'TE CVA'!$AB$11)*1</f>
        <v>230.58259134858577</v>
      </c>
      <c r="AB567" s="6">
        <f>$K$567*$V$567</f>
        <v>0</v>
      </c>
      <c r="AC567" s="6">
        <f>$M$567*$W$567</f>
        <v>-9123.9665000000005</v>
      </c>
      <c r="AD567" s="6">
        <f>$O$567*$X$567</f>
        <v>-7260.0905699999994</v>
      </c>
      <c r="AE567" s="6">
        <f>$K$567*$Y$567</f>
        <v>0</v>
      </c>
      <c r="AF567" s="6">
        <f ca="1">$M$567*$Z$567</f>
        <v>-9283.0017809840847</v>
      </c>
      <c r="AG567" s="6">
        <f>$O$567*$AA$567</f>
        <v>-6483.2907209481864</v>
      </c>
    </row>
    <row r="568" spans="1:33" ht="11.25" customHeight="1" x14ac:dyDescent="0.25">
      <c r="A568" s="4" t="s">
        <v>55</v>
      </c>
      <c r="B568" s="4" t="s">
        <v>22</v>
      </c>
      <c r="C568" s="4" t="s">
        <v>23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25</v>
      </c>
      <c r="I568" s="5">
        <v>44621</v>
      </c>
      <c r="J568" s="6">
        <v>0</v>
      </c>
      <c r="K568" s="6">
        <v>0</v>
      </c>
      <c r="L568" s="6">
        <v>135.03</v>
      </c>
      <c r="M568" s="6">
        <v>135.03</v>
      </c>
      <c r="N568" s="6">
        <v>135.03</v>
      </c>
      <c r="O568" s="6">
        <v>135.03</v>
      </c>
      <c r="P568" s="6">
        <v>1436</v>
      </c>
      <c r="Q568" s="4" t="s">
        <v>26</v>
      </c>
      <c r="R568" s="4">
        <v>0</v>
      </c>
      <c r="S568" s="6">
        <v>0</v>
      </c>
      <c r="T568" s="6">
        <v>27</v>
      </c>
      <c r="U568" s="6">
        <v>52</v>
      </c>
      <c r="V568" s="6">
        <f>IF(ISERROR(VLOOKUP($S$568,'TAR FIN'!$A$1:$O$86,15,0)),0,VLOOKUP($S$568,'TAR FIN'!$A$1:$O$86,15,0))</f>
        <v>0</v>
      </c>
      <c r="W568" s="6">
        <f>IF(ISERROR(VLOOKUP($T$568,'TAR FIN'!$A$1:$O$86,15,0)),0,VLOOKUP($T$568,'TAR FIN'!$A$1:$O$86,15,0))</f>
        <v>324.5</v>
      </c>
      <c r="X568" s="6">
        <f>IF(ISERROR(VLOOKUP($U$568,'TAR FIN'!$A$1:$O$86,15,0)),0,VLOOKUP($U$568,'TAR FIN'!$A$1:$O$86,15,0))</f>
        <v>258.20999999999998</v>
      </c>
      <c r="Y568" s="6"/>
      <c r="Z568" s="6">
        <f ca="1">('TUSD BE'!$AM$21+'TUSD BF'!$AM$21+'TUSD CVA'!$AM$21)*1</f>
        <v>330.1561966420345</v>
      </c>
      <c r="AA568" s="6">
        <f>('TE BE'!$AB$11+'TE BF'!$AB$11+'TE CVA'!$AB$11)*1</f>
        <v>230.58259134858577</v>
      </c>
      <c r="AB568" s="6">
        <f>$K$568*$V$568</f>
        <v>0</v>
      </c>
      <c r="AC568" s="6">
        <f>$M$568*$W$568</f>
        <v>43817.235000000001</v>
      </c>
      <c r="AD568" s="6">
        <f>$O$568*$X$568</f>
        <v>34866.096299999997</v>
      </c>
      <c r="AE568" s="6">
        <f>$K$568*$Y$568</f>
        <v>0</v>
      </c>
      <c r="AF568" s="6">
        <f ca="1">$M$568*$Z$568</f>
        <v>44580.991232573921</v>
      </c>
      <c r="AG568" s="6">
        <f>$O$568*$AA$568</f>
        <v>31135.567309799535</v>
      </c>
    </row>
    <row r="569" spans="1:33" ht="11.25" customHeight="1" x14ac:dyDescent="0.25">
      <c r="A569" s="4" t="s">
        <v>55</v>
      </c>
      <c r="B569" s="4" t="s">
        <v>22</v>
      </c>
      <c r="C569" s="4" t="s">
        <v>23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25</v>
      </c>
      <c r="I569" s="5">
        <v>44621</v>
      </c>
      <c r="J569" s="6">
        <v>0</v>
      </c>
      <c r="K569" s="6">
        <v>0</v>
      </c>
      <c r="L569" s="6">
        <v>3.4580000000000002</v>
      </c>
      <c r="M569" s="6">
        <v>3.4580000000000002</v>
      </c>
      <c r="N569" s="6">
        <v>3.4580000000000002</v>
      </c>
      <c r="O569" s="6">
        <v>3.4580000000000002</v>
      </c>
      <c r="P569" s="6">
        <v>7</v>
      </c>
      <c r="Q569" s="4" t="s">
        <v>26</v>
      </c>
      <c r="R569" s="4">
        <v>0</v>
      </c>
      <c r="S569" s="6">
        <v>0</v>
      </c>
      <c r="T569" s="6">
        <v>27</v>
      </c>
      <c r="U569" s="6">
        <v>52</v>
      </c>
      <c r="V569" s="6">
        <f>IF(ISERROR(VLOOKUP($S$569,'TAR FIN'!$A$1:$O$86,15,0)),0,VLOOKUP($S$569,'TAR FIN'!$A$1:$O$86,15,0))</f>
        <v>0</v>
      </c>
      <c r="W569" s="6">
        <f>IF(ISERROR(VLOOKUP($T$569,'TAR FIN'!$A$1:$O$86,15,0)),0,VLOOKUP($T$569,'TAR FIN'!$A$1:$O$86,15,0))</f>
        <v>324.5</v>
      </c>
      <c r="X569" s="6">
        <f>IF(ISERROR(VLOOKUP($U$569,'TAR FIN'!$A$1:$O$86,15,0)),0,VLOOKUP($U$569,'TAR FIN'!$A$1:$O$86,15,0))</f>
        <v>258.20999999999998</v>
      </c>
      <c r="Y569" s="6"/>
      <c r="Z569" s="6">
        <f ca="1">('TUSD BE'!$AM$21+'TUSD BF'!$AM$21+'TUSD CVA'!$AM$21)*1</f>
        <v>330.1561966420345</v>
      </c>
      <c r="AA569" s="6">
        <f>('TE BE'!$AB$11+'TE BF'!$AB$11+'TE CVA'!$AB$11)*1</f>
        <v>230.58259134858577</v>
      </c>
      <c r="AB569" s="6">
        <f>$K$569*$V$569</f>
        <v>0</v>
      </c>
      <c r="AC569" s="6">
        <f>$M$569*$W$569</f>
        <v>1122.1210000000001</v>
      </c>
      <c r="AD569" s="6">
        <f>$O$569*$X$569</f>
        <v>892.89017999999999</v>
      </c>
      <c r="AE569" s="6">
        <f>$K$569*$Y$569</f>
        <v>0</v>
      </c>
      <c r="AF569" s="6">
        <f ca="1">$M$569*$Z$569</f>
        <v>1141.6801279881554</v>
      </c>
      <c r="AG569" s="6">
        <f>$O$569*$AA$569</f>
        <v>797.3546008834096</v>
      </c>
    </row>
    <row r="570" spans="1:33" ht="11.25" customHeight="1" x14ac:dyDescent="0.25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44652</v>
      </c>
      <c r="J570" s="6">
        <v>0</v>
      </c>
      <c r="K570" s="6">
        <v>0</v>
      </c>
      <c r="L570" s="6">
        <v>4511.9480000000003</v>
      </c>
      <c r="M570" s="6">
        <v>4511.9480000000003</v>
      </c>
      <c r="N570" s="6">
        <v>4511.9480000000003</v>
      </c>
      <c r="O570" s="6">
        <v>4511.9480000000003</v>
      </c>
      <c r="P570" s="6">
        <v>28669</v>
      </c>
      <c r="Q570" s="4" t="s">
        <v>26</v>
      </c>
      <c r="R570" s="4">
        <v>0</v>
      </c>
      <c r="S570" s="6">
        <v>0</v>
      </c>
      <c r="T570" s="6">
        <v>27</v>
      </c>
      <c r="U570" s="6">
        <v>52</v>
      </c>
      <c r="V570" s="6">
        <f>IF(ISERROR(VLOOKUP($S$570,'TAR FIN'!$A$1:$O$86,15,0)),0,VLOOKUP($S$570,'TAR FIN'!$A$1:$O$86,15,0))</f>
        <v>0</v>
      </c>
      <c r="W570" s="6">
        <f>IF(ISERROR(VLOOKUP($T$570,'TAR FIN'!$A$1:$O$86,15,0)),0,VLOOKUP($T$570,'TAR FIN'!$A$1:$O$86,15,0))</f>
        <v>324.5</v>
      </c>
      <c r="X570" s="6">
        <f>IF(ISERROR(VLOOKUP($U$570,'TAR FIN'!$A$1:$O$86,15,0)),0,VLOOKUP($U$570,'TAR FIN'!$A$1:$O$86,15,0))</f>
        <v>258.20999999999998</v>
      </c>
      <c r="Y570" s="6"/>
      <c r="Z570" s="6">
        <f ca="1">('TUSD BE'!$AM$21+'TUSD BF'!$AM$21+'TUSD CVA'!$AM$21)*1</f>
        <v>330.1561966420345</v>
      </c>
      <c r="AA570" s="6">
        <f>('TE BE'!$AB$11+'TE BF'!$AB$11+'TE CVA'!$AB$11)*1</f>
        <v>230.58259134858577</v>
      </c>
      <c r="AB570" s="6">
        <f>$K$570*$V$570</f>
        <v>0</v>
      </c>
      <c r="AC570" s="6">
        <f>$M$570*$W$570</f>
        <v>1464127.1260000002</v>
      </c>
      <c r="AD570" s="6">
        <f>$O$570*$X$570</f>
        <v>1165030.09308</v>
      </c>
      <c r="AE570" s="6">
        <f>$K$570*$Y$570</f>
        <v>0</v>
      </c>
      <c r="AF570" s="6">
        <f ca="1">$M$570*$Z$570</f>
        <v>1489647.5911266345</v>
      </c>
      <c r="AG570" s="6">
        <f>$O$570*$AA$570</f>
        <v>1040376.6618700689</v>
      </c>
    </row>
    <row r="571" spans="1:33" ht="11.25" customHeight="1" x14ac:dyDescent="0.25">
      <c r="A571" s="4" t="s">
        <v>27</v>
      </c>
      <c r="B571" s="4" t="s">
        <v>22</v>
      </c>
      <c r="C571" s="4" t="s">
        <v>23</v>
      </c>
      <c r="D571" s="4" t="s">
        <v>24</v>
      </c>
      <c r="E571" s="4" t="s">
        <v>24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0</v>
      </c>
      <c r="K571" s="6">
        <v>0</v>
      </c>
      <c r="L571" s="6">
        <v>-8.7910000000000004</v>
      </c>
      <c r="M571" s="6">
        <v>-8.7910000000000004</v>
      </c>
      <c r="N571" s="6">
        <v>-8.7910000000000004</v>
      </c>
      <c r="O571" s="6">
        <v>-8.7910000000000004</v>
      </c>
      <c r="P571" s="6">
        <v>0</v>
      </c>
      <c r="Q571" s="4" t="s">
        <v>26</v>
      </c>
      <c r="R571" s="4">
        <v>0</v>
      </c>
      <c r="S571" s="6">
        <v>0</v>
      </c>
      <c r="T571" s="6">
        <v>27</v>
      </c>
      <c r="U571" s="6">
        <v>52</v>
      </c>
      <c r="V571" s="6">
        <f>IF(ISERROR(VLOOKUP($S$571,'TAR FIN'!$A$1:$O$86,15,0)),0,VLOOKUP($S$571,'TAR FIN'!$A$1:$O$86,15,0))</f>
        <v>0</v>
      </c>
      <c r="W571" s="6">
        <f>IF(ISERROR(VLOOKUP($T$571,'TAR FIN'!$A$1:$O$86,15,0)),0,VLOOKUP($T$571,'TAR FIN'!$A$1:$O$86,15,0))</f>
        <v>324.5</v>
      </c>
      <c r="X571" s="6">
        <f>IF(ISERROR(VLOOKUP($U$571,'TAR FIN'!$A$1:$O$86,15,0)),0,VLOOKUP($U$571,'TAR FIN'!$A$1:$O$86,15,0))</f>
        <v>258.20999999999998</v>
      </c>
      <c r="Y571" s="6"/>
      <c r="Z571" s="6">
        <f ca="1">('TUSD BE'!$AM$21+'TUSD BF'!$AM$21+'TUSD CVA'!$AM$21)*1</f>
        <v>330.1561966420345</v>
      </c>
      <c r="AA571" s="6">
        <f>('TE BE'!$AB$11+'TE BF'!$AB$11+'TE CVA'!$AB$11)*1</f>
        <v>230.58259134858577</v>
      </c>
      <c r="AB571" s="6">
        <f>$K$571*$V$571</f>
        <v>0</v>
      </c>
      <c r="AC571" s="6">
        <f>$M$571*$W$571</f>
        <v>-2852.6795000000002</v>
      </c>
      <c r="AD571" s="6">
        <f>$O$571*$X$571</f>
        <v>-2269.9241099999999</v>
      </c>
      <c r="AE571" s="6">
        <f>$K$571*$Y$571</f>
        <v>0</v>
      </c>
      <c r="AF571" s="6">
        <f ca="1">$M$571*$Z$571</f>
        <v>-2902.4031246801255</v>
      </c>
      <c r="AG571" s="6">
        <f>$O$571*$AA$571</f>
        <v>-2027.0515605454175</v>
      </c>
    </row>
    <row r="572" spans="1:33" ht="11.25" customHeight="1" x14ac:dyDescent="0.25">
      <c r="A572" s="4" t="s">
        <v>55</v>
      </c>
      <c r="B572" s="4" t="s">
        <v>22</v>
      </c>
      <c r="C572" s="4" t="s">
        <v>23</v>
      </c>
      <c r="D572" s="4" t="s">
        <v>24</v>
      </c>
      <c r="E572" s="4" t="s">
        <v>24</v>
      </c>
      <c r="F572" s="4" t="s">
        <v>25</v>
      </c>
      <c r="G572" s="4" t="s">
        <v>25</v>
      </c>
      <c r="H572" s="4" t="s">
        <v>25</v>
      </c>
      <c r="I572" s="5">
        <v>44652</v>
      </c>
      <c r="J572" s="6">
        <v>0</v>
      </c>
      <c r="K572" s="6">
        <v>0</v>
      </c>
      <c r="L572" s="6">
        <v>116.264</v>
      </c>
      <c r="M572" s="6">
        <v>116.264</v>
      </c>
      <c r="N572" s="6">
        <v>116.264</v>
      </c>
      <c r="O572" s="6">
        <v>116.264</v>
      </c>
      <c r="P572" s="6">
        <v>1519</v>
      </c>
      <c r="Q572" s="4" t="s">
        <v>26</v>
      </c>
      <c r="R572" s="4">
        <v>0</v>
      </c>
      <c r="S572" s="6">
        <v>0</v>
      </c>
      <c r="T572" s="6">
        <v>27</v>
      </c>
      <c r="U572" s="6">
        <v>52</v>
      </c>
      <c r="V572" s="6">
        <f>IF(ISERROR(VLOOKUP($S$572,'TAR FIN'!$A$1:$O$86,15,0)),0,VLOOKUP($S$572,'TAR FIN'!$A$1:$O$86,15,0))</f>
        <v>0</v>
      </c>
      <c r="W572" s="6">
        <f>IF(ISERROR(VLOOKUP($T$572,'TAR FIN'!$A$1:$O$86,15,0)),0,VLOOKUP($T$572,'TAR FIN'!$A$1:$O$86,15,0))</f>
        <v>324.5</v>
      </c>
      <c r="X572" s="6">
        <f>IF(ISERROR(VLOOKUP($U$572,'TAR FIN'!$A$1:$O$86,15,0)),0,VLOOKUP($U$572,'TAR FIN'!$A$1:$O$86,15,0))</f>
        <v>258.20999999999998</v>
      </c>
      <c r="Y572" s="6"/>
      <c r="Z572" s="6">
        <f ca="1">('TUSD BE'!$AM$21+'TUSD BF'!$AM$21+'TUSD CVA'!$AM$21)*1</f>
        <v>330.1561966420345</v>
      </c>
      <c r="AA572" s="6">
        <f>('TE BE'!$AB$11+'TE BF'!$AB$11+'TE CVA'!$AB$11)*1</f>
        <v>230.58259134858577</v>
      </c>
      <c r="AB572" s="6">
        <f>$K$572*$V$572</f>
        <v>0</v>
      </c>
      <c r="AC572" s="6">
        <f>$M$572*$W$572</f>
        <v>37727.667999999998</v>
      </c>
      <c r="AD572" s="6">
        <f>$O$572*$X$572</f>
        <v>30020.527439999998</v>
      </c>
      <c r="AE572" s="6">
        <f>$K$572*$Y$572</f>
        <v>0</v>
      </c>
      <c r="AF572" s="6">
        <f ca="1">$M$572*$Z$572</f>
        <v>38385.280046389496</v>
      </c>
      <c r="AG572" s="6">
        <f>$O$572*$AA$572</f>
        <v>26808.454400551975</v>
      </c>
    </row>
    <row r="573" spans="1:33" ht="11.25" customHeight="1" x14ac:dyDescent="0.25">
      <c r="A573" s="4" t="s">
        <v>55</v>
      </c>
      <c r="B573" s="4" t="s">
        <v>22</v>
      </c>
      <c r="C573" s="4" t="s">
        <v>23</v>
      </c>
      <c r="D573" s="4" t="s">
        <v>24</v>
      </c>
      <c r="E573" s="4" t="s">
        <v>24</v>
      </c>
      <c r="F573" s="4" t="s">
        <v>25</v>
      </c>
      <c r="G573" s="4" t="s">
        <v>25</v>
      </c>
      <c r="H573" s="4" t="s">
        <v>25</v>
      </c>
      <c r="I573" s="5">
        <v>44652</v>
      </c>
      <c r="J573" s="6">
        <v>0</v>
      </c>
      <c r="K573" s="6">
        <v>0</v>
      </c>
      <c r="L573" s="6">
        <v>-0.32400000000000001</v>
      </c>
      <c r="M573" s="6">
        <v>-0.32400000000000001</v>
      </c>
      <c r="N573" s="6">
        <v>-0.32400000000000001</v>
      </c>
      <c r="O573" s="6">
        <v>-0.32400000000000001</v>
      </c>
      <c r="P573" s="6">
        <v>8</v>
      </c>
      <c r="Q573" s="4" t="s">
        <v>26</v>
      </c>
      <c r="R573" s="4">
        <v>0</v>
      </c>
      <c r="S573" s="6">
        <v>0</v>
      </c>
      <c r="T573" s="6">
        <v>27</v>
      </c>
      <c r="U573" s="6">
        <v>52</v>
      </c>
      <c r="V573" s="6">
        <f>IF(ISERROR(VLOOKUP($S$573,'TAR FIN'!$A$1:$O$86,15,0)),0,VLOOKUP($S$573,'TAR FIN'!$A$1:$O$86,15,0))</f>
        <v>0</v>
      </c>
      <c r="W573" s="6">
        <f>IF(ISERROR(VLOOKUP($T$573,'TAR FIN'!$A$1:$O$86,15,0)),0,VLOOKUP($T$573,'TAR FIN'!$A$1:$O$86,15,0))</f>
        <v>324.5</v>
      </c>
      <c r="X573" s="6">
        <f>IF(ISERROR(VLOOKUP($U$573,'TAR FIN'!$A$1:$O$86,15,0)),0,VLOOKUP($U$573,'TAR FIN'!$A$1:$O$86,15,0))</f>
        <v>258.20999999999998</v>
      </c>
      <c r="Y573" s="6"/>
      <c r="Z573" s="6">
        <f ca="1">('TUSD BE'!$AM$21+'TUSD BF'!$AM$21+'TUSD CVA'!$AM$21)*1</f>
        <v>330.1561966420345</v>
      </c>
      <c r="AA573" s="6">
        <f>('TE BE'!$AB$11+'TE BF'!$AB$11+'TE CVA'!$AB$11)*1</f>
        <v>230.58259134858577</v>
      </c>
      <c r="AB573" s="6">
        <f>$K$573*$V$573</f>
        <v>0</v>
      </c>
      <c r="AC573" s="6">
        <f>$M$573*$W$573</f>
        <v>-105.13800000000001</v>
      </c>
      <c r="AD573" s="6">
        <f>$O$573*$X$573</f>
        <v>-83.660039999999995</v>
      </c>
      <c r="AE573" s="6">
        <f>$K$573*$Y$573</f>
        <v>0</v>
      </c>
      <c r="AF573" s="6">
        <f ca="1">$M$573*$Z$573</f>
        <v>-106.97060771201919</v>
      </c>
      <c r="AG573" s="6">
        <f>$O$573*$AA$573</f>
        <v>-74.708759596941789</v>
      </c>
    </row>
    <row r="574" spans="1:33" ht="11.25" customHeight="1" x14ac:dyDescent="0.25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24</v>
      </c>
      <c r="F574" s="4" t="s">
        <v>25</v>
      </c>
      <c r="G574" s="4" t="s">
        <v>25</v>
      </c>
      <c r="H574" s="4" t="s">
        <v>25</v>
      </c>
      <c r="I574" s="5">
        <v>44682</v>
      </c>
      <c r="J574" s="6">
        <v>0</v>
      </c>
      <c r="K574" s="6">
        <v>0</v>
      </c>
      <c r="L574" s="6">
        <v>4597.58</v>
      </c>
      <c r="M574" s="6">
        <v>4597.58</v>
      </c>
      <c r="N574" s="6">
        <v>4597.58</v>
      </c>
      <c r="O574" s="6">
        <v>4597.58</v>
      </c>
      <c r="P574" s="6">
        <v>28650</v>
      </c>
      <c r="Q574" s="4" t="s">
        <v>26</v>
      </c>
      <c r="R574" s="4">
        <v>0</v>
      </c>
      <c r="S574" s="6">
        <v>0</v>
      </c>
      <c r="T574" s="6">
        <v>27</v>
      </c>
      <c r="U574" s="6">
        <v>52</v>
      </c>
      <c r="V574" s="6">
        <f>IF(ISERROR(VLOOKUP($S$574,'TAR FIN'!$A$1:$O$86,15,0)),0,VLOOKUP($S$574,'TAR FIN'!$A$1:$O$86,15,0))</f>
        <v>0</v>
      </c>
      <c r="W574" s="6">
        <f>IF(ISERROR(VLOOKUP($T$574,'TAR FIN'!$A$1:$O$86,15,0)),0,VLOOKUP($T$574,'TAR FIN'!$A$1:$O$86,15,0))</f>
        <v>324.5</v>
      </c>
      <c r="X574" s="6">
        <f>IF(ISERROR(VLOOKUP($U$574,'TAR FIN'!$A$1:$O$86,15,0)),0,VLOOKUP($U$574,'TAR FIN'!$A$1:$O$86,15,0))</f>
        <v>258.20999999999998</v>
      </c>
      <c r="Y574" s="6"/>
      <c r="Z574" s="6">
        <f ca="1">('TUSD BE'!$AM$21+'TUSD BF'!$AM$21+'TUSD CVA'!$AM$21)*1</f>
        <v>330.1561966420345</v>
      </c>
      <c r="AA574" s="6">
        <f>('TE BE'!$AB$11+'TE BF'!$AB$11+'TE CVA'!$AB$11)*1</f>
        <v>230.58259134858577</v>
      </c>
      <c r="AB574" s="6">
        <f>$K$574*$V$574</f>
        <v>0</v>
      </c>
      <c r="AC574" s="6">
        <f>$M$574*$W$574</f>
        <v>1491914.71</v>
      </c>
      <c r="AD574" s="6">
        <f>$O$574*$X$574</f>
        <v>1187141.1317999999</v>
      </c>
      <c r="AE574" s="6">
        <f>$K$574*$Y$574</f>
        <v>0</v>
      </c>
      <c r="AF574" s="6">
        <f ca="1">$M$574*$Z$574</f>
        <v>1517919.5265574849</v>
      </c>
      <c r="AG574" s="6">
        <f>$O$574*$AA$574</f>
        <v>1060121.9103324309</v>
      </c>
    </row>
    <row r="575" spans="1:33" ht="11.25" customHeight="1" x14ac:dyDescent="0.25">
      <c r="A575" s="4" t="s">
        <v>27</v>
      </c>
      <c r="B575" s="4" t="s">
        <v>22</v>
      </c>
      <c r="C575" s="4" t="s">
        <v>23</v>
      </c>
      <c r="D575" s="4" t="s">
        <v>24</v>
      </c>
      <c r="E575" s="4" t="s">
        <v>24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0</v>
      </c>
      <c r="K575" s="6">
        <v>0</v>
      </c>
      <c r="L575" s="6">
        <v>-5.3929999999999998</v>
      </c>
      <c r="M575" s="6">
        <v>-5.3929999999999998</v>
      </c>
      <c r="N575" s="6">
        <v>-5.3929999999999998</v>
      </c>
      <c r="O575" s="6">
        <v>-5.3929999999999998</v>
      </c>
      <c r="P575" s="6">
        <v>0</v>
      </c>
      <c r="Q575" s="4" t="s">
        <v>26</v>
      </c>
      <c r="R575" s="4">
        <v>0</v>
      </c>
      <c r="S575" s="6">
        <v>0</v>
      </c>
      <c r="T575" s="6">
        <v>27</v>
      </c>
      <c r="U575" s="6">
        <v>52</v>
      </c>
      <c r="V575" s="6">
        <f>IF(ISERROR(VLOOKUP($S$575,'TAR FIN'!$A$1:$O$86,15,0)),0,VLOOKUP($S$575,'TAR FIN'!$A$1:$O$86,15,0))</f>
        <v>0</v>
      </c>
      <c r="W575" s="6">
        <f>IF(ISERROR(VLOOKUP($T$575,'TAR FIN'!$A$1:$O$86,15,0)),0,VLOOKUP($T$575,'TAR FIN'!$A$1:$O$86,15,0))</f>
        <v>324.5</v>
      </c>
      <c r="X575" s="6">
        <f>IF(ISERROR(VLOOKUP($U$575,'TAR FIN'!$A$1:$O$86,15,0)),0,VLOOKUP($U$575,'TAR FIN'!$A$1:$O$86,15,0))</f>
        <v>258.20999999999998</v>
      </c>
      <c r="Y575" s="6"/>
      <c r="Z575" s="6">
        <f ca="1">('TUSD BE'!$AM$21+'TUSD BF'!$AM$21+'TUSD CVA'!$AM$21)*1</f>
        <v>330.1561966420345</v>
      </c>
      <c r="AA575" s="6">
        <f>('TE BE'!$AB$11+'TE BF'!$AB$11+'TE CVA'!$AB$11)*1</f>
        <v>230.58259134858577</v>
      </c>
      <c r="AB575" s="6">
        <f>$K$575*$V$575</f>
        <v>0</v>
      </c>
      <c r="AC575" s="6">
        <f>$M$575*$W$575</f>
        <v>-1750.0284999999999</v>
      </c>
      <c r="AD575" s="6">
        <f>$O$575*$X$575</f>
        <v>-1392.5265299999999</v>
      </c>
      <c r="AE575" s="6">
        <f>$K$575*$Y$575</f>
        <v>0</v>
      </c>
      <c r="AF575" s="6">
        <f ca="1">$M$575*$Z$575</f>
        <v>-1780.532368490492</v>
      </c>
      <c r="AG575" s="6">
        <f>$O$575*$AA$575</f>
        <v>-1243.531915142923</v>
      </c>
    </row>
    <row r="576" spans="1:33" ht="11.25" customHeight="1" x14ac:dyDescent="0.25">
      <c r="A576" s="4" t="s">
        <v>55</v>
      </c>
      <c r="B576" s="4" t="s">
        <v>22</v>
      </c>
      <c r="C576" s="4" t="s">
        <v>23</v>
      </c>
      <c r="D576" s="4" t="s">
        <v>24</v>
      </c>
      <c r="E576" s="4" t="s">
        <v>24</v>
      </c>
      <c r="F576" s="4" t="s">
        <v>25</v>
      </c>
      <c r="G576" s="4" t="s">
        <v>25</v>
      </c>
      <c r="H576" s="4" t="s">
        <v>25</v>
      </c>
      <c r="I576" s="5">
        <v>44682</v>
      </c>
      <c r="J576" s="6">
        <v>0</v>
      </c>
      <c r="K576" s="6">
        <v>0</v>
      </c>
      <c r="L576" s="6">
        <v>140.49600000000001</v>
      </c>
      <c r="M576" s="6">
        <v>140.49600000000001</v>
      </c>
      <c r="N576" s="6">
        <v>140.49600000000001</v>
      </c>
      <c r="O576" s="6">
        <v>140.49600000000001</v>
      </c>
      <c r="P576" s="6">
        <v>1608</v>
      </c>
      <c r="Q576" s="4" t="s">
        <v>26</v>
      </c>
      <c r="R576" s="4">
        <v>0</v>
      </c>
      <c r="S576" s="6">
        <v>0</v>
      </c>
      <c r="T576" s="6">
        <v>27</v>
      </c>
      <c r="U576" s="6">
        <v>52</v>
      </c>
      <c r="V576" s="6">
        <f>IF(ISERROR(VLOOKUP($S$576,'TAR FIN'!$A$1:$O$86,15,0)),0,VLOOKUP($S$576,'TAR FIN'!$A$1:$O$86,15,0))</f>
        <v>0</v>
      </c>
      <c r="W576" s="6">
        <f>IF(ISERROR(VLOOKUP($T$576,'TAR FIN'!$A$1:$O$86,15,0)),0,VLOOKUP($T$576,'TAR FIN'!$A$1:$O$86,15,0))</f>
        <v>324.5</v>
      </c>
      <c r="X576" s="6">
        <f>IF(ISERROR(VLOOKUP($U$576,'TAR FIN'!$A$1:$O$86,15,0)),0,VLOOKUP($U$576,'TAR FIN'!$A$1:$O$86,15,0))</f>
        <v>258.20999999999998</v>
      </c>
      <c r="Y576" s="6"/>
      <c r="Z576" s="6">
        <f ca="1">('TUSD BE'!$AM$21+'TUSD BF'!$AM$21+'TUSD CVA'!$AM$21)*1</f>
        <v>330.1561966420345</v>
      </c>
      <c r="AA576" s="6">
        <f>('TE BE'!$AB$11+'TE BF'!$AB$11+'TE CVA'!$AB$11)*1</f>
        <v>230.58259134858577</v>
      </c>
      <c r="AB576" s="6">
        <f>$K$576*$V$576</f>
        <v>0</v>
      </c>
      <c r="AC576" s="6">
        <f>$M$576*$W$576</f>
        <v>45590.952000000005</v>
      </c>
      <c r="AD576" s="6">
        <f>$O$576*$X$576</f>
        <v>36277.472159999998</v>
      </c>
      <c r="AE576" s="6">
        <f>$K$576*$Y$576</f>
        <v>0</v>
      </c>
      <c r="AF576" s="6">
        <f ca="1">$M$576*$Z$576</f>
        <v>46385.625003419285</v>
      </c>
      <c r="AG576" s="6">
        <f>$O$576*$AA$576</f>
        <v>32395.931754110909</v>
      </c>
    </row>
    <row r="577" spans="1:33" ht="11.25" customHeight="1" x14ac:dyDescent="0.25">
      <c r="A577" s="4" t="s">
        <v>56</v>
      </c>
      <c r="B577" s="4" t="s">
        <v>22</v>
      </c>
      <c r="C577" s="4" t="s">
        <v>23</v>
      </c>
      <c r="D577" s="4" t="s">
        <v>24</v>
      </c>
      <c r="E577" s="4" t="s">
        <v>24</v>
      </c>
      <c r="F577" s="4" t="s">
        <v>25</v>
      </c>
      <c r="G577" s="4" t="s">
        <v>25</v>
      </c>
      <c r="H577" s="4" t="s">
        <v>25</v>
      </c>
      <c r="I577" s="5">
        <v>44713</v>
      </c>
      <c r="J577" s="6">
        <v>0</v>
      </c>
      <c r="K577" s="6">
        <v>0</v>
      </c>
      <c r="L577" s="6">
        <v>4597.58</v>
      </c>
      <c r="M577" s="6">
        <v>4597.58</v>
      </c>
      <c r="N577" s="6">
        <v>4597.58</v>
      </c>
      <c r="O577" s="6">
        <v>4597.58</v>
      </c>
      <c r="P577" s="6">
        <v>28650</v>
      </c>
      <c r="Q577" s="4" t="s">
        <v>26</v>
      </c>
      <c r="R577" s="4">
        <v>0</v>
      </c>
      <c r="S577" s="6">
        <v>0</v>
      </c>
      <c r="T577" s="6">
        <v>27</v>
      </c>
      <c r="U577" s="6">
        <v>52</v>
      </c>
      <c r="V577" s="6">
        <f>IF(ISERROR(VLOOKUP($S$577,'TAR FIN'!$A$1:$O$86,15,0)),0,VLOOKUP($S$577,'TAR FIN'!$A$1:$O$86,15,0))</f>
        <v>0</v>
      </c>
      <c r="W577" s="6">
        <f>IF(ISERROR(VLOOKUP($T$577,'TAR FIN'!$A$1:$O$86,15,0)),0,VLOOKUP($T$577,'TAR FIN'!$A$1:$O$86,15,0))</f>
        <v>324.5</v>
      </c>
      <c r="X577" s="6">
        <f>IF(ISERROR(VLOOKUP($U$577,'TAR FIN'!$A$1:$O$86,15,0)),0,VLOOKUP($U$577,'TAR FIN'!$A$1:$O$86,15,0))</f>
        <v>258.20999999999998</v>
      </c>
      <c r="Y577" s="6"/>
      <c r="Z577" s="6">
        <f ca="1">('TUSD BE'!$AM$21+'TUSD BF'!$AM$21+'TUSD CVA'!$AM$21)*1</f>
        <v>330.1561966420345</v>
      </c>
      <c r="AA577" s="6">
        <f>('TE BE'!$AB$11+'TE BF'!$AB$11+'TE CVA'!$AB$11)*1</f>
        <v>230.58259134858577</v>
      </c>
      <c r="AB577" s="6">
        <f>$K$577*$V$577</f>
        <v>0</v>
      </c>
      <c r="AC577" s="6">
        <f>$M$577*$W$577</f>
        <v>1491914.71</v>
      </c>
      <c r="AD577" s="6">
        <f>$O$577*$X$577</f>
        <v>1187141.1317999999</v>
      </c>
      <c r="AE577" s="6">
        <f>$K$577*$Y$577</f>
        <v>0</v>
      </c>
      <c r="AF577" s="6">
        <f ca="1">$M$577*$Z$577</f>
        <v>1517919.5265574849</v>
      </c>
      <c r="AG577" s="6">
        <f>$O$577*$AA$577</f>
        <v>1060121.9103324309</v>
      </c>
    </row>
    <row r="578" spans="1:33" ht="11.25" customHeight="1" x14ac:dyDescent="0.25">
      <c r="A578" s="4" t="s">
        <v>56</v>
      </c>
      <c r="B578" s="4" t="s">
        <v>22</v>
      </c>
      <c r="C578" s="4" t="s">
        <v>23</v>
      </c>
      <c r="D578" s="4" t="s">
        <v>24</v>
      </c>
      <c r="E578" s="4" t="s">
        <v>24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-5.3929999999999998</v>
      </c>
      <c r="M578" s="6">
        <v>-5.3929999999999998</v>
      </c>
      <c r="N578" s="6">
        <v>-5.3929999999999998</v>
      </c>
      <c r="O578" s="6">
        <v>-5.3929999999999998</v>
      </c>
      <c r="P578" s="6">
        <v>0</v>
      </c>
      <c r="Q578" s="4" t="s">
        <v>26</v>
      </c>
      <c r="R578" s="4">
        <v>0</v>
      </c>
      <c r="S578" s="6">
        <v>0</v>
      </c>
      <c r="T578" s="6">
        <v>27</v>
      </c>
      <c r="U578" s="6">
        <v>52</v>
      </c>
      <c r="V578" s="6">
        <f>IF(ISERROR(VLOOKUP($S$578,'TAR FIN'!$A$1:$O$86,15,0)),0,VLOOKUP($S$578,'TAR FIN'!$A$1:$O$86,15,0))</f>
        <v>0</v>
      </c>
      <c r="W578" s="6">
        <f>IF(ISERROR(VLOOKUP($T$578,'TAR FIN'!$A$1:$O$86,15,0)),0,VLOOKUP($T$578,'TAR FIN'!$A$1:$O$86,15,0))</f>
        <v>324.5</v>
      </c>
      <c r="X578" s="6">
        <f>IF(ISERROR(VLOOKUP($U$578,'TAR FIN'!$A$1:$O$86,15,0)),0,VLOOKUP($U$578,'TAR FIN'!$A$1:$O$86,15,0))</f>
        <v>258.20999999999998</v>
      </c>
      <c r="Y578" s="6"/>
      <c r="Z578" s="6">
        <f ca="1">('TUSD BE'!$AM$21+'TUSD BF'!$AM$21+'TUSD CVA'!$AM$21)*1</f>
        <v>330.1561966420345</v>
      </c>
      <c r="AA578" s="6">
        <f>('TE BE'!$AB$11+'TE BF'!$AB$11+'TE CVA'!$AB$11)*1</f>
        <v>230.58259134858577</v>
      </c>
      <c r="AB578" s="6">
        <f>$K$578*$V$578</f>
        <v>0</v>
      </c>
      <c r="AC578" s="6">
        <f>$M$578*$W$578</f>
        <v>-1750.0284999999999</v>
      </c>
      <c r="AD578" s="6">
        <f>$O$578*$X$578</f>
        <v>-1392.5265299999999</v>
      </c>
      <c r="AE578" s="6">
        <f>$K$578*$Y$578</f>
        <v>0</v>
      </c>
      <c r="AF578" s="6">
        <f ca="1">$M$578*$Z$578</f>
        <v>-1780.532368490492</v>
      </c>
      <c r="AG578" s="6">
        <f>$O$578*$AA$578</f>
        <v>-1243.531915142923</v>
      </c>
    </row>
    <row r="579" spans="1:33" ht="11.25" customHeight="1" x14ac:dyDescent="0.25">
      <c r="A579" s="4" t="s">
        <v>56</v>
      </c>
      <c r="B579" s="4" t="s">
        <v>22</v>
      </c>
      <c r="C579" s="4" t="s">
        <v>23</v>
      </c>
      <c r="D579" s="4" t="s">
        <v>24</v>
      </c>
      <c r="E579" s="4" t="s">
        <v>24</v>
      </c>
      <c r="F579" s="4" t="s">
        <v>25</v>
      </c>
      <c r="G579" s="4" t="s">
        <v>25</v>
      </c>
      <c r="H579" s="4" t="s">
        <v>25</v>
      </c>
      <c r="I579" s="5">
        <v>44713</v>
      </c>
      <c r="J579" s="6">
        <v>0</v>
      </c>
      <c r="K579" s="6">
        <v>0</v>
      </c>
      <c r="L579" s="6">
        <v>140.49600000000001</v>
      </c>
      <c r="M579" s="6">
        <v>140.49600000000001</v>
      </c>
      <c r="N579" s="6">
        <v>140.49600000000001</v>
      </c>
      <c r="O579" s="6">
        <v>140.49600000000001</v>
      </c>
      <c r="P579" s="6">
        <v>1608</v>
      </c>
      <c r="Q579" s="4" t="s">
        <v>26</v>
      </c>
      <c r="R579" s="4">
        <v>0</v>
      </c>
      <c r="S579" s="6">
        <v>0</v>
      </c>
      <c r="T579" s="6">
        <v>27</v>
      </c>
      <c r="U579" s="6">
        <v>52</v>
      </c>
      <c r="V579" s="6">
        <f>IF(ISERROR(VLOOKUP($S$579,'TAR FIN'!$A$1:$O$86,15,0)),0,VLOOKUP($S$579,'TAR FIN'!$A$1:$O$86,15,0))</f>
        <v>0</v>
      </c>
      <c r="W579" s="6">
        <f>IF(ISERROR(VLOOKUP($T$579,'TAR FIN'!$A$1:$O$86,15,0)),0,VLOOKUP($T$579,'TAR FIN'!$A$1:$O$86,15,0))</f>
        <v>324.5</v>
      </c>
      <c r="X579" s="6">
        <f>IF(ISERROR(VLOOKUP($U$579,'TAR FIN'!$A$1:$O$86,15,0)),0,VLOOKUP($U$579,'TAR FIN'!$A$1:$O$86,15,0))</f>
        <v>258.20999999999998</v>
      </c>
      <c r="Y579" s="6"/>
      <c r="Z579" s="6">
        <f ca="1">('TUSD BE'!$AM$21+'TUSD BF'!$AM$21+'TUSD CVA'!$AM$21)*1</f>
        <v>330.1561966420345</v>
      </c>
      <c r="AA579" s="6">
        <f>('TE BE'!$AB$11+'TE BF'!$AB$11+'TE CVA'!$AB$11)*1</f>
        <v>230.58259134858577</v>
      </c>
      <c r="AB579" s="6">
        <f>$K$579*$V$579</f>
        <v>0</v>
      </c>
      <c r="AC579" s="6">
        <f>$M$579*$W$579</f>
        <v>45590.952000000005</v>
      </c>
      <c r="AD579" s="6">
        <f>$O$579*$X$579</f>
        <v>36277.472159999998</v>
      </c>
      <c r="AE579" s="6">
        <f>$K$579*$Y$579</f>
        <v>0</v>
      </c>
      <c r="AF579" s="6">
        <f ca="1">$M$579*$Z$579</f>
        <v>46385.625003419285</v>
      </c>
      <c r="AG579" s="6">
        <f>$O$579*$AA$579</f>
        <v>32395.931754110909</v>
      </c>
    </row>
    <row r="580" spans="1:33" ht="11.25" customHeight="1" x14ac:dyDescent="0.25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28</v>
      </c>
      <c r="F580" s="4" t="s">
        <v>25</v>
      </c>
      <c r="G580" s="4" t="s">
        <v>25</v>
      </c>
      <c r="H580" s="4" t="s">
        <v>25</v>
      </c>
      <c r="I580" s="5">
        <v>44378</v>
      </c>
      <c r="J580" s="6">
        <v>0</v>
      </c>
      <c r="K580" s="6">
        <v>0</v>
      </c>
      <c r="L580" s="6">
        <v>20.823</v>
      </c>
      <c r="M580" s="6">
        <v>20.823</v>
      </c>
      <c r="N580" s="6">
        <v>20.823</v>
      </c>
      <c r="O580" s="6">
        <v>20.823</v>
      </c>
      <c r="P580" s="6">
        <v>22</v>
      </c>
      <c r="Q580" s="4" t="s">
        <v>26</v>
      </c>
      <c r="R580" s="4">
        <v>0</v>
      </c>
      <c r="S580" s="6">
        <v>0</v>
      </c>
      <c r="T580" s="6">
        <v>8</v>
      </c>
      <c r="U580" s="6">
        <v>50</v>
      </c>
      <c r="V580" s="6">
        <f>IF(ISERROR(VLOOKUP($S$580,'TAR FIN'!$A$1:$O$86,15,0)),0,VLOOKUP($S$580,'TAR FIN'!$A$1:$O$86,15,0))</f>
        <v>0</v>
      </c>
      <c r="W580" s="6">
        <f>IF(ISERROR(VLOOKUP($T$580,'TAR FIN'!$A$1:$O$86,15,0)),0,VLOOKUP($T$580,'TAR FIN'!$A$1:$O$86,15,0))</f>
        <v>87.14</v>
      </c>
      <c r="X580" s="6">
        <f>IF(ISERROR(VLOOKUP($U$580,'TAR FIN'!$A$1:$O$86,15,0)),0,VLOOKUP($U$580,'TAR FIN'!$A$1:$O$86,15,0))</f>
        <v>90.37</v>
      </c>
      <c r="Y580" s="6"/>
      <c r="Z580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0" s="6">
        <f>('TE BE'!$AB$12+'TE BF'!$AB$12+'TE CVA'!$AB$12)*(1-CUSTOS!$M$34)</f>
        <v>80.703906972005015</v>
      </c>
      <c r="AB580" s="6">
        <f>$K$580*$V$580</f>
        <v>0</v>
      </c>
      <c r="AC580" s="6">
        <f>$M$580*$W$580</f>
        <v>1814.51622</v>
      </c>
      <c r="AD580" s="6">
        <f>$O$580*$X$580</f>
        <v>1881.7745100000002</v>
      </c>
      <c r="AE580" s="6">
        <f>$K$580*$Y$580</f>
        <v>0</v>
      </c>
      <c r="AF580" s="6">
        <f ca="1">$M$580*$Z$580</f>
        <v>1631.9126050847276</v>
      </c>
      <c r="AG580" s="6">
        <f>$O$580*$AA$580</f>
        <v>1680.4974548780604</v>
      </c>
    </row>
    <row r="581" spans="1:33" ht="11.25" customHeight="1" x14ac:dyDescent="0.25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28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6">
        <v>0</v>
      </c>
      <c r="L581" s="6">
        <v>20.88</v>
      </c>
      <c r="M581" s="6">
        <v>20.88</v>
      </c>
      <c r="N581" s="6">
        <v>20.88</v>
      </c>
      <c r="O581" s="6">
        <v>20.88</v>
      </c>
      <c r="P581" s="6">
        <v>19</v>
      </c>
      <c r="Q581" s="4" t="s">
        <v>26</v>
      </c>
      <c r="R581" s="4">
        <v>0</v>
      </c>
      <c r="S581" s="6">
        <v>0</v>
      </c>
      <c r="T581" s="6">
        <v>8</v>
      </c>
      <c r="U581" s="6">
        <v>50</v>
      </c>
      <c r="V581" s="6">
        <f>IF(ISERROR(VLOOKUP($S$581,'TAR FIN'!$A$1:$O$86,15,0)),0,VLOOKUP($S$581,'TAR FIN'!$A$1:$O$86,15,0))</f>
        <v>0</v>
      </c>
      <c r="W581" s="6">
        <f>IF(ISERROR(VLOOKUP($T$581,'TAR FIN'!$A$1:$O$86,15,0)),0,VLOOKUP($T$581,'TAR FIN'!$A$1:$O$86,15,0))</f>
        <v>87.14</v>
      </c>
      <c r="X581" s="6">
        <f>IF(ISERROR(VLOOKUP($U$581,'TAR FIN'!$A$1:$O$86,15,0)),0,VLOOKUP($U$581,'TAR FIN'!$A$1:$O$86,15,0))</f>
        <v>90.37</v>
      </c>
      <c r="Y581" s="6"/>
      <c r="Z581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1" s="6">
        <f>('TE BE'!$AB$12+'TE BF'!$AB$12+'TE CVA'!$AB$12)*(1-CUSTOS!$M$34)</f>
        <v>80.703906972005015</v>
      </c>
      <c r="AB581" s="6">
        <f>$K$581*$V$581</f>
        <v>0</v>
      </c>
      <c r="AC581" s="6">
        <f>$M$581*$W$581</f>
        <v>1819.4831999999999</v>
      </c>
      <c r="AD581" s="6">
        <f>$O$581*$X$581</f>
        <v>1886.9256</v>
      </c>
      <c r="AE581" s="6">
        <f>$K$581*$Y$581</f>
        <v>0</v>
      </c>
      <c r="AF581" s="6">
        <f ca="1">$M$581*$Z$581</f>
        <v>1636.3797336680166</v>
      </c>
      <c r="AG581" s="6">
        <f>$O$581*$AA$581</f>
        <v>1685.0975775754646</v>
      </c>
    </row>
    <row r="582" spans="1:33" ht="11.25" customHeight="1" x14ac:dyDescent="0.25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28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6">
        <v>0</v>
      </c>
      <c r="L582" s="6">
        <v>20.85</v>
      </c>
      <c r="M582" s="6">
        <v>20.85</v>
      </c>
      <c r="N582" s="6">
        <v>20.85</v>
      </c>
      <c r="O582" s="6">
        <v>20.85</v>
      </c>
      <c r="P582" s="6">
        <v>22</v>
      </c>
      <c r="Q582" s="4" t="s">
        <v>26</v>
      </c>
      <c r="R582" s="4">
        <v>0</v>
      </c>
      <c r="S582" s="6">
        <v>0</v>
      </c>
      <c r="T582" s="6">
        <v>8</v>
      </c>
      <c r="U582" s="6">
        <v>50</v>
      </c>
      <c r="V582" s="6">
        <f>IF(ISERROR(VLOOKUP($S$582,'TAR FIN'!$A$1:$O$86,15,0)),0,VLOOKUP($S$582,'TAR FIN'!$A$1:$O$86,15,0))</f>
        <v>0</v>
      </c>
      <c r="W582" s="6">
        <f>IF(ISERROR(VLOOKUP($T$582,'TAR FIN'!$A$1:$O$86,15,0)),0,VLOOKUP($T$582,'TAR FIN'!$A$1:$O$86,15,0))</f>
        <v>87.14</v>
      </c>
      <c r="X582" s="6">
        <f>IF(ISERROR(VLOOKUP($U$582,'TAR FIN'!$A$1:$O$86,15,0)),0,VLOOKUP($U$582,'TAR FIN'!$A$1:$O$86,15,0))</f>
        <v>90.37</v>
      </c>
      <c r="Y582" s="6"/>
      <c r="Z582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2" s="6">
        <f>('TE BE'!$AB$12+'TE BF'!$AB$12+'TE CVA'!$AB$12)*(1-CUSTOS!$M$34)</f>
        <v>80.703906972005015</v>
      </c>
      <c r="AB582" s="6">
        <f>$K$582*$V$582</f>
        <v>0</v>
      </c>
      <c r="AC582" s="6">
        <f>$M$582*$W$582</f>
        <v>1816.8690000000001</v>
      </c>
      <c r="AD582" s="6">
        <f>$O$582*$X$582</f>
        <v>1884.2145000000003</v>
      </c>
      <c r="AE582" s="6">
        <f>$K$582*$Y$582</f>
        <v>0</v>
      </c>
      <c r="AF582" s="6">
        <f ca="1">$M$582*$Z$582</f>
        <v>1634.0286133610225</v>
      </c>
      <c r="AG582" s="6">
        <f>$O$582*$AA$582</f>
        <v>1682.6764603663046</v>
      </c>
    </row>
    <row r="583" spans="1:33" ht="11.25" customHeight="1" x14ac:dyDescent="0.25">
      <c r="A583" s="4" t="s">
        <v>55</v>
      </c>
      <c r="B583" s="4" t="s">
        <v>22</v>
      </c>
      <c r="C583" s="4" t="s">
        <v>23</v>
      </c>
      <c r="D583" s="4" t="s">
        <v>24</v>
      </c>
      <c r="E583" s="4" t="s">
        <v>28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0</v>
      </c>
      <c r="K583" s="6">
        <v>0</v>
      </c>
      <c r="L583" s="6">
        <v>2.3E-2</v>
      </c>
      <c r="M583" s="6">
        <v>8.0499999999999999E-3</v>
      </c>
      <c r="N583" s="6">
        <v>2.3E-2</v>
      </c>
      <c r="O583" s="6">
        <v>8.0499999999999999E-3</v>
      </c>
      <c r="P583" s="6">
        <v>0</v>
      </c>
      <c r="Q583" s="4" t="s">
        <v>26</v>
      </c>
      <c r="R583" s="4">
        <v>0</v>
      </c>
      <c r="S583" s="6">
        <v>0</v>
      </c>
      <c r="T583" s="6">
        <v>8</v>
      </c>
      <c r="U583" s="6">
        <v>50</v>
      </c>
      <c r="V583" s="6">
        <f>IF(ISERROR(VLOOKUP($S$583,'TAR FIN'!$A$1:$O$86,15,0)),0,VLOOKUP($S$583,'TAR FIN'!$A$1:$O$86,15,0))</f>
        <v>0</v>
      </c>
      <c r="W583" s="6">
        <f>IF(ISERROR(VLOOKUP($T$583,'TAR FIN'!$A$1:$O$86,15,0)),0,VLOOKUP($T$583,'TAR FIN'!$A$1:$O$86,15,0))</f>
        <v>87.14</v>
      </c>
      <c r="X583" s="6">
        <f>IF(ISERROR(VLOOKUP($U$583,'TAR FIN'!$A$1:$O$86,15,0)),0,VLOOKUP($U$583,'TAR FIN'!$A$1:$O$86,15,0))</f>
        <v>90.37</v>
      </c>
      <c r="Y583" s="6"/>
      <c r="Z583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3" s="6">
        <f>('TE BE'!$AB$12+'TE BF'!$AB$12+'TE CVA'!$AB$12)*(1-CUSTOS!$M$34)</f>
        <v>80.703906972005015</v>
      </c>
      <c r="AB583" s="6">
        <f>$K$583*$V$583</f>
        <v>0</v>
      </c>
      <c r="AC583" s="6">
        <f>$M$583*$W$583</f>
        <v>0.70147700000000002</v>
      </c>
      <c r="AD583" s="6">
        <f>$O$583*$X$583</f>
        <v>0.72747850000000003</v>
      </c>
      <c r="AE583" s="6">
        <f>$K$583*$Y$583</f>
        <v>0</v>
      </c>
      <c r="AF583" s="6">
        <f ca="1">$M$583*$Z$583</f>
        <v>0.63088394904346423</v>
      </c>
      <c r="AG583" s="6">
        <f>$O$583*$AA$583</f>
        <v>0.64966645112464039</v>
      </c>
    </row>
    <row r="584" spans="1:33" ht="11.25" customHeight="1" x14ac:dyDescent="0.25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28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21.12</v>
      </c>
      <c r="M584" s="6">
        <v>21.12</v>
      </c>
      <c r="N584" s="6">
        <v>21.12</v>
      </c>
      <c r="O584" s="6">
        <v>21.12</v>
      </c>
      <c r="P584" s="6">
        <v>18</v>
      </c>
      <c r="Q584" s="4" t="s">
        <v>26</v>
      </c>
      <c r="R584" s="4">
        <v>0</v>
      </c>
      <c r="S584" s="6">
        <v>0</v>
      </c>
      <c r="T584" s="6">
        <v>8</v>
      </c>
      <c r="U584" s="6">
        <v>50</v>
      </c>
      <c r="V584" s="6">
        <f>IF(ISERROR(VLOOKUP($S$584,'TAR FIN'!$A$1:$O$86,15,0)),0,VLOOKUP($S$584,'TAR FIN'!$A$1:$O$86,15,0))</f>
        <v>0</v>
      </c>
      <c r="W584" s="6">
        <f>IF(ISERROR(VLOOKUP($T$584,'TAR FIN'!$A$1:$O$86,15,0)),0,VLOOKUP($T$584,'TAR FIN'!$A$1:$O$86,15,0))</f>
        <v>87.14</v>
      </c>
      <c r="X584" s="6">
        <f>IF(ISERROR(VLOOKUP($U$584,'TAR FIN'!$A$1:$O$86,15,0)),0,VLOOKUP($U$584,'TAR FIN'!$A$1:$O$86,15,0))</f>
        <v>90.37</v>
      </c>
      <c r="Y584" s="6"/>
      <c r="Z584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4" s="6">
        <f>('TE BE'!$AB$12+'TE BF'!$AB$12+'TE CVA'!$AB$12)*(1-CUSTOS!$M$34)</f>
        <v>80.703906972005015</v>
      </c>
      <c r="AB584" s="6">
        <f>$K$584*$V$584</f>
        <v>0</v>
      </c>
      <c r="AC584" s="6">
        <f>$M$584*$W$584</f>
        <v>1840.3968000000002</v>
      </c>
      <c r="AD584" s="6">
        <f>$O$584*$X$584</f>
        <v>1908.6144000000002</v>
      </c>
      <c r="AE584" s="6">
        <f>$K$584*$Y$584</f>
        <v>0</v>
      </c>
      <c r="AF584" s="6">
        <f ca="1">$M$584*$Z$584</f>
        <v>1655.1886961239709</v>
      </c>
      <c r="AG584" s="6">
        <f>$O$584*$AA$584</f>
        <v>1704.466515248746</v>
      </c>
    </row>
    <row r="585" spans="1:33" ht="11.25" customHeight="1" x14ac:dyDescent="0.25">
      <c r="A585" s="4" t="s">
        <v>21</v>
      </c>
      <c r="B585" s="4" t="s">
        <v>22</v>
      </c>
      <c r="C585" s="4" t="s">
        <v>23</v>
      </c>
      <c r="D585" s="4" t="s">
        <v>24</v>
      </c>
      <c r="E585" s="4" t="s">
        <v>28</v>
      </c>
      <c r="F585" s="4" t="s">
        <v>25</v>
      </c>
      <c r="G585" s="4" t="s">
        <v>25</v>
      </c>
      <c r="H585" s="4" t="s">
        <v>25</v>
      </c>
      <c r="I585" s="5">
        <v>44501</v>
      </c>
      <c r="J585" s="6">
        <v>0</v>
      </c>
      <c r="K585" s="6">
        <v>0</v>
      </c>
      <c r="L585" s="6">
        <v>21.367000000000001</v>
      </c>
      <c r="M585" s="6">
        <v>21.367000000000001</v>
      </c>
      <c r="N585" s="6">
        <v>21.367000000000001</v>
      </c>
      <c r="O585" s="6">
        <v>21.367000000000001</v>
      </c>
      <c r="P585" s="6">
        <v>21</v>
      </c>
      <c r="Q585" s="4" t="s">
        <v>26</v>
      </c>
      <c r="R585" s="4">
        <v>0</v>
      </c>
      <c r="S585" s="6">
        <v>0</v>
      </c>
      <c r="T585" s="6">
        <v>8</v>
      </c>
      <c r="U585" s="6">
        <v>50</v>
      </c>
      <c r="V585" s="6">
        <f>IF(ISERROR(VLOOKUP($S$585,'TAR FIN'!$A$1:$O$86,15,0)),0,VLOOKUP($S$585,'TAR FIN'!$A$1:$O$86,15,0))</f>
        <v>0</v>
      </c>
      <c r="W585" s="6">
        <f>IF(ISERROR(VLOOKUP($T$585,'TAR FIN'!$A$1:$O$86,15,0)),0,VLOOKUP($T$585,'TAR FIN'!$A$1:$O$86,15,0))</f>
        <v>87.14</v>
      </c>
      <c r="X585" s="6">
        <f>IF(ISERROR(VLOOKUP($U$585,'TAR FIN'!$A$1:$O$86,15,0)),0,VLOOKUP($U$585,'TAR FIN'!$A$1:$O$86,15,0))</f>
        <v>90.37</v>
      </c>
      <c r="Y585" s="6"/>
      <c r="Z585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5" s="6">
        <f>('TE BE'!$AB$12+'TE BF'!$AB$12+'TE CVA'!$AB$12)*(1-CUSTOS!$M$34)</f>
        <v>80.703906972005015</v>
      </c>
      <c r="AB585" s="6">
        <f>$K$585*$V$585</f>
        <v>0</v>
      </c>
      <c r="AC585" s="6">
        <f>$M$585*$W$585</f>
        <v>1861.92038</v>
      </c>
      <c r="AD585" s="6">
        <f>$O$585*$X$585</f>
        <v>1930.9357900000002</v>
      </c>
      <c r="AE585" s="6">
        <f>$K$585*$Y$585</f>
        <v>0</v>
      </c>
      <c r="AF585" s="6">
        <f ca="1">$M$585*$Z$585</f>
        <v>1674.5462533182238</v>
      </c>
      <c r="AG585" s="6">
        <f>$O$585*$AA$585</f>
        <v>1724.4003802708312</v>
      </c>
    </row>
    <row r="586" spans="1:33" ht="11.25" customHeight="1" x14ac:dyDescent="0.25">
      <c r="A586" s="4" t="s">
        <v>55</v>
      </c>
      <c r="B586" s="4" t="s">
        <v>22</v>
      </c>
      <c r="C586" s="4" t="s">
        <v>23</v>
      </c>
      <c r="D586" s="4" t="s">
        <v>24</v>
      </c>
      <c r="E586" s="4" t="s">
        <v>28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0.03</v>
      </c>
      <c r="M586" s="6">
        <v>1.0500000000000001E-2</v>
      </c>
      <c r="N586" s="6">
        <v>0.03</v>
      </c>
      <c r="O586" s="6">
        <v>1.0500000000000001E-2</v>
      </c>
      <c r="P586" s="6">
        <v>0</v>
      </c>
      <c r="Q586" s="4" t="s">
        <v>26</v>
      </c>
      <c r="R586" s="4">
        <v>0</v>
      </c>
      <c r="S586" s="6">
        <v>0</v>
      </c>
      <c r="T586" s="6">
        <v>8</v>
      </c>
      <c r="U586" s="6">
        <v>50</v>
      </c>
      <c r="V586" s="6">
        <f>IF(ISERROR(VLOOKUP($S$586,'TAR FIN'!$A$1:$O$86,15,0)),0,VLOOKUP($S$586,'TAR FIN'!$A$1:$O$86,15,0))</f>
        <v>0</v>
      </c>
      <c r="W586" s="6">
        <f>IF(ISERROR(VLOOKUP($T$586,'TAR FIN'!$A$1:$O$86,15,0)),0,VLOOKUP($T$586,'TAR FIN'!$A$1:$O$86,15,0))</f>
        <v>87.14</v>
      </c>
      <c r="X586" s="6">
        <f>IF(ISERROR(VLOOKUP($U$586,'TAR FIN'!$A$1:$O$86,15,0)),0,VLOOKUP($U$586,'TAR FIN'!$A$1:$O$86,15,0))</f>
        <v>90.37</v>
      </c>
      <c r="Y586" s="6"/>
      <c r="Z586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6" s="6">
        <f>('TE BE'!$AB$12+'TE BF'!$AB$12+'TE CVA'!$AB$12)*(1-CUSTOS!$M$34)</f>
        <v>80.703906972005015</v>
      </c>
      <c r="AB586" s="6">
        <f>$K$586*$V$586</f>
        <v>0</v>
      </c>
      <c r="AC586" s="6">
        <f>$M$586*$W$586</f>
        <v>0.91497000000000006</v>
      </c>
      <c r="AD586" s="6">
        <f>$O$586*$X$586</f>
        <v>0.94888500000000009</v>
      </c>
      <c r="AE586" s="6">
        <f>$K$586*$Y$586</f>
        <v>0</v>
      </c>
      <c r="AF586" s="6">
        <f ca="1">$M$586*$Z$586</f>
        <v>0.8228921074479969</v>
      </c>
      <c r="AG586" s="6">
        <f>$O$586*$AA$586</f>
        <v>0.84739102320605275</v>
      </c>
    </row>
    <row r="587" spans="1:33" ht="11.25" customHeight="1" x14ac:dyDescent="0.25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28</v>
      </c>
      <c r="F587" s="4" t="s">
        <v>25</v>
      </c>
      <c r="G587" s="4" t="s">
        <v>25</v>
      </c>
      <c r="H587" s="4" t="s">
        <v>25</v>
      </c>
      <c r="I587" s="5">
        <v>44531</v>
      </c>
      <c r="J587" s="6">
        <v>0</v>
      </c>
      <c r="K587" s="6">
        <v>0</v>
      </c>
      <c r="L587" s="6">
        <v>21.33</v>
      </c>
      <c r="M587" s="6">
        <v>21.33</v>
      </c>
      <c r="N587" s="6">
        <v>21.33</v>
      </c>
      <c r="O587" s="6">
        <v>21.33</v>
      </c>
      <c r="P587" s="6">
        <v>15</v>
      </c>
      <c r="Q587" s="4" t="s">
        <v>26</v>
      </c>
      <c r="R587" s="4">
        <v>0</v>
      </c>
      <c r="S587" s="6">
        <v>0</v>
      </c>
      <c r="T587" s="6">
        <v>8</v>
      </c>
      <c r="U587" s="6">
        <v>50</v>
      </c>
      <c r="V587" s="6">
        <f>IF(ISERROR(VLOOKUP($S$587,'TAR FIN'!$A$1:$O$86,15,0)),0,VLOOKUP($S$587,'TAR FIN'!$A$1:$O$86,15,0))</f>
        <v>0</v>
      </c>
      <c r="W587" s="6">
        <f>IF(ISERROR(VLOOKUP($T$587,'TAR FIN'!$A$1:$O$86,15,0)),0,VLOOKUP($T$587,'TAR FIN'!$A$1:$O$86,15,0))</f>
        <v>87.14</v>
      </c>
      <c r="X587" s="6">
        <f>IF(ISERROR(VLOOKUP($U$587,'TAR FIN'!$A$1:$O$86,15,0)),0,VLOOKUP($U$587,'TAR FIN'!$A$1:$O$86,15,0))</f>
        <v>90.37</v>
      </c>
      <c r="Y587" s="6"/>
      <c r="Z587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7" s="6">
        <f>('TE BE'!$AB$12+'TE BF'!$AB$12+'TE CVA'!$AB$12)*(1-CUSTOS!$M$34)</f>
        <v>80.703906972005015</v>
      </c>
      <c r="AB587" s="6">
        <f>$K$587*$V$587</f>
        <v>0</v>
      </c>
      <c r="AC587" s="6">
        <f>$M$587*$W$587</f>
        <v>1858.6961999999999</v>
      </c>
      <c r="AD587" s="6">
        <f>$O$587*$X$587</f>
        <v>1927.5920999999998</v>
      </c>
      <c r="AE587" s="6">
        <f>$K$587*$Y$587</f>
        <v>0</v>
      </c>
      <c r="AF587" s="6">
        <f ca="1">$M$587*$Z$587</f>
        <v>1671.6465382729307</v>
      </c>
      <c r="AG587" s="6">
        <f>$O$587*$AA$587</f>
        <v>1721.4143357128669</v>
      </c>
    </row>
    <row r="588" spans="1:33" ht="11.25" customHeight="1" x14ac:dyDescent="0.25">
      <c r="A588" s="4" t="s">
        <v>55</v>
      </c>
      <c r="B588" s="4" t="s">
        <v>22</v>
      </c>
      <c r="C588" s="4" t="s">
        <v>23</v>
      </c>
      <c r="D588" s="4" t="s">
        <v>24</v>
      </c>
      <c r="E588" s="4" t="s">
        <v>28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1.7000000000000001E-2</v>
      </c>
      <c r="M588" s="6">
        <v>5.9500000000000004E-3</v>
      </c>
      <c r="N588" s="6">
        <v>1.7000000000000001E-2</v>
      </c>
      <c r="O588" s="6">
        <v>5.9500000000000004E-3</v>
      </c>
      <c r="P588" s="6">
        <v>0</v>
      </c>
      <c r="Q588" s="4" t="s">
        <v>26</v>
      </c>
      <c r="R588" s="4">
        <v>0</v>
      </c>
      <c r="S588" s="6">
        <v>0</v>
      </c>
      <c r="T588" s="6">
        <v>8</v>
      </c>
      <c r="U588" s="6">
        <v>50</v>
      </c>
      <c r="V588" s="6">
        <f>IF(ISERROR(VLOOKUP($S$588,'TAR FIN'!$A$1:$O$86,15,0)),0,VLOOKUP($S$588,'TAR FIN'!$A$1:$O$86,15,0))</f>
        <v>0</v>
      </c>
      <c r="W588" s="6">
        <f>IF(ISERROR(VLOOKUP($T$588,'TAR FIN'!$A$1:$O$86,15,0)),0,VLOOKUP($T$588,'TAR FIN'!$A$1:$O$86,15,0))</f>
        <v>87.14</v>
      </c>
      <c r="X588" s="6">
        <f>IF(ISERROR(VLOOKUP($U$588,'TAR FIN'!$A$1:$O$86,15,0)),0,VLOOKUP($U$588,'TAR FIN'!$A$1:$O$86,15,0))</f>
        <v>90.37</v>
      </c>
      <c r="Y588" s="6"/>
      <c r="Z588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8" s="6">
        <f>('TE BE'!$AB$12+'TE BF'!$AB$12+'TE CVA'!$AB$12)*(1-CUSTOS!$M$34)</f>
        <v>80.703906972005015</v>
      </c>
      <c r="AB588" s="6">
        <f>$K$588*$V$588</f>
        <v>0</v>
      </c>
      <c r="AC588" s="6">
        <f>$M$588*$W$588</f>
        <v>0.51848300000000003</v>
      </c>
      <c r="AD588" s="6">
        <f>$O$588*$X$588</f>
        <v>0.53770150000000005</v>
      </c>
      <c r="AE588" s="6">
        <f>$K$588*$Y$588</f>
        <v>0</v>
      </c>
      <c r="AF588" s="6">
        <f ca="1">$M$588*$Z$588</f>
        <v>0.46630552755386495</v>
      </c>
      <c r="AG588" s="6">
        <f>$O$588*$AA$588</f>
        <v>0.48018824648342989</v>
      </c>
    </row>
    <row r="589" spans="1:33" ht="11.25" customHeight="1" x14ac:dyDescent="0.25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28</v>
      </c>
      <c r="F589" s="4" t="s">
        <v>25</v>
      </c>
      <c r="G589" s="4" t="s">
        <v>25</v>
      </c>
      <c r="H589" s="4" t="s">
        <v>25</v>
      </c>
      <c r="I589" s="5">
        <v>44562</v>
      </c>
      <c r="J589" s="6">
        <v>0</v>
      </c>
      <c r="K589" s="6">
        <v>0</v>
      </c>
      <c r="L589" s="6">
        <v>21.36</v>
      </c>
      <c r="M589" s="6">
        <v>21.36</v>
      </c>
      <c r="N589" s="6">
        <v>21.36</v>
      </c>
      <c r="O589" s="6">
        <v>21.36</v>
      </c>
      <c r="P589" s="6">
        <v>15</v>
      </c>
      <c r="Q589" s="4" t="s">
        <v>26</v>
      </c>
      <c r="R589" s="4">
        <v>0</v>
      </c>
      <c r="S589" s="6">
        <v>0</v>
      </c>
      <c r="T589" s="6">
        <v>8</v>
      </c>
      <c r="U589" s="6">
        <v>50</v>
      </c>
      <c r="V589" s="6">
        <f>IF(ISERROR(VLOOKUP($S$589,'TAR FIN'!$A$1:$O$86,15,0)),0,VLOOKUP($S$589,'TAR FIN'!$A$1:$O$86,15,0))</f>
        <v>0</v>
      </c>
      <c r="W589" s="6">
        <f>IF(ISERROR(VLOOKUP($T$589,'TAR FIN'!$A$1:$O$86,15,0)),0,VLOOKUP($T$589,'TAR FIN'!$A$1:$O$86,15,0))</f>
        <v>87.14</v>
      </c>
      <c r="X589" s="6">
        <f>IF(ISERROR(VLOOKUP($U$589,'TAR FIN'!$A$1:$O$86,15,0)),0,VLOOKUP($U$589,'TAR FIN'!$A$1:$O$86,15,0))</f>
        <v>90.37</v>
      </c>
      <c r="Y589" s="6"/>
      <c r="Z589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89" s="6">
        <f>('TE BE'!$AB$12+'TE BF'!$AB$12+'TE CVA'!$AB$12)*(1-CUSTOS!$M$34)</f>
        <v>80.703906972005015</v>
      </c>
      <c r="AB589" s="6">
        <f>$K$589*$V$589</f>
        <v>0</v>
      </c>
      <c r="AC589" s="6">
        <f>$M$589*$W$589</f>
        <v>1861.3104000000001</v>
      </c>
      <c r="AD589" s="6">
        <f>$O$589*$X$589</f>
        <v>1930.3032000000001</v>
      </c>
      <c r="AE589" s="6">
        <f>$K$589*$Y$589</f>
        <v>0</v>
      </c>
      <c r="AF589" s="6">
        <f ca="1">$M$589*$Z$589</f>
        <v>1673.997658579925</v>
      </c>
      <c r="AG589" s="6">
        <f>$O$589*$AA$589</f>
        <v>1723.8354529220271</v>
      </c>
    </row>
    <row r="590" spans="1:33" ht="11.25" customHeight="1" x14ac:dyDescent="0.25">
      <c r="A590" s="4" t="s">
        <v>55</v>
      </c>
      <c r="B590" s="4" t="s">
        <v>22</v>
      </c>
      <c r="C590" s="4" t="s">
        <v>23</v>
      </c>
      <c r="D590" s="4" t="s">
        <v>24</v>
      </c>
      <c r="E590" s="4" t="s">
        <v>28</v>
      </c>
      <c r="F590" s="4" t="s">
        <v>25</v>
      </c>
      <c r="G590" s="4" t="s">
        <v>25</v>
      </c>
      <c r="H590" s="4" t="s">
        <v>25</v>
      </c>
      <c r="I590" s="5">
        <v>44562</v>
      </c>
      <c r="J590" s="6">
        <v>0</v>
      </c>
      <c r="K590" s="6">
        <v>0</v>
      </c>
      <c r="L590" s="6">
        <v>0.03</v>
      </c>
      <c r="M590" s="6">
        <v>1.0500000000000001E-2</v>
      </c>
      <c r="N590" s="6">
        <v>0.03</v>
      </c>
      <c r="O590" s="6">
        <v>1.0500000000000001E-2</v>
      </c>
      <c r="P590" s="6">
        <v>0</v>
      </c>
      <c r="Q590" s="4" t="s">
        <v>26</v>
      </c>
      <c r="R590" s="4">
        <v>0</v>
      </c>
      <c r="S590" s="6">
        <v>0</v>
      </c>
      <c r="T590" s="6">
        <v>8</v>
      </c>
      <c r="U590" s="6">
        <v>50</v>
      </c>
      <c r="V590" s="6">
        <f>IF(ISERROR(VLOOKUP($S$590,'TAR FIN'!$A$1:$O$86,15,0)),0,VLOOKUP($S$590,'TAR FIN'!$A$1:$O$86,15,0))</f>
        <v>0</v>
      </c>
      <c r="W590" s="6">
        <f>IF(ISERROR(VLOOKUP($T$590,'TAR FIN'!$A$1:$O$86,15,0)),0,VLOOKUP($T$590,'TAR FIN'!$A$1:$O$86,15,0))</f>
        <v>87.14</v>
      </c>
      <c r="X590" s="6">
        <f>IF(ISERROR(VLOOKUP($U$590,'TAR FIN'!$A$1:$O$86,15,0)),0,VLOOKUP($U$590,'TAR FIN'!$A$1:$O$86,15,0))</f>
        <v>90.37</v>
      </c>
      <c r="Y590" s="6"/>
      <c r="Z590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0" s="6">
        <f>('TE BE'!$AB$12+'TE BF'!$AB$12+'TE CVA'!$AB$12)*(1-CUSTOS!$M$34)</f>
        <v>80.703906972005015</v>
      </c>
      <c r="AB590" s="6">
        <f>$K$590*$V$590</f>
        <v>0</v>
      </c>
      <c r="AC590" s="6">
        <f>$M$590*$W$590</f>
        <v>0.91497000000000006</v>
      </c>
      <c r="AD590" s="6">
        <f>$O$590*$X$590</f>
        <v>0.94888500000000009</v>
      </c>
      <c r="AE590" s="6">
        <f>$K$590*$Y$590</f>
        <v>0</v>
      </c>
      <c r="AF590" s="6">
        <f ca="1">$M$590*$Z$590</f>
        <v>0.8228921074479969</v>
      </c>
      <c r="AG590" s="6">
        <f>$O$590*$AA$590</f>
        <v>0.84739102320605275</v>
      </c>
    </row>
    <row r="591" spans="1:33" ht="11.25" customHeight="1" x14ac:dyDescent="0.25">
      <c r="A591" s="4" t="s">
        <v>21</v>
      </c>
      <c r="B591" s="4" t="s">
        <v>22</v>
      </c>
      <c r="C591" s="4" t="s">
        <v>23</v>
      </c>
      <c r="D591" s="4" t="s">
        <v>24</v>
      </c>
      <c r="E591" s="4" t="s">
        <v>28</v>
      </c>
      <c r="F591" s="4" t="s">
        <v>25</v>
      </c>
      <c r="G591" s="4" t="s">
        <v>25</v>
      </c>
      <c r="H591" s="4" t="s">
        <v>25</v>
      </c>
      <c r="I591" s="5">
        <v>44593</v>
      </c>
      <c r="J591" s="6">
        <v>0</v>
      </c>
      <c r="K591" s="6">
        <v>0</v>
      </c>
      <c r="L591" s="6">
        <v>21.393000000000001</v>
      </c>
      <c r="M591" s="6">
        <v>21.393000000000001</v>
      </c>
      <c r="N591" s="6">
        <v>21.393000000000001</v>
      </c>
      <c r="O591" s="6">
        <v>21.393000000000001</v>
      </c>
      <c r="P591" s="6">
        <v>15</v>
      </c>
      <c r="Q591" s="4" t="s">
        <v>26</v>
      </c>
      <c r="R591" s="4">
        <v>0</v>
      </c>
      <c r="S591" s="6">
        <v>0</v>
      </c>
      <c r="T591" s="6">
        <v>8</v>
      </c>
      <c r="U591" s="6">
        <v>50</v>
      </c>
      <c r="V591" s="6">
        <f>IF(ISERROR(VLOOKUP($S$591,'TAR FIN'!$A$1:$O$86,15,0)),0,VLOOKUP($S$591,'TAR FIN'!$A$1:$O$86,15,0))</f>
        <v>0</v>
      </c>
      <c r="W591" s="6">
        <f>IF(ISERROR(VLOOKUP($T$591,'TAR FIN'!$A$1:$O$86,15,0)),0,VLOOKUP($T$591,'TAR FIN'!$A$1:$O$86,15,0))</f>
        <v>87.14</v>
      </c>
      <c r="X591" s="6">
        <f>IF(ISERROR(VLOOKUP($U$591,'TAR FIN'!$A$1:$O$86,15,0)),0,VLOOKUP($U$591,'TAR FIN'!$A$1:$O$86,15,0))</f>
        <v>90.37</v>
      </c>
      <c r="Y591" s="6"/>
      <c r="Z591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1" s="6">
        <f>('TE BE'!$AB$12+'TE BF'!$AB$12+'TE CVA'!$AB$12)*(1-CUSTOS!$M$34)</f>
        <v>80.703906972005015</v>
      </c>
      <c r="AB591" s="6">
        <f>$K$591*$V$591</f>
        <v>0</v>
      </c>
      <c r="AC591" s="6">
        <f>$M$591*$W$591</f>
        <v>1864.1860200000001</v>
      </c>
      <c r="AD591" s="6">
        <f>$O$591*$X$591</f>
        <v>1933.2854100000002</v>
      </c>
      <c r="AE591" s="6">
        <f>$K$591*$Y$591</f>
        <v>0</v>
      </c>
      <c r="AF591" s="6">
        <f ca="1">$M$591*$Z$591</f>
        <v>1676.5838909176189</v>
      </c>
      <c r="AG591" s="6">
        <f>$O$591*$AA$591</f>
        <v>1726.4986818521033</v>
      </c>
    </row>
    <row r="592" spans="1:33" ht="11.25" customHeight="1" x14ac:dyDescent="0.25">
      <c r="A592" s="4" t="s">
        <v>55</v>
      </c>
      <c r="B592" s="4" t="s">
        <v>22</v>
      </c>
      <c r="C592" s="4" t="s">
        <v>23</v>
      </c>
      <c r="D592" s="4" t="s">
        <v>24</v>
      </c>
      <c r="E592" s="4" t="s">
        <v>28</v>
      </c>
      <c r="F592" s="4" t="s">
        <v>25</v>
      </c>
      <c r="G592" s="4" t="s">
        <v>25</v>
      </c>
      <c r="H592" s="4" t="s">
        <v>25</v>
      </c>
      <c r="I592" s="5">
        <v>44593</v>
      </c>
      <c r="J592" s="6">
        <v>0</v>
      </c>
      <c r="K592" s="6">
        <v>0</v>
      </c>
      <c r="L592" s="6">
        <v>0.03</v>
      </c>
      <c r="M592" s="6">
        <v>1.0500000000000001E-2</v>
      </c>
      <c r="N592" s="6">
        <v>0.03</v>
      </c>
      <c r="O592" s="6">
        <v>1.0500000000000001E-2</v>
      </c>
      <c r="P592" s="6">
        <v>0</v>
      </c>
      <c r="Q592" s="4" t="s">
        <v>26</v>
      </c>
      <c r="R592" s="4">
        <v>0</v>
      </c>
      <c r="S592" s="6">
        <v>0</v>
      </c>
      <c r="T592" s="6">
        <v>8</v>
      </c>
      <c r="U592" s="6">
        <v>50</v>
      </c>
      <c r="V592" s="6">
        <f>IF(ISERROR(VLOOKUP($S$592,'TAR FIN'!$A$1:$O$86,15,0)),0,VLOOKUP($S$592,'TAR FIN'!$A$1:$O$86,15,0))</f>
        <v>0</v>
      </c>
      <c r="W592" s="6">
        <f>IF(ISERROR(VLOOKUP($T$592,'TAR FIN'!$A$1:$O$86,15,0)),0,VLOOKUP($T$592,'TAR FIN'!$A$1:$O$86,15,0))</f>
        <v>87.14</v>
      </c>
      <c r="X592" s="6">
        <f>IF(ISERROR(VLOOKUP($U$592,'TAR FIN'!$A$1:$O$86,15,0)),0,VLOOKUP($U$592,'TAR FIN'!$A$1:$O$86,15,0))</f>
        <v>90.37</v>
      </c>
      <c r="Y592" s="6"/>
      <c r="Z592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2" s="6">
        <f>('TE BE'!$AB$12+'TE BF'!$AB$12+'TE CVA'!$AB$12)*(1-CUSTOS!$M$34)</f>
        <v>80.703906972005015</v>
      </c>
      <c r="AB592" s="6">
        <f>$K$592*$V$592</f>
        <v>0</v>
      </c>
      <c r="AC592" s="6">
        <f>$M$592*$W$592</f>
        <v>0.91497000000000006</v>
      </c>
      <c r="AD592" s="6">
        <f>$O$592*$X$592</f>
        <v>0.94888500000000009</v>
      </c>
      <c r="AE592" s="6">
        <f>$K$592*$Y$592</f>
        <v>0</v>
      </c>
      <c r="AF592" s="6">
        <f ca="1">$M$592*$Z$592</f>
        <v>0.8228921074479969</v>
      </c>
      <c r="AG592" s="6">
        <f>$O$592*$AA$592</f>
        <v>0.84739102320605275</v>
      </c>
    </row>
    <row r="593" spans="1:33" ht="11.25" customHeight="1" x14ac:dyDescent="0.25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28</v>
      </c>
      <c r="F593" s="4" t="s">
        <v>25</v>
      </c>
      <c r="G593" s="4" t="s">
        <v>25</v>
      </c>
      <c r="H593" s="4" t="s">
        <v>25</v>
      </c>
      <c r="I593" s="5">
        <v>44621</v>
      </c>
      <c r="J593" s="6">
        <v>0</v>
      </c>
      <c r="K593" s="6">
        <v>0</v>
      </c>
      <c r="L593" s="6">
        <v>21.81</v>
      </c>
      <c r="M593" s="6">
        <v>21.81</v>
      </c>
      <c r="N593" s="6">
        <v>21.81</v>
      </c>
      <c r="O593" s="6">
        <v>21.81</v>
      </c>
      <c r="P593" s="6">
        <v>27</v>
      </c>
      <c r="Q593" s="4" t="s">
        <v>26</v>
      </c>
      <c r="R593" s="4">
        <v>0</v>
      </c>
      <c r="S593" s="6">
        <v>0</v>
      </c>
      <c r="T593" s="6">
        <v>8</v>
      </c>
      <c r="U593" s="6">
        <v>50</v>
      </c>
      <c r="V593" s="6">
        <f>IF(ISERROR(VLOOKUP($S$593,'TAR FIN'!$A$1:$O$86,15,0)),0,VLOOKUP($S$593,'TAR FIN'!$A$1:$O$86,15,0))</f>
        <v>0</v>
      </c>
      <c r="W593" s="6">
        <f>IF(ISERROR(VLOOKUP($T$593,'TAR FIN'!$A$1:$O$86,15,0)),0,VLOOKUP($T$593,'TAR FIN'!$A$1:$O$86,15,0))</f>
        <v>87.14</v>
      </c>
      <c r="X593" s="6">
        <f>IF(ISERROR(VLOOKUP($U$593,'TAR FIN'!$A$1:$O$86,15,0)),0,VLOOKUP($U$593,'TAR FIN'!$A$1:$O$86,15,0))</f>
        <v>90.37</v>
      </c>
      <c r="Y593" s="6"/>
      <c r="Z593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3" s="6">
        <f>('TE BE'!$AB$12+'TE BF'!$AB$12+'TE CVA'!$AB$12)*(1-CUSTOS!$M$34)</f>
        <v>80.703906972005015</v>
      </c>
      <c r="AB593" s="6">
        <f>$K$593*$V$593</f>
        <v>0</v>
      </c>
      <c r="AC593" s="6">
        <f>$M$593*$W$593</f>
        <v>1900.5233999999998</v>
      </c>
      <c r="AD593" s="6">
        <f>$O$593*$X$593</f>
        <v>1970.9696999999999</v>
      </c>
      <c r="AE593" s="6">
        <f>$K$593*$Y$593</f>
        <v>0</v>
      </c>
      <c r="AF593" s="6">
        <f ca="1">$M$593*$Z$593</f>
        <v>1709.2644631848391</v>
      </c>
      <c r="AG593" s="6">
        <f>$O$593*$AA$593</f>
        <v>1760.1522110594292</v>
      </c>
    </row>
    <row r="594" spans="1:33" ht="11.25" customHeight="1" x14ac:dyDescent="0.25">
      <c r="A594" s="4" t="s">
        <v>55</v>
      </c>
      <c r="B594" s="4" t="s">
        <v>22</v>
      </c>
      <c r="C594" s="4" t="s">
        <v>23</v>
      </c>
      <c r="D594" s="4" t="s">
        <v>24</v>
      </c>
      <c r="E594" s="4" t="s">
        <v>28</v>
      </c>
      <c r="F594" s="4" t="s">
        <v>25</v>
      </c>
      <c r="G594" s="4" t="s">
        <v>25</v>
      </c>
      <c r="H594" s="4" t="s">
        <v>25</v>
      </c>
      <c r="I594" s="5">
        <v>44621</v>
      </c>
      <c r="J594" s="6">
        <v>0</v>
      </c>
      <c r="K594" s="6">
        <v>0</v>
      </c>
      <c r="L594" s="6">
        <v>0.03</v>
      </c>
      <c r="M594" s="6">
        <v>1.0500000000000001E-2</v>
      </c>
      <c r="N594" s="6">
        <v>0.03</v>
      </c>
      <c r="O594" s="6">
        <v>1.0500000000000001E-2</v>
      </c>
      <c r="P594" s="6">
        <v>0</v>
      </c>
      <c r="Q594" s="4" t="s">
        <v>26</v>
      </c>
      <c r="R594" s="4">
        <v>0</v>
      </c>
      <c r="S594" s="6">
        <v>0</v>
      </c>
      <c r="T594" s="6">
        <v>8</v>
      </c>
      <c r="U594" s="6">
        <v>50</v>
      </c>
      <c r="V594" s="6">
        <f>IF(ISERROR(VLOOKUP($S$594,'TAR FIN'!$A$1:$O$86,15,0)),0,VLOOKUP($S$594,'TAR FIN'!$A$1:$O$86,15,0))</f>
        <v>0</v>
      </c>
      <c r="W594" s="6">
        <f>IF(ISERROR(VLOOKUP($T$594,'TAR FIN'!$A$1:$O$86,15,0)),0,VLOOKUP($T$594,'TAR FIN'!$A$1:$O$86,15,0))</f>
        <v>87.14</v>
      </c>
      <c r="X594" s="6">
        <f>IF(ISERROR(VLOOKUP($U$594,'TAR FIN'!$A$1:$O$86,15,0)),0,VLOOKUP($U$594,'TAR FIN'!$A$1:$O$86,15,0))</f>
        <v>90.37</v>
      </c>
      <c r="Y594" s="6"/>
      <c r="Z594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4" s="6">
        <f>('TE BE'!$AB$12+'TE BF'!$AB$12+'TE CVA'!$AB$12)*(1-CUSTOS!$M$34)</f>
        <v>80.703906972005015</v>
      </c>
      <c r="AB594" s="6">
        <f>$K$594*$V$594</f>
        <v>0</v>
      </c>
      <c r="AC594" s="6">
        <f>$M$594*$W$594</f>
        <v>0.91497000000000006</v>
      </c>
      <c r="AD594" s="6">
        <f>$O$594*$X$594</f>
        <v>0.94888500000000009</v>
      </c>
      <c r="AE594" s="6">
        <f>$K$594*$Y$594</f>
        <v>0</v>
      </c>
      <c r="AF594" s="6">
        <f ca="1">$M$594*$Z$594</f>
        <v>0.8228921074479969</v>
      </c>
      <c r="AG594" s="6">
        <f>$O$594*$AA$594</f>
        <v>0.84739102320605275</v>
      </c>
    </row>
    <row r="595" spans="1:33" ht="11.25" customHeight="1" x14ac:dyDescent="0.25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28</v>
      </c>
      <c r="F595" s="4" t="s">
        <v>25</v>
      </c>
      <c r="G595" s="4" t="s">
        <v>25</v>
      </c>
      <c r="H595" s="4" t="s">
        <v>25</v>
      </c>
      <c r="I595" s="5">
        <v>44652</v>
      </c>
      <c r="J595" s="6">
        <v>0</v>
      </c>
      <c r="K595" s="6">
        <v>0</v>
      </c>
      <c r="L595" s="6">
        <v>22.26</v>
      </c>
      <c r="M595" s="6">
        <v>22.26</v>
      </c>
      <c r="N595" s="6">
        <v>22.26</v>
      </c>
      <c r="O595" s="6">
        <v>22.26</v>
      </c>
      <c r="P595" s="6">
        <v>21</v>
      </c>
      <c r="Q595" s="4" t="s">
        <v>26</v>
      </c>
      <c r="R595" s="4">
        <v>0</v>
      </c>
      <c r="S595" s="6">
        <v>0</v>
      </c>
      <c r="T595" s="6">
        <v>8</v>
      </c>
      <c r="U595" s="6">
        <v>50</v>
      </c>
      <c r="V595" s="6">
        <f>IF(ISERROR(VLOOKUP($S$595,'TAR FIN'!$A$1:$O$86,15,0)),0,VLOOKUP($S$595,'TAR FIN'!$A$1:$O$86,15,0))</f>
        <v>0</v>
      </c>
      <c r="W595" s="6">
        <f>IF(ISERROR(VLOOKUP($T$595,'TAR FIN'!$A$1:$O$86,15,0)),0,VLOOKUP($T$595,'TAR FIN'!$A$1:$O$86,15,0))</f>
        <v>87.14</v>
      </c>
      <c r="X595" s="6">
        <f>IF(ISERROR(VLOOKUP($U$595,'TAR FIN'!$A$1:$O$86,15,0)),0,VLOOKUP($U$595,'TAR FIN'!$A$1:$O$86,15,0))</f>
        <v>90.37</v>
      </c>
      <c r="Y595" s="6"/>
      <c r="Z595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5" s="6">
        <f>('TE BE'!$AB$12+'TE BF'!$AB$12+'TE CVA'!$AB$12)*(1-CUSTOS!$M$34)</f>
        <v>80.703906972005015</v>
      </c>
      <c r="AB595" s="6">
        <f>$K$595*$V$595</f>
        <v>0</v>
      </c>
      <c r="AC595" s="6">
        <f>$M$595*$W$595</f>
        <v>1939.7364000000002</v>
      </c>
      <c r="AD595" s="6">
        <f>$O$595*$X$595</f>
        <v>2011.6362000000001</v>
      </c>
      <c r="AE595" s="6">
        <f>$K$595*$Y$595</f>
        <v>0</v>
      </c>
      <c r="AF595" s="6">
        <f ca="1">$M$595*$Z$595</f>
        <v>1744.5312677897534</v>
      </c>
      <c r="AG595" s="6">
        <f>$O$595*$AA$595</f>
        <v>1796.4689691968317</v>
      </c>
    </row>
    <row r="596" spans="1:33" ht="11.25" customHeight="1" x14ac:dyDescent="0.25">
      <c r="A596" s="4" t="s">
        <v>55</v>
      </c>
      <c r="B596" s="4" t="s">
        <v>22</v>
      </c>
      <c r="C596" s="4" t="s">
        <v>23</v>
      </c>
      <c r="D596" s="4" t="s">
        <v>24</v>
      </c>
      <c r="E596" s="4" t="s">
        <v>28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0.03</v>
      </c>
      <c r="M596" s="6">
        <v>1.0500000000000001E-2</v>
      </c>
      <c r="N596" s="6">
        <v>0.03</v>
      </c>
      <c r="O596" s="6">
        <v>1.0500000000000001E-2</v>
      </c>
      <c r="P596" s="6">
        <v>0</v>
      </c>
      <c r="Q596" s="4" t="s">
        <v>26</v>
      </c>
      <c r="R596" s="4">
        <v>0</v>
      </c>
      <c r="S596" s="6">
        <v>0</v>
      </c>
      <c r="T596" s="6">
        <v>8</v>
      </c>
      <c r="U596" s="6">
        <v>50</v>
      </c>
      <c r="V596" s="6">
        <f>IF(ISERROR(VLOOKUP($S$596,'TAR FIN'!$A$1:$O$86,15,0)),0,VLOOKUP($S$596,'TAR FIN'!$A$1:$O$86,15,0))</f>
        <v>0</v>
      </c>
      <c r="W596" s="6">
        <f>IF(ISERROR(VLOOKUP($T$596,'TAR FIN'!$A$1:$O$86,15,0)),0,VLOOKUP($T$596,'TAR FIN'!$A$1:$O$86,15,0))</f>
        <v>87.14</v>
      </c>
      <c r="X596" s="6">
        <f>IF(ISERROR(VLOOKUP($U$596,'TAR FIN'!$A$1:$O$86,15,0)),0,VLOOKUP($U$596,'TAR FIN'!$A$1:$O$86,15,0))</f>
        <v>90.37</v>
      </c>
      <c r="Y596" s="6"/>
      <c r="Z596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6" s="6">
        <f>('TE BE'!$AB$12+'TE BF'!$AB$12+'TE CVA'!$AB$12)*(1-CUSTOS!$M$34)</f>
        <v>80.703906972005015</v>
      </c>
      <c r="AB596" s="6">
        <f>$K$596*$V$596</f>
        <v>0</v>
      </c>
      <c r="AC596" s="6">
        <f>$M$596*$W$596</f>
        <v>0.91497000000000006</v>
      </c>
      <c r="AD596" s="6">
        <f>$O$596*$X$596</f>
        <v>0.94888500000000009</v>
      </c>
      <c r="AE596" s="6">
        <f>$K$596*$Y$596</f>
        <v>0</v>
      </c>
      <c r="AF596" s="6">
        <f ca="1">$M$596*$Z$596</f>
        <v>0.8228921074479969</v>
      </c>
      <c r="AG596" s="6">
        <f>$O$596*$AA$596</f>
        <v>0.84739102320605275</v>
      </c>
    </row>
    <row r="597" spans="1:33" ht="11.25" customHeight="1" x14ac:dyDescent="0.25">
      <c r="A597" s="4" t="s">
        <v>21</v>
      </c>
      <c r="B597" s="4" t="s">
        <v>22</v>
      </c>
      <c r="C597" s="4" t="s">
        <v>23</v>
      </c>
      <c r="D597" s="4" t="s">
        <v>24</v>
      </c>
      <c r="E597" s="4" t="s">
        <v>28</v>
      </c>
      <c r="F597" s="4" t="s">
        <v>25</v>
      </c>
      <c r="G597" s="4" t="s">
        <v>25</v>
      </c>
      <c r="H597" s="4" t="s">
        <v>25</v>
      </c>
      <c r="I597" s="5">
        <v>44682</v>
      </c>
      <c r="J597" s="6">
        <v>0</v>
      </c>
      <c r="K597" s="6">
        <v>0</v>
      </c>
      <c r="L597" s="6">
        <v>22.341999999999999</v>
      </c>
      <c r="M597" s="6">
        <v>22.341999999999999</v>
      </c>
      <c r="N597" s="6">
        <v>22.341999999999999</v>
      </c>
      <c r="O597" s="6">
        <v>22.341999999999999</v>
      </c>
      <c r="P597" s="6">
        <v>26</v>
      </c>
      <c r="Q597" s="4" t="s">
        <v>26</v>
      </c>
      <c r="R597" s="4">
        <v>0</v>
      </c>
      <c r="S597" s="6">
        <v>0</v>
      </c>
      <c r="T597" s="6">
        <v>8</v>
      </c>
      <c r="U597" s="6">
        <v>50</v>
      </c>
      <c r="V597" s="6">
        <f>IF(ISERROR(VLOOKUP($S$597,'TAR FIN'!$A$1:$O$86,15,0)),0,VLOOKUP($S$597,'TAR FIN'!$A$1:$O$86,15,0))</f>
        <v>0</v>
      </c>
      <c r="W597" s="6">
        <f>IF(ISERROR(VLOOKUP($T$597,'TAR FIN'!$A$1:$O$86,15,0)),0,VLOOKUP($T$597,'TAR FIN'!$A$1:$O$86,15,0))</f>
        <v>87.14</v>
      </c>
      <c r="X597" s="6">
        <f>IF(ISERROR(VLOOKUP($U$597,'TAR FIN'!$A$1:$O$86,15,0)),0,VLOOKUP($U$597,'TAR FIN'!$A$1:$O$86,15,0))</f>
        <v>90.37</v>
      </c>
      <c r="Y597" s="6"/>
      <c r="Z597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7" s="6">
        <f>('TE BE'!$AB$12+'TE BF'!$AB$12+'TE CVA'!$AB$12)*(1-CUSTOS!$M$34)</f>
        <v>80.703906972005015</v>
      </c>
      <c r="AB597" s="6">
        <f>$K$597*$V$597</f>
        <v>0</v>
      </c>
      <c r="AC597" s="6">
        <f>$M$597*$W$597</f>
        <v>1946.8818799999999</v>
      </c>
      <c r="AD597" s="6">
        <f>$O$597*$X$597</f>
        <v>2019.04654</v>
      </c>
      <c r="AE597" s="6">
        <f>$K$597*$Y$597</f>
        <v>0</v>
      </c>
      <c r="AF597" s="6">
        <f ca="1">$M$597*$Z$597</f>
        <v>1750.9576632955377</v>
      </c>
      <c r="AG597" s="6">
        <f>$O$597*$AA$597</f>
        <v>1803.086689568536</v>
      </c>
    </row>
    <row r="598" spans="1:33" ht="11.25" customHeight="1" x14ac:dyDescent="0.25">
      <c r="A598" s="4" t="s">
        <v>55</v>
      </c>
      <c r="B598" s="4" t="s">
        <v>22</v>
      </c>
      <c r="C598" s="4" t="s">
        <v>23</v>
      </c>
      <c r="D598" s="4" t="s">
        <v>24</v>
      </c>
      <c r="E598" s="4" t="s">
        <v>28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0.03</v>
      </c>
      <c r="M598" s="6">
        <v>1.0500000000000001E-2</v>
      </c>
      <c r="N598" s="6">
        <v>0.03</v>
      </c>
      <c r="O598" s="6">
        <v>1.0500000000000001E-2</v>
      </c>
      <c r="P598" s="6">
        <v>0</v>
      </c>
      <c r="Q598" s="4" t="s">
        <v>26</v>
      </c>
      <c r="R598" s="4">
        <v>0</v>
      </c>
      <c r="S598" s="6">
        <v>0</v>
      </c>
      <c r="T598" s="6">
        <v>8</v>
      </c>
      <c r="U598" s="6">
        <v>50</v>
      </c>
      <c r="V598" s="6">
        <f>IF(ISERROR(VLOOKUP($S$598,'TAR FIN'!$A$1:$O$86,15,0)),0,VLOOKUP($S$598,'TAR FIN'!$A$1:$O$86,15,0))</f>
        <v>0</v>
      </c>
      <c r="W598" s="6">
        <f>IF(ISERROR(VLOOKUP($T$598,'TAR FIN'!$A$1:$O$86,15,0)),0,VLOOKUP($T$598,'TAR FIN'!$A$1:$O$86,15,0))</f>
        <v>87.14</v>
      </c>
      <c r="X598" s="6">
        <f>IF(ISERROR(VLOOKUP($U$598,'TAR FIN'!$A$1:$O$86,15,0)),0,VLOOKUP($U$598,'TAR FIN'!$A$1:$O$86,15,0))</f>
        <v>90.37</v>
      </c>
      <c r="Y598" s="6"/>
      <c r="Z598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8" s="6">
        <f>('TE BE'!$AB$12+'TE BF'!$AB$12+'TE CVA'!$AB$12)*(1-CUSTOS!$M$34)</f>
        <v>80.703906972005015</v>
      </c>
      <c r="AB598" s="6">
        <f>$K$598*$V$598</f>
        <v>0</v>
      </c>
      <c r="AC598" s="6">
        <f>$M$598*$W$598</f>
        <v>0.91497000000000006</v>
      </c>
      <c r="AD598" s="6">
        <f>$O$598*$X$598</f>
        <v>0.94888500000000009</v>
      </c>
      <c r="AE598" s="6">
        <f>$K$598*$Y$598</f>
        <v>0</v>
      </c>
      <c r="AF598" s="6">
        <f ca="1">$M$598*$Z$598</f>
        <v>0.8228921074479969</v>
      </c>
      <c r="AG598" s="6">
        <f>$O$598*$AA$598</f>
        <v>0.84739102320605275</v>
      </c>
    </row>
    <row r="599" spans="1:33" ht="11.25" customHeight="1" x14ac:dyDescent="0.25">
      <c r="A599" s="4" t="s">
        <v>56</v>
      </c>
      <c r="B599" s="4" t="s">
        <v>22</v>
      </c>
      <c r="C599" s="4" t="s">
        <v>23</v>
      </c>
      <c r="D599" s="4" t="s">
        <v>24</v>
      </c>
      <c r="E599" s="4" t="s">
        <v>28</v>
      </c>
      <c r="F599" s="4" t="s">
        <v>25</v>
      </c>
      <c r="G599" s="4" t="s">
        <v>25</v>
      </c>
      <c r="H599" s="4" t="s">
        <v>25</v>
      </c>
      <c r="I599" s="5">
        <v>44713</v>
      </c>
      <c r="J599" s="6">
        <v>0</v>
      </c>
      <c r="K599" s="6">
        <v>0</v>
      </c>
      <c r="L599" s="6">
        <v>22.341999999999999</v>
      </c>
      <c r="M599" s="6">
        <v>22.341999999999999</v>
      </c>
      <c r="N599" s="6">
        <v>22.341999999999999</v>
      </c>
      <c r="O599" s="6">
        <v>22.341999999999999</v>
      </c>
      <c r="P599" s="6">
        <v>26</v>
      </c>
      <c r="Q599" s="4" t="s">
        <v>26</v>
      </c>
      <c r="R599" s="4">
        <v>0</v>
      </c>
      <c r="S599" s="6">
        <v>0</v>
      </c>
      <c r="T599" s="6">
        <v>8</v>
      </c>
      <c r="U599" s="6">
        <v>50</v>
      </c>
      <c r="V599" s="6">
        <f>IF(ISERROR(VLOOKUP($S$599,'TAR FIN'!$A$1:$O$86,15,0)),0,VLOOKUP($S$599,'TAR FIN'!$A$1:$O$86,15,0))</f>
        <v>0</v>
      </c>
      <c r="W599" s="6">
        <f>IF(ISERROR(VLOOKUP($T$599,'TAR FIN'!$A$1:$O$86,15,0)),0,VLOOKUP($T$599,'TAR FIN'!$A$1:$O$86,15,0))</f>
        <v>87.14</v>
      </c>
      <c r="X599" s="6">
        <f>IF(ISERROR(VLOOKUP($U$599,'TAR FIN'!$A$1:$O$86,15,0)),0,VLOOKUP($U$599,'TAR FIN'!$A$1:$O$86,15,0))</f>
        <v>90.37</v>
      </c>
      <c r="Y599" s="6"/>
      <c r="Z599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599" s="6">
        <f>('TE BE'!$AB$12+'TE BF'!$AB$12+'TE CVA'!$AB$12)*(1-CUSTOS!$M$34)</f>
        <v>80.703906972005015</v>
      </c>
      <c r="AB599" s="6">
        <f>$K$599*$V$599</f>
        <v>0</v>
      </c>
      <c r="AC599" s="6">
        <f>$M$599*$W$599</f>
        <v>1946.8818799999999</v>
      </c>
      <c r="AD599" s="6">
        <f>$O$599*$X$599</f>
        <v>2019.04654</v>
      </c>
      <c r="AE599" s="6">
        <f>$K$599*$Y$599</f>
        <v>0</v>
      </c>
      <c r="AF599" s="6">
        <f ca="1">$M$599*$Z$599</f>
        <v>1750.9576632955377</v>
      </c>
      <c r="AG599" s="6">
        <f>$O$599*$AA$599</f>
        <v>1803.086689568536</v>
      </c>
    </row>
    <row r="600" spans="1:33" ht="11.25" customHeight="1" x14ac:dyDescent="0.25">
      <c r="A600" s="4" t="s">
        <v>56</v>
      </c>
      <c r="B600" s="4" t="s">
        <v>22</v>
      </c>
      <c r="C600" s="4" t="s">
        <v>23</v>
      </c>
      <c r="D600" s="4" t="s">
        <v>24</v>
      </c>
      <c r="E600" s="4" t="s">
        <v>28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0.03</v>
      </c>
      <c r="M600" s="6">
        <v>1.0500000000000001E-2</v>
      </c>
      <c r="N600" s="6">
        <v>0.03</v>
      </c>
      <c r="O600" s="6">
        <v>1.0500000000000001E-2</v>
      </c>
      <c r="P600" s="6">
        <v>0</v>
      </c>
      <c r="Q600" s="4" t="s">
        <v>26</v>
      </c>
      <c r="R600" s="4">
        <v>0</v>
      </c>
      <c r="S600" s="6">
        <v>0</v>
      </c>
      <c r="T600" s="6">
        <v>8</v>
      </c>
      <c r="U600" s="6">
        <v>50</v>
      </c>
      <c r="V600" s="6">
        <f>IF(ISERROR(VLOOKUP($S$600,'TAR FIN'!$A$1:$O$86,15,0)),0,VLOOKUP($S$600,'TAR FIN'!$A$1:$O$86,15,0))</f>
        <v>0</v>
      </c>
      <c r="W600" s="6">
        <f>IF(ISERROR(VLOOKUP($T$600,'TAR FIN'!$A$1:$O$86,15,0)),0,VLOOKUP($T$600,'TAR FIN'!$A$1:$O$86,15,0))</f>
        <v>87.14</v>
      </c>
      <c r="X600" s="6">
        <f>IF(ISERROR(VLOOKUP($U$600,'TAR FIN'!$A$1:$O$86,15,0)),0,VLOOKUP($U$600,'TAR FIN'!$A$1:$O$86,15,0))</f>
        <v>90.37</v>
      </c>
      <c r="Y600" s="6"/>
      <c r="Z600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600" s="6">
        <f>('TE BE'!$AB$12+'TE BF'!$AB$12+'TE CVA'!$AB$12)*(1-CUSTOS!$M$34)</f>
        <v>80.703906972005015</v>
      </c>
      <c r="AB600" s="6">
        <f>$K$600*$V$600</f>
        <v>0</v>
      </c>
      <c r="AC600" s="6">
        <f>$M$600*$W$600</f>
        <v>0.91497000000000006</v>
      </c>
      <c r="AD600" s="6">
        <f>$O$600*$X$600</f>
        <v>0.94888500000000009</v>
      </c>
      <c r="AE600" s="6">
        <f>$K$600*$Y$600</f>
        <v>0</v>
      </c>
      <c r="AF600" s="6">
        <f ca="1">$M$600*$Z$600</f>
        <v>0.8228921074479969</v>
      </c>
      <c r="AG600" s="6">
        <f>$O$600*$AA$600</f>
        <v>0.84739102320605275</v>
      </c>
    </row>
    <row r="601" spans="1:33" ht="11.25" customHeight="1" x14ac:dyDescent="0.25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29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42.869</v>
      </c>
      <c r="M601" s="6">
        <v>42.869</v>
      </c>
      <c r="N601" s="6">
        <v>42.869</v>
      </c>
      <c r="O601" s="6">
        <v>42.869</v>
      </c>
      <c r="P601" s="6">
        <v>142</v>
      </c>
      <c r="Q601" s="4" t="s">
        <v>26</v>
      </c>
      <c r="R601" s="4">
        <v>0</v>
      </c>
      <c r="S601" s="6">
        <v>0</v>
      </c>
      <c r="T601" s="6">
        <v>28</v>
      </c>
      <c r="U601" s="6">
        <v>53</v>
      </c>
      <c r="V601" s="6">
        <f>IF(ISERROR(VLOOKUP($S$601,'TAR FIN'!$A$1:$O$86,15,0)),0,VLOOKUP($S$601,'TAR FIN'!$A$1:$O$86,15,0))</f>
        <v>0</v>
      </c>
      <c r="W601" s="6">
        <f>IF(ISERROR(VLOOKUP($T$601,'TAR FIN'!$A$1:$O$86,15,0)),0,VLOOKUP($T$601,'TAR FIN'!$A$1:$O$86,15,0))</f>
        <v>149.38999999999999</v>
      </c>
      <c r="X601" s="6">
        <f>IF(ISERROR(VLOOKUP($U$601,'TAR FIN'!$A$1:$O$86,15,0)),0,VLOOKUP($U$601,'TAR FIN'!$A$1:$O$86,15,0))</f>
        <v>154.93</v>
      </c>
      <c r="Y601" s="6"/>
      <c r="Z601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1" s="6">
        <f>('TE BE'!$AB$13+'TE BF'!$AB$13+'TE CVA'!$AB$13)*(1-CUSTOS!$M$35)</f>
        <v>138.34955480915144</v>
      </c>
      <c r="AB601" s="6">
        <f>$K$601*$V$601</f>
        <v>0</v>
      </c>
      <c r="AC601" s="6">
        <f>$M$601*$W$601</f>
        <v>6404.1999099999994</v>
      </c>
      <c r="AD601" s="6">
        <f>$O$601*$X$601</f>
        <v>6641.6941700000007</v>
      </c>
      <c r="AE601" s="6">
        <f>$K$601*$Y$601</f>
        <v>0</v>
      </c>
      <c r="AF601" s="6">
        <f ca="1">$M$601*$Z$601</f>
        <v>5759.4386537450082</v>
      </c>
      <c r="AG601" s="6">
        <f>$O$601*$AA$601</f>
        <v>5930.9070651135135</v>
      </c>
    </row>
    <row r="602" spans="1:33" ht="11.25" customHeight="1" x14ac:dyDescent="0.25">
      <c r="A602" s="4" t="s">
        <v>21</v>
      </c>
      <c r="B602" s="4" t="s">
        <v>22</v>
      </c>
      <c r="C602" s="4" t="s">
        <v>23</v>
      </c>
      <c r="D602" s="4" t="s">
        <v>24</v>
      </c>
      <c r="E602" s="4" t="s">
        <v>29</v>
      </c>
      <c r="F602" s="4" t="s">
        <v>25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43.503</v>
      </c>
      <c r="M602" s="6">
        <v>43.503</v>
      </c>
      <c r="N602" s="6">
        <v>43.503</v>
      </c>
      <c r="O602" s="6">
        <v>43.503</v>
      </c>
      <c r="P602" s="6">
        <v>139</v>
      </c>
      <c r="Q602" s="4" t="s">
        <v>26</v>
      </c>
      <c r="R602" s="4">
        <v>0</v>
      </c>
      <c r="S602" s="6">
        <v>0</v>
      </c>
      <c r="T602" s="6">
        <v>28</v>
      </c>
      <c r="U602" s="6">
        <v>53</v>
      </c>
      <c r="V602" s="6">
        <f>IF(ISERROR(VLOOKUP($S$602,'TAR FIN'!$A$1:$O$86,15,0)),0,VLOOKUP($S$602,'TAR FIN'!$A$1:$O$86,15,0))</f>
        <v>0</v>
      </c>
      <c r="W602" s="6">
        <f>IF(ISERROR(VLOOKUP($T$602,'TAR FIN'!$A$1:$O$86,15,0)),0,VLOOKUP($T$602,'TAR FIN'!$A$1:$O$86,15,0))</f>
        <v>149.38999999999999</v>
      </c>
      <c r="X602" s="6">
        <f>IF(ISERROR(VLOOKUP($U$602,'TAR FIN'!$A$1:$O$86,15,0)),0,VLOOKUP($U$602,'TAR FIN'!$A$1:$O$86,15,0))</f>
        <v>154.93</v>
      </c>
      <c r="Y602" s="6"/>
      <c r="Z602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2" s="6">
        <f>('TE BE'!$AB$13+'TE BF'!$AB$13+'TE CVA'!$AB$13)*(1-CUSTOS!$M$35)</f>
        <v>138.34955480915144</v>
      </c>
      <c r="AB602" s="6">
        <f>$K$602*$V$602</f>
        <v>0</v>
      </c>
      <c r="AC602" s="6">
        <f>$M$602*$W$602</f>
        <v>6498.9131699999998</v>
      </c>
      <c r="AD602" s="6">
        <f>$O$602*$X$602</f>
        <v>6739.9197899999999</v>
      </c>
      <c r="AE602" s="6">
        <f>$K$602*$Y$602</f>
        <v>0</v>
      </c>
      <c r="AF602" s="6">
        <f ca="1">$M$602*$Z$602</f>
        <v>5844.6163837241156</v>
      </c>
      <c r="AG602" s="6">
        <f>$O$602*$AA$602</f>
        <v>6018.6206828625154</v>
      </c>
    </row>
    <row r="603" spans="1:33" ht="11.25" customHeight="1" x14ac:dyDescent="0.25">
      <c r="A603" s="4" t="s">
        <v>21</v>
      </c>
      <c r="B603" s="4" t="s">
        <v>22</v>
      </c>
      <c r="C603" s="4" t="s">
        <v>23</v>
      </c>
      <c r="D603" s="4" t="s">
        <v>24</v>
      </c>
      <c r="E603" s="4" t="s">
        <v>29</v>
      </c>
      <c r="F603" s="4" t="s">
        <v>25</v>
      </c>
      <c r="G603" s="4" t="s">
        <v>25</v>
      </c>
      <c r="H603" s="4" t="s">
        <v>25</v>
      </c>
      <c r="I603" s="5">
        <v>44440</v>
      </c>
      <c r="J603" s="6">
        <v>0</v>
      </c>
      <c r="K603" s="6">
        <v>0</v>
      </c>
      <c r="L603" s="6">
        <v>43.853999999999999</v>
      </c>
      <c r="M603" s="6">
        <v>43.853999999999999</v>
      </c>
      <c r="N603" s="6">
        <v>43.853999999999999</v>
      </c>
      <c r="O603" s="6">
        <v>43.853999999999999</v>
      </c>
      <c r="P603" s="6">
        <v>134</v>
      </c>
      <c r="Q603" s="4" t="s">
        <v>26</v>
      </c>
      <c r="R603" s="4">
        <v>0</v>
      </c>
      <c r="S603" s="6">
        <v>0</v>
      </c>
      <c r="T603" s="6">
        <v>28</v>
      </c>
      <c r="U603" s="6">
        <v>53</v>
      </c>
      <c r="V603" s="6">
        <f>IF(ISERROR(VLOOKUP($S$603,'TAR FIN'!$A$1:$O$86,15,0)),0,VLOOKUP($S$603,'TAR FIN'!$A$1:$O$86,15,0))</f>
        <v>0</v>
      </c>
      <c r="W603" s="6">
        <f>IF(ISERROR(VLOOKUP($T$603,'TAR FIN'!$A$1:$O$86,15,0)),0,VLOOKUP($T$603,'TAR FIN'!$A$1:$O$86,15,0))</f>
        <v>149.38999999999999</v>
      </c>
      <c r="X603" s="6">
        <f>IF(ISERROR(VLOOKUP($U$603,'TAR FIN'!$A$1:$O$86,15,0)),0,VLOOKUP($U$603,'TAR FIN'!$A$1:$O$86,15,0))</f>
        <v>154.93</v>
      </c>
      <c r="Y603" s="6"/>
      <c r="Z603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3" s="6">
        <f>('TE BE'!$AB$13+'TE BF'!$AB$13+'TE CVA'!$AB$13)*(1-CUSTOS!$M$35)</f>
        <v>138.34955480915144</v>
      </c>
      <c r="AB603" s="6">
        <f>$K$603*$V$603</f>
        <v>0</v>
      </c>
      <c r="AC603" s="6">
        <f>$M$603*$W$603</f>
        <v>6551.3490599999996</v>
      </c>
      <c r="AD603" s="6">
        <f>$O$603*$X$603</f>
        <v>6794.3002200000001</v>
      </c>
      <c r="AE603" s="6">
        <f>$K$603*$Y$603</f>
        <v>0</v>
      </c>
      <c r="AF603" s="6">
        <f ca="1">$M$603*$Z$603</f>
        <v>5891.773139595829</v>
      </c>
      <c r="AG603" s="6">
        <f>$O$603*$AA$603</f>
        <v>6067.1813766005271</v>
      </c>
    </row>
    <row r="604" spans="1:33" ht="11.25" customHeight="1" x14ac:dyDescent="0.25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29</v>
      </c>
      <c r="F604" s="4" t="s">
        <v>25</v>
      </c>
      <c r="G604" s="4" t="s">
        <v>25</v>
      </c>
      <c r="H604" s="4" t="s">
        <v>25</v>
      </c>
      <c r="I604" s="5">
        <v>44470</v>
      </c>
      <c r="J604" s="6">
        <v>0</v>
      </c>
      <c r="K604" s="6">
        <v>0</v>
      </c>
      <c r="L604" s="6">
        <v>44.758000000000003</v>
      </c>
      <c r="M604" s="6">
        <v>44.758000000000003</v>
      </c>
      <c r="N604" s="6">
        <v>44.758000000000003</v>
      </c>
      <c r="O604" s="6">
        <v>44.758000000000003</v>
      </c>
      <c r="P604" s="6">
        <v>133</v>
      </c>
      <c r="Q604" s="4" t="s">
        <v>26</v>
      </c>
      <c r="R604" s="4">
        <v>0</v>
      </c>
      <c r="S604" s="6">
        <v>0</v>
      </c>
      <c r="T604" s="6">
        <v>28</v>
      </c>
      <c r="U604" s="6">
        <v>53</v>
      </c>
      <c r="V604" s="6">
        <f>IF(ISERROR(VLOOKUP($S$604,'TAR FIN'!$A$1:$O$86,15,0)),0,VLOOKUP($S$604,'TAR FIN'!$A$1:$O$86,15,0))</f>
        <v>0</v>
      </c>
      <c r="W604" s="6">
        <f>IF(ISERROR(VLOOKUP($T$604,'TAR FIN'!$A$1:$O$86,15,0)),0,VLOOKUP($T$604,'TAR FIN'!$A$1:$O$86,15,0))</f>
        <v>149.38999999999999</v>
      </c>
      <c r="X604" s="6">
        <f>IF(ISERROR(VLOOKUP($U$604,'TAR FIN'!$A$1:$O$86,15,0)),0,VLOOKUP($U$604,'TAR FIN'!$A$1:$O$86,15,0))</f>
        <v>154.93</v>
      </c>
      <c r="Y604" s="6"/>
      <c r="Z604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4" s="6">
        <f>('TE BE'!$AB$13+'TE BF'!$AB$13+'TE CVA'!$AB$13)*(1-CUSTOS!$M$35)</f>
        <v>138.34955480915144</v>
      </c>
      <c r="AB604" s="6">
        <f>$K$604*$V$604</f>
        <v>0</v>
      </c>
      <c r="AC604" s="6">
        <f>$M$604*$W$604</f>
        <v>6686.3976199999997</v>
      </c>
      <c r="AD604" s="6">
        <f>$O$604*$X$604</f>
        <v>6934.3569400000006</v>
      </c>
      <c r="AE604" s="6">
        <f>$K$604*$Y$604</f>
        <v>0</v>
      </c>
      <c r="AF604" s="6">
        <f ca="1">$M$604*$Z$604</f>
        <v>6013.225297168563</v>
      </c>
      <c r="AG604" s="6">
        <f>$O$604*$AA$604</f>
        <v>6192.2493741480002</v>
      </c>
    </row>
    <row r="605" spans="1:33" ht="11.25" customHeight="1" x14ac:dyDescent="0.25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29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0</v>
      </c>
      <c r="K605" s="6">
        <v>0</v>
      </c>
      <c r="L605" s="6">
        <v>45.768000000000001</v>
      </c>
      <c r="M605" s="6">
        <v>45.768000000000001</v>
      </c>
      <c r="N605" s="6">
        <v>45.768000000000001</v>
      </c>
      <c r="O605" s="6">
        <v>45.768000000000001</v>
      </c>
      <c r="P605" s="6">
        <v>111</v>
      </c>
      <c r="Q605" s="4" t="s">
        <v>26</v>
      </c>
      <c r="R605" s="4">
        <v>0</v>
      </c>
      <c r="S605" s="6">
        <v>0</v>
      </c>
      <c r="T605" s="6">
        <v>28</v>
      </c>
      <c r="U605" s="6">
        <v>53</v>
      </c>
      <c r="V605" s="6">
        <f>IF(ISERROR(VLOOKUP($S$605,'TAR FIN'!$A$1:$O$86,15,0)),0,VLOOKUP($S$605,'TAR FIN'!$A$1:$O$86,15,0))</f>
        <v>0</v>
      </c>
      <c r="W605" s="6">
        <f>IF(ISERROR(VLOOKUP($T$605,'TAR FIN'!$A$1:$O$86,15,0)),0,VLOOKUP($T$605,'TAR FIN'!$A$1:$O$86,15,0))</f>
        <v>149.38999999999999</v>
      </c>
      <c r="X605" s="6">
        <f>IF(ISERROR(VLOOKUP($U$605,'TAR FIN'!$A$1:$O$86,15,0)),0,VLOOKUP($U$605,'TAR FIN'!$A$1:$O$86,15,0))</f>
        <v>154.93</v>
      </c>
      <c r="Y605" s="6"/>
      <c r="Z605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5" s="6">
        <f>('TE BE'!$AB$13+'TE BF'!$AB$13+'TE CVA'!$AB$13)*(1-CUSTOS!$M$35)</f>
        <v>138.34955480915144</v>
      </c>
      <c r="AB605" s="6">
        <f>$K$605*$V$605</f>
        <v>0</v>
      </c>
      <c r="AC605" s="6">
        <f>$M$605*$W$605</f>
        <v>6837.2815199999995</v>
      </c>
      <c r="AD605" s="6">
        <f>$O$605*$X$605</f>
        <v>7090.8362400000005</v>
      </c>
      <c r="AE605" s="6">
        <f>$K$605*$Y$605</f>
        <v>0</v>
      </c>
      <c r="AF605" s="6">
        <f ca="1">$M$605*$Z$605</f>
        <v>6148.9185263150894</v>
      </c>
      <c r="AG605" s="6">
        <f>$O$605*$AA$605</f>
        <v>6331.9824245052432</v>
      </c>
    </row>
    <row r="606" spans="1:33" ht="11.25" customHeight="1" x14ac:dyDescent="0.25">
      <c r="A606" s="4" t="s">
        <v>21</v>
      </c>
      <c r="B606" s="4" t="s">
        <v>22</v>
      </c>
      <c r="C606" s="4" t="s">
        <v>23</v>
      </c>
      <c r="D606" s="4" t="s">
        <v>24</v>
      </c>
      <c r="E606" s="4" t="s">
        <v>29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46.033999999999999</v>
      </c>
      <c r="M606" s="6">
        <v>46.033999999999999</v>
      </c>
      <c r="N606" s="6">
        <v>46.033999999999999</v>
      </c>
      <c r="O606" s="6">
        <v>46.033999999999999</v>
      </c>
      <c r="P606" s="6">
        <v>115</v>
      </c>
      <c r="Q606" s="4" t="s">
        <v>26</v>
      </c>
      <c r="R606" s="4">
        <v>0</v>
      </c>
      <c r="S606" s="6">
        <v>0</v>
      </c>
      <c r="T606" s="6">
        <v>28</v>
      </c>
      <c r="U606" s="6">
        <v>53</v>
      </c>
      <c r="V606" s="6">
        <f>IF(ISERROR(VLOOKUP($S$606,'TAR FIN'!$A$1:$O$86,15,0)),0,VLOOKUP($S$606,'TAR FIN'!$A$1:$O$86,15,0))</f>
        <v>0</v>
      </c>
      <c r="W606" s="6">
        <f>IF(ISERROR(VLOOKUP($T$606,'TAR FIN'!$A$1:$O$86,15,0)),0,VLOOKUP($T$606,'TAR FIN'!$A$1:$O$86,15,0))</f>
        <v>149.38999999999999</v>
      </c>
      <c r="X606" s="6">
        <f>IF(ISERROR(VLOOKUP($U$606,'TAR FIN'!$A$1:$O$86,15,0)),0,VLOOKUP($U$606,'TAR FIN'!$A$1:$O$86,15,0))</f>
        <v>154.93</v>
      </c>
      <c r="Y606" s="6"/>
      <c r="Z606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6" s="6">
        <f>('TE BE'!$AB$13+'TE BF'!$AB$13+'TE CVA'!$AB$13)*(1-CUSTOS!$M$35)</f>
        <v>138.34955480915144</v>
      </c>
      <c r="AB606" s="6">
        <f>$K$606*$V$606</f>
        <v>0</v>
      </c>
      <c r="AC606" s="6">
        <f>$M$606*$W$606</f>
        <v>6877.0192599999991</v>
      </c>
      <c r="AD606" s="6">
        <f>$O$606*$X$606</f>
        <v>7132.0476200000003</v>
      </c>
      <c r="AE606" s="6">
        <f>$K$606*$Y$606</f>
        <v>0</v>
      </c>
      <c r="AF606" s="6">
        <f ca="1">$M$606*$Z$606</f>
        <v>6184.655554981402</v>
      </c>
      <c r="AG606" s="6">
        <f>$O$606*$AA$606</f>
        <v>6368.7834060844771</v>
      </c>
    </row>
    <row r="607" spans="1:33" ht="11.25" customHeight="1" x14ac:dyDescent="0.25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29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0</v>
      </c>
      <c r="K607" s="6">
        <v>0</v>
      </c>
      <c r="L607" s="6">
        <v>46.927</v>
      </c>
      <c r="M607" s="6">
        <v>46.927</v>
      </c>
      <c r="N607" s="6">
        <v>46.927</v>
      </c>
      <c r="O607" s="6">
        <v>46.927</v>
      </c>
      <c r="P607" s="6">
        <v>83</v>
      </c>
      <c r="Q607" s="4" t="s">
        <v>26</v>
      </c>
      <c r="R607" s="4">
        <v>0</v>
      </c>
      <c r="S607" s="6">
        <v>0</v>
      </c>
      <c r="T607" s="6">
        <v>28</v>
      </c>
      <c r="U607" s="6">
        <v>53</v>
      </c>
      <c r="V607" s="6">
        <f>IF(ISERROR(VLOOKUP($S$607,'TAR FIN'!$A$1:$O$86,15,0)),0,VLOOKUP($S$607,'TAR FIN'!$A$1:$O$86,15,0))</f>
        <v>0</v>
      </c>
      <c r="W607" s="6">
        <f>IF(ISERROR(VLOOKUP($T$607,'TAR FIN'!$A$1:$O$86,15,0)),0,VLOOKUP($T$607,'TAR FIN'!$A$1:$O$86,15,0))</f>
        <v>149.38999999999999</v>
      </c>
      <c r="X607" s="6">
        <f>IF(ISERROR(VLOOKUP($U$607,'TAR FIN'!$A$1:$O$86,15,0)),0,VLOOKUP($U$607,'TAR FIN'!$A$1:$O$86,15,0))</f>
        <v>154.93</v>
      </c>
      <c r="Y607" s="6"/>
      <c r="Z607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7" s="6">
        <f>('TE BE'!$AB$13+'TE BF'!$AB$13+'TE CVA'!$AB$13)*(1-CUSTOS!$M$35)</f>
        <v>138.34955480915144</v>
      </c>
      <c r="AB607" s="6">
        <f>$K$607*$V$607</f>
        <v>0</v>
      </c>
      <c r="AC607" s="6">
        <f>$M$607*$W$607</f>
        <v>7010.4245299999993</v>
      </c>
      <c r="AD607" s="6">
        <f>$O$607*$X$607</f>
        <v>7270.4001100000005</v>
      </c>
      <c r="AE607" s="6">
        <f>$K$607*$Y$607</f>
        <v>0</v>
      </c>
      <c r="AF607" s="6">
        <f ca="1">$M$607*$Z$607</f>
        <v>6304.6298655040246</v>
      </c>
      <c r="AG607" s="6">
        <f>$O$607*$AA$607</f>
        <v>6492.3295585290498</v>
      </c>
    </row>
    <row r="608" spans="1:33" ht="11.25" customHeight="1" x14ac:dyDescent="0.25">
      <c r="A608" s="4" t="s">
        <v>21</v>
      </c>
      <c r="B608" s="4" t="s">
        <v>22</v>
      </c>
      <c r="C608" s="4" t="s">
        <v>23</v>
      </c>
      <c r="D608" s="4" t="s">
        <v>24</v>
      </c>
      <c r="E608" s="4" t="s">
        <v>29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0</v>
      </c>
      <c r="K608" s="6">
        <v>0</v>
      </c>
      <c r="L608" s="6">
        <v>46.610999999999997</v>
      </c>
      <c r="M608" s="6">
        <v>46.610999999999997</v>
      </c>
      <c r="N608" s="6">
        <v>46.610999999999997</v>
      </c>
      <c r="O608" s="6">
        <v>46.610999999999997</v>
      </c>
      <c r="P608" s="6">
        <v>101</v>
      </c>
      <c r="Q608" s="4" t="s">
        <v>26</v>
      </c>
      <c r="R608" s="4">
        <v>0</v>
      </c>
      <c r="S608" s="6">
        <v>0</v>
      </c>
      <c r="T608" s="6">
        <v>28</v>
      </c>
      <c r="U608" s="6">
        <v>53</v>
      </c>
      <c r="V608" s="6">
        <f>IF(ISERROR(VLOOKUP($S$608,'TAR FIN'!$A$1:$O$86,15,0)),0,VLOOKUP($S$608,'TAR FIN'!$A$1:$O$86,15,0))</f>
        <v>0</v>
      </c>
      <c r="W608" s="6">
        <f>IF(ISERROR(VLOOKUP($T$608,'TAR FIN'!$A$1:$O$86,15,0)),0,VLOOKUP($T$608,'TAR FIN'!$A$1:$O$86,15,0))</f>
        <v>149.38999999999999</v>
      </c>
      <c r="X608" s="6">
        <f>IF(ISERROR(VLOOKUP($U$608,'TAR FIN'!$A$1:$O$86,15,0)),0,VLOOKUP($U$608,'TAR FIN'!$A$1:$O$86,15,0))</f>
        <v>154.93</v>
      </c>
      <c r="Y608" s="6"/>
      <c r="Z608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8" s="6">
        <f>('TE BE'!$AB$13+'TE BF'!$AB$13+'TE CVA'!$AB$13)*(1-CUSTOS!$M$35)</f>
        <v>138.34955480915144</v>
      </c>
      <c r="AB608" s="6">
        <f>$K$608*$V$608</f>
        <v>0</v>
      </c>
      <c r="AC608" s="6">
        <f>$M$608*$W$608</f>
        <v>6963.2172899999987</v>
      </c>
      <c r="AD608" s="6">
        <f>$O$608*$X$608</f>
        <v>7221.4422299999997</v>
      </c>
      <c r="AE608" s="6">
        <f>$K$608*$Y$608</f>
        <v>0</v>
      </c>
      <c r="AF608" s="6">
        <f ca="1">$M$608*$Z$608</f>
        <v>6262.1753502462989</v>
      </c>
      <c r="AG608" s="6">
        <f>$O$608*$AA$608</f>
        <v>6448.6110992093572</v>
      </c>
    </row>
    <row r="609" spans="1:33" ht="11.25" customHeight="1" x14ac:dyDescent="0.25">
      <c r="A609" s="4" t="s">
        <v>21</v>
      </c>
      <c r="B609" s="4" t="s">
        <v>22</v>
      </c>
      <c r="C609" s="4" t="s">
        <v>23</v>
      </c>
      <c r="D609" s="4" t="s">
        <v>24</v>
      </c>
      <c r="E609" s="4" t="s">
        <v>29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46.491999999999997</v>
      </c>
      <c r="M609" s="6">
        <v>46.491999999999997</v>
      </c>
      <c r="N609" s="6">
        <v>46.491999999999997</v>
      </c>
      <c r="O609" s="6">
        <v>46.491999999999997</v>
      </c>
      <c r="P609" s="6">
        <v>93</v>
      </c>
      <c r="Q609" s="4" t="s">
        <v>26</v>
      </c>
      <c r="R609" s="4">
        <v>0</v>
      </c>
      <c r="S609" s="6">
        <v>0</v>
      </c>
      <c r="T609" s="6">
        <v>28</v>
      </c>
      <c r="U609" s="6">
        <v>53</v>
      </c>
      <c r="V609" s="6">
        <f>IF(ISERROR(VLOOKUP($S$609,'TAR FIN'!$A$1:$O$86,15,0)),0,VLOOKUP($S$609,'TAR FIN'!$A$1:$O$86,15,0))</f>
        <v>0</v>
      </c>
      <c r="W609" s="6">
        <f>IF(ISERROR(VLOOKUP($T$609,'TAR FIN'!$A$1:$O$86,15,0)),0,VLOOKUP($T$609,'TAR FIN'!$A$1:$O$86,15,0))</f>
        <v>149.38999999999999</v>
      </c>
      <c r="X609" s="6">
        <f>IF(ISERROR(VLOOKUP($U$609,'TAR FIN'!$A$1:$O$86,15,0)),0,VLOOKUP($U$609,'TAR FIN'!$A$1:$O$86,15,0))</f>
        <v>154.93</v>
      </c>
      <c r="Y609" s="6"/>
      <c r="Z609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09" s="6">
        <f>('TE BE'!$AB$13+'TE BF'!$AB$13+'TE CVA'!$AB$13)*(1-CUSTOS!$M$35)</f>
        <v>138.34955480915144</v>
      </c>
      <c r="AB609" s="6">
        <f>$K$609*$V$609</f>
        <v>0</v>
      </c>
      <c r="AC609" s="6">
        <f>$M$609*$W$609</f>
        <v>6945.439879999999</v>
      </c>
      <c r="AD609" s="6">
        <f>$O$609*$X$609</f>
        <v>7203.0055599999996</v>
      </c>
      <c r="AE609" s="6">
        <f>$K$609*$Y$609</f>
        <v>0</v>
      </c>
      <c r="AF609" s="6">
        <f ca="1">$M$609*$Z$609</f>
        <v>6246.1877321587381</v>
      </c>
      <c r="AG609" s="6">
        <f>$O$609*$AA$609</f>
        <v>6432.1475021870683</v>
      </c>
    </row>
    <row r="610" spans="1:33" ht="11.25" customHeight="1" x14ac:dyDescent="0.25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29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0</v>
      </c>
      <c r="K610" s="6">
        <v>0</v>
      </c>
      <c r="L610" s="6">
        <v>46.753</v>
      </c>
      <c r="M610" s="6">
        <v>46.753</v>
      </c>
      <c r="N610" s="6">
        <v>46.753</v>
      </c>
      <c r="O610" s="6">
        <v>46.753</v>
      </c>
      <c r="P610" s="6">
        <v>144</v>
      </c>
      <c r="Q610" s="4" t="s">
        <v>26</v>
      </c>
      <c r="R610" s="4">
        <v>0</v>
      </c>
      <c r="S610" s="6">
        <v>0</v>
      </c>
      <c r="T610" s="6">
        <v>28</v>
      </c>
      <c r="U610" s="6">
        <v>53</v>
      </c>
      <c r="V610" s="6">
        <f>IF(ISERROR(VLOOKUP($S$610,'TAR FIN'!$A$1:$O$86,15,0)),0,VLOOKUP($S$610,'TAR FIN'!$A$1:$O$86,15,0))</f>
        <v>0</v>
      </c>
      <c r="W610" s="6">
        <f>IF(ISERROR(VLOOKUP($T$610,'TAR FIN'!$A$1:$O$86,15,0)),0,VLOOKUP($T$610,'TAR FIN'!$A$1:$O$86,15,0))</f>
        <v>149.38999999999999</v>
      </c>
      <c r="X610" s="6">
        <f>IF(ISERROR(VLOOKUP($U$610,'TAR FIN'!$A$1:$O$86,15,0)),0,VLOOKUP($U$610,'TAR FIN'!$A$1:$O$86,15,0))</f>
        <v>154.93</v>
      </c>
      <c r="Y610" s="6"/>
      <c r="Z610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10" s="6">
        <f>('TE BE'!$AB$13+'TE BF'!$AB$13+'TE CVA'!$AB$13)*(1-CUSTOS!$M$35)</f>
        <v>138.34955480915144</v>
      </c>
      <c r="AB610" s="6">
        <f>$K$610*$V$610</f>
        <v>0</v>
      </c>
      <c r="AC610" s="6">
        <f>$M$610*$W$610</f>
        <v>6984.4306699999997</v>
      </c>
      <c r="AD610" s="6">
        <f>$O$610*$X$610</f>
        <v>7243.44229</v>
      </c>
      <c r="AE610" s="6">
        <f>$K$610*$Y$610</f>
        <v>0</v>
      </c>
      <c r="AF610" s="6">
        <f ca="1">$M$610*$Z$610</f>
        <v>6281.2530121659101</v>
      </c>
      <c r="AG610" s="6">
        <f>$O$610*$AA$610</f>
        <v>6468.2567359922577</v>
      </c>
    </row>
    <row r="611" spans="1:33" ht="11.25" customHeight="1" x14ac:dyDescent="0.25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29</v>
      </c>
      <c r="F611" s="4" t="s">
        <v>25</v>
      </c>
      <c r="G611" s="4" t="s">
        <v>25</v>
      </c>
      <c r="H611" s="4" t="s">
        <v>25</v>
      </c>
      <c r="I611" s="5">
        <v>44682</v>
      </c>
      <c r="J611" s="6">
        <v>0</v>
      </c>
      <c r="K611" s="6">
        <v>0</v>
      </c>
      <c r="L611" s="6">
        <v>46.506</v>
      </c>
      <c r="M611" s="6">
        <v>46.506</v>
      </c>
      <c r="N611" s="6">
        <v>46.506</v>
      </c>
      <c r="O611" s="6">
        <v>46.506</v>
      </c>
      <c r="P611" s="6">
        <v>151</v>
      </c>
      <c r="Q611" s="4" t="s">
        <v>26</v>
      </c>
      <c r="R611" s="4">
        <v>0</v>
      </c>
      <c r="S611" s="6">
        <v>0</v>
      </c>
      <c r="T611" s="6">
        <v>28</v>
      </c>
      <c r="U611" s="6">
        <v>53</v>
      </c>
      <c r="V611" s="6">
        <f>IF(ISERROR(VLOOKUP($S$611,'TAR FIN'!$A$1:$O$86,15,0)),0,VLOOKUP($S$611,'TAR FIN'!$A$1:$O$86,15,0))</f>
        <v>0</v>
      </c>
      <c r="W611" s="6">
        <f>IF(ISERROR(VLOOKUP($T$611,'TAR FIN'!$A$1:$O$86,15,0)),0,VLOOKUP($T$611,'TAR FIN'!$A$1:$O$86,15,0))</f>
        <v>149.38999999999999</v>
      </c>
      <c r="X611" s="6">
        <f>IF(ISERROR(VLOOKUP($U$611,'TAR FIN'!$A$1:$O$86,15,0)),0,VLOOKUP($U$611,'TAR FIN'!$A$1:$O$86,15,0))</f>
        <v>154.93</v>
      </c>
      <c r="Y611" s="6"/>
      <c r="Z611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11" s="6">
        <f>('TE BE'!$AB$13+'TE BF'!$AB$13+'TE CVA'!$AB$13)*(1-CUSTOS!$M$35)</f>
        <v>138.34955480915144</v>
      </c>
      <c r="AB611" s="6">
        <f>$K$611*$V$611</f>
        <v>0</v>
      </c>
      <c r="AC611" s="6">
        <f>$M$611*$W$611</f>
        <v>6947.5313399999995</v>
      </c>
      <c r="AD611" s="6">
        <f>$O$611*$X$611</f>
        <v>7205.1745800000008</v>
      </c>
      <c r="AE611" s="6">
        <f>$K$611*$Y$611</f>
        <v>0</v>
      </c>
      <c r="AF611" s="6">
        <f ca="1">$M$611*$Z$611</f>
        <v>6248.0686284043331</v>
      </c>
      <c r="AG611" s="6">
        <f>$O$611*$AA$611</f>
        <v>6434.0843959543972</v>
      </c>
    </row>
    <row r="612" spans="1:33" ht="11.25" customHeight="1" x14ac:dyDescent="0.25">
      <c r="A612" s="4" t="s">
        <v>56</v>
      </c>
      <c r="B612" s="4" t="s">
        <v>22</v>
      </c>
      <c r="C612" s="4" t="s">
        <v>23</v>
      </c>
      <c r="D612" s="4" t="s">
        <v>24</v>
      </c>
      <c r="E612" s="4" t="s">
        <v>29</v>
      </c>
      <c r="F612" s="4" t="s">
        <v>25</v>
      </c>
      <c r="G612" s="4" t="s">
        <v>25</v>
      </c>
      <c r="H612" s="4" t="s">
        <v>25</v>
      </c>
      <c r="I612" s="5">
        <v>44713</v>
      </c>
      <c r="J612" s="6">
        <v>0</v>
      </c>
      <c r="K612" s="6">
        <v>0</v>
      </c>
      <c r="L612" s="6">
        <v>46.506</v>
      </c>
      <c r="M612" s="6">
        <v>46.506</v>
      </c>
      <c r="N612" s="6">
        <v>46.506</v>
      </c>
      <c r="O612" s="6">
        <v>46.506</v>
      </c>
      <c r="P612" s="6">
        <v>151</v>
      </c>
      <c r="Q612" s="4" t="s">
        <v>26</v>
      </c>
      <c r="R612" s="4">
        <v>0</v>
      </c>
      <c r="S612" s="6">
        <v>0</v>
      </c>
      <c r="T612" s="6">
        <v>28</v>
      </c>
      <c r="U612" s="6">
        <v>53</v>
      </c>
      <c r="V612" s="6">
        <f>IF(ISERROR(VLOOKUP($S$612,'TAR FIN'!$A$1:$O$86,15,0)),0,VLOOKUP($S$612,'TAR FIN'!$A$1:$O$86,15,0))</f>
        <v>0</v>
      </c>
      <c r="W612" s="6">
        <f>IF(ISERROR(VLOOKUP($T$612,'TAR FIN'!$A$1:$O$86,15,0)),0,VLOOKUP($T$612,'TAR FIN'!$A$1:$O$86,15,0))</f>
        <v>149.38999999999999</v>
      </c>
      <c r="X612" s="6">
        <f>IF(ISERROR(VLOOKUP($U$612,'TAR FIN'!$A$1:$O$86,15,0)),0,VLOOKUP($U$612,'TAR FIN'!$A$1:$O$86,15,0))</f>
        <v>154.93</v>
      </c>
      <c r="Y612" s="6"/>
      <c r="Z612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612" s="6">
        <f>('TE BE'!$AB$13+'TE BF'!$AB$13+'TE CVA'!$AB$13)*(1-CUSTOS!$M$35)</f>
        <v>138.34955480915144</v>
      </c>
      <c r="AB612" s="6">
        <f>$K$612*$V$612</f>
        <v>0</v>
      </c>
      <c r="AC612" s="6">
        <f>$M$612*$W$612</f>
        <v>6947.5313399999995</v>
      </c>
      <c r="AD612" s="6">
        <f>$O$612*$X$612</f>
        <v>7205.1745800000008</v>
      </c>
      <c r="AE612" s="6">
        <f>$K$612*$Y$612</f>
        <v>0</v>
      </c>
      <c r="AF612" s="6">
        <f ca="1">$M$612*$Z$612</f>
        <v>6248.0686284043331</v>
      </c>
      <c r="AG612" s="6">
        <f>$O$612*$AA$612</f>
        <v>6434.0843959543972</v>
      </c>
    </row>
    <row r="613" spans="1:33" ht="11.25" customHeight="1" x14ac:dyDescent="0.25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30</v>
      </c>
      <c r="F613" s="4" t="s">
        <v>25</v>
      </c>
      <c r="G613" s="4" t="s">
        <v>25</v>
      </c>
      <c r="H613" s="4" t="s">
        <v>25</v>
      </c>
      <c r="I613" s="5">
        <v>44378</v>
      </c>
      <c r="J613" s="6">
        <v>0</v>
      </c>
      <c r="K613" s="6">
        <v>0</v>
      </c>
      <c r="L613" s="6">
        <v>42.231000000000002</v>
      </c>
      <c r="M613" s="6">
        <v>42.231000000000002</v>
      </c>
      <c r="N613" s="6">
        <v>42.231000000000002</v>
      </c>
      <c r="O613" s="6">
        <v>42.231000000000002</v>
      </c>
      <c r="P613" s="6">
        <v>350</v>
      </c>
      <c r="Q613" s="4" t="s">
        <v>26</v>
      </c>
      <c r="R613" s="4">
        <v>0</v>
      </c>
      <c r="S613" s="6">
        <v>0</v>
      </c>
      <c r="T613" s="6">
        <v>13</v>
      </c>
      <c r="U613" s="6">
        <v>55</v>
      </c>
      <c r="V613" s="6">
        <f>IF(ISERROR(VLOOKUP($S$613,'TAR FIN'!$A$1:$O$86,15,0)),0,VLOOKUP($S$613,'TAR FIN'!$A$1:$O$86,15,0))</f>
        <v>0</v>
      </c>
      <c r="W613" s="6">
        <f>IF(ISERROR(VLOOKUP($T$613,'TAR FIN'!$A$1:$O$86,15,0)),0,VLOOKUP($T$613,'TAR FIN'!$A$1:$O$86,15,0))</f>
        <v>224.09</v>
      </c>
      <c r="X613" s="6">
        <f>IF(ISERROR(VLOOKUP($U$613,'TAR FIN'!$A$1:$O$86,15,0)),0,VLOOKUP($U$613,'TAR FIN'!$A$1:$O$86,15,0))</f>
        <v>232.39</v>
      </c>
      <c r="Y613" s="6"/>
      <c r="Z613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13" s="6">
        <f>('TE BE'!$AB$14+'TE BF'!$AB$14+'TE CVA'!$AB$14)*(1-CUSTOS!$M$36)</f>
        <v>207.52433221372721</v>
      </c>
      <c r="AB613" s="6">
        <f>$K$613*$V$613</f>
        <v>0</v>
      </c>
      <c r="AC613" s="6">
        <f>$M$613*$W$613</f>
        <v>9463.5447899999999</v>
      </c>
      <c r="AD613" s="6">
        <f>$O$613*$X$613</f>
        <v>9814.0620899999994</v>
      </c>
      <c r="AE613" s="6">
        <f>$K$613*$Y$613</f>
        <v>0</v>
      </c>
      <c r="AF613" s="6">
        <f ca="1">$M$613*$Z$613</f>
        <v>8510.5852872578835</v>
      </c>
      <c r="AG613" s="6">
        <f>$O$613*$AA$613</f>
        <v>8763.9600737179135</v>
      </c>
    </row>
    <row r="614" spans="1:33" ht="11.25" customHeight="1" x14ac:dyDescent="0.25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30</v>
      </c>
      <c r="F614" s="4" t="s">
        <v>25</v>
      </c>
      <c r="G614" s="4" t="s">
        <v>25</v>
      </c>
      <c r="H614" s="4" t="s">
        <v>25</v>
      </c>
      <c r="I614" s="5">
        <v>44409</v>
      </c>
      <c r="J614" s="6">
        <v>0</v>
      </c>
      <c r="K614" s="6">
        <v>0</v>
      </c>
      <c r="L614" s="6">
        <v>43.195999999999998</v>
      </c>
      <c r="M614" s="6">
        <v>43.195999999999998</v>
      </c>
      <c r="N614" s="6">
        <v>43.195999999999998</v>
      </c>
      <c r="O614" s="6">
        <v>43.195999999999998</v>
      </c>
      <c r="P614" s="6">
        <v>346</v>
      </c>
      <c r="Q614" s="4" t="s">
        <v>26</v>
      </c>
      <c r="R614" s="4">
        <v>0</v>
      </c>
      <c r="S614" s="6">
        <v>0</v>
      </c>
      <c r="T614" s="6">
        <v>13</v>
      </c>
      <c r="U614" s="6">
        <v>55</v>
      </c>
      <c r="V614" s="6">
        <f>IF(ISERROR(VLOOKUP($S$614,'TAR FIN'!$A$1:$O$86,15,0)),0,VLOOKUP($S$614,'TAR FIN'!$A$1:$O$86,15,0))</f>
        <v>0</v>
      </c>
      <c r="W614" s="6">
        <f>IF(ISERROR(VLOOKUP($T$614,'TAR FIN'!$A$1:$O$86,15,0)),0,VLOOKUP($T$614,'TAR FIN'!$A$1:$O$86,15,0))</f>
        <v>224.09</v>
      </c>
      <c r="X614" s="6">
        <f>IF(ISERROR(VLOOKUP($U$614,'TAR FIN'!$A$1:$O$86,15,0)),0,VLOOKUP($U$614,'TAR FIN'!$A$1:$O$86,15,0))</f>
        <v>232.39</v>
      </c>
      <c r="Y614" s="6"/>
      <c r="Z614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14" s="6">
        <f>('TE BE'!$AB$14+'TE BF'!$AB$14+'TE CVA'!$AB$14)*(1-CUSTOS!$M$36)</f>
        <v>207.52433221372721</v>
      </c>
      <c r="AB614" s="6">
        <f>$K$614*$V$614</f>
        <v>0</v>
      </c>
      <c r="AC614" s="6">
        <f>$M$614*$W$614</f>
        <v>9679.7916399999995</v>
      </c>
      <c r="AD614" s="6">
        <f>$O$614*$X$614</f>
        <v>10038.318439999999</v>
      </c>
      <c r="AE614" s="6">
        <f>$K$614*$Y$614</f>
        <v>0</v>
      </c>
      <c r="AF614" s="6">
        <f ca="1">$M$614*$Z$614</f>
        <v>8705.0565240792657</v>
      </c>
      <c r="AG614" s="6">
        <f>$O$614*$AA$614</f>
        <v>8964.2210543041601</v>
      </c>
    </row>
    <row r="615" spans="1:33" ht="11.25" customHeight="1" x14ac:dyDescent="0.25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30</v>
      </c>
      <c r="F615" s="4" t="s">
        <v>25</v>
      </c>
      <c r="G615" s="4" t="s">
        <v>25</v>
      </c>
      <c r="H615" s="4" t="s">
        <v>25</v>
      </c>
      <c r="I615" s="5">
        <v>44440</v>
      </c>
      <c r="J615" s="6">
        <v>0</v>
      </c>
      <c r="K615" s="6">
        <v>0</v>
      </c>
      <c r="L615" s="6">
        <v>41.781999999999996</v>
      </c>
      <c r="M615" s="6">
        <v>41.781999999999996</v>
      </c>
      <c r="N615" s="6">
        <v>41.781999999999996</v>
      </c>
      <c r="O615" s="6">
        <v>41.781999999999996</v>
      </c>
      <c r="P615" s="6">
        <v>367</v>
      </c>
      <c r="Q615" s="4" t="s">
        <v>26</v>
      </c>
      <c r="R615" s="4">
        <v>0</v>
      </c>
      <c r="S615" s="6">
        <v>0</v>
      </c>
      <c r="T615" s="6">
        <v>13</v>
      </c>
      <c r="U615" s="6">
        <v>55</v>
      </c>
      <c r="V615" s="6">
        <f>IF(ISERROR(VLOOKUP($S$615,'TAR FIN'!$A$1:$O$86,15,0)),0,VLOOKUP($S$615,'TAR FIN'!$A$1:$O$86,15,0))</f>
        <v>0</v>
      </c>
      <c r="W615" s="6">
        <f>IF(ISERROR(VLOOKUP($T$615,'TAR FIN'!$A$1:$O$86,15,0)),0,VLOOKUP($T$615,'TAR FIN'!$A$1:$O$86,15,0))</f>
        <v>224.09</v>
      </c>
      <c r="X615" s="6">
        <f>IF(ISERROR(VLOOKUP($U$615,'TAR FIN'!$A$1:$O$86,15,0)),0,VLOOKUP($U$615,'TAR FIN'!$A$1:$O$86,15,0))</f>
        <v>232.39</v>
      </c>
      <c r="Y615" s="6"/>
      <c r="Z615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15" s="6">
        <f>('TE BE'!$AB$14+'TE BF'!$AB$14+'TE CVA'!$AB$14)*(1-CUSTOS!$M$36)</f>
        <v>207.52433221372721</v>
      </c>
      <c r="AB615" s="6">
        <f>$K$615*$V$615</f>
        <v>0</v>
      </c>
      <c r="AC615" s="6">
        <f>$M$615*$W$615</f>
        <v>9362.9283799999994</v>
      </c>
      <c r="AD615" s="6">
        <f>$O$615*$X$615</f>
        <v>9709.7189799999978</v>
      </c>
      <c r="AE615" s="6">
        <f>$K$615*$Y$615</f>
        <v>0</v>
      </c>
      <c r="AF615" s="6">
        <f ca="1">$M$615*$Z$615</f>
        <v>8420.1007428715602</v>
      </c>
      <c r="AG615" s="6">
        <f>$O$615*$AA$615</f>
        <v>8670.7816485539497</v>
      </c>
    </row>
    <row r="616" spans="1:33" ht="11.25" customHeight="1" x14ac:dyDescent="0.25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30</v>
      </c>
      <c r="F616" s="4" t="s">
        <v>25</v>
      </c>
      <c r="G616" s="4" t="s">
        <v>25</v>
      </c>
      <c r="H616" s="4" t="s">
        <v>25</v>
      </c>
      <c r="I616" s="5">
        <v>44440</v>
      </c>
      <c r="J616" s="6">
        <v>0</v>
      </c>
      <c r="K616" s="6">
        <v>0</v>
      </c>
      <c r="L616" s="6">
        <v>-2.7E-2</v>
      </c>
      <c r="M616" s="6">
        <v>-2.7E-2</v>
      </c>
      <c r="N616" s="6">
        <v>-2.7E-2</v>
      </c>
      <c r="O616" s="6">
        <v>-2.7E-2</v>
      </c>
      <c r="P616" s="6">
        <v>0</v>
      </c>
      <c r="Q616" s="4" t="s">
        <v>26</v>
      </c>
      <c r="R616" s="4">
        <v>0</v>
      </c>
      <c r="S616" s="6">
        <v>0</v>
      </c>
      <c r="T616" s="6">
        <v>13</v>
      </c>
      <c r="U616" s="6">
        <v>55</v>
      </c>
      <c r="V616" s="6">
        <f>IF(ISERROR(VLOOKUP($S$616,'TAR FIN'!$A$1:$O$86,15,0)),0,VLOOKUP($S$616,'TAR FIN'!$A$1:$O$86,15,0))</f>
        <v>0</v>
      </c>
      <c r="W616" s="6">
        <f>IF(ISERROR(VLOOKUP($T$616,'TAR FIN'!$A$1:$O$86,15,0)),0,VLOOKUP($T$616,'TAR FIN'!$A$1:$O$86,15,0))</f>
        <v>224.09</v>
      </c>
      <c r="X616" s="6">
        <f>IF(ISERROR(VLOOKUP($U$616,'TAR FIN'!$A$1:$O$86,15,0)),0,VLOOKUP($U$616,'TAR FIN'!$A$1:$O$86,15,0))</f>
        <v>232.39</v>
      </c>
      <c r="Y616" s="6"/>
      <c r="Z616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16" s="6">
        <f>('TE BE'!$AB$14+'TE BF'!$AB$14+'TE CVA'!$AB$14)*(1-CUSTOS!$M$36)</f>
        <v>207.52433221372721</v>
      </c>
      <c r="AB616" s="6">
        <f>$K$616*$V$616</f>
        <v>0</v>
      </c>
      <c r="AC616" s="6">
        <f>$M$616*$W$616</f>
        <v>-6.0504300000000004</v>
      </c>
      <c r="AD616" s="6">
        <f>$O$616*$X$616</f>
        <v>-6.2745299999999995</v>
      </c>
      <c r="AE616" s="6">
        <f>$K$616*$Y$616</f>
        <v>0</v>
      </c>
      <c r="AF616" s="6">
        <f ca="1">$M$616*$Z$616</f>
        <v>-5.4411641390438978</v>
      </c>
      <c r="AG616" s="6">
        <f>$O$616*$AA$616</f>
        <v>-5.6031569697706347</v>
      </c>
    </row>
    <row r="617" spans="1:33" ht="11.25" customHeight="1" x14ac:dyDescent="0.25">
      <c r="A617" s="4" t="s">
        <v>21</v>
      </c>
      <c r="B617" s="4" t="s">
        <v>22</v>
      </c>
      <c r="C617" s="4" t="s">
        <v>23</v>
      </c>
      <c r="D617" s="4" t="s">
        <v>24</v>
      </c>
      <c r="E617" s="4" t="s">
        <v>30</v>
      </c>
      <c r="F617" s="4" t="s">
        <v>25</v>
      </c>
      <c r="G617" s="4" t="s">
        <v>25</v>
      </c>
      <c r="H617" s="4" t="s">
        <v>25</v>
      </c>
      <c r="I617" s="5">
        <v>44470</v>
      </c>
      <c r="J617" s="6">
        <v>0</v>
      </c>
      <c r="K617" s="6">
        <v>0</v>
      </c>
      <c r="L617" s="6">
        <v>43.228000000000002</v>
      </c>
      <c r="M617" s="6">
        <v>43.228000000000002</v>
      </c>
      <c r="N617" s="6">
        <v>43.228000000000002</v>
      </c>
      <c r="O617" s="6">
        <v>43.228000000000002</v>
      </c>
      <c r="P617" s="6">
        <v>378</v>
      </c>
      <c r="Q617" s="4" t="s">
        <v>26</v>
      </c>
      <c r="R617" s="4">
        <v>0</v>
      </c>
      <c r="S617" s="6">
        <v>0</v>
      </c>
      <c r="T617" s="6">
        <v>13</v>
      </c>
      <c r="U617" s="6">
        <v>55</v>
      </c>
      <c r="V617" s="6">
        <f>IF(ISERROR(VLOOKUP($S$617,'TAR FIN'!$A$1:$O$86,15,0)),0,VLOOKUP($S$617,'TAR FIN'!$A$1:$O$86,15,0))</f>
        <v>0</v>
      </c>
      <c r="W617" s="6">
        <f>IF(ISERROR(VLOOKUP($T$617,'TAR FIN'!$A$1:$O$86,15,0)),0,VLOOKUP($T$617,'TAR FIN'!$A$1:$O$86,15,0))</f>
        <v>224.09</v>
      </c>
      <c r="X617" s="6">
        <f>IF(ISERROR(VLOOKUP($U$617,'TAR FIN'!$A$1:$O$86,15,0)),0,VLOOKUP($U$617,'TAR FIN'!$A$1:$O$86,15,0))</f>
        <v>232.39</v>
      </c>
      <c r="Y617" s="6"/>
      <c r="Z617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17" s="6">
        <f>('TE BE'!$AB$14+'TE BF'!$AB$14+'TE CVA'!$AB$14)*(1-CUSTOS!$M$36)</f>
        <v>207.52433221372721</v>
      </c>
      <c r="AB617" s="6">
        <f>$K$617*$V$617</f>
        <v>0</v>
      </c>
      <c r="AC617" s="6">
        <f>$M$617*$W$617</f>
        <v>9686.9625200000009</v>
      </c>
      <c r="AD617" s="6">
        <f>$O$617*$X$617</f>
        <v>10045.754919999999</v>
      </c>
      <c r="AE617" s="6">
        <f>$K$617*$Y$617</f>
        <v>0</v>
      </c>
      <c r="AF617" s="6">
        <f ca="1">$M$617*$Z$617</f>
        <v>8711.5053112070236</v>
      </c>
      <c r="AG617" s="6">
        <f>$O$617*$AA$617</f>
        <v>8970.8618329349993</v>
      </c>
    </row>
    <row r="618" spans="1:33" ht="11.25" customHeight="1" x14ac:dyDescent="0.25">
      <c r="A618" s="4" t="s">
        <v>21</v>
      </c>
      <c r="B618" s="4" t="s">
        <v>22</v>
      </c>
      <c r="C618" s="4" t="s">
        <v>23</v>
      </c>
      <c r="D618" s="4" t="s">
        <v>24</v>
      </c>
      <c r="E618" s="4" t="s">
        <v>30</v>
      </c>
      <c r="F618" s="4" t="s">
        <v>25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45.985999999999997</v>
      </c>
      <c r="M618" s="6">
        <v>45.985999999999997</v>
      </c>
      <c r="N618" s="6">
        <v>45.985999999999997</v>
      </c>
      <c r="O618" s="6">
        <v>45.985999999999997</v>
      </c>
      <c r="P618" s="6">
        <v>381</v>
      </c>
      <c r="Q618" s="4" t="s">
        <v>26</v>
      </c>
      <c r="R618" s="4">
        <v>0</v>
      </c>
      <c r="S618" s="6">
        <v>0</v>
      </c>
      <c r="T618" s="6">
        <v>13</v>
      </c>
      <c r="U618" s="6">
        <v>55</v>
      </c>
      <c r="V618" s="6">
        <f>IF(ISERROR(VLOOKUP($S$618,'TAR FIN'!$A$1:$O$86,15,0)),0,VLOOKUP($S$618,'TAR FIN'!$A$1:$O$86,15,0))</f>
        <v>0</v>
      </c>
      <c r="W618" s="6">
        <f>IF(ISERROR(VLOOKUP($T$618,'TAR FIN'!$A$1:$O$86,15,0)),0,VLOOKUP($T$618,'TAR FIN'!$A$1:$O$86,15,0))</f>
        <v>224.09</v>
      </c>
      <c r="X618" s="6">
        <f>IF(ISERROR(VLOOKUP($U$618,'TAR FIN'!$A$1:$O$86,15,0)),0,VLOOKUP($U$618,'TAR FIN'!$A$1:$O$86,15,0))</f>
        <v>232.39</v>
      </c>
      <c r="Y618" s="6"/>
      <c r="Z618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18" s="6">
        <f>('TE BE'!$AB$14+'TE BF'!$AB$14+'TE CVA'!$AB$14)*(1-CUSTOS!$M$36)</f>
        <v>207.52433221372721</v>
      </c>
      <c r="AB618" s="6">
        <f>$K$618*$V$618</f>
        <v>0</v>
      </c>
      <c r="AC618" s="6">
        <f>$M$618*$W$618</f>
        <v>10305.00274</v>
      </c>
      <c r="AD618" s="6">
        <f>$O$618*$X$618</f>
        <v>10686.686539999999</v>
      </c>
      <c r="AE618" s="6">
        <f>$K$618*$Y$618</f>
        <v>0</v>
      </c>
      <c r="AF618" s="6">
        <f ca="1">$M$618*$Z$618</f>
        <v>9267.3101517804698</v>
      </c>
      <c r="AG618" s="6">
        <f>$O$618*$AA$618</f>
        <v>9543.2139411804583</v>
      </c>
    </row>
    <row r="619" spans="1:33" ht="11.25" customHeight="1" x14ac:dyDescent="0.25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30</v>
      </c>
      <c r="F619" s="4" t="s">
        <v>25</v>
      </c>
      <c r="G619" s="4" t="s">
        <v>25</v>
      </c>
      <c r="H619" s="4" t="s">
        <v>25</v>
      </c>
      <c r="I619" s="5">
        <v>44531</v>
      </c>
      <c r="J619" s="6">
        <v>0</v>
      </c>
      <c r="K619" s="6">
        <v>0</v>
      </c>
      <c r="L619" s="6">
        <v>45.545999999999999</v>
      </c>
      <c r="M619" s="6">
        <v>45.545999999999999</v>
      </c>
      <c r="N619" s="6">
        <v>45.545999999999999</v>
      </c>
      <c r="O619" s="6">
        <v>45.545999999999999</v>
      </c>
      <c r="P619" s="6">
        <v>397</v>
      </c>
      <c r="Q619" s="4" t="s">
        <v>26</v>
      </c>
      <c r="R619" s="4">
        <v>0</v>
      </c>
      <c r="S619" s="6">
        <v>0</v>
      </c>
      <c r="T619" s="6">
        <v>13</v>
      </c>
      <c r="U619" s="6">
        <v>55</v>
      </c>
      <c r="V619" s="6">
        <f>IF(ISERROR(VLOOKUP($S$619,'TAR FIN'!$A$1:$O$86,15,0)),0,VLOOKUP($S$619,'TAR FIN'!$A$1:$O$86,15,0))</f>
        <v>0</v>
      </c>
      <c r="W619" s="6">
        <f>IF(ISERROR(VLOOKUP($T$619,'TAR FIN'!$A$1:$O$86,15,0)),0,VLOOKUP($T$619,'TAR FIN'!$A$1:$O$86,15,0))</f>
        <v>224.09</v>
      </c>
      <c r="X619" s="6">
        <f>IF(ISERROR(VLOOKUP($U$619,'TAR FIN'!$A$1:$O$86,15,0)),0,VLOOKUP($U$619,'TAR FIN'!$A$1:$O$86,15,0))</f>
        <v>232.39</v>
      </c>
      <c r="Y619" s="6"/>
      <c r="Z619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19" s="6">
        <f>('TE BE'!$AB$14+'TE BF'!$AB$14+'TE CVA'!$AB$14)*(1-CUSTOS!$M$36)</f>
        <v>207.52433221372721</v>
      </c>
      <c r="AB619" s="6">
        <f>$K$619*$V$619</f>
        <v>0</v>
      </c>
      <c r="AC619" s="6">
        <f>$M$619*$W$619</f>
        <v>10206.40314</v>
      </c>
      <c r="AD619" s="6">
        <f>$O$619*$X$619</f>
        <v>10584.434939999999</v>
      </c>
      <c r="AE619" s="6">
        <f>$K$619*$Y$619</f>
        <v>0</v>
      </c>
      <c r="AF619" s="6">
        <f ca="1">$M$619*$Z$619</f>
        <v>9178.6393287738283</v>
      </c>
      <c r="AG619" s="6">
        <f>$O$619*$AA$619</f>
        <v>9451.903235006419</v>
      </c>
    </row>
    <row r="620" spans="1:33" ht="11.25" customHeight="1" x14ac:dyDescent="0.25">
      <c r="A620" s="4" t="s">
        <v>21</v>
      </c>
      <c r="B620" s="4" t="s">
        <v>22</v>
      </c>
      <c r="C620" s="4" t="s">
        <v>23</v>
      </c>
      <c r="D620" s="4" t="s">
        <v>24</v>
      </c>
      <c r="E620" s="4" t="s">
        <v>30</v>
      </c>
      <c r="F620" s="4" t="s">
        <v>25</v>
      </c>
      <c r="G620" s="4" t="s">
        <v>25</v>
      </c>
      <c r="H620" s="4" t="s">
        <v>25</v>
      </c>
      <c r="I620" s="5">
        <v>44562</v>
      </c>
      <c r="J620" s="6">
        <v>0</v>
      </c>
      <c r="K620" s="6">
        <v>0</v>
      </c>
      <c r="L620" s="6">
        <v>51.369</v>
      </c>
      <c r="M620" s="6">
        <v>51.369</v>
      </c>
      <c r="N620" s="6">
        <v>51.369</v>
      </c>
      <c r="O620" s="6">
        <v>51.369</v>
      </c>
      <c r="P620" s="6">
        <v>385</v>
      </c>
      <c r="Q620" s="4" t="s">
        <v>26</v>
      </c>
      <c r="R620" s="4">
        <v>0</v>
      </c>
      <c r="S620" s="6">
        <v>0</v>
      </c>
      <c r="T620" s="6">
        <v>13</v>
      </c>
      <c r="U620" s="6">
        <v>55</v>
      </c>
      <c r="V620" s="6">
        <f>IF(ISERROR(VLOOKUP($S$620,'TAR FIN'!$A$1:$O$86,15,0)),0,VLOOKUP($S$620,'TAR FIN'!$A$1:$O$86,15,0))</f>
        <v>0</v>
      </c>
      <c r="W620" s="6">
        <f>IF(ISERROR(VLOOKUP($T$620,'TAR FIN'!$A$1:$O$86,15,0)),0,VLOOKUP($T$620,'TAR FIN'!$A$1:$O$86,15,0))</f>
        <v>224.09</v>
      </c>
      <c r="X620" s="6">
        <f>IF(ISERROR(VLOOKUP($U$620,'TAR FIN'!$A$1:$O$86,15,0)),0,VLOOKUP($U$620,'TAR FIN'!$A$1:$O$86,15,0))</f>
        <v>232.39</v>
      </c>
      <c r="Y620" s="6"/>
      <c r="Z620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20" s="6">
        <f>('TE BE'!$AB$14+'TE BF'!$AB$14+'TE CVA'!$AB$14)*(1-CUSTOS!$M$36)</f>
        <v>207.52433221372721</v>
      </c>
      <c r="AB620" s="6">
        <f>$K$620*$V$620</f>
        <v>0</v>
      </c>
      <c r="AC620" s="6">
        <f>$M$620*$W$620</f>
        <v>11511.279210000001</v>
      </c>
      <c r="AD620" s="6">
        <f>$O$620*$X$620</f>
        <v>11937.641909999998</v>
      </c>
      <c r="AE620" s="6">
        <f>$K$620*$Y$620</f>
        <v>0</v>
      </c>
      <c r="AF620" s="6">
        <f ca="1">$M$620*$Z$620</f>
        <v>10352.117061427629</v>
      </c>
      <c r="AG620" s="6">
        <f>$O$620*$AA$620</f>
        <v>10660.317421486952</v>
      </c>
    </row>
    <row r="621" spans="1:33" ht="11.25" customHeight="1" x14ac:dyDescent="0.25">
      <c r="A621" s="4" t="s">
        <v>21</v>
      </c>
      <c r="B621" s="4" t="s">
        <v>22</v>
      </c>
      <c r="C621" s="4" t="s">
        <v>23</v>
      </c>
      <c r="D621" s="4" t="s">
        <v>24</v>
      </c>
      <c r="E621" s="4" t="s">
        <v>30</v>
      </c>
      <c r="F621" s="4" t="s">
        <v>25</v>
      </c>
      <c r="G621" s="4" t="s">
        <v>25</v>
      </c>
      <c r="H621" s="4" t="s">
        <v>25</v>
      </c>
      <c r="I621" s="5">
        <v>44593</v>
      </c>
      <c r="J621" s="6">
        <v>0</v>
      </c>
      <c r="K621" s="6">
        <v>0</v>
      </c>
      <c r="L621" s="6">
        <v>49.252000000000002</v>
      </c>
      <c r="M621" s="6">
        <v>49.252000000000002</v>
      </c>
      <c r="N621" s="6">
        <v>49.252000000000002</v>
      </c>
      <c r="O621" s="6">
        <v>49.252000000000002</v>
      </c>
      <c r="P621" s="6">
        <v>384</v>
      </c>
      <c r="Q621" s="4" t="s">
        <v>26</v>
      </c>
      <c r="R621" s="4">
        <v>0</v>
      </c>
      <c r="S621" s="6">
        <v>0</v>
      </c>
      <c r="T621" s="6">
        <v>13</v>
      </c>
      <c r="U621" s="6">
        <v>55</v>
      </c>
      <c r="V621" s="6">
        <f>IF(ISERROR(VLOOKUP($S$621,'TAR FIN'!$A$1:$O$86,15,0)),0,VLOOKUP($S$621,'TAR FIN'!$A$1:$O$86,15,0))</f>
        <v>0</v>
      </c>
      <c r="W621" s="6">
        <f>IF(ISERROR(VLOOKUP($T$621,'TAR FIN'!$A$1:$O$86,15,0)),0,VLOOKUP($T$621,'TAR FIN'!$A$1:$O$86,15,0))</f>
        <v>224.09</v>
      </c>
      <c r="X621" s="6">
        <f>IF(ISERROR(VLOOKUP($U$621,'TAR FIN'!$A$1:$O$86,15,0)),0,VLOOKUP($U$621,'TAR FIN'!$A$1:$O$86,15,0))</f>
        <v>232.39</v>
      </c>
      <c r="Y621" s="6"/>
      <c r="Z621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21" s="6">
        <f>('TE BE'!$AB$14+'TE BF'!$AB$14+'TE CVA'!$AB$14)*(1-CUSTOS!$M$36)</f>
        <v>207.52433221372721</v>
      </c>
      <c r="AB621" s="6">
        <f>$K$621*$V$621</f>
        <v>0</v>
      </c>
      <c r="AC621" s="6">
        <f>$M$621*$W$621</f>
        <v>11036.88068</v>
      </c>
      <c r="AD621" s="6">
        <f>$O$621*$X$621</f>
        <v>11445.672280000001</v>
      </c>
      <c r="AE621" s="6">
        <f>$K$621*$Y$621</f>
        <v>0</v>
      </c>
      <c r="AF621" s="6">
        <f ca="1">$M$621*$Z$621</f>
        <v>9925.4894880070387</v>
      </c>
      <c r="AG621" s="6">
        <f>$O$621*$AA$621</f>
        <v>10220.988410190494</v>
      </c>
    </row>
    <row r="622" spans="1:33" ht="11.25" customHeight="1" x14ac:dyDescent="0.25">
      <c r="A622" s="4" t="s">
        <v>21</v>
      </c>
      <c r="B622" s="4" t="s">
        <v>22</v>
      </c>
      <c r="C622" s="4" t="s">
        <v>23</v>
      </c>
      <c r="D622" s="4" t="s">
        <v>24</v>
      </c>
      <c r="E622" s="4" t="s">
        <v>30</v>
      </c>
      <c r="F622" s="4" t="s">
        <v>25</v>
      </c>
      <c r="G622" s="4" t="s">
        <v>25</v>
      </c>
      <c r="H622" s="4" t="s">
        <v>25</v>
      </c>
      <c r="I622" s="5">
        <v>44621</v>
      </c>
      <c r="J622" s="6">
        <v>0</v>
      </c>
      <c r="K622" s="6">
        <v>0</v>
      </c>
      <c r="L622" s="6">
        <v>50.28</v>
      </c>
      <c r="M622" s="6">
        <v>50.28</v>
      </c>
      <c r="N622" s="6">
        <v>50.28</v>
      </c>
      <c r="O622" s="6">
        <v>50.28</v>
      </c>
      <c r="P622" s="6">
        <v>373</v>
      </c>
      <c r="Q622" s="4" t="s">
        <v>26</v>
      </c>
      <c r="R622" s="4">
        <v>0</v>
      </c>
      <c r="S622" s="6">
        <v>0</v>
      </c>
      <c r="T622" s="6">
        <v>13</v>
      </c>
      <c r="U622" s="6">
        <v>55</v>
      </c>
      <c r="V622" s="6">
        <f>IF(ISERROR(VLOOKUP($S$622,'TAR FIN'!$A$1:$O$86,15,0)),0,VLOOKUP($S$622,'TAR FIN'!$A$1:$O$86,15,0))</f>
        <v>0</v>
      </c>
      <c r="W622" s="6">
        <f>IF(ISERROR(VLOOKUP($T$622,'TAR FIN'!$A$1:$O$86,15,0)),0,VLOOKUP($T$622,'TAR FIN'!$A$1:$O$86,15,0))</f>
        <v>224.09</v>
      </c>
      <c r="X622" s="6">
        <f>IF(ISERROR(VLOOKUP($U$622,'TAR FIN'!$A$1:$O$86,15,0)),0,VLOOKUP($U$622,'TAR FIN'!$A$1:$O$86,15,0))</f>
        <v>232.39</v>
      </c>
      <c r="Y622" s="6"/>
      <c r="Z622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22" s="6">
        <f>('TE BE'!$AB$14+'TE BF'!$AB$14+'TE CVA'!$AB$14)*(1-CUSTOS!$M$36)</f>
        <v>207.52433221372721</v>
      </c>
      <c r="AB622" s="6">
        <f>$K$622*$V$622</f>
        <v>0</v>
      </c>
      <c r="AC622" s="6">
        <f>$M$622*$W$622</f>
        <v>11267.245200000001</v>
      </c>
      <c r="AD622" s="6">
        <f>$O$622*$X$622</f>
        <v>11684.5692</v>
      </c>
      <c r="AE622" s="6">
        <f>$K$622*$Y$622</f>
        <v>0</v>
      </c>
      <c r="AF622" s="6">
        <f ca="1">$M$622*$Z$622</f>
        <v>10132.656774486191</v>
      </c>
      <c r="AG622" s="6">
        <f>$O$622*$AA$622</f>
        <v>10434.323423706204</v>
      </c>
    </row>
    <row r="623" spans="1:33" ht="11.25" customHeight="1" x14ac:dyDescent="0.25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30</v>
      </c>
      <c r="F623" s="4" t="s">
        <v>25</v>
      </c>
      <c r="G623" s="4" t="s">
        <v>25</v>
      </c>
      <c r="H623" s="4" t="s">
        <v>25</v>
      </c>
      <c r="I623" s="5">
        <v>44652</v>
      </c>
      <c r="J623" s="6">
        <v>0</v>
      </c>
      <c r="K623" s="6">
        <v>0</v>
      </c>
      <c r="L623" s="6">
        <v>41.968000000000004</v>
      </c>
      <c r="M623" s="6">
        <v>41.968000000000004</v>
      </c>
      <c r="N623" s="6">
        <v>41.968000000000004</v>
      </c>
      <c r="O623" s="6">
        <v>41.968000000000004</v>
      </c>
      <c r="P623" s="6">
        <v>416</v>
      </c>
      <c r="Q623" s="4" t="s">
        <v>26</v>
      </c>
      <c r="R623" s="4">
        <v>0</v>
      </c>
      <c r="S623" s="6">
        <v>0</v>
      </c>
      <c r="T623" s="6">
        <v>13</v>
      </c>
      <c r="U623" s="6">
        <v>55</v>
      </c>
      <c r="V623" s="6">
        <f>IF(ISERROR(VLOOKUP($S$623,'TAR FIN'!$A$1:$O$86,15,0)),0,VLOOKUP($S$623,'TAR FIN'!$A$1:$O$86,15,0))</f>
        <v>0</v>
      </c>
      <c r="W623" s="6">
        <f>IF(ISERROR(VLOOKUP($T$623,'TAR FIN'!$A$1:$O$86,15,0)),0,VLOOKUP($T$623,'TAR FIN'!$A$1:$O$86,15,0))</f>
        <v>224.09</v>
      </c>
      <c r="X623" s="6">
        <f>IF(ISERROR(VLOOKUP($U$623,'TAR FIN'!$A$1:$O$86,15,0)),0,VLOOKUP($U$623,'TAR FIN'!$A$1:$O$86,15,0))</f>
        <v>232.39</v>
      </c>
      <c r="Y623" s="6"/>
      <c r="Z623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23" s="6">
        <f>('TE BE'!$AB$14+'TE BF'!$AB$14+'TE CVA'!$AB$14)*(1-CUSTOS!$M$36)</f>
        <v>207.52433221372721</v>
      </c>
      <c r="AB623" s="6">
        <f>$K$623*$V$623</f>
        <v>0</v>
      </c>
      <c r="AC623" s="6">
        <f>$M$623*$W$623</f>
        <v>9404.609120000001</v>
      </c>
      <c r="AD623" s="6">
        <f>$O$623*$X$623</f>
        <v>9752.9435200000007</v>
      </c>
      <c r="AE623" s="6">
        <f>$K$623*$Y$623</f>
        <v>0</v>
      </c>
      <c r="AF623" s="6">
        <f ca="1">$M$623*$Z$623</f>
        <v>8457.5843180516422</v>
      </c>
      <c r="AG623" s="6">
        <f>$O$623*$AA$623</f>
        <v>8709.3811743457045</v>
      </c>
    </row>
    <row r="624" spans="1:33" ht="11.25" customHeight="1" x14ac:dyDescent="0.25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30</v>
      </c>
      <c r="F624" s="4" t="s">
        <v>25</v>
      </c>
      <c r="G624" s="4" t="s">
        <v>25</v>
      </c>
      <c r="H624" s="4" t="s">
        <v>25</v>
      </c>
      <c r="I624" s="5">
        <v>44682</v>
      </c>
      <c r="J624" s="6">
        <v>0</v>
      </c>
      <c r="K624" s="6">
        <v>0</v>
      </c>
      <c r="L624" s="6">
        <v>41.470999999999997</v>
      </c>
      <c r="M624" s="6">
        <v>41.470999999999997</v>
      </c>
      <c r="N624" s="6">
        <v>41.470999999999997</v>
      </c>
      <c r="O624" s="6">
        <v>41.470999999999997</v>
      </c>
      <c r="P624" s="6">
        <v>410</v>
      </c>
      <c r="Q624" s="4" t="s">
        <v>26</v>
      </c>
      <c r="R624" s="4">
        <v>0</v>
      </c>
      <c r="S624" s="6">
        <v>0</v>
      </c>
      <c r="T624" s="6">
        <v>13</v>
      </c>
      <c r="U624" s="6">
        <v>55</v>
      </c>
      <c r="V624" s="6">
        <f>IF(ISERROR(VLOOKUP($S$624,'TAR FIN'!$A$1:$O$86,15,0)),0,VLOOKUP($S$624,'TAR FIN'!$A$1:$O$86,15,0))</f>
        <v>0</v>
      </c>
      <c r="W624" s="6">
        <f>IF(ISERROR(VLOOKUP($T$624,'TAR FIN'!$A$1:$O$86,15,0)),0,VLOOKUP($T$624,'TAR FIN'!$A$1:$O$86,15,0))</f>
        <v>224.09</v>
      </c>
      <c r="X624" s="6">
        <f>IF(ISERROR(VLOOKUP($U$624,'TAR FIN'!$A$1:$O$86,15,0)),0,VLOOKUP($U$624,'TAR FIN'!$A$1:$O$86,15,0))</f>
        <v>232.39</v>
      </c>
      <c r="Y624" s="6"/>
      <c r="Z624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24" s="6">
        <f>('TE BE'!$AB$14+'TE BF'!$AB$14+'TE CVA'!$AB$14)*(1-CUSTOS!$M$36)</f>
        <v>207.52433221372721</v>
      </c>
      <c r="AB624" s="6">
        <f>$K$624*$V$624</f>
        <v>0</v>
      </c>
      <c r="AC624" s="6">
        <f>$M$624*$W$624</f>
        <v>9293.23639</v>
      </c>
      <c r="AD624" s="6">
        <f>$O$624*$X$624</f>
        <v>9637.4456899999986</v>
      </c>
      <c r="AE624" s="6">
        <f>$K$624*$Y$624</f>
        <v>0</v>
      </c>
      <c r="AF624" s="6">
        <f ca="1">$M$624*$Z$624</f>
        <v>8357.426592973683</v>
      </c>
      <c r="AG624" s="6">
        <f>$O$624*$AA$624</f>
        <v>8606.2415812354811</v>
      </c>
    </row>
    <row r="625" spans="1:33" ht="11.25" customHeight="1" x14ac:dyDescent="0.25">
      <c r="A625" s="4" t="s">
        <v>56</v>
      </c>
      <c r="B625" s="4" t="s">
        <v>22</v>
      </c>
      <c r="C625" s="4" t="s">
        <v>23</v>
      </c>
      <c r="D625" s="4" t="s">
        <v>24</v>
      </c>
      <c r="E625" s="4" t="s">
        <v>30</v>
      </c>
      <c r="F625" s="4" t="s">
        <v>25</v>
      </c>
      <c r="G625" s="4" t="s">
        <v>25</v>
      </c>
      <c r="H625" s="4" t="s">
        <v>25</v>
      </c>
      <c r="I625" s="5">
        <v>44713</v>
      </c>
      <c r="J625" s="6">
        <v>0</v>
      </c>
      <c r="K625" s="6">
        <v>0</v>
      </c>
      <c r="L625" s="6">
        <v>41.470999999999997</v>
      </c>
      <c r="M625" s="6">
        <v>41.470999999999997</v>
      </c>
      <c r="N625" s="6">
        <v>41.470999999999997</v>
      </c>
      <c r="O625" s="6">
        <v>41.470999999999997</v>
      </c>
      <c r="P625" s="6">
        <v>410</v>
      </c>
      <c r="Q625" s="4" t="s">
        <v>26</v>
      </c>
      <c r="R625" s="4">
        <v>0</v>
      </c>
      <c r="S625" s="6">
        <v>0</v>
      </c>
      <c r="T625" s="6">
        <v>13</v>
      </c>
      <c r="U625" s="6">
        <v>55</v>
      </c>
      <c r="V625" s="6">
        <f>IF(ISERROR(VLOOKUP($S$625,'TAR FIN'!$A$1:$O$86,15,0)),0,VLOOKUP($S$625,'TAR FIN'!$A$1:$O$86,15,0))</f>
        <v>0</v>
      </c>
      <c r="W625" s="6">
        <f>IF(ISERROR(VLOOKUP($T$625,'TAR FIN'!$A$1:$O$86,15,0)),0,VLOOKUP($T$625,'TAR FIN'!$A$1:$O$86,15,0))</f>
        <v>224.09</v>
      </c>
      <c r="X625" s="6">
        <f>IF(ISERROR(VLOOKUP($U$625,'TAR FIN'!$A$1:$O$86,15,0)),0,VLOOKUP($U$625,'TAR FIN'!$A$1:$O$86,15,0))</f>
        <v>232.39</v>
      </c>
      <c r="Y625" s="6"/>
      <c r="Z625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625" s="6">
        <f>('TE BE'!$AB$14+'TE BF'!$AB$14+'TE CVA'!$AB$14)*(1-CUSTOS!$M$36)</f>
        <v>207.52433221372721</v>
      </c>
      <c r="AB625" s="6">
        <f>$K$625*$V$625</f>
        <v>0</v>
      </c>
      <c r="AC625" s="6">
        <f>$M$625*$W$625</f>
        <v>9293.23639</v>
      </c>
      <c r="AD625" s="6">
        <f>$O$625*$X$625</f>
        <v>9637.4456899999986</v>
      </c>
      <c r="AE625" s="6">
        <f>$K$625*$Y$625</f>
        <v>0</v>
      </c>
      <c r="AF625" s="6">
        <f ca="1">$M$625*$Z$625</f>
        <v>8357.426592973683</v>
      </c>
      <c r="AG625" s="6">
        <f>$O$625*$AA$625</f>
        <v>8606.2415812354811</v>
      </c>
    </row>
    <row r="626" spans="1:33" ht="11.25" customHeight="1" x14ac:dyDescent="0.25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31</v>
      </c>
      <c r="F626" s="4" t="s">
        <v>25</v>
      </c>
      <c r="G626" s="4" t="s">
        <v>25</v>
      </c>
      <c r="H626" s="4" t="s">
        <v>25</v>
      </c>
      <c r="I626" s="5">
        <v>44378</v>
      </c>
      <c r="J626" s="6">
        <v>0</v>
      </c>
      <c r="K626" s="6">
        <v>0</v>
      </c>
      <c r="L626" s="6">
        <v>16.440000000000001</v>
      </c>
      <c r="M626" s="6">
        <v>16.440000000000001</v>
      </c>
      <c r="N626" s="6">
        <v>16.440000000000001</v>
      </c>
      <c r="O626" s="6">
        <v>16.440000000000001</v>
      </c>
      <c r="P626" s="6">
        <v>180</v>
      </c>
      <c r="Q626" s="4" t="s">
        <v>26</v>
      </c>
      <c r="R626" s="4">
        <v>0</v>
      </c>
      <c r="S626" s="6">
        <v>0</v>
      </c>
      <c r="T626" s="6">
        <v>17</v>
      </c>
      <c r="U626" s="6">
        <v>72</v>
      </c>
      <c r="V626" s="6">
        <f>IF(ISERROR(VLOOKUP($S$626,'TAR FIN'!$A$1:$O$86,15,0)),0,VLOOKUP($S$626,'TAR FIN'!$A$1:$O$86,15,0))</f>
        <v>0</v>
      </c>
      <c r="W626" s="6">
        <f>IF(ISERROR(VLOOKUP($T$626,'TAR FIN'!$A$1:$O$86,15,0)),0,VLOOKUP($T$626,'TAR FIN'!$A$1:$O$86,15,0))</f>
        <v>248.98</v>
      </c>
      <c r="X626" s="6">
        <f>IF(ISERROR(VLOOKUP($U$626,'TAR FIN'!$A$1:$O$86,15,0)),0,VLOOKUP($U$626,'TAR FIN'!$A$1:$O$86,15,0))</f>
        <v>258.20999999999998</v>
      </c>
      <c r="Y626" s="6"/>
      <c r="Z626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26" s="6">
        <f>('TE BE'!$AB$15+'TE BF'!$AB$15+'TE CVA'!$AB$15)*(1-CUSTOS!$M$37)</f>
        <v>230.58259134858577</v>
      </c>
      <c r="AB626" s="6">
        <f>$K$626*$V$626</f>
        <v>0</v>
      </c>
      <c r="AC626" s="6">
        <f>$M$626*$W$626</f>
        <v>4093.2312000000002</v>
      </c>
      <c r="AD626" s="6">
        <f>$O$626*$X$626</f>
        <v>4244.9723999999997</v>
      </c>
      <c r="AE626" s="6">
        <f>$K$626*$Y$626</f>
        <v>0</v>
      </c>
      <c r="AF626" s="6">
        <f ca="1">$M$626*$Z$626</f>
        <v>3681.1826520938966</v>
      </c>
      <c r="AG626" s="6">
        <f>$O$626*$AA$626</f>
        <v>3790.7778017707501</v>
      </c>
    </row>
    <row r="627" spans="1:33" ht="11.25" customHeight="1" x14ac:dyDescent="0.25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31</v>
      </c>
      <c r="F627" s="4" t="s">
        <v>25</v>
      </c>
      <c r="G627" s="4" t="s">
        <v>25</v>
      </c>
      <c r="H627" s="4" t="s">
        <v>25</v>
      </c>
      <c r="I627" s="5">
        <v>44409</v>
      </c>
      <c r="J627" s="6">
        <v>0</v>
      </c>
      <c r="K627" s="6">
        <v>0</v>
      </c>
      <c r="L627" s="6">
        <v>14.932</v>
      </c>
      <c r="M627" s="6">
        <v>14.932</v>
      </c>
      <c r="N627" s="6">
        <v>14.932</v>
      </c>
      <c r="O627" s="6">
        <v>14.932</v>
      </c>
      <c r="P627" s="6">
        <v>192</v>
      </c>
      <c r="Q627" s="4" t="s">
        <v>26</v>
      </c>
      <c r="R627" s="4">
        <v>0</v>
      </c>
      <c r="S627" s="6">
        <v>0</v>
      </c>
      <c r="T627" s="6">
        <v>17</v>
      </c>
      <c r="U627" s="6">
        <v>72</v>
      </c>
      <c r="V627" s="6">
        <f>IF(ISERROR(VLOOKUP($S$627,'TAR FIN'!$A$1:$O$86,15,0)),0,VLOOKUP($S$627,'TAR FIN'!$A$1:$O$86,15,0))</f>
        <v>0</v>
      </c>
      <c r="W627" s="6">
        <f>IF(ISERROR(VLOOKUP($T$627,'TAR FIN'!$A$1:$O$86,15,0)),0,VLOOKUP($T$627,'TAR FIN'!$A$1:$O$86,15,0))</f>
        <v>248.98</v>
      </c>
      <c r="X627" s="6">
        <f>IF(ISERROR(VLOOKUP($U$627,'TAR FIN'!$A$1:$O$86,15,0)),0,VLOOKUP($U$627,'TAR FIN'!$A$1:$O$86,15,0))</f>
        <v>258.20999999999998</v>
      </c>
      <c r="Y627" s="6"/>
      <c r="Z627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27" s="6">
        <f>('TE BE'!$AB$15+'TE BF'!$AB$15+'TE CVA'!$AB$15)*(1-CUSTOS!$M$37)</f>
        <v>230.58259134858577</v>
      </c>
      <c r="AB627" s="6">
        <f>$K$627*$V$627</f>
        <v>0</v>
      </c>
      <c r="AC627" s="6">
        <f>$M$627*$W$627</f>
        <v>3717.7693599999998</v>
      </c>
      <c r="AD627" s="6">
        <f>$O$627*$X$627</f>
        <v>3855.5917199999999</v>
      </c>
      <c r="AE627" s="6">
        <f>$K$627*$Y$627</f>
        <v>0</v>
      </c>
      <c r="AF627" s="6">
        <f ca="1">$M$627*$Z$627</f>
        <v>3343.5169927655752</v>
      </c>
      <c r="AG627" s="6">
        <f>$O$627*$AA$627</f>
        <v>3443.0592540170828</v>
      </c>
    </row>
    <row r="628" spans="1:33" ht="11.25" customHeight="1" x14ac:dyDescent="0.25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31</v>
      </c>
      <c r="F628" s="4" t="s">
        <v>25</v>
      </c>
      <c r="G628" s="4" t="s">
        <v>25</v>
      </c>
      <c r="H628" s="4" t="s">
        <v>25</v>
      </c>
      <c r="I628" s="5">
        <v>44440</v>
      </c>
      <c r="J628" s="6">
        <v>0</v>
      </c>
      <c r="K628" s="6">
        <v>0</v>
      </c>
      <c r="L628" s="6">
        <v>12.797000000000001</v>
      </c>
      <c r="M628" s="6">
        <v>12.797000000000001</v>
      </c>
      <c r="N628" s="6">
        <v>12.797000000000001</v>
      </c>
      <c r="O628" s="6">
        <v>12.797000000000001</v>
      </c>
      <c r="P628" s="6">
        <v>172</v>
      </c>
      <c r="Q628" s="4" t="s">
        <v>26</v>
      </c>
      <c r="R628" s="4">
        <v>0</v>
      </c>
      <c r="S628" s="6">
        <v>0</v>
      </c>
      <c r="T628" s="6">
        <v>17</v>
      </c>
      <c r="U628" s="6">
        <v>72</v>
      </c>
      <c r="V628" s="6">
        <f>IF(ISERROR(VLOOKUP($S$628,'TAR FIN'!$A$1:$O$86,15,0)),0,VLOOKUP($S$628,'TAR FIN'!$A$1:$O$86,15,0))</f>
        <v>0</v>
      </c>
      <c r="W628" s="6">
        <f>IF(ISERROR(VLOOKUP($T$628,'TAR FIN'!$A$1:$O$86,15,0)),0,VLOOKUP($T$628,'TAR FIN'!$A$1:$O$86,15,0))</f>
        <v>248.98</v>
      </c>
      <c r="X628" s="6">
        <f>IF(ISERROR(VLOOKUP($U$628,'TAR FIN'!$A$1:$O$86,15,0)),0,VLOOKUP($U$628,'TAR FIN'!$A$1:$O$86,15,0))</f>
        <v>258.20999999999998</v>
      </c>
      <c r="Y628" s="6"/>
      <c r="Z628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28" s="6">
        <f>('TE BE'!$AB$15+'TE BF'!$AB$15+'TE CVA'!$AB$15)*(1-CUSTOS!$M$37)</f>
        <v>230.58259134858577</v>
      </c>
      <c r="AB628" s="6">
        <f>$K$628*$V$628</f>
        <v>0</v>
      </c>
      <c r="AC628" s="6">
        <f>$M$628*$W$628</f>
        <v>3186.19706</v>
      </c>
      <c r="AD628" s="6">
        <f>$O$628*$X$628</f>
        <v>3304.3133699999998</v>
      </c>
      <c r="AE628" s="6">
        <f>$K$628*$Y$628</f>
        <v>0</v>
      </c>
      <c r="AF628" s="6">
        <f ca="1">$M$628*$Z$628</f>
        <v>2865.4558636767392</v>
      </c>
      <c r="AG628" s="6">
        <f>$O$628*$AA$628</f>
        <v>2950.7654214878521</v>
      </c>
    </row>
    <row r="629" spans="1:33" ht="11.25" customHeight="1" x14ac:dyDescent="0.25">
      <c r="A629" s="4" t="s">
        <v>27</v>
      </c>
      <c r="B629" s="4" t="s">
        <v>22</v>
      </c>
      <c r="C629" s="4" t="s">
        <v>23</v>
      </c>
      <c r="D629" s="4" t="s">
        <v>24</v>
      </c>
      <c r="E629" s="4" t="s">
        <v>31</v>
      </c>
      <c r="F629" s="4" t="s">
        <v>25</v>
      </c>
      <c r="G629" s="4" t="s">
        <v>25</v>
      </c>
      <c r="H629" s="4" t="s">
        <v>25</v>
      </c>
      <c r="I629" s="5">
        <v>44440</v>
      </c>
      <c r="J629" s="6">
        <v>0</v>
      </c>
      <c r="K629" s="6">
        <v>0</v>
      </c>
      <c r="L629" s="6">
        <v>-0.29799999999999999</v>
      </c>
      <c r="M629" s="6">
        <v>-0.29799999999999999</v>
      </c>
      <c r="N629" s="6">
        <v>-0.29799999999999999</v>
      </c>
      <c r="O629" s="6">
        <v>-0.29799999999999999</v>
      </c>
      <c r="P629" s="6">
        <v>0</v>
      </c>
      <c r="Q629" s="4" t="s">
        <v>26</v>
      </c>
      <c r="R629" s="4">
        <v>0</v>
      </c>
      <c r="S629" s="6">
        <v>0</v>
      </c>
      <c r="T629" s="6">
        <v>17</v>
      </c>
      <c r="U629" s="6">
        <v>72</v>
      </c>
      <c r="V629" s="6">
        <f>IF(ISERROR(VLOOKUP($S$629,'TAR FIN'!$A$1:$O$86,15,0)),0,VLOOKUP($S$629,'TAR FIN'!$A$1:$O$86,15,0))</f>
        <v>0</v>
      </c>
      <c r="W629" s="6">
        <f>IF(ISERROR(VLOOKUP($T$629,'TAR FIN'!$A$1:$O$86,15,0)),0,VLOOKUP($T$629,'TAR FIN'!$A$1:$O$86,15,0))</f>
        <v>248.98</v>
      </c>
      <c r="X629" s="6">
        <f>IF(ISERROR(VLOOKUP($U$629,'TAR FIN'!$A$1:$O$86,15,0)),0,VLOOKUP($U$629,'TAR FIN'!$A$1:$O$86,15,0))</f>
        <v>258.20999999999998</v>
      </c>
      <c r="Y629" s="6"/>
      <c r="Z629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29" s="6">
        <f>('TE BE'!$AB$15+'TE BF'!$AB$15+'TE CVA'!$AB$15)*(1-CUSTOS!$M$37)</f>
        <v>230.58259134858577</v>
      </c>
      <c r="AB629" s="6">
        <f>$K$629*$V$629</f>
        <v>0</v>
      </c>
      <c r="AC629" s="6">
        <f>$M$629*$W$629</f>
        <v>-74.196039999999996</v>
      </c>
      <c r="AD629" s="6">
        <f>$O$629*$X$629</f>
        <v>-76.946579999999997</v>
      </c>
      <c r="AE629" s="6">
        <f>$K$629*$Y$629</f>
        <v>0</v>
      </c>
      <c r="AF629" s="6">
        <f ca="1">$M$629*$Z$629</f>
        <v>-66.727033474694707</v>
      </c>
      <c r="AG629" s="6">
        <f>$O$629*$AA$629</f>
        <v>-68.713612221878549</v>
      </c>
    </row>
    <row r="630" spans="1:33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31</v>
      </c>
      <c r="F630" s="4" t="s">
        <v>25</v>
      </c>
      <c r="G630" s="4" t="s">
        <v>25</v>
      </c>
      <c r="H630" s="4" t="s">
        <v>25</v>
      </c>
      <c r="I630" s="5">
        <v>44470</v>
      </c>
      <c r="J630" s="6">
        <v>0</v>
      </c>
      <c r="K630" s="6">
        <v>0</v>
      </c>
      <c r="L630" s="6">
        <v>12.688000000000001</v>
      </c>
      <c r="M630" s="6">
        <v>12.688000000000001</v>
      </c>
      <c r="N630" s="6">
        <v>12.688000000000001</v>
      </c>
      <c r="O630" s="6">
        <v>12.688000000000001</v>
      </c>
      <c r="P630" s="6">
        <v>175</v>
      </c>
      <c r="Q630" s="4" t="s">
        <v>26</v>
      </c>
      <c r="R630" s="4">
        <v>0</v>
      </c>
      <c r="S630" s="6">
        <v>0</v>
      </c>
      <c r="T630" s="6">
        <v>17</v>
      </c>
      <c r="U630" s="6">
        <v>72</v>
      </c>
      <c r="V630" s="6">
        <f>IF(ISERROR(VLOOKUP($S$630,'TAR FIN'!$A$1:$O$86,15,0)),0,VLOOKUP($S$630,'TAR FIN'!$A$1:$O$86,15,0))</f>
        <v>0</v>
      </c>
      <c r="W630" s="6">
        <f>IF(ISERROR(VLOOKUP($T$630,'TAR FIN'!$A$1:$O$86,15,0)),0,VLOOKUP($T$630,'TAR FIN'!$A$1:$O$86,15,0))</f>
        <v>248.98</v>
      </c>
      <c r="X630" s="6">
        <f>IF(ISERROR(VLOOKUP($U$630,'TAR FIN'!$A$1:$O$86,15,0)),0,VLOOKUP($U$630,'TAR FIN'!$A$1:$O$86,15,0))</f>
        <v>258.20999999999998</v>
      </c>
      <c r="Y630" s="6"/>
      <c r="Z630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0" s="6">
        <f>('TE BE'!$AB$15+'TE BF'!$AB$15+'TE CVA'!$AB$15)*(1-CUSTOS!$M$37)</f>
        <v>230.58259134858577</v>
      </c>
      <c r="AB630" s="6">
        <f>$K$630*$V$630</f>
        <v>0</v>
      </c>
      <c r="AC630" s="6">
        <f>$M$630*$W$630</f>
        <v>3159.0582399999998</v>
      </c>
      <c r="AD630" s="6">
        <f>$O$630*$X$630</f>
        <v>3276.1684799999998</v>
      </c>
      <c r="AE630" s="6">
        <f>$K$630*$Y$630</f>
        <v>0</v>
      </c>
      <c r="AF630" s="6">
        <f ca="1">$M$630*$Z$630</f>
        <v>2841.0489957279415</v>
      </c>
      <c r="AG630" s="6">
        <f>$O$630*$AA$630</f>
        <v>2925.6319190308564</v>
      </c>
    </row>
    <row r="631" spans="1:33" ht="11.25" customHeight="1" x14ac:dyDescent="0.25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31</v>
      </c>
      <c r="F631" s="4" t="s">
        <v>25</v>
      </c>
      <c r="G631" s="4" t="s">
        <v>25</v>
      </c>
      <c r="H631" s="4" t="s">
        <v>25</v>
      </c>
      <c r="I631" s="5">
        <v>44501</v>
      </c>
      <c r="J631" s="6">
        <v>0</v>
      </c>
      <c r="K631" s="6">
        <v>0</v>
      </c>
      <c r="L631" s="6">
        <v>14.66</v>
      </c>
      <c r="M631" s="6">
        <v>14.66</v>
      </c>
      <c r="N631" s="6">
        <v>14.66</v>
      </c>
      <c r="O631" s="6">
        <v>14.66</v>
      </c>
      <c r="P631" s="6">
        <v>199</v>
      </c>
      <c r="Q631" s="4" t="s">
        <v>26</v>
      </c>
      <c r="R631" s="4">
        <v>0</v>
      </c>
      <c r="S631" s="6">
        <v>0</v>
      </c>
      <c r="T631" s="6">
        <v>17</v>
      </c>
      <c r="U631" s="6">
        <v>72</v>
      </c>
      <c r="V631" s="6">
        <f>IF(ISERROR(VLOOKUP($S$631,'TAR FIN'!$A$1:$O$86,15,0)),0,VLOOKUP($S$631,'TAR FIN'!$A$1:$O$86,15,0))</f>
        <v>0</v>
      </c>
      <c r="W631" s="6">
        <f>IF(ISERROR(VLOOKUP($T$631,'TAR FIN'!$A$1:$O$86,15,0)),0,VLOOKUP($T$631,'TAR FIN'!$A$1:$O$86,15,0))</f>
        <v>248.98</v>
      </c>
      <c r="X631" s="6">
        <f>IF(ISERROR(VLOOKUP($U$631,'TAR FIN'!$A$1:$O$86,15,0)),0,VLOOKUP($U$631,'TAR FIN'!$A$1:$O$86,15,0))</f>
        <v>258.20999999999998</v>
      </c>
      <c r="Y631" s="6"/>
      <c r="Z631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1" s="6">
        <f>('TE BE'!$AB$15+'TE BF'!$AB$15+'TE CVA'!$AB$15)*(1-CUSTOS!$M$37)</f>
        <v>230.58259134858577</v>
      </c>
      <c r="AB631" s="6">
        <f>$K$631*$V$631</f>
        <v>0</v>
      </c>
      <c r="AC631" s="6">
        <f>$M$631*$W$631</f>
        <v>3650.0468000000001</v>
      </c>
      <c r="AD631" s="6">
        <f>$O$631*$X$631</f>
        <v>3785.3585999999996</v>
      </c>
      <c r="AE631" s="6">
        <f>$K$631*$Y$631</f>
        <v>0</v>
      </c>
      <c r="AF631" s="6">
        <f ca="1">$M$631*$Z$631</f>
        <v>3282.611781003438</v>
      </c>
      <c r="AG631" s="6">
        <f>$O$631*$AA$631</f>
        <v>3380.3407891702673</v>
      </c>
    </row>
    <row r="632" spans="1:33" ht="11.25" customHeight="1" x14ac:dyDescent="0.25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31</v>
      </c>
      <c r="F632" s="4" t="s">
        <v>25</v>
      </c>
      <c r="G632" s="4" t="s">
        <v>25</v>
      </c>
      <c r="H632" s="4" t="s">
        <v>25</v>
      </c>
      <c r="I632" s="5">
        <v>44531</v>
      </c>
      <c r="J632" s="6">
        <v>0</v>
      </c>
      <c r="K632" s="6">
        <v>0</v>
      </c>
      <c r="L632" s="6">
        <v>13.177</v>
      </c>
      <c r="M632" s="6">
        <v>13.177</v>
      </c>
      <c r="N632" s="6">
        <v>13.177</v>
      </c>
      <c r="O632" s="6">
        <v>13.177</v>
      </c>
      <c r="P632" s="6">
        <v>185</v>
      </c>
      <c r="Q632" s="4" t="s">
        <v>26</v>
      </c>
      <c r="R632" s="4">
        <v>0</v>
      </c>
      <c r="S632" s="6">
        <v>0</v>
      </c>
      <c r="T632" s="6">
        <v>17</v>
      </c>
      <c r="U632" s="6">
        <v>72</v>
      </c>
      <c r="V632" s="6">
        <f>IF(ISERROR(VLOOKUP($S$632,'TAR FIN'!$A$1:$O$86,15,0)),0,VLOOKUP($S$632,'TAR FIN'!$A$1:$O$86,15,0))</f>
        <v>0</v>
      </c>
      <c r="W632" s="6">
        <f>IF(ISERROR(VLOOKUP($T$632,'TAR FIN'!$A$1:$O$86,15,0)),0,VLOOKUP($T$632,'TAR FIN'!$A$1:$O$86,15,0))</f>
        <v>248.98</v>
      </c>
      <c r="X632" s="6">
        <f>IF(ISERROR(VLOOKUP($U$632,'TAR FIN'!$A$1:$O$86,15,0)),0,VLOOKUP($U$632,'TAR FIN'!$A$1:$O$86,15,0))</f>
        <v>258.20999999999998</v>
      </c>
      <c r="Y632" s="6"/>
      <c r="Z632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2" s="6">
        <f>('TE BE'!$AB$15+'TE BF'!$AB$15+'TE CVA'!$AB$15)*(1-CUSTOS!$M$37)</f>
        <v>230.58259134858577</v>
      </c>
      <c r="AB632" s="6">
        <f>$K$632*$V$632</f>
        <v>0</v>
      </c>
      <c r="AC632" s="6">
        <f>$M$632*$W$632</f>
        <v>3280.8094599999999</v>
      </c>
      <c r="AD632" s="6">
        <f>$O$632*$X$632</f>
        <v>3402.4331699999998</v>
      </c>
      <c r="AE632" s="6">
        <f>$K$632*$Y$632</f>
        <v>0</v>
      </c>
      <c r="AF632" s="6">
        <f ca="1">$M$632*$Z$632</f>
        <v>2950.5440271679604</v>
      </c>
      <c r="AG632" s="6">
        <f>$O$632*$AA$632</f>
        <v>3038.3868062003144</v>
      </c>
    </row>
    <row r="633" spans="1:33" ht="11.25" customHeight="1" x14ac:dyDescent="0.25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31</v>
      </c>
      <c r="F633" s="4" t="s">
        <v>25</v>
      </c>
      <c r="G633" s="4" t="s">
        <v>25</v>
      </c>
      <c r="H633" s="4" t="s">
        <v>25</v>
      </c>
      <c r="I633" s="5">
        <v>44562</v>
      </c>
      <c r="J633" s="6">
        <v>0</v>
      </c>
      <c r="K633" s="6">
        <v>0</v>
      </c>
      <c r="L633" s="6">
        <v>20.587</v>
      </c>
      <c r="M633" s="6">
        <v>20.587</v>
      </c>
      <c r="N633" s="6">
        <v>20.587</v>
      </c>
      <c r="O633" s="6">
        <v>20.587</v>
      </c>
      <c r="P633" s="6">
        <v>229</v>
      </c>
      <c r="Q633" s="4" t="s">
        <v>26</v>
      </c>
      <c r="R633" s="4">
        <v>0</v>
      </c>
      <c r="S633" s="6">
        <v>0</v>
      </c>
      <c r="T633" s="6">
        <v>17</v>
      </c>
      <c r="U633" s="6">
        <v>72</v>
      </c>
      <c r="V633" s="6">
        <f>IF(ISERROR(VLOOKUP($S$633,'TAR FIN'!$A$1:$O$86,15,0)),0,VLOOKUP($S$633,'TAR FIN'!$A$1:$O$86,15,0))</f>
        <v>0</v>
      </c>
      <c r="W633" s="6">
        <f>IF(ISERROR(VLOOKUP($T$633,'TAR FIN'!$A$1:$O$86,15,0)),0,VLOOKUP($T$633,'TAR FIN'!$A$1:$O$86,15,0))</f>
        <v>248.98</v>
      </c>
      <c r="X633" s="6">
        <f>IF(ISERROR(VLOOKUP($U$633,'TAR FIN'!$A$1:$O$86,15,0)),0,VLOOKUP($U$633,'TAR FIN'!$A$1:$O$86,15,0))</f>
        <v>258.20999999999998</v>
      </c>
      <c r="Y633" s="6"/>
      <c r="Z633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3" s="6">
        <f>('TE BE'!$AB$15+'TE BF'!$AB$15+'TE CVA'!$AB$15)*(1-CUSTOS!$M$37)</f>
        <v>230.58259134858577</v>
      </c>
      <c r="AB633" s="6">
        <f>$K$633*$V$633</f>
        <v>0</v>
      </c>
      <c r="AC633" s="6">
        <f>$M$633*$W$633</f>
        <v>5125.75126</v>
      </c>
      <c r="AD633" s="6">
        <f>$O$633*$X$633</f>
        <v>5315.7692699999998</v>
      </c>
      <c r="AE633" s="6">
        <f>$K$633*$Y$633</f>
        <v>0</v>
      </c>
      <c r="AF633" s="6">
        <f ca="1">$M$633*$Z$633</f>
        <v>4609.7632152467786</v>
      </c>
      <c r="AG633" s="6">
        <f>$O$633*$AA$633</f>
        <v>4747.0038080933355</v>
      </c>
    </row>
    <row r="634" spans="1:33" ht="11.25" customHeight="1" x14ac:dyDescent="0.25">
      <c r="A634" s="4" t="s">
        <v>21</v>
      </c>
      <c r="B634" s="4" t="s">
        <v>22</v>
      </c>
      <c r="C634" s="4" t="s">
        <v>23</v>
      </c>
      <c r="D634" s="4" t="s">
        <v>24</v>
      </c>
      <c r="E634" s="4" t="s">
        <v>31</v>
      </c>
      <c r="F634" s="4" t="s">
        <v>25</v>
      </c>
      <c r="G634" s="4" t="s">
        <v>25</v>
      </c>
      <c r="H634" s="4" t="s">
        <v>25</v>
      </c>
      <c r="I634" s="5">
        <v>44593</v>
      </c>
      <c r="J634" s="6">
        <v>0</v>
      </c>
      <c r="K634" s="6">
        <v>0</v>
      </c>
      <c r="L634" s="6">
        <v>18.414999999999999</v>
      </c>
      <c r="M634" s="6">
        <v>18.414999999999999</v>
      </c>
      <c r="N634" s="6">
        <v>18.414999999999999</v>
      </c>
      <c r="O634" s="6">
        <v>18.414999999999999</v>
      </c>
      <c r="P634" s="6">
        <v>214</v>
      </c>
      <c r="Q634" s="4" t="s">
        <v>26</v>
      </c>
      <c r="R634" s="4">
        <v>0</v>
      </c>
      <c r="S634" s="6">
        <v>0</v>
      </c>
      <c r="T634" s="6">
        <v>17</v>
      </c>
      <c r="U634" s="6">
        <v>72</v>
      </c>
      <c r="V634" s="6">
        <f>IF(ISERROR(VLOOKUP($S$634,'TAR FIN'!$A$1:$O$86,15,0)),0,VLOOKUP($S$634,'TAR FIN'!$A$1:$O$86,15,0))</f>
        <v>0</v>
      </c>
      <c r="W634" s="6">
        <f>IF(ISERROR(VLOOKUP($T$634,'TAR FIN'!$A$1:$O$86,15,0)),0,VLOOKUP($T$634,'TAR FIN'!$A$1:$O$86,15,0))</f>
        <v>248.98</v>
      </c>
      <c r="X634" s="6">
        <f>IF(ISERROR(VLOOKUP($U$634,'TAR FIN'!$A$1:$O$86,15,0)),0,VLOOKUP($U$634,'TAR FIN'!$A$1:$O$86,15,0))</f>
        <v>258.20999999999998</v>
      </c>
      <c r="Y634" s="6"/>
      <c r="Z634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4" s="6">
        <f>('TE BE'!$AB$15+'TE BF'!$AB$15+'TE CVA'!$AB$15)*(1-CUSTOS!$M$37)</f>
        <v>230.58259134858577</v>
      </c>
      <c r="AB634" s="6">
        <f>$K$634*$V$634</f>
        <v>0</v>
      </c>
      <c r="AC634" s="6">
        <f>$M$634*$W$634</f>
        <v>4584.9666999999999</v>
      </c>
      <c r="AD634" s="6">
        <f>$O$634*$X$634</f>
        <v>4754.9371499999997</v>
      </c>
      <c r="AE634" s="6">
        <f>$K$634*$Y$634</f>
        <v>0</v>
      </c>
      <c r="AF634" s="6">
        <f ca="1">$M$634*$Z$634</f>
        <v>4123.4171860285342</v>
      </c>
      <c r="AG634" s="6">
        <f>$O$634*$AA$634</f>
        <v>4246.1784196842063</v>
      </c>
    </row>
    <row r="635" spans="1:33" ht="11.25" customHeight="1" x14ac:dyDescent="0.25">
      <c r="A635" s="4" t="s">
        <v>27</v>
      </c>
      <c r="B635" s="4" t="s">
        <v>22</v>
      </c>
      <c r="C635" s="4" t="s">
        <v>23</v>
      </c>
      <c r="D635" s="4" t="s">
        <v>24</v>
      </c>
      <c r="E635" s="4" t="s">
        <v>31</v>
      </c>
      <c r="F635" s="4" t="s">
        <v>25</v>
      </c>
      <c r="G635" s="4" t="s">
        <v>25</v>
      </c>
      <c r="H635" s="4" t="s">
        <v>25</v>
      </c>
      <c r="I635" s="5">
        <v>44593</v>
      </c>
      <c r="J635" s="6">
        <v>0</v>
      </c>
      <c r="K635" s="6">
        <v>0</v>
      </c>
      <c r="L635" s="6">
        <v>5.5E-2</v>
      </c>
      <c r="M635" s="6">
        <v>5.5E-2</v>
      </c>
      <c r="N635" s="6">
        <v>5.5E-2</v>
      </c>
      <c r="O635" s="6">
        <v>5.5E-2</v>
      </c>
      <c r="P635" s="6">
        <v>0</v>
      </c>
      <c r="Q635" s="4" t="s">
        <v>26</v>
      </c>
      <c r="R635" s="4">
        <v>0</v>
      </c>
      <c r="S635" s="6">
        <v>0</v>
      </c>
      <c r="T635" s="6">
        <v>17</v>
      </c>
      <c r="U635" s="6">
        <v>72</v>
      </c>
      <c r="V635" s="6">
        <f>IF(ISERROR(VLOOKUP($S$635,'TAR FIN'!$A$1:$O$86,15,0)),0,VLOOKUP($S$635,'TAR FIN'!$A$1:$O$86,15,0))</f>
        <v>0</v>
      </c>
      <c r="W635" s="6">
        <f>IF(ISERROR(VLOOKUP($T$635,'TAR FIN'!$A$1:$O$86,15,0)),0,VLOOKUP($T$635,'TAR FIN'!$A$1:$O$86,15,0))</f>
        <v>248.98</v>
      </c>
      <c r="X635" s="6">
        <f>IF(ISERROR(VLOOKUP($U$635,'TAR FIN'!$A$1:$O$86,15,0)),0,VLOOKUP($U$635,'TAR FIN'!$A$1:$O$86,15,0))</f>
        <v>258.20999999999998</v>
      </c>
      <c r="Y635" s="6"/>
      <c r="Z635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5" s="6">
        <f>('TE BE'!$AB$15+'TE BF'!$AB$15+'TE CVA'!$AB$15)*(1-CUSTOS!$M$37)</f>
        <v>230.58259134858577</v>
      </c>
      <c r="AB635" s="6">
        <f>$K$635*$V$635</f>
        <v>0</v>
      </c>
      <c r="AC635" s="6">
        <f>$M$635*$W$635</f>
        <v>13.693899999999999</v>
      </c>
      <c r="AD635" s="6">
        <f>$O$635*$X$635</f>
        <v>14.201549999999999</v>
      </c>
      <c r="AE635" s="6">
        <f>$K$635*$Y$635</f>
        <v>0</v>
      </c>
      <c r="AF635" s="6">
        <f ca="1">$M$635*$Z$635</f>
        <v>12.315392084255736</v>
      </c>
      <c r="AG635" s="6">
        <f>$O$635*$AA$635</f>
        <v>12.682042524172218</v>
      </c>
    </row>
    <row r="636" spans="1:33" ht="11.25" customHeight="1" x14ac:dyDescent="0.25">
      <c r="A636" s="4" t="s">
        <v>21</v>
      </c>
      <c r="B636" s="4" t="s">
        <v>22</v>
      </c>
      <c r="C636" s="4" t="s">
        <v>23</v>
      </c>
      <c r="D636" s="4" t="s">
        <v>24</v>
      </c>
      <c r="E636" s="4" t="s">
        <v>31</v>
      </c>
      <c r="F636" s="4" t="s">
        <v>25</v>
      </c>
      <c r="G636" s="4" t="s">
        <v>25</v>
      </c>
      <c r="H636" s="4" t="s">
        <v>25</v>
      </c>
      <c r="I636" s="5">
        <v>44621</v>
      </c>
      <c r="J636" s="6">
        <v>0</v>
      </c>
      <c r="K636" s="6">
        <v>0</v>
      </c>
      <c r="L636" s="6">
        <v>21.835000000000001</v>
      </c>
      <c r="M636" s="6">
        <v>21.835000000000001</v>
      </c>
      <c r="N636" s="6">
        <v>21.835000000000001</v>
      </c>
      <c r="O636" s="6">
        <v>21.835000000000001</v>
      </c>
      <c r="P636" s="6">
        <v>234</v>
      </c>
      <c r="Q636" s="4" t="s">
        <v>26</v>
      </c>
      <c r="R636" s="4">
        <v>0</v>
      </c>
      <c r="S636" s="6">
        <v>0</v>
      </c>
      <c r="T636" s="6">
        <v>17</v>
      </c>
      <c r="U636" s="6">
        <v>72</v>
      </c>
      <c r="V636" s="6">
        <f>IF(ISERROR(VLOOKUP($S$636,'TAR FIN'!$A$1:$O$86,15,0)),0,VLOOKUP($S$636,'TAR FIN'!$A$1:$O$86,15,0))</f>
        <v>0</v>
      </c>
      <c r="W636" s="6">
        <f>IF(ISERROR(VLOOKUP($T$636,'TAR FIN'!$A$1:$O$86,15,0)),0,VLOOKUP($T$636,'TAR FIN'!$A$1:$O$86,15,0))</f>
        <v>248.98</v>
      </c>
      <c r="X636" s="6">
        <f>IF(ISERROR(VLOOKUP($U$636,'TAR FIN'!$A$1:$O$86,15,0)),0,VLOOKUP($U$636,'TAR FIN'!$A$1:$O$86,15,0))</f>
        <v>258.20999999999998</v>
      </c>
      <c r="Y636" s="6"/>
      <c r="Z636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6" s="6">
        <f>('TE BE'!$AB$15+'TE BF'!$AB$15+'TE CVA'!$AB$15)*(1-CUSTOS!$M$37)</f>
        <v>230.58259134858577</v>
      </c>
      <c r="AB636" s="6">
        <f>$K$636*$V$636</f>
        <v>0</v>
      </c>
      <c r="AC636" s="6">
        <f>$M$636*$W$636</f>
        <v>5436.4782999999998</v>
      </c>
      <c r="AD636" s="6">
        <f>$O$636*$X$636</f>
        <v>5638.0153499999997</v>
      </c>
      <c r="AE636" s="6">
        <f>$K$636*$Y$636</f>
        <v>0</v>
      </c>
      <c r="AF636" s="6">
        <f ca="1">$M$636*$Z$636</f>
        <v>4889.2106574495274</v>
      </c>
      <c r="AG636" s="6">
        <f>$O$636*$AA$636</f>
        <v>5034.7708820963708</v>
      </c>
    </row>
    <row r="637" spans="1:33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31</v>
      </c>
      <c r="F637" s="4" t="s">
        <v>25</v>
      </c>
      <c r="G637" s="4" t="s">
        <v>25</v>
      </c>
      <c r="H637" s="4" t="s">
        <v>25</v>
      </c>
      <c r="I637" s="5">
        <v>44652</v>
      </c>
      <c r="J637" s="6">
        <v>0</v>
      </c>
      <c r="K637" s="6">
        <v>0</v>
      </c>
      <c r="L637" s="6">
        <v>10.692</v>
      </c>
      <c r="M637" s="6">
        <v>10.692</v>
      </c>
      <c r="N637" s="6">
        <v>10.692</v>
      </c>
      <c r="O637" s="6">
        <v>10.692</v>
      </c>
      <c r="P637" s="6">
        <v>161</v>
      </c>
      <c r="Q637" s="4" t="s">
        <v>26</v>
      </c>
      <c r="R637" s="4">
        <v>0</v>
      </c>
      <c r="S637" s="6">
        <v>0</v>
      </c>
      <c r="T637" s="6">
        <v>17</v>
      </c>
      <c r="U637" s="6">
        <v>72</v>
      </c>
      <c r="V637" s="6">
        <f>IF(ISERROR(VLOOKUP($S$637,'TAR FIN'!$A$1:$O$86,15,0)),0,VLOOKUP($S$637,'TAR FIN'!$A$1:$O$86,15,0))</f>
        <v>0</v>
      </c>
      <c r="W637" s="6">
        <f>IF(ISERROR(VLOOKUP($T$637,'TAR FIN'!$A$1:$O$86,15,0)),0,VLOOKUP($T$637,'TAR FIN'!$A$1:$O$86,15,0))</f>
        <v>248.98</v>
      </c>
      <c r="X637" s="6">
        <f>IF(ISERROR(VLOOKUP($U$637,'TAR FIN'!$A$1:$O$86,15,0)),0,VLOOKUP($U$637,'TAR FIN'!$A$1:$O$86,15,0))</f>
        <v>258.20999999999998</v>
      </c>
      <c r="Y637" s="6"/>
      <c r="Z637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7" s="6">
        <f>('TE BE'!$AB$15+'TE BF'!$AB$15+'TE CVA'!$AB$15)*(1-CUSTOS!$M$37)</f>
        <v>230.58259134858577</v>
      </c>
      <c r="AB637" s="6">
        <f>$K$637*$V$637</f>
        <v>0</v>
      </c>
      <c r="AC637" s="6">
        <f>$M$637*$W$637</f>
        <v>2662.0941600000001</v>
      </c>
      <c r="AD637" s="6">
        <f>$O$637*$X$637</f>
        <v>2760.7813200000001</v>
      </c>
      <c r="AE637" s="6">
        <f>$K$637*$Y$637</f>
        <v>0</v>
      </c>
      <c r="AF637" s="6">
        <f ca="1">$M$637*$Z$637</f>
        <v>2394.1122211793149</v>
      </c>
      <c r="AG637" s="6">
        <f>$O$637*$AA$637</f>
        <v>2465.3890666990792</v>
      </c>
    </row>
    <row r="638" spans="1:33" ht="11.25" customHeight="1" x14ac:dyDescent="0.25">
      <c r="A638" s="4" t="s">
        <v>21</v>
      </c>
      <c r="B638" s="4" t="s">
        <v>22</v>
      </c>
      <c r="C638" s="4" t="s">
        <v>23</v>
      </c>
      <c r="D638" s="4" t="s">
        <v>24</v>
      </c>
      <c r="E638" s="4" t="s">
        <v>31</v>
      </c>
      <c r="F638" s="4" t="s">
        <v>25</v>
      </c>
      <c r="G638" s="4" t="s">
        <v>25</v>
      </c>
      <c r="H638" s="4" t="s">
        <v>25</v>
      </c>
      <c r="I638" s="5">
        <v>44682</v>
      </c>
      <c r="J638" s="6">
        <v>0</v>
      </c>
      <c r="K638" s="6">
        <v>0</v>
      </c>
      <c r="L638" s="6">
        <v>12.063000000000001</v>
      </c>
      <c r="M638" s="6">
        <v>12.063000000000001</v>
      </c>
      <c r="N638" s="6">
        <v>12.063000000000001</v>
      </c>
      <c r="O638" s="6">
        <v>12.063000000000001</v>
      </c>
      <c r="P638" s="6">
        <v>158</v>
      </c>
      <c r="Q638" s="4" t="s">
        <v>26</v>
      </c>
      <c r="R638" s="4">
        <v>0</v>
      </c>
      <c r="S638" s="6">
        <v>0</v>
      </c>
      <c r="T638" s="6">
        <v>17</v>
      </c>
      <c r="U638" s="6">
        <v>72</v>
      </c>
      <c r="V638" s="6">
        <f>IF(ISERROR(VLOOKUP($S$638,'TAR FIN'!$A$1:$O$86,15,0)),0,VLOOKUP($S$638,'TAR FIN'!$A$1:$O$86,15,0))</f>
        <v>0</v>
      </c>
      <c r="W638" s="6">
        <f>IF(ISERROR(VLOOKUP($T$638,'TAR FIN'!$A$1:$O$86,15,0)),0,VLOOKUP($T$638,'TAR FIN'!$A$1:$O$86,15,0))</f>
        <v>248.98</v>
      </c>
      <c r="X638" s="6">
        <f>IF(ISERROR(VLOOKUP($U$638,'TAR FIN'!$A$1:$O$86,15,0)),0,VLOOKUP($U$638,'TAR FIN'!$A$1:$O$86,15,0))</f>
        <v>258.20999999999998</v>
      </c>
      <c r="Y638" s="6"/>
      <c r="Z638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8" s="6">
        <f>('TE BE'!$AB$15+'TE BF'!$AB$15+'TE CVA'!$AB$15)*(1-CUSTOS!$M$37)</f>
        <v>230.58259134858577</v>
      </c>
      <c r="AB638" s="6">
        <f>$K$638*$V$638</f>
        <v>0</v>
      </c>
      <c r="AC638" s="6">
        <f>$M$638*$W$638</f>
        <v>3003.4457400000001</v>
      </c>
      <c r="AD638" s="6">
        <f>$O$638*$X$638</f>
        <v>3114.7872299999999</v>
      </c>
      <c r="AE638" s="6">
        <f>$K$638*$Y$638</f>
        <v>0</v>
      </c>
      <c r="AF638" s="6">
        <f ca="1">$M$638*$Z$638</f>
        <v>2701.1013584068537</v>
      </c>
      <c r="AG638" s="6">
        <f>$O$638*$AA$638</f>
        <v>2781.5177994379901</v>
      </c>
    </row>
    <row r="639" spans="1:33" ht="11.25" customHeight="1" x14ac:dyDescent="0.25">
      <c r="A639" s="4" t="s">
        <v>56</v>
      </c>
      <c r="B639" s="4" t="s">
        <v>22</v>
      </c>
      <c r="C639" s="4" t="s">
        <v>23</v>
      </c>
      <c r="D639" s="4" t="s">
        <v>24</v>
      </c>
      <c r="E639" s="4" t="s">
        <v>31</v>
      </c>
      <c r="F639" s="4" t="s">
        <v>25</v>
      </c>
      <c r="G639" s="4" t="s">
        <v>25</v>
      </c>
      <c r="H639" s="4" t="s">
        <v>25</v>
      </c>
      <c r="I639" s="5">
        <v>44713</v>
      </c>
      <c r="J639" s="6">
        <v>0</v>
      </c>
      <c r="K639" s="6">
        <v>0</v>
      </c>
      <c r="L639" s="6">
        <v>12.063000000000001</v>
      </c>
      <c r="M639" s="6">
        <v>12.063000000000001</v>
      </c>
      <c r="N639" s="6">
        <v>12.063000000000001</v>
      </c>
      <c r="O639" s="6">
        <v>12.063000000000001</v>
      </c>
      <c r="P639" s="6">
        <v>158</v>
      </c>
      <c r="Q639" s="4" t="s">
        <v>26</v>
      </c>
      <c r="R639" s="4">
        <v>0</v>
      </c>
      <c r="S639" s="6">
        <v>0</v>
      </c>
      <c r="T639" s="6">
        <v>17</v>
      </c>
      <c r="U639" s="6">
        <v>72</v>
      </c>
      <c r="V639" s="6">
        <f>IF(ISERROR(VLOOKUP($S$639,'TAR FIN'!$A$1:$O$86,15,0)),0,VLOOKUP($S$639,'TAR FIN'!$A$1:$O$86,15,0))</f>
        <v>0</v>
      </c>
      <c r="W639" s="6">
        <f>IF(ISERROR(VLOOKUP($T$639,'TAR FIN'!$A$1:$O$86,15,0)),0,VLOOKUP($T$639,'TAR FIN'!$A$1:$O$86,15,0))</f>
        <v>248.98</v>
      </c>
      <c r="X639" s="6">
        <f>IF(ISERROR(VLOOKUP($U$639,'TAR FIN'!$A$1:$O$86,15,0)),0,VLOOKUP($U$639,'TAR FIN'!$A$1:$O$86,15,0))</f>
        <v>258.20999999999998</v>
      </c>
      <c r="Y639" s="6"/>
      <c r="Z639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639" s="6">
        <f>('TE BE'!$AB$15+'TE BF'!$AB$15+'TE CVA'!$AB$15)*(1-CUSTOS!$M$37)</f>
        <v>230.58259134858577</v>
      </c>
      <c r="AB639" s="6">
        <f>$K$639*$V$639</f>
        <v>0</v>
      </c>
      <c r="AC639" s="6">
        <f>$M$639*$W$639</f>
        <v>3003.4457400000001</v>
      </c>
      <c r="AD639" s="6">
        <f>$O$639*$X$639</f>
        <v>3114.7872299999999</v>
      </c>
      <c r="AE639" s="6">
        <f>$K$639*$Y$639</f>
        <v>0</v>
      </c>
      <c r="AF639" s="6">
        <f ca="1">$M$639*$Z$639</f>
        <v>2701.1013584068537</v>
      </c>
      <c r="AG639" s="6">
        <f>$O$639*$AA$639</f>
        <v>2781.5177994379901</v>
      </c>
    </row>
    <row r="640" spans="1:33" ht="11.25" customHeight="1" x14ac:dyDescent="0.25">
      <c r="A640" s="4" t="s">
        <v>21</v>
      </c>
      <c r="B640" s="4" t="s">
        <v>42</v>
      </c>
      <c r="C640" s="4" t="s">
        <v>23</v>
      </c>
      <c r="D640" s="4" t="s">
        <v>43</v>
      </c>
      <c r="E640" s="4" t="s">
        <v>51</v>
      </c>
      <c r="F640" s="4" t="s">
        <v>52</v>
      </c>
      <c r="G640" s="4" t="s">
        <v>25</v>
      </c>
      <c r="H640" s="4" t="s">
        <v>25</v>
      </c>
      <c r="I640" s="5">
        <v>44378</v>
      </c>
      <c r="J640" s="6">
        <v>0</v>
      </c>
      <c r="K640" s="6">
        <v>0</v>
      </c>
      <c r="L640" s="6">
        <v>9.3789999999999996</v>
      </c>
      <c r="M640" s="6">
        <v>9.3789999999999996</v>
      </c>
      <c r="N640" s="6">
        <v>9.3789999999999996</v>
      </c>
      <c r="O640" s="6">
        <v>9.3789999999999996</v>
      </c>
      <c r="P640" s="6">
        <v>0</v>
      </c>
      <c r="Q640" s="4" t="s">
        <v>26</v>
      </c>
      <c r="R640" s="4">
        <v>0</v>
      </c>
      <c r="S640" s="6">
        <v>0</v>
      </c>
      <c r="T640" s="6">
        <v>30</v>
      </c>
      <c r="U640" s="6">
        <v>70</v>
      </c>
      <c r="V640" s="6">
        <f>IF(ISERROR(VLOOKUP($S$640,'TAR FIN'!$A$1:$O$86,15,0)),0,VLOOKUP($S$640,'TAR FIN'!$A$1:$O$86,15,0))</f>
        <v>0</v>
      </c>
      <c r="W640" s="6">
        <f>IF(ISERROR(VLOOKUP($T$640,'TAR FIN'!$A$1:$O$86,15,0)),0,VLOOKUP($T$640,'TAR FIN'!$A$1:$O$86,15,0))</f>
        <v>285.56</v>
      </c>
      <c r="X640" s="6">
        <f>IF(ISERROR(VLOOKUP($U$640,'TAR FIN'!$A$1:$O$86,15,0)),0,VLOOKUP($U$640,'TAR FIN'!$A$1:$O$86,15,0))</f>
        <v>227.23</v>
      </c>
      <c r="Y640" s="6"/>
      <c r="Z640" s="6">
        <f ca="1">('TUSD BE'!$AM$34+'TUSD BF'!$AM$34+'TUSD CVA'!$AM$34)*(1-CUSTOS!$M$38)</f>
        <v>310.34682484351242</v>
      </c>
      <c r="AA640" s="6">
        <f>('TE BE'!$AB$24+'TE BF'!$AB$24+'TE CVA'!$AB$24)*(1-CUSTOS!$M$38)</f>
        <v>216.7476358676706</v>
      </c>
      <c r="AB640" s="6">
        <f>$K$640*$V$640</f>
        <v>0</v>
      </c>
      <c r="AC640" s="6">
        <f>$M$640*$W$640</f>
        <v>2678.2672399999997</v>
      </c>
      <c r="AD640" s="6">
        <f>$O$640*$X$640</f>
        <v>2131.1901699999999</v>
      </c>
      <c r="AE640" s="6">
        <f>$K$640*$Y$640</f>
        <v>0</v>
      </c>
      <c r="AF640" s="6">
        <f ca="1">$M$640*$Z$640</f>
        <v>2910.742870207303</v>
      </c>
      <c r="AG640" s="6">
        <f>$O$640*$AA$640</f>
        <v>2032.8760768028824</v>
      </c>
    </row>
    <row r="641" spans="1:33" ht="11.25" customHeight="1" x14ac:dyDescent="0.25">
      <c r="A641" s="4" t="s">
        <v>21</v>
      </c>
      <c r="B641" s="4" t="s">
        <v>42</v>
      </c>
      <c r="C641" s="4" t="s">
        <v>23</v>
      </c>
      <c r="D641" s="4" t="s">
        <v>43</v>
      </c>
      <c r="E641" s="4" t="s">
        <v>51</v>
      </c>
      <c r="F641" s="4" t="s">
        <v>52</v>
      </c>
      <c r="G641" s="4" t="s">
        <v>25</v>
      </c>
      <c r="H641" s="4" t="s">
        <v>25</v>
      </c>
      <c r="I641" s="5">
        <v>44409</v>
      </c>
      <c r="J641" s="6">
        <v>0</v>
      </c>
      <c r="K641" s="6">
        <v>0</v>
      </c>
      <c r="L641" s="6">
        <v>8.1590000000000007</v>
      </c>
      <c r="M641" s="6">
        <v>8.1590000000000007</v>
      </c>
      <c r="N641" s="6">
        <v>8.1590000000000007</v>
      </c>
      <c r="O641" s="6">
        <v>8.1590000000000007</v>
      </c>
      <c r="P641" s="6">
        <v>0</v>
      </c>
      <c r="Q641" s="4" t="s">
        <v>26</v>
      </c>
      <c r="R641" s="4">
        <v>0</v>
      </c>
      <c r="S641" s="6">
        <v>0</v>
      </c>
      <c r="T641" s="6">
        <v>30</v>
      </c>
      <c r="U641" s="6">
        <v>70</v>
      </c>
      <c r="V641" s="6">
        <f>IF(ISERROR(VLOOKUP($S$641,'TAR FIN'!$A$1:$O$86,15,0)),0,VLOOKUP($S$641,'TAR FIN'!$A$1:$O$86,15,0))</f>
        <v>0</v>
      </c>
      <c r="W641" s="6">
        <f>IF(ISERROR(VLOOKUP($T$641,'TAR FIN'!$A$1:$O$86,15,0)),0,VLOOKUP($T$641,'TAR FIN'!$A$1:$O$86,15,0))</f>
        <v>285.56</v>
      </c>
      <c r="X641" s="6">
        <f>IF(ISERROR(VLOOKUP($U$641,'TAR FIN'!$A$1:$O$86,15,0)),0,VLOOKUP($U$641,'TAR FIN'!$A$1:$O$86,15,0))</f>
        <v>227.23</v>
      </c>
      <c r="Y641" s="6"/>
      <c r="Z641" s="6">
        <f ca="1">('TUSD BE'!$AM$34+'TUSD BF'!$AM$34+'TUSD CVA'!$AM$34)*(1-CUSTOS!$M$38)</f>
        <v>310.34682484351242</v>
      </c>
      <c r="AA641" s="6">
        <f>('TE BE'!$AB$24+'TE BF'!$AB$24+'TE CVA'!$AB$24)*(1-CUSTOS!$M$38)</f>
        <v>216.7476358676706</v>
      </c>
      <c r="AB641" s="6">
        <f>$K$641*$V$641</f>
        <v>0</v>
      </c>
      <c r="AC641" s="6">
        <f>$M$641*$W$641</f>
        <v>2329.8840400000004</v>
      </c>
      <c r="AD641" s="6">
        <f>$O$641*$X$641</f>
        <v>1853.96957</v>
      </c>
      <c r="AE641" s="6">
        <f>$K$641*$Y$641</f>
        <v>0</v>
      </c>
      <c r="AF641" s="6">
        <f ca="1">$M$641*$Z$641</f>
        <v>2532.1197438982181</v>
      </c>
      <c r="AG641" s="6">
        <f>$O$641*$AA$641</f>
        <v>1768.4439610443246</v>
      </c>
    </row>
    <row r="642" spans="1:33" ht="11.25" customHeight="1" x14ac:dyDescent="0.25">
      <c r="A642" s="4" t="s">
        <v>55</v>
      </c>
      <c r="B642" s="4" t="s">
        <v>42</v>
      </c>
      <c r="C642" s="4" t="s">
        <v>23</v>
      </c>
      <c r="D642" s="4" t="s">
        <v>43</v>
      </c>
      <c r="E642" s="4" t="s">
        <v>51</v>
      </c>
      <c r="F642" s="4" t="s">
        <v>52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6.8000000000000005E-2</v>
      </c>
      <c r="M642" s="6">
        <v>6.8000000000000005E-2</v>
      </c>
      <c r="N642" s="6">
        <v>6.8000000000000005E-2</v>
      </c>
      <c r="O642" s="6">
        <v>6.8000000000000005E-2</v>
      </c>
      <c r="P642" s="6">
        <v>0</v>
      </c>
      <c r="Q642" s="4" t="s">
        <v>26</v>
      </c>
      <c r="R642" s="4">
        <v>0</v>
      </c>
      <c r="S642" s="6">
        <v>0</v>
      </c>
      <c r="T642" s="6">
        <v>30</v>
      </c>
      <c r="U642" s="6">
        <v>70</v>
      </c>
      <c r="V642" s="6">
        <f>IF(ISERROR(VLOOKUP($S$642,'TAR FIN'!$A$1:$O$86,15,0)),0,VLOOKUP($S$642,'TAR FIN'!$A$1:$O$86,15,0))</f>
        <v>0</v>
      </c>
      <c r="W642" s="6">
        <f>IF(ISERROR(VLOOKUP($T$642,'TAR FIN'!$A$1:$O$86,15,0)),0,VLOOKUP($T$642,'TAR FIN'!$A$1:$O$86,15,0))</f>
        <v>285.56</v>
      </c>
      <c r="X642" s="6">
        <f>IF(ISERROR(VLOOKUP($U$642,'TAR FIN'!$A$1:$O$86,15,0)),0,VLOOKUP($U$642,'TAR FIN'!$A$1:$O$86,15,0))</f>
        <v>227.23</v>
      </c>
      <c r="Y642" s="6"/>
      <c r="Z642" s="6">
        <f ca="1">('TUSD BE'!$AM$34+'TUSD BF'!$AM$34+'TUSD CVA'!$AM$34)*(1-CUSTOS!$M$38)</f>
        <v>310.34682484351242</v>
      </c>
      <c r="AA642" s="6">
        <f>('TE BE'!$AB$24+'TE BF'!$AB$24+'TE CVA'!$AB$24)*(1-CUSTOS!$M$38)</f>
        <v>216.7476358676706</v>
      </c>
      <c r="AB642" s="6">
        <f>$K$642*$V$642</f>
        <v>0</v>
      </c>
      <c r="AC642" s="6">
        <f>$M$642*$W$642</f>
        <v>19.41808</v>
      </c>
      <c r="AD642" s="6">
        <f>$O$642*$X$642</f>
        <v>15.451640000000001</v>
      </c>
      <c r="AE642" s="6">
        <f>$K$642*$Y$642</f>
        <v>0</v>
      </c>
      <c r="AF642" s="6">
        <f ca="1">$M$642*$Z$642</f>
        <v>21.103584089358847</v>
      </c>
      <c r="AG642" s="6">
        <f>$O$642*$AA$642</f>
        <v>14.738839239001601</v>
      </c>
    </row>
    <row r="643" spans="1:33" ht="11.25" customHeight="1" x14ac:dyDescent="0.25">
      <c r="A643" s="4" t="s">
        <v>21</v>
      </c>
      <c r="B643" s="4" t="s">
        <v>42</v>
      </c>
      <c r="C643" s="4" t="s">
        <v>23</v>
      </c>
      <c r="D643" s="4" t="s">
        <v>43</v>
      </c>
      <c r="E643" s="4" t="s">
        <v>51</v>
      </c>
      <c r="F643" s="4" t="s">
        <v>52</v>
      </c>
      <c r="G643" s="4" t="s">
        <v>25</v>
      </c>
      <c r="H643" s="4" t="s">
        <v>25</v>
      </c>
      <c r="I643" s="5">
        <v>44440</v>
      </c>
      <c r="J643" s="6">
        <v>0</v>
      </c>
      <c r="K643" s="6">
        <v>0</v>
      </c>
      <c r="L643" s="6">
        <v>9.0139999999999993</v>
      </c>
      <c r="M643" s="6">
        <v>9.0139999999999993</v>
      </c>
      <c r="N643" s="6">
        <v>9.0139999999999993</v>
      </c>
      <c r="O643" s="6">
        <v>9.0139999999999993</v>
      </c>
      <c r="P643" s="6">
        <v>0</v>
      </c>
      <c r="Q643" s="4" t="s">
        <v>26</v>
      </c>
      <c r="R643" s="4">
        <v>0</v>
      </c>
      <c r="S643" s="6">
        <v>0</v>
      </c>
      <c r="T643" s="6">
        <v>30</v>
      </c>
      <c r="U643" s="6">
        <v>70</v>
      </c>
      <c r="V643" s="6">
        <f>IF(ISERROR(VLOOKUP($S$643,'TAR FIN'!$A$1:$O$86,15,0)),0,VLOOKUP($S$643,'TAR FIN'!$A$1:$O$86,15,0))</f>
        <v>0</v>
      </c>
      <c r="W643" s="6">
        <f>IF(ISERROR(VLOOKUP($T$643,'TAR FIN'!$A$1:$O$86,15,0)),0,VLOOKUP($T$643,'TAR FIN'!$A$1:$O$86,15,0))</f>
        <v>285.56</v>
      </c>
      <c r="X643" s="6">
        <f>IF(ISERROR(VLOOKUP($U$643,'TAR FIN'!$A$1:$O$86,15,0)),0,VLOOKUP($U$643,'TAR FIN'!$A$1:$O$86,15,0))</f>
        <v>227.23</v>
      </c>
      <c r="Y643" s="6"/>
      <c r="Z643" s="6">
        <f ca="1">('TUSD BE'!$AM$34+'TUSD BF'!$AM$34+'TUSD CVA'!$AM$34)*(1-CUSTOS!$M$38)</f>
        <v>310.34682484351242</v>
      </c>
      <c r="AA643" s="6">
        <f>('TE BE'!$AB$24+'TE BF'!$AB$24+'TE CVA'!$AB$24)*(1-CUSTOS!$M$38)</f>
        <v>216.7476358676706</v>
      </c>
      <c r="AB643" s="6">
        <f>$K$643*$V$643</f>
        <v>0</v>
      </c>
      <c r="AC643" s="6">
        <f>$M$643*$W$643</f>
        <v>2574.03784</v>
      </c>
      <c r="AD643" s="6">
        <f>$O$643*$X$643</f>
        <v>2048.2512199999996</v>
      </c>
      <c r="AE643" s="6">
        <f>$K$643*$Y$643</f>
        <v>0</v>
      </c>
      <c r="AF643" s="6">
        <f ca="1">$M$643*$Z$643</f>
        <v>2797.4662791394207</v>
      </c>
      <c r="AG643" s="6">
        <f>$O$643*$AA$643</f>
        <v>1953.7631897111826</v>
      </c>
    </row>
    <row r="644" spans="1:33" ht="11.25" customHeight="1" x14ac:dyDescent="0.25">
      <c r="A644" s="4" t="s">
        <v>55</v>
      </c>
      <c r="B644" s="4" t="s">
        <v>42</v>
      </c>
      <c r="C644" s="4" t="s">
        <v>23</v>
      </c>
      <c r="D644" s="4" t="s">
        <v>43</v>
      </c>
      <c r="E644" s="4" t="s">
        <v>51</v>
      </c>
      <c r="F644" s="4" t="s">
        <v>52</v>
      </c>
      <c r="G644" s="4" t="s">
        <v>25</v>
      </c>
      <c r="H644" s="4" t="s">
        <v>25</v>
      </c>
      <c r="I644" s="5">
        <v>44440</v>
      </c>
      <c r="J644" s="6">
        <v>0</v>
      </c>
      <c r="K644" s="6">
        <v>0</v>
      </c>
      <c r="L644" s="6">
        <v>0.1</v>
      </c>
      <c r="M644" s="6">
        <v>0.1</v>
      </c>
      <c r="N644" s="6">
        <v>0.1</v>
      </c>
      <c r="O644" s="6">
        <v>0.1</v>
      </c>
      <c r="P644" s="6">
        <v>0</v>
      </c>
      <c r="Q644" s="4" t="s">
        <v>26</v>
      </c>
      <c r="R644" s="4">
        <v>0</v>
      </c>
      <c r="S644" s="6">
        <v>0</v>
      </c>
      <c r="T644" s="6">
        <v>30</v>
      </c>
      <c r="U644" s="6">
        <v>70</v>
      </c>
      <c r="V644" s="6">
        <f>IF(ISERROR(VLOOKUP($S$644,'TAR FIN'!$A$1:$O$86,15,0)),0,VLOOKUP($S$644,'TAR FIN'!$A$1:$O$86,15,0))</f>
        <v>0</v>
      </c>
      <c r="W644" s="6">
        <f>IF(ISERROR(VLOOKUP($T$644,'TAR FIN'!$A$1:$O$86,15,0)),0,VLOOKUP($T$644,'TAR FIN'!$A$1:$O$86,15,0))</f>
        <v>285.56</v>
      </c>
      <c r="X644" s="6">
        <f>IF(ISERROR(VLOOKUP($U$644,'TAR FIN'!$A$1:$O$86,15,0)),0,VLOOKUP($U$644,'TAR FIN'!$A$1:$O$86,15,0))</f>
        <v>227.23</v>
      </c>
      <c r="Y644" s="6"/>
      <c r="Z644" s="6">
        <f ca="1">('TUSD BE'!$AM$34+'TUSD BF'!$AM$34+'TUSD CVA'!$AM$34)*(1-CUSTOS!$M$38)</f>
        <v>310.34682484351242</v>
      </c>
      <c r="AA644" s="6">
        <f>('TE BE'!$AB$24+'TE BF'!$AB$24+'TE CVA'!$AB$24)*(1-CUSTOS!$M$38)</f>
        <v>216.7476358676706</v>
      </c>
      <c r="AB644" s="6">
        <f>$K$644*$V$644</f>
        <v>0</v>
      </c>
      <c r="AC644" s="6">
        <f>$M$644*$W$644</f>
        <v>28.556000000000001</v>
      </c>
      <c r="AD644" s="6">
        <f>$O$644*$X$644</f>
        <v>22.722999999999999</v>
      </c>
      <c r="AE644" s="6">
        <f>$K$644*$Y$644</f>
        <v>0</v>
      </c>
      <c r="AF644" s="6">
        <f ca="1">$M$644*$Z$644</f>
        <v>31.034682484351244</v>
      </c>
      <c r="AG644" s="6">
        <f>$O$644*$AA$644</f>
        <v>21.67476358676706</v>
      </c>
    </row>
    <row r="645" spans="1:33" ht="11.25" customHeight="1" x14ac:dyDescent="0.25">
      <c r="A645" s="4" t="s">
        <v>21</v>
      </c>
      <c r="B645" s="4" t="s">
        <v>42</v>
      </c>
      <c r="C645" s="4" t="s">
        <v>23</v>
      </c>
      <c r="D645" s="4" t="s">
        <v>43</v>
      </c>
      <c r="E645" s="4" t="s">
        <v>51</v>
      </c>
      <c r="F645" s="4" t="s">
        <v>52</v>
      </c>
      <c r="G645" s="4" t="s">
        <v>25</v>
      </c>
      <c r="H645" s="4" t="s">
        <v>25</v>
      </c>
      <c r="I645" s="5">
        <v>44470</v>
      </c>
      <c r="J645" s="6">
        <v>0</v>
      </c>
      <c r="K645" s="6">
        <v>0</v>
      </c>
      <c r="L645" s="6">
        <v>9.7840000000000007</v>
      </c>
      <c r="M645" s="6">
        <v>9.7840000000000007</v>
      </c>
      <c r="N645" s="6">
        <v>9.7840000000000007</v>
      </c>
      <c r="O645" s="6">
        <v>9.7840000000000007</v>
      </c>
      <c r="P645" s="6">
        <v>0</v>
      </c>
      <c r="Q645" s="4" t="s">
        <v>26</v>
      </c>
      <c r="R645" s="4">
        <v>0</v>
      </c>
      <c r="S645" s="6">
        <v>0</v>
      </c>
      <c r="T645" s="6">
        <v>30</v>
      </c>
      <c r="U645" s="6">
        <v>70</v>
      </c>
      <c r="V645" s="6">
        <f>IF(ISERROR(VLOOKUP($S$645,'TAR FIN'!$A$1:$O$86,15,0)),0,VLOOKUP($S$645,'TAR FIN'!$A$1:$O$86,15,0))</f>
        <v>0</v>
      </c>
      <c r="W645" s="6">
        <f>IF(ISERROR(VLOOKUP($T$645,'TAR FIN'!$A$1:$O$86,15,0)),0,VLOOKUP($T$645,'TAR FIN'!$A$1:$O$86,15,0))</f>
        <v>285.56</v>
      </c>
      <c r="X645" s="6">
        <f>IF(ISERROR(VLOOKUP($U$645,'TAR FIN'!$A$1:$O$86,15,0)),0,VLOOKUP($U$645,'TAR FIN'!$A$1:$O$86,15,0))</f>
        <v>227.23</v>
      </c>
      <c r="Y645" s="6"/>
      <c r="Z645" s="6">
        <f ca="1">('TUSD BE'!$AM$34+'TUSD BF'!$AM$34+'TUSD CVA'!$AM$34)*(1-CUSTOS!$M$38)</f>
        <v>310.34682484351242</v>
      </c>
      <c r="AA645" s="6">
        <f>('TE BE'!$AB$24+'TE BF'!$AB$24+'TE CVA'!$AB$24)*(1-CUSTOS!$M$38)</f>
        <v>216.7476358676706</v>
      </c>
      <c r="AB645" s="6">
        <f>$K$645*$V$645</f>
        <v>0</v>
      </c>
      <c r="AC645" s="6">
        <f>$M$645*$W$645</f>
        <v>2793.9190400000002</v>
      </c>
      <c r="AD645" s="6">
        <f>$O$645*$X$645</f>
        <v>2223.2183199999999</v>
      </c>
      <c r="AE645" s="6">
        <f>$K$645*$Y$645</f>
        <v>0</v>
      </c>
      <c r="AF645" s="6">
        <f ca="1">$M$645*$Z$645</f>
        <v>3036.4333342689256</v>
      </c>
      <c r="AG645" s="6">
        <f>$O$645*$AA$645</f>
        <v>2120.6588693292892</v>
      </c>
    </row>
    <row r="646" spans="1:33" ht="11.25" customHeight="1" x14ac:dyDescent="0.25">
      <c r="A646" s="4" t="s">
        <v>55</v>
      </c>
      <c r="B646" s="4" t="s">
        <v>42</v>
      </c>
      <c r="C646" s="4" t="s">
        <v>23</v>
      </c>
      <c r="D646" s="4" t="s">
        <v>43</v>
      </c>
      <c r="E646" s="4" t="s">
        <v>51</v>
      </c>
      <c r="F646" s="4" t="s">
        <v>52</v>
      </c>
      <c r="G646" s="4" t="s">
        <v>25</v>
      </c>
      <c r="H646" s="4" t="s">
        <v>25</v>
      </c>
      <c r="I646" s="5">
        <v>44470</v>
      </c>
      <c r="J646" s="6">
        <v>0</v>
      </c>
      <c r="K646" s="6">
        <v>0</v>
      </c>
      <c r="L646" s="6">
        <v>0.15</v>
      </c>
      <c r="M646" s="6">
        <v>0.15</v>
      </c>
      <c r="N646" s="6">
        <v>0.15</v>
      </c>
      <c r="O646" s="6">
        <v>0.15</v>
      </c>
      <c r="P646" s="6">
        <v>0</v>
      </c>
      <c r="Q646" s="4" t="s">
        <v>26</v>
      </c>
      <c r="R646" s="4">
        <v>0</v>
      </c>
      <c r="S646" s="6">
        <v>0</v>
      </c>
      <c r="T646" s="6">
        <v>30</v>
      </c>
      <c r="U646" s="6">
        <v>70</v>
      </c>
      <c r="V646" s="6">
        <f>IF(ISERROR(VLOOKUP($S$646,'TAR FIN'!$A$1:$O$86,15,0)),0,VLOOKUP($S$646,'TAR FIN'!$A$1:$O$86,15,0))</f>
        <v>0</v>
      </c>
      <c r="W646" s="6">
        <f>IF(ISERROR(VLOOKUP($T$646,'TAR FIN'!$A$1:$O$86,15,0)),0,VLOOKUP($T$646,'TAR FIN'!$A$1:$O$86,15,0))</f>
        <v>285.56</v>
      </c>
      <c r="X646" s="6">
        <f>IF(ISERROR(VLOOKUP($U$646,'TAR FIN'!$A$1:$O$86,15,0)),0,VLOOKUP($U$646,'TAR FIN'!$A$1:$O$86,15,0))</f>
        <v>227.23</v>
      </c>
      <c r="Y646" s="6"/>
      <c r="Z646" s="6">
        <f ca="1">('TUSD BE'!$AM$34+'TUSD BF'!$AM$34+'TUSD CVA'!$AM$34)*(1-CUSTOS!$M$38)</f>
        <v>310.34682484351242</v>
      </c>
      <c r="AA646" s="6">
        <f>('TE BE'!$AB$24+'TE BF'!$AB$24+'TE CVA'!$AB$24)*(1-CUSTOS!$M$38)</f>
        <v>216.7476358676706</v>
      </c>
      <c r="AB646" s="6">
        <f>$K$646*$V$646</f>
        <v>0</v>
      </c>
      <c r="AC646" s="6">
        <f>$M$646*$W$646</f>
        <v>42.833999999999996</v>
      </c>
      <c r="AD646" s="6">
        <f>$O$646*$X$646</f>
        <v>34.084499999999998</v>
      </c>
      <c r="AE646" s="6">
        <f>$K$646*$Y$646</f>
        <v>0</v>
      </c>
      <c r="AF646" s="6">
        <f ca="1">$M$646*$Z$646</f>
        <v>46.552023726526862</v>
      </c>
      <c r="AG646" s="6">
        <f>$O$646*$AA$646</f>
        <v>32.512145380150585</v>
      </c>
    </row>
    <row r="647" spans="1:33" ht="11.25" customHeight="1" x14ac:dyDescent="0.25">
      <c r="A647" s="4" t="s">
        <v>21</v>
      </c>
      <c r="B647" s="4" t="s">
        <v>42</v>
      </c>
      <c r="C647" s="4" t="s">
        <v>23</v>
      </c>
      <c r="D647" s="4" t="s">
        <v>43</v>
      </c>
      <c r="E647" s="4" t="s">
        <v>51</v>
      </c>
      <c r="F647" s="4" t="s">
        <v>52</v>
      </c>
      <c r="G647" s="4" t="s">
        <v>25</v>
      </c>
      <c r="H647" s="4" t="s">
        <v>25</v>
      </c>
      <c r="I647" s="5">
        <v>44501</v>
      </c>
      <c r="J647" s="6">
        <v>0</v>
      </c>
      <c r="K647" s="6">
        <v>0</v>
      </c>
      <c r="L647" s="6">
        <v>10.707000000000001</v>
      </c>
      <c r="M647" s="6">
        <v>10.707000000000001</v>
      </c>
      <c r="N647" s="6">
        <v>10.707000000000001</v>
      </c>
      <c r="O647" s="6">
        <v>10.707000000000001</v>
      </c>
      <c r="P647" s="6">
        <v>0</v>
      </c>
      <c r="Q647" s="4" t="s">
        <v>26</v>
      </c>
      <c r="R647" s="4">
        <v>0</v>
      </c>
      <c r="S647" s="6">
        <v>0</v>
      </c>
      <c r="T647" s="6">
        <v>30</v>
      </c>
      <c r="U647" s="6">
        <v>70</v>
      </c>
      <c r="V647" s="6">
        <f>IF(ISERROR(VLOOKUP($S$647,'TAR FIN'!$A$1:$O$86,15,0)),0,VLOOKUP($S$647,'TAR FIN'!$A$1:$O$86,15,0))</f>
        <v>0</v>
      </c>
      <c r="W647" s="6">
        <f>IF(ISERROR(VLOOKUP($T$647,'TAR FIN'!$A$1:$O$86,15,0)),0,VLOOKUP($T$647,'TAR FIN'!$A$1:$O$86,15,0))</f>
        <v>285.56</v>
      </c>
      <c r="X647" s="6">
        <f>IF(ISERROR(VLOOKUP($U$647,'TAR FIN'!$A$1:$O$86,15,0)),0,VLOOKUP($U$647,'TAR FIN'!$A$1:$O$86,15,0))</f>
        <v>227.23</v>
      </c>
      <c r="Y647" s="6"/>
      <c r="Z647" s="6">
        <f ca="1">('TUSD BE'!$AM$34+'TUSD BF'!$AM$34+'TUSD CVA'!$AM$34)*(1-CUSTOS!$M$38)</f>
        <v>310.34682484351242</v>
      </c>
      <c r="AA647" s="6">
        <f>('TE BE'!$AB$24+'TE BF'!$AB$24+'TE CVA'!$AB$24)*(1-CUSTOS!$M$38)</f>
        <v>216.7476358676706</v>
      </c>
      <c r="AB647" s="6">
        <f>$K$647*$V$647</f>
        <v>0</v>
      </c>
      <c r="AC647" s="6">
        <f>$M$647*$W$647</f>
        <v>3057.4909200000002</v>
      </c>
      <c r="AD647" s="6">
        <f>$O$647*$X$647</f>
        <v>2432.9516100000001</v>
      </c>
      <c r="AE647" s="6">
        <f>$K$647*$Y$647</f>
        <v>0</v>
      </c>
      <c r="AF647" s="6">
        <f ca="1">$M$647*$Z$647</f>
        <v>3322.8834535994879</v>
      </c>
      <c r="AG647" s="6">
        <f>$O$647*$AA$647</f>
        <v>2320.7169372351491</v>
      </c>
    </row>
    <row r="648" spans="1:33" ht="11.25" customHeight="1" x14ac:dyDescent="0.25">
      <c r="A648" s="4" t="s">
        <v>55</v>
      </c>
      <c r="B648" s="4" t="s">
        <v>42</v>
      </c>
      <c r="C648" s="4" t="s">
        <v>23</v>
      </c>
      <c r="D648" s="4" t="s">
        <v>43</v>
      </c>
      <c r="E648" s="4" t="s">
        <v>51</v>
      </c>
      <c r="F648" s="4" t="s">
        <v>52</v>
      </c>
      <c r="G648" s="4" t="s">
        <v>25</v>
      </c>
      <c r="H648" s="4" t="s">
        <v>25</v>
      </c>
      <c r="I648" s="5">
        <v>44501</v>
      </c>
      <c r="J648" s="6">
        <v>0</v>
      </c>
      <c r="K648" s="6">
        <v>0</v>
      </c>
      <c r="L648" s="6">
        <v>0.15</v>
      </c>
      <c r="M648" s="6">
        <v>0.15</v>
      </c>
      <c r="N648" s="6">
        <v>0.15</v>
      </c>
      <c r="O648" s="6">
        <v>0.15</v>
      </c>
      <c r="P648" s="6">
        <v>0</v>
      </c>
      <c r="Q648" s="4" t="s">
        <v>26</v>
      </c>
      <c r="R648" s="4">
        <v>0</v>
      </c>
      <c r="S648" s="6">
        <v>0</v>
      </c>
      <c r="T648" s="6">
        <v>30</v>
      </c>
      <c r="U648" s="6">
        <v>70</v>
      </c>
      <c r="V648" s="6">
        <f>IF(ISERROR(VLOOKUP($S$648,'TAR FIN'!$A$1:$O$86,15,0)),0,VLOOKUP($S$648,'TAR FIN'!$A$1:$O$86,15,0))</f>
        <v>0</v>
      </c>
      <c r="W648" s="6">
        <f>IF(ISERROR(VLOOKUP($T$648,'TAR FIN'!$A$1:$O$86,15,0)),0,VLOOKUP($T$648,'TAR FIN'!$A$1:$O$86,15,0))</f>
        <v>285.56</v>
      </c>
      <c r="X648" s="6">
        <f>IF(ISERROR(VLOOKUP($U$648,'TAR FIN'!$A$1:$O$86,15,0)),0,VLOOKUP($U$648,'TAR FIN'!$A$1:$O$86,15,0))</f>
        <v>227.23</v>
      </c>
      <c r="Y648" s="6"/>
      <c r="Z648" s="6">
        <f ca="1">('TUSD BE'!$AM$34+'TUSD BF'!$AM$34+'TUSD CVA'!$AM$34)*(1-CUSTOS!$M$38)</f>
        <v>310.34682484351242</v>
      </c>
      <c r="AA648" s="6">
        <f>('TE BE'!$AB$24+'TE BF'!$AB$24+'TE CVA'!$AB$24)*(1-CUSTOS!$M$38)</f>
        <v>216.7476358676706</v>
      </c>
      <c r="AB648" s="6">
        <f>$K$648*$V$648</f>
        <v>0</v>
      </c>
      <c r="AC648" s="6">
        <f>$M$648*$W$648</f>
        <v>42.833999999999996</v>
      </c>
      <c r="AD648" s="6">
        <f>$O$648*$X$648</f>
        <v>34.084499999999998</v>
      </c>
      <c r="AE648" s="6">
        <f>$K$648*$Y$648</f>
        <v>0</v>
      </c>
      <c r="AF648" s="6">
        <f ca="1">$M$648*$Z$648</f>
        <v>46.552023726526862</v>
      </c>
      <c r="AG648" s="6">
        <f>$O$648*$AA$648</f>
        <v>32.512145380150585</v>
      </c>
    </row>
    <row r="649" spans="1:33" ht="11.25" customHeight="1" x14ac:dyDescent="0.25">
      <c r="A649" s="4" t="s">
        <v>21</v>
      </c>
      <c r="B649" s="4" t="s">
        <v>42</v>
      </c>
      <c r="C649" s="4" t="s">
        <v>23</v>
      </c>
      <c r="D649" s="4" t="s">
        <v>43</v>
      </c>
      <c r="E649" s="4" t="s">
        <v>51</v>
      </c>
      <c r="F649" s="4" t="s">
        <v>52</v>
      </c>
      <c r="G649" s="4" t="s">
        <v>25</v>
      </c>
      <c r="H649" s="4" t="s">
        <v>25</v>
      </c>
      <c r="I649" s="5">
        <v>44531</v>
      </c>
      <c r="J649" s="6">
        <v>0</v>
      </c>
      <c r="K649" s="6">
        <v>0</v>
      </c>
      <c r="L649" s="6">
        <v>35.530999999999999</v>
      </c>
      <c r="M649" s="6">
        <v>35.530999999999999</v>
      </c>
      <c r="N649" s="6">
        <v>35.530999999999999</v>
      </c>
      <c r="O649" s="6">
        <v>35.530999999999999</v>
      </c>
      <c r="P649" s="6">
        <v>0</v>
      </c>
      <c r="Q649" s="4" t="s">
        <v>26</v>
      </c>
      <c r="R649" s="4">
        <v>0</v>
      </c>
      <c r="S649" s="6">
        <v>0</v>
      </c>
      <c r="T649" s="6">
        <v>30</v>
      </c>
      <c r="U649" s="6">
        <v>70</v>
      </c>
      <c r="V649" s="6">
        <f>IF(ISERROR(VLOOKUP($S$649,'TAR FIN'!$A$1:$O$86,15,0)),0,VLOOKUP($S$649,'TAR FIN'!$A$1:$O$86,15,0))</f>
        <v>0</v>
      </c>
      <c r="W649" s="6">
        <f>IF(ISERROR(VLOOKUP($T$649,'TAR FIN'!$A$1:$O$86,15,0)),0,VLOOKUP($T$649,'TAR FIN'!$A$1:$O$86,15,0))</f>
        <v>285.56</v>
      </c>
      <c r="X649" s="6">
        <f>IF(ISERROR(VLOOKUP($U$649,'TAR FIN'!$A$1:$O$86,15,0)),0,VLOOKUP($U$649,'TAR FIN'!$A$1:$O$86,15,0))</f>
        <v>227.23</v>
      </c>
      <c r="Y649" s="6"/>
      <c r="Z649" s="6">
        <f ca="1">('TUSD BE'!$AM$34+'TUSD BF'!$AM$34+'TUSD CVA'!$AM$34)*(1-CUSTOS!$M$38)</f>
        <v>310.34682484351242</v>
      </c>
      <c r="AA649" s="6">
        <f>('TE BE'!$AB$24+'TE BF'!$AB$24+'TE CVA'!$AB$24)*(1-CUSTOS!$M$38)</f>
        <v>216.7476358676706</v>
      </c>
      <c r="AB649" s="6">
        <f>$K$649*$V$649</f>
        <v>0</v>
      </c>
      <c r="AC649" s="6">
        <f>$M$649*$W$649</f>
        <v>10146.23236</v>
      </c>
      <c r="AD649" s="6">
        <f>$O$649*$X$649</f>
        <v>8073.7091299999993</v>
      </c>
      <c r="AE649" s="6">
        <f>$K$649*$Y$649</f>
        <v>0</v>
      </c>
      <c r="AF649" s="6">
        <f ca="1">$M$649*$Z$649</f>
        <v>11026.933033514839</v>
      </c>
      <c r="AG649" s="6">
        <f>$O$649*$AA$649</f>
        <v>7701.2602500142038</v>
      </c>
    </row>
    <row r="650" spans="1:33" ht="11.25" customHeight="1" x14ac:dyDescent="0.25">
      <c r="A650" s="4" t="s">
        <v>55</v>
      </c>
      <c r="B650" s="4" t="s">
        <v>42</v>
      </c>
      <c r="C650" s="4" t="s">
        <v>23</v>
      </c>
      <c r="D650" s="4" t="s">
        <v>43</v>
      </c>
      <c r="E650" s="4" t="s">
        <v>51</v>
      </c>
      <c r="F650" s="4" t="s">
        <v>52</v>
      </c>
      <c r="G650" s="4" t="s">
        <v>25</v>
      </c>
      <c r="H650" s="4" t="s">
        <v>25</v>
      </c>
      <c r="I650" s="5">
        <v>44531</v>
      </c>
      <c r="J650" s="6">
        <v>0</v>
      </c>
      <c r="K650" s="6">
        <v>0</v>
      </c>
      <c r="L650" s="6">
        <v>0.1</v>
      </c>
      <c r="M650" s="6">
        <v>0.1</v>
      </c>
      <c r="N650" s="6">
        <v>0.1</v>
      </c>
      <c r="O650" s="6">
        <v>0.1</v>
      </c>
      <c r="P650" s="6">
        <v>0</v>
      </c>
      <c r="Q650" s="4" t="s">
        <v>26</v>
      </c>
      <c r="R650" s="4">
        <v>0</v>
      </c>
      <c r="S650" s="6">
        <v>0</v>
      </c>
      <c r="T650" s="6">
        <v>30</v>
      </c>
      <c r="U650" s="6">
        <v>70</v>
      </c>
      <c r="V650" s="6">
        <f>IF(ISERROR(VLOOKUP($S$650,'TAR FIN'!$A$1:$O$86,15,0)),0,VLOOKUP($S$650,'TAR FIN'!$A$1:$O$86,15,0))</f>
        <v>0</v>
      </c>
      <c r="W650" s="6">
        <f>IF(ISERROR(VLOOKUP($T$650,'TAR FIN'!$A$1:$O$86,15,0)),0,VLOOKUP($T$650,'TAR FIN'!$A$1:$O$86,15,0))</f>
        <v>285.56</v>
      </c>
      <c r="X650" s="6">
        <f>IF(ISERROR(VLOOKUP($U$650,'TAR FIN'!$A$1:$O$86,15,0)),0,VLOOKUP($U$650,'TAR FIN'!$A$1:$O$86,15,0))</f>
        <v>227.23</v>
      </c>
      <c r="Y650" s="6"/>
      <c r="Z650" s="6">
        <f ca="1">('TUSD BE'!$AM$34+'TUSD BF'!$AM$34+'TUSD CVA'!$AM$34)*(1-CUSTOS!$M$38)</f>
        <v>310.34682484351242</v>
      </c>
      <c r="AA650" s="6">
        <f>('TE BE'!$AB$24+'TE BF'!$AB$24+'TE CVA'!$AB$24)*(1-CUSTOS!$M$38)</f>
        <v>216.7476358676706</v>
      </c>
      <c r="AB650" s="6">
        <f>$K$650*$V$650</f>
        <v>0</v>
      </c>
      <c r="AC650" s="6">
        <f>$M$650*$W$650</f>
        <v>28.556000000000001</v>
      </c>
      <c r="AD650" s="6">
        <f>$O$650*$X$650</f>
        <v>22.722999999999999</v>
      </c>
      <c r="AE650" s="6">
        <f>$K$650*$Y$650</f>
        <v>0</v>
      </c>
      <c r="AF650" s="6">
        <f ca="1">$M$650*$Z$650</f>
        <v>31.034682484351244</v>
      </c>
      <c r="AG650" s="6">
        <f>$O$650*$AA$650</f>
        <v>21.67476358676706</v>
      </c>
    </row>
    <row r="651" spans="1:33" ht="11.25" customHeight="1" x14ac:dyDescent="0.25">
      <c r="A651" s="4" t="s">
        <v>21</v>
      </c>
      <c r="B651" s="4" t="s">
        <v>42</v>
      </c>
      <c r="C651" s="4" t="s">
        <v>23</v>
      </c>
      <c r="D651" s="4" t="s">
        <v>43</v>
      </c>
      <c r="E651" s="4" t="s">
        <v>51</v>
      </c>
      <c r="F651" s="4" t="s">
        <v>52</v>
      </c>
      <c r="G651" s="4" t="s">
        <v>25</v>
      </c>
      <c r="H651" s="4" t="s">
        <v>25</v>
      </c>
      <c r="I651" s="5">
        <v>44562</v>
      </c>
      <c r="J651" s="6">
        <v>0</v>
      </c>
      <c r="K651" s="6">
        <v>0</v>
      </c>
      <c r="L651" s="6">
        <v>67.302999999999997</v>
      </c>
      <c r="M651" s="6">
        <v>67.302999999999997</v>
      </c>
      <c r="N651" s="6">
        <v>67.302999999999997</v>
      </c>
      <c r="O651" s="6">
        <v>67.302999999999997</v>
      </c>
      <c r="P651" s="6">
        <v>0</v>
      </c>
      <c r="Q651" s="4" t="s">
        <v>26</v>
      </c>
      <c r="R651" s="4">
        <v>0</v>
      </c>
      <c r="S651" s="6">
        <v>0</v>
      </c>
      <c r="T651" s="6">
        <v>30</v>
      </c>
      <c r="U651" s="6">
        <v>70</v>
      </c>
      <c r="V651" s="6">
        <f>IF(ISERROR(VLOOKUP($S$651,'TAR FIN'!$A$1:$O$86,15,0)),0,VLOOKUP($S$651,'TAR FIN'!$A$1:$O$86,15,0))</f>
        <v>0</v>
      </c>
      <c r="W651" s="6">
        <f>IF(ISERROR(VLOOKUP($T$651,'TAR FIN'!$A$1:$O$86,15,0)),0,VLOOKUP($T$651,'TAR FIN'!$A$1:$O$86,15,0))</f>
        <v>285.56</v>
      </c>
      <c r="X651" s="6">
        <f>IF(ISERROR(VLOOKUP($U$651,'TAR FIN'!$A$1:$O$86,15,0)),0,VLOOKUP($U$651,'TAR FIN'!$A$1:$O$86,15,0))</f>
        <v>227.23</v>
      </c>
      <c r="Y651" s="6"/>
      <c r="Z651" s="6">
        <f ca="1">('TUSD BE'!$AM$34+'TUSD BF'!$AM$34+'TUSD CVA'!$AM$34)*(1-CUSTOS!$M$38)</f>
        <v>310.34682484351242</v>
      </c>
      <c r="AA651" s="6">
        <f>('TE BE'!$AB$24+'TE BF'!$AB$24+'TE CVA'!$AB$24)*(1-CUSTOS!$M$38)</f>
        <v>216.7476358676706</v>
      </c>
      <c r="AB651" s="6">
        <f>$K$651*$V$651</f>
        <v>0</v>
      </c>
      <c r="AC651" s="6">
        <f>$M$651*$W$651</f>
        <v>19219.044679999999</v>
      </c>
      <c r="AD651" s="6">
        <f>$O$651*$X$651</f>
        <v>15293.260689999999</v>
      </c>
      <c r="AE651" s="6">
        <f>$K$651*$Y$651</f>
        <v>0</v>
      </c>
      <c r="AF651" s="6">
        <f ca="1">$M$651*$Z$651</f>
        <v>20887.272352442917</v>
      </c>
      <c r="AG651" s="6">
        <f>$O$651*$AA$651</f>
        <v>14587.766136801834</v>
      </c>
    </row>
    <row r="652" spans="1:33" ht="11.25" customHeight="1" x14ac:dyDescent="0.25">
      <c r="A652" s="4" t="s">
        <v>55</v>
      </c>
      <c r="B652" s="4" t="s">
        <v>42</v>
      </c>
      <c r="C652" s="4" t="s">
        <v>23</v>
      </c>
      <c r="D652" s="4" t="s">
        <v>43</v>
      </c>
      <c r="E652" s="4" t="s">
        <v>51</v>
      </c>
      <c r="F652" s="4" t="s">
        <v>52</v>
      </c>
      <c r="G652" s="4" t="s">
        <v>25</v>
      </c>
      <c r="H652" s="4" t="s">
        <v>25</v>
      </c>
      <c r="I652" s="5">
        <v>44562</v>
      </c>
      <c r="J652" s="6">
        <v>0</v>
      </c>
      <c r="K652" s="6">
        <v>0</v>
      </c>
      <c r="L652" s="6">
        <v>0.15</v>
      </c>
      <c r="M652" s="6">
        <v>0.15</v>
      </c>
      <c r="N652" s="6">
        <v>0.15</v>
      </c>
      <c r="O652" s="6">
        <v>0.15</v>
      </c>
      <c r="P652" s="6">
        <v>0</v>
      </c>
      <c r="Q652" s="4" t="s">
        <v>26</v>
      </c>
      <c r="R652" s="4">
        <v>0</v>
      </c>
      <c r="S652" s="6">
        <v>0</v>
      </c>
      <c r="T652" s="6">
        <v>30</v>
      </c>
      <c r="U652" s="6">
        <v>70</v>
      </c>
      <c r="V652" s="6">
        <f>IF(ISERROR(VLOOKUP($S$652,'TAR FIN'!$A$1:$O$86,15,0)),0,VLOOKUP($S$652,'TAR FIN'!$A$1:$O$86,15,0))</f>
        <v>0</v>
      </c>
      <c r="W652" s="6">
        <f>IF(ISERROR(VLOOKUP($T$652,'TAR FIN'!$A$1:$O$86,15,0)),0,VLOOKUP($T$652,'TAR FIN'!$A$1:$O$86,15,0))</f>
        <v>285.56</v>
      </c>
      <c r="X652" s="6">
        <f>IF(ISERROR(VLOOKUP($U$652,'TAR FIN'!$A$1:$O$86,15,0)),0,VLOOKUP($U$652,'TAR FIN'!$A$1:$O$86,15,0))</f>
        <v>227.23</v>
      </c>
      <c r="Y652" s="6"/>
      <c r="Z652" s="6">
        <f ca="1">('TUSD BE'!$AM$34+'TUSD BF'!$AM$34+'TUSD CVA'!$AM$34)*(1-CUSTOS!$M$38)</f>
        <v>310.34682484351242</v>
      </c>
      <c r="AA652" s="6">
        <f>('TE BE'!$AB$24+'TE BF'!$AB$24+'TE CVA'!$AB$24)*(1-CUSTOS!$M$38)</f>
        <v>216.7476358676706</v>
      </c>
      <c r="AB652" s="6">
        <f>$K$652*$V$652</f>
        <v>0</v>
      </c>
      <c r="AC652" s="6">
        <f>$M$652*$W$652</f>
        <v>42.833999999999996</v>
      </c>
      <c r="AD652" s="6">
        <f>$O$652*$X$652</f>
        <v>34.084499999999998</v>
      </c>
      <c r="AE652" s="6">
        <f>$K$652*$Y$652</f>
        <v>0</v>
      </c>
      <c r="AF652" s="6">
        <f ca="1">$M$652*$Z$652</f>
        <v>46.552023726526862</v>
      </c>
      <c r="AG652" s="6">
        <f>$O$652*$AA$652</f>
        <v>32.512145380150585</v>
      </c>
    </row>
    <row r="653" spans="1:33" ht="11.25" customHeight="1" x14ac:dyDescent="0.25">
      <c r="A653" s="4" t="s">
        <v>21</v>
      </c>
      <c r="B653" s="4" t="s">
        <v>42</v>
      </c>
      <c r="C653" s="4" t="s">
        <v>23</v>
      </c>
      <c r="D653" s="4" t="s">
        <v>43</v>
      </c>
      <c r="E653" s="4" t="s">
        <v>51</v>
      </c>
      <c r="F653" s="4" t="s">
        <v>52</v>
      </c>
      <c r="G653" s="4" t="s">
        <v>25</v>
      </c>
      <c r="H653" s="4" t="s">
        <v>25</v>
      </c>
      <c r="I653" s="5">
        <v>44593</v>
      </c>
      <c r="J653" s="6">
        <v>0</v>
      </c>
      <c r="K653" s="6">
        <v>0</v>
      </c>
      <c r="L653" s="6">
        <v>32.872</v>
      </c>
      <c r="M653" s="6">
        <v>32.872</v>
      </c>
      <c r="N653" s="6">
        <v>32.872</v>
      </c>
      <c r="O653" s="6">
        <v>32.872</v>
      </c>
      <c r="P653" s="6">
        <v>0</v>
      </c>
      <c r="Q653" s="4" t="s">
        <v>26</v>
      </c>
      <c r="R653" s="4">
        <v>0</v>
      </c>
      <c r="S653" s="6">
        <v>0</v>
      </c>
      <c r="T653" s="6">
        <v>30</v>
      </c>
      <c r="U653" s="6">
        <v>70</v>
      </c>
      <c r="V653" s="6">
        <f>IF(ISERROR(VLOOKUP($S$653,'TAR FIN'!$A$1:$O$86,15,0)),0,VLOOKUP($S$653,'TAR FIN'!$A$1:$O$86,15,0))</f>
        <v>0</v>
      </c>
      <c r="W653" s="6">
        <f>IF(ISERROR(VLOOKUP($T$653,'TAR FIN'!$A$1:$O$86,15,0)),0,VLOOKUP($T$653,'TAR FIN'!$A$1:$O$86,15,0))</f>
        <v>285.56</v>
      </c>
      <c r="X653" s="6">
        <f>IF(ISERROR(VLOOKUP($U$653,'TAR FIN'!$A$1:$O$86,15,0)),0,VLOOKUP($U$653,'TAR FIN'!$A$1:$O$86,15,0))</f>
        <v>227.23</v>
      </c>
      <c r="Y653" s="6"/>
      <c r="Z653" s="6">
        <f ca="1">('TUSD BE'!$AM$34+'TUSD BF'!$AM$34+'TUSD CVA'!$AM$34)*(1-CUSTOS!$M$38)</f>
        <v>310.34682484351242</v>
      </c>
      <c r="AA653" s="6">
        <f>('TE BE'!$AB$24+'TE BF'!$AB$24+'TE CVA'!$AB$24)*(1-CUSTOS!$M$38)</f>
        <v>216.7476358676706</v>
      </c>
      <c r="AB653" s="6">
        <f>$K$653*$V$653</f>
        <v>0</v>
      </c>
      <c r="AC653" s="6">
        <f>$M$653*$W$653</f>
        <v>9386.9283200000009</v>
      </c>
      <c r="AD653" s="6">
        <f>$O$653*$X$653</f>
        <v>7469.5045599999994</v>
      </c>
      <c r="AE653" s="6">
        <f>$K$653*$Y$653</f>
        <v>0</v>
      </c>
      <c r="AF653" s="6">
        <f ca="1">$M$653*$Z$653</f>
        <v>10201.72082625594</v>
      </c>
      <c r="AG653" s="6">
        <f>$O$653*$AA$653</f>
        <v>7124.9282862420678</v>
      </c>
    </row>
    <row r="654" spans="1:33" ht="11.25" customHeight="1" x14ac:dyDescent="0.25">
      <c r="A654" s="4" t="s">
        <v>55</v>
      </c>
      <c r="B654" s="4" t="s">
        <v>42</v>
      </c>
      <c r="C654" s="4" t="s">
        <v>23</v>
      </c>
      <c r="D654" s="4" t="s">
        <v>43</v>
      </c>
      <c r="E654" s="4" t="s">
        <v>51</v>
      </c>
      <c r="F654" s="4" t="s">
        <v>52</v>
      </c>
      <c r="G654" s="4" t="s">
        <v>25</v>
      </c>
      <c r="H654" s="4" t="s">
        <v>25</v>
      </c>
      <c r="I654" s="5">
        <v>44593</v>
      </c>
      <c r="J654" s="6">
        <v>0</v>
      </c>
      <c r="K654" s="6">
        <v>0</v>
      </c>
      <c r="L654" s="6">
        <v>0.1</v>
      </c>
      <c r="M654" s="6">
        <v>0.1</v>
      </c>
      <c r="N654" s="6">
        <v>0.1</v>
      </c>
      <c r="O654" s="6">
        <v>0.1</v>
      </c>
      <c r="P654" s="6">
        <v>0</v>
      </c>
      <c r="Q654" s="4" t="s">
        <v>26</v>
      </c>
      <c r="R654" s="4">
        <v>0</v>
      </c>
      <c r="S654" s="6">
        <v>0</v>
      </c>
      <c r="T654" s="6">
        <v>30</v>
      </c>
      <c r="U654" s="6">
        <v>70</v>
      </c>
      <c r="V654" s="6">
        <f>IF(ISERROR(VLOOKUP($S$654,'TAR FIN'!$A$1:$O$86,15,0)),0,VLOOKUP($S$654,'TAR FIN'!$A$1:$O$86,15,0))</f>
        <v>0</v>
      </c>
      <c r="W654" s="6">
        <f>IF(ISERROR(VLOOKUP($T$654,'TAR FIN'!$A$1:$O$86,15,0)),0,VLOOKUP($T$654,'TAR FIN'!$A$1:$O$86,15,0))</f>
        <v>285.56</v>
      </c>
      <c r="X654" s="6">
        <f>IF(ISERROR(VLOOKUP($U$654,'TAR FIN'!$A$1:$O$86,15,0)),0,VLOOKUP($U$654,'TAR FIN'!$A$1:$O$86,15,0))</f>
        <v>227.23</v>
      </c>
      <c r="Y654" s="6"/>
      <c r="Z654" s="6">
        <f ca="1">('TUSD BE'!$AM$34+'TUSD BF'!$AM$34+'TUSD CVA'!$AM$34)*(1-CUSTOS!$M$38)</f>
        <v>310.34682484351242</v>
      </c>
      <c r="AA654" s="6">
        <f>('TE BE'!$AB$24+'TE BF'!$AB$24+'TE CVA'!$AB$24)*(1-CUSTOS!$M$38)</f>
        <v>216.7476358676706</v>
      </c>
      <c r="AB654" s="6">
        <f>$K$654*$V$654</f>
        <v>0</v>
      </c>
      <c r="AC654" s="6">
        <f>$M$654*$W$654</f>
        <v>28.556000000000001</v>
      </c>
      <c r="AD654" s="6">
        <f>$O$654*$X$654</f>
        <v>22.722999999999999</v>
      </c>
      <c r="AE654" s="6">
        <f>$K$654*$Y$654</f>
        <v>0</v>
      </c>
      <c r="AF654" s="6">
        <f ca="1">$M$654*$Z$654</f>
        <v>31.034682484351244</v>
      </c>
      <c r="AG654" s="6">
        <f>$O$654*$AA$654</f>
        <v>21.67476358676706</v>
      </c>
    </row>
    <row r="655" spans="1:33" ht="11.25" customHeight="1" x14ac:dyDescent="0.25">
      <c r="A655" s="4" t="s">
        <v>21</v>
      </c>
      <c r="B655" s="4" t="s">
        <v>42</v>
      </c>
      <c r="C655" s="4" t="s">
        <v>23</v>
      </c>
      <c r="D655" s="4" t="s">
        <v>43</v>
      </c>
      <c r="E655" s="4" t="s">
        <v>51</v>
      </c>
      <c r="F655" s="4" t="s">
        <v>52</v>
      </c>
      <c r="G655" s="4" t="s">
        <v>25</v>
      </c>
      <c r="H655" s="4" t="s">
        <v>25</v>
      </c>
      <c r="I655" s="5">
        <v>44621</v>
      </c>
      <c r="J655" s="6">
        <v>0</v>
      </c>
      <c r="K655" s="6">
        <v>0</v>
      </c>
      <c r="L655" s="6">
        <v>23.164999999999999</v>
      </c>
      <c r="M655" s="6">
        <v>23.164999999999999</v>
      </c>
      <c r="N655" s="6">
        <v>23.164999999999999</v>
      </c>
      <c r="O655" s="6">
        <v>23.164999999999999</v>
      </c>
      <c r="P655" s="6">
        <v>0</v>
      </c>
      <c r="Q655" s="4" t="s">
        <v>26</v>
      </c>
      <c r="R655" s="4">
        <v>0</v>
      </c>
      <c r="S655" s="6">
        <v>0</v>
      </c>
      <c r="T655" s="6">
        <v>30</v>
      </c>
      <c r="U655" s="6">
        <v>70</v>
      </c>
      <c r="V655" s="6">
        <f>IF(ISERROR(VLOOKUP($S$655,'TAR FIN'!$A$1:$O$86,15,0)),0,VLOOKUP($S$655,'TAR FIN'!$A$1:$O$86,15,0))</f>
        <v>0</v>
      </c>
      <c r="W655" s="6">
        <f>IF(ISERROR(VLOOKUP($T$655,'TAR FIN'!$A$1:$O$86,15,0)),0,VLOOKUP($T$655,'TAR FIN'!$A$1:$O$86,15,0))</f>
        <v>285.56</v>
      </c>
      <c r="X655" s="6">
        <f>IF(ISERROR(VLOOKUP($U$655,'TAR FIN'!$A$1:$O$86,15,0)),0,VLOOKUP($U$655,'TAR FIN'!$A$1:$O$86,15,0))</f>
        <v>227.23</v>
      </c>
      <c r="Y655" s="6"/>
      <c r="Z655" s="6">
        <f ca="1">('TUSD BE'!$AM$34+'TUSD BF'!$AM$34+'TUSD CVA'!$AM$34)*(1-CUSTOS!$M$38)</f>
        <v>310.34682484351242</v>
      </c>
      <c r="AA655" s="6">
        <f>('TE BE'!$AB$24+'TE BF'!$AB$24+'TE CVA'!$AB$24)*(1-CUSTOS!$M$38)</f>
        <v>216.7476358676706</v>
      </c>
      <c r="AB655" s="6">
        <f>$K$655*$V$655</f>
        <v>0</v>
      </c>
      <c r="AC655" s="6">
        <f>$M$655*$W$655</f>
        <v>6614.9974000000002</v>
      </c>
      <c r="AD655" s="6">
        <f>$O$655*$X$655</f>
        <v>5263.7829499999998</v>
      </c>
      <c r="AE655" s="6">
        <f>$K$655*$Y$655</f>
        <v>0</v>
      </c>
      <c r="AF655" s="6">
        <f ca="1">$M$655*$Z$655</f>
        <v>7189.1841974999652</v>
      </c>
      <c r="AG655" s="6">
        <f>$O$655*$AA$655</f>
        <v>5020.9589848745891</v>
      </c>
    </row>
    <row r="656" spans="1:33" ht="11.25" customHeight="1" x14ac:dyDescent="0.25">
      <c r="A656" s="4" t="s">
        <v>55</v>
      </c>
      <c r="B656" s="4" t="s">
        <v>42</v>
      </c>
      <c r="C656" s="4" t="s">
        <v>23</v>
      </c>
      <c r="D656" s="4" t="s">
        <v>43</v>
      </c>
      <c r="E656" s="4" t="s">
        <v>51</v>
      </c>
      <c r="F656" s="4" t="s">
        <v>52</v>
      </c>
      <c r="G656" s="4" t="s">
        <v>25</v>
      </c>
      <c r="H656" s="4" t="s">
        <v>25</v>
      </c>
      <c r="I656" s="5">
        <v>44621</v>
      </c>
      <c r="J656" s="6">
        <v>0</v>
      </c>
      <c r="K656" s="6">
        <v>0</v>
      </c>
      <c r="L656" s="6">
        <v>0.1</v>
      </c>
      <c r="M656" s="6">
        <v>0.1</v>
      </c>
      <c r="N656" s="6">
        <v>0.1</v>
      </c>
      <c r="O656" s="6">
        <v>0.1</v>
      </c>
      <c r="P656" s="6">
        <v>0</v>
      </c>
      <c r="Q656" s="4" t="s">
        <v>26</v>
      </c>
      <c r="R656" s="4">
        <v>0</v>
      </c>
      <c r="S656" s="6">
        <v>0</v>
      </c>
      <c r="T656" s="6">
        <v>30</v>
      </c>
      <c r="U656" s="6">
        <v>70</v>
      </c>
      <c r="V656" s="6">
        <f>IF(ISERROR(VLOOKUP($S$656,'TAR FIN'!$A$1:$O$86,15,0)),0,VLOOKUP($S$656,'TAR FIN'!$A$1:$O$86,15,0))</f>
        <v>0</v>
      </c>
      <c r="W656" s="6">
        <f>IF(ISERROR(VLOOKUP($T$656,'TAR FIN'!$A$1:$O$86,15,0)),0,VLOOKUP($T$656,'TAR FIN'!$A$1:$O$86,15,0))</f>
        <v>285.56</v>
      </c>
      <c r="X656" s="6">
        <f>IF(ISERROR(VLOOKUP($U$656,'TAR FIN'!$A$1:$O$86,15,0)),0,VLOOKUP($U$656,'TAR FIN'!$A$1:$O$86,15,0))</f>
        <v>227.23</v>
      </c>
      <c r="Y656" s="6"/>
      <c r="Z656" s="6">
        <f ca="1">('TUSD BE'!$AM$34+'TUSD BF'!$AM$34+'TUSD CVA'!$AM$34)*(1-CUSTOS!$M$38)</f>
        <v>310.34682484351242</v>
      </c>
      <c r="AA656" s="6">
        <f>('TE BE'!$AB$24+'TE BF'!$AB$24+'TE CVA'!$AB$24)*(1-CUSTOS!$M$38)</f>
        <v>216.7476358676706</v>
      </c>
      <c r="AB656" s="6">
        <f>$K$656*$V$656</f>
        <v>0</v>
      </c>
      <c r="AC656" s="6">
        <f>$M$656*$W$656</f>
        <v>28.556000000000001</v>
      </c>
      <c r="AD656" s="6">
        <f>$O$656*$X$656</f>
        <v>22.722999999999999</v>
      </c>
      <c r="AE656" s="6">
        <f>$K$656*$Y$656</f>
        <v>0</v>
      </c>
      <c r="AF656" s="6">
        <f ca="1">$M$656*$Z$656</f>
        <v>31.034682484351244</v>
      </c>
      <c r="AG656" s="6">
        <f>$O$656*$AA$656</f>
        <v>21.67476358676706</v>
      </c>
    </row>
    <row r="657" spans="1:33" ht="11.25" customHeight="1" x14ac:dyDescent="0.25">
      <c r="A657" s="4" t="s">
        <v>21</v>
      </c>
      <c r="B657" s="4" t="s">
        <v>42</v>
      </c>
      <c r="C657" s="4" t="s">
        <v>23</v>
      </c>
      <c r="D657" s="4" t="s">
        <v>43</v>
      </c>
      <c r="E657" s="4" t="s">
        <v>51</v>
      </c>
      <c r="F657" s="4" t="s">
        <v>52</v>
      </c>
      <c r="G657" s="4" t="s">
        <v>25</v>
      </c>
      <c r="H657" s="4" t="s">
        <v>25</v>
      </c>
      <c r="I657" s="5">
        <v>44652</v>
      </c>
      <c r="J657" s="6">
        <v>0</v>
      </c>
      <c r="K657" s="6">
        <v>0</v>
      </c>
      <c r="L657" s="6">
        <v>7.4290000000000003</v>
      </c>
      <c r="M657" s="6">
        <v>7.4290000000000003</v>
      </c>
      <c r="N657" s="6">
        <v>7.4290000000000003</v>
      </c>
      <c r="O657" s="6">
        <v>7.4290000000000003</v>
      </c>
      <c r="P657" s="6">
        <v>0</v>
      </c>
      <c r="Q657" s="4" t="s">
        <v>26</v>
      </c>
      <c r="R657" s="4">
        <v>0</v>
      </c>
      <c r="S657" s="6">
        <v>0</v>
      </c>
      <c r="T657" s="6">
        <v>30</v>
      </c>
      <c r="U657" s="6">
        <v>70</v>
      </c>
      <c r="V657" s="6">
        <f>IF(ISERROR(VLOOKUP($S$657,'TAR FIN'!$A$1:$O$86,15,0)),0,VLOOKUP($S$657,'TAR FIN'!$A$1:$O$86,15,0))</f>
        <v>0</v>
      </c>
      <c r="W657" s="6">
        <f>IF(ISERROR(VLOOKUP($T$657,'TAR FIN'!$A$1:$O$86,15,0)),0,VLOOKUP($T$657,'TAR FIN'!$A$1:$O$86,15,0))</f>
        <v>285.56</v>
      </c>
      <c r="X657" s="6">
        <f>IF(ISERROR(VLOOKUP($U$657,'TAR FIN'!$A$1:$O$86,15,0)),0,VLOOKUP($U$657,'TAR FIN'!$A$1:$O$86,15,0))</f>
        <v>227.23</v>
      </c>
      <c r="Y657" s="6"/>
      <c r="Z657" s="6">
        <f ca="1">('TUSD BE'!$AM$34+'TUSD BF'!$AM$34+'TUSD CVA'!$AM$34)*(1-CUSTOS!$M$38)</f>
        <v>310.34682484351242</v>
      </c>
      <c r="AA657" s="6">
        <f>('TE BE'!$AB$24+'TE BF'!$AB$24+'TE CVA'!$AB$24)*(1-CUSTOS!$M$38)</f>
        <v>216.7476358676706</v>
      </c>
      <c r="AB657" s="6">
        <f>$K$657*$V$657</f>
        <v>0</v>
      </c>
      <c r="AC657" s="6">
        <f>$M$657*$W$657</f>
        <v>2121.42524</v>
      </c>
      <c r="AD657" s="6">
        <f>$O$657*$X$657</f>
        <v>1688.09167</v>
      </c>
      <c r="AE657" s="6">
        <f>$K$657*$Y$657</f>
        <v>0</v>
      </c>
      <c r="AF657" s="6">
        <f ca="1">$M$657*$Z$657</f>
        <v>2305.5665617624541</v>
      </c>
      <c r="AG657" s="6">
        <f>$O$657*$AA$657</f>
        <v>1610.218186860925</v>
      </c>
    </row>
    <row r="658" spans="1:33" ht="11.25" customHeight="1" x14ac:dyDescent="0.25">
      <c r="A658" s="4" t="s">
        <v>55</v>
      </c>
      <c r="B658" s="4" t="s">
        <v>42</v>
      </c>
      <c r="C658" s="4" t="s">
        <v>23</v>
      </c>
      <c r="D658" s="4" t="s">
        <v>43</v>
      </c>
      <c r="E658" s="4" t="s">
        <v>51</v>
      </c>
      <c r="F658" s="4" t="s">
        <v>52</v>
      </c>
      <c r="G658" s="4" t="s">
        <v>25</v>
      </c>
      <c r="H658" s="4" t="s">
        <v>25</v>
      </c>
      <c r="I658" s="5">
        <v>44652</v>
      </c>
      <c r="J658" s="6">
        <v>0</v>
      </c>
      <c r="K658" s="6">
        <v>0</v>
      </c>
      <c r="L658" s="6">
        <v>0.15</v>
      </c>
      <c r="M658" s="6">
        <v>0.15</v>
      </c>
      <c r="N658" s="6">
        <v>0.15</v>
      </c>
      <c r="O658" s="6">
        <v>0.15</v>
      </c>
      <c r="P658" s="6">
        <v>0</v>
      </c>
      <c r="Q658" s="4" t="s">
        <v>26</v>
      </c>
      <c r="R658" s="4">
        <v>0</v>
      </c>
      <c r="S658" s="6">
        <v>0</v>
      </c>
      <c r="T658" s="6">
        <v>30</v>
      </c>
      <c r="U658" s="6">
        <v>70</v>
      </c>
      <c r="V658" s="6">
        <f>IF(ISERROR(VLOOKUP($S$658,'TAR FIN'!$A$1:$O$86,15,0)),0,VLOOKUP($S$658,'TAR FIN'!$A$1:$O$86,15,0))</f>
        <v>0</v>
      </c>
      <c r="W658" s="6">
        <f>IF(ISERROR(VLOOKUP($T$658,'TAR FIN'!$A$1:$O$86,15,0)),0,VLOOKUP($T$658,'TAR FIN'!$A$1:$O$86,15,0))</f>
        <v>285.56</v>
      </c>
      <c r="X658" s="6">
        <f>IF(ISERROR(VLOOKUP($U$658,'TAR FIN'!$A$1:$O$86,15,0)),0,VLOOKUP($U$658,'TAR FIN'!$A$1:$O$86,15,0))</f>
        <v>227.23</v>
      </c>
      <c r="Y658" s="6"/>
      <c r="Z658" s="6">
        <f ca="1">('TUSD BE'!$AM$34+'TUSD BF'!$AM$34+'TUSD CVA'!$AM$34)*(1-CUSTOS!$M$38)</f>
        <v>310.34682484351242</v>
      </c>
      <c r="AA658" s="6">
        <f>('TE BE'!$AB$24+'TE BF'!$AB$24+'TE CVA'!$AB$24)*(1-CUSTOS!$M$38)</f>
        <v>216.7476358676706</v>
      </c>
      <c r="AB658" s="6">
        <f>$K$658*$V$658</f>
        <v>0</v>
      </c>
      <c r="AC658" s="6">
        <f>$M$658*$W$658</f>
        <v>42.833999999999996</v>
      </c>
      <c r="AD658" s="6">
        <f>$O$658*$X$658</f>
        <v>34.084499999999998</v>
      </c>
      <c r="AE658" s="6">
        <f>$K$658*$Y$658</f>
        <v>0</v>
      </c>
      <c r="AF658" s="6">
        <f ca="1">$M$658*$Z$658</f>
        <v>46.552023726526862</v>
      </c>
      <c r="AG658" s="6">
        <f>$O$658*$AA$658</f>
        <v>32.512145380150585</v>
      </c>
    </row>
    <row r="659" spans="1:33" ht="11.25" customHeight="1" x14ac:dyDescent="0.25">
      <c r="A659" s="4" t="s">
        <v>21</v>
      </c>
      <c r="B659" s="4" t="s">
        <v>42</v>
      </c>
      <c r="C659" s="4" t="s">
        <v>23</v>
      </c>
      <c r="D659" s="4" t="s">
        <v>43</v>
      </c>
      <c r="E659" s="4" t="s">
        <v>51</v>
      </c>
      <c r="F659" s="4" t="s">
        <v>52</v>
      </c>
      <c r="G659" s="4" t="s">
        <v>25</v>
      </c>
      <c r="H659" s="4" t="s">
        <v>25</v>
      </c>
      <c r="I659" s="5">
        <v>44682</v>
      </c>
      <c r="J659" s="6">
        <v>0</v>
      </c>
      <c r="K659" s="6">
        <v>0</v>
      </c>
      <c r="L659" s="6">
        <v>6.1859999999999999</v>
      </c>
      <c r="M659" s="6">
        <v>6.1859999999999999</v>
      </c>
      <c r="N659" s="6">
        <v>6.1859999999999999</v>
      </c>
      <c r="O659" s="6">
        <v>6.1859999999999999</v>
      </c>
      <c r="P659" s="6">
        <v>0</v>
      </c>
      <c r="Q659" s="4" t="s">
        <v>26</v>
      </c>
      <c r="R659" s="4">
        <v>0</v>
      </c>
      <c r="S659" s="6">
        <v>0</v>
      </c>
      <c r="T659" s="6">
        <v>30</v>
      </c>
      <c r="U659" s="6">
        <v>70</v>
      </c>
      <c r="V659" s="6">
        <f>IF(ISERROR(VLOOKUP($S$659,'TAR FIN'!$A$1:$O$86,15,0)),0,VLOOKUP($S$659,'TAR FIN'!$A$1:$O$86,15,0))</f>
        <v>0</v>
      </c>
      <c r="W659" s="6">
        <f>IF(ISERROR(VLOOKUP($T$659,'TAR FIN'!$A$1:$O$86,15,0)),0,VLOOKUP($T$659,'TAR FIN'!$A$1:$O$86,15,0))</f>
        <v>285.56</v>
      </c>
      <c r="X659" s="6">
        <f>IF(ISERROR(VLOOKUP($U$659,'TAR FIN'!$A$1:$O$86,15,0)),0,VLOOKUP($U$659,'TAR FIN'!$A$1:$O$86,15,0))</f>
        <v>227.23</v>
      </c>
      <c r="Y659" s="6"/>
      <c r="Z659" s="6">
        <f ca="1">('TUSD BE'!$AM$34+'TUSD BF'!$AM$34+'TUSD CVA'!$AM$34)*(1-CUSTOS!$M$38)</f>
        <v>310.34682484351242</v>
      </c>
      <c r="AA659" s="6">
        <f>('TE BE'!$AB$24+'TE BF'!$AB$24+'TE CVA'!$AB$24)*(1-CUSTOS!$M$38)</f>
        <v>216.7476358676706</v>
      </c>
      <c r="AB659" s="6">
        <f>$K$659*$V$659</f>
        <v>0</v>
      </c>
      <c r="AC659" s="6">
        <f>$M$659*$W$659</f>
        <v>1766.47416</v>
      </c>
      <c r="AD659" s="6">
        <f>$O$659*$X$659</f>
        <v>1405.6447799999999</v>
      </c>
      <c r="AE659" s="6">
        <f>$K$659*$Y$659</f>
        <v>0</v>
      </c>
      <c r="AF659" s="6">
        <f ca="1">$M$659*$Z$659</f>
        <v>1919.8054584819679</v>
      </c>
      <c r="AG659" s="6">
        <f>$O$659*$AA$659</f>
        <v>1340.8008754774103</v>
      </c>
    </row>
    <row r="660" spans="1:33" ht="11.25" customHeight="1" x14ac:dyDescent="0.25">
      <c r="A660" s="4" t="s">
        <v>56</v>
      </c>
      <c r="B660" s="4" t="s">
        <v>42</v>
      </c>
      <c r="C660" s="4" t="s">
        <v>23</v>
      </c>
      <c r="D660" s="4" t="s">
        <v>43</v>
      </c>
      <c r="E660" s="4" t="s">
        <v>51</v>
      </c>
      <c r="F660" s="4" t="s">
        <v>52</v>
      </c>
      <c r="G660" s="4" t="s">
        <v>25</v>
      </c>
      <c r="H660" s="4" t="s">
        <v>25</v>
      </c>
      <c r="I660" s="5">
        <v>44713</v>
      </c>
      <c r="J660" s="6">
        <v>0</v>
      </c>
      <c r="K660" s="6">
        <v>0</v>
      </c>
      <c r="L660" s="6">
        <v>6.1859999999999999</v>
      </c>
      <c r="M660" s="6">
        <v>6.1859999999999999</v>
      </c>
      <c r="N660" s="6">
        <v>6.1859999999999999</v>
      </c>
      <c r="O660" s="6">
        <v>6.1859999999999999</v>
      </c>
      <c r="P660" s="6">
        <v>0</v>
      </c>
      <c r="Q660" s="4" t="s">
        <v>26</v>
      </c>
      <c r="R660" s="4">
        <v>0</v>
      </c>
      <c r="S660" s="6">
        <v>0</v>
      </c>
      <c r="T660" s="6">
        <v>30</v>
      </c>
      <c r="U660" s="6">
        <v>70</v>
      </c>
      <c r="V660" s="6">
        <f>IF(ISERROR(VLOOKUP($S$660,'TAR FIN'!$A$1:$O$86,15,0)),0,VLOOKUP($S$660,'TAR FIN'!$A$1:$O$86,15,0))</f>
        <v>0</v>
      </c>
      <c r="W660" s="6">
        <f>IF(ISERROR(VLOOKUP($T$660,'TAR FIN'!$A$1:$O$86,15,0)),0,VLOOKUP($T$660,'TAR FIN'!$A$1:$O$86,15,0))</f>
        <v>285.56</v>
      </c>
      <c r="X660" s="6">
        <f>IF(ISERROR(VLOOKUP($U$660,'TAR FIN'!$A$1:$O$86,15,0)),0,VLOOKUP($U$660,'TAR FIN'!$A$1:$O$86,15,0))</f>
        <v>227.23</v>
      </c>
      <c r="Y660" s="6"/>
      <c r="Z660" s="6">
        <f ca="1">('TUSD BE'!$AM$34+'TUSD BF'!$AM$34+'TUSD CVA'!$AM$34)*(1-CUSTOS!$M$38)</f>
        <v>310.34682484351242</v>
      </c>
      <c r="AA660" s="6">
        <f>('TE BE'!$AB$24+'TE BF'!$AB$24+'TE CVA'!$AB$24)*(1-CUSTOS!$M$38)</f>
        <v>216.7476358676706</v>
      </c>
      <c r="AB660" s="6">
        <f>$K$660*$V$660</f>
        <v>0</v>
      </c>
      <c r="AC660" s="6">
        <f>$M$660*$W$660</f>
        <v>1766.47416</v>
      </c>
      <c r="AD660" s="6">
        <f>$O$660*$X$660</f>
        <v>1405.6447799999999</v>
      </c>
      <c r="AE660" s="6">
        <f>$K$660*$Y$660</f>
        <v>0</v>
      </c>
      <c r="AF660" s="6">
        <f ca="1">$M$660*$Z$660</f>
        <v>1919.8054584819679</v>
      </c>
      <c r="AG660" s="6">
        <f>$O$660*$AA$660</f>
        <v>1340.8008754774103</v>
      </c>
    </row>
    <row r="661" spans="1:33" ht="11.25" customHeight="1" x14ac:dyDescent="0.25">
      <c r="A661" s="4" t="s">
        <v>21</v>
      </c>
      <c r="B661" s="4" t="s">
        <v>42</v>
      </c>
      <c r="C661" s="4" t="s">
        <v>23</v>
      </c>
      <c r="D661" s="4" t="s">
        <v>43</v>
      </c>
      <c r="E661" s="4" t="s">
        <v>51</v>
      </c>
      <c r="F661" s="4" t="s">
        <v>53</v>
      </c>
      <c r="G661" s="4" t="s">
        <v>25</v>
      </c>
      <c r="H661" s="4" t="s">
        <v>25</v>
      </c>
      <c r="I661" s="5">
        <v>44378</v>
      </c>
      <c r="J661" s="6">
        <v>0</v>
      </c>
      <c r="K661" s="6">
        <v>0</v>
      </c>
      <c r="L661" s="6">
        <v>1.282</v>
      </c>
      <c r="M661" s="6">
        <v>0.51280000000000003</v>
      </c>
      <c r="N661" s="6">
        <v>1.282</v>
      </c>
      <c r="O661" s="6">
        <v>0.51280000000000003</v>
      </c>
      <c r="P661" s="6">
        <v>0</v>
      </c>
      <c r="Q661" s="4" t="s">
        <v>26</v>
      </c>
      <c r="R661" s="4">
        <v>0</v>
      </c>
      <c r="S661" s="6">
        <v>0</v>
      </c>
      <c r="T661" s="6">
        <v>30</v>
      </c>
      <c r="U661" s="6">
        <v>70</v>
      </c>
      <c r="V661" s="6">
        <f>IF(ISERROR(VLOOKUP($S$661,'TAR FIN'!$A$1:$O$86,15,0)),0,VLOOKUP($S$661,'TAR FIN'!$A$1:$O$86,15,0))</f>
        <v>0</v>
      </c>
      <c r="W661" s="6">
        <f>IF(ISERROR(VLOOKUP($T$661,'TAR FIN'!$A$1:$O$86,15,0)),0,VLOOKUP($T$661,'TAR FIN'!$A$1:$O$86,15,0))</f>
        <v>285.56</v>
      </c>
      <c r="X661" s="6">
        <f>IF(ISERROR(VLOOKUP($U$661,'TAR FIN'!$A$1:$O$86,15,0)),0,VLOOKUP($U$661,'TAR FIN'!$A$1:$O$86,15,0))</f>
        <v>227.23</v>
      </c>
      <c r="Y661" s="6"/>
      <c r="Z661" s="6">
        <f ca="1">('TUSD BE'!$AM$34+'TUSD BF'!$AM$34+'TUSD CVA'!$AM$34)*(1-CUSTOS!$M$38)</f>
        <v>310.34682484351242</v>
      </c>
      <c r="AA661" s="6">
        <f>('TE BE'!$AB$24+'TE BF'!$AB$24+'TE CVA'!$AB$24)*(1-CUSTOS!$M$38)</f>
        <v>216.7476358676706</v>
      </c>
      <c r="AB661" s="6">
        <f>$K$661*$V$661</f>
        <v>0</v>
      </c>
      <c r="AC661" s="6">
        <f>$M$661*$W$661</f>
        <v>146.435168</v>
      </c>
      <c r="AD661" s="6">
        <f>$O$661*$X$661</f>
        <v>116.523544</v>
      </c>
      <c r="AE661" s="6">
        <f>$K$661*$Y$661</f>
        <v>0</v>
      </c>
      <c r="AF661" s="6">
        <f ca="1">$M$661*$Z$661</f>
        <v>159.14585177975317</v>
      </c>
      <c r="AG661" s="6">
        <f>$O$661*$AA$661</f>
        <v>111.14818767294149</v>
      </c>
    </row>
    <row r="662" spans="1:33" ht="11.25" customHeight="1" x14ac:dyDescent="0.25">
      <c r="A662" s="4" t="s">
        <v>21</v>
      </c>
      <c r="B662" s="4" t="s">
        <v>42</v>
      </c>
      <c r="C662" s="4" t="s">
        <v>23</v>
      </c>
      <c r="D662" s="4" t="s">
        <v>43</v>
      </c>
      <c r="E662" s="4" t="s">
        <v>51</v>
      </c>
      <c r="F662" s="4" t="s">
        <v>53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0.92400000000000004</v>
      </c>
      <c r="M662" s="6">
        <v>0.36959999999999998</v>
      </c>
      <c r="N662" s="6">
        <v>0.92400000000000004</v>
      </c>
      <c r="O662" s="6">
        <v>0.36959999999999998</v>
      </c>
      <c r="P662" s="6">
        <v>0</v>
      </c>
      <c r="Q662" s="4" t="s">
        <v>26</v>
      </c>
      <c r="R662" s="4">
        <v>0</v>
      </c>
      <c r="S662" s="6">
        <v>0</v>
      </c>
      <c r="T662" s="6">
        <v>30</v>
      </c>
      <c r="U662" s="6">
        <v>70</v>
      </c>
      <c r="V662" s="6">
        <f>IF(ISERROR(VLOOKUP($S$662,'TAR FIN'!$A$1:$O$86,15,0)),0,VLOOKUP($S$662,'TAR FIN'!$A$1:$O$86,15,0))</f>
        <v>0</v>
      </c>
      <c r="W662" s="6">
        <f>IF(ISERROR(VLOOKUP($T$662,'TAR FIN'!$A$1:$O$86,15,0)),0,VLOOKUP($T$662,'TAR FIN'!$A$1:$O$86,15,0))</f>
        <v>285.56</v>
      </c>
      <c r="X662" s="6">
        <f>IF(ISERROR(VLOOKUP($U$662,'TAR FIN'!$A$1:$O$86,15,0)),0,VLOOKUP($U$662,'TAR FIN'!$A$1:$O$86,15,0))</f>
        <v>227.23</v>
      </c>
      <c r="Y662" s="6"/>
      <c r="Z662" s="6">
        <f ca="1">('TUSD BE'!$AM$34+'TUSD BF'!$AM$34+'TUSD CVA'!$AM$34)*(1-CUSTOS!$M$38)</f>
        <v>310.34682484351242</v>
      </c>
      <c r="AA662" s="6">
        <f>('TE BE'!$AB$24+'TE BF'!$AB$24+'TE CVA'!$AB$24)*(1-CUSTOS!$M$38)</f>
        <v>216.7476358676706</v>
      </c>
      <c r="AB662" s="6">
        <f>$K$662*$V$662</f>
        <v>0</v>
      </c>
      <c r="AC662" s="6">
        <f>$M$662*$W$662</f>
        <v>105.542976</v>
      </c>
      <c r="AD662" s="6">
        <f>$O$662*$X$662</f>
        <v>83.984207999999995</v>
      </c>
      <c r="AE662" s="6">
        <f>$K$662*$Y$662</f>
        <v>0</v>
      </c>
      <c r="AF662" s="6">
        <f ca="1">$M$662*$Z$662</f>
        <v>114.70418646216218</v>
      </c>
      <c r="AG662" s="6">
        <f>$O$662*$AA$662</f>
        <v>80.109926216691051</v>
      </c>
    </row>
    <row r="663" spans="1:33" ht="11.25" customHeight="1" x14ac:dyDescent="0.25">
      <c r="A663" s="4" t="s">
        <v>55</v>
      </c>
      <c r="B663" s="4" t="s">
        <v>42</v>
      </c>
      <c r="C663" s="4" t="s">
        <v>23</v>
      </c>
      <c r="D663" s="4" t="s">
        <v>43</v>
      </c>
      <c r="E663" s="4" t="s">
        <v>51</v>
      </c>
      <c r="F663" s="4" t="s">
        <v>53</v>
      </c>
      <c r="G663" s="4" t="s">
        <v>25</v>
      </c>
      <c r="H663" s="4" t="s">
        <v>25</v>
      </c>
      <c r="I663" s="5">
        <v>44409</v>
      </c>
      <c r="J663" s="6">
        <v>0</v>
      </c>
      <c r="K663" s="6">
        <v>0</v>
      </c>
      <c r="L663" s="6">
        <v>9.5000000000000001E-2</v>
      </c>
      <c r="M663" s="6">
        <v>9.5000000000000001E-2</v>
      </c>
      <c r="N663" s="6">
        <v>9.5000000000000001E-2</v>
      </c>
      <c r="O663" s="6">
        <v>9.5000000000000001E-2</v>
      </c>
      <c r="P663" s="6">
        <v>0</v>
      </c>
      <c r="Q663" s="4" t="s">
        <v>26</v>
      </c>
      <c r="R663" s="4">
        <v>0</v>
      </c>
      <c r="S663" s="6">
        <v>0</v>
      </c>
      <c r="T663" s="6">
        <v>30</v>
      </c>
      <c r="U663" s="6">
        <v>70</v>
      </c>
      <c r="V663" s="6">
        <f>IF(ISERROR(VLOOKUP($S$663,'TAR FIN'!$A$1:$O$86,15,0)),0,VLOOKUP($S$663,'TAR FIN'!$A$1:$O$86,15,0))</f>
        <v>0</v>
      </c>
      <c r="W663" s="6">
        <f>IF(ISERROR(VLOOKUP($T$663,'TAR FIN'!$A$1:$O$86,15,0)),0,VLOOKUP($T$663,'TAR FIN'!$A$1:$O$86,15,0))</f>
        <v>285.56</v>
      </c>
      <c r="X663" s="6">
        <f>IF(ISERROR(VLOOKUP($U$663,'TAR FIN'!$A$1:$O$86,15,0)),0,VLOOKUP($U$663,'TAR FIN'!$A$1:$O$86,15,0))</f>
        <v>227.23</v>
      </c>
      <c r="Y663" s="6"/>
      <c r="Z663" s="6">
        <f ca="1">('TUSD BE'!$AM$34+'TUSD BF'!$AM$34+'TUSD CVA'!$AM$34)*(1-CUSTOS!$M$38)</f>
        <v>310.34682484351242</v>
      </c>
      <c r="AA663" s="6">
        <f>('TE BE'!$AB$24+'TE BF'!$AB$24+'TE CVA'!$AB$24)*(1-CUSTOS!$M$38)</f>
        <v>216.7476358676706</v>
      </c>
      <c r="AB663" s="6">
        <f>$K$663*$V$663</f>
        <v>0</v>
      </c>
      <c r="AC663" s="6">
        <f>$M$663*$W$663</f>
        <v>27.1282</v>
      </c>
      <c r="AD663" s="6">
        <f>$O$663*$X$663</f>
        <v>21.586849999999998</v>
      </c>
      <c r="AE663" s="6">
        <f>$K$663*$Y$663</f>
        <v>0</v>
      </c>
      <c r="AF663" s="6">
        <f ca="1">$M$663*$Z$663</f>
        <v>29.48294836013368</v>
      </c>
      <c r="AG663" s="6">
        <f>$O$663*$AA$663</f>
        <v>20.591025407428706</v>
      </c>
    </row>
    <row r="664" spans="1:33" ht="11.25" customHeight="1" x14ac:dyDescent="0.25">
      <c r="A664" s="4" t="s">
        <v>21</v>
      </c>
      <c r="B664" s="4" t="s">
        <v>42</v>
      </c>
      <c r="C664" s="4" t="s">
        <v>23</v>
      </c>
      <c r="D664" s="4" t="s">
        <v>43</v>
      </c>
      <c r="E664" s="4" t="s">
        <v>51</v>
      </c>
      <c r="F664" s="4" t="s">
        <v>53</v>
      </c>
      <c r="G664" s="4" t="s">
        <v>25</v>
      </c>
      <c r="H664" s="4" t="s">
        <v>25</v>
      </c>
      <c r="I664" s="5">
        <v>44440</v>
      </c>
      <c r="J664" s="6">
        <v>0</v>
      </c>
      <c r="K664" s="6">
        <v>0</v>
      </c>
      <c r="L664" s="6">
        <v>1.5880000000000001</v>
      </c>
      <c r="M664" s="6">
        <v>0.63519999999999999</v>
      </c>
      <c r="N664" s="6">
        <v>1.5880000000000001</v>
      </c>
      <c r="O664" s="6">
        <v>0.63519999999999999</v>
      </c>
      <c r="P664" s="6">
        <v>0</v>
      </c>
      <c r="Q664" s="4" t="s">
        <v>26</v>
      </c>
      <c r="R664" s="4">
        <v>0</v>
      </c>
      <c r="S664" s="6">
        <v>0</v>
      </c>
      <c r="T664" s="6">
        <v>30</v>
      </c>
      <c r="U664" s="6">
        <v>70</v>
      </c>
      <c r="V664" s="6">
        <f>IF(ISERROR(VLOOKUP($S$664,'TAR FIN'!$A$1:$O$86,15,0)),0,VLOOKUP($S$664,'TAR FIN'!$A$1:$O$86,15,0))</f>
        <v>0</v>
      </c>
      <c r="W664" s="6">
        <f>IF(ISERROR(VLOOKUP($T$664,'TAR FIN'!$A$1:$O$86,15,0)),0,VLOOKUP($T$664,'TAR FIN'!$A$1:$O$86,15,0))</f>
        <v>285.56</v>
      </c>
      <c r="X664" s="6">
        <f>IF(ISERROR(VLOOKUP($U$664,'TAR FIN'!$A$1:$O$86,15,0)),0,VLOOKUP($U$664,'TAR FIN'!$A$1:$O$86,15,0))</f>
        <v>227.23</v>
      </c>
      <c r="Y664" s="6"/>
      <c r="Z664" s="6">
        <f ca="1">('TUSD BE'!$AM$34+'TUSD BF'!$AM$34+'TUSD CVA'!$AM$34)*(1-CUSTOS!$M$38)</f>
        <v>310.34682484351242</v>
      </c>
      <c r="AA664" s="6">
        <f>('TE BE'!$AB$24+'TE BF'!$AB$24+'TE CVA'!$AB$24)*(1-CUSTOS!$M$38)</f>
        <v>216.7476358676706</v>
      </c>
      <c r="AB664" s="6">
        <f>$K$664*$V$664</f>
        <v>0</v>
      </c>
      <c r="AC664" s="6">
        <f>$M$664*$W$664</f>
        <v>181.38771199999999</v>
      </c>
      <c r="AD664" s="6">
        <f>$O$664*$X$664</f>
        <v>144.33649599999998</v>
      </c>
      <c r="AE664" s="6">
        <f>$K$664*$Y$664</f>
        <v>0</v>
      </c>
      <c r="AF664" s="6">
        <f ca="1">$M$664*$Z$664</f>
        <v>197.13230314059908</v>
      </c>
      <c r="AG664" s="6">
        <f>$O$664*$AA$664</f>
        <v>137.67809830314437</v>
      </c>
    </row>
    <row r="665" spans="1:33" ht="11.25" customHeight="1" x14ac:dyDescent="0.25">
      <c r="A665" s="4" t="s">
        <v>21</v>
      </c>
      <c r="B665" s="4" t="s">
        <v>42</v>
      </c>
      <c r="C665" s="4" t="s">
        <v>23</v>
      </c>
      <c r="D665" s="4" t="s">
        <v>43</v>
      </c>
      <c r="E665" s="4" t="s">
        <v>51</v>
      </c>
      <c r="F665" s="4" t="s">
        <v>53</v>
      </c>
      <c r="G665" s="4" t="s">
        <v>25</v>
      </c>
      <c r="H665" s="4" t="s">
        <v>25</v>
      </c>
      <c r="I665" s="5">
        <v>44470</v>
      </c>
      <c r="J665" s="6">
        <v>0</v>
      </c>
      <c r="K665" s="6">
        <v>0</v>
      </c>
      <c r="L665" s="6">
        <v>1.3839999999999999</v>
      </c>
      <c r="M665" s="6">
        <v>0.55359999999999998</v>
      </c>
      <c r="N665" s="6">
        <v>1.3839999999999999</v>
      </c>
      <c r="O665" s="6">
        <v>0.55359999999999998</v>
      </c>
      <c r="P665" s="6">
        <v>0</v>
      </c>
      <c r="Q665" s="4" t="s">
        <v>26</v>
      </c>
      <c r="R665" s="4">
        <v>0</v>
      </c>
      <c r="S665" s="6">
        <v>0</v>
      </c>
      <c r="T665" s="6">
        <v>30</v>
      </c>
      <c r="U665" s="6">
        <v>70</v>
      </c>
      <c r="V665" s="6">
        <f>IF(ISERROR(VLOOKUP($S$665,'TAR FIN'!$A$1:$O$86,15,0)),0,VLOOKUP($S$665,'TAR FIN'!$A$1:$O$86,15,0))</f>
        <v>0</v>
      </c>
      <c r="W665" s="6">
        <f>IF(ISERROR(VLOOKUP($T$665,'TAR FIN'!$A$1:$O$86,15,0)),0,VLOOKUP($T$665,'TAR FIN'!$A$1:$O$86,15,0))</f>
        <v>285.56</v>
      </c>
      <c r="X665" s="6">
        <f>IF(ISERROR(VLOOKUP($U$665,'TAR FIN'!$A$1:$O$86,15,0)),0,VLOOKUP($U$665,'TAR FIN'!$A$1:$O$86,15,0))</f>
        <v>227.23</v>
      </c>
      <c r="Y665" s="6"/>
      <c r="Z665" s="6">
        <f ca="1">('TUSD BE'!$AM$34+'TUSD BF'!$AM$34+'TUSD CVA'!$AM$34)*(1-CUSTOS!$M$38)</f>
        <v>310.34682484351242</v>
      </c>
      <c r="AA665" s="6">
        <f>('TE BE'!$AB$24+'TE BF'!$AB$24+'TE CVA'!$AB$24)*(1-CUSTOS!$M$38)</f>
        <v>216.7476358676706</v>
      </c>
      <c r="AB665" s="6">
        <f>$K$665*$V$665</f>
        <v>0</v>
      </c>
      <c r="AC665" s="6">
        <f>$M$665*$W$665</f>
        <v>158.086016</v>
      </c>
      <c r="AD665" s="6">
        <f>$O$665*$X$665</f>
        <v>125.79452799999999</v>
      </c>
      <c r="AE665" s="6">
        <f>$K$665*$Y$665</f>
        <v>0</v>
      </c>
      <c r="AF665" s="6">
        <f ca="1">$M$665*$Z$665</f>
        <v>171.80800223336848</v>
      </c>
      <c r="AG665" s="6">
        <f>$O$665*$AA$665</f>
        <v>119.99149121634244</v>
      </c>
    </row>
    <row r="666" spans="1:33" ht="11.25" customHeight="1" x14ac:dyDescent="0.25">
      <c r="A666" s="4" t="s">
        <v>21</v>
      </c>
      <c r="B666" s="4" t="s">
        <v>42</v>
      </c>
      <c r="C666" s="4" t="s">
        <v>23</v>
      </c>
      <c r="D666" s="4" t="s">
        <v>43</v>
      </c>
      <c r="E666" s="4" t="s">
        <v>51</v>
      </c>
      <c r="F666" s="4" t="s">
        <v>53</v>
      </c>
      <c r="G666" s="4" t="s">
        <v>25</v>
      </c>
      <c r="H666" s="4" t="s">
        <v>25</v>
      </c>
      <c r="I666" s="5">
        <v>44501</v>
      </c>
      <c r="J666" s="6">
        <v>0</v>
      </c>
      <c r="K666" s="6">
        <v>0</v>
      </c>
      <c r="L666" s="6">
        <v>22.245000000000001</v>
      </c>
      <c r="M666" s="6">
        <v>8.8979999999999997</v>
      </c>
      <c r="N666" s="6">
        <v>22.245000000000001</v>
      </c>
      <c r="O666" s="6">
        <v>8.8979999999999997</v>
      </c>
      <c r="P666" s="6">
        <v>0</v>
      </c>
      <c r="Q666" s="4" t="s">
        <v>26</v>
      </c>
      <c r="R666" s="4">
        <v>0</v>
      </c>
      <c r="S666" s="6">
        <v>0</v>
      </c>
      <c r="T666" s="6">
        <v>30</v>
      </c>
      <c r="U666" s="6">
        <v>70</v>
      </c>
      <c r="V666" s="6">
        <f>IF(ISERROR(VLOOKUP($S$666,'TAR FIN'!$A$1:$O$86,15,0)),0,VLOOKUP($S$666,'TAR FIN'!$A$1:$O$86,15,0))</f>
        <v>0</v>
      </c>
      <c r="W666" s="6">
        <f>IF(ISERROR(VLOOKUP($T$666,'TAR FIN'!$A$1:$O$86,15,0)),0,VLOOKUP($T$666,'TAR FIN'!$A$1:$O$86,15,0))</f>
        <v>285.56</v>
      </c>
      <c r="X666" s="6">
        <f>IF(ISERROR(VLOOKUP($U$666,'TAR FIN'!$A$1:$O$86,15,0)),0,VLOOKUP($U$666,'TAR FIN'!$A$1:$O$86,15,0))</f>
        <v>227.23</v>
      </c>
      <c r="Y666" s="6"/>
      <c r="Z666" s="6">
        <f ca="1">('TUSD BE'!$AM$34+'TUSD BF'!$AM$34+'TUSD CVA'!$AM$34)*(1-CUSTOS!$M$38)</f>
        <v>310.34682484351242</v>
      </c>
      <c r="AA666" s="6">
        <f>('TE BE'!$AB$24+'TE BF'!$AB$24+'TE CVA'!$AB$24)*(1-CUSTOS!$M$38)</f>
        <v>216.7476358676706</v>
      </c>
      <c r="AB666" s="6">
        <f>$K$666*$V$666</f>
        <v>0</v>
      </c>
      <c r="AC666" s="6">
        <f>$M$666*$W$666</f>
        <v>2540.9128799999999</v>
      </c>
      <c r="AD666" s="6">
        <f>$O$666*$X$666</f>
        <v>2021.8925399999998</v>
      </c>
      <c r="AE666" s="6">
        <f>$K$666*$Y$666</f>
        <v>0</v>
      </c>
      <c r="AF666" s="6">
        <f ca="1">$M$666*$Z$666</f>
        <v>2761.4660474575735</v>
      </c>
      <c r="AG666" s="6">
        <f>$O$666*$AA$666</f>
        <v>1928.6204639505329</v>
      </c>
    </row>
    <row r="667" spans="1:33" ht="11.25" customHeight="1" x14ac:dyDescent="0.25">
      <c r="A667" s="4" t="s">
        <v>21</v>
      </c>
      <c r="B667" s="4" t="s">
        <v>42</v>
      </c>
      <c r="C667" s="4" t="s">
        <v>23</v>
      </c>
      <c r="D667" s="4" t="s">
        <v>43</v>
      </c>
      <c r="E667" s="4" t="s">
        <v>51</v>
      </c>
      <c r="F667" s="4" t="s">
        <v>53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36.807000000000002</v>
      </c>
      <c r="M667" s="6">
        <v>14.722799999999999</v>
      </c>
      <c r="N667" s="6">
        <v>36.807000000000002</v>
      </c>
      <c r="O667" s="6">
        <v>14.722799999999999</v>
      </c>
      <c r="P667" s="6">
        <v>0</v>
      </c>
      <c r="Q667" s="4" t="s">
        <v>26</v>
      </c>
      <c r="R667" s="4">
        <v>0</v>
      </c>
      <c r="S667" s="6">
        <v>0</v>
      </c>
      <c r="T667" s="6">
        <v>30</v>
      </c>
      <c r="U667" s="6">
        <v>70</v>
      </c>
      <c r="V667" s="6">
        <f>IF(ISERROR(VLOOKUP($S$667,'TAR FIN'!$A$1:$O$86,15,0)),0,VLOOKUP($S$667,'TAR FIN'!$A$1:$O$86,15,0))</f>
        <v>0</v>
      </c>
      <c r="W667" s="6">
        <f>IF(ISERROR(VLOOKUP($T$667,'TAR FIN'!$A$1:$O$86,15,0)),0,VLOOKUP($T$667,'TAR FIN'!$A$1:$O$86,15,0))</f>
        <v>285.56</v>
      </c>
      <c r="X667" s="6">
        <f>IF(ISERROR(VLOOKUP($U$667,'TAR FIN'!$A$1:$O$86,15,0)),0,VLOOKUP($U$667,'TAR FIN'!$A$1:$O$86,15,0))</f>
        <v>227.23</v>
      </c>
      <c r="Y667" s="6"/>
      <c r="Z667" s="6">
        <f ca="1">('TUSD BE'!$AM$34+'TUSD BF'!$AM$34+'TUSD CVA'!$AM$34)*(1-CUSTOS!$M$38)</f>
        <v>310.34682484351242</v>
      </c>
      <c r="AA667" s="6">
        <f>('TE BE'!$AB$24+'TE BF'!$AB$24+'TE CVA'!$AB$24)*(1-CUSTOS!$M$38)</f>
        <v>216.7476358676706</v>
      </c>
      <c r="AB667" s="6">
        <f>$K$667*$V$667</f>
        <v>0</v>
      </c>
      <c r="AC667" s="6">
        <f>$M$667*$W$667</f>
        <v>4204.2427680000001</v>
      </c>
      <c r="AD667" s="6">
        <f>$O$667*$X$667</f>
        <v>3345.4618439999999</v>
      </c>
      <c r="AE667" s="6">
        <f>$K$667*$Y$667</f>
        <v>0</v>
      </c>
      <c r="AF667" s="6">
        <f ca="1">$M$667*$Z$667</f>
        <v>4569.1742328060645</v>
      </c>
      <c r="AG667" s="6">
        <f>$O$667*$AA$667</f>
        <v>3191.1320933525403</v>
      </c>
    </row>
    <row r="668" spans="1:33" ht="11.25" customHeight="1" x14ac:dyDescent="0.25">
      <c r="A668" s="4" t="s">
        <v>55</v>
      </c>
      <c r="B668" s="4" t="s">
        <v>42</v>
      </c>
      <c r="C668" s="4" t="s">
        <v>23</v>
      </c>
      <c r="D668" s="4" t="s">
        <v>43</v>
      </c>
      <c r="E668" s="4" t="s">
        <v>51</v>
      </c>
      <c r="F668" s="4" t="s">
        <v>53</v>
      </c>
      <c r="G668" s="4" t="s">
        <v>25</v>
      </c>
      <c r="H668" s="4" t="s">
        <v>25</v>
      </c>
      <c r="I668" s="5">
        <v>44531</v>
      </c>
      <c r="J668" s="6">
        <v>0</v>
      </c>
      <c r="K668" s="6">
        <v>0</v>
      </c>
      <c r="L668" s="6">
        <v>0.55000000000000004</v>
      </c>
      <c r="M668" s="6">
        <v>0.55000000000000004</v>
      </c>
      <c r="N668" s="6">
        <v>0.55000000000000004</v>
      </c>
      <c r="O668" s="6">
        <v>0.55000000000000004</v>
      </c>
      <c r="P668" s="6">
        <v>0</v>
      </c>
      <c r="Q668" s="4" t="s">
        <v>26</v>
      </c>
      <c r="R668" s="4">
        <v>0</v>
      </c>
      <c r="S668" s="6">
        <v>0</v>
      </c>
      <c r="T668" s="6">
        <v>30</v>
      </c>
      <c r="U668" s="6">
        <v>70</v>
      </c>
      <c r="V668" s="6">
        <f>IF(ISERROR(VLOOKUP($S$668,'TAR FIN'!$A$1:$O$86,15,0)),0,VLOOKUP($S$668,'TAR FIN'!$A$1:$O$86,15,0))</f>
        <v>0</v>
      </c>
      <c r="W668" s="6">
        <f>IF(ISERROR(VLOOKUP($T$668,'TAR FIN'!$A$1:$O$86,15,0)),0,VLOOKUP($T$668,'TAR FIN'!$A$1:$O$86,15,0))</f>
        <v>285.56</v>
      </c>
      <c r="X668" s="6">
        <f>IF(ISERROR(VLOOKUP($U$668,'TAR FIN'!$A$1:$O$86,15,0)),0,VLOOKUP($U$668,'TAR FIN'!$A$1:$O$86,15,0))</f>
        <v>227.23</v>
      </c>
      <c r="Y668" s="6"/>
      <c r="Z668" s="6">
        <f ca="1">('TUSD BE'!$AM$34+'TUSD BF'!$AM$34+'TUSD CVA'!$AM$34)*(1-CUSTOS!$M$38)</f>
        <v>310.34682484351242</v>
      </c>
      <c r="AA668" s="6">
        <f>('TE BE'!$AB$24+'TE BF'!$AB$24+'TE CVA'!$AB$24)*(1-CUSTOS!$M$38)</f>
        <v>216.7476358676706</v>
      </c>
      <c r="AB668" s="6">
        <f>$K$668*$V$668</f>
        <v>0</v>
      </c>
      <c r="AC668" s="6">
        <f>$M$668*$W$668</f>
        <v>157.05800000000002</v>
      </c>
      <c r="AD668" s="6">
        <f>$O$668*$X$668</f>
        <v>124.9765</v>
      </c>
      <c r="AE668" s="6">
        <f>$K$668*$Y$668</f>
        <v>0</v>
      </c>
      <c r="AF668" s="6">
        <f ca="1">$M$668*$Z$668</f>
        <v>170.69075366393184</v>
      </c>
      <c r="AG668" s="6">
        <f>$O$668*$AA$668</f>
        <v>119.21119972721884</v>
      </c>
    </row>
    <row r="669" spans="1:33" ht="11.25" customHeight="1" x14ac:dyDescent="0.25">
      <c r="A669" s="4" t="s">
        <v>21</v>
      </c>
      <c r="B669" s="4" t="s">
        <v>42</v>
      </c>
      <c r="C669" s="4" t="s">
        <v>23</v>
      </c>
      <c r="D669" s="4" t="s">
        <v>43</v>
      </c>
      <c r="E669" s="4" t="s">
        <v>51</v>
      </c>
      <c r="F669" s="4" t="s">
        <v>53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79.156999999999996</v>
      </c>
      <c r="M669" s="6">
        <v>31.662800000000001</v>
      </c>
      <c r="N669" s="6">
        <v>79.156999999999996</v>
      </c>
      <c r="O669" s="6">
        <v>31.662800000000001</v>
      </c>
      <c r="P669" s="6">
        <v>0</v>
      </c>
      <c r="Q669" s="4" t="s">
        <v>26</v>
      </c>
      <c r="R669" s="4">
        <v>0</v>
      </c>
      <c r="S669" s="6">
        <v>0</v>
      </c>
      <c r="T669" s="6">
        <v>30</v>
      </c>
      <c r="U669" s="6">
        <v>70</v>
      </c>
      <c r="V669" s="6">
        <f>IF(ISERROR(VLOOKUP($S$669,'TAR FIN'!$A$1:$O$86,15,0)),0,VLOOKUP($S$669,'TAR FIN'!$A$1:$O$86,15,0))</f>
        <v>0</v>
      </c>
      <c r="W669" s="6">
        <f>IF(ISERROR(VLOOKUP($T$669,'TAR FIN'!$A$1:$O$86,15,0)),0,VLOOKUP($T$669,'TAR FIN'!$A$1:$O$86,15,0))</f>
        <v>285.56</v>
      </c>
      <c r="X669" s="6">
        <f>IF(ISERROR(VLOOKUP($U$669,'TAR FIN'!$A$1:$O$86,15,0)),0,VLOOKUP($U$669,'TAR FIN'!$A$1:$O$86,15,0))</f>
        <v>227.23</v>
      </c>
      <c r="Y669" s="6"/>
      <c r="Z669" s="6">
        <f ca="1">('TUSD BE'!$AM$34+'TUSD BF'!$AM$34+'TUSD CVA'!$AM$34)*(1-CUSTOS!$M$38)</f>
        <v>310.34682484351242</v>
      </c>
      <c r="AA669" s="6">
        <f>('TE BE'!$AB$24+'TE BF'!$AB$24+'TE CVA'!$AB$24)*(1-CUSTOS!$M$38)</f>
        <v>216.7476358676706</v>
      </c>
      <c r="AB669" s="6">
        <f>$K$669*$V$669</f>
        <v>0</v>
      </c>
      <c r="AC669" s="6">
        <f>$M$669*$W$669</f>
        <v>9041.6291679999995</v>
      </c>
      <c r="AD669" s="6">
        <f>$O$669*$X$669</f>
        <v>7194.7380439999997</v>
      </c>
      <c r="AE669" s="6">
        <f>$K$669*$Y$669</f>
        <v>0</v>
      </c>
      <c r="AF669" s="6">
        <f ca="1">$M$669*$Z$669</f>
        <v>9826.4494456551656</v>
      </c>
      <c r="AG669" s="6">
        <f>$O$669*$AA$669</f>
        <v>6862.8370449508811</v>
      </c>
    </row>
    <row r="670" spans="1:33" ht="11.25" customHeight="1" x14ac:dyDescent="0.25">
      <c r="A670" s="4" t="s">
        <v>21</v>
      </c>
      <c r="B670" s="4" t="s">
        <v>42</v>
      </c>
      <c r="C670" s="4" t="s">
        <v>23</v>
      </c>
      <c r="D670" s="4" t="s">
        <v>43</v>
      </c>
      <c r="E670" s="4" t="s">
        <v>51</v>
      </c>
      <c r="F670" s="4" t="s">
        <v>53</v>
      </c>
      <c r="G670" s="4" t="s">
        <v>25</v>
      </c>
      <c r="H670" s="4" t="s">
        <v>25</v>
      </c>
      <c r="I670" s="5">
        <v>44593</v>
      </c>
      <c r="J670" s="6">
        <v>0</v>
      </c>
      <c r="K670" s="6">
        <v>0</v>
      </c>
      <c r="L670" s="6">
        <v>27.257999999999999</v>
      </c>
      <c r="M670" s="6">
        <v>10.9032</v>
      </c>
      <c r="N670" s="6">
        <v>27.257999999999999</v>
      </c>
      <c r="O670" s="6">
        <v>10.9032</v>
      </c>
      <c r="P670" s="6">
        <v>0</v>
      </c>
      <c r="Q670" s="4" t="s">
        <v>26</v>
      </c>
      <c r="R670" s="4">
        <v>0</v>
      </c>
      <c r="S670" s="6">
        <v>0</v>
      </c>
      <c r="T670" s="6">
        <v>30</v>
      </c>
      <c r="U670" s="6">
        <v>70</v>
      </c>
      <c r="V670" s="6">
        <f>IF(ISERROR(VLOOKUP($S$670,'TAR FIN'!$A$1:$O$86,15,0)),0,VLOOKUP($S$670,'TAR FIN'!$A$1:$O$86,15,0))</f>
        <v>0</v>
      </c>
      <c r="W670" s="6">
        <f>IF(ISERROR(VLOOKUP($T$670,'TAR FIN'!$A$1:$O$86,15,0)),0,VLOOKUP($T$670,'TAR FIN'!$A$1:$O$86,15,0))</f>
        <v>285.56</v>
      </c>
      <c r="X670" s="6">
        <f>IF(ISERROR(VLOOKUP($U$670,'TAR FIN'!$A$1:$O$86,15,0)),0,VLOOKUP($U$670,'TAR FIN'!$A$1:$O$86,15,0))</f>
        <v>227.23</v>
      </c>
      <c r="Y670" s="6"/>
      <c r="Z670" s="6">
        <f ca="1">('TUSD BE'!$AM$34+'TUSD BF'!$AM$34+'TUSD CVA'!$AM$34)*(1-CUSTOS!$M$38)</f>
        <v>310.34682484351242</v>
      </c>
      <c r="AA670" s="6">
        <f>('TE BE'!$AB$24+'TE BF'!$AB$24+'TE CVA'!$AB$24)*(1-CUSTOS!$M$38)</f>
        <v>216.7476358676706</v>
      </c>
      <c r="AB670" s="6">
        <f>$K$670*$V$670</f>
        <v>0</v>
      </c>
      <c r="AC670" s="6">
        <f>$M$670*$W$670</f>
        <v>3113.5177920000001</v>
      </c>
      <c r="AD670" s="6">
        <f>$O$670*$X$670</f>
        <v>2477.5341359999998</v>
      </c>
      <c r="AE670" s="6">
        <f>$K$670*$Y$670</f>
        <v>0</v>
      </c>
      <c r="AF670" s="6">
        <f ca="1">$M$670*$Z$670</f>
        <v>3383.7735006337848</v>
      </c>
      <c r="AG670" s="6">
        <f>$O$670*$AA$670</f>
        <v>2363.2428233923861</v>
      </c>
    </row>
    <row r="671" spans="1:33" ht="11.25" customHeight="1" x14ac:dyDescent="0.25">
      <c r="A671" s="4" t="s">
        <v>55</v>
      </c>
      <c r="B671" s="4" t="s">
        <v>42</v>
      </c>
      <c r="C671" s="4" t="s">
        <v>23</v>
      </c>
      <c r="D671" s="4" t="s">
        <v>43</v>
      </c>
      <c r="E671" s="4" t="s">
        <v>51</v>
      </c>
      <c r="F671" s="4" t="s">
        <v>53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0.4</v>
      </c>
      <c r="M671" s="6">
        <v>0.4</v>
      </c>
      <c r="N671" s="6">
        <v>0.4</v>
      </c>
      <c r="O671" s="6">
        <v>0.4</v>
      </c>
      <c r="P671" s="6">
        <v>0</v>
      </c>
      <c r="Q671" s="4" t="s">
        <v>26</v>
      </c>
      <c r="R671" s="4">
        <v>0</v>
      </c>
      <c r="S671" s="6">
        <v>0</v>
      </c>
      <c r="T671" s="6">
        <v>30</v>
      </c>
      <c r="U671" s="6">
        <v>70</v>
      </c>
      <c r="V671" s="6">
        <f>IF(ISERROR(VLOOKUP($S$671,'TAR FIN'!$A$1:$O$86,15,0)),0,VLOOKUP($S$671,'TAR FIN'!$A$1:$O$86,15,0))</f>
        <v>0</v>
      </c>
      <c r="W671" s="6">
        <f>IF(ISERROR(VLOOKUP($T$671,'TAR FIN'!$A$1:$O$86,15,0)),0,VLOOKUP($T$671,'TAR FIN'!$A$1:$O$86,15,0))</f>
        <v>285.56</v>
      </c>
      <c r="X671" s="6">
        <f>IF(ISERROR(VLOOKUP($U$671,'TAR FIN'!$A$1:$O$86,15,0)),0,VLOOKUP($U$671,'TAR FIN'!$A$1:$O$86,15,0))</f>
        <v>227.23</v>
      </c>
      <c r="Y671" s="6"/>
      <c r="Z671" s="6">
        <f ca="1">('TUSD BE'!$AM$34+'TUSD BF'!$AM$34+'TUSD CVA'!$AM$34)*(1-CUSTOS!$M$38)</f>
        <v>310.34682484351242</v>
      </c>
      <c r="AA671" s="6">
        <f>('TE BE'!$AB$24+'TE BF'!$AB$24+'TE CVA'!$AB$24)*(1-CUSTOS!$M$38)</f>
        <v>216.7476358676706</v>
      </c>
      <c r="AB671" s="6">
        <f>$K$671*$V$671</f>
        <v>0</v>
      </c>
      <c r="AC671" s="6">
        <f>$M$671*$W$671</f>
        <v>114.224</v>
      </c>
      <c r="AD671" s="6">
        <f>$O$671*$X$671</f>
        <v>90.891999999999996</v>
      </c>
      <c r="AE671" s="6">
        <f>$K$671*$Y$671</f>
        <v>0</v>
      </c>
      <c r="AF671" s="6">
        <f ca="1">$M$671*$Z$671</f>
        <v>124.13872993740497</v>
      </c>
      <c r="AG671" s="6">
        <f>$O$671*$AA$671</f>
        <v>86.699054347068241</v>
      </c>
    </row>
    <row r="672" spans="1:33" ht="11.25" customHeight="1" x14ac:dyDescent="0.25">
      <c r="A672" s="4" t="s">
        <v>21</v>
      </c>
      <c r="B672" s="4" t="s">
        <v>42</v>
      </c>
      <c r="C672" s="4" t="s">
        <v>23</v>
      </c>
      <c r="D672" s="4" t="s">
        <v>43</v>
      </c>
      <c r="E672" s="4" t="s">
        <v>51</v>
      </c>
      <c r="F672" s="4" t="s">
        <v>53</v>
      </c>
      <c r="G672" s="4" t="s">
        <v>25</v>
      </c>
      <c r="H672" s="4" t="s">
        <v>25</v>
      </c>
      <c r="I672" s="5">
        <v>44621</v>
      </c>
      <c r="J672" s="6">
        <v>0</v>
      </c>
      <c r="K672" s="6">
        <v>0</v>
      </c>
      <c r="L672" s="6">
        <v>26.222999999999999</v>
      </c>
      <c r="M672" s="6">
        <v>10.4892</v>
      </c>
      <c r="N672" s="6">
        <v>26.222999999999999</v>
      </c>
      <c r="O672" s="6">
        <v>10.4892</v>
      </c>
      <c r="P672" s="6">
        <v>0</v>
      </c>
      <c r="Q672" s="4" t="s">
        <v>26</v>
      </c>
      <c r="R672" s="4">
        <v>0</v>
      </c>
      <c r="S672" s="6">
        <v>0</v>
      </c>
      <c r="T672" s="6">
        <v>30</v>
      </c>
      <c r="U672" s="6">
        <v>70</v>
      </c>
      <c r="V672" s="6">
        <f>IF(ISERROR(VLOOKUP($S$672,'TAR FIN'!$A$1:$O$86,15,0)),0,VLOOKUP($S$672,'TAR FIN'!$A$1:$O$86,15,0))</f>
        <v>0</v>
      </c>
      <c r="W672" s="6">
        <f>IF(ISERROR(VLOOKUP($T$672,'TAR FIN'!$A$1:$O$86,15,0)),0,VLOOKUP($T$672,'TAR FIN'!$A$1:$O$86,15,0))</f>
        <v>285.56</v>
      </c>
      <c r="X672" s="6">
        <f>IF(ISERROR(VLOOKUP($U$672,'TAR FIN'!$A$1:$O$86,15,0)),0,VLOOKUP($U$672,'TAR FIN'!$A$1:$O$86,15,0))</f>
        <v>227.23</v>
      </c>
      <c r="Y672" s="6"/>
      <c r="Z672" s="6">
        <f ca="1">('TUSD BE'!$AM$34+'TUSD BF'!$AM$34+'TUSD CVA'!$AM$34)*(1-CUSTOS!$M$38)</f>
        <v>310.34682484351242</v>
      </c>
      <c r="AA672" s="6">
        <f>('TE BE'!$AB$24+'TE BF'!$AB$24+'TE CVA'!$AB$24)*(1-CUSTOS!$M$38)</f>
        <v>216.7476358676706</v>
      </c>
      <c r="AB672" s="6">
        <f>$K$672*$V$672</f>
        <v>0</v>
      </c>
      <c r="AC672" s="6">
        <f>$M$672*$W$672</f>
        <v>2995.2959519999999</v>
      </c>
      <c r="AD672" s="6">
        <f>$O$672*$X$672</f>
        <v>2383.460916</v>
      </c>
      <c r="AE672" s="6">
        <f>$K$672*$Y$672</f>
        <v>0</v>
      </c>
      <c r="AF672" s="6">
        <f ca="1">$M$672*$Z$672</f>
        <v>3255.2899151485708</v>
      </c>
      <c r="AG672" s="6">
        <f>$O$672*$AA$672</f>
        <v>2273.5093021431703</v>
      </c>
    </row>
    <row r="673" spans="1:33" ht="11.25" customHeight="1" x14ac:dyDescent="0.25">
      <c r="A673" s="4" t="s">
        <v>55</v>
      </c>
      <c r="B673" s="4" t="s">
        <v>42</v>
      </c>
      <c r="C673" s="4" t="s">
        <v>23</v>
      </c>
      <c r="D673" s="4" t="s">
        <v>43</v>
      </c>
      <c r="E673" s="4" t="s">
        <v>51</v>
      </c>
      <c r="F673" s="4" t="s">
        <v>53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0.25</v>
      </c>
      <c r="M673" s="6">
        <v>0.25</v>
      </c>
      <c r="N673" s="6">
        <v>0.25</v>
      </c>
      <c r="O673" s="6">
        <v>0.25</v>
      </c>
      <c r="P673" s="6">
        <v>0</v>
      </c>
      <c r="Q673" s="4" t="s">
        <v>26</v>
      </c>
      <c r="R673" s="4">
        <v>0</v>
      </c>
      <c r="S673" s="6">
        <v>0</v>
      </c>
      <c r="T673" s="6">
        <v>30</v>
      </c>
      <c r="U673" s="6">
        <v>70</v>
      </c>
      <c r="V673" s="6">
        <f>IF(ISERROR(VLOOKUP($S$673,'TAR FIN'!$A$1:$O$86,15,0)),0,VLOOKUP($S$673,'TAR FIN'!$A$1:$O$86,15,0))</f>
        <v>0</v>
      </c>
      <c r="W673" s="6">
        <f>IF(ISERROR(VLOOKUP($T$673,'TAR FIN'!$A$1:$O$86,15,0)),0,VLOOKUP($T$673,'TAR FIN'!$A$1:$O$86,15,0))</f>
        <v>285.56</v>
      </c>
      <c r="X673" s="6">
        <f>IF(ISERROR(VLOOKUP($U$673,'TAR FIN'!$A$1:$O$86,15,0)),0,VLOOKUP($U$673,'TAR FIN'!$A$1:$O$86,15,0))</f>
        <v>227.23</v>
      </c>
      <c r="Y673" s="6"/>
      <c r="Z673" s="6">
        <f ca="1">('TUSD BE'!$AM$34+'TUSD BF'!$AM$34+'TUSD CVA'!$AM$34)*(1-CUSTOS!$M$38)</f>
        <v>310.34682484351242</v>
      </c>
      <c r="AA673" s="6">
        <f>('TE BE'!$AB$24+'TE BF'!$AB$24+'TE CVA'!$AB$24)*(1-CUSTOS!$M$38)</f>
        <v>216.7476358676706</v>
      </c>
      <c r="AB673" s="6">
        <f>$K$673*$V$673</f>
        <v>0</v>
      </c>
      <c r="AC673" s="6">
        <f>$M$673*$W$673</f>
        <v>71.39</v>
      </c>
      <c r="AD673" s="6">
        <f>$O$673*$X$673</f>
        <v>56.807499999999997</v>
      </c>
      <c r="AE673" s="6">
        <f>$K$673*$Y$673</f>
        <v>0</v>
      </c>
      <c r="AF673" s="6">
        <f ca="1">$M$673*$Z$673</f>
        <v>77.586706210878106</v>
      </c>
      <c r="AG673" s="6">
        <f>$O$673*$AA$673</f>
        <v>54.186908966917649</v>
      </c>
    </row>
    <row r="674" spans="1:33" ht="11.25" customHeight="1" x14ac:dyDescent="0.25">
      <c r="A674" s="4" t="s">
        <v>21</v>
      </c>
      <c r="B674" s="4" t="s">
        <v>42</v>
      </c>
      <c r="C674" s="4" t="s">
        <v>23</v>
      </c>
      <c r="D674" s="4" t="s">
        <v>43</v>
      </c>
      <c r="E674" s="4" t="s">
        <v>51</v>
      </c>
      <c r="F674" s="4" t="s">
        <v>53</v>
      </c>
      <c r="G674" s="4" t="s">
        <v>25</v>
      </c>
      <c r="H674" s="4" t="s">
        <v>25</v>
      </c>
      <c r="I674" s="5">
        <v>44652</v>
      </c>
      <c r="J674" s="6">
        <v>0</v>
      </c>
      <c r="K674" s="6">
        <v>0</v>
      </c>
      <c r="L674" s="6">
        <v>2.411</v>
      </c>
      <c r="M674" s="6">
        <v>0.96440000000000003</v>
      </c>
      <c r="N674" s="6">
        <v>2.411</v>
      </c>
      <c r="O674" s="6">
        <v>0.96440000000000003</v>
      </c>
      <c r="P674" s="6">
        <v>0</v>
      </c>
      <c r="Q674" s="4" t="s">
        <v>26</v>
      </c>
      <c r="R674" s="4">
        <v>0</v>
      </c>
      <c r="S674" s="6">
        <v>0</v>
      </c>
      <c r="T674" s="6">
        <v>30</v>
      </c>
      <c r="U674" s="6">
        <v>70</v>
      </c>
      <c r="V674" s="6">
        <f>IF(ISERROR(VLOOKUP($S$674,'TAR FIN'!$A$1:$O$86,15,0)),0,VLOOKUP($S$674,'TAR FIN'!$A$1:$O$86,15,0))</f>
        <v>0</v>
      </c>
      <c r="W674" s="6">
        <f>IF(ISERROR(VLOOKUP($T$674,'TAR FIN'!$A$1:$O$86,15,0)),0,VLOOKUP($T$674,'TAR FIN'!$A$1:$O$86,15,0))</f>
        <v>285.56</v>
      </c>
      <c r="X674" s="6">
        <f>IF(ISERROR(VLOOKUP($U$674,'TAR FIN'!$A$1:$O$86,15,0)),0,VLOOKUP($U$674,'TAR FIN'!$A$1:$O$86,15,0))</f>
        <v>227.23</v>
      </c>
      <c r="Y674" s="6"/>
      <c r="Z674" s="6">
        <f ca="1">('TUSD BE'!$AM$34+'TUSD BF'!$AM$34+'TUSD CVA'!$AM$34)*(1-CUSTOS!$M$38)</f>
        <v>310.34682484351242</v>
      </c>
      <c r="AA674" s="6">
        <f>('TE BE'!$AB$24+'TE BF'!$AB$24+'TE CVA'!$AB$24)*(1-CUSTOS!$M$38)</f>
        <v>216.7476358676706</v>
      </c>
      <c r="AB674" s="6">
        <f>$K$674*$V$674</f>
        <v>0</v>
      </c>
      <c r="AC674" s="6">
        <f>$M$674*$W$674</f>
        <v>275.39406400000001</v>
      </c>
      <c r="AD674" s="6">
        <f>$O$674*$X$674</f>
        <v>219.140612</v>
      </c>
      <c r="AE674" s="6">
        <f>$K$674*$Y$674</f>
        <v>0</v>
      </c>
      <c r="AF674" s="6">
        <f ca="1">$M$674*$Z$674</f>
        <v>299.29847787908341</v>
      </c>
      <c r="AG674" s="6">
        <f>$O$674*$AA$674</f>
        <v>209.03142003078153</v>
      </c>
    </row>
    <row r="675" spans="1:33" ht="11.25" customHeight="1" x14ac:dyDescent="0.25">
      <c r="A675" s="4" t="s">
        <v>21</v>
      </c>
      <c r="B675" s="4" t="s">
        <v>42</v>
      </c>
      <c r="C675" s="4" t="s">
        <v>23</v>
      </c>
      <c r="D675" s="4" t="s">
        <v>43</v>
      </c>
      <c r="E675" s="4" t="s">
        <v>51</v>
      </c>
      <c r="F675" s="4" t="s">
        <v>53</v>
      </c>
      <c r="G675" s="4" t="s">
        <v>25</v>
      </c>
      <c r="H675" s="4" t="s">
        <v>25</v>
      </c>
      <c r="I675" s="5">
        <v>44682</v>
      </c>
      <c r="J675" s="6">
        <v>0</v>
      </c>
      <c r="K675" s="6">
        <v>0</v>
      </c>
      <c r="L675" s="6">
        <v>6.82</v>
      </c>
      <c r="M675" s="6">
        <v>2.7280000000000002</v>
      </c>
      <c r="N675" s="6">
        <v>6.82</v>
      </c>
      <c r="O675" s="6">
        <v>2.7280000000000002</v>
      </c>
      <c r="P675" s="6">
        <v>0</v>
      </c>
      <c r="Q675" s="4" t="s">
        <v>26</v>
      </c>
      <c r="R675" s="4">
        <v>0</v>
      </c>
      <c r="S675" s="6">
        <v>0</v>
      </c>
      <c r="T675" s="6">
        <v>30</v>
      </c>
      <c r="U675" s="6">
        <v>70</v>
      </c>
      <c r="V675" s="6">
        <f>IF(ISERROR(VLOOKUP($S$675,'TAR FIN'!$A$1:$O$86,15,0)),0,VLOOKUP($S$675,'TAR FIN'!$A$1:$O$86,15,0))</f>
        <v>0</v>
      </c>
      <c r="W675" s="6">
        <f>IF(ISERROR(VLOOKUP($T$675,'TAR FIN'!$A$1:$O$86,15,0)),0,VLOOKUP($T$675,'TAR FIN'!$A$1:$O$86,15,0))</f>
        <v>285.56</v>
      </c>
      <c r="X675" s="6">
        <f>IF(ISERROR(VLOOKUP($U$675,'TAR FIN'!$A$1:$O$86,15,0)),0,VLOOKUP($U$675,'TAR FIN'!$A$1:$O$86,15,0))</f>
        <v>227.23</v>
      </c>
      <c r="Y675" s="6"/>
      <c r="Z675" s="6">
        <f ca="1">('TUSD BE'!$AM$34+'TUSD BF'!$AM$34+'TUSD CVA'!$AM$34)*(1-CUSTOS!$M$38)</f>
        <v>310.34682484351242</v>
      </c>
      <c r="AA675" s="6">
        <f>('TE BE'!$AB$24+'TE BF'!$AB$24+'TE CVA'!$AB$24)*(1-CUSTOS!$M$38)</f>
        <v>216.7476358676706</v>
      </c>
      <c r="AB675" s="6">
        <f>$K$675*$V$675</f>
        <v>0</v>
      </c>
      <c r="AC675" s="6">
        <f>$M$675*$W$675</f>
        <v>779.00768000000005</v>
      </c>
      <c r="AD675" s="6">
        <f>$O$675*$X$675</f>
        <v>619.88344000000006</v>
      </c>
      <c r="AE675" s="6">
        <f>$K$675*$Y$675</f>
        <v>0</v>
      </c>
      <c r="AF675" s="6">
        <f ca="1">$M$675*$Z$675</f>
        <v>846.62613817310194</v>
      </c>
      <c r="AG675" s="6">
        <f>$O$675*$AA$675</f>
        <v>591.28755064700545</v>
      </c>
    </row>
    <row r="676" spans="1:33" ht="11.25" customHeight="1" x14ac:dyDescent="0.25">
      <c r="A676" s="4" t="s">
        <v>56</v>
      </c>
      <c r="B676" s="4" t="s">
        <v>42</v>
      </c>
      <c r="C676" s="4" t="s">
        <v>23</v>
      </c>
      <c r="D676" s="4" t="s">
        <v>43</v>
      </c>
      <c r="E676" s="4" t="s">
        <v>51</v>
      </c>
      <c r="F676" s="4" t="s">
        <v>53</v>
      </c>
      <c r="G676" s="4" t="s">
        <v>25</v>
      </c>
      <c r="H676" s="4" t="s">
        <v>25</v>
      </c>
      <c r="I676" s="5">
        <v>44713</v>
      </c>
      <c r="J676" s="6">
        <v>0</v>
      </c>
      <c r="K676" s="6">
        <v>0</v>
      </c>
      <c r="L676" s="6">
        <v>6.82</v>
      </c>
      <c r="M676" s="6">
        <v>2.7280000000000002</v>
      </c>
      <c r="N676" s="6">
        <v>6.82</v>
      </c>
      <c r="O676" s="6">
        <v>2.7280000000000002</v>
      </c>
      <c r="P676" s="6">
        <v>0</v>
      </c>
      <c r="Q676" s="4" t="s">
        <v>26</v>
      </c>
      <c r="R676" s="4">
        <v>0</v>
      </c>
      <c r="S676" s="6">
        <v>0</v>
      </c>
      <c r="T676" s="6">
        <v>30</v>
      </c>
      <c r="U676" s="6">
        <v>70</v>
      </c>
      <c r="V676" s="6">
        <f>IF(ISERROR(VLOOKUP($S$676,'TAR FIN'!$A$1:$O$86,15,0)),0,VLOOKUP($S$676,'TAR FIN'!$A$1:$O$86,15,0))</f>
        <v>0</v>
      </c>
      <c r="W676" s="6">
        <f>IF(ISERROR(VLOOKUP($T$676,'TAR FIN'!$A$1:$O$86,15,0)),0,VLOOKUP($T$676,'TAR FIN'!$A$1:$O$86,15,0))</f>
        <v>285.56</v>
      </c>
      <c r="X676" s="6">
        <f>IF(ISERROR(VLOOKUP($U$676,'TAR FIN'!$A$1:$O$86,15,0)),0,VLOOKUP($U$676,'TAR FIN'!$A$1:$O$86,15,0))</f>
        <v>227.23</v>
      </c>
      <c r="Y676" s="6"/>
      <c r="Z676" s="6">
        <f ca="1">('TUSD BE'!$AM$34+'TUSD BF'!$AM$34+'TUSD CVA'!$AM$34)*(1-CUSTOS!$M$38)</f>
        <v>310.34682484351242</v>
      </c>
      <c r="AA676" s="6">
        <f>('TE BE'!$AB$24+'TE BF'!$AB$24+'TE CVA'!$AB$24)*(1-CUSTOS!$M$38)</f>
        <v>216.7476358676706</v>
      </c>
      <c r="AB676" s="6">
        <f>$K$676*$V$676</f>
        <v>0</v>
      </c>
      <c r="AC676" s="6">
        <f>$M$676*$W$676</f>
        <v>779.00768000000005</v>
      </c>
      <c r="AD676" s="6">
        <f>$O$676*$X$676</f>
        <v>619.88344000000006</v>
      </c>
      <c r="AE676" s="6">
        <f>$K$676*$Y$676</f>
        <v>0</v>
      </c>
      <c r="AF676" s="6">
        <f ca="1">$M$676*$Z$676</f>
        <v>846.62613817310194</v>
      </c>
      <c r="AG676" s="6">
        <f>$O$676*$AA$676</f>
        <v>591.28755064700545</v>
      </c>
    </row>
    <row r="677" spans="1:33" ht="11.25" customHeight="1" x14ac:dyDescent="0.25">
      <c r="A677" s="4" t="s">
        <v>21</v>
      </c>
      <c r="B677" s="4" t="s">
        <v>42</v>
      </c>
      <c r="C677" s="4" t="s">
        <v>23</v>
      </c>
      <c r="D677" s="4" t="s">
        <v>43</v>
      </c>
      <c r="E677" s="4" t="s">
        <v>54</v>
      </c>
      <c r="F677" s="4" t="s">
        <v>52</v>
      </c>
      <c r="G677" s="4" t="s">
        <v>25</v>
      </c>
      <c r="H677" s="4" t="s">
        <v>25</v>
      </c>
      <c r="I677" s="5">
        <v>44378</v>
      </c>
      <c r="J677" s="6">
        <v>0</v>
      </c>
      <c r="K677" s="6">
        <v>0</v>
      </c>
      <c r="L677" s="6">
        <v>4.6390000000000002</v>
      </c>
      <c r="M677" s="6">
        <v>4.6390000000000002</v>
      </c>
      <c r="N677" s="6">
        <v>4.6390000000000002</v>
      </c>
      <c r="O677" s="6">
        <v>4.6390000000000002</v>
      </c>
      <c r="P677" s="6">
        <v>0</v>
      </c>
      <c r="Q677" s="4" t="s">
        <v>26</v>
      </c>
      <c r="R677" s="4">
        <v>0</v>
      </c>
      <c r="S677" s="6">
        <v>0</v>
      </c>
      <c r="T677" s="6">
        <v>30</v>
      </c>
      <c r="U677" s="6">
        <v>70</v>
      </c>
      <c r="V677" s="6">
        <f>IF(ISERROR(VLOOKUP($S$677,'TAR FIN'!$A$1:$O$86,15,0)),0,VLOOKUP($S$677,'TAR FIN'!$A$1:$O$86,15,0))</f>
        <v>0</v>
      </c>
      <c r="W677" s="6">
        <f>IF(ISERROR(VLOOKUP($T$677,'TAR FIN'!$A$1:$O$86,15,0)),0,VLOOKUP($T$677,'TAR FIN'!$A$1:$O$86,15,0))</f>
        <v>285.56</v>
      </c>
      <c r="X677" s="6">
        <f>IF(ISERROR(VLOOKUP($U$677,'TAR FIN'!$A$1:$O$86,15,0)),0,VLOOKUP($U$677,'TAR FIN'!$A$1:$O$86,15,0))</f>
        <v>227.23</v>
      </c>
      <c r="Y677" s="6"/>
      <c r="Z677" s="6">
        <f ca="1">('TUSD BE'!$AM$34+'TUSD BF'!$AM$34+'TUSD CVA'!$AM$34)*(1-CUSTOS!$M$38)</f>
        <v>310.34682484351242</v>
      </c>
      <c r="AA677" s="6">
        <f>('TE BE'!$AB$24+'TE BF'!$AB$24+'TE CVA'!$AB$24)*(1-CUSTOS!$M$38)</f>
        <v>216.7476358676706</v>
      </c>
      <c r="AB677" s="6">
        <f>$K$677*$V$677</f>
        <v>0</v>
      </c>
      <c r="AC677" s="6">
        <f>$M$677*$W$677</f>
        <v>1324.7128400000001</v>
      </c>
      <c r="AD677" s="6">
        <f>$O$677*$X$677</f>
        <v>1054.11997</v>
      </c>
      <c r="AE677" s="6">
        <f>$K$677*$Y$677</f>
        <v>0</v>
      </c>
      <c r="AF677" s="6">
        <f ca="1">$M$677*$Z$677</f>
        <v>1439.6989204490542</v>
      </c>
      <c r="AG677" s="6">
        <f>$O$677*$AA$677</f>
        <v>1005.4922827901239</v>
      </c>
    </row>
    <row r="678" spans="1:33" ht="11.25" customHeight="1" x14ac:dyDescent="0.25">
      <c r="A678" s="4" t="s">
        <v>21</v>
      </c>
      <c r="B678" s="4" t="s">
        <v>42</v>
      </c>
      <c r="C678" s="4" t="s">
        <v>23</v>
      </c>
      <c r="D678" s="4" t="s">
        <v>43</v>
      </c>
      <c r="E678" s="4" t="s">
        <v>54</v>
      </c>
      <c r="F678" s="4" t="s">
        <v>52</v>
      </c>
      <c r="G678" s="4" t="s">
        <v>25</v>
      </c>
      <c r="H678" s="4" t="s">
        <v>25</v>
      </c>
      <c r="I678" s="5">
        <v>44409</v>
      </c>
      <c r="J678" s="6">
        <v>0</v>
      </c>
      <c r="K678" s="6">
        <v>0</v>
      </c>
      <c r="L678" s="6">
        <v>4.6219999999999999</v>
      </c>
      <c r="M678" s="6">
        <v>4.6219999999999999</v>
      </c>
      <c r="N678" s="6">
        <v>4.6219999999999999</v>
      </c>
      <c r="O678" s="6">
        <v>4.6219999999999999</v>
      </c>
      <c r="P678" s="6">
        <v>0</v>
      </c>
      <c r="Q678" s="4" t="s">
        <v>26</v>
      </c>
      <c r="R678" s="4">
        <v>0</v>
      </c>
      <c r="S678" s="6">
        <v>0</v>
      </c>
      <c r="T678" s="6">
        <v>30</v>
      </c>
      <c r="U678" s="6">
        <v>70</v>
      </c>
      <c r="V678" s="6">
        <f>IF(ISERROR(VLOOKUP($S$678,'TAR FIN'!$A$1:$O$86,15,0)),0,VLOOKUP($S$678,'TAR FIN'!$A$1:$O$86,15,0))</f>
        <v>0</v>
      </c>
      <c r="W678" s="6">
        <f>IF(ISERROR(VLOOKUP($T$678,'TAR FIN'!$A$1:$O$86,15,0)),0,VLOOKUP($T$678,'TAR FIN'!$A$1:$O$86,15,0))</f>
        <v>285.56</v>
      </c>
      <c r="X678" s="6">
        <f>IF(ISERROR(VLOOKUP($U$678,'TAR FIN'!$A$1:$O$86,15,0)),0,VLOOKUP($U$678,'TAR FIN'!$A$1:$O$86,15,0))</f>
        <v>227.23</v>
      </c>
      <c r="Y678" s="6"/>
      <c r="Z678" s="6">
        <f ca="1">('TUSD BE'!$AM$34+'TUSD BF'!$AM$34+'TUSD CVA'!$AM$34)*(1-CUSTOS!$M$38)</f>
        <v>310.34682484351242</v>
      </c>
      <c r="AA678" s="6">
        <f>('TE BE'!$AB$24+'TE BF'!$AB$24+'TE CVA'!$AB$24)*(1-CUSTOS!$M$38)</f>
        <v>216.7476358676706</v>
      </c>
      <c r="AB678" s="6">
        <f>$K$678*$V$678</f>
        <v>0</v>
      </c>
      <c r="AC678" s="6">
        <f>$M$678*$W$678</f>
        <v>1319.85832</v>
      </c>
      <c r="AD678" s="6">
        <f>$O$678*$X$678</f>
        <v>1050.2570599999999</v>
      </c>
      <c r="AE678" s="6">
        <f>$K$678*$Y$678</f>
        <v>0</v>
      </c>
      <c r="AF678" s="6">
        <f ca="1">$M$678*$Z$678</f>
        <v>1434.4230244267144</v>
      </c>
      <c r="AG678" s="6">
        <f>$O$678*$AA$678</f>
        <v>1001.8075729803735</v>
      </c>
    </row>
    <row r="679" spans="1:33" ht="11.25" customHeight="1" x14ac:dyDescent="0.25">
      <c r="A679" s="4" t="s">
        <v>27</v>
      </c>
      <c r="B679" s="4" t="s">
        <v>42</v>
      </c>
      <c r="C679" s="4" t="s">
        <v>23</v>
      </c>
      <c r="D679" s="4" t="s">
        <v>43</v>
      </c>
      <c r="E679" s="4" t="s">
        <v>54</v>
      </c>
      <c r="F679" s="4" t="s">
        <v>52</v>
      </c>
      <c r="G679" s="4" t="s">
        <v>25</v>
      </c>
      <c r="H679" s="4" t="s">
        <v>25</v>
      </c>
      <c r="I679" s="5">
        <v>44409</v>
      </c>
      <c r="J679" s="6">
        <v>0</v>
      </c>
      <c r="K679" s="6">
        <v>0</v>
      </c>
      <c r="L679" s="6">
        <v>-1.766</v>
      </c>
      <c r="M679" s="6">
        <v>-1.766</v>
      </c>
      <c r="N679" s="6">
        <v>-1.766</v>
      </c>
      <c r="O679" s="6">
        <v>-1.766</v>
      </c>
      <c r="P679" s="6">
        <v>0</v>
      </c>
      <c r="Q679" s="4" t="s">
        <v>26</v>
      </c>
      <c r="R679" s="4">
        <v>0</v>
      </c>
      <c r="S679" s="6">
        <v>0</v>
      </c>
      <c r="T679" s="6">
        <v>30</v>
      </c>
      <c r="U679" s="6">
        <v>70</v>
      </c>
      <c r="V679" s="6">
        <f>IF(ISERROR(VLOOKUP($S$679,'TAR FIN'!$A$1:$O$86,15,0)),0,VLOOKUP($S$679,'TAR FIN'!$A$1:$O$86,15,0))</f>
        <v>0</v>
      </c>
      <c r="W679" s="6">
        <f>IF(ISERROR(VLOOKUP($T$679,'TAR FIN'!$A$1:$O$86,15,0)),0,VLOOKUP($T$679,'TAR FIN'!$A$1:$O$86,15,0))</f>
        <v>285.56</v>
      </c>
      <c r="X679" s="6">
        <f>IF(ISERROR(VLOOKUP($U$679,'TAR FIN'!$A$1:$O$86,15,0)),0,VLOOKUP($U$679,'TAR FIN'!$A$1:$O$86,15,0))</f>
        <v>227.23</v>
      </c>
      <c r="Y679" s="6"/>
      <c r="Z679" s="6">
        <f ca="1">('TUSD BE'!$AM$34+'TUSD BF'!$AM$34+'TUSD CVA'!$AM$34)*(1-CUSTOS!$M$38)</f>
        <v>310.34682484351242</v>
      </c>
      <c r="AA679" s="6">
        <f>('TE BE'!$AB$24+'TE BF'!$AB$24+'TE CVA'!$AB$24)*(1-CUSTOS!$M$38)</f>
        <v>216.7476358676706</v>
      </c>
      <c r="AB679" s="6">
        <f>$K$679*$V$679</f>
        <v>0</v>
      </c>
      <c r="AC679" s="6">
        <f>$M$679*$W$679</f>
        <v>-504.29896000000002</v>
      </c>
      <c r="AD679" s="6">
        <f>$O$679*$X$679</f>
        <v>-401.28818000000001</v>
      </c>
      <c r="AE679" s="6">
        <f>$K$679*$Y$679</f>
        <v>0</v>
      </c>
      <c r="AF679" s="6">
        <f ca="1">$M$679*$Z$679</f>
        <v>-548.07249267364296</v>
      </c>
      <c r="AG679" s="6">
        <f>$O$679*$AA$679</f>
        <v>-382.7763249423063</v>
      </c>
    </row>
    <row r="680" spans="1:33" ht="11.25" customHeight="1" x14ac:dyDescent="0.25">
      <c r="A680" s="4" t="s">
        <v>55</v>
      </c>
      <c r="B680" s="4" t="s">
        <v>42</v>
      </c>
      <c r="C680" s="4" t="s">
        <v>23</v>
      </c>
      <c r="D680" s="4" t="s">
        <v>43</v>
      </c>
      <c r="E680" s="4" t="s">
        <v>54</v>
      </c>
      <c r="F680" s="4" t="s">
        <v>52</v>
      </c>
      <c r="G680" s="4" t="s">
        <v>25</v>
      </c>
      <c r="H680" s="4" t="s">
        <v>25</v>
      </c>
      <c r="I680" s="5">
        <v>44409</v>
      </c>
      <c r="J680" s="6">
        <v>0</v>
      </c>
      <c r="K680" s="6">
        <v>0</v>
      </c>
      <c r="L680" s="6">
        <v>1.845</v>
      </c>
      <c r="M680" s="6">
        <v>1.845</v>
      </c>
      <c r="N680" s="6">
        <v>1.845</v>
      </c>
      <c r="O680" s="6">
        <v>1.845</v>
      </c>
      <c r="P680" s="6">
        <v>0</v>
      </c>
      <c r="Q680" s="4" t="s">
        <v>26</v>
      </c>
      <c r="R680" s="4">
        <v>0</v>
      </c>
      <c r="S680" s="6">
        <v>0</v>
      </c>
      <c r="T680" s="6">
        <v>30</v>
      </c>
      <c r="U680" s="6">
        <v>70</v>
      </c>
      <c r="V680" s="6">
        <f>IF(ISERROR(VLOOKUP($S$680,'TAR FIN'!$A$1:$O$86,15,0)),0,VLOOKUP($S$680,'TAR FIN'!$A$1:$O$86,15,0))</f>
        <v>0</v>
      </c>
      <c r="W680" s="6">
        <f>IF(ISERROR(VLOOKUP($T$680,'TAR FIN'!$A$1:$O$86,15,0)),0,VLOOKUP($T$680,'TAR FIN'!$A$1:$O$86,15,0))</f>
        <v>285.56</v>
      </c>
      <c r="X680" s="6">
        <f>IF(ISERROR(VLOOKUP($U$680,'TAR FIN'!$A$1:$O$86,15,0)),0,VLOOKUP($U$680,'TAR FIN'!$A$1:$O$86,15,0))</f>
        <v>227.23</v>
      </c>
      <c r="Y680" s="6"/>
      <c r="Z680" s="6">
        <f ca="1">('TUSD BE'!$AM$34+'TUSD BF'!$AM$34+'TUSD CVA'!$AM$34)*(1-CUSTOS!$M$38)</f>
        <v>310.34682484351242</v>
      </c>
      <c r="AA680" s="6">
        <f>('TE BE'!$AB$24+'TE BF'!$AB$24+'TE CVA'!$AB$24)*(1-CUSTOS!$M$38)</f>
        <v>216.7476358676706</v>
      </c>
      <c r="AB680" s="6">
        <f>$K$680*$V$680</f>
        <v>0</v>
      </c>
      <c r="AC680" s="6">
        <f>$M$680*$W$680</f>
        <v>526.85820000000001</v>
      </c>
      <c r="AD680" s="6">
        <f>$O$680*$X$680</f>
        <v>419.23935</v>
      </c>
      <c r="AE680" s="6">
        <f>$K$680*$Y$680</f>
        <v>0</v>
      </c>
      <c r="AF680" s="6">
        <f ca="1">$M$680*$Z$680</f>
        <v>572.58989183628046</v>
      </c>
      <c r="AG680" s="6">
        <f>$O$680*$AA$680</f>
        <v>399.89938817585227</v>
      </c>
    </row>
    <row r="681" spans="1:33" ht="11.25" customHeight="1" x14ac:dyDescent="0.25">
      <c r="A681" s="4" t="s">
        <v>21</v>
      </c>
      <c r="B681" s="4" t="s">
        <v>42</v>
      </c>
      <c r="C681" s="4" t="s">
        <v>23</v>
      </c>
      <c r="D681" s="4" t="s">
        <v>43</v>
      </c>
      <c r="E681" s="4" t="s">
        <v>54</v>
      </c>
      <c r="F681" s="4" t="s">
        <v>52</v>
      </c>
      <c r="G681" s="4" t="s">
        <v>25</v>
      </c>
      <c r="H681" s="4" t="s">
        <v>25</v>
      </c>
      <c r="I681" s="5">
        <v>44440</v>
      </c>
      <c r="J681" s="6">
        <v>0</v>
      </c>
      <c r="K681" s="6">
        <v>0</v>
      </c>
      <c r="L681" s="6">
        <v>1.7450000000000001</v>
      </c>
      <c r="M681" s="6">
        <v>1.7450000000000001</v>
      </c>
      <c r="N681" s="6">
        <v>1.7450000000000001</v>
      </c>
      <c r="O681" s="6">
        <v>1.7450000000000001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30</v>
      </c>
      <c r="U681" s="6">
        <v>70</v>
      </c>
      <c r="V681" s="6">
        <f>IF(ISERROR(VLOOKUP($S$681,'TAR FIN'!$A$1:$O$86,15,0)),0,VLOOKUP($S$681,'TAR FIN'!$A$1:$O$86,15,0))</f>
        <v>0</v>
      </c>
      <c r="W681" s="6">
        <f>IF(ISERROR(VLOOKUP($T$681,'TAR FIN'!$A$1:$O$86,15,0)),0,VLOOKUP($T$681,'TAR FIN'!$A$1:$O$86,15,0))</f>
        <v>285.56</v>
      </c>
      <c r="X681" s="6">
        <f>IF(ISERROR(VLOOKUP($U$681,'TAR FIN'!$A$1:$O$86,15,0)),0,VLOOKUP($U$681,'TAR FIN'!$A$1:$O$86,15,0))</f>
        <v>227.23</v>
      </c>
      <c r="Y681" s="6"/>
      <c r="Z681" s="6">
        <f ca="1">('TUSD BE'!$AM$34+'TUSD BF'!$AM$34+'TUSD CVA'!$AM$34)*(1-CUSTOS!$M$38)</f>
        <v>310.34682484351242</v>
      </c>
      <c r="AA681" s="6">
        <f>('TE BE'!$AB$24+'TE BF'!$AB$24+'TE CVA'!$AB$24)*(1-CUSTOS!$M$38)</f>
        <v>216.7476358676706</v>
      </c>
      <c r="AB681" s="6">
        <f>$K$681*$V$681</f>
        <v>0</v>
      </c>
      <c r="AC681" s="6">
        <f>$M$681*$W$681</f>
        <v>498.30220000000003</v>
      </c>
      <c r="AD681" s="6">
        <f>$O$681*$X$681</f>
        <v>396.51634999999999</v>
      </c>
      <c r="AE681" s="6">
        <f>$K$681*$Y$681</f>
        <v>0</v>
      </c>
      <c r="AF681" s="6">
        <f ca="1">$M$681*$Z$681</f>
        <v>541.55520935192919</v>
      </c>
      <c r="AG681" s="6">
        <f>$O$681*$AA$681</f>
        <v>378.22462458908524</v>
      </c>
    </row>
    <row r="682" spans="1:33" ht="11.25" customHeight="1" x14ac:dyDescent="0.25">
      <c r="A682" s="4" t="s">
        <v>27</v>
      </c>
      <c r="B682" s="4" t="s">
        <v>42</v>
      </c>
      <c r="C682" s="4" t="s">
        <v>23</v>
      </c>
      <c r="D682" s="4" t="s">
        <v>43</v>
      </c>
      <c r="E682" s="4" t="s">
        <v>54</v>
      </c>
      <c r="F682" s="4" t="s">
        <v>52</v>
      </c>
      <c r="G682" s="4" t="s">
        <v>25</v>
      </c>
      <c r="H682" s="4" t="s">
        <v>25</v>
      </c>
      <c r="I682" s="5">
        <v>44440</v>
      </c>
      <c r="J682" s="6">
        <v>0</v>
      </c>
      <c r="K682" s="6">
        <v>0</v>
      </c>
      <c r="L682" s="6">
        <v>-1.5509999999999999</v>
      </c>
      <c r="M682" s="6">
        <v>-1.5509999999999999</v>
      </c>
      <c r="N682" s="6">
        <v>-1.5509999999999999</v>
      </c>
      <c r="O682" s="6">
        <v>-1.5509999999999999</v>
      </c>
      <c r="P682" s="6">
        <v>0</v>
      </c>
      <c r="Q682" s="4" t="s">
        <v>26</v>
      </c>
      <c r="R682" s="4">
        <v>0</v>
      </c>
      <c r="S682" s="6">
        <v>0</v>
      </c>
      <c r="T682" s="6">
        <v>30</v>
      </c>
      <c r="U682" s="6">
        <v>70</v>
      </c>
      <c r="V682" s="6">
        <f>IF(ISERROR(VLOOKUP($S$682,'TAR FIN'!$A$1:$O$86,15,0)),0,VLOOKUP($S$682,'TAR FIN'!$A$1:$O$86,15,0))</f>
        <v>0</v>
      </c>
      <c r="W682" s="6">
        <f>IF(ISERROR(VLOOKUP($T$682,'TAR FIN'!$A$1:$O$86,15,0)),0,VLOOKUP($T$682,'TAR FIN'!$A$1:$O$86,15,0))</f>
        <v>285.56</v>
      </c>
      <c r="X682" s="6">
        <f>IF(ISERROR(VLOOKUP($U$682,'TAR FIN'!$A$1:$O$86,15,0)),0,VLOOKUP($U$682,'TAR FIN'!$A$1:$O$86,15,0))</f>
        <v>227.23</v>
      </c>
      <c r="Y682" s="6"/>
      <c r="Z682" s="6">
        <f ca="1">('TUSD BE'!$AM$34+'TUSD BF'!$AM$34+'TUSD CVA'!$AM$34)*(1-CUSTOS!$M$38)</f>
        <v>310.34682484351242</v>
      </c>
      <c r="AA682" s="6">
        <f>('TE BE'!$AB$24+'TE BF'!$AB$24+'TE CVA'!$AB$24)*(1-CUSTOS!$M$38)</f>
        <v>216.7476358676706</v>
      </c>
      <c r="AB682" s="6">
        <f>$K$682*$V$682</f>
        <v>0</v>
      </c>
      <c r="AC682" s="6">
        <f>$M$682*$W$682</f>
        <v>-442.90355999999997</v>
      </c>
      <c r="AD682" s="6">
        <f>$O$682*$X$682</f>
        <v>-352.43372999999997</v>
      </c>
      <c r="AE682" s="6">
        <f>$K$682*$Y$682</f>
        <v>0</v>
      </c>
      <c r="AF682" s="6">
        <f ca="1">$M$682*$Z$682</f>
        <v>-481.34792533228773</v>
      </c>
      <c r="AG682" s="6">
        <f>$O$682*$AA$682</f>
        <v>-336.17558323075707</v>
      </c>
    </row>
    <row r="683" spans="1:33" ht="11.25" customHeight="1" x14ac:dyDescent="0.25">
      <c r="A683" s="4" t="s">
        <v>55</v>
      </c>
      <c r="B683" s="4" t="s">
        <v>42</v>
      </c>
      <c r="C683" s="4" t="s">
        <v>23</v>
      </c>
      <c r="D683" s="4" t="s">
        <v>43</v>
      </c>
      <c r="E683" s="4" t="s">
        <v>54</v>
      </c>
      <c r="F683" s="4" t="s">
        <v>52</v>
      </c>
      <c r="G683" s="4" t="s">
        <v>25</v>
      </c>
      <c r="H683" s="4" t="s">
        <v>25</v>
      </c>
      <c r="I683" s="5">
        <v>44440</v>
      </c>
      <c r="J683" s="6">
        <v>0</v>
      </c>
      <c r="K683" s="6">
        <v>0</v>
      </c>
      <c r="L683" s="6">
        <v>10.317</v>
      </c>
      <c r="M683" s="6">
        <v>10.317</v>
      </c>
      <c r="N683" s="6">
        <v>10.317</v>
      </c>
      <c r="O683" s="6">
        <v>10.317</v>
      </c>
      <c r="P683" s="6">
        <v>0</v>
      </c>
      <c r="Q683" s="4" t="s">
        <v>26</v>
      </c>
      <c r="R683" s="4">
        <v>0</v>
      </c>
      <c r="S683" s="6">
        <v>0</v>
      </c>
      <c r="T683" s="6">
        <v>30</v>
      </c>
      <c r="U683" s="6">
        <v>70</v>
      </c>
      <c r="V683" s="6">
        <f>IF(ISERROR(VLOOKUP($S$683,'TAR FIN'!$A$1:$O$86,15,0)),0,VLOOKUP($S$683,'TAR FIN'!$A$1:$O$86,15,0))</f>
        <v>0</v>
      </c>
      <c r="W683" s="6">
        <f>IF(ISERROR(VLOOKUP($T$683,'TAR FIN'!$A$1:$O$86,15,0)),0,VLOOKUP($T$683,'TAR FIN'!$A$1:$O$86,15,0))</f>
        <v>285.56</v>
      </c>
      <c r="X683" s="6">
        <f>IF(ISERROR(VLOOKUP($U$683,'TAR FIN'!$A$1:$O$86,15,0)),0,VLOOKUP($U$683,'TAR FIN'!$A$1:$O$86,15,0))</f>
        <v>227.23</v>
      </c>
      <c r="Y683" s="6"/>
      <c r="Z683" s="6">
        <f ca="1">('TUSD BE'!$AM$34+'TUSD BF'!$AM$34+'TUSD CVA'!$AM$34)*(1-CUSTOS!$M$38)</f>
        <v>310.34682484351242</v>
      </c>
      <c r="AA683" s="6">
        <f>('TE BE'!$AB$24+'TE BF'!$AB$24+'TE CVA'!$AB$24)*(1-CUSTOS!$M$38)</f>
        <v>216.7476358676706</v>
      </c>
      <c r="AB683" s="6">
        <f>$K$683*$V$683</f>
        <v>0</v>
      </c>
      <c r="AC683" s="6">
        <f>$M$683*$W$683</f>
        <v>2946.1225199999999</v>
      </c>
      <c r="AD683" s="6">
        <f>$O$683*$X$683</f>
        <v>2344.3319099999999</v>
      </c>
      <c r="AE683" s="6">
        <f>$K$683*$Y$683</f>
        <v>0</v>
      </c>
      <c r="AF683" s="6">
        <f ca="1">$M$683*$Z$683</f>
        <v>3201.8481919105179</v>
      </c>
      <c r="AG683" s="6">
        <f>$O$683*$AA$683</f>
        <v>2236.1853592467578</v>
      </c>
    </row>
    <row r="684" spans="1:33" ht="11.25" customHeight="1" x14ac:dyDescent="0.25">
      <c r="A684" s="4" t="s">
        <v>21</v>
      </c>
      <c r="B684" s="4" t="s">
        <v>42</v>
      </c>
      <c r="C684" s="4" t="s">
        <v>23</v>
      </c>
      <c r="D684" s="4" t="s">
        <v>43</v>
      </c>
      <c r="E684" s="4" t="s">
        <v>54</v>
      </c>
      <c r="F684" s="4" t="s">
        <v>52</v>
      </c>
      <c r="G684" s="4" t="s">
        <v>25</v>
      </c>
      <c r="H684" s="4" t="s">
        <v>25</v>
      </c>
      <c r="I684" s="5">
        <v>44470</v>
      </c>
      <c r="J684" s="6">
        <v>0</v>
      </c>
      <c r="K684" s="6">
        <v>0</v>
      </c>
      <c r="L684" s="6">
        <v>2.9319999999999999</v>
      </c>
      <c r="M684" s="6">
        <v>2.9319999999999999</v>
      </c>
      <c r="N684" s="6">
        <v>2.9319999999999999</v>
      </c>
      <c r="O684" s="6">
        <v>2.9319999999999999</v>
      </c>
      <c r="P684" s="6">
        <v>0</v>
      </c>
      <c r="Q684" s="4" t="s">
        <v>26</v>
      </c>
      <c r="R684" s="4">
        <v>0</v>
      </c>
      <c r="S684" s="6">
        <v>0</v>
      </c>
      <c r="T684" s="6">
        <v>30</v>
      </c>
      <c r="U684" s="6">
        <v>70</v>
      </c>
      <c r="V684" s="6">
        <f>IF(ISERROR(VLOOKUP($S$684,'TAR FIN'!$A$1:$O$86,15,0)),0,VLOOKUP($S$684,'TAR FIN'!$A$1:$O$86,15,0))</f>
        <v>0</v>
      </c>
      <c r="W684" s="6">
        <f>IF(ISERROR(VLOOKUP($T$684,'TAR FIN'!$A$1:$O$86,15,0)),0,VLOOKUP($T$684,'TAR FIN'!$A$1:$O$86,15,0))</f>
        <v>285.56</v>
      </c>
      <c r="X684" s="6">
        <f>IF(ISERROR(VLOOKUP($U$684,'TAR FIN'!$A$1:$O$86,15,0)),0,VLOOKUP($U$684,'TAR FIN'!$A$1:$O$86,15,0))</f>
        <v>227.23</v>
      </c>
      <c r="Y684" s="6"/>
      <c r="Z684" s="6">
        <f ca="1">('TUSD BE'!$AM$34+'TUSD BF'!$AM$34+'TUSD CVA'!$AM$34)*(1-CUSTOS!$M$38)</f>
        <v>310.34682484351242</v>
      </c>
      <c r="AA684" s="6">
        <f>('TE BE'!$AB$24+'TE BF'!$AB$24+'TE CVA'!$AB$24)*(1-CUSTOS!$M$38)</f>
        <v>216.7476358676706</v>
      </c>
      <c r="AB684" s="6">
        <f>$K$684*$V$684</f>
        <v>0</v>
      </c>
      <c r="AC684" s="6">
        <f>$M$684*$W$684</f>
        <v>837.26192000000003</v>
      </c>
      <c r="AD684" s="6">
        <f>$O$684*$X$684</f>
        <v>666.23835999999994</v>
      </c>
      <c r="AE684" s="6">
        <f>$K$684*$Y$684</f>
        <v>0</v>
      </c>
      <c r="AF684" s="6">
        <f ca="1">$M$684*$Z$684</f>
        <v>909.93689044117843</v>
      </c>
      <c r="AG684" s="6">
        <f>$O$684*$AA$684</f>
        <v>635.50406836401021</v>
      </c>
    </row>
    <row r="685" spans="1:33" ht="11.25" customHeight="1" x14ac:dyDescent="0.25">
      <c r="A685" s="4" t="s">
        <v>55</v>
      </c>
      <c r="B685" s="4" t="s">
        <v>42</v>
      </c>
      <c r="C685" s="4" t="s">
        <v>23</v>
      </c>
      <c r="D685" s="4" t="s">
        <v>43</v>
      </c>
      <c r="E685" s="4" t="s">
        <v>54</v>
      </c>
      <c r="F685" s="4" t="s">
        <v>52</v>
      </c>
      <c r="G685" s="4" t="s">
        <v>25</v>
      </c>
      <c r="H685" s="4" t="s">
        <v>25</v>
      </c>
      <c r="I685" s="5">
        <v>44470</v>
      </c>
      <c r="J685" s="6">
        <v>0</v>
      </c>
      <c r="K685" s="6">
        <v>0</v>
      </c>
      <c r="L685" s="6">
        <v>8.9480000000000004</v>
      </c>
      <c r="M685" s="6">
        <v>8.9480000000000004</v>
      </c>
      <c r="N685" s="6">
        <v>8.9480000000000004</v>
      </c>
      <c r="O685" s="6">
        <v>8.9480000000000004</v>
      </c>
      <c r="P685" s="6">
        <v>0</v>
      </c>
      <c r="Q685" s="4" t="s">
        <v>26</v>
      </c>
      <c r="R685" s="4">
        <v>0</v>
      </c>
      <c r="S685" s="6">
        <v>0</v>
      </c>
      <c r="T685" s="6">
        <v>30</v>
      </c>
      <c r="U685" s="6">
        <v>70</v>
      </c>
      <c r="V685" s="6">
        <f>IF(ISERROR(VLOOKUP($S$685,'TAR FIN'!$A$1:$O$86,15,0)),0,VLOOKUP($S$685,'TAR FIN'!$A$1:$O$86,15,0))</f>
        <v>0</v>
      </c>
      <c r="W685" s="6">
        <f>IF(ISERROR(VLOOKUP($T$685,'TAR FIN'!$A$1:$O$86,15,0)),0,VLOOKUP($T$685,'TAR FIN'!$A$1:$O$86,15,0))</f>
        <v>285.56</v>
      </c>
      <c r="X685" s="6">
        <f>IF(ISERROR(VLOOKUP($U$685,'TAR FIN'!$A$1:$O$86,15,0)),0,VLOOKUP($U$685,'TAR FIN'!$A$1:$O$86,15,0))</f>
        <v>227.23</v>
      </c>
      <c r="Y685" s="6"/>
      <c r="Z685" s="6">
        <f ca="1">('TUSD BE'!$AM$34+'TUSD BF'!$AM$34+'TUSD CVA'!$AM$34)*(1-CUSTOS!$M$38)</f>
        <v>310.34682484351242</v>
      </c>
      <c r="AA685" s="6">
        <f>('TE BE'!$AB$24+'TE BF'!$AB$24+'TE CVA'!$AB$24)*(1-CUSTOS!$M$38)</f>
        <v>216.7476358676706</v>
      </c>
      <c r="AB685" s="6">
        <f>$K$685*$V$685</f>
        <v>0</v>
      </c>
      <c r="AC685" s="6">
        <f>$M$685*$W$685</f>
        <v>2555.1908800000001</v>
      </c>
      <c r="AD685" s="6">
        <f>$O$685*$X$685</f>
        <v>2033.25404</v>
      </c>
      <c r="AE685" s="6">
        <f>$K$685*$Y$685</f>
        <v>0</v>
      </c>
      <c r="AF685" s="6">
        <f ca="1">$M$685*$Z$685</f>
        <v>2776.9833886997494</v>
      </c>
      <c r="AG685" s="6">
        <f>$O$685*$AA$685</f>
        <v>1939.4578457439166</v>
      </c>
    </row>
    <row r="686" spans="1:33" ht="11.25" customHeight="1" x14ac:dyDescent="0.25">
      <c r="A686" s="4" t="s">
        <v>21</v>
      </c>
      <c r="B686" s="4" t="s">
        <v>42</v>
      </c>
      <c r="C686" s="4" t="s">
        <v>23</v>
      </c>
      <c r="D686" s="4" t="s">
        <v>43</v>
      </c>
      <c r="E686" s="4" t="s">
        <v>54</v>
      </c>
      <c r="F686" s="4" t="s">
        <v>52</v>
      </c>
      <c r="G686" s="4" t="s">
        <v>25</v>
      </c>
      <c r="H686" s="4" t="s">
        <v>25</v>
      </c>
      <c r="I686" s="5">
        <v>44501</v>
      </c>
      <c r="J686" s="6">
        <v>0</v>
      </c>
      <c r="K686" s="6">
        <v>0</v>
      </c>
      <c r="L686" s="6">
        <v>2.524</v>
      </c>
      <c r="M686" s="6">
        <v>2.524</v>
      </c>
      <c r="N686" s="6">
        <v>2.524</v>
      </c>
      <c r="O686" s="6">
        <v>2.524</v>
      </c>
      <c r="P686" s="6">
        <v>0</v>
      </c>
      <c r="Q686" s="4" t="s">
        <v>26</v>
      </c>
      <c r="R686" s="4">
        <v>0</v>
      </c>
      <c r="S686" s="6">
        <v>0</v>
      </c>
      <c r="T686" s="6">
        <v>30</v>
      </c>
      <c r="U686" s="6">
        <v>70</v>
      </c>
      <c r="V686" s="6">
        <f>IF(ISERROR(VLOOKUP($S$686,'TAR FIN'!$A$1:$O$86,15,0)),0,VLOOKUP($S$686,'TAR FIN'!$A$1:$O$86,15,0))</f>
        <v>0</v>
      </c>
      <c r="W686" s="6">
        <f>IF(ISERROR(VLOOKUP($T$686,'TAR FIN'!$A$1:$O$86,15,0)),0,VLOOKUP($T$686,'TAR FIN'!$A$1:$O$86,15,0))</f>
        <v>285.56</v>
      </c>
      <c r="X686" s="6">
        <f>IF(ISERROR(VLOOKUP($U$686,'TAR FIN'!$A$1:$O$86,15,0)),0,VLOOKUP($U$686,'TAR FIN'!$A$1:$O$86,15,0))</f>
        <v>227.23</v>
      </c>
      <c r="Y686" s="6"/>
      <c r="Z686" s="6">
        <f ca="1">('TUSD BE'!$AM$34+'TUSD BF'!$AM$34+'TUSD CVA'!$AM$34)*(1-CUSTOS!$M$38)</f>
        <v>310.34682484351242</v>
      </c>
      <c r="AA686" s="6">
        <f>('TE BE'!$AB$24+'TE BF'!$AB$24+'TE CVA'!$AB$24)*(1-CUSTOS!$M$38)</f>
        <v>216.7476358676706</v>
      </c>
      <c r="AB686" s="6">
        <f>$K$686*$V$686</f>
        <v>0</v>
      </c>
      <c r="AC686" s="6">
        <f>$M$686*$W$686</f>
        <v>720.75343999999996</v>
      </c>
      <c r="AD686" s="6">
        <f>$O$686*$X$686</f>
        <v>573.52851999999996</v>
      </c>
      <c r="AE686" s="6">
        <f>$K$686*$Y$686</f>
        <v>0</v>
      </c>
      <c r="AF686" s="6">
        <f ca="1">$M$686*$Z$686</f>
        <v>783.31538590502532</v>
      </c>
      <c r="AG686" s="6">
        <f>$O$686*$AA$686</f>
        <v>547.07103293000057</v>
      </c>
    </row>
    <row r="687" spans="1:33" ht="11.25" customHeight="1" x14ac:dyDescent="0.25">
      <c r="A687" s="4" t="s">
        <v>55</v>
      </c>
      <c r="B687" s="4" t="s">
        <v>42</v>
      </c>
      <c r="C687" s="4" t="s">
        <v>23</v>
      </c>
      <c r="D687" s="4" t="s">
        <v>43</v>
      </c>
      <c r="E687" s="4" t="s">
        <v>54</v>
      </c>
      <c r="F687" s="4" t="s">
        <v>52</v>
      </c>
      <c r="G687" s="4" t="s">
        <v>25</v>
      </c>
      <c r="H687" s="4" t="s">
        <v>25</v>
      </c>
      <c r="I687" s="5">
        <v>44501</v>
      </c>
      <c r="J687" s="6">
        <v>0</v>
      </c>
      <c r="K687" s="6">
        <v>0</v>
      </c>
      <c r="L687" s="6">
        <v>7.024</v>
      </c>
      <c r="M687" s="6">
        <v>7.024</v>
      </c>
      <c r="N687" s="6">
        <v>7.024</v>
      </c>
      <c r="O687" s="6">
        <v>7.024</v>
      </c>
      <c r="P687" s="6">
        <v>0</v>
      </c>
      <c r="Q687" s="4" t="s">
        <v>26</v>
      </c>
      <c r="R687" s="4">
        <v>0</v>
      </c>
      <c r="S687" s="6">
        <v>0</v>
      </c>
      <c r="T687" s="6">
        <v>30</v>
      </c>
      <c r="U687" s="6">
        <v>70</v>
      </c>
      <c r="V687" s="6">
        <f>IF(ISERROR(VLOOKUP($S$687,'TAR FIN'!$A$1:$O$86,15,0)),0,VLOOKUP($S$687,'TAR FIN'!$A$1:$O$86,15,0))</f>
        <v>0</v>
      </c>
      <c r="W687" s="6">
        <f>IF(ISERROR(VLOOKUP($T$687,'TAR FIN'!$A$1:$O$86,15,0)),0,VLOOKUP($T$687,'TAR FIN'!$A$1:$O$86,15,0))</f>
        <v>285.56</v>
      </c>
      <c r="X687" s="6">
        <f>IF(ISERROR(VLOOKUP($U$687,'TAR FIN'!$A$1:$O$86,15,0)),0,VLOOKUP($U$687,'TAR FIN'!$A$1:$O$86,15,0))</f>
        <v>227.23</v>
      </c>
      <c r="Y687" s="6"/>
      <c r="Z687" s="6">
        <f ca="1">('TUSD BE'!$AM$34+'TUSD BF'!$AM$34+'TUSD CVA'!$AM$34)*(1-CUSTOS!$M$38)</f>
        <v>310.34682484351242</v>
      </c>
      <c r="AA687" s="6">
        <f>('TE BE'!$AB$24+'TE BF'!$AB$24+'TE CVA'!$AB$24)*(1-CUSTOS!$M$38)</f>
        <v>216.7476358676706</v>
      </c>
      <c r="AB687" s="6">
        <f>$K$687*$V$687</f>
        <v>0</v>
      </c>
      <c r="AC687" s="6">
        <f>$M$687*$W$687</f>
        <v>2005.7734399999999</v>
      </c>
      <c r="AD687" s="6">
        <f>$O$687*$X$687</f>
        <v>1596.0635199999999</v>
      </c>
      <c r="AE687" s="6">
        <f>$K$687*$Y$687</f>
        <v>0</v>
      </c>
      <c r="AF687" s="6">
        <f ca="1">$M$687*$Z$687</f>
        <v>2179.8760977008315</v>
      </c>
      <c r="AG687" s="6">
        <f>$O$687*$AA$687</f>
        <v>1522.4353943345184</v>
      </c>
    </row>
    <row r="688" spans="1:33" ht="11.25" customHeight="1" x14ac:dyDescent="0.25">
      <c r="A688" s="4" t="s">
        <v>21</v>
      </c>
      <c r="B688" s="4" t="s">
        <v>42</v>
      </c>
      <c r="C688" s="4" t="s">
        <v>23</v>
      </c>
      <c r="D688" s="4" t="s">
        <v>43</v>
      </c>
      <c r="E688" s="4" t="s">
        <v>54</v>
      </c>
      <c r="F688" s="4" t="s">
        <v>52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5.0359999999999996</v>
      </c>
      <c r="M688" s="6">
        <v>5.0359999999999996</v>
      </c>
      <c r="N688" s="6">
        <v>5.0359999999999996</v>
      </c>
      <c r="O688" s="6">
        <v>5.0359999999999996</v>
      </c>
      <c r="P688" s="6">
        <v>0</v>
      </c>
      <c r="Q688" s="4" t="s">
        <v>26</v>
      </c>
      <c r="R688" s="4">
        <v>0</v>
      </c>
      <c r="S688" s="6">
        <v>0</v>
      </c>
      <c r="T688" s="6">
        <v>30</v>
      </c>
      <c r="U688" s="6">
        <v>70</v>
      </c>
      <c r="V688" s="6">
        <f>IF(ISERROR(VLOOKUP($S$688,'TAR FIN'!$A$1:$O$86,15,0)),0,VLOOKUP($S$688,'TAR FIN'!$A$1:$O$86,15,0))</f>
        <v>0</v>
      </c>
      <c r="W688" s="6">
        <f>IF(ISERROR(VLOOKUP($T$688,'TAR FIN'!$A$1:$O$86,15,0)),0,VLOOKUP($T$688,'TAR FIN'!$A$1:$O$86,15,0))</f>
        <v>285.56</v>
      </c>
      <c r="X688" s="6">
        <f>IF(ISERROR(VLOOKUP($U$688,'TAR FIN'!$A$1:$O$86,15,0)),0,VLOOKUP($U$688,'TAR FIN'!$A$1:$O$86,15,0))</f>
        <v>227.23</v>
      </c>
      <c r="Y688" s="6"/>
      <c r="Z688" s="6">
        <f ca="1">('TUSD BE'!$AM$34+'TUSD BF'!$AM$34+'TUSD CVA'!$AM$34)*(1-CUSTOS!$M$38)</f>
        <v>310.34682484351242</v>
      </c>
      <c r="AA688" s="6">
        <f>('TE BE'!$AB$24+'TE BF'!$AB$24+'TE CVA'!$AB$24)*(1-CUSTOS!$M$38)</f>
        <v>216.7476358676706</v>
      </c>
      <c r="AB688" s="6">
        <f>$K$688*$V$688</f>
        <v>0</v>
      </c>
      <c r="AC688" s="6">
        <f>$M$688*$W$688</f>
        <v>1438.08016</v>
      </c>
      <c r="AD688" s="6">
        <f>$O$688*$X$688</f>
        <v>1144.3302799999999</v>
      </c>
      <c r="AE688" s="6">
        <f>$K$688*$Y$688</f>
        <v>0</v>
      </c>
      <c r="AF688" s="6">
        <f ca="1">$M$688*$Z$688</f>
        <v>1562.9066099119284</v>
      </c>
      <c r="AG688" s="6">
        <f>$O$688*$AA$688</f>
        <v>1091.5410942295891</v>
      </c>
    </row>
    <row r="689" spans="1:33" ht="11.25" customHeight="1" x14ac:dyDescent="0.25">
      <c r="A689" s="4" t="s">
        <v>55</v>
      </c>
      <c r="B689" s="4" t="s">
        <v>42</v>
      </c>
      <c r="C689" s="4" t="s">
        <v>23</v>
      </c>
      <c r="D689" s="4" t="s">
        <v>43</v>
      </c>
      <c r="E689" s="4" t="s">
        <v>54</v>
      </c>
      <c r="F689" s="4" t="s">
        <v>52</v>
      </c>
      <c r="G689" s="4" t="s">
        <v>25</v>
      </c>
      <c r="H689" s="4" t="s">
        <v>25</v>
      </c>
      <c r="I689" s="5">
        <v>44531</v>
      </c>
      <c r="J689" s="6">
        <v>0</v>
      </c>
      <c r="K689" s="6">
        <v>0</v>
      </c>
      <c r="L689" s="6">
        <v>8.0090000000000003</v>
      </c>
      <c r="M689" s="6">
        <v>8.0090000000000003</v>
      </c>
      <c r="N689" s="6">
        <v>8.0090000000000003</v>
      </c>
      <c r="O689" s="6">
        <v>8.0090000000000003</v>
      </c>
      <c r="P689" s="6">
        <v>0</v>
      </c>
      <c r="Q689" s="4" t="s">
        <v>26</v>
      </c>
      <c r="R689" s="4">
        <v>0</v>
      </c>
      <c r="S689" s="6">
        <v>0</v>
      </c>
      <c r="T689" s="6">
        <v>30</v>
      </c>
      <c r="U689" s="6">
        <v>70</v>
      </c>
      <c r="V689" s="6">
        <f>IF(ISERROR(VLOOKUP($S$689,'TAR FIN'!$A$1:$O$86,15,0)),0,VLOOKUP($S$689,'TAR FIN'!$A$1:$O$86,15,0))</f>
        <v>0</v>
      </c>
      <c r="W689" s="6">
        <f>IF(ISERROR(VLOOKUP($T$689,'TAR FIN'!$A$1:$O$86,15,0)),0,VLOOKUP($T$689,'TAR FIN'!$A$1:$O$86,15,0))</f>
        <v>285.56</v>
      </c>
      <c r="X689" s="6">
        <f>IF(ISERROR(VLOOKUP($U$689,'TAR FIN'!$A$1:$O$86,15,0)),0,VLOOKUP($U$689,'TAR FIN'!$A$1:$O$86,15,0))</f>
        <v>227.23</v>
      </c>
      <c r="Y689" s="6"/>
      <c r="Z689" s="6">
        <f ca="1">('TUSD BE'!$AM$34+'TUSD BF'!$AM$34+'TUSD CVA'!$AM$34)*(1-CUSTOS!$M$38)</f>
        <v>310.34682484351242</v>
      </c>
      <c r="AA689" s="6">
        <f>('TE BE'!$AB$24+'TE BF'!$AB$24+'TE CVA'!$AB$24)*(1-CUSTOS!$M$38)</f>
        <v>216.7476358676706</v>
      </c>
      <c r="AB689" s="6">
        <f>$K$689*$V$689</f>
        <v>0</v>
      </c>
      <c r="AC689" s="6">
        <f>$M$689*$W$689</f>
        <v>2287.0500400000001</v>
      </c>
      <c r="AD689" s="6">
        <f>$O$689*$X$689</f>
        <v>1819.88507</v>
      </c>
      <c r="AE689" s="6">
        <f>$K$689*$Y$689</f>
        <v>0</v>
      </c>
      <c r="AF689" s="6">
        <f ca="1">$M$689*$Z$689</f>
        <v>2485.5677201716912</v>
      </c>
      <c r="AG689" s="6">
        <f>$O$689*$AA$689</f>
        <v>1735.9318156641739</v>
      </c>
    </row>
    <row r="690" spans="1:33" ht="11.25" customHeight="1" x14ac:dyDescent="0.25">
      <c r="A690" s="4" t="s">
        <v>21</v>
      </c>
      <c r="B690" s="4" t="s">
        <v>42</v>
      </c>
      <c r="C690" s="4" t="s">
        <v>23</v>
      </c>
      <c r="D690" s="4" t="s">
        <v>43</v>
      </c>
      <c r="E690" s="4" t="s">
        <v>54</v>
      </c>
      <c r="F690" s="4" t="s">
        <v>52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7.0739999999999998</v>
      </c>
      <c r="M690" s="6">
        <v>7.0739999999999998</v>
      </c>
      <c r="N690" s="6">
        <v>7.0739999999999998</v>
      </c>
      <c r="O690" s="6">
        <v>7.0739999999999998</v>
      </c>
      <c r="P690" s="6">
        <v>0</v>
      </c>
      <c r="Q690" s="4" t="s">
        <v>26</v>
      </c>
      <c r="R690" s="4">
        <v>0</v>
      </c>
      <c r="S690" s="6">
        <v>0</v>
      </c>
      <c r="T690" s="6">
        <v>30</v>
      </c>
      <c r="U690" s="6">
        <v>70</v>
      </c>
      <c r="V690" s="6">
        <f>IF(ISERROR(VLOOKUP($S$690,'TAR FIN'!$A$1:$O$86,15,0)),0,VLOOKUP($S$690,'TAR FIN'!$A$1:$O$86,15,0))</f>
        <v>0</v>
      </c>
      <c r="W690" s="6">
        <f>IF(ISERROR(VLOOKUP($T$690,'TAR FIN'!$A$1:$O$86,15,0)),0,VLOOKUP($T$690,'TAR FIN'!$A$1:$O$86,15,0))</f>
        <v>285.56</v>
      </c>
      <c r="X690" s="6">
        <f>IF(ISERROR(VLOOKUP($U$690,'TAR FIN'!$A$1:$O$86,15,0)),0,VLOOKUP($U$690,'TAR FIN'!$A$1:$O$86,15,0))</f>
        <v>227.23</v>
      </c>
      <c r="Y690" s="6"/>
      <c r="Z690" s="6">
        <f ca="1">('TUSD BE'!$AM$34+'TUSD BF'!$AM$34+'TUSD CVA'!$AM$34)*(1-CUSTOS!$M$38)</f>
        <v>310.34682484351242</v>
      </c>
      <c r="AA690" s="6">
        <f>('TE BE'!$AB$24+'TE BF'!$AB$24+'TE CVA'!$AB$24)*(1-CUSTOS!$M$38)</f>
        <v>216.7476358676706</v>
      </c>
      <c r="AB690" s="6">
        <f>$K$690*$V$690</f>
        <v>0</v>
      </c>
      <c r="AC690" s="6">
        <f>$M$690*$W$690</f>
        <v>2020.05144</v>
      </c>
      <c r="AD690" s="6">
        <f>$O$690*$X$690</f>
        <v>1607.4250199999999</v>
      </c>
      <c r="AE690" s="6">
        <f>$K$690*$Y$690</f>
        <v>0</v>
      </c>
      <c r="AF690" s="6">
        <f ca="1">$M$690*$Z$690</f>
        <v>2195.3934389430069</v>
      </c>
      <c r="AG690" s="6">
        <f>$O$690*$AA$690</f>
        <v>1533.2727761279018</v>
      </c>
    </row>
    <row r="691" spans="1:33" ht="11.25" customHeight="1" x14ac:dyDescent="0.25">
      <c r="A691" s="4" t="s">
        <v>55</v>
      </c>
      <c r="B691" s="4" t="s">
        <v>42</v>
      </c>
      <c r="C691" s="4" t="s">
        <v>23</v>
      </c>
      <c r="D691" s="4" t="s">
        <v>43</v>
      </c>
      <c r="E691" s="4" t="s">
        <v>54</v>
      </c>
      <c r="F691" s="4" t="s">
        <v>52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7.4219999999999997</v>
      </c>
      <c r="M691" s="6">
        <v>7.4219999999999997</v>
      </c>
      <c r="N691" s="6">
        <v>7.4219999999999997</v>
      </c>
      <c r="O691" s="6">
        <v>7.4219999999999997</v>
      </c>
      <c r="P691" s="6">
        <v>0</v>
      </c>
      <c r="Q691" s="4" t="s">
        <v>26</v>
      </c>
      <c r="R691" s="4">
        <v>0</v>
      </c>
      <c r="S691" s="6">
        <v>0</v>
      </c>
      <c r="T691" s="6">
        <v>30</v>
      </c>
      <c r="U691" s="6">
        <v>70</v>
      </c>
      <c r="V691" s="6">
        <f>IF(ISERROR(VLOOKUP($S$691,'TAR FIN'!$A$1:$O$86,15,0)),0,VLOOKUP($S$691,'TAR FIN'!$A$1:$O$86,15,0))</f>
        <v>0</v>
      </c>
      <c r="W691" s="6">
        <f>IF(ISERROR(VLOOKUP($T$691,'TAR FIN'!$A$1:$O$86,15,0)),0,VLOOKUP($T$691,'TAR FIN'!$A$1:$O$86,15,0))</f>
        <v>285.56</v>
      </c>
      <c r="X691" s="6">
        <f>IF(ISERROR(VLOOKUP($U$691,'TAR FIN'!$A$1:$O$86,15,0)),0,VLOOKUP($U$691,'TAR FIN'!$A$1:$O$86,15,0))</f>
        <v>227.23</v>
      </c>
      <c r="Y691" s="6"/>
      <c r="Z691" s="6">
        <f ca="1">('TUSD BE'!$AM$34+'TUSD BF'!$AM$34+'TUSD CVA'!$AM$34)*(1-CUSTOS!$M$38)</f>
        <v>310.34682484351242</v>
      </c>
      <c r="AA691" s="6">
        <f>('TE BE'!$AB$24+'TE BF'!$AB$24+'TE CVA'!$AB$24)*(1-CUSTOS!$M$38)</f>
        <v>216.7476358676706</v>
      </c>
      <c r="AB691" s="6">
        <f>$K$691*$V$691</f>
        <v>0</v>
      </c>
      <c r="AC691" s="6">
        <f>$M$691*$W$691</f>
        <v>2119.42632</v>
      </c>
      <c r="AD691" s="6">
        <f>$O$691*$X$691</f>
        <v>1686.5010599999998</v>
      </c>
      <c r="AE691" s="6">
        <f>$K$691*$Y$691</f>
        <v>0</v>
      </c>
      <c r="AF691" s="6">
        <f ca="1">$M$691*$Z$691</f>
        <v>2303.3941339885491</v>
      </c>
      <c r="AG691" s="6">
        <f>$O$691*$AA$691</f>
        <v>1608.7009534098511</v>
      </c>
    </row>
    <row r="692" spans="1:33" ht="11.25" customHeight="1" x14ac:dyDescent="0.25">
      <c r="A692" s="4" t="s">
        <v>21</v>
      </c>
      <c r="B692" s="4" t="s">
        <v>42</v>
      </c>
      <c r="C692" s="4" t="s">
        <v>23</v>
      </c>
      <c r="D692" s="4" t="s">
        <v>43</v>
      </c>
      <c r="E692" s="4" t="s">
        <v>54</v>
      </c>
      <c r="F692" s="4" t="s">
        <v>52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5.0780000000000003</v>
      </c>
      <c r="M692" s="6">
        <v>5.0780000000000003</v>
      </c>
      <c r="N692" s="6">
        <v>5.0780000000000003</v>
      </c>
      <c r="O692" s="6">
        <v>5.0780000000000003</v>
      </c>
      <c r="P692" s="6">
        <v>0</v>
      </c>
      <c r="Q692" s="4" t="s">
        <v>26</v>
      </c>
      <c r="R692" s="4">
        <v>0</v>
      </c>
      <c r="S692" s="6">
        <v>0</v>
      </c>
      <c r="T692" s="6">
        <v>30</v>
      </c>
      <c r="U692" s="6">
        <v>70</v>
      </c>
      <c r="V692" s="6">
        <f>IF(ISERROR(VLOOKUP($S$692,'TAR FIN'!$A$1:$O$86,15,0)),0,VLOOKUP($S$692,'TAR FIN'!$A$1:$O$86,15,0))</f>
        <v>0</v>
      </c>
      <c r="W692" s="6">
        <f>IF(ISERROR(VLOOKUP($T$692,'TAR FIN'!$A$1:$O$86,15,0)),0,VLOOKUP($T$692,'TAR FIN'!$A$1:$O$86,15,0))</f>
        <v>285.56</v>
      </c>
      <c r="X692" s="6">
        <f>IF(ISERROR(VLOOKUP($U$692,'TAR FIN'!$A$1:$O$86,15,0)),0,VLOOKUP($U$692,'TAR FIN'!$A$1:$O$86,15,0))</f>
        <v>227.23</v>
      </c>
      <c r="Y692" s="6"/>
      <c r="Z692" s="6">
        <f ca="1">('TUSD BE'!$AM$34+'TUSD BF'!$AM$34+'TUSD CVA'!$AM$34)*(1-CUSTOS!$M$38)</f>
        <v>310.34682484351242</v>
      </c>
      <c r="AA692" s="6">
        <f>('TE BE'!$AB$24+'TE BF'!$AB$24+'TE CVA'!$AB$24)*(1-CUSTOS!$M$38)</f>
        <v>216.7476358676706</v>
      </c>
      <c r="AB692" s="6">
        <f>$K$692*$V$692</f>
        <v>0</v>
      </c>
      <c r="AC692" s="6">
        <f>$M$692*$W$692</f>
        <v>1450.0736800000002</v>
      </c>
      <c r="AD692" s="6">
        <f>$O$692*$X$692</f>
        <v>1153.8739399999999</v>
      </c>
      <c r="AE692" s="6">
        <f>$K$692*$Y$692</f>
        <v>0</v>
      </c>
      <c r="AF692" s="6">
        <f ca="1">$M$692*$Z$692</f>
        <v>1575.9411765553562</v>
      </c>
      <c r="AG692" s="6">
        <f>$O$692*$AA$692</f>
        <v>1100.6444949360314</v>
      </c>
    </row>
    <row r="693" spans="1:33" ht="11.25" customHeight="1" x14ac:dyDescent="0.25">
      <c r="A693" s="4" t="s">
        <v>55</v>
      </c>
      <c r="B693" s="4" t="s">
        <v>42</v>
      </c>
      <c r="C693" s="4" t="s">
        <v>23</v>
      </c>
      <c r="D693" s="4" t="s">
        <v>43</v>
      </c>
      <c r="E693" s="4" t="s">
        <v>54</v>
      </c>
      <c r="F693" s="4" t="s">
        <v>52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9.9499999999999993</v>
      </c>
      <c r="M693" s="6">
        <v>9.9499999999999993</v>
      </c>
      <c r="N693" s="6">
        <v>9.9499999999999993</v>
      </c>
      <c r="O693" s="6">
        <v>9.9499999999999993</v>
      </c>
      <c r="P693" s="6">
        <v>0</v>
      </c>
      <c r="Q693" s="4" t="s">
        <v>26</v>
      </c>
      <c r="R693" s="4">
        <v>0</v>
      </c>
      <c r="S693" s="6">
        <v>0</v>
      </c>
      <c r="T693" s="6">
        <v>30</v>
      </c>
      <c r="U693" s="6">
        <v>70</v>
      </c>
      <c r="V693" s="6">
        <f>IF(ISERROR(VLOOKUP($S$693,'TAR FIN'!$A$1:$O$86,15,0)),0,VLOOKUP($S$693,'TAR FIN'!$A$1:$O$86,15,0))</f>
        <v>0</v>
      </c>
      <c r="W693" s="6">
        <f>IF(ISERROR(VLOOKUP($T$693,'TAR FIN'!$A$1:$O$86,15,0)),0,VLOOKUP($T$693,'TAR FIN'!$A$1:$O$86,15,0))</f>
        <v>285.56</v>
      </c>
      <c r="X693" s="6">
        <f>IF(ISERROR(VLOOKUP($U$693,'TAR FIN'!$A$1:$O$86,15,0)),0,VLOOKUP($U$693,'TAR FIN'!$A$1:$O$86,15,0))</f>
        <v>227.23</v>
      </c>
      <c r="Y693" s="6"/>
      <c r="Z693" s="6">
        <f ca="1">('TUSD BE'!$AM$34+'TUSD BF'!$AM$34+'TUSD CVA'!$AM$34)*(1-CUSTOS!$M$38)</f>
        <v>310.34682484351242</v>
      </c>
      <c r="AA693" s="6">
        <f>('TE BE'!$AB$24+'TE BF'!$AB$24+'TE CVA'!$AB$24)*(1-CUSTOS!$M$38)</f>
        <v>216.7476358676706</v>
      </c>
      <c r="AB693" s="6">
        <f>$K$693*$V$693</f>
        <v>0</v>
      </c>
      <c r="AC693" s="6">
        <f>$M$693*$W$693</f>
        <v>2841.3219999999997</v>
      </c>
      <c r="AD693" s="6">
        <f>$O$693*$X$693</f>
        <v>2260.9384999999997</v>
      </c>
      <c r="AE693" s="6">
        <f>$K$693*$Y$693</f>
        <v>0</v>
      </c>
      <c r="AF693" s="6">
        <f ca="1">$M$693*$Z$693</f>
        <v>3087.9509071929483</v>
      </c>
      <c r="AG693" s="6">
        <f>$O$693*$AA$693</f>
        <v>2156.6389768833224</v>
      </c>
    </row>
    <row r="694" spans="1:33" ht="11.25" customHeight="1" x14ac:dyDescent="0.25">
      <c r="A694" s="4" t="s">
        <v>21</v>
      </c>
      <c r="B694" s="4" t="s">
        <v>42</v>
      </c>
      <c r="C694" s="4" t="s">
        <v>23</v>
      </c>
      <c r="D694" s="4" t="s">
        <v>43</v>
      </c>
      <c r="E694" s="4" t="s">
        <v>54</v>
      </c>
      <c r="F694" s="4" t="s">
        <v>52</v>
      </c>
      <c r="G694" s="4" t="s">
        <v>25</v>
      </c>
      <c r="H694" s="4" t="s">
        <v>25</v>
      </c>
      <c r="I694" s="5">
        <v>44621</v>
      </c>
      <c r="J694" s="6">
        <v>0</v>
      </c>
      <c r="K694" s="6">
        <v>0</v>
      </c>
      <c r="L694" s="6">
        <v>4.3520000000000003</v>
      </c>
      <c r="M694" s="6">
        <v>4.3520000000000003</v>
      </c>
      <c r="N694" s="6">
        <v>4.3520000000000003</v>
      </c>
      <c r="O694" s="6">
        <v>4.3520000000000003</v>
      </c>
      <c r="P694" s="6">
        <v>0</v>
      </c>
      <c r="Q694" s="4" t="s">
        <v>26</v>
      </c>
      <c r="R694" s="4">
        <v>0</v>
      </c>
      <c r="S694" s="6">
        <v>0</v>
      </c>
      <c r="T694" s="6">
        <v>30</v>
      </c>
      <c r="U694" s="6">
        <v>70</v>
      </c>
      <c r="V694" s="6">
        <f>IF(ISERROR(VLOOKUP($S$694,'TAR FIN'!$A$1:$O$86,15,0)),0,VLOOKUP($S$694,'TAR FIN'!$A$1:$O$86,15,0))</f>
        <v>0</v>
      </c>
      <c r="W694" s="6">
        <f>IF(ISERROR(VLOOKUP($T$694,'TAR FIN'!$A$1:$O$86,15,0)),0,VLOOKUP($T$694,'TAR FIN'!$A$1:$O$86,15,0))</f>
        <v>285.56</v>
      </c>
      <c r="X694" s="6">
        <f>IF(ISERROR(VLOOKUP($U$694,'TAR FIN'!$A$1:$O$86,15,0)),0,VLOOKUP($U$694,'TAR FIN'!$A$1:$O$86,15,0))</f>
        <v>227.23</v>
      </c>
      <c r="Y694" s="6"/>
      <c r="Z694" s="6">
        <f ca="1">('TUSD BE'!$AM$34+'TUSD BF'!$AM$34+'TUSD CVA'!$AM$34)*(1-CUSTOS!$M$38)</f>
        <v>310.34682484351242</v>
      </c>
      <c r="AA694" s="6">
        <f>('TE BE'!$AB$24+'TE BF'!$AB$24+'TE CVA'!$AB$24)*(1-CUSTOS!$M$38)</f>
        <v>216.7476358676706</v>
      </c>
      <c r="AB694" s="6">
        <f>$K$694*$V$694</f>
        <v>0</v>
      </c>
      <c r="AC694" s="6">
        <f>$M$694*$W$694</f>
        <v>1242.75712</v>
      </c>
      <c r="AD694" s="6">
        <f>$O$694*$X$694</f>
        <v>988.90496000000007</v>
      </c>
      <c r="AE694" s="6">
        <f>$K$694*$Y$694</f>
        <v>0</v>
      </c>
      <c r="AF694" s="6">
        <f ca="1">$M$694*$Z$694</f>
        <v>1350.6293817189662</v>
      </c>
      <c r="AG694" s="6">
        <f>$O$694*$AA$694</f>
        <v>943.28571129610248</v>
      </c>
    </row>
    <row r="695" spans="1:33" ht="11.25" customHeight="1" x14ac:dyDescent="0.25">
      <c r="A695" s="4" t="s">
        <v>27</v>
      </c>
      <c r="B695" s="4" t="s">
        <v>42</v>
      </c>
      <c r="C695" s="4" t="s">
        <v>23</v>
      </c>
      <c r="D695" s="4" t="s">
        <v>43</v>
      </c>
      <c r="E695" s="4" t="s">
        <v>54</v>
      </c>
      <c r="F695" s="4" t="s">
        <v>52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-0.97199999999999998</v>
      </c>
      <c r="M695" s="6">
        <v>-0.97199999999999998</v>
      </c>
      <c r="N695" s="6">
        <v>-0.97199999999999998</v>
      </c>
      <c r="O695" s="6">
        <v>-0.97199999999999998</v>
      </c>
      <c r="P695" s="6">
        <v>0</v>
      </c>
      <c r="Q695" s="4" t="s">
        <v>26</v>
      </c>
      <c r="R695" s="4">
        <v>0</v>
      </c>
      <c r="S695" s="6">
        <v>0</v>
      </c>
      <c r="T695" s="6">
        <v>30</v>
      </c>
      <c r="U695" s="6">
        <v>70</v>
      </c>
      <c r="V695" s="6">
        <f>IF(ISERROR(VLOOKUP($S$695,'TAR FIN'!$A$1:$O$86,15,0)),0,VLOOKUP($S$695,'TAR FIN'!$A$1:$O$86,15,0))</f>
        <v>0</v>
      </c>
      <c r="W695" s="6">
        <f>IF(ISERROR(VLOOKUP($T$695,'TAR FIN'!$A$1:$O$86,15,0)),0,VLOOKUP($T$695,'TAR FIN'!$A$1:$O$86,15,0))</f>
        <v>285.56</v>
      </c>
      <c r="X695" s="6">
        <f>IF(ISERROR(VLOOKUP($U$695,'TAR FIN'!$A$1:$O$86,15,0)),0,VLOOKUP($U$695,'TAR FIN'!$A$1:$O$86,15,0))</f>
        <v>227.23</v>
      </c>
      <c r="Y695" s="6"/>
      <c r="Z695" s="6">
        <f ca="1">('TUSD BE'!$AM$34+'TUSD BF'!$AM$34+'TUSD CVA'!$AM$34)*(1-CUSTOS!$M$38)</f>
        <v>310.34682484351242</v>
      </c>
      <c r="AA695" s="6">
        <f>('TE BE'!$AB$24+'TE BF'!$AB$24+'TE CVA'!$AB$24)*(1-CUSTOS!$M$38)</f>
        <v>216.7476358676706</v>
      </c>
      <c r="AB695" s="6">
        <f>$K$695*$V$695</f>
        <v>0</v>
      </c>
      <c r="AC695" s="6">
        <f>$M$695*$W$695</f>
        <v>-277.56432000000001</v>
      </c>
      <c r="AD695" s="6">
        <f>$O$695*$X$695</f>
        <v>-220.86756</v>
      </c>
      <c r="AE695" s="6">
        <f>$K$695*$Y$695</f>
        <v>0</v>
      </c>
      <c r="AF695" s="6">
        <f ca="1">$M$695*$Z$695</f>
        <v>-301.65711374789407</v>
      </c>
      <c r="AG695" s="6">
        <f>$O$695*$AA$695</f>
        <v>-210.67870206337582</v>
      </c>
    </row>
    <row r="696" spans="1:33" ht="11.25" customHeight="1" x14ac:dyDescent="0.25">
      <c r="A696" s="4" t="s">
        <v>55</v>
      </c>
      <c r="B696" s="4" t="s">
        <v>42</v>
      </c>
      <c r="C696" s="4" t="s">
        <v>23</v>
      </c>
      <c r="D696" s="4" t="s">
        <v>43</v>
      </c>
      <c r="E696" s="4" t="s">
        <v>54</v>
      </c>
      <c r="F696" s="4" t="s">
        <v>52</v>
      </c>
      <c r="G696" s="4" t="s">
        <v>25</v>
      </c>
      <c r="H696" s="4" t="s">
        <v>25</v>
      </c>
      <c r="I696" s="5">
        <v>44621</v>
      </c>
      <c r="J696" s="6">
        <v>0</v>
      </c>
      <c r="K696" s="6">
        <v>0</v>
      </c>
      <c r="L696" s="6">
        <v>10.961</v>
      </c>
      <c r="M696" s="6">
        <v>10.961</v>
      </c>
      <c r="N696" s="6">
        <v>10.961</v>
      </c>
      <c r="O696" s="6">
        <v>10.961</v>
      </c>
      <c r="P696" s="6">
        <v>0</v>
      </c>
      <c r="Q696" s="4" t="s">
        <v>26</v>
      </c>
      <c r="R696" s="4">
        <v>0</v>
      </c>
      <c r="S696" s="6">
        <v>0</v>
      </c>
      <c r="T696" s="6">
        <v>30</v>
      </c>
      <c r="U696" s="6">
        <v>70</v>
      </c>
      <c r="V696" s="6">
        <f>IF(ISERROR(VLOOKUP($S$696,'TAR FIN'!$A$1:$O$86,15,0)),0,VLOOKUP($S$696,'TAR FIN'!$A$1:$O$86,15,0))</f>
        <v>0</v>
      </c>
      <c r="W696" s="6">
        <f>IF(ISERROR(VLOOKUP($T$696,'TAR FIN'!$A$1:$O$86,15,0)),0,VLOOKUP($T$696,'TAR FIN'!$A$1:$O$86,15,0))</f>
        <v>285.56</v>
      </c>
      <c r="X696" s="6">
        <f>IF(ISERROR(VLOOKUP($U$696,'TAR FIN'!$A$1:$O$86,15,0)),0,VLOOKUP($U$696,'TAR FIN'!$A$1:$O$86,15,0))</f>
        <v>227.23</v>
      </c>
      <c r="Y696" s="6"/>
      <c r="Z696" s="6">
        <f ca="1">('TUSD BE'!$AM$34+'TUSD BF'!$AM$34+'TUSD CVA'!$AM$34)*(1-CUSTOS!$M$38)</f>
        <v>310.34682484351242</v>
      </c>
      <c r="AA696" s="6">
        <f>('TE BE'!$AB$24+'TE BF'!$AB$24+'TE CVA'!$AB$24)*(1-CUSTOS!$M$38)</f>
        <v>216.7476358676706</v>
      </c>
      <c r="AB696" s="6">
        <f>$K$696*$V$696</f>
        <v>0</v>
      </c>
      <c r="AC696" s="6">
        <f>$M$696*$W$696</f>
        <v>3130.0231600000002</v>
      </c>
      <c r="AD696" s="6">
        <f>$O$696*$X$696</f>
        <v>2490.6680299999998</v>
      </c>
      <c r="AE696" s="6">
        <f>$K$696*$Y$696</f>
        <v>0</v>
      </c>
      <c r="AF696" s="6">
        <f ca="1">$M$696*$Z$696</f>
        <v>3401.71154710974</v>
      </c>
      <c r="AG696" s="6">
        <f>$O$696*$AA$696</f>
        <v>2375.7708367455375</v>
      </c>
    </row>
    <row r="697" spans="1:33" ht="11.25" customHeight="1" x14ac:dyDescent="0.25">
      <c r="A697" s="4" t="s">
        <v>21</v>
      </c>
      <c r="B697" s="4" t="s">
        <v>42</v>
      </c>
      <c r="C697" s="4" t="s">
        <v>23</v>
      </c>
      <c r="D697" s="4" t="s">
        <v>43</v>
      </c>
      <c r="E697" s="4" t="s">
        <v>54</v>
      </c>
      <c r="F697" s="4" t="s">
        <v>52</v>
      </c>
      <c r="G697" s="4" t="s">
        <v>25</v>
      </c>
      <c r="H697" s="4" t="s">
        <v>25</v>
      </c>
      <c r="I697" s="5">
        <v>44652</v>
      </c>
      <c r="J697" s="6">
        <v>0</v>
      </c>
      <c r="K697" s="6">
        <v>0</v>
      </c>
      <c r="L697" s="6">
        <v>5.8879999999999999</v>
      </c>
      <c r="M697" s="6">
        <v>5.8879999999999999</v>
      </c>
      <c r="N697" s="6">
        <v>5.8879999999999999</v>
      </c>
      <c r="O697" s="6">
        <v>5.8879999999999999</v>
      </c>
      <c r="P697" s="6">
        <v>0</v>
      </c>
      <c r="Q697" s="4" t="s">
        <v>26</v>
      </c>
      <c r="R697" s="4">
        <v>0</v>
      </c>
      <c r="S697" s="6">
        <v>0</v>
      </c>
      <c r="T697" s="6">
        <v>30</v>
      </c>
      <c r="U697" s="6">
        <v>70</v>
      </c>
      <c r="V697" s="6">
        <f>IF(ISERROR(VLOOKUP($S$697,'TAR FIN'!$A$1:$O$86,15,0)),0,VLOOKUP($S$697,'TAR FIN'!$A$1:$O$86,15,0))</f>
        <v>0</v>
      </c>
      <c r="W697" s="6">
        <f>IF(ISERROR(VLOOKUP($T$697,'TAR FIN'!$A$1:$O$86,15,0)),0,VLOOKUP($T$697,'TAR FIN'!$A$1:$O$86,15,0))</f>
        <v>285.56</v>
      </c>
      <c r="X697" s="6">
        <f>IF(ISERROR(VLOOKUP($U$697,'TAR FIN'!$A$1:$O$86,15,0)),0,VLOOKUP($U$697,'TAR FIN'!$A$1:$O$86,15,0))</f>
        <v>227.23</v>
      </c>
      <c r="Y697" s="6"/>
      <c r="Z697" s="6">
        <f ca="1">('TUSD BE'!$AM$34+'TUSD BF'!$AM$34+'TUSD CVA'!$AM$34)*(1-CUSTOS!$M$38)</f>
        <v>310.34682484351242</v>
      </c>
      <c r="AA697" s="6">
        <f>('TE BE'!$AB$24+'TE BF'!$AB$24+'TE CVA'!$AB$24)*(1-CUSTOS!$M$38)</f>
        <v>216.7476358676706</v>
      </c>
      <c r="AB697" s="6">
        <f>$K$697*$V$697</f>
        <v>0</v>
      </c>
      <c r="AC697" s="6">
        <f>$M$697*$W$697</f>
        <v>1681.3772799999999</v>
      </c>
      <c r="AD697" s="6">
        <f>$O$697*$X$697</f>
        <v>1337.9302399999999</v>
      </c>
      <c r="AE697" s="6">
        <f>$K$697*$Y$697</f>
        <v>0</v>
      </c>
      <c r="AF697" s="6">
        <f ca="1">$M$697*$Z$697</f>
        <v>1827.3221046786011</v>
      </c>
      <c r="AG697" s="6">
        <f>$O$697*$AA$697</f>
        <v>1276.2100799888444</v>
      </c>
    </row>
    <row r="698" spans="1:33" ht="11.25" customHeight="1" x14ac:dyDescent="0.25">
      <c r="A698" s="4" t="s">
        <v>55</v>
      </c>
      <c r="B698" s="4" t="s">
        <v>42</v>
      </c>
      <c r="C698" s="4" t="s">
        <v>23</v>
      </c>
      <c r="D698" s="4" t="s">
        <v>43</v>
      </c>
      <c r="E698" s="4" t="s">
        <v>54</v>
      </c>
      <c r="F698" s="4" t="s">
        <v>52</v>
      </c>
      <c r="G698" s="4" t="s">
        <v>25</v>
      </c>
      <c r="H698" s="4" t="s">
        <v>25</v>
      </c>
      <c r="I698" s="5">
        <v>44652</v>
      </c>
      <c r="J698" s="6">
        <v>0</v>
      </c>
      <c r="K698" s="6">
        <v>0</v>
      </c>
      <c r="L698" s="6">
        <v>10.076000000000001</v>
      </c>
      <c r="M698" s="6">
        <v>10.076000000000001</v>
      </c>
      <c r="N698" s="6">
        <v>10.076000000000001</v>
      </c>
      <c r="O698" s="6">
        <v>10.076000000000001</v>
      </c>
      <c r="P698" s="6">
        <v>0</v>
      </c>
      <c r="Q698" s="4" t="s">
        <v>26</v>
      </c>
      <c r="R698" s="4">
        <v>0</v>
      </c>
      <c r="S698" s="6">
        <v>0</v>
      </c>
      <c r="T698" s="6">
        <v>30</v>
      </c>
      <c r="U698" s="6">
        <v>70</v>
      </c>
      <c r="V698" s="6">
        <f>IF(ISERROR(VLOOKUP($S$698,'TAR FIN'!$A$1:$O$86,15,0)),0,VLOOKUP($S$698,'TAR FIN'!$A$1:$O$86,15,0))</f>
        <v>0</v>
      </c>
      <c r="W698" s="6">
        <f>IF(ISERROR(VLOOKUP($T$698,'TAR FIN'!$A$1:$O$86,15,0)),0,VLOOKUP($T$698,'TAR FIN'!$A$1:$O$86,15,0))</f>
        <v>285.56</v>
      </c>
      <c r="X698" s="6">
        <f>IF(ISERROR(VLOOKUP($U$698,'TAR FIN'!$A$1:$O$86,15,0)),0,VLOOKUP($U$698,'TAR FIN'!$A$1:$O$86,15,0))</f>
        <v>227.23</v>
      </c>
      <c r="Y698" s="6"/>
      <c r="Z698" s="6">
        <f ca="1">('TUSD BE'!$AM$34+'TUSD BF'!$AM$34+'TUSD CVA'!$AM$34)*(1-CUSTOS!$M$38)</f>
        <v>310.34682484351242</v>
      </c>
      <c r="AA698" s="6">
        <f>('TE BE'!$AB$24+'TE BF'!$AB$24+'TE CVA'!$AB$24)*(1-CUSTOS!$M$38)</f>
        <v>216.7476358676706</v>
      </c>
      <c r="AB698" s="6">
        <f>$K$698*$V$698</f>
        <v>0</v>
      </c>
      <c r="AC698" s="6">
        <f>$M$698*$W$698</f>
        <v>2877.3025600000001</v>
      </c>
      <c r="AD698" s="6">
        <f>$O$698*$X$698</f>
        <v>2289.5694800000001</v>
      </c>
      <c r="AE698" s="6">
        <f>$K$698*$Y$698</f>
        <v>0</v>
      </c>
      <c r="AF698" s="6">
        <f ca="1">$M$698*$Z$698</f>
        <v>3127.0546071232311</v>
      </c>
      <c r="AG698" s="6">
        <f>$O$698*$AA$698</f>
        <v>2183.9491790026491</v>
      </c>
    </row>
    <row r="699" spans="1:33" ht="11.25" customHeight="1" x14ac:dyDescent="0.25">
      <c r="A699" s="4" t="s">
        <v>21</v>
      </c>
      <c r="B699" s="4" t="s">
        <v>42</v>
      </c>
      <c r="C699" s="4" t="s">
        <v>23</v>
      </c>
      <c r="D699" s="4" t="s">
        <v>43</v>
      </c>
      <c r="E699" s="4" t="s">
        <v>54</v>
      </c>
      <c r="F699" s="4" t="s">
        <v>52</v>
      </c>
      <c r="G699" s="4" t="s">
        <v>25</v>
      </c>
      <c r="H699" s="4" t="s">
        <v>25</v>
      </c>
      <c r="I699" s="5">
        <v>44682</v>
      </c>
      <c r="J699" s="6">
        <v>0</v>
      </c>
      <c r="K699" s="6">
        <v>0</v>
      </c>
      <c r="L699" s="6">
        <v>6.9560000000000004</v>
      </c>
      <c r="M699" s="6">
        <v>6.9560000000000004</v>
      </c>
      <c r="N699" s="6">
        <v>6.9560000000000004</v>
      </c>
      <c r="O699" s="6">
        <v>6.9560000000000004</v>
      </c>
      <c r="P699" s="6">
        <v>0</v>
      </c>
      <c r="Q699" s="4" t="s">
        <v>26</v>
      </c>
      <c r="R699" s="4">
        <v>0</v>
      </c>
      <c r="S699" s="6">
        <v>0</v>
      </c>
      <c r="T699" s="6">
        <v>30</v>
      </c>
      <c r="U699" s="6">
        <v>70</v>
      </c>
      <c r="V699" s="6">
        <f>IF(ISERROR(VLOOKUP($S$699,'TAR FIN'!$A$1:$O$86,15,0)),0,VLOOKUP($S$699,'TAR FIN'!$A$1:$O$86,15,0))</f>
        <v>0</v>
      </c>
      <c r="W699" s="6">
        <f>IF(ISERROR(VLOOKUP($T$699,'TAR FIN'!$A$1:$O$86,15,0)),0,VLOOKUP($T$699,'TAR FIN'!$A$1:$O$86,15,0))</f>
        <v>285.56</v>
      </c>
      <c r="X699" s="6">
        <f>IF(ISERROR(VLOOKUP($U$699,'TAR FIN'!$A$1:$O$86,15,0)),0,VLOOKUP($U$699,'TAR FIN'!$A$1:$O$86,15,0))</f>
        <v>227.23</v>
      </c>
      <c r="Y699" s="6"/>
      <c r="Z699" s="6">
        <f ca="1">('TUSD BE'!$AM$34+'TUSD BF'!$AM$34+'TUSD CVA'!$AM$34)*(1-CUSTOS!$M$38)</f>
        <v>310.34682484351242</v>
      </c>
      <c r="AA699" s="6">
        <f>('TE BE'!$AB$24+'TE BF'!$AB$24+'TE CVA'!$AB$24)*(1-CUSTOS!$M$38)</f>
        <v>216.7476358676706</v>
      </c>
      <c r="AB699" s="6">
        <f>$K$699*$V$699</f>
        <v>0</v>
      </c>
      <c r="AC699" s="6">
        <f>$M$699*$W$699</f>
        <v>1986.35536</v>
      </c>
      <c r="AD699" s="6">
        <f>$O$699*$X$699</f>
        <v>1580.6118799999999</v>
      </c>
      <c r="AE699" s="6">
        <f>$K$699*$Y$699</f>
        <v>0</v>
      </c>
      <c r="AF699" s="6">
        <f ca="1">$M$699*$Z$699</f>
        <v>2158.7725136114727</v>
      </c>
      <c r="AG699" s="6">
        <f>$O$699*$AA$699</f>
        <v>1507.6965550955167</v>
      </c>
    </row>
    <row r="700" spans="1:33" ht="11.25" customHeight="1" x14ac:dyDescent="0.25">
      <c r="A700" s="4" t="s">
        <v>55</v>
      </c>
      <c r="B700" s="4" t="s">
        <v>42</v>
      </c>
      <c r="C700" s="4" t="s">
        <v>23</v>
      </c>
      <c r="D700" s="4" t="s">
        <v>43</v>
      </c>
      <c r="E700" s="4" t="s">
        <v>54</v>
      </c>
      <c r="F700" s="4" t="s">
        <v>52</v>
      </c>
      <c r="G700" s="4" t="s">
        <v>25</v>
      </c>
      <c r="H700" s="4" t="s">
        <v>25</v>
      </c>
      <c r="I700" s="5">
        <v>44682</v>
      </c>
      <c r="J700" s="6">
        <v>0</v>
      </c>
      <c r="K700" s="6">
        <v>0</v>
      </c>
      <c r="L700" s="6">
        <v>9.52</v>
      </c>
      <c r="M700" s="6">
        <v>9.52</v>
      </c>
      <c r="N700" s="6">
        <v>9.52</v>
      </c>
      <c r="O700" s="6">
        <v>9.52</v>
      </c>
      <c r="P700" s="6">
        <v>0</v>
      </c>
      <c r="Q700" s="4" t="s">
        <v>26</v>
      </c>
      <c r="R700" s="4">
        <v>0</v>
      </c>
      <c r="S700" s="6">
        <v>0</v>
      </c>
      <c r="T700" s="6">
        <v>30</v>
      </c>
      <c r="U700" s="6">
        <v>70</v>
      </c>
      <c r="V700" s="6">
        <f>IF(ISERROR(VLOOKUP($S$700,'TAR FIN'!$A$1:$O$86,15,0)),0,VLOOKUP($S$700,'TAR FIN'!$A$1:$O$86,15,0))</f>
        <v>0</v>
      </c>
      <c r="W700" s="6">
        <f>IF(ISERROR(VLOOKUP($T$700,'TAR FIN'!$A$1:$O$86,15,0)),0,VLOOKUP($T$700,'TAR FIN'!$A$1:$O$86,15,0))</f>
        <v>285.56</v>
      </c>
      <c r="X700" s="6">
        <f>IF(ISERROR(VLOOKUP($U$700,'TAR FIN'!$A$1:$O$86,15,0)),0,VLOOKUP($U$700,'TAR FIN'!$A$1:$O$86,15,0))</f>
        <v>227.23</v>
      </c>
      <c r="Y700" s="6"/>
      <c r="Z700" s="6">
        <f ca="1">('TUSD BE'!$AM$34+'TUSD BF'!$AM$34+'TUSD CVA'!$AM$34)*(1-CUSTOS!$M$38)</f>
        <v>310.34682484351242</v>
      </c>
      <c r="AA700" s="6">
        <f>('TE BE'!$AB$24+'TE BF'!$AB$24+'TE CVA'!$AB$24)*(1-CUSTOS!$M$38)</f>
        <v>216.7476358676706</v>
      </c>
      <c r="AB700" s="6">
        <f>$K$700*$V$700</f>
        <v>0</v>
      </c>
      <c r="AC700" s="6">
        <f>$M$700*$W$700</f>
        <v>2718.5311999999999</v>
      </c>
      <c r="AD700" s="6">
        <f>$O$700*$X$700</f>
        <v>2163.2295999999997</v>
      </c>
      <c r="AE700" s="6">
        <f>$K$700*$Y$700</f>
        <v>0</v>
      </c>
      <c r="AF700" s="6">
        <f ca="1">$M$700*$Z$700</f>
        <v>2954.501772510238</v>
      </c>
      <c r="AG700" s="6">
        <f>$O$700*$AA$700</f>
        <v>2063.4374934602238</v>
      </c>
    </row>
    <row r="701" spans="1:33" ht="11.25" customHeight="1" x14ac:dyDescent="0.25">
      <c r="A701" s="4" t="s">
        <v>56</v>
      </c>
      <c r="B701" s="4" t="s">
        <v>42</v>
      </c>
      <c r="C701" s="4" t="s">
        <v>23</v>
      </c>
      <c r="D701" s="4" t="s">
        <v>43</v>
      </c>
      <c r="E701" s="4" t="s">
        <v>54</v>
      </c>
      <c r="F701" s="4" t="s">
        <v>52</v>
      </c>
      <c r="G701" s="4" t="s">
        <v>25</v>
      </c>
      <c r="H701" s="4" t="s">
        <v>25</v>
      </c>
      <c r="I701" s="5">
        <v>44713</v>
      </c>
      <c r="J701" s="6">
        <v>0</v>
      </c>
      <c r="K701" s="6">
        <v>0</v>
      </c>
      <c r="L701" s="6">
        <v>6.9560000000000004</v>
      </c>
      <c r="M701" s="6">
        <v>6.9560000000000004</v>
      </c>
      <c r="N701" s="6">
        <v>6.9560000000000004</v>
      </c>
      <c r="O701" s="6">
        <v>6.9560000000000004</v>
      </c>
      <c r="P701" s="6">
        <v>0</v>
      </c>
      <c r="Q701" s="4" t="s">
        <v>26</v>
      </c>
      <c r="R701" s="4">
        <v>0</v>
      </c>
      <c r="S701" s="6">
        <v>0</v>
      </c>
      <c r="T701" s="6">
        <v>30</v>
      </c>
      <c r="U701" s="6">
        <v>70</v>
      </c>
      <c r="V701" s="6">
        <f>IF(ISERROR(VLOOKUP($S$701,'TAR FIN'!$A$1:$O$86,15,0)),0,VLOOKUP($S$701,'TAR FIN'!$A$1:$O$86,15,0))</f>
        <v>0</v>
      </c>
      <c r="W701" s="6">
        <f>IF(ISERROR(VLOOKUP($T$701,'TAR FIN'!$A$1:$O$86,15,0)),0,VLOOKUP($T$701,'TAR FIN'!$A$1:$O$86,15,0))</f>
        <v>285.56</v>
      </c>
      <c r="X701" s="6">
        <f>IF(ISERROR(VLOOKUP($U$701,'TAR FIN'!$A$1:$O$86,15,0)),0,VLOOKUP($U$701,'TAR FIN'!$A$1:$O$86,15,0))</f>
        <v>227.23</v>
      </c>
      <c r="Y701" s="6"/>
      <c r="Z701" s="6">
        <f ca="1">('TUSD BE'!$AM$34+'TUSD BF'!$AM$34+'TUSD CVA'!$AM$34)*(1-CUSTOS!$M$38)</f>
        <v>310.34682484351242</v>
      </c>
      <c r="AA701" s="6">
        <f>('TE BE'!$AB$24+'TE BF'!$AB$24+'TE CVA'!$AB$24)*(1-CUSTOS!$M$38)</f>
        <v>216.7476358676706</v>
      </c>
      <c r="AB701" s="6">
        <f>$K$701*$V$701</f>
        <v>0</v>
      </c>
      <c r="AC701" s="6">
        <f>$M$701*$W$701</f>
        <v>1986.35536</v>
      </c>
      <c r="AD701" s="6">
        <f>$O$701*$X$701</f>
        <v>1580.6118799999999</v>
      </c>
      <c r="AE701" s="6">
        <f>$K$701*$Y$701</f>
        <v>0</v>
      </c>
      <c r="AF701" s="6">
        <f ca="1">$M$701*$Z$701</f>
        <v>2158.7725136114727</v>
      </c>
      <c r="AG701" s="6">
        <f>$O$701*$AA$701</f>
        <v>1507.6965550955167</v>
      </c>
    </row>
    <row r="702" spans="1:33" ht="11.25" customHeight="1" x14ac:dyDescent="0.25">
      <c r="A702" s="4" t="s">
        <v>56</v>
      </c>
      <c r="B702" s="4" t="s">
        <v>42</v>
      </c>
      <c r="C702" s="4" t="s">
        <v>23</v>
      </c>
      <c r="D702" s="4" t="s">
        <v>43</v>
      </c>
      <c r="E702" s="4" t="s">
        <v>54</v>
      </c>
      <c r="F702" s="4" t="s">
        <v>52</v>
      </c>
      <c r="G702" s="4" t="s">
        <v>25</v>
      </c>
      <c r="H702" s="4" t="s">
        <v>25</v>
      </c>
      <c r="I702" s="5">
        <v>44713</v>
      </c>
      <c r="J702" s="6">
        <v>0</v>
      </c>
      <c r="K702" s="6">
        <v>0</v>
      </c>
      <c r="L702" s="6">
        <v>9.52</v>
      </c>
      <c r="M702" s="6">
        <v>9.52</v>
      </c>
      <c r="N702" s="6">
        <v>9.52</v>
      </c>
      <c r="O702" s="6">
        <v>9.52</v>
      </c>
      <c r="P702" s="6">
        <v>0</v>
      </c>
      <c r="Q702" s="4" t="s">
        <v>26</v>
      </c>
      <c r="R702" s="4">
        <v>0</v>
      </c>
      <c r="S702" s="6">
        <v>0</v>
      </c>
      <c r="T702" s="6">
        <v>30</v>
      </c>
      <c r="U702" s="6">
        <v>70</v>
      </c>
      <c r="V702" s="6">
        <f>IF(ISERROR(VLOOKUP($S$702,'TAR FIN'!$A$1:$O$86,15,0)),0,VLOOKUP($S$702,'TAR FIN'!$A$1:$O$86,15,0))</f>
        <v>0</v>
      </c>
      <c r="W702" s="6">
        <f>IF(ISERROR(VLOOKUP($T$702,'TAR FIN'!$A$1:$O$86,15,0)),0,VLOOKUP($T$702,'TAR FIN'!$A$1:$O$86,15,0))</f>
        <v>285.56</v>
      </c>
      <c r="X702" s="6">
        <f>IF(ISERROR(VLOOKUP($U$702,'TAR FIN'!$A$1:$O$86,15,0)),0,VLOOKUP($U$702,'TAR FIN'!$A$1:$O$86,15,0))</f>
        <v>227.23</v>
      </c>
      <c r="Y702" s="6"/>
      <c r="Z702" s="6">
        <f ca="1">('TUSD BE'!$AM$34+'TUSD BF'!$AM$34+'TUSD CVA'!$AM$34)*(1-CUSTOS!$M$38)</f>
        <v>310.34682484351242</v>
      </c>
      <c r="AA702" s="6">
        <f>('TE BE'!$AB$24+'TE BF'!$AB$24+'TE CVA'!$AB$24)*(1-CUSTOS!$M$38)</f>
        <v>216.7476358676706</v>
      </c>
      <c r="AB702" s="6">
        <f>$K$702*$V$702</f>
        <v>0</v>
      </c>
      <c r="AC702" s="6">
        <f>$M$702*$W$702</f>
        <v>2718.5311999999999</v>
      </c>
      <c r="AD702" s="6">
        <f>$O$702*$X$702</f>
        <v>2163.2295999999997</v>
      </c>
      <c r="AE702" s="6">
        <f>$K$702*$Y$702</f>
        <v>0</v>
      </c>
      <c r="AF702" s="6">
        <f ca="1">$M$702*$Z$702</f>
        <v>2954.501772510238</v>
      </c>
      <c r="AG702" s="6">
        <f>$O$702*$AA$702</f>
        <v>2063.4374934602238</v>
      </c>
    </row>
    <row r="703" spans="1:33" ht="11.25" customHeight="1" x14ac:dyDescent="0.25">
      <c r="A703" s="4" t="s">
        <v>21</v>
      </c>
      <c r="B703" s="4" t="s">
        <v>42</v>
      </c>
      <c r="C703" s="4" t="s">
        <v>23</v>
      </c>
      <c r="D703" s="4" t="s">
        <v>43</v>
      </c>
      <c r="E703" s="4" t="s">
        <v>54</v>
      </c>
      <c r="F703" s="4" t="s">
        <v>53</v>
      </c>
      <c r="G703" s="4" t="s">
        <v>25</v>
      </c>
      <c r="H703" s="4" t="s">
        <v>25</v>
      </c>
      <c r="I703" s="5">
        <v>44378</v>
      </c>
      <c r="J703" s="6">
        <v>0</v>
      </c>
      <c r="K703" s="6">
        <v>0</v>
      </c>
      <c r="L703" s="6">
        <v>1.758</v>
      </c>
      <c r="M703" s="6">
        <v>0.70320000000000005</v>
      </c>
      <c r="N703" s="6">
        <v>1.758</v>
      </c>
      <c r="O703" s="6">
        <v>0.70320000000000005</v>
      </c>
      <c r="P703" s="6">
        <v>0</v>
      </c>
      <c r="Q703" s="4" t="s">
        <v>26</v>
      </c>
      <c r="R703" s="4">
        <v>0</v>
      </c>
      <c r="S703" s="6">
        <v>0</v>
      </c>
      <c r="T703" s="6">
        <v>30</v>
      </c>
      <c r="U703" s="6">
        <v>70</v>
      </c>
      <c r="V703" s="6">
        <f>IF(ISERROR(VLOOKUP($S$703,'TAR FIN'!$A$1:$O$86,15,0)),0,VLOOKUP($S$703,'TAR FIN'!$A$1:$O$86,15,0))</f>
        <v>0</v>
      </c>
      <c r="W703" s="6">
        <f>IF(ISERROR(VLOOKUP($T$703,'TAR FIN'!$A$1:$O$86,15,0)),0,VLOOKUP($T$703,'TAR FIN'!$A$1:$O$86,15,0))</f>
        <v>285.56</v>
      </c>
      <c r="X703" s="6">
        <f>IF(ISERROR(VLOOKUP($U$703,'TAR FIN'!$A$1:$O$86,15,0)),0,VLOOKUP($U$703,'TAR FIN'!$A$1:$O$86,15,0))</f>
        <v>227.23</v>
      </c>
      <c r="Y703" s="6"/>
      <c r="Z703" s="6">
        <f ca="1">('TUSD BE'!$AM$34+'TUSD BF'!$AM$34+'TUSD CVA'!$AM$34)*(1-CUSTOS!$M$38)</f>
        <v>310.34682484351242</v>
      </c>
      <c r="AA703" s="6">
        <f>('TE BE'!$AB$24+'TE BF'!$AB$24+'TE CVA'!$AB$24)*(1-CUSTOS!$M$38)</f>
        <v>216.7476358676706</v>
      </c>
      <c r="AB703" s="6">
        <f>$K$703*$V$703</f>
        <v>0</v>
      </c>
      <c r="AC703" s="6">
        <f>$M$703*$W$703</f>
        <v>200.80579200000003</v>
      </c>
      <c r="AD703" s="6">
        <f>$O$703*$X$703</f>
        <v>159.78813600000001</v>
      </c>
      <c r="AE703" s="6">
        <f>$K$703*$Y$703</f>
        <v>0</v>
      </c>
      <c r="AF703" s="6">
        <f ca="1">$M$703*$Z$703</f>
        <v>218.23588722995794</v>
      </c>
      <c r="AG703" s="6">
        <f>$O$703*$AA$703</f>
        <v>152.41693754214597</v>
      </c>
    </row>
    <row r="704" spans="1:33" ht="11.25" customHeight="1" x14ac:dyDescent="0.25">
      <c r="A704" s="4" t="s">
        <v>21</v>
      </c>
      <c r="B704" s="4" t="s">
        <v>42</v>
      </c>
      <c r="C704" s="4" t="s">
        <v>23</v>
      </c>
      <c r="D704" s="4" t="s">
        <v>43</v>
      </c>
      <c r="E704" s="4" t="s">
        <v>54</v>
      </c>
      <c r="F704" s="4" t="s">
        <v>53</v>
      </c>
      <c r="G704" s="4" t="s">
        <v>25</v>
      </c>
      <c r="H704" s="4" t="s">
        <v>25</v>
      </c>
      <c r="I704" s="5">
        <v>44409</v>
      </c>
      <c r="J704" s="6">
        <v>0</v>
      </c>
      <c r="K704" s="6">
        <v>0</v>
      </c>
      <c r="L704" s="6">
        <v>0.69899999999999995</v>
      </c>
      <c r="M704" s="6">
        <v>0.27960000000000002</v>
      </c>
      <c r="N704" s="6">
        <v>0.69899999999999995</v>
      </c>
      <c r="O704" s="6">
        <v>0.27960000000000002</v>
      </c>
      <c r="P704" s="6">
        <v>0</v>
      </c>
      <c r="Q704" s="4" t="s">
        <v>26</v>
      </c>
      <c r="R704" s="4">
        <v>0</v>
      </c>
      <c r="S704" s="6">
        <v>0</v>
      </c>
      <c r="T704" s="6">
        <v>30</v>
      </c>
      <c r="U704" s="6">
        <v>70</v>
      </c>
      <c r="V704" s="6">
        <f>IF(ISERROR(VLOOKUP($S$704,'TAR FIN'!$A$1:$O$86,15,0)),0,VLOOKUP($S$704,'TAR FIN'!$A$1:$O$86,15,0))</f>
        <v>0</v>
      </c>
      <c r="W704" s="6">
        <f>IF(ISERROR(VLOOKUP($T$704,'TAR FIN'!$A$1:$O$86,15,0)),0,VLOOKUP($T$704,'TAR FIN'!$A$1:$O$86,15,0))</f>
        <v>285.56</v>
      </c>
      <c r="X704" s="6">
        <f>IF(ISERROR(VLOOKUP($U$704,'TAR FIN'!$A$1:$O$86,15,0)),0,VLOOKUP($U$704,'TAR FIN'!$A$1:$O$86,15,0))</f>
        <v>227.23</v>
      </c>
      <c r="Y704" s="6"/>
      <c r="Z704" s="6">
        <f ca="1">('TUSD BE'!$AM$34+'TUSD BF'!$AM$34+'TUSD CVA'!$AM$34)*(1-CUSTOS!$M$38)</f>
        <v>310.34682484351242</v>
      </c>
      <c r="AA704" s="6">
        <f>('TE BE'!$AB$24+'TE BF'!$AB$24+'TE CVA'!$AB$24)*(1-CUSTOS!$M$38)</f>
        <v>216.7476358676706</v>
      </c>
      <c r="AB704" s="6">
        <f>$K$704*$V$704</f>
        <v>0</v>
      </c>
      <c r="AC704" s="6">
        <f>$M$704*$W$704</f>
        <v>79.842576000000008</v>
      </c>
      <c r="AD704" s="6">
        <f>$O$704*$X$704</f>
        <v>63.533507999999998</v>
      </c>
      <c r="AE704" s="6">
        <f>$K$704*$Y$704</f>
        <v>0</v>
      </c>
      <c r="AF704" s="6">
        <f ca="1">$M$704*$Z$704</f>
        <v>86.772972226246083</v>
      </c>
      <c r="AG704" s="6">
        <f>$O$704*$AA$704</f>
        <v>60.602638988600702</v>
      </c>
    </row>
    <row r="705" spans="1:33" ht="11.25" customHeight="1" x14ac:dyDescent="0.25">
      <c r="A705" s="4" t="s">
        <v>27</v>
      </c>
      <c r="B705" s="4" t="s">
        <v>42</v>
      </c>
      <c r="C705" s="4" t="s">
        <v>23</v>
      </c>
      <c r="D705" s="4" t="s">
        <v>43</v>
      </c>
      <c r="E705" s="4" t="s">
        <v>54</v>
      </c>
      <c r="F705" s="4" t="s">
        <v>53</v>
      </c>
      <c r="G705" s="4" t="s">
        <v>25</v>
      </c>
      <c r="H705" s="4" t="s">
        <v>25</v>
      </c>
      <c r="I705" s="5">
        <v>44409</v>
      </c>
      <c r="J705" s="6">
        <v>0</v>
      </c>
      <c r="K705" s="6">
        <v>0</v>
      </c>
      <c r="L705" s="6">
        <v>4.1000000000000002E-2</v>
      </c>
      <c r="M705" s="6">
        <v>1.6400000000000001E-2</v>
      </c>
      <c r="N705" s="6">
        <v>4.1000000000000002E-2</v>
      </c>
      <c r="O705" s="6">
        <v>1.6400000000000001E-2</v>
      </c>
      <c r="P705" s="6">
        <v>0</v>
      </c>
      <c r="Q705" s="4" t="s">
        <v>26</v>
      </c>
      <c r="R705" s="4">
        <v>0</v>
      </c>
      <c r="S705" s="6">
        <v>0</v>
      </c>
      <c r="T705" s="6">
        <v>30</v>
      </c>
      <c r="U705" s="6">
        <v>70</v>
      </c>
      <c r="V705" s="6">
        <f>IF(ISERROR(VLOOKUP($S$705,'TAR FIN'!$A$1:$O$86,15,0)),0,VLOOKUP($S$705,'TAR FIN'!$A$1:$O$86,15,0))</f>
        <v>0</v>
      </c>
      <c r="W705" s="6">
        <f>IF(ISERROR(VLOOKUP($T$705,'TAR FIN'!$A$1:$O$86,15,0)),0,VLOOKUP($T$705,'TAR FIN'!$A$1:$O$86,15,0))</f>
        <v>285.56</v>
      </c>
      <c r="X705" s="6">
        <f>IF(ISERROR(VLOOKUP($U$705,'TAR FIN'!$A$1:$O$86,15,0)),0,VLOOKUP($U$705,'TAR FIN'!$A$1:$O$86,15,0))</f>
        <v>227.23</v>
      </c>
      <c r="Y705" s="6"/>
      <c r="Z705" s="6">
        <f ca="1">('TUSD BE'!$AM$34+'TUSD BF'!$AM$34+'TUSD CVA'!$AM$34)*(1-CUSTOS!$M$38)</f>
        <v>310.34682484351242</v>
      </c>
      <c r="AA705" s="6">
        <f>('TE BE'!$AB$24+'TE BF'!$AB$24+'TE CVA'!$AB$24)*(1-CUSTOS!$M$38)</f>
        <v>216.7476358676706</v>
      </c>
      <c r="AB705" s="6">
        <f>$K$705*$V$705</f>
        <v>0</v>
      </c>
      <c r="AC705" s="6">
        <f>$M$705*$W$705</f>
        <v>4.6831840000000007</v>
      </c>
      <c r="AD705" s="6">
        <f>$O$705*$X$705</f>
        <v>3.726572</v>
      </c>
      <c r="AE705" s="6">
        <f>$K$705*$Y$705</f>
        <v>0</v>
      </c>
      <c r="AF705" s="6">
        <f ca="1">$M$705*$Z$705</f>
        <v>5.0896879274336042</v>
      </c>
      <c r="AG705" s="6">
        <f>$O$705*$AA$705</f>
        <v>3.554661228229798</v>
      </c>
    </row>
    <row r="706" spans="1:33" ht="11.25" customHeight="1" x14ac:dyDescent="0.25">
      <c r="A706" s="4" t="s">
        <v>55</v>
      </c>
      <c r="B706" s="4" t="s">
        <v>42</v>
      </c>
      <c r="C706" s="4" t="s">
        <v>23</v>
      </c>
      <c r="D706" s="4" t="s">
        <v>43</v>
      </c>
      <c r="E706" s="4" t="s">
        <v>54</v>
      </c>
      <c r="F706" s="4" t="s">
        <v>53</v>
      </c>
      <c r="G706" s="4" t="s">
        <v>25</v>
      </c>
      <c r="H706" s="4" t="s">
        <v>25</v>
      </c>
      <c r="I706" s="5">
        <v>44409</v>
      </c>
      <c r="J706" s="6">
        <v>0</v>
      </c>
      <c r="K706" s="6">
        <v>0</v>
      </c>
      <c r="L706" s="6">
        <v>6.25</v>
      </c>
      <c r="M706" s="6">
        <v>6.25</v>
      </c>
      <c r="N706" s="6">
        <v>6.25</v>
      </c>
      <c r="O706" s="6">
        <v>6.25</v>
      </c>
      <c r="P706" s="6">
        <v>0</v>
      </c>
      <c r="Q706" s="4" t="s">
        <v>26</v>
      </c>
      <c r="R706" s="4">
        <v>0</v>
      </c>
      <c r="S706" s="6">
        <v>0</v>
      </c>
      <c r="T706" s="6">
        <v>30</v>
      </c>
      <c r="U706" s="6">
        <v>70</v>
      </c>
      <c r="V706" s="6">
        <f>IF(ISERROR(VLOOKUP($S$706,'TAR FIN'!$A$1:$O$86,15,0)),0,VLOOKUP($S$706,'TAR FIN'!$A$1:$O$86,15,0))</f>
        <v>0</v>
      </c>
      <c r="W706" s="6">
        <f>IF(ISERROR(VLOOKUP($T$706,'TAR FIN'!$A$1:$O$86,15,0)),0,VLOOKUP($T$706,'TAR FIN'!$A$1:$O$86,15,0))</f>
        <v>285.56</v>
      </c>
      <c r="X706" s="6">
        <f>IF(ISERROR(VLOOKUP($U$706,'TAR FIN'!$A$1:$O$86,15,0)),0,VLOOKUP($U$706,'TAR FIN'!$A$1:$O$86,15,0))</f>
        <v>227.23</v>
      </c>
      <c r="Y706" s="6"/>
      <c r="Z706" s="6">
        <f ca="1">('TUSD BE'!$AM$34+'TUSD BF'!$AM$34+'TUSD CVA'!$AM$34)*(1-CUSTOS!$M$38)</f>
        <v>310.34682484351242</v>
      </c>
      <c r="AA706" s="6">
        <f>('TE BE'!$AB$24+'TE BF'!$AB$24+'TE CVA'!$AB$24)*(1-CUSTOS!$M$38)</f>
        <v>216.7476358676706</v>
      </c>
      <c r="AB706" s="6">
        <f>$K$706*$V$706</f>
        <v>0</v>
      </c>
      <c r="AC706" s="6">
        <f>$M$706*$W$706</f>
        <v>1784.75</v>
      </c>
      <c r="AD706" s="6">
        <f>$O$706*$X$706</f>
        <v>1420.1875</v>
      </c>
      <c r="AE706" s="6">
        <f>$K$706*$Y$706</f>
        <v>0</v>
      </c>
      <c r="AF706" s="6">
        <f ca="1">$M$706*$Z$706</f>
        <v>1939.6676552719528</v>
      </c>
      <c r="AG706" s="6">
        <f>$O$706*$AA$706</f>
        <v>1354.6727241729411</v>
      </c>
    </row>
    <row r="707" spans="1:33" ht="11.25" customHeight="1" x14ac:dyDescent="0.25">
      <c r="A707" s="4" t="s">
        <v>21</v>
      </c>
      <c r="B707" s="4" t="s">
        <v>42</v>
      </c>
      <c r="C707" s="4" t="s">
        <v>23</v>
      </c>
      <c r="D707" s="4" t="s">
        <v>43</v>
      </c>
      <c r="E707" s="4" t="s">
        <v>54</v>
      </c>
      <c r="F707" s="4" t="s">
        <v>53</v>
      </c>
      <c r="G707" s="4" t="s">
        <v>25</v>
      </c>
      <c r="H707" s="4" t="s">
        <v>25</v>
      </c>
      <c r="I707" s="5">
        <v>44440</v>
      </c>
      <c r="J707" s="6">
        <v>0</v>
      </c>
      <c r="K707" s="6">
        <v>0</v>
      </c>
      <c r="L707" s="6">
        <v>2.3479999999999999</v>
      </c>
      <c r="M707" s="6">
        <v>0.93920000000000003</v>
      </c>
      <c r="N707" s="6">
        <v>2.3479999999999999</v>
      </c>
      <c r="O707" s="6">
        <v>0.93920000000000003</v>
      </c>
      <c r="P707" s="6">
        <v>0</v>
      </c>
      <c r="Q707" s="4" t="s">
        <v>26</v>
      </c>
      <c r="R707" s="4">
        <v>0</v>
      </c>
      <c r="S707" s="6">
        <v>0</v>
      </c>
      <c r="T707" s="6">
        <v>30</v>
      </c>
      <c r="U707" s="6">
        <v>70</v>
      </c>
      <c r="V707" s="6">
        <f>IF(ISERROR(VLOOKUP($S$707,'TAR FIN'!$A$1:$O$86,15,0)),0,VLOOKUP($S$707,'TAR FIN'!$A$1:$O$86,15,0))</f>
        <v>0</v>
      </c>
      <c r="W707" s="6">
        <f>IF(ISERROR(VLOOKUP($T$707,'TAR FIN'!$A$1:$O$86,15,0)),0,VLOOKUP($T$707,'TAR FIN'!$A$1:$O$86,15,0))</f>
        <v>285.56</v>
      </c>
      <c r="X707" s="6">
        <f>IF(ISERROR(VLOOKUP($U$707,'TAR FIN'!$A$1:$O$86,15,0)),0,VLOOKUP($U$707,'TAR FIN'!$A$1:$O$86,15,0))</f>
        <v>227.23</v>
      </c>
      <c r="Y707" s="6"/>
      <c r="Z707" s="6">
        <f ca="1">('TUSD BE'!$AM$34+'TUSD BF'!$AM$34+'TUSD CVA'!$AM$34)*(1-CUSTOS!$M$38)</f>
        <v>310.34682484351242</v>
      </c>
      <c r="AA707" s="6">
        <f>('TE BE'!$AB$24+'TE BF'!$AB$24+'TE CVA'!$AB$24)*(1-CUSTOS!$M$38)</f>
        <v>216.7476358676706</v>
      </c>
      <c r="AB707" s="6">
        <f>$K$707*$V$707</f>
        <v>0</v>
      </c>
      <c r="AC707" s="6">
        <f>$M$707*$W$707</f>
        <v>268.19795199999999</v>
      </c>
      <c r="AD707" s="6">
        <f>$O$707*$X$707</f>
        <v>213.41441599999999</v>
      </c>
      <c r="AE707" s="6">
        <f>$K$707*$Y$707</f>
        <v>0</v>
      </c>
      <c r="AF707" s="6">
        <f ca="1">$M$707*$Z$707</f>
        <v>291.47773789302687</v>
      </c>
      <c r="AG707" s="6">
        <f>$O$707*$AA$707</f>
        <v>203.56937960691624</v>
      </c>
    </row>
    <row r="708" spans="1:33" ht="11.25" customHeight="1" x14ac:dyDescent="0.25">
      <c r="A708" s="4" t="s">
        <v>27</v>
      </c>
      <c r="B708" s="4" t="s">
        <v>42</v>
      </c>
      <c r="C708" s="4" t="s">
        <v>23</v>
      </c>
      <c r="D708" s="4" t="s">
        <v>43</v>
      </c>
      <c r="E708" s="4" t="s">
        <v>54</v>
      </c>
      <c r="F708" s="4" t="s">
        <v>53</v>
      </c>
      <c r="G708" s="4" t="s">
        <v>25</v>
      </c>
      <c r="H708" s="4" t="s">
        <v>25</v>
      </c>
      <c r="I708" s="5">
        <v>44440</v>
      </c>
      <c r="J708" s="6">
        <v>0</v>
      </c>
      <c r="K708" s="6">
        <v>0</v>
      </c>
      <c r="L708" s="6">
        <v>4.7E-2</v>
      </c>
      <c r="M708" s="6">
        <v>1.8800000000000001E-2</v>
      </c>
      <c r="N708" s="6">
        <v>4.7E-2</v>
      </c>
      <c r="O708" s="6">
        <v>1.8800000000000001E-2</v>
      </c>
      <c r="P708" s="6">
        <v>0</v>
      </c>
      <c r="Q708" s="4" t="s">
        <v>26</v>
      </c>
      <c r="R708" s="4">
        <v>0</v>
      </c>
      <c r="S708" s="6">
        <v>0</v>
      </c>
      <c r="T708" s="6">
        <v>30</v>
      </c>
      <c r="U708" s="6">
        <v>70</v>
      </c>
      <c r="V708" s="6">
        <f>IF(ISERROR(VLOOKUP($S$708,'TAR FIN'!$A$1:$O$86,15,0)),0,VLOOKUP($S$708,'TAR FIN'!$A$1:$O$86,15,0))</f>
        <v>0</v>
      </c>
      <c r="W708" s="6">
        <f>IF(ISERROR(VLOOKUP($T$708,'TAR FIN'!$A$1:$O$86,15,0)),0,VLOOKUP($T$708,'TAR FIN'!$A$1:$O$86,15,0))</f>
        <v>285.56</v>
      </c>
      <c r="X708" s="6">
        <f>IF(ISERROR(VLOOKUP($U$708,'TAR FIN'!$A$1:$O$86,15,0)),0,VLOOKUP($U$708,'TAR FIN'!$A$1:$O$86,15,0))</f>
        <v>227.23</v>
      </c>
      <c r="Y708" s="6"/>
      <c r="Z708" s="6">
        <f ca="1">('TUSD BE'!$AM$34+'TUSD BF'!$AM$34+'TUSD CVA'!$AM$34)*(1-CUSTOS!$M$38)</f>
        <v>310.34682484351242</v>
      </c>
      <c r="AA708" s="6">
        <f>('TE BE'!$AB$24+'TE BF'!$AB$24+'TE CVA'!$AB$24)*(1-CUSTOS!$M$38)</f>
        <v>216.7476358676706</v>
      </c>
      <c r="AB708" s="6">
        <f>$K$708*$V$708</f>
        <v>0</v>
      </c>
      <c r="AC708" s="6">
        <f>$M$708*$W$708</f>
        <v>5.3685280000000004</v>
      </c>
      <c r="AD708" s="6">
        <f>$O$708*$X$708</f>
        <v>4.2719240000000003</v>
      </c>
      <c r="AE708" s="6">
        <f>$K$708*$Y$708</f>
        <v>0</v>
      </c>
      <c r="AF708" s="6">
        <f ca="1">$M$708*$Z$708</f>
        <v>5.8345203070580336</v>
      </c>
      <c r="AG708" s="6">
        <f>$O$708*$AA$708</f>
        <v>4.0748555543122071</v>
      </c>
    </row>
    <row r="709" spans="1:33" ht="11.25" customHeight="1" x14ac:dyDescent="0.25">
      <c r="A709" s="4" t="s">
        <v>55</v>
      </c>
      <c r="B709" s="4" t="s">
        <v>42</v>
      </c>
      <c r="C709" s="4" t="s">
        <v>23</v>
      </c>
      <c r="D709" s="4" t="s">
        <v>43</v>
      </c>
      <c r="E709" s="4" t="s">
        <v>54</v>
      </c>
      <c r="F709" s="4" t="s">
        <v>53</v>
      </c>
      <c r="G709" s="4" t="s">
        <v>25</v>
      </c>
      <c r="H709" s="4" t="s">
        <v>25</v>
      </c>
      <c r="I709" s="5">
        <v>44440</v>
      </c>
      <c r="J709" s="6">
        <v>0</v>
      </c>
      <c r="K709" s="6">
        <v>0</v>
      </c>
      <c r="L709" s="6">
        <v>10.151</v>
      </c>
      <c r="M709" s="6">
        <v>10.151</v>
      </c>
      <c r="N709" s="6">
        <v>10.151</v>
      </c>
      <c r="O709" s="6">
        <v>10.151</v>
      </c>
      <c r="P709" s="6">
        <v>0</v>
      </c>
      <c r="Q709" s="4" t="s">
        <v>26</v>
      </c>
      <c r="R709" s="4">
        <v>0</v>
      </c>
      <c r="S709" s="6">
        <v>0</v>
      </c>
      <c r="T709" s="6">
        <v>30</v>
      </c>
      <c r="U709" s="6">
        <v>70</v>
      </c>
      <c r="V709" s="6">
        <f>IF(ISERROR(VLOOKUP($S$709,'TAR FIN'!$A$1:$O$86,15,0)),0,VLOOKUP($S$709,'TAR FIN'!$A$1:$O$86,15,0))</f>
        <v>0</v>
      </c>
      <c r="W709" s="6">
        <f>IF(ISERROR(VLOOKUP($T$709,'TAR FIN'!$A$1:$O$86,15,0)),0,VLOOKUP($T$709,'TAR FIN'!$A$1:$O$86,15,0))</f>
        <v>285.56</v>
      </c>
      <c r="X709" s="6">
        <f>IF(ISERROR(VLOOKUP($U$709,'TAR FIN'!$A$1:$O$86,15,0)),0,VLOOKUP($U$709,'TAR FIN'!$A$1:$O$86,15,0))</f>
        <v>227.23</v>
      </c>
      <c r="Y709" s="6"/>
      <c r="Z709" s="6">
        <f ca="1">('TUSD BE'!$AM$34+'TUSD BF'!$AM$34+'TUSD CVA'!$AM$34)*(1-CUSTOS!$M$38)</f>
        <v>310.34682484351242</v>
      </c>
      <c r="AA709" s="6">
        <f>('TE BE'!$AB$24+'TE BF'!$AB$24+'TE CVA'!$AB$24)*(1-CUSTOS!$M$38)</f>
        <v>216.7476358676706</v>
      </c>
      <c r="AB709" s="6">
        <f>$K$709*$V$709</f>
        <v>0</v>
      </c>
      <c r="AC709" s="6">
        <f>$M$709*$W$709</f>
        <v>2898.71956</v>
      </c>
      <c r="AD709" s="6">
        <f>$O$709*$X$709</f>
        <v>2306.6117299999996</v>
      </c>
      <c r="AE709" s="6">
        <f>$K$709*$Y$709</f>
        <v>0</v>
      </c>
      <c r="AF709" s="6">
        <f ca="1">$M$709*$Z$709</f>
        <v>3150.3306189864948</v>
      </c>
      <c r="AG709" s="6">
        <f>$O$709*$AA$709</f>
        <v>2200.2052516927242</v>
      </c>
    </row>
    <row r="710" spans="1:33" ht="11.25" customHeight="1" x14ac:dyDescent="0.25">
      <c r="A710" s="4" t="s">
        <v>21</v>
      </c>
      <c r="B710" s="4" t="s">
        <v>42</v>
      </c>
      <c r="C710" s="4" t="s">
        <v>23</v>
      </c>
      <c r="D710" s="4" t="s">
        <v>43</v>
      </c>
      <c r="E710" s="4" t="s">
        <v>54</v>
      </c>
      <c r="F710" s="4" t="s">
        <v>53</v>
      </c>
      <c r="G710" s="4" t="s">
        <v>25</v>
      </c>
      <c r="H710" s="4" t="s">
        <v>25</v>
      </c>
      <c r="I710" s="5">
        <v>44470</v>
      </c>
      <c r="J710" s="6">
        <v>0</v>
      </c>
      <c r="K710" s="6">
        <v>0</v>
      </c>
      <c r="L710" s="6">
        <v>2.39</v>
      </c>
      <c r="M710" s="6">
        <v>0.95599999999999996</v>
      </c>
      <c r="N710" s="6">
        <v>2.39</v>
      </c>
      <c r="O710" s="6">
        <v>0.95599999999999996</v>
      </c>
      <c r="P710" s="6">
        <v>0</v>
      </c>
      <c r="Q710" s="4" t="s">
        <v>26</v>
      </c>
      <c r="R710" s="4">
        <v>0</v>
      </c>
      <c r="S710" s="6">
        <v>0</v>
      </c>
      <c r="T710" s="6">
        <v>30</v>
      </c>
      <c r="U710" s="6">
        <v>70</v>
      </c>
      <c r="V710" s="6">
        <f>IF(ISERROR(VLOOKUP($S$710,'TAR FIN'!$A$1:$O$86,15,0)),0,VLOOKUP($S$710,'TAR FIN'!$A$1:$O$86,15,0))</f>
        <v>0</v>
      </c>
      <c r="W710" s="6">
        <f>IF(ISERROR(VLOOKUP($T$710,'TAR FIN'!$A$1:$O$86,15,0)),0,VLOOKUP($T$710,'TAR FIN'!$A$1:$O$86,15,0))</f>
        <v>285.56</v>
      </c>
      <c r="X710" s="6">
        <f>IF(ISERROR(VLOOKUP($U$710,'TAR FIN'!$A$1:$O$86,15,0)),0,VLOOKUP($U$710,'TAR FIN'!$A$1:$O$86,15,0))</f>
        <v>227.23</v>
      </c>
      <c r="Y710" s="6"/>
      <c r="Z710" s="6">
        <f ca="1">('TUSD BE'!$AM$34+'TUSD BF'!$AM$34+'TUSD CVA'!$AM$34)*(1-CUSTOS!$M$38)</f>
        <v>310.34682484351242</v>
      </c>
      <c r="AA710" s="6">
        <f>('TE BE'!$AB$24+'TE BF'!$AB$24+'TE CVA'!$AB$24)*(1-CUSTOS!$M$38)</f>
        <v>216.7476358676706</v>
      </c>
      <c r="AB710" s="6">
        <f>$K$710*$V$710</f>
        <v>0</v>
      </c>
      <c r="AC710" s="6">
        <f>$M$710*$W$710</f>
        <v>272.99536000000001</v>
      </c>
      <c r="AD710" s="6">
        <f>$O$710*$X$710</f>
        <v>217.23187999999999</v>
      </c>
      <c r="AE710" s="6">
        <f>$K$710*$Y$710</f>
        <v>0</v>
      </c>
      <c r="AF710" s="6">
        <f ca="1">$M$710*$Z$710</f>
        <v>296.69156455039786</v>
      </c>
      <c r="AG710" s="6">
        <f>$O$710*$AA$710</f>
        <v>207.21073988949308</v>
      </c>
    </row>
    <row r="711" spans="1:33" ht="11.25" customHeight="1" x14ac:dyDescent="0.25">
      <c r="A711" s="4" t="s">
        <v>55</v>
      </c>
      <c r="B711" s="4" t="s">
        <v>42</v>
      </c>
      <c r="C711" s="4" t="s">
        <v>23</v>
      </c>
      <c r="D711" s="4" t="s">
        <v>43</v>
      </c>
      <c r="E711" s="4" t="s">
        <v>54</v>
      </c>
      <c r="F711" s="4" t="s">
        <v>53</v>
      </c>
      <c r="G711" s="4" t="s">
        <v>25</v>
      </c>
      <c r="H711" s="4" t="s">
        <v>25</v>
      </c>
      <c r="I711" s="5">
        <v>44470</v>
      </c>
      <c r="J711" s="6">
        <v>0</v>
      </c>
      <c r="K711" s="6">
        <v>0</v>
      </c>
      <c r="L711" s="6">
        <v>9.3699999999999992</v>
      </c>
      <c r="M711" s="6">
        <v>9.3699999999999992</v>
      </c>
      <c r="N711" s="6">
        <v>9.3699999999999992</v>
      </c>
      <c r="O711" s="6">
        <v>9.3699999999999992</v>
      </c>
      <c r="P711" s="6">
        <v>0</v>
      </c>
      <c r="Q711" s="4" t="s">
        <v>26</v>
      </c>
      <c r="R711" s="4">
        <v>0</v>
      </c>
      <c r="S711" s="6">
        <v>0</v>
      </c>
      <c r="T711" s="6">
        <v>30</v>
      </c>
      <c r="U711" s="6">
        <v>70</v>
      </c>
      <c r="V711" s="6">
        <f>IF(ISERROR(VLOOKUP($S$711,'TAR FIN'!$A$1:$O$86,15,0)),0,VLOOKUP($S$711,'TAR FIN'!$A$1:$O$86,15,0))</f>
        <v>0</v>
      </c>
      <c r="W711" s="6">
        <f>IF(ISERROR(VLOOKUP($T$711,'TAR FIN'!$A$1:$O$86,15,0)),0,VLOOKUP($T$711,'TAR FIN'!$A$1:$O$86,15,0))</f>
        <v>285.56</v>
      </c>
      <c r="X711" s="6">
        <f>IF(ISERROR(VLOOKUP($U$711,'TAR FIN'!$A$1:$O$86,15,0)),0,VLOOKUP($U$711,'TAR FIN'!$A$1:$O$86,15,0))</f>
        <v>227.23</v>
      </c>
      <c r="Y711" s="6"/>
      <c r="Z711" s="6">
        <f ca="1">('TUSD BE'!$AM$34+'TUSD BF'!$AM$34+'TUSD CVA'!$AM$34)*(1-CUSTOS!$M$38)</f>
        <v>310.34682484351242</v>
      </c>
      <c r="AA711" s="6">
        <f>('TE BE'!$AB$24+'TE BF'!$AB$24+'TE CVA'!$AB$24)*(1-CUSTOS!$M$38)</f>
        <v>216.7476358676706</v>
      </c>
      <c r="AB711" s="6">
        <f>$K$711*$V$711</f>
        <v>0</v>
      </c>
      <c r="AC711" s="6">
        <f>$M$711*$W$711</f>
        <v>2675.6971999999996</v>
      </c>
      <c r="AD711" s="6">
        <f>$O$711*$X$711</f>
        <v>2129.1450999999997</v>
      </c>
      <c r="AE711" s="6">
        <f>$K$711*$Y$711</f>
        <v>0</v>
      </c>
      <c r="AF711" s="6">
        <f ca="1">$M$711*$Z$711</f>
        <v>2907.9497487837111</v>
      </c>
      <c r="AG711" s="6">
        <f>$O$711*$AA$711</f>
        <v>2030.9253480800733</v>
      </c>
    </row>
    <row r="712" spans="1:33" ht="11.25" customHeight="1" x14ac:dyDescent="0.25">
      <c r="A712" s="4" t="s">
        <v>21</v>
      </c>
      <c r="B712" s="4" t="s">
        <v>42</v>
      </c>
      <c r="C712" s="4" t="s">
        <v>23</v>
      </c>
      <c r="D712" s="4" t="s">
        <v>43</v>
      </c>
      <c r="E712" s="4" t="s">
        <v>54</v>
      </c>
      <c r="F712" s="4" t="s">
        <v>53</v>
      </c>
      <c r="G712" s="4" t="s">
        <v>25</v>
      </c>
      <c r="H712" s="4" t="s">
        <v>25</v>
      </c>
      <c r="I712" s="5">
        <v>44501</v>
      </c>
      <c r="J712" s="6">
        <v>0</v>
      </c>
      <c r="K712" s="6">
        <v>0</v>
      </c>
      <c r="L712" s="6">
        <v>1.155</v>
      </c>
      <c r="M712" s="6">
        <v>0.46200000000000002</v>
      </c>
      <c r="N712" s="6">
        <v>1.155</v>
      </c>
      <c r="O712" s="6">
        <v>0.46200000000000002</v>
      </c>
      <c r="P712" s="6">
        <v>0</v>
      </c>
      <c r="Q712" s="4" t="s">
        <v>26</v>
      </c>
      <c r="R712" s="4">
        <v>0</v>
      </c>
      <c r="S712" s="6">
        <v>0</v>
      </c>
      <c r="T712" s="6">
        <v>30</v>
      </c>
      <c r="U712" s="6">
        <v>70</v>
      </c>
      <c r="V712" s="6">
        <f>IF(ISERROR(VLOOKUP($S$712,'TAR FIN'!$A$1:$O$86,15,0)),0,VLOOKUP($S$712,'TAR FIN'!$A$1:$O$86,15,0))</f>
        <v>0</v>
      </c>
      <c r="W712" s="6">
        <f>IF(ISERROR(VLOOKUP($T$712,'TAR FIN'!$A$1:$O$86,15,0)),0,VLOOKUP($T$712,'TAR FIN'!$A$1:$O$86,15,0))</f>
        <v>285.56</v>
      </c>
      <c r="X712" s="6">
        <f>IF(ISERROR(VLOOKUP($U$712,'TAR FIN'!$A$1:$O$86,15,0)),0,VLOOKUP($U$712,'TAR FIN'!$A$1:$O$86,15,0))</f>
        <v>227.23</v>
      </c>
      <c r="Y712" s="6"/>
      <c r="Z712" s="6">
        <f ca="1">('TUSD BE'!$AM$34+'TUSD BF'!$AM$34+'TUSD CVA'!$AM$34)*(1-CUSTOS!$M$38)</f>
        <v>310.34682484351242</v>
      </c>
      <c r="AA712" s="6">
        <f>('TE BE'!$AB$24+'TE BF'!$AB$24+'TE CVA'!$AB$24)*(1-CUSTOS!$M$38)</f>
        <v>216.7476358676706</v>
      </c>
      <c r="AB712" s="6">
        <f>$K$712*$V$712</f>
        <v>0</v>
      </c>
      <c r="AC712" s="6">
        <f>$M$712*$W$712</f>
        <v>131.92872</v>
      </c>
      <c r="AD712" s="6">
        <f>$O$712*$X$712</f>
        <v>104.98026</v>
      </c>
      <c r="AE712" s="6">
        <f>$K$712*$Y$712</f>
        <v>0</v>
      </c>
      <c r="AF712" s="6">
        <f ca="1">$M$712*$Z$712</f>
        <v>143.38023307770274</v>
      </c>
      <c r="AG712" s="6">
        <f>$O$712*$AA$712</f>
        <v>100.13740777086382</v>
      </c>
    </row>
    <row r="713" spans="1:33" ht="11.25" customHeight="1" x14ac:dyDescent="0.25">
      <c r="A713" s="4" t="s">
        <v>55</v>
      </c>
      <c r="B713" s="4" t="s">
        <v>42</v>
      </c>
      <c r="C713" s="4" t="s">
        <v>23</v>
      </c>
      <c r="D713" s="4" t="s">
        <v>43</v>
      </c>
      <c r="E713" s="4" t="s">
        <v>54</v>
      </c>
      <c r="F713" s="4" t="s">
        <v>53</v>
      </c>
      <c r="G713" s="4" t="s">
        <v>25</v>
      </c>
      <c r="H713" s="4" t="s">
        <v>25</v>
      </c>
      <c r="I713" s="5">
        <v>44501</v>
      </c>
      <c r="J713" s="6">
        <v>0</v>
      </c>
      <c r="K713" s="6">
        <v>0</v>
      </c>
      <c r="L713" s="6">
        <v>9.85</v>
      </c>
      <c r="M713" s="6">
        <v>9.85</v>
      </c>
      <c r="N713" s="6">
        <v>9.85</v>
      </c>
      <c r="O713" s="6">
        <v>9.85</v>
      </c>
      <c r="P713" s="6">
        <v>0</v>
      </c>
      <c r="Q713" s="4" t="s">
        <v>26</v>
      </c>
      <c r="R713" s="4">
        <v>0</v>
      </c>
      <c r="S713" s="6">
        <v>0</v>
      </c>
      <c r="T713" s="6">
        <v>30</v>
      </c>
      <c r="U713" s="6">
        <v>70</v>
      </c>
      <c r="V713" s="6">
        <f>IF(ISERROR(VLOOKUP($S$713,'TAR FIN'!$A$1:$O$86,15,0)),0,VLOOKUP($S$713,'TAR FIN'!$A$1:$O$86,15,0))</f>
        <v>0</v>
      </c>
      <c r="W713" s="6">
        <f>IF(ISERROR(VLOOKUP($T$713,'TAR FIN'!$A$1:$O$86,15,0)),0,VLOOKUP($T$713,'TAR FIN'!$A$1:$O$86,15,0))</f>
        <v>285.56</v>
      </c>
      <c r="X713" s="6">
        <f>IF(ISERROR(VLOOKUP($U$713,'TAR FIN'!$A$1:$O$86,15,0)),0,VLOOKUP($U$713,'TAR FIN'!$A$1:$O$86,15,0))</f>
        <v>227.23</v>
      </c>
      <c r="Y713" s="6"/>
      <c r="Z713" s="6">
        <f ca="1">('TUSD BE'!$AM$34+'TUSD BF'!$AM$34+'TUSD CVA'!$AM$34)*(1-CUSTOS!$M$38)</f>
        <v>310.34682484351242</v>
      </c>
      <c r="AA713" s="6">
        <f>('TE BE'!$AB$24+'TE BF'!$AB$24+'TE CVA'!$AB$24)*(1-CUSTOS!$M$38)</f>
        <v>216.7476358676706</v>
      </c>
      <c r="AB713" s="6">
        <f>$K$713*$V$713</f>
        <v>0</v>
      </c>
      <c r="AC713" s="6">
        <f>$M$713*$W$713</f>
        <v>2812.7660000000001</v>
      </c>
      <c r="AD713" s="6">
        <f>$O$713*$X$713</f>
        <v>2238.2154999999998</v>
      </c>
      <c r="AE713" s="6">
        <f>$K$713*$Y$713</f>
        <v>0</v>
      </c>
      <c r="AF713" s="6">
        <f ca="1">$M$713*$Z$713</f>
        <v>3056.9162247085974</v>
      </c>
      <c r="AG713" s="6">
        <f>$O$713*$AA$713</f>
        <v>2134.9642132965555</v>
      </c>
    </row>
    <row r="714" spans="1:33" ht="11.25" customHeight="1" x14ac:dyDescent="0.25">
      <c r="A714" s="4" t="s">
        <v>21</v>
      </c>
      <c r="B714" s="4" t="s">
        <v>42</v>
      </c>
      <c r="C714" s="4" t="s">
        <v>23</v>
      </c>
      <c r="D714" s="4" t="s">
        <v>43</v>
      </c>
      <c r="E714" s="4" t="s">
        <v>54</v>
      </c>
      <c r="F714" s="4" t="s">
        <v>53</v>
      </c>
      <c r="G714" s="4" t="s">
        <v>25</v>
      </c>
      <c r="H714" s="4" t="s">
        <v>25</v>
      </c>
      <c r="I714" s="5">
        <v>44531</v>
      </c>
      <c r="J714" s="6">
        <v>0</v>
      </c>
      <c r="K714" s="6">
        <v>0</v>
      </c>
      <c r="L714" s="6">
        <v>2.379</v>
      </c>
      <c r="M714" s="6">
        <v>0.9516</v>
      </c>
      <c r="N714" s="6">
        <v>2.379</v>
      </c>
      <c r="O714" s="6">
        <v>0.9516</v>
      </c>
      <c r="P714" s="6">
        <v>0</v>
      </c>
      <c r="Q714" s="4" t="s">
        <v>26</v>
      </c>
      <c r="R714" s="4">
        <v>0</v>
      </c>
      <c r="S714" s="6">
        <v>0</v>
      </c>
      <c r="T714" s="6">
        <v>30</v>
      </c>
      <c r="U714" s="6">
        <v>70</v>
      </c>
      <c r="V714" s="6">
        <f>IF(ISERROR(VLOOKUP($S$714,'TAR FIN'!$A$1:$O$86,15,0)),0,VLOOKUP($S$714,'TAR FIN'!$A$1:$O$86,15,0))</f>
        <v>0</v>
      </c>
      <c r="W714" s="6">
        <f>IF(ISERROR(VLOOKUP($T$714,'TAR FIN'!$A$1:$O$86,15,0)),0,VLOOKUP($T$714,'TAR FIN'!$A$1:$O$86,15,0))</f>
        <v>285.56</v>
      </c>
      <c r="X714" s="6">
        <f>IF(ISERROR(VLOOKUP($U$714,'TAR FIN'!$A$1:$O$86,15,0)),0,VLOOKUP($U$714,'TAR FIN'!$A$1:$O$86,15,0))</f>
        <v>227.23</v>
      </c>
      <c r="Y714" s="6"/>
      <c r="Z714" s="6">
        <f ca="1">('TUSD BE'!$AM$34+'TUSD BF'!$AM$34+'TUSD CVA'!$AM$34)*(1-CUSTOS!$M$38)</f>
        <v>310.34682484351242</v>
      </c>
      <c r="AA714" s="6">
        <f>('TE BE'!$AB$24+'TE BF'!$AB$24+'TE CVA'!$AB$24)*(1-CUSTOS!$M$38)</f>
        <v>216.7476358676706</v>
      </c>
      <c r="AB714" s="6">
        <f>$K$714*$V$714</f>
        <v>0</v>
      </c>
      <c r="AC714" s="6">
        <f>$M$714*$W$714</f>
        <v>271.73889600000001</v>
      </c>
      <c r="AD714" s="6">
        <f>$O$714*$X$714</f>
        <v>216.232068</v>
      </c>
      <c r="AE714" s="6">
        <f>$K$714*$Y$714</f>
        <v>0</v>
      </c>
      <c r="AF714" s="6">
        <f ca="1">$M$714*$Z$714</f>
        <v>295.32603852108645</v>
      </c>
      <c r="AG714" s="6">
        <f>$O$714*$AA$714</f>
        <v>206.25705029167534</v>
      </c>
    </row>
    <row r="715" spans="1:33" ht="11.25" customHeight="1" x14ac:dyDescent="0.25">
      <c r="A715" s="4" t="s">
        <v>55</v>
      </c>
      <c r="B715" s="4" t="s">
        <v>42</v>
      </c>
      <c r="C715" s="4" t="s">
        <v>23</v>
      </c>
      <c r="D715" s="4" t="s">
        <v>43</v>
      </c>
      <c r="E715" s="4" t="s">
        <v>54</v>
      </c>
      <c r="F715" s="4" t="s">
        <v>53</v>
      </c>
      <c r="G715" s="4" t="s">
        <v>25</v>
      </c>
      <c r="H715" s="4" t="s">
        <v>25</v>
      </c>
      <c r="I715" s="5">
        <v>44531</v>
      </c>
      <c r="J715" s="6">
        <v>0</v>
      </c>
      <c r="K715" s="6">
        <v>0</v>
      </c>
      <c r="L715" s="6">
        <v>10.172000000000001</v>
      </c>
      <c r="M715" s="6">
        <v>10.172000000000001</v>
      </c>
      <c r="N715" s="6">
        <v>10.172000000000001</v>
      </c>
      <c r="O715" s="6">
        <v>10.172000000000001</v>
      </c>
      <c r="P715" s="6">
        <v>0</v>
      </c>
      <c r="Q715" s="4" t="s">
        <v>26</v>
      </c>
      <c r="R715" s="4">
        <v>0</v>
      </c>
      <c r="S715" s="6">
        <v>0</v>
      </c>
      <c r="T715" s="6">
        <v>30</v>
      </c>
      <c r="U715" s="6">
        <v>70</v>
      </c>
      <c r="V715" s="6">
        <f>IF(ISERROR(VLOOKUP($S$715,'TAR FIN'!$A$1:$O$86,15,0)),0,VLOOKUP($S$715,'TAR FIN'!$A$1:$O$86,15,0))</f>
        <v>0</v>
      </c>
      <c r="W715" s="6">
        <f>IF(ISERROR(VLOOKUP($T$715,'TAR FIN'!$A$1:$O$86,15,0)),0,VLOOKUP($T$715,'TAR FIN'!$A$1:$O$86,15,0))</f>
        <v>285.56</v>
      </c>
      <c r="X715" s="6">
        <f>IF(ISERROR(VLOOKUP($U$715,'TAR FIN'!$A$1:$O$86,15,0)),0,VLOOKUP($U$715,'TAR FIN'!$A$1:$O$86,15,0))</f>
        <v>227.23</v>
      </c>
      <c r="Y715" s="6"/>
      <c r="Z715" s="6">
        <f ca="1">('TUSD BE'!$AM$34+'TUSD BF'!$AM$34+'TUSD CVA'!$AM$34)*(1-CUSTOS!$M$38)</f>
        <v>310.34682484351242</v>
      </c>
      <c r="AA715" s="6">
        <f>('TE BE'!$AB$24+'TE BF'!$AB$24+'TE CVA'!$AB$24)*(1-CUSTOS!$M$38)</f>
        <v>216.7476358676706</v>
      </c>
      <c r="AB715" s="6">
        <f>$K$715*$V$715</f>
        <v>0</v>
      </c>
      <c r="AC715" s="6">
        <f>$M$715*$W$715</f>
        <v>2904.71632</v>
      </c>
      <c r="AD715" s="6">
        <f>$O$715*$X$715</f>
        <v>2311.3835600000002</v>
      </c>
      <c r="AE715" s="6">
        <f>$K$715*$Y$715</f>
        <v>0</v>
      </c>
      <c r="AF715" s="6">
        <f ca="1">$M$715*$Z$715</f>
        <v>3156.8479023082086</v>
      </c>
      <c r="AG715" s="6">
        <f>$O$715*$AA$715</f>
        <v>2204.7569520459456</v>
      </c>
    </row>
    <row r="716" spans="1:33" ht="11.25" customHeight="1" x14ac:dyDescent="0.25">
      <c r="A716" s="4" t="s">
        <v>21</v>
      </c>
      <c r="B716" s="4" t="s">
        <v>42</v>
      </c>
      <c r="C716" s="4" t="s">
        <v>23</v>
      </c>
      <c r="D716" s="4" t="s">
        <v>43</v>
      </c>
      <c r="E716" s="4" t="s">
        <v>54</v>
      </c>
      <c r="F716" s="4" t="s">
        <v>53</v>
      </c>
      <c r="G716" s="4" t="s">
        <v>25</v>
      </c>
      <c r="H716" s="4" t="s">
        <v>25</v>
      </c>
      <c r="I716" s="5">
        <v>44562</v>
      </c>
      <c r="J716" s="6">
        <v>0</v>
      </c>
      <c r="K716" s="6">
        <v>0</v>
      </c>
      <c r="L716" s="6">
        <v>6.9930000000000003</v>
      </c>
      <c r="M716" s="6">
        <v>2.7972000000000001</v>
      </c>
      <c r="N716" s="6">
        <v>6.9930000000000003</v>
      </c>
      <c r="O716" s="6">
        <v>2.7972000000000001</v>
      </c>
      <c r="P716" s="6">
        <v>0</v>
      </c>
      <c r="Q716" s="4" t="s">
        <v>26</v>
      </c>
      <c r="R716" s="4">
        <v>0</v>
      </c>
      <c r="S716" s="6">
        <v>0</v>
      </c>
      <c r="T716" s="6">
        <v>30</v>
      </c>
      <c r="U716" s="6">
        <v>70</v>
      </c>
      <c r="V716" s="6">
        <f>IF(ISERROR(VLOOKUP($S$716,'TAR FIN'!$A$1:$O$86,15,0)),0,VLOOKUP($S$716,'TAR FIN'!$A$1:$O$86,15,0))</f>
        <v>0</v>
      </c>
      <c r="W716" s="6">
        <f>IF(ISERROR(VLOOKUP($T$716,'TAR FIN'!$A$1:$O$86,15,0)),0,VLOOKUP($T$716,'TAR FIN'!$A$1:$O$86,15,0))</f>
        <v>285.56</v>
      </c>
      <c r="X716" s="6">
        <f>IF(ISERROR(VLOOKUP($U$716,'TAR FIN'!$A$1:$O$86,15,0)),0,VLOOKUP($U$716,'TAR FIN'!$A$1:$O$86,15,0))</f>
        <v>227.23</v>
      </c>
      <c r="Y716" s="6"/>
      <c r="Z716" s="6">
        <f ca="1">('TUSD BE'!$AM$34+'TUSD BF'!$AM$34+'TUSD CVA'!$AM$34)*(1-CUSTOS!$M$38)</f>
        <v>310.34682484351242</v>
      </c>
      <c r="AA716" s="6">
        <f>('TE BE'!$AB$24+'TE BF'!$AB$24+'TE CVA'!$AB$24)*(1-CUSTOS!$M$38)</f>
        <v>216.7476358676706</v>
      </c>
      <c r="AB716" s="6">
        <f>$K$716*$V$716</f>
        <v>0</v>
      </c>
      <c r="AC716" s="6">
        <f>$M$716*$W$716</f>
        <v>798.76843200000008</v>
      </c>
      <c r="AD716" s="6">
        <f>$O$716*$X$716</f>
        <v>635.60775599999999</v>
      </c>
      <c r="AE716" s="6">
        <f>$K$716*$Y$716</f>
        <v>0</v>
      </c>
      <c r="AF716" s="6">
        <f ca="1">$M$716*$Z$716</f>
        <v>868.10213845227304</v>
      </c>
      <c r="AG716" s="6">
        <f>$O$716*$AA$716</f>
        <v>606.28648704904822</v>
      </c>
    </row>
    <row r="717" spans="1:33" ht="11.25" customHeight="1" x14ac:dyDescent="0.25">
      <c r="A717" s="4" t="s">
        <v>55</v>
      </c>
      <c r="B717" s="4" t="s">
        <v>42</v>
      </c>
      <c r="C717" s="4" t="s">
        <v>23</v>
      </c>
      <c r="D717" s="4" t="s">
        <v>43</v>
      </c>
      <c r="E717" s="4" t="s">
        <v>54</v>
      </c>
      <c r="F717" s="4" t="s">
        <v>53</v>
      </c>
      <c r="G717" s="4" t="s">
        <v>25</v>
      </c>
      <c r="H717" s="4" t="s">
        <v>25</v>
      </c>
      <c r="I717" s="5">
        <v>44562</v>
      </c>
      <c r="J717" s="6">
        <v>0</v>
      </c>
      <c r="K717" s="6">
        <v>0</v>
      </c>
      <c r="L717" s="6">
        <v>9.98</v>
      </c>
      <c r="M717" s="6">
        <v>9.98</v>
      </c>
      <c r="N717" s="6">
        <v>9.98</v>
      </c>
      <c r="O717" s="6">
        <v>9.98</v>
      </c>
      <c r="P717" s="6">
        <v>0</v>
      </c>
      <c r="Q717" s="4" t="s">
        <v>26</v>
      </c>
      <c r="R717" s="4">
        <v>0</v>
      </c>
      <c r="S717" s="6">
        <v>0</v>
      </c>
      <c r="T717" s="6">
        <v>30</v>
      </c>
      <c r="U717" s="6">
        <v>70</v>
      </c>
      <c r="V717" s="6">
        <f>IF(ISERROR(VLOOKUP($S$717,'TAR FIN'!$A$1:$O$86,15,0)),0,VLOOKUP($S$717,'TAR FIN'!$A$1:$O$86,15,0))</f>
        <v>0</v>
      </c>
      <c r="W717" s="6">
        <f>IF(ISERROR(VLOOKUP($T$717,'TAR FIN'!$A$1:$O$86,15,0)),0,VLOOKUP($T$717,'TAR FIN'!$A$1:$O$86,15,0))</f>
        <v>285.56</v>
      </c>
      <c r="X717" s="6">
        <f>IF(ISERROR(VLOOKUP($U$717,'TAR FIN'!$A$1:$O$86,15,0)),0,VLOOKUP($U$717,'TAR FIN'!$A$1:$O$86,15,0))</f>
        <v>227.23</v>
      </c>
      <c r="Y717" s="6"/>
      <c r="Z717" s="6">
        <f ca="1">('TUSD BE'!$AM$34+'TUSD BF'!$AM$34+'TUSD CVA'!$AM$34)*(1-CUSTOS!$M$38)</f>
        <v>310.34682484351242</v>
      </c>
      <c r="AA717" s="6">
        <f>('TE BE'!$AB$24+'TE BF'!$AB$24+'TE CVA'!$AB$24)*(1-CUSTOS!$M$38)</f>
        <v>216.7476358676706</v>
      </c>
      <c r="AB717" s="6">
        <f>$K$717*$V$717</f>
        <v>0</v>
      </c>
      <c r="AC717" s="6">
        <f>$M$717*$W$717</f>
        <v>2849.8888000000002</v>
      </c>
      <c r="AD717" s="6">
        <f>$O$717*$X$717</f>
        <v>2267.7554</v>
      </c>
      <c r="AE717" s="6">
        <f>$K$717*$Y$717</f>
        <v>0</v>
      </c>
      <c r="AF717" s="6">
        <f ca="1">$M$717*$Z$717</f>
        <v>3097.261311938254</v>
      </c>
      <c r="AG717" s="6">
        <f>$O$717*$AA$717</f>
        <v>2163.1414059593526</v>
      </c>
    </row>
    <row r="718" spans="1:33" ht="11.25" customHeight="1" x14ac:dyDescent="0.25">
      <c r="A718" s="4" t="s">
        <v>21</v>
      </c>
      <c r="B718" s="4" t="s">
        <v>42</v>
      </c>
      <c r="C718" s="4" t="s">
        <v>23</v>
      </c>
      <c r="D718" s="4" t="s">
        <v>43</v>
      </c>
      <c r="E718" s="4" t="s">
        <v>54</v>
      </c>
      <c r="F718" s="4" t="s">
        <v>53</v>
      </c>
      <c r="G718" s="4" t="s">
        <v>25</v>
      </c>
      <c r="H718" s="4" t="s">
        <v>25</v>
      </c>
      <c r="I718" s="5">
        <v>44593</v>
      </c>
      <c r="J718" s="6">
        <v>0</v>
      </c>
      <c r="K718" s="6">
        <v>0</v>
      </c>
      <c r="L718" s="6">
        <v>0.98599999999999999</v>
      </c>
      <c r="M718" s="6">
        <v>0.39439999999999997</v>
      </c>
      <c r="N718" s="6">
        <v>0.98599999999999999</v>
      </c>
      <c r="O718" s="6">
        <v>0.39439999999999997</v>
      </c>
      <c r="P718" s="6">
        <v>0</v>
      </c>
      <c r="Q718" s="4" t="s">
        <v>26</v>
      </c>
      <c r="R718" s="4">
        <v>0</v>
      </c>
      <c r="S718" s="6">
        <v>0</v>
      </c>
      <c r="T718" s="6">
        <v>30</v>
      </c>
      <c r="U718" s="6">
        <v>70</v>
      </c>
      <c r="V718" s="6">
        <f>IF(ISERROR(VLOOKUP($S$718,'TAR FIN'!$A$1:$O$86,15,0)),0,VLOOKUP($S$718,'TAR FIN'!$A$1:$O$86,15,0))</f>
        <v>0</v>
      </c>
      <c r="W718" s="6">
        <f>IF(ISERROR(VLOOKUP($T$718,'TAR FIN'!$A$1:$O$86,15,0)),0,VLOOKUP($T$718,'TAR FIN'!$A$1:$O$86,15,0))</f>
        <v>285.56</v>
      </c>
      <c r="X718" s="6">
        <f>IF(ISERROR(VLOOKUP($U$718,'TAR FIN'!$A$1:$O$86,15,0)),0,VLOOKUP($U$718,'TAR FIN'!$A$1:$O$86,15,0))</f>
        <v>227.23</v>
      </c>
      <c r="Y718" s="6"/>
      <c r="Z718" s="6">
        <f ca="1">('TUSD BE'!$AM$34+'TUSD BF'!$AM$34+'TUSD CVA'!$AM$34)*(1-CUSTOS!$M$38)</f>
        <v>310.34682484351242</v>
      </c>
      <c r="AA718" s="6">
        <f>('TE BE'!$AB$24+'TE BF'!$AB$24+'TE CVA'!$AB$24)*(1-CUSTOS!$M$38)</f>
        <v>216.7476358676706</v>
      </c>
      <c r="AB718" s="6">
        <f>$K$718*$V$718</f>
        <v>0</v>
      </c>
      <c r="AC718" s="6">
        <f>$M$718*$W$718</f>
        <v>112.62486399999999</v>
      </c>
      <c r="AD718" s="6">
        <f>$O$718*$X$718</f>
        <v>89.619511999999986</v>
      </c>
      <c r="AE718" s="6">
        <f>$K$718*$Y$718</f>
        <v>0</v>
      </c>
      <c r="AF718" s="6">
        <f ca="1">$M$718*$Z$718</f>
        <v>122.40078771828129</v>
      </c>
      <c r="AG718" s="6">
        <f>$O$718*$AA$718</f>
        <v>85.485267586209275</v>
      </c>
    </row>
    <row r="719" spans="1:33" ht="11.25" customHeight="1" x14ac:dyDescent="0.25">
      <c r="A719" s="4" t="s">
        <v>55</v>
      </c>
      <c r="B719" s="4" t="s">
        <v>42</v>
      </c>
      <c r="C719" s="4" t="s">
        <v>23</v>
      </c>
      <c r="D719" s="4" t="s">
        <v>43</v>
      </c>
      <c r="E719" s="4" t="s">
        <v>54</v>
      </c>
      <c r="F719" s="4" t="s">
        <v>53</v>
      </c>
      <c r="G719" s="4" t="s">
        <v>25</v>
      </c>
      <c r="H719" s="4" t="s">
        <v>25</v>
      </c>
      <c r="I719" s="5">
        <v>44593</v>
      </c>
      <c r="J719" s="6">
        <v>0</v>
      </c>
      <c r="K719" s="6">
        <v>0</v>
      </c>
      <c r="L719" s="6">
        <v>10.452999999999999</v>
      </c>
      <c r="M719" s="6">
        <v>10.452999999999999</v>
      </c>
      <c r="N719" s="6">
        <v>10.452999999999999</v>
      </c>
      <c r="O719" s="6">
        <v>10.452999999999999</v>
      </c>
      <c r="P719" s="6">
        <v>0</v>
      </c>
      <c r="Q719" s="4" t="s">
        <v>26</v>
      </c>
      <c r="R719" s="4">
        <v>0</v>
      </c>
      <c r="S719" s="6">
        <v>0</v>
      </c>
      <c r="T719" s="6">
        <v>30</v>
      </c>
      <c r="U719" s="6">
        <v>70</v>
      </c>
      <c r="V719" s="6">
        <f>IF(ISERROR(VLOOKUP($S$719,'TAR FIN'!$A$1:$O$86,15,0)),0,VLOOKUP($S$719,'TAR FIN'!$A$1:$O$86,15,0))</f>
        <v>0</v>
      </c>
      <c r="W719" s="6">
        <f>IF(ISERROR(VLOOKUP($T$719,'TAR FIN'!$A$1:$O$86,15,0)),0,VLOOKUP($T$719,'TAR FIN'!$A$1:$O$86,15,0))</f>
        <v>285.56</v>
      </c>
      <c r="X719" s="6">
        <f>IF(ISERROR(VLOOKUP($U$719,'TAR FIN'!$A$1:$O$86,15,0)),0,VLOOKUP($U$719,'TAR FIN'!$A$1:$O$86,15,0))</f>
        <v>227.23</v>
      </c>
      <c r="Y719" s="6"/>
      <c r="Z719" s="6">
        <f ca="1">('TUSD BE'!$AM$34+'TUSD BF'!$AM$34+'TUSD CVA'!$AM$34)*(1-CUSTOS!$M$38)</f>
        <v>310.34682484351242</v>
      </c>
      <c r="AA719" s="6">
        <f>('TE BE'!$AB$24+'TE BF'!$AB$24+'TE CVA'!$AB$24)*(1-CUSTOS!$M$38)</f>
        <v>216.7476358676706</v>
      </c>
      <c r="AB719" s="6">
        <f>$K$719*$V$719</f>
        <v>0</v>
      </c>
      <c r="AC719" s="6">
        <f>$M$719*$W$719</f>
        <v>2984.9586799999997</v>
      </c>
      <c r="AD719" s="6">
        <f>$O$719*$X$719</f>
        <v>2375.2351899999999</v>
      </c>
      <c r="AE719" s="6">
        <f>$K$719*$Y$719</f>
        <v>0</v>
      </c>
      <c r="AF719" s="6">
        <f ca="1">$M$719*$Z$719</f>
        <v>3244.0553600892354</v>
      </c>
      <c r="AG719" s="6">
        <f>$O$719*$AA$719</f>
        <v>2265.6630377247607</v>
      </c>
    </row>
    <row r="720" spans="1:33" ht="11.25" customHeight="1" x14ac:dyDescent="0.25">
      <c r="A720" s="4" t="s">
        <v>21</v>
      </c>
      <c r="B720" s="4" t="s">
        <v>42</v>
      </c>
      <c r="C720" s="4" t="s">
        <v>23</v>
      </c>
      <c r="D720" s="4" t="s">
        <v>43</v>
      </c>
      <c r="E720" s="4" t="s">
        <v>54</v>
      </c>
      <c r="F720" s="4" t="s">
        <v>53</v>
      </c>
      <c r="G720" s="4" t="s">
        <v>25</v>
      </c>
      <c r="H720" s="4" t="s">
        <v>25</v>
      </c>
      <c r="I720" s="5">
        <v>44621</v>
      </c>
      <c r="J720" s="6">
        <v>0</v>
      </c>
      <c r="K720" s="6">
        <v>0</v>
      </c>
      <c r="L720" s="6">
        <v>2.355</v>
      </c>
      <c r="M720" s="6">
        <v>0.94199999999999995</v>
      </c>
      <c r="N720" s="6">
        <v>2.355</v>
      </c>
      <c r="O720" s="6">
        <v>0.94199999999999995</v>
      </c>
      <c r="P720" s="6">
        <v>0</v>
      </c>
      <c r="Q720" s="4" t="s">
        <v>26</v>
      </c>
      <c r="R720" s="4">
        <v>0</v>
      </c>
      <c r="S720" s="6">
        <v>0</v>
      </c>
      <c r="T720" s="6">
        <v>30</v>
      </c>
      <c r="U720" s="6">
        <v>70</v>
      </c>
      <c r="V720" s="6">
        <f>IF(ISERROR(VLOOKUP($S$720,'TAR FIN'!$A$1:$O$86,15,0)),0,VLOOKUP($S$720,'TAR FIN'!$A$1:$O$86,15,0))</f>
        <v>0</v>
      </c>
      <c r="W720" s="6">
        <f>IF(ISERROR(VLOOKUP($T$720,'TAR FIN'!$A$1:$O$86,15,0)),0,VLOOKUP($T$720,'TAR FIN'!$A$1:$O$86,15,0))</f>
        <v>285.56</v>
      </c>
      <c r="X720" s="6">
        <f>IF(ISERROR(VLOOKUP($U$720,'TAR FIN'!$A$1:$O$86,15,0)),0,VLOOKUP($U$720,'TAR FIN'!$A$1:$O$86,15,0))</f>
        <v>227.23</v>
      </c>
      <c r="Y720" s="6"/>
      <c r="Z720" s="6">
        <f ca="1">('TUSD BE'!$AM$34+'TUSD BF'!$AM$34+'TUSD CVA'!$AM$34)*(1-CUSTOS!$M$38)</f>
        <v>310.34682484351242</v>
      </c>
      <c r="AA720" s="6">
        <f>('TE BE'!$AB$24+'TE BF'!$AB$24+'TE CVA'!$AB$24)*(1-CUSTOS!$M$38)</f>
        <v>216.7476358676706</v>
      </c>
      <c r="AB720" s="6">
        <f>$K$720*$V$720</f>
        <v>0</v>
      </c>
      <c r="AC720" s="6">
        <f>$M$720*$W$720</f>
        <v>268.99752000000001</v>
      </c>
      <c r="AD720" s="6">
        <f>$O$720*$X$720</f>
        <v>214.05065999999997</v>
      </c>
      <c r="AE720" s="6">
        <f>$K$720*$Y$720</f>
        <v>0</v>
      </c>
      <c r="AF720" s="6">
        <f ca="1">$M$720*$Z$720</f>
        <v>292.34670900258868</v>
      </c>
      <c r="AG720" s="6">
        <f>$O$720*$AA$720</f>
        <v>204.1762729873457</v>
      </c>
    </row>
    <row r="721" spans="1:33" ht="11.25" customHeight="1" x14ac:dyDescent="0.25">
      <c r="A721" s="4" t="s">
        <v>27</v>
      </c>
      <c r="B721" s="4" t="s">
        <v>42</v>
      </c>
      <c r="C721" s="4" t="s">
        <v>23</v>
      </c>
      <c r="D721" s="4" t="s">
        <v>43</v>
      </c>
      <c r="E721" s="4" t="s">
        <v>54</v>
      </c>
      <c r="F721" s="4" t="s">
        <v>53</v>
      </c>
      <c r="G721" s="4" t="s">
        <v>25</v>
      </c>
      <c r="H721" s="4" t="s">
        <v>25</v>
      </c>
      <c r="I721" s="5">
        <v>44621</v>
      </c>
      <c r="J721" s="6">
        <v>0</v>
      </c>
      <c r="K721" s="6">
        <v>0</v>
      </c>
      <c r="L721" s="6">
        <v>1.0999999999999999E-2</v>
      </c>
      <c r="M721" s="6">
        <v>4.4000000000000003E-3</v>
      </c>
      <c r="N721" s="6">
        <v>1.0999999999999999E-2</v>
      </c>
      <c r="O721" s="6">
        <v>4.4000000000000003E-3</v>
      </c>
      <c r="P721" s="6">
        <v>0</v>
      </c>
      <c r="Q721" s="4" t="s">
        <v>26</v>
      </c>
      <c r="R721" s="4">
        <v>0</v>
      </c>
      <c r="S721" s="6">
        <v>0</v>
      </c>
      <c r="T721" s="6">
        <v>30</v>
      </c>
      <c r="U721" s="6">
        <v>70</v>
      </c>
      <c r="V721" s="6">
        <f>IF(ISERROR(VLOOKUP($S$721,'TAR FIN'!$A$1:$O$86,15,0)),0,VLOOKUP($S$721,'TAR FIN'!$A$1:$O$86,15,0))</f>
        <v>0</v>
      </c>
      <c r="W721" s="6">
        <f>IF(ISERROR(VLOOKUP($T$721,'TAR FIN'!$A$1:$O$86,15,0)),0,VLOOKUP($T$721,'TAR FIN'!$A$1:$O$86,15,0))</f>
        <v>285.56</v>
      </c>
      <c r="X721" s="6">
        <f>IF(ISERROR(VLOOKUP($U$721,'TAR FIN'!$A$1:$O$86,15,0)),0,VLOOKUP($U$721,'TAR FIN'!$A$1:$O$86,15,0))</f>
        <v>227.23</v>
      </c>
      <c r="Y721" s="6"/>
      <c r="Z721" s="6">
        <f ca="1">('TUSD BE'!$AM$34+'TUSD BF'!$AM$34+'TUSD CVA'!$AM$34)*(1-CUSTOS!$M$38)</f>
        <v>310.34682484351242</v>
      </c>
      <c r="AA721" s="6">
        <f>('TE BE'!$AB$24+'TE BF'!$AB$24+'TE CVA'!$AB$24)*(1-CUSTOS!$M$38)</f>
        <v>216.7476358676706</v>
      </c>
      <c r="AB721" s="6">
        <f>$K$721*$V$721</f>
        <v>0</v>
      </c>
      <c r="AC721" s="6">
        <f>$M$721*$W$721</f>
        <v>1.256464</v>
      </c>
      <c r="AD721" s="6">
        <f>$O$721*$X$721</f>
        <v>0.99981200000000003</v>
      </c>
      <c r="AE721" s="6">
        <f>$K$721*$Y$721</f>
        <v>0</v>
      </c>
      <c r="AF721" s="6">
        <f ca="1">$M$721*$Z$721</f>
        <v>1.3655260293114548</v>
      </c>
      <c r="AG721" s="6">
        <f>$O$721*$AA$721</f>
        <v>0.95368959781775064</v>
      </c>
    </row>
    <row r="722" spans="1:33" ht="11.25" customHeight="1" x14ac:dyDescent="0.25">
      <c r="A722" s="4" t="s">
        <v>55</v>
      </c>
      <c r="B722" s="4" t="s">
        <v>42</v>
      </c>
      <c r="C722" s="4" t="s">
        <v>23</v>
      </c>
      <c r="D722" s="4" t="s">
        <v>43</v>
      </c>
      <c r="E722" s="4" t="s">
        <v>54</v>
      </c>
      <c r="F722" s="4" t="s">
        <v>53</v>
      </c>
      <c r="G722" s="4" t="s">
        <v>25</v>
      </c>
      <c r="H722" s="4" t="s">
        <v>25</v>
      </c>
      <c r="I722" s="5">
        <v>44621</v>
      </c>
      <c r="J722" s="6">
        <v>0</v>
      </c>
      <c r="K722" s="6">
        <v>0</v>
      </c>
      <c r="L722" s="6">
        <v>9.3070000000000004</v>
      </c>
      <c r="M722" s="6">
        <v>9.3070000000000004</v>
      </c>
      <c r="N722" s="6">
        <v>9.3070000000000004</v>
      </c>
      <c r="O722" s="6">
        <v>9.3070000000000004</v>
      </c>
      <c r="P722" s="6">
        <v>0</v>
      </c>
      <c r="Q722" s="4" t="s">
        <v>26</v>
      </c>
      <c r="R722" s="4">
        <v>0</v>
      </c>
      <c r="S722" s="6">
        <v>0</v>
      </c>
      <c r="T722" s="6">
        <v>30</v>
      </c>
      <c r="U722" s="6">
        <v>70</v>
      </c>
      <c r="V722" s="6">
        <f>IF(ISERROR(VLOOKUP($S$722,'TAR FIN'!$A$1:$O$86,15,0)),0,VLOOKUP($S$722,'TAR FIN'!$A$1:$O$86,15,0))</f>
        <v>0</v>
      </c>
      <c r="W722" s="6">
        <f>IF(ISERROR(VLOOKUP($T$722,'TAR FIN'!$A$1:$O$86,15,0)),0,VLOOKUP($T$722,'TAR FIN'!$A$1:$O$86,15,0))</f>
        <v>285.56</v>
      </c>
      <c r="X722" s="6">
        <f>IF(ISERROR(VLOOKUP($U$722,'TAR FIN'!$A$1:$O$86,15,0)),0,VLOOKUP($U$722,'TAR FIN'!$A$1:$O$86,15,0))</f>
        <v>227.23</v>
      </c>
      <c r="Y722" s="6"/>
      <c r="Z722" s="6">
        <f ca="1">('TUSD BE'!$AM$34+'TUSD BF'!$AM$34+'TUSD CVA'!$AM$34)*(1-CUSTOS!$M$38)</f>
        <v>310.34682484351242</v>
      </c>
      <c r="AA722" s="6">
        <f>('TE BE'!$AB$24+'TE BF'!$AB$24+'TE CVA'!$AB$24)*(1-CUSTOS!$M$38)</f>
        <v>216.7476358676706</v>
      </c>
      <c r="AB722" s="6">
        <f>$K$722*$V$722</f>
        <v>0</v>
      </c>
      <c r="AC722" s="6">
        <f>$M$722*$W$722</f>
        <v>2657.7069200000001</v>
      </c>
      <c r="AD722" s="6">
        <f>$O$722*$X$722</f>
        <v>2114.8296099999998</v>
      </c>
      <c r="AE722" s="6">
        <f>$K$722*$Y$722</f>
        <v>0</v>
      </c>
      <c r="AF722" s="6">
        <f ca="1">$M$722*$Z$722</f>
        <v>2888.3978988185704</v>
      </c>
      <c r="AG722" s="6">
        <f>$O$722*$AA$722</f>
        <v>2017.2702470204104</v>
      </c>
    </row>
    <row r="723" spans="1:33" ht="11.25" customHeight="1" x14ac:dyDescent="0.25">
      <c r="A723" s="4" t="s">
        <v>21</v>
      </c>
      <c r="B723" s="4" t="s">
        <v>42</v>
      </c>
      <c r="C723" s="4" t="s">
        <v>23</v>
      </c>
      <c r="D723" s="4" t="s">
        <v>43</v>
      </c>
      <c r="E723" s="4" t="s">
        <v>54</v>
      </c>
      <c r="F723" s="4" t="s">
        <v>53</v>
      </c>
      <c r="G723" s="4" t="s">
        <v>25</v>
      </c>
      <c r="H723" s="4" t="s">
        <v>25</v>
      </c>
      <c r="I723" s="5">
        <v>44652</v>
      </c>
      <c r="J723" s="6">
        <v>0</v>
      </c>
      <c r="K723" s="6">
        <v>0</v>
      </c>
      <c r="L723" s="6">
        <v>4.0279999999999996</v>
      </c>
      <c r="M723" s="6">
        <v>1.6112</v>
      </c>
      <c r="N723" s="6">
        <v>4.0279999999999996</v>
      </c>
      <c r="O723" s="6">
        <v>1.6112</v>
      </c>
      <c r="P723" s="6">
        <v>0</v>
      </c>
      <c r="Q723" s="4" t="s">
        <v>26</v>
      </c>
      <c r="R723" s="4">
        <v>0</v>
      </c>
      <c r="S723" s="6">
        <v>0</v>
      </c>
      <c r="T723" s="6">
        <v>30</v>
      </c>
      <c r="U723" s="6">
        <v>70</v>
      </c>
      <c r="V723" s="6">
        <f>IF(ISERROR(VLOOKUP($S$723,'TAR FIN'!$A$1:$O$86,15,0)),0,VLOOKUP($S$723,'TAR FIN'!$A$1:$O$86,15,0))</f>
        <v>0</v>
      </c>
      <c r="W723" s="6">
        <f>IF(ISERROR(VLOOKUP($T$723,'TAR FIN'!$A$1:$O$86,15,0)),0,VLOOKUP($T$723,'TAR FIN'!$A$1:$O$86,15,0))</f>
        <v>285.56</v>
      </c>
      <c r="X723" s="6">
        <f>IF(ISERROR(VLOOKUP($U$723,'TAR FIN'!$A$1:$O$86,15,0)),0,VLOOKUP($U$723,'TAR FIN'!$A$1:$O$86,15,0))</f>
        <v>227.23</v>
      </c>
      <c r="Y723" s="6"/>
      <c r="Z723" s="6">
        <f ca="1">('TUSD BE'!$AM$34+'TUSD BF'!$AM$34+'TUSD CVA'!$AM$34)*(1-CUSTOS!$M$38)</f>
        <v>310.34682484351242</v>
      </c>
      <c r="AA723" s="6">
        <f>('TE BE'!$AB$24+'TE BF'!$AB$24+'TE CVA'!$AB$24)*(1-CUSTOS!$M$38)</f>
        <v>216.7476358676706</v>
      </c>
      <c r="AB723" s="6">
        <f>$K$723*$V$723</f>
        <v>0</v>
      </c>
      <c r="AC723" s="6">
        <f>$M$723*$W$723</f>
        <v>460.09427199999999</v>
      </c>
      <c r="AD723" s="6">
        <f>$O$723*$X$723</f>
        <v>366.112976</v>
      </c>
      <c r="AE723" s="6">
        <f>$K$723*$Y$723</f>
        <v>0</v>
      </c>
      <c r="AF723" s="6">
        <f ca="1">$M$723*$Z$723</f>
        <v>500.0308041878672</v>
      </c>
      <c r="AG723" s="6">
        <f>$O$723*$AA$723</f>
        <v>349.22379090999084</v>
      </c>
    </row>
    <row r="724" spans="1:33" ht="11.25" customHeight="1" x14ac:dyDescent="0.25">
      <c r="A724" s="4" t="s">
        <v>55</v>
      </c>
      <c r="B724" s="4" t="s">
        <v>42</v>
      </c>
      <c r="C724" s="4" t="s">
        <v>23</v>
      </c>
      <c r="D724" s="4" t="s">
        <v>43</v>
      </c>
      <c r="E724" s="4" t="s">
        <v>54</v>
      </c>
      <c r="F724" s="4" t="s">
        <v>53</v>
      </c>
      <c r="G724" s="4" t="s">
        <v>25</v>
      </c>
      <c r="H724" s="4" t="s">
        <v>25</v>
      </c>
      <c r="I724" s="5">
        <v>44652</v>
      </c>
      <c r="J724" s="6">
        <v>0</v>
      </c>
      <c r="K724" s="6">
        <v>0</v>
      </c>
      <c r="L724" s="6">
        <v>9.84</v>
      </c>
      <c r="M724" s="6">
        <v>9.84</v>
      </c>
      <c r="N724" s="6">
        <v>9.84</v>
      </c>
      <c r="O724" s="6">
        <v>9.84</v>
      </c>
      <c r="P724" s="6">
        <v>0</v>
      </c>
      <c r="Q724" s="4" t="s">
        <v>26</v>
      </c>
      <c r="R724" s="4">
        <v>0</v>
      </c>
      <c r="S724" s="6">
        <v>0</v>
      </c>
      <c r="T724" s="6">
        <v>30</v>
      </c>
      <c r="U724" s="6">
        <v>70</v>
      </c>
      <c r="V724" s="6">
        <f>IF(ISERROR(VLOOKUP($S$724,'TAR FIN'!$A$1:$O$86,15,0)),0,VLOOKUP($S$724,'TAR FIN'!$A$1:$O$86,15,0))</f>
        <v>0</v>
      </c>
      <c r="W724" s="6">
        <f>IF(ISERROR(VLOOKUP($T$724,'TAR FIN'!$A$1:$O$86,15,0)),0,VLOOKUP($T$724,'TAR FIN'!$A$1:$O$86,15,0))</f>
        <v>285.56</v>
      </c>
      <c r="X724" s="6">
        <f>IF(ISERROR(VLOOKUP($U$724,'TAR FIN'!$A$1:$O$86,15,0)),0,VLOOKUP($U$724,'TAR FIN'!$A$1:$O$86,15,0))</f>
        <v>227.23</v>
      </c>
      <c r="Y724" s="6"/>
      <c r="Z724" s="6">
        <f ca="1">('TUSD BE'!$AM$34+'TUSD BF'!$AM$34+'TUSD CVA'!$AM$34)*(1-CUSTOS!$M$38)</f>
        <v>310.34682484351242</v>
      </c>
      <c r="AA724" s="6">
        <f>('TE BE'!$AB$24+'TE BF'!$AB$24+'TE CVA'!$AB$24)*(1-CUSTOS!$M$38)</f>
        <v>216.7476358676706</v>
      </c>
      <c r="AB724" s="6">
        <f>$K$724*$V$724</f>
        <v>0</v>
      </c>
      <c r="AC724" s="6">
        <f>$M$724*$W$724</f>
        <v>2809.9104000000002</v>
      </c>
      <c r="AD724" s="6">
        <f>$O$724*$X$724</f>
        <v>2235.9431999999997</v>
      </c>
      <c r="AE724" s="6">
        <f>$K$724*$Y$724</f>
        <v>0</v>
      </c>
      <c r="AF724" s="6">
        <f ca="1">$M$724*$Z$724</f>
        <v>3053.8127564601623</v>
      </c>
      <c r="AG724" s="6">
        <f>$O$724*$AA$724</f>
        <v>2132.7967369378784</v>
      </c>
    </row>
    <row r="725" spans="1:33" ht="11.25" customHeight="1" x14ac:dyDescent="0.25">
      <c r="A725" s="4" t="s">
        <v>21</v>
      </c>
      <c r="B725" s="4" t="s">
        <v>42</v>
      </c>
      <c r="C725" s="4" t="s">
        <v>23</v>
      </c>
      <c r="D725" s="4" t="s">
        <v>43</v>
      </c>
      <c r="E725" s="4" t="s">
        <v>54</v>
      </c>
      <c r="F725" s="4" t="s">
        <v>53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1.613</v>
      </c>
      <c r="M725" s="6">
        <v>0.6452</v>
      </c>
      <c r="N725" s="6">
        <v>1.613</v>
      </c>
      <c r="O725" s="6">
        <v>0.6452</v>
      </c>
      <c r="P725" s="6">
        <v>0</v>
      </c>
      <c r="Q725" s="4" t="s">
        <v>26</v>
      </c>
      <c r="R725" s="4">
        <v>0</v>
      </c>
      <c r="S725" s="6">
        <v>0</v>
      </c>
      <c r="T725" s="6">
        <v>30</v>
      </c>
      <c r="U725" s="6">
        <v>70</v>
      </c>
      <c r="V725" s="6">
        <f>IF(ISERROR(VLOOKUP($S$725,'TAR FIN'!$A$1:$O$86,15,0)),0,VLOOKUP($S$725,'TAR FIN'!$A$1:$O$86,15,0))</f>
        <v>0</v>
      </c>
      <c r="W725" s="6">
        <f>IF(ISERROR(VLOOKUP($T$725,'TAR FIN'!$A$1:$O$86,15,0)),0,VLOOKUP($T$725,'TAR FIN'!$A$1:$O$86,15,0))</f>
        <v>285.56</v>
      </c>
      <c r="X725" s="6">
        <f>IF(ISERROR(VLOOKUP($U$725,'TAR FIN'!$A$1:$O$86,15,0)),0,VLOOKUP($U$725,'TAR FIN'!$A$1:$O$86,15,0))</f>
        <v>227.23</v>
      </c>
      <c r="Y725" s="6"/>
      <c r="Z725" s="6">
        <f ca="1">('TUSD BE'!$AM$34+'TUSD BF'!$AM$34+'TUSD CVA'!$AM$34)*(1-CUSTOS!$M$38)</f>
        <v>310.34682484351242</v>
      </c>
      <c r="AA725" s="6">
        <f>('TE BE'!$AB$24+'TE BF'!$AB$24+'TE CVA'!$AB$24)*(1-CUSTOS!$M$38)</f>
        <v>216.7476358676706</v>
      </c>
      <c r="AB725" s="6">
        <f>$K$725*$V$725</f>
        <v>0</v>
      </c>
      <c r="AC725" s="6">
        <f>$M$725*$W$725</f>
        <v>184.243312</v>
      </c>
      <c r="AD725" s="6">
        <f>$O$725*$X$725</f>
        <v>146.60879599999998</v>
      </c>
      <c r="AE725" s="6">
        <f>$K$725*$Y$725</f>
        <v>0</v>
      </c>
      <c r="AF725" s="6">
        <f ca="1">$M$725*$Z$725</f>
        <v>200.23577138903423</v>
      </c>
      <c r="AG725" s="6">
        <f>$O$725*$AA$725</f>
        <v>139.84557466182108</v>
      </c>
    </row>
    <row r="726" spans="1:33" ht="11.25" customHeight="1" x14ac:dyDescent="0.25">
      <c r="A726" s="4" t="s">
        <v>55</v>
      </c>
      <c r="B726" s="4" t="s">
        <v>42</v>
      </c>
      <c r="C726" s="4" t="s">
        <v>23</v>
      </c>
      <c r="D726" s="4" t="s">
        <v>43</v>
      </c>
      <c r="E726" s="4" t="s">
        <v>54</v>
      </c>
      <c r="F726" s="4" t="s">
        <v>53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7.9359999999999999</v>
      </c>
      <c r="M726" s="6">
        <v>7.9359999999999999</v>
      </c>
      <c r="N726" s="6">
        <v>7.9359999999999999</v>
      </c>
      <c r="O726" s="6">
        <v>7.9359999999999999</v>
      </c>
      <c r="P726" s="6">
        <v>0</v>
      </c>
      <c r="Q726" s="4" t="s">
        <v>26</v>
      </c>
      <c r="R726" s="4">
        <v>0</v>
      </c>
      <c r="S726" s="6">
        <v>0</v>
      </c>
      <c r="T726" s="6">
        <v>30</v>
      </c>
      <c r="U726" s="6">
        <v>70</v>
      </c>
      <c r="V726" s="6">
        <f>IF(ISERROR(VLOOKUP($S$726,'TAR FIN'!$A$1:$O$86,15,0)),0,VLOOKUP($S$726,'TAR FIN'!$A$1:$O$86,15,0))</f>
        <v>0</v>
      </c>
      <c r="W726" s="6">
        <f>IF(ISERROR(VLOOKUP($T$726,'TAR FIN'!$A$1:$O$86,15,0)),0,VLOOKUP($T$726,'TAR FIN'!$A$1:$O$86,15,0))</f>
        <v>285.56</v>
      </c>
      <c r="X726" s="6">
        <f>IF(ISERROR(VLOOKUP($U$726,'TAR FIN'!$A$1:$O$86,15,0)),0,VLOOKUP($U$726,'TAR FIN'!$A$1:$O$86,15,0))</f>
        <v>227.23</v>
      </c>
      <c r="Y726" s="6"/>
      <c r="Z726" s="6">
        <f ca="1">('TUSD BE'!$AM$34+'TUSD BF'!$AM$34+'TUSD CVA'!$AM$34)*(1-CUSTOS!$M$38)</f>
        <v>310.34682484351242</v>
      </c>
      <c r="AA726" s="6">
        <f>('TE BE'!$AB$24+'TE BF'!$AB$24+'TE CVA'!$AB$24)*(1-CUSTOS!$M$38)</f>
        <v>216.7476358676706</v>
      </c>
      <c r="AB726" s="6">
        <f>$K$726*$V$726</f>
        <v>0</v>
      </c>
      <c r="AC726" s="6">
        <f>$M$726*$W$726</f>
        <v>2266.2041600000002</v>
      </c>
      <c r="AD726" s="6">
        <f>$O$726*$X$726</f>
        <v>1803.29728</v>
      </c>
      <c r="AE726" s="6">
        <f>$K$726*$Y$726</f>
        <v>0</v>
      </c>
      <c r="AF726" s="6">
        <f ca="1">$M$726*$Z$726</f>
        <v>2462.9124019581145</v>
      </c>
      <c r="AG726" s="6">
        <f>$O$726*$AA$726</f>
        <v>1720.1092382458339</v>
      </c>
    </row>
    <row r="727" spans="1:33" ht="11.25" customHeight="1" x14ac:dyDescent="0.25">
      <c r="A727" s="4" t="s">
        <v>56</v>
      </c>
      <c r="B727" s="4" t="s">
        <v>42</v>
      </c>
      <c r="C727" s="4" t="s">
        <v>23</v>
      </c>
      <c r="D727" s="4" t="s">
        <v>43</v>
      </c>
      <c r="E727" s="4" t="s">
        <v>54</v>
      </c>
      <c r="F727" s="4" t="s">
        <v>53</v>
      </c>
      <c r="G727" s="4" t="s">
        <v>25</v>
      </c>
      <c r="H727" s="4" t="s">
        <v>25</v>
      </c>
      <c r="I727" s="5">
        <v>44713</v>
      </c>
      <c r="J727" s="6">
        <v>0</v>
      </c>
      <c r="K727" s="6">
        <v>0</v>
      </c>
      <c r="L727" s="6">
        <v>1.613</v>
      </c>
      <c r="M727" s="6">
        <v>0.6452</v>
      </c>
      <c r="N727" s="6">
        <v>1.613</v>
      </c>
      <c r="O727" s="6">
        <v>0.6452</v>
      </c>
      <c r="P727" s="6">
        <v>0</v>
      </c>
      <c r="Q727" s="4" t="s">
        <v>26</v>
      </c>
      <c r="R727" s="4">
        <v>0</v>
      </c>
      <c r="S727" s="6">
        <v>0</v>
      </c>
      <c r="T727" s="6">
        <v>30</v>
      </c>
      <c r="U727" s="6">
        <v>70</v>
      </c>
      <c r="V727" s="6">
        <f>IF(ISERROR(VLOOKUP($S$727,'TAR FIN'!$A$1:$O$86,15,0)),0,VLOOKUP($S$727,'TAR FIN'!$A$1:$O$86,15,0))</f>
        <v>0</v>
      </c>
      <c r="W727" s="6">
        <f>IF(ISERROR(VLOOKUP($T$727,'TAR FIN'!$A$1:$O$86,15,0)),0,VLOOKUP($T$727,'TAR FIN'!$A$1:$O$86,15,0))</f>
        <v>285.56</v>
      </c>
      <c r="X727" s="6">
        <f>IF(ISERROR(VLOOKUP($U$727,'TAR FIN'!$A$1:$O$86,15,0)),0,VLOOKUP($U$727,'TAR FIN'!$A$1:$O$86,15,0))</f>
        <v>227.23</v>
      </c>
      <c r="Y727" s="6"/>
      <c r="Z727" s="6">
        <f ca="1">('TUSD BE'!$AM$34+'TUSD BF'!$AM$34+'TUSD CVA'!$AM$34)*(1-CUSTOS!$M$38)</f>
        <v>310.34682484351242</v>
      </c>
      <c r="AA727" s="6">
        <f>('TE BE'!$AB$24+'TE BF'!$AB$24+'TE CVA'!$AB$24)*(1-CUSTOS!$M$38)</f>
        <v>216.7476358676706</v>
      </c>
      <c r="AB727" s="6">
        <f>$K$727*$V$727</f>
        <v>0</v>
      </c>
      <c r="AC727" s="6">
        <f>$M$727*$W$727</f>
        <v>184.243312</v>
      </c>
      <c r="AD727" s="6">
        <f>$O$727*$X$727</f>
        <v>146.60879599999998</v>
      </c>
      <c r="AE727" s="6">
        <f>$K$727*$Y$727</f>
        <v>0</v>
      </c>
      <c r="AF727" s="6">
        <f ca="1">$M$727*$Z$727</f>
        <v>200.23577138903423</v>
      </c>
      <c r="AG727" s="6">
        <f>$O$727*$AA$727</f>
        <v>139.84557466182108</v>
      </c>
    </row>
    <row r="728" spans="1:33" ht="11.25" customHeight="1" x14ac:dyDescent="0.25">
      <c r="A728" s="4" t="s">
        <v>56</v>
      </c>
      <c r="B728" s="4" t="s">
        <v>42</v>
      </c>
      <c r="C728" s="4" t="s">
        <v>23</v>
      </c>
      <c r="D728" s="4" t="s">
        <v>43</v>
      </c>
      <c r="E728" s="4" t="s">
        <v>54</v>
      </c>
      <c r="F728" s="4" t="s">
        <v>53</v>
      </c>
      <c r="G728" s="4" t="s">
        <v>25</v>
      </c>
      <c r="H728" s="4" t="s">
        <v>25</v>
      </c>
      <c r="I728" s="5">
        <v>44713</v>
      </c>
      <c r="J728" s="6">
        <v>0</v>
      </c>
      <c r="K728" s="6">
        <v>0</v>
      </c>
      <c r="L728" s="6">
        <v>7.9359999999999999</v>
      </c>
      <c r="M728" s="6">
        <v>7.9359999999999999</v>
      </c>
      <c r="N728" s="6">
        <v>7.9359999999999999</v>
      </c>
      <c r="O728" s="6">
        <v>7.9359999999999999</v>
      </c>
      <c r="P728" s="6">
        <v>0</v>
      </c>
      <c r="Q728" s="4" t="s">
        <v>26</v>
      </c>
      <c r="R728" s="4">
        <v>0</v>
      </c>
      <c r="S728" s="6">
        <v>0</v>
      </c>
      <c r="T728" s="6">
        <v>30</v>
      </c>
      <c r="U728" s="6">
        <v>70</v>
      </c>
      <c r="V728" s="6">
        <f>IF(ISERROR(VLOOKUP($S$728,'TAR FIN'!$A$1:$O$86,15,0)),0,VLOOKUP($S$728,'TAR FIN'!$A$1:$O$86,15,0))</f>
        <v>0</v>
      </c>
      <c r="W728" s="6">
        <f>IF(ISERROR(VLOOKUP($T$728,'TAR FIN'!$A$1:$O$86,15,0)),0,VLOOKUP($T$728,'TAR FIN'!$A$1:$O$86,15,0))</f>
        <v>285.56</v>
      </c>
      <c r="X728" s="6">
        <f>IF(ISERROR(VLOOKUP($U$728,'TAR FIN'!$A$1:$O$86,15,0)),0,VLOOKUP($U$728,'TAR FIN'!$A$1:$O$86,15,0))</f>
        <v>227.23</v>
      </c>
      <c r="Y728" s="6"/>
      <c r="Z728" s="6">
        <f ca="1">('TUSD BE'!$AM$34+'TUSD BF'!$AM$34+'TUSD CVA'!$AM$34)*(1-CUSTOS!$M$38)</f>
        <v>310.34682484351242</v>
      </c>
      <c r="AA728" s="6">
        <f>('TE BE'!$AB$24+'TE BF'!$AB$24+'TE CVA'!$AB$24)*(1-CUSTOS!$M$38)</f>
        <v>216.7476358676706</v>
      </c>
      <c r="AB728" s="6">
        <f>$K$728*$V$728</f>
        <v>0</v>
      </c>
      <c r="AC728" s="6">
        <f>$M$728*$W$728</f>
        <v>2266.2041600000002</v>
      </c>
      <c r="AD728" s="6">
        <f>$O$728*$X$728</f>
        <v>1803.29728</v>
      </c>
      <c r="AE728" s="6">
        <f>$K$728*$Y$728</f>
        <v>0</v>
      </c>
      <c r="AF728" s="6">
        <f ca="1">$M$728*$Z$728</f>
        <v>2462.9124019581145</v>
      </c>
      <c r="AG728" s="6">
        <f>$O$728*$AA$728</f>
        <v>1720.1092382458339</v>
      </c>
    </row>
    <row r="729" spans="1:33" ht="11.25" customHeight="1" x14ac:dyDescent="0.25">
      <c r="A729" s="4" t="s">
        <v>21</v>
      </c>
      <c r="B729" s="4" t="s">
        <v>42</v>
      </c>
      <c r="C729" s="4" t="s">
        <v>23</v>
      </c>
      <c r="D729" s="4" t="s">
        <v>43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44378</v>
      </c>
      <c r="J729" s="6">
        <v>0</v>
      </c>
      <c r="K729" s="6">
        <v>0</v>
      </c>
      <c r="L729" s="6">
        <v>1461.049</v>
      </c>
      <c r="M729" s="6">
        <v>1461.049</v>
      </c>
      <c r="N729" s="6">
        <v>1461.049</v>
      </c>
      <c r="O729" s="6">
        <v>1461.049</v>
      </c>
      <c r="P729" s="6">
        <v>3611</v>
      </c>
      <c r="Q729" s="4" t="s">
        <v>26</v>
      </c>
      <c r="R729" s="4">
        <v>0</v>
      </c>
      <c r="S729" s="6">
        <v>0</v>
      </c>
      <c r="T729" s="6">
        <v>30</v>
      </c>
      <c r="U729" s="6">
        <v>70</v>
      </c>
      <c r="V729" s="6">
        <f>IF(ISERROR(VLOOKUP($S$729,'TAR FIN'!$A$1:$O$86,15,0)),0,VLOOKUP($S$729,'TAR FIN'!$A$1:$O$86,15,0))</f>
        <v>0</v>
      </c>
      <c r="W729" s="6">
        <f>IF(ISERROR(VLOOKUP($T$729,'TAR FIN'!$A$1:$O$86,15,0)),0,VLOOKUP($T$729,'TAR FIN'!$A$1:$O$86,15,0))</f>
        <v>285.56</v>
      </c>
      <c r="X729" s="6">
        <f>IF(ISERROR(VLOOKUP($U$729,'TAR FIN'!$A$1:$O$86,15,0)),0,VLOOKUP($U$729,'TAR FIN'!$A$1:$O$86,15,0))</f>
        <v>227.23</v>
      </c>
      <c r="Y729" s="6"/>
      <c r="Z729" s="6">
        <f ca="1">('TUSD BE'!$AM$34+'TUSD BF'!$AM$34+'TUSD CVA'!$AM$34)*(1-CUSTOS!$M$38)</f>
        <v>310.34682484351242</v>
      </c>
      <c r="AA729" s="6">
        <f>('TE BE'!$AB$24+'TE BF'!$AB$24+'TE CVA'!$AB$24)*(1-CUSTOS!$M$38)</f>
        <v>216.7476358676706</v>
      </c>
      <c r="AB729" s="6">
        <f>$K$729*$V$729</f>
        <v>0</v>
      </c>
      <c r="AC729" s="6">
        <f>$M$729*$W$729</f>
        <v>417217.15243999998</v>
      </c>
      <c r="AD729" s="6">
        <f>$O$729*$X$729</f>
        <v>331994.16427000001</v>
      </c>
      <c r="AE729" s="6">
        <f>$K$729*$Y$729</f>
        <v>0</v>
      </c>
      <c r="AF729" s="6">
        <f ca="1">$M$729*$Z$729</f>
        <v>453431.918090789</v>
      </c>
      <c r="AG729" s="6">
        <f>$O$729*$AA$729</f>
        <v>316678.91663682426</v>
      </c>
    </row>
    <row r="730" spans="1:33" ht="11.25" customHeight="1" x14ac:dyDescent="0.25">
      <c r="A730" s="4" t="s">
        <v>27</v>
      </c>
      <c r="B730" s="4" t="s">
        <v>42</v>
      </c>
      <c r="C730" s="4" t="s">
        <v>23</v>
      </c>
      <c r="D730" s="4" t="s">
        <v>43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44378</v>
      </c>
      <c r="J730" s="6">
        <v>0</v>
      </c>
      <c r="K730" s="6">
        <v>0</v>
      </c>
      <c r="L730" s="6">
        <v>-2.8149999999999999</v>
      </c>
      <c r="M730" s="6">
        <v>-2.8149999999999999</v>
      </c>
      <c r="N730" s="6">
        <v>-2.8149999999999999</v>
      </c>
      <c r="O730" s="6">
        <v>-2.8149999999999999</v>
      </c>
      <c r="P730" s="6">
        <v>0</v>
      </c>
      <c r="Q730" s="4" t="s">
        <v>26</v>
      </c>
      <c r="R730" s="4">
        <v>0</v>
      </c>
      <c r="S730" s="6">
        <v>0</v>
      </c>
      <c r="T730" s="6">
        <v>30</v>
      </c>
      <c r="U730" s="6">
        <v>70</v>
      </c>
      <c r="V730" s="6">
        <f>IF(ISERROR(VLOOKUP($S$730,'TAR FIN'!$A$1:$O$86,15,0)),0,VLOOKUP($S$730,'TAR FIN'!$A$1:$O$86,15,0))</f>
        <v>0</v>
      </c>
      <c r="W730" s="6">
        <f>IF(ISERROR(VLOOKUP($T$730,'TAR FIN'!$A$1:$O$86,15,0)),0,VLOOKUP($T$730,'TAR FIN'!$A$1:$O$86,15,0))</f>
        <v>285.56</v>
      </c>
      <c r="X730" s="6">
        <f>IF(ISERROR(VLOOKUP($U$730,'TAR FIN'!$A$1:$O$86,15,0)),0,VLOOKUP($U$730,'TAR FIN'!$A$1:$O$86,15,0))</f>
        <v>227.23</v>
      </c>
      <c r="Y730" s="6"/>
      <c r="Z730" s="6">
        <f ca="1">('TUSD BE'!$AM$34+'TUSD BF'!$AM$34+'TUSD CVA'!$AM$34)*(1-CUSTOS!$M$38)</f>
        <v>310.34682484351242</v>
      </c>
      <c r="AA730" s="6">
        <f>('TE BE'!$AB$24+'TE BF'!$AB$24+'TE CVA'!$AB$24)*(1-CUSTOS!$M$38)</f>
        <v>216.7476358676706</v>
      </c>
      <c r="AB730" s="6">
        <f>$K$730*$V$730</f>
        <v>0</v>
      </c>
      <c r="AC730" s="6">
        <f>$M$730*$W$730</f>
        <v>-803.85140000000001</v>
      </c>
      <c r="AD730" s="6">
        <f>$O$730*$X$730</f>
        <v>-639.65244999999993</v>
      </c>
      <c r="AE730" s="6">
        <f>$K$730*$Y$730</f>
        <v>0</v>
      </c>
      <c r="AF730" s="6">
        <f ca="1">$M$730*$Z$730</f>
        <v>-873.62631193448749</v>
      </c>
      <c r="AG730" s="6">
        <f>$O$730*$AA$730</f>
        <v>-610.14459496749271</v>
      </c>
    </row>
    <row r="731" spans="1:33" ht="11.25" customHeight="1" x14ac:dyDescent="0.25">
      <c r="A731" s="4" t="s">
        <v>21</v>
      </c>
      <c r="B731" s="4" t="s">
        <v>42</v>
      </c>
      <c r="C731" s="4" t="s">
        <v>23</v>
      </c>
      <c r="D731" s="4" t="s">
        <v>43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44409</v>
      </c>
      <c r="J731" s="6">
        <v>0</v>
      </c>
      <c r="K731" s="6">
        <v>0</v>
      </c>
      <c r="L731" s="6">
        <v>1449.085</v>
      </c>
      <c r="M731" s="6">
        <v>1449.085</v>
      </c>
      <c r="N731" s="6">
        <v>1449.085</v>
      </c>
      <c r="O731" s="6">
        <v>1449.085</v>
      </c>
      <c r="P731" s="6">
        <v>3596</v>
      </c>
      <c r="Q731" s="4" t="s">
        <v>26</v>
      </c>
      <c r="R731" s="4">
        <v>0</v>
      </c>
      <c r="S731" s="6">
        <v>0</v>
      </c>
      <c r="T731" s="6">
        <v>30</v>
      </c>
      <c r="U731" s="6">
        <v>70</v>
      </c>
      <c r="V731" s="6">
        <f>IF(ISERROR(VLOOKUP($S$731,'TAR FIN'!$A$1:$O$86,15,0)),0,VLOOKUP($S$731,'TAR FIN'!$A$1:$O$86,15,0))</f>
        <v>0</v>
      </c>
      <c r="W731" s="6">
        <f>IF(ISERROR(VLOOKUP($T$731,'TAR FIN'!$A$1:$O$86,15,0)),0,VLOOKUP($T$731,'TAR FIN'!$A$1:$O$86,15,0))</f>
        <v>285.56</v>
      </c>
      <c r="X731" s="6">
        <f>IF(ISERROR(VLOOKUP($U$731,'TAR FIN'!$A$1:$O$86,15,0)),0,VLOOKUP($U$731,'TAR FIN'!$A$1:$O$86,15,0))</f>
        <v>227.23</v>
      </c>
      <c r="Y731" s="6"/>
      <c r="Z731" s="6">
        <f ca="1">('TUSD BE'!$AM$34+'TUSD BF'!$AM$34+'TUSD CVA'!$AM$34)*(1-CUSTOS!$M$38)</f>
        <v>310.34682484351242</v>
      </c>
      <c r="AA731" s="6">
        <f>('TE BE'!$AB$24+'TE BF'!$AB$24+'TE CVA'!$AB$24)*(1-CUSTOS!$M$38)</f>
        <v>216.7476358676706</v>
      </c>
      <c r="AB731" s="6">
        <f>$K$731*$V$731</f>
        <v>0</v>
      </c>
      <c r="AC731" s="6">
        <f>$M$731*$W$731</f>
        <v>413800.71260000003</v>
      </c>
      <c r="AD731" s="6">
        <f>$O$731*$X$731</f>
        <v>329275.58454999997</v>
      </c>
      <c r="AE731" s="6">
        <f>$K$731*$Y$731</f>
        <v>0</v>
      </c>
      <c r="AF731" s="6">
        <f ca="1">$M$731*$Z$731</f>
        <v>449718.92867836123</v>
      </c>
      <c r="AG731" s="6">
        <f>$O$731*$AA$731</f>
        <v>314085.74792130344</v>
      </c>
    </row>
    <row r="732" spans="1:33" ht="11.25" customHeight="1" x14ac:dyDescent="0.25">
      <c r="A732" s="4" t="s">
        <v>27</v>
      </c>
      <c r="B732" s="4" t="s">
        <v>42</v>
      </c>
      <c r="C732" s="4" t="s">
        <v>23</v>
      </c>
      <c r="D732" s="4" t="s">
        <v>43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44409</v>
      </c>
      <c r="J732" s="6">
        <v>0</v>
      </c>
      <c r="K732" s="6">
        <v>0</v>
      </c>
      <c r="L732" s="6">
        <v>-3.5960000000000001</v>
      </c>
      <c r="M732" s="6">
        <v>-3.5960000000000001</v>
      </c>
      <c r="N732" s="6">
        <v>-3.5960000000000001</v>
      </c>
      <c r="O732" s="6">
        <v>-3.5960000000000001</v>
      </c>
      <c r="P732" s="6">
        <v>0</v>
      </c>
      <c r="Q732" s="4" t="s">
        <v>26</v>
      </c>
      <c r="R732" s="4">
        <v>0</v>
      </c>
      <c r="S732" s="6">
        <v>0</v>
      </c>
      <c r="T732" s="6">
        <v>30</v>
      </c>
      <c r="U732" s="6">
        <v>70</v>
      </c>
      <c r="V732" s="6">
        <f>IF(ISERROR(VLOOKUP($S$732,'TAR FIN'!$A$1:$O$86,15,0)),0,VLOOKUP($S$732,'TAR FIN'!$A$1:$O$86,15,0))</f>
        <v>0</v>
      </c>
      <c r="W732" s="6">
        <f>IF(ISERROR(VLOOKUP($T$732,'TAR FIN'!$A$1:$O$86,15,0)),0,VLOOKUP($T$732,'TAR FIN'!$A$1:$O$86,15,0))</f>
        <v>285.56</v>
      </c>
      <c r="X732" s="6">
        <f>IF(ISERROR(VLOOKUP($U$732,'TAR FIN'!$A$1:$O$86,15,0)),0,VLOOKUP($U$732,'TAR FIN'!$A$1:$O$86,15,0))</f>
        <v>227.23</v>
      </c>
      <c r="Y732" s="6"/>
      <c r="Z732" s="6">
        <f ca="1">('TUSD BE'!$AM$34+'TUSD BF'!$AM$34+'TUSD CVA'!$AM$34)*(1-CUSTOS!$M$38)</f>
        <v>310.34682484351242</v>
      </c>
      <c r="AA732" s="6">
        <f>('TE BE'!$AB$24+'TE BF'!$AB$24+'TE CVA'!$AB$24)*(1-CUSTOS!$M$38)</f>
        <v>216.7476358676706</v>
      </c>
      <c r="AB732" s="6">
        <f>$K$732*$V$732</f>
        <v>0</v>
      </c>
      <c r="AC732" s="6">
        <f>$M$732*$W$732</f>
        <v>-1026.8737599999999</v>
      </c>
      <c r="AD732" s="6">
        <f>$O$732*$X$732</f>
        <v>-817.11907999999994</v>
      </c>
      <c r="AE732" s="6">
        <f>$K$732*$Y$732</f>
        <v>0</v>
      </c>
      <c r="AF732" s="6">
        <f ca="1">$M$732*$Z$732</f>
        <v>-1116.0071821372708</v>
      </c>
      <c r="AG732" s="6">
        <f>$O$732*$AA$732</f>
        <v>-779.42449858014345</v>
      </c>
    </row>
    <row r="733" spans="1:33" ht="11.25" customHeight="1" x14ac:dyDescent="0.25">
      <c r="A733" s="4" t="s">
        <v>55</v>
      </c>
      <c r="B733" s="4" t="s">
        <v>42</v>
      </c>
      <c r="C733" s="4" t="s">
        <v>23</v>
      </c>
      <c r="D733" s="4" t="s">
        <v>43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44409</v>
      </c>
      <c r="J733" s="6">
        <v>0</v>
      </c>
      <c r="K733" s="6">
        <v>0</v>
      </c>
      <c r="L733" s="6">
        <v>50.58</v>
      </c>
      <c r="M733" s="6">
        <v>50.58</v>
      </c>
      <c r="N733" s="6">
        <v>50.58</v>
      </c>
      <c r="O733" s="6">
        <v>50.58</v>
      </c>
      <c r="P733" s="6">
        <v>140</v>
      </c>
      <c r="Q733" s="4" t="s">
        <v>26</v>
      </c>
      <c r="R733" s="4">
        <v>0</v>
      </c>
      <c r="S733" s="6">
        <v>0</v>
      </c>
      <c r="T733" s="6">
        <v>30</v>
      </c>
      <c r="U733" s="6">
        <v>70</v>
      </c>
      <c r="V733" s="6">
        <f>IF(ISERROR(VLOOKUP($S$733,'TAR FIN'!$A$1:$O$86,15,0)),0,VLOOKUP($S$733,'TAR FIN'!$A$1:$O$86,15,0))</f>
        <v>0</v>
      </c>
      <c r="W733" s="6">
        <f>IF(ISERROR(VLOOKUP($T$733,'TAR FIN'!$A$1:$O$86,15,0)),0,VLOOKUP($T$733,'TAR FIN'!$A$1:$O$86,15,0))</f>
        <v>285.56</v>
      </c>
      <c r="X733" s="6">
        <f>IF(ISERROR(VLOOKUP($U$733,'TAR FIN'!$A$1:$O$86,15,0)),0,VLOOKUP($U$733,'TAR FIN'!$A$1:$O$86,15,0))</f>
        <v>227.23</v>
      </c>
      <c r="Y733" s="6"/>
      <c r="Z733" s="6">
        <f ca="1">('TUSD BE'!$AM$34+'TUSD BF'!$AM$34+'TUSD CVA'!$AM$34)*(1-CUSTOS!$M$38)</f>
        <v>310.34682484351242</v>
      </c>
      <c r="AA733" s="6">
        <f>('TE BE'!$AB$24+'TE BF'!$AB$24+'TE CVA'!$AB$24)*(1-CUSTOS!$M$38)</f>
        <v>216.7476358676706</v>
      </c>
      <c r="AB733" s="6">
        <f>$K$733*$V$733</f>
        <v>0</v>
      </c>
      <c r="AC733" s="6">
        <f>$M$733*$W$733</f>
        <v>14443.6248</v>
      </c>
      <c r="AD733" s="6">
        <f>$O$733*$X$733</f>
        <v>11493.293399999999</v>
      </c>
      <c r="AE733" s="6">
        <f>$K$733*$Y$733</f>
        <v>0</v>
      </c>
      <c r="AF733" s="6">
        <f ca="1">$M$733*$Z$733</f>
        <v>15697.342400584857</v>
      </c>
      <c r="AG733" s="6">
        <f>$O$733*$AA$733</f>
        <v>10963.095422186778</v>
      </c>
    </row>
    <row r="734" spans="1:33" ht="11.25" customHeight="1" x14ac:dyDescent="0.25">
      <c r="A734" s="4" t="s">
        <v>55</v>
      </c>
      <c r="B734" s="4" t="s">
        <v>42</v>
      </c>
      <c r="C734" s="4" t="s">
        <v>23</v>
      </c>
      <c r="D734" s="4" t="s">
        <v>43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44409</v>
      </c>
      <c r="J734" s="6">
        <v>0</v>
      </c>
      <c r="K734" s="6">
        <v>0</v>
      </c>
      <c r="L734" s="6">
        <v>2.86</v>
      </c>
      <c r="M734" s="6">
        <v>2.86</v>
      </c>
      <c r="N734" s="6">
        <v>2.86</v>
      </c>
      <c r="O734" s="6">
        <v>2.86</v>
      </c>
      <c r="P734" s="6">
        <v>1</v>
      </c>
      <c r="Q734" s="4" t="s">
        <v>26</v>
      </c>
      <c r="R734" s="4">
        <v>0</v>
      </c>
      <c r="S734" s="6">
        <v>0</v>
      </c>
      <c r="T734" s="6">
        <v>30</v>
      </c>
      <c r="U734" s="6">
        <v>70</v>
      </c>
      <c r="V734" s="6">
        <f>IF(ISERROR(VLOOKUP($S$734,'TAR FIN'!$A$1:$O$86,15,0)),0,VLOOKUP($S$734,'TAR FIN'!$A$1:$O$86,15,0))</f>
        <v>0</v>
      </c>
      <c r="W734" s="6">
        <f>IF(ISERROR(VLOOKUP($T$734,'TAR FIN'!$A$1:$O$86,15,0)),0,VLOOKUP($T$734,'TAR FIN'!$A$1:$O$86,15,0))</f>
        <v>285.56</v>
      </c>
      <c r="X734" s="6">
        <f>IF(ISERROR(VLOOKUP($U$734,'TAR FIN'!$A$1:$O$86,15,0)),0,VLOOKUP($U$734,'TAR FIN'!$A$1:$O$86,15,0))</f>
        <v>227.23</v>
      </c>
      <c r="Y734" s="6"/>
      <c r="Z734" s="6">
        <f ca="1">('TUSD BE'!$AM$34+'TUSD BF'!$AM$34+'TUSD CVA'!$AM$34)*(1-CUSTOS!$M$38)</f>
        <v>310.34682484351242</v>
      </c>
      <c r="AA734" s="6">
        <f>('TE BE'!$AB$24+'TE BF'!$AB$24+'TE CVA'!$AB$24)*(1-CUSTOS!$M$38)</f>
        <v>216.7476358676706</v>
      </c>
      <c r="AB734" s="6">
        <f>$K$734*$V$734</f>
        <v>0</v>
      </c>
      <c r="AC734" s="6">
        <f>$M$734*$W$734</f>
        <v>816.70159999999998</v>
      </c>
      <c r="AD734" s="6">
        <f>$O$734*$X$734</f>
        <v>649.87779999999998</v>
      </c>
      <c r="AE734" s="6">
        <f>$K$734*$Y$734</f>
        <v>0</v>
      </c>
      <c r="AF734" s="6">
        <f ca="1">$M$734*$Z$734</f>
        <v>887.59191905244552</v>
      </c>
      <c r="AG734" s="6">
        <f>$O$734*$AA$734</f>
        <v>619.89823858153784</v>
      </c>
    </row>
    <row r="735" spans="1:33" ht="11.25" customHeight="1" x14ac:dyDescent="0.25">
      <c r="A735" s="4" t="s">
        <v>21</v>
      </c>
      <c r="B735" s="4" t="s">
        <v>42</v>
      </c>
      <c r="C735" s="4" t="s">
        <v>23</v>
      </c>
      <c r="D735" s="4" t="s">
        <v>43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44440</v>
      </c>
      <c r="J735" s="6">
        <v>0</v>
      </c>
      <c r="K735" s="6">
        <v>0</v>
      </c>
      <c r="L735" s="6">
        <v>1487.13</v>
      </c>
      <c r="M735" s="6">
        <v>1487.13</v>
      </c>
      <c r="N735" s="6">
        <v>1487.13</v>
      </c>
      <c r="O735" s="6">
        <v>1487.13</v>
      </c>
      <c r="P735" s="6">
        <v>3587</v>
      </c>
      <c r="Q735" s="4" t="s">
        <v>26</v>
      </c>
      <c r="R735" s="4">
        <v>0</v>
      </c>
      <c r="S735" s="6">
        <v>0</v>
      </c>
      <c r="T735" s="6">
        <v>30</v>
      </c>
      <c r="U735" s="6">
        <v>70</v>
      </c>
      <c r="V735" s="6">
        <f>IF(ISERROR(VLOOKUP($S$735,'TAR FIN'!$A$1:$O$86,15,0)),0,VLOOKUP($S$735,'TAR FIN'!$A$1:$O$86,15,0))</f>
        <v>0</v>
      </c>
      <c r="W735" s="6">
        <f>IF(ISERROR(VLOOKUP($T$735,'TAR FIN'!$A$1:$O$86,15,0)),0,VLOOKUP($T$735,'TAR FIN'!$A$1:$O$86,15,0))</f>
        <v>285.56</v>
      </c>
      <c r="X735" s="6">
        <f>IF(ISERROR(VLOOKUP($U$735,'TAR FIN'!$A$1:$O$86,15,0)),0,VLOOKUP($U$735,'TAR FIN'!$A$1:$O$86,15,0))</f>
        <v>227.23</v>
      </c>
      <c r="Y735" s="6"/>
      <c r="Z735" s="6">
        <f ca="1">('TUSD BE'!$AM$34+'TUSD BF'!$AM$34+'TUSD CVA'!$AM$34)*(1-CUSTOS!$M$38)</f>
        <v>310.34682484351242</v>
      </c>
      <c r="AA735" s="6">
        <f>('TE BE'!$AB$24+'TE BF'!$AB$24+'TE CVA'!$AB$24)*(1-CUSTOS!$M$38)</f>
        <v>216.7476358676706</v>
      </c>
      <c r="AB735" s="6">
        <f>$K$735*$V$735</f>
        <v>0</v>
      </c>
      <c r="AC735" s="6">
        <f>$M$735*$W$735</f>
        <v>424664.84280000004</v>
      </c>
      <c r="AD735" s="6">
        <f>$O$735*$X$735</f>
        <v>337920.54989999998</v>
      </c>
      <c r="AE735" s="6">
        <f>$K$735*$Y$735</f>
        <v>0</v>
      </c>
      <c r="AF735" s="6">
        <f ca="1">$M$735*$Z$735</f>
        <v>461526.07362953265</v>
      </c>
      <c r="AG735" s="6">
        <f>$O$735*$AA$735</f>
        <v>322331.91172788898</v>
      </c>
    </row>
    <row r="736" spans="1:33" ht="11.25" customHeight="1" x14ac:dyDescent="0.25">
      <c r="A736" s="4" t="s">
        <v>27</v>
      </c>
      <c r="B736" s="4" t="s">
        <v>42</v>
      </c>
      <c r="C736" s="4" t="s">
        <v>23</v>
      </c>
      <c r="D736" s="4" t="s">
        <v>43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44440</v>
      </c>
      <c r="J736" s="6">
        <v>0</v>
      </c>
      <c r="K736" s="6">
        <v>0</v>
      </c>
      <c r="L736" s="6">
        <v>-2.6749999999999998</v>
      </c>
      <c r="M736" s="6">
        <v>-2.6749999999999998</v>
      </c>
      <c r="N736" s="6">
        <v>-2.6749999999999998</v>
      </c>
      <c r="O736" s="6">
        <v>-2.6749999999999998</v>
      </c>
      <c r="P736" s="6">
        <v>0</v>
      </c>
      <c r="Q736" s="4" t="s">
        <v>26</v>
      </c>
      <c r="R736" s="4">
        <v>0</v>
      </c>
      <c r="S736" s="6">
        <v>0</v>
      </c>
      <c r="T736" s="6">
        <v>30</v>
      </c>
      <c r="U736" s="6">
        <v>70</v>
      </c>
      <c r="V736" s="6">
        <f>IF(ISERROR(VLOOKUP($S$736,'TAR FIN'!$A$1:$O$86,15,0)),0,VLOOKUP($S$736,'TAR FIN'!$A$1:$O$86,15,0))</f>
        <v>0</v>
      </c>
      <c r="W736" s="6">
        <f>IF(ISERROR(VLOOKUP($T$736,'TAR FIN'!$A$1:$O$86,15,0)),0,VLOOKUP($T$736,'TAR FIN'!$A$1:$O$86,15,0))</f>
        <v>285.56</v>
      </c>
      <c r="X736" s="6">
        <f>IF(ISERROR(VLOOKUP($U$736,'TAR FIN'!$A$1:$O$86,15,0)),0,VLOOKUP($U$736,'TAR FIN'!$A$1:$O$86,15,0))</f>
        <v>227.23</v>
      </c>
      <c r="Y736" s="6"/>
      <c r="Z736" s="6">
        <f ca="1">('TUSD BE'!$AM$34+'TUSD BF'!$AM$34+'TUSD CVA'!$AM$34)*(1-CUSTOS!$M$38)</f>
        <v>310.34682484351242</v>
      </c>
      <c r="AA736" s="6">
        <f>('TE BE'!$AB$24+'TE BF'!$AB$24+'TE CVA'!$AB$24)*(1-CUSTOS!$M$38)</f>
        <v>216.7476358676706</v>
      </c>
      <c r="AB736" s="6">
        <f>$K$736*$V$736</f>
        <v>0</v>
      </c>
      <c r="AC736" s="6">
        <f>$M$736*$W$736</f>
        <v>-763.87299999999993</v>
      </c>
      <c r="AD736" s="6">
        <f>$O$736*$X$736</f>
        <v>-607.84024999999997</v>
      </c>
      <c r="AE736" s="6">
        <f>$K$736*$Y$736</f>
        <v>0</v>
      </c>
      <c r="AF736" s="6">
        <f ca="1">$M$736*$Z$736</f>
        <v>-830.17775645639563</v>
      </c>
      <c r="AG736" s="6">
        <f>$O$736*$AA$736</f>
        <v>-579.79992594601879</v>
      </c>
    </row>
    <row r="737" spans="1:33" ht="11.25" customHeight="1" x14ac:dyDescent="0.25">
      <c r="A737" s="4" t="s">
        <v>55</v>
      </c>
      <c r="B737" s="4" t="s">
        <v>42</v>
      </c>
      <c r="C737" s="4" t="s">
        <v>23</v>
      </c>
      <c r="D737" s="4" t="s">
        <v>43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44440</v>
      </c>
      <c r="J737" s="6">
        <v>0</v>
      </c>
      <c r="K737" s="6">
        <v>0</v>
      </c>
      <c r="L737" s="6">
        <v>42.877000000000002</v>
      </c>
      <c r="M737" s="6">
        <v>42.877000000000002</v>
      </c>
      <c r="N737" s="6">
        <v>42.877000000000002</v>
      </c>
      <c r="O737" s="6">
        <v>42.877000000000002</v>
      </c>
      <c r="P737" s="6">
        <v>142</v>
      </c>
      <c r="Q737" s="4" t="s">
        <v>26</v>
      </c>
      <c r="R737" s="4">
        <v>0</v>
      </c>
      <c r="S737" s="6">
        <v>0</v>
      </c>
      <c r="T737" s="6">
        <v>30</v>
      </c>
      <c r="U737" s="6">
        <v>70</v>
      </c>
      <c r="V737" s="6">
        <f>IF(ISERROR(VLOOKUP($S$737,'TAR FIN'!$A$1:$O$86,15,0)),0,VLOOKUP($S$737,'TAR FIN'!$A$1:$O$86,15,0))</f>
        <v>0</v>
      </c>
      <c r="W737" s="6">
        <f>IF(ISERROR(VLOOKUP($T$737,'TAR FIN'!$A$1:$O$86,15,0)),0,VLOOKUP($T$737,'TAR FIN'!$A$1:$O$86,15,0))</f>
        <v>285.56</v>
      </c>
      <c r="X737" s="6">
        <f>IF(ISERROR(VLOOKUP($U$737,'TAR FIN'!$A$1:$O$86,15,0)),0,VLOOKUP($U$737,'TAR FIN'!$A$1:$O$86,15,0))</f>
        <v>227.23</v>
      </c>
      <c r="Y737" s="6"/>
      <c r="Z737" s="6">
        <f ca="1">('TUSD BE'!$AM$34+'TUSD BF'!$AM$34+'TUSD CVA'!$AM$34)*(1-CUSTOS!$M$38)</f>
        <v>310.34682484351242</v>
      </c>
      <c r="AA737" s="6">
        <f>('TE BE'!$AB$24+'TE BF'!$AB$24+'TE CVA'!$AB$24)*(1-CUSTOS!$M$38)</f>
        <v>216.7476358676706</v>
      </c>
      <c r="AB737" s="6">
        <f>$K$737*$V$737</f>
        <v>0</v>
      </c>
      <c r="AC737" s="6">
        <f>$M$737*$W$737</f>
        <v>12243.956120000001</v>
      </c>
      <c r="AD737" s="6">
        <f>$O$737*$X$737</f>
        <v>9742.9407100000008</v>
      </c>
      <c r="AE737" s="6">
        <f>$K$737*$Y$737</f>
        <v>0</v>
      </c>
      <c r="AF737" s="6">
        <f ca="1">$M$737*$Z$737</f>
        <v>13306.740808815282</v>
      </c>
      <c r="AG737" s="6">
        <f>$O$737*$AA$737</f>
        <v>9293.4883830981125</v>
      </c>
    </row>
    <row r="738" spans="1:33" ht="11.25" customHeight="1" x14ac:dyDescent="0.25">
      <c r="A738" s="4" t="s">
        <v>21</v>
      </c>
      <c r="B738" s="4" t="s">
        <v>42</v>
      </c>
      <c r="C738" s="4" t="s">
        <v>23</v>
      </c>
      <c r="D738" s="4" t="s">
        <v>43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44470</v>
      </c>
      <c r="J738" s="6">
        <v>0</v>
      </c>
      <c r="K738" s="6">
        <v>0</v>
      </c>
      <c r="L738" s="6">
        <v>1471.472</v>
      </c>
      <c r="M738" s="6">
        <v>1471.472</v>
      </c>
      <c r="N738" s="6">
        <v>1471.472</v>
      </c>
      <c r="O738" s="6">
        <v>1471.472</v>
      </c>
      <c r="P738" s="6">
        <v>3564</v>
      </c>
      <c r="Q738" s="4" t="s">
        <v>26</v>
      </c>
      <c r="R738" s="4">
        <v>0</v>
      </c>
      <c r="S738" s="6">
        <v>0</v>
      </c>
      <c r="T738" s="6">
        <v>30</v>
      </c>
      <c r="U738" s="6">
        <v>70</v>
      </c>
      <c r="V738" s="6">
        <f>IF(ISERROR(VLOOKUP($S$738,'TAR FIN'!$A$1:$O$86,15,0)),0,VLOOKUP($S$738,'TAR FIN'!$A$1:$O$86,15,0))</f>
        <v>0</v>
      </c>
      <c r="W738" s="6">
        <f>IF(ISERROR(VLOOKUP($T$738,'TAR FIN'!$A$1:$O$86,15,0)),0,VLOOKUP($T$738,'TAR FIN'!$A$1:$O$86,15,0))</f>
        <v>285.56</v>
      </c>
      <c r="X738" s="6">
        <f>IF(ISERROR(VLOOKUP($U$738,'TAR FIN'!$A$1:$O$86,15,0)),0,VLOOKUP($U$738,'TAR FIN'!$A$1:$O$86,15,0))</f>
        <v>227.23</v>
      </c>
      <c r="Y738" s="6"/>
      <c r="Z738" s="6">
        <f ca="1">('TUSD BE'!$AM$34+'TUSD BF'!$AM$34+'TUSD CVA'!$AM$34)*(1-CUSTOS!$M$38)</f>
        <v>310.34682484351242</v>
      </c>
      <c r="AA738" s="6">
        <f>('TE BE'!$AB$24+'TE BF'!$AB$24+'TE CVA'!$AB$24)*(1-CUSTOS!$M$38)</f>
        <v>216.7476358676706</v>
      </c>
      <c r="AB738" s="6">
        <f>$K$738*$V$738</f>
        <v>0</v>
      </c>
      <c r="AC738" s="6">
        <f>$M$738*$W$738</f>
        <v>420193.54431999999</v>
      </c>
      <c r="AD738" s="6">
        <f>$O$738*$X$738</f>
        <v>334362.58255999995</v>
      </c>
      <c r="AE738" s="6">
        <f>$K$738*$Y$738</f>
        <v>0</v>
      </c>
      <c r="AF738" s="6">
        <f ca="1">$M$738*$Z$738</f>
        <v>456666.66304613289</v>
      </c>
      <c r="AG738" s="6">
        <f>$O$738*$AA$738</f>
        <v>318938.07724547299</v>
      </c>
    </row>
    <row r="739" spans="1:33" ht="11.25" customHeight="1" x14ac:dyDescent="0.25">
      <c r="A739" s="4" t="s">
        <v>27</v>
      </c>
      <c r="B739" s="4" t="s">
        <v>42</v>
      </c>
      <c r="C739" s="4" t="s">
        <v>23</v>
      </c>
      <c r="D739" s="4" t="s">
        <v>43</v>
      </c>
      <c r="E739" s="4" t="s">
        <v>25</v>
      </c>
      <c r="F739" s="4" t="s">
        <v>25</v>
      </c>
      <c r="G739" s="4" t="s">
        <v>25</v>
      </c>
      <c r="H739" s="4" t="s">
        <v>25</v>
      </c>
      <c r="I739" s="5">
        <v>44470</v>
      </c>
      <c r="J739" s="6">
        <v>0</v>
      </c>
      <c r="K739" s="6">
        <v>0</v>
      </c>
      <c r="L739" s="6">
        <v>-0.53800000000000003</v>
      </c>
      <c r="M739" s="6">
        <v>-0.53800000000000003</v>
      </c>
      <c r="N739" s="6">
        <v>-0.53800000000000003</v>
      </c>
      <c r="O739" s="6">
        <v>-0.53800000000000003</v>
      </c>
      <c r="P739" s="6">
        <v>0</v>
      </c>
      <c r="Q739" s="4" t="s">
        <v>26</v>
      </c>
      <c r="R739" s="4">
        <v>0</v>
      </c>
      <c r="S739" s="6">
        <v>0</v>
      </c>
      <c r="T739" s="6">
        <v>30</v>
      </c>
      <c r="U739" s="6">
        <v>70</v>
      </c>
      <c r="V739" s="6">
        <f>IF(ISERROR(VLOOKUP($S$739,'TAR FIN'!$A$1:$O$86,15,0)),0,VLOOKUP($S$739,'TAR FIN'!$A$1:$O$86,15,0))</f>
        <v>0</v>
      </c>
      <c r="W739" s="6">
        <f>IF(ISERROR(VLOOKUP($T$739,'TAR FIN'!$A$1:$O$86,15,0)),0,VLOOKUP($T$739,'TAR FIN'!$A$1:$O$86,15,0))</f>
        <v>285.56</v>
      </c>
      <c r="X739" s="6">
        <f>IF(ISERROR(VLOOKUP($U$739,'TAR FIN'!$A$1:$O$86,15,0)),0,VLOOKUP($U$739,'TAR FIN'!$A$1:$O$86,15,0))</f>
        <v>227.23</v>
      </c>
      <c r="Y739" s="6"/>
      <c r="Z739" s="6">
        <f ca="1">('TUSD BE'!$AM$34+'TUSD BF'!$AM$34+'TUSD CVA'!$AM$34)*(1-CUSTOS!$M$38)</f>
        <v>310.34682484351242</v>
      </c>
      <c r="AA739" s="6">
        <f>('TE BE'!$AB$24+'TE BF'!$AB$24+'TE CVA'!$AB$24)*(1-CUSTOS!$M$38)</f>
        <v>216.7476358676706</v>
      </c>
      <c r="AB739" s="6">
        <f>$K$739*$V$739</f>
        <v>0</v>
      </c>
      <c r="AC739" s="6">
        <f>$M$739*$W$739</f>
        <v>-153.63128</v>
      </c>
      <c r="AD739" s="6">
        <f>$O$739*$X$739</f>
        <v>-122.24974</v>
      </c>
      <c r="AE739" s="6">
        <f>$K$739*$Y$739</f>
        <v>0</v>
      </c>
      <c r="AF739" s="6">
        <f ca="1">$M$739*$Z$739</f>
        <v>-166.96659176580968</v>
      </c>
      <c r="AG739" s="6">
        <f>$O$739*$AA$739</f>
        <v>-116.61022809680679</v>
      </c>
    </row>
    <row r="740" spans="1:33" ht="11.25" customHeight="1" x14ac:dyDescent="0.25">
      <c r="A740" s="4" t="s">
        <v>55</v>
      </c>
      <c r="B740" s="4" t="s">
        <v>42</v>
      </c>
      <c r="C740" s="4" t="s">
        <v>23</v>
      </c>
      <c r="D740" s="4" t="s">
        <v>43</v>
      </c>
      <c r="E740" s="4" t="s">
        <v>25</v>
      </c>
      <c r="F740" s="4" t="s">
        <v>25</v>
      </c>
      <c r="G740" s="4" t="s">
        <v>25</v>
      </c>
      <c r="H740" s="4" t="s">
        <v>25</v>
      </c>
      <c r="I740" s="5">
        <v>44470</v>
      </c>
      <c r="J740" s="6">
        <v>0</v>
      </c>
      <c r="K740" s="6">
        <v>0</v>
      </c>
      <c r="L740" s="6">
        <v>153.453</v>
      </c>
      <c r="M740" s="6">
        <v>153.453</v>
      </c>
      <c r="N740" s="6">
        <v>153.453</v>
      </c>
      <c r="O740" s="6">
        <v>153.453</v>
      </c>
      <c r="P740" s="6">
        <v>154</v>
      </c>
      <c r="Q740" s="4" t="s">
        <v>26</v>
      </c>
      <c r="R740" s="4">
        <v>0</v>
      </c>
      <c r="S740" s="6">
        <v>0</v>
      </c>
      <c r="T740" s="6">
        <v>30</v>
      </c>
      <c r="U740" s="6">
        <v>70</v>
      </c>
      <c r="V740" s="6">
        <f>IF(ISERROR(VLOOKUP($S$740,'TAR FIN'!$A$1:$O$86,15,0)),0,VLOOKUP($S$740,'TAR FIN'!$A$1:$O$86,15,0))</f>
        <v>0</v>
      </c>
      <c r="W740" s="6">
        <f>IF(ISERROR(VLOOKUP($T$740,'TAR FIN'!$A$1:$O$86,15,0)),0,VLOOKUP($T$740,'TAR FIN'!$A$1:$O$86,15,0))</f>
        <v>285.56</v>
      </c>
      <c r="X740" s="6">
        <f>IF(ISERROR(VLOOKUP($U$740,'TAR FIN'!$A$1:$O$86,15,0)),0,VLOOKUP($U$740,'TAR FIN'!$A$1:$O$86,15,0))</f>
        <v>227.23</v>
      </c>
      <c r="Y740" s="6"/>
      <c r="Z740" s="6">
        <f ca="1">('TUSD BE'!$AM$34+'TUSD BF'!$AM$34+'TUSD CVA'!$AM$34)*(1-CUSTOS!$M$38)</f>
        <v>310.34682484351242</v>
      </c>
      <c r="AA740" s="6">
        <f>('TE BE'!$AB$24+'TE BF'!$AB$24+'TE CVA'!$AB$24)*(1-CUSTOS!$M$38)</f>
        <v>216.7476358676706</v>
      </c>
      <c r="AB740" s="6">
        <f>$K$740*$V$740</f>
        <v>0</v>
      </c>
      <c r="AC740" s="6">
        <f>$M$740*$W$740</f>
        <v>43820.038679999998</v>
      </c>
      <c r="AD740" s="6">
        <f>$O$740*$X$740</f>
        <v>34869.125189999999</v>
      </c>
      <c r="AE740" s="6">
        <f>$K$740*$Y$740</f>
        <v>0</v>
      </c>
      <c r="AF740" s="6">
        <f ca="1">$M$740*$Z$740</f>
        <v>47623.65131271151</v>
      </c>
      <c r="AG740" s="6">
        <f>$O$740*$AA$740</f>
        <v>33260.574966801658</v>
      </c>
    </row>
    <row r="741" spans="1:33" ht="11.25" customHeight="1" x14ac:dyDescent="0.25">
      <c r="A741" s="4" t="s">
        <v>55</v>
      </c>
      <c r="B741" s="4" t="s">
        <v>42</v>
      </c>
      <c r="C741" s="4" t="s">
        <v>23</v>
      </c>
      <c r="D741" s="4" t="s">
        <v>43</v>
      </c>
      <c r="E741" s="4" t="s">
        <v>25</v>
      </c>
      <c r="F741" s="4" t="s">
        <v>25</v>
      </c>
      <c r="G741" s="4" t="s">
        <v>25</v>
      </c>
      <c r="H741" s="4" t="s">
        <v>25</v>
      </c>
      <c r="I741" s="5">
        <v>44470</v>
      </c>
      <c r="J741" s="6">
        <v>0</v>
      </c>
      <c r="K741" s="6">
        <v>0</v>
      </c>
      <c r="L741" s="6">
        <v>-99.662999999999997</v>
      </c>
      <c r="M741" s="6">
        <v>-99.662999999999997</v>
      </c>
      <c r="N741" s="6">
        <v>-99.662999999999997</v>
      </c>
      <c r="O741" s="6">
        <v>-99.662999999999997</v>
      </c>
      <c r="P741" s="6">
        <v>2</v>
      </c>
      <c r="Q741" s="4" t="s">
        <v>26</v>
      </c>
      <c r="R741" s="4">
        <v>0</v>
      </c>
      <c r="S741" s="6">
        <v>0</v>
      </c>
      <c r="T741" s="6">
        <v>30</v>
      </c>
      <c r="U741" s="6">
        <v>70</v>
      </c>
      <c r="V741" s="6">
        <f>IF(ISERROR(VLOOKUP($S$741,'TAR FIN'!$A$1:$O$86,15,0)),0,VLOOKUP($S$741,'TAR FIN'!$A$1:$O$86,15,0))</f>
        <v>0</v>
      </c>
      <c r="W741" s="6">
        <f>IF(ISERROR(VLOOKUP($T$741,'TAR FIN'!$A$1:$O$86,15,0)),0,VLOOKUP($T$741,'TAR FIN'!$A$1:$O$86,15,0))</f>
        <v>285.56</v>
      </c>
      <c r="X741" s="6">
        <f>IF(ISERROR(VLOOKUP($U$741,'TAR FIN'!$A$1:$O$86,15,0)),0,VLOOKUP($U$741,'TAR FIN'!$A$1:$O$86,15,0))</f>
        <v>227.23</v>
      </c>
      <c r="Y741" s="6"/>
      <c r="Z741" s="6">
        <f ca="1">('TUSD BE'!$AM$34+'TUSD BF'!$AM$34+'TUSD CVA'!$AM$34)*(1-CUSTOS!$M$38)</f>
        <v>310.34682484351242</v>
      </c>
      <c r="AA741" s="6">
        <f>('TE BE'!$AB$24+'TE BF'!$AB$24+'TE CVA'!$AB$24)*(1-CUSTOS!$M$38)</f>
        <v>216.7476358676706</v>
      </c>
      <c r="AB741" s="6">
        <f>$K$741*$V$741</f>
        <v>0</v>
      </c>
      <c r="AC741" s="6">
        <f>$M$741*$W$741</f>
        <v>-28459.76628</v>
      </c>
      <c r="AD741" s="6">
        <f>$O$741*$X$741</f>
        <v>-22646.423489999997</v>
      </c>
      <c r="AE741" s="6">
        <f>$K$741*$Y$741</f>
        <v>0</v>
      </c>
      <c r="AF741" s="6">
        <f ca="1">$M$741*$Z$741</f>
        <v>-30930.095604378977</v>
      </c>
      <c r="AG741" s="6">
        <f>$O$741*$AA$741</f>
        <v>-21601.719633479654</v>
      </c>
    </row>
    <row r="742" spans="1:33" ht="11.25" customHeight="1" x14ac:dyDescent="0.25">
      <c r="A742" s="4" t="s">
        <v>21</v>
      </c>
      <c r="B742" s="4" t="s">
        <v>42</v>
      </c>
      <c r="C742" s="4" t="s">
        <v>23</v>
      </c>
      <c r="D742" s="4" t="s">
        <v>43</v>
      </c>
      <c r="E742" s="4" t="s">
        <v>25</v>
      </c>
      <c r="F742" s="4" t="s">
        <v>25</v>
      </c>
      <c r="G742" s="4" t="s">
        <v>25</v>
      </c>
      <c r="H742" s="4" t="s">
        <v>25</v>
      </c>
      <c r="I742" s="5">
        <v>44501</v>
      </c>
      <c r="J742" s="6">
        <v>0</v>
      </c>
      <c r="K742" s="6">
        <v>0</v>
      </c>
      <c r="L742" s="6">
        <v>1486.4380000000001</v>
      </c>
      <c r="M742" s="6">
        <v>1486.4380000000001</v>
      </c>
      <c r="N742" s="6">
        <v>1486.4380000000001</v>
      </c>
      <c r="O742" s="6">
        <v>1486.4380000000001</v>
      </c>
      <c r="P742" s="6">
        <v>3541</v>
      </c>
      <c r="Q742" s="4" t="s">
        <v>26</v>
      </c>
      <c r="R742" s="4">
        <v>0</v>
      </c>
      <c r="S742" s="6">
        <v>0</v>
      </c>
      <c r="T742" s="6">
        <v>30</v>
      </c>
      <c r="U742" s="6">
        <v>70</v>
      </c>
      <c r="V742" s="6">
        <f>IF(ISERROR(VLOOKUP($S$742,'TAR FIN'!$A$1:$O$86,15,0)),0,VLOOKUP($S$742,'TAR FIN'!$A$1:$O$86,15,0))</f>
        <v>0</v>
      </c>
      <c r="W742" s="6">
        <f>IF(ISERROR(VLOOKUP($T$742,'TAR FIN'!$A$1:$O$86,15,0)),0,VLOOKUP($T$742,'TAR FIN'!$A$1:$O$86,15,0))</f>
        <v>285.56</v>
      </c>
      <c r="X742" s="6">
        <f>IF(ISERROR(VLOOKUP($U$742,'TAR FIN'!$A$1:$O$86,15,0)),0,VLOOKUP($U$742,'TAR FIN'!$A$1:$O$86,15,0))</f>
        <v>227.23</v>
      </c>
      <c r="Y742" s="6"/>
      <c r="Z742" s="6">
        <f ca="1">('TUSD BE'!$AM$34+'TUSD BF'!$AM$34+'TUSD CVA'!$AM$34)*(1-CUSTOS!$M$38)</f>
        <v>310.34682484351242</v>
      </c>
      <c r="AA742" s="6">
        <f>('TE BE'!$AB$24+'TE BF'!$AB$24+'TE CVA'!$AB$24)*(1-CUSTOS!$M$38)</f>
        <v>216.7476358676706</v>
      </c>
      <c r="AB742" s="6">
        <f>$K$742*$V$742</f>
        <v>0</v>
      </c>
      <c r="AC742" s="6">
        <f>$M$742*$W$742</f>
        <v>424467.23528000002</v>
      </c>
      <c r="AD742" s="6">
        <f>$O$742*$X$742</f>
        <v>337763.30674000003</v>
      </c>
      <c r="AE742" s="6">
        <f>$K$742*$Y$742</f>
        <v>0</v>
      </c>
      <c r="AF742" s="6">
        <f ca="1">$M$742*$Z$742</f>
        <v>461311.31362674094</v>
      </c>
      <c r="AG742" s="6">
        <f>$O$742*$AA$742</f>
        <v>322181.92236386857</v>
      </c>
    </row>
    <row r="743" spans="1:33" ht="11.25" customHeight="1" x14ac:dyDescent="0.25">
      <c r="A743" s="4" t="s">
        <v>27</v>
      </c>
      <c r="B743" s="4" t="s">
        <v>42</v>
      </c>
      <c r="C743" s="4" t="s">
        <v>23</v>
      </c>
      <c r="D743" s="4" t="s">
        <v>43</v>
      </c>
      <c r="E743" s="4" t="s">
        <v>25</v>
      </c>
      <c r="F743" s="4" t="s">
        <v>25</v>
      </c>
      <c r="G743" s="4" t="s">
        <v>25</v>
      </c>
      <c r="H743" s="4" t="s">
        <v>25</v>
      </c>
      <c r="I743" s="5">
        <v>44501</v>
      </c>
      <c r="J743" s="6">
        <v>0</v>
      </c>
      <c r="K743" s="6">
        <v>0</v>
      </c>
      <c r="L743" s="6">
        <v>-7.9989999999999997</v>
      </c>
      <c r="M743" s="6">
        <v>-7.9989999999999997</v>
      </c>
      <c r="N743" s="6">
        <v>-7.9989999999999997</v>
      </c>
      <c r="O743" s="6">
        <v>-7.9989999999999997</v>
      </c>
      <c r="P743" s="6">
        <v>0</v>
      </c>
      <c r="Q743" s="4" t="s">
        <v>26</v>
      </c>
      <c r="R743" s="4">
        <v>0</v>
      </c>
      <c r="S743" s="6">
        <v>0</v>
      </c>
      <c r="T743" s="6">
        <v>30</v>
      </c>
      <c r="U743" s="6">
        <v>70</v>
      </c>
      <c r="V743" s="6">
        <f>IF(ISERROR(VLOOKUP($S$743,'TAR FIN'!$A$1:$O$86,15,0)),0,VLOOKUP($S$743,'TAR FIN'!$A$1:$O$86,15,0))</f>
        <v>0</v>
      </c>
      <c r="W743" s="6">
        <f>IF(ISERROR(VLOOKUP($T$743,'TAR FIN'!$A$1:$O$86,15,0)),0,VLOOKUP($T$743,'TAR FIN'!$A$1:$O$86,15,0))</f>
        <v>285.56</v>
      </c>
      <c r="X743" s="6">
        <f>IF(ISERROR(VLOOKUP($U$743,'TAR FIN'!$A$1:$O$86,15,0)),0,VLOOKUP($U$743,'TAR FIN'!$A$1:$O$86,15,0))</f>
        <v>227.23</v>
      </c>
      <c r="Y743" s="6"/>
      <c r="Z743" s="6">
        <f ca="1">('TUSD BE'!$AM$34+'TUSD BF'!$AM$34+'TUSD CVA'!$AM$34)*(1-CUSTOS!$M$38)</f>
        <v>310.34682484351242</v>
      </c>
      <c r="AA743" s="6">
        <f>('TE BE'!$AB$24+'TE BF'!$AB$24+'TE CVA'!$AB$24)*(1-CUSTOS!$M$38)</f>
        <v>216.7476358676706</v>
      </c>
      <c r="AB743" s="6">
        <f>$K$743*$V$743</f>
        <v>0</v>
      </c>
      <c r="AC743" s="6">
        <f>$M$743*$W$743</f>
        <v>-2284.1944399999998</v>
      </c>
      <c r="AD743" s="6">
        <f>$O$743*$X$743</f>
        <v>-1817.61277</v>
      </c>
      <c r="AE743" s="6">
        <f>$K$743*$Y$743</f>
        <v>0</v>
      </c>
      <c r="AF743" s="6">
        <f ca="1">$M$743*$Z$743</f>
        <v>-2482.4642519232557</v>
      </c>
      <c r="AG743" s="6">
        <f>$O$743*$AA$743</f>
        <v>-1733.7643393054971</v>
      </c>
    </row>
    <row r="744" spans="1:33" ht="11.25" customHeight="1" x14ac:dyDescent="0.25">
      <c r="A744" s="4" t="s">
        <v>55</v>
      </c>
      <c r="B744" s="4" t="s">
        <v>42</v>
      </c>
      <c r="C744" s="4" t="s">
        <v>23</v>
      </c>
      <c r="D744" s="4" t="s">
        <v>43</v>
      </c>
      <c r="E744" s="4" t="s">
        <v>25</v>
      </c>
      <c r="F744" s="4" t="s">
        <v>25</v>
      </c>
      <c r="G744" s="4" t="s">
        <v>25</v>
      </c>
      <c r="H744" s="4" t="s">
        <v>25</v>
      </c>
      <c r="I744" s="5">
        <v>44501</v>
      </c>
      <c r="J744" s="6">
        <v>0</v>
      </c>
      <c r="K744" s="6">
        <v>0</v>
      </c>
      <c r="L744" s="6">
        <v>48.371000000000002</v>
      </c>
      <c r="M744" s="6">
        <v>48.371000000000002</v>
      </c>
      <c r="N744" s="6">
        <v>48.371000000000002</v>
      </c>
      <c r="O744" s="6">
        <v>48.371000000000002</v>
      </c>
      <c r="P744" s="6">
        <v>175</v>
      </c>
      <c r="Q744" s="4" t="s">
        <v>26</v>
      </c>
      <c r="R744" s="4">
        <v>0</v>
      </c>
      <c r="S744" s="6">
        <v>0</v>
      </c>
      <c r="T744" s="6">
        <v>30</v>
      </c>
      <c r="U744" s="6">
        <v>70</v>
      </c>
      <c r="V744" s="6">
        <f>IF(ISERROR(VLOOKUP($S$744,'TAR FIN'!$A$1:$O$86,15,0)),0,VLOOKUP($S$744,'TAR FIN'!$A$1:$O$86,15,0))</f>
        <v>0</v>
      </c>
      <c r="W744" s="6">
        <f>IF(ISERROR(VLOOKUP($T$744,'TAR FIN'!$A$1:$O$86,15,0)),0,VLOOKUP($T$744,'TAR FIN'!$A$1:$O$86,15,0))</f>
        <v>285.56</v>
      </c>
      <c r="X744" s="6">
        <f>IF(ISERROR(VLOOKUP($U$744,'TAR FIN'!$A$1:$O$86,15,0)),0,VLOOKUP($U$744,'TAR FIN'!$A$1:$O$86,15,0))</f>
        <v>227.23</v>
      </c>
      <c r="Y744" s="6"/>
      <c r="Z744" s="6">
        <f ca="1">('TUSD BE'!$AM$34+'TUSD BF'!$AM$34+'TUSD CVA'!$AM$34)*(1-CUSTOS!$M$38)</f>
        <v>310.34682484351242</v>
      </c>
      <c r="AA744" s="6">
        <f>('TE BE'!$AB$24+'TE BF'!$AB$24+'TE CVA'!$AB$24)*(1-CUSTOS!$M$38)</f>
        <v>216.7476358676706</v>
      </c>
      <c r="AB744" s="6">
        <f>$K$744*$V$744</f>
        <v>0</v>
      </c>
      <c r="AC744" s="6">
        <f>$M$744*$W$744</f>
        <v>13812.822760000001</v>
      </c>
      <c r="AD744" s="6">
        <f>$O$744*$X$744</f>
        <v>10991.342329999999</v>
      </c>
      <c r="AE744" s="6">
        <f>$K$744*$Y$744</f>
        <v>0</v>
      </c>
      <c r="AF744" s="6">
        <f ca="1">$M$744*$Z$744</f>
        <v>15011.786264505539</v>
      </c>
      <c r="AG744" s="6">
        <f>$O$744*$AA$744</f>
        <v>10484.299894555095</v>
      </c>
    </row>
    <row r="745" spans="1:33" ht="11.25" customHeight="1" x14ac:dyDescent="0.25">
      <c r="A745" s="4" t="s">
        <v>55</v>
      </c>
      <c r="B745" s="4" t="s">
        <v>42</v>
      </c>
      <c r="C745" s="4" t="s">
        <v>23</v>
      </c>
      <c r="D745" s="4" t="s">
        <v>43</v>
      </c>
      <c r="E745" s="4" t="s">
        <v>25</v>
      </c>
      <c r="F745" s="4" t="s">
        <v>25</v>
      </c>
      <c r="G745" s="4" t="s">
        <v>25</v>
      </c>
      <c r="H745" s="4" t="s">
        <v>25</v>
      </c>
      <c r="I745" s="5">
        <v>44501</v>
      </c>
      <c r="J745" s="6">
        <v>0</v>
      </c>
      <c r="K745" s="6">
        <v>0</v>
      </c>
      <c r="L745" s="6">
        <v>-0.42099999999999999</v>
      </c>
      <c r="M745" s="6">
        <v>-0.42099999999999999</v>
      </c>
      <c r="N745" s="6">
        <v>-0.42099999999999999</v>
      </c>
      <c r="O745" s="6">
        <v>-0.42099999999999999</v>
      </c>
      <c r="P745" s="6">
        <v>3</v>
      </c>
      <c r="Q745" s="4" t="s">
        <v>26</v>
      </c>
      <c r="R745" s="4">
        <v>0</v>
      </c>
      <c r="S745" s="6">
        <v>0</v>
      </c>
      <c r="T745" s="6">
        <v>30</v>
      </c>
      <c r="U745" s="6">
        <v>70</v>
      </c>
      <c r="V745" s="6">
        <f>IF(ISERROR(VLOOKUP($S$745,'TAR FIN'!$A$1:$O$86,15,0)),0,VLOOKUP($S$745,'TAR FIN'!$A$1:$O$86,15,0))</f>
        <v>0</v>
      </c>
      <c r="W745" s="6">
        <f>IF(ISERROR(VLOOKUP($T$745,'TAR FIN'!$A$1:$O$86,15,0)),0,VLOOKUP($T$745,'TAR FIN'!$A$1:$O$86,15,0))</f>
        <v>285.56</v>
      </c>
      <c r="X745" s="6">
        <f>IF(ISERROR(VLOOKUP($U$745,'TAR FIN'!$A$1:$O$86,15,0)),0,VLOOKUP($U$745,'TAR FIN'!$A$1:$O$86,15,0))</f>
        <v>227.23</v>
      </c>
      <c r="Y745" s="6"/>
      <c r="Z745" s="6">
        <f ca="1">('TUSD BE'!$AM$34+'TUSD BF'!$AM$34+'TUSD CVA'!$AM$34)*(1-CUSTOS!$M$38)</f>
        <v>310.34682484351242</v>
      </c>
      <c r="AA745" s="6">
        <f>('TE BE'!$AB$24+'TE BF'!$AB$24+'TE CVA'!$AB$24)*(1-CUSTOS!$M$38)</f>
        <v>216.7476358676706</v>
      </c>
      <c r="AB745" s="6">
        <f>$K$745*$V$745</f>
        <v>0</v>
      </c>
      <c r="AC745" s="6">
        <f>$M$745*$W$745</f>
        <v>-120.22076</v>
      </c>
      <c r="AD745" s="6">
        <f>$O$745*$X$745</f>
        <v>-95.66382999999999</v>
      </c>
      <c r="AE745" s="6">
        <f>$K$745*$Y$745</f>
        <v>0</v>
      </c>
      <c r="AF745" s="6">
        <f ca="1">$M$745*$Z$745</f>
        <v>-130.65601325911874</v>
      </c>
      <c r="AG745" s="6">
        <f>$O$745*$AA$745</f>
        <v>-91.25075470028932</v>
      </c>
    </row>
    <row r="746" spans="1:33" ht="11.25" customHeight="1" x14ac:dyDescent="0.25">
      <c r="A746" s="4" t="s">
        <v>21</v>
      </c>
      <c r="B746" s="4" t="s">
        <v>42</v>
      </c>
      <c r="C746" s="4" t="s">
        <v>23</v>
      </c>
      <c r="D746" s="4" t="s">
        <v>43</v>
      </c>
      <c r="E746" s="4" t="s">
        <v>25</v>
      </c>
      <c r="F746" s="4" t="s">
        <v>25</v>
      </c>
      <c r="G746" s="4" t="s">
        <v>25</v>
      </c>
      <c r="H746" s="4" t="s">
        <v>25</v>
      </c>
      <c r="I746" s="5">
        <v>44531</v>
      </c>
      <c r="J746" s="6">
        <v>0</v>
      </c>
      <c r="K746" s="6">
        <v>0</v>
      </c>
      <c r="L746" s="6">
        <v>1485.425</v>
      </c>
      <c r="M746" s="6">
        <v>1485.425</v>
      </c>
      <c r="N746" s="6">
        <v>1485.425</v>
      </c>
      <c r="O746" s="6">
        <v>1485.425</v>
      </c>
      <c r="P746" s="6">
        <v>3487</v>
      </c>
      <c r="Q746" s="4" t="s">
        <v>26</v>
      </c>
      <c r="R746" s="4">
        <v>0</v>
      </c>
      <c r="S746" s="6">
        <v>0</v>
      </c>
      <c r="T746" s="6">
        <v>30</v>
      </c>
      <c r="U746" s="6">
        <v>70</v>
      </c>
      <c r="V746" s="6">
        <f>IF(ISERROR(VLOOKUP($S$746,'TAR FIN'!$A$1:$O$86,15,0)),0,VLOOKUP($S$746,'TAR FIN'!$A$1:$O$86,15,0))</f>
        <v>0</v>
      </c>
      <c r="W746" s="6">
        <f>IF(ISERROR(VLOOKUP($T$746,'TAR FIN'!$A$1:$O$86,15,0)),0,VLOOKUP($T$746,'TAR FIN'!$A$1:$O$86,15,0))</f>
        <v>285.56</v>
      </c>
      <c r="X746" s="6">
        <f>IF(ISERROR(VLOOKUP($U$746,'TAR FIN'!$A$1:$O$86,15,0)),0,VLOOKUP($U$746,'TAR FIN'!$A$1:$O$86,15,0))</f>
        <v>227.23</v>
      </c>
      <c r="Y746" s="6"/>
      <c r="Z746" s="6">
        <f ca="1">('TUSD BE'!$AM$34+'TUSD BF'!$AM$34+'TUSD CVA'!$AM$34)*(1-CUSTOS!$M$38)</f>
        <v>310.34682484351242</v>
      </c>
      <c r="AA746" s="6">
        <f>('TE BE'!$AB$24+'TE BF'!$AB$24+'TE CVA'!$AB$24)*(1-CUSTOS!$M$38)</f>
        <v>216.7476358676706</v>
      </c>
      <c r="AB746" s="6">
        <f>$K$746*$V$746</f>
        <v>0</v>
      </c>
      <c r="AC746" s="6">
        <f>$M$746*$W$746</f>
        <v>424177.96299999999</v>
      </c>
      <c r="AD746" s="6">
        <f>$O$746*$X$746</f>
        <v>337533.12274999998</v>
      </c>
      <c r="AE746" s="6">
        <f>$K$746*$Y$746</f>
        <v>0</v>
      </c>
      <c r="AF746" s="6">
        <f ca="1">$M$746*$Z$746</f>
        <v>460996.93229317444</v>
      </c>
      <c r="AG746" s="6">
        <f>$O$746*$AA$746</f>
        <v>321962.3570087346</v>
      </c>
    </row>
    <row r="747" spans="1:33" ht="11.25" customHeight="1" x14ac:dyDescent="0.25">
      <c r="A747" s="4" t="s">
        <v>27</v>
      </c>
      <c r="B747" s="4" t="s">
        <v>42</v>
      </c>
      <c r="C747" s="4" t="s">
        <v>23</v>
      </c>
      <c r="D747" s="4" t="s">
        <v>43</v>
      </c>
      <c r="E747" s="4" t="s">
        <v>25</v>
      </c>
      <c r="F747" s="4" t="s">
        <v>25</v>
      </c>
      <c r="G747" s="4" t="s">
        <v>25</v>
      </c>
      <c r="H747" s="4" t="s">
        <v>25</v>
      </c>
      <c r="I747" s="5">
        <v>44531</v>
      </c>
      <c r="J747" s="6">
        <v>0</v>
      </c>
      <c r="K747" s="6">
        <v>0</v>
      </c>
      <c r="L747" s="6">
        <v>-4.8369999999999997</v>
      </c>
      <c r="M747" s="6">
        <v>-4.8369999999999997</v>
      </c>
      <c r="N747" s="6">
        <v>-4.8369999999999997</v>
      </c>
      <c r="O747" s="6">
        <v>-4.8369999999999997</v>
      </c>
      <c r="P747" s="6">
        <v>0</v>
      </c>
      <c r="Q747" s="4" t="s">
        <v>26</v>
      </c>
      <c r="R747" s="4">
        <v>0</v>
      </c>
      <c r="S747" s="6">
        <v>0</v>
      </c>
      <c r="T747" s="6">
        <v>30</v>
      </c>
      <c r="U747" s="6">
        <v>70</v>
      </c>
      <c r="V747" s="6">
        <f>IF(ISERROR(VLOOKUP($S$747,'TAR FIN'!$A$1:$O$86,15,0)),0,VLOOKUP($S$747,'TAR FIN'!$A$1:$O$86,15,0))</f>
        <v>0</v>
      </c>
      <c r="W747" s="6">
        <f>IF(ISERROR(VLOOKUP($T$747,'TAR FIN'!$A$1:$O$86,15,0)),0,VLOOKUP($T$747,'TAR FIN'!$A$1:$O$86,15,0))</f>
        <v>285.56</v>
      </c>
      <c r="X747" s="6">
        <f>IF(ISERROR(VLOOKUP($U$747,'TAR FIN'!$A$1:$O$86,15,0)),0,VLOOKUP($U$747,'TAR FIN'!$A$1:$O$86,15,0))</f>
        <v>227.23</v>
      </c>
      <c r="Y747" s="6"/>
      <c r="Z747" s="6">
        <f ca="1">('TUSD BE'!$AM$34+'TUSD BF'!$AM$34+'TUSD CVA'!$AM$34)*(1-CUSTOS!$M$38)</f>
        <v>310.34682484351242</v>
      </c>
      <c r="AA747" s="6">
        <f>('TE BE'!$AB$24+'TE BF'!$AB$24+'TE CVA'!$AB$24)*(1-CUSTOS!$M$38)</f>
        <v>216.7476358676706</v>
      </c>
      <c r="AB747" s="6">
        <f>$K$747*$V$747</f>
        <v>0</v>
      </c>
      <c r="AC747" s="6">
        <f>$M$747*$W$747</f>
        <v>-1381.2537199999999</v>
      </c>
      <c r="AD747" s="6">
        <f>$O$747*$X$747</f>
        <v>-1099.11151</v>
      </c>
      <c r="AE747" s="6">
        <f>$K$747*$Y$747</f>
        <v>0</v>
      </c>
      <c r="AF747" s="6">
        <f ca="1">$M$747*$Z$747</f>
        <v>-1501.1475917680696</v>
      </c>
      <c r="AG747" s="6">
        <f>$O$747*$AA$747</f>
        <v>-1048.4083146919227</v>
      </c>
    </row>
    <row r="748" spans="1:33" ht="11.25" customHeight="1" x14ac:dyDescent="0.25">
      <c r="A748" s="4" t="s">
        <v>55</v>
      </c>
      <c r="B748" s="4" t="s">
        <v>42</v>
      </c>
      <c r="C748" s="4" t="s">
        <v>23</v>
      </c>
      <c r="D748" s="4" t="s">
        <v>43</v>
      </c>
      <c r="E748" s="4" t="s">
        <v>25</v>
      </c>
      <c r="F748" s="4" t="s">
        <v>25</v>
      </c>
      <c r="G748" s="4" t="s">
        <v>25</v>
      </c>
      <c r="H748" s="4" t="s">
        <v>25</v>
      </c>
      <c r="I748" s="5">
        <v>44531</v>
      </c>
      <c r="J748" s="6">
        <v>0</v>
      </c>
      <c r="K748" s="6">
        <v>0</v>
      </c>
      <c r="L748" s="6">
        <v>54.66</v>
      </c>
      <c r="M748" s="6">
        <v>54.66</v>
      </c>
      <c r="N748" s="6">
        <v>54.66</v>
      </c>
      <c r="O748" s="6">
        <v>54.66</v>
      </c>
      <c r="P748" s="6">
        <v>202</v>
      </c>
      <c r="Q748" s="4" t="s">
        <v>26</v>
      </c>
      <c r="R748" s="4">
        <v>0</v>
      </c>
      <c r="S748" s="6">
        <v>0</v>
      </c>
      <c r="T748" s="6">
        <v>30</v>
      </c>
      <c r="U748" s="6">
        <v>70</v>
      </c>
      <c r="V748" s="6">
        <f>IF(ISERROR(VLOOKUP($S$748,'TAR FIN'!$A$1:$O$86,15,0)),0,VLOOKUP($S$748,'TAR FIN'!$A$1:$O$86,15,0))</f>
        <v>0</v>
      </c>
      <c r="W748" s="6">
        <f>IF(ISERROR(VLOOKUP($T$748,'TAR FIN'!$A$1:$O$86,15,0)),0,VLOOKUP($T$748,'TAR FIN'!$A$1:$O$86,15,0))</f>
        <v>285.56</v>
      </c>
      <c r="X748" s="6">
        <f>IF(ISERROR(VLOOKUP($U$748,'TAR FIN'!$A$1:$O$86,15,0)),0,VLOOKUP($U$748,'TAR FIN'!$A$1:$O$86,15,0))</f>
        <v>227.23</v>
      </c>
      <c r="Y748" s="6"/>
      <c r="Z748" s="6">
        <f ca="1">('TUSD BE'!$AM$34+'TUSD BF'!$AM$34+'TUSD CVA'!$AM$34)*(1-CUSTOS!$M$38)</f>
        <v>310.34682484351242</v>
      </c>
      <c r="AA748" s="6">
        <f>('TE BE'!$AB$24+'TE BF'!$AB$24+'TE CVA'!$AB$24)*(1-CUSTOS!$M$38)</f>
        <v>216.7476358676706</v>
      </c>
      <c r="AB748" s="6">
        <f>$K$748*$V$748</f>
        <v>0</v>
      </c>
      <c r="AC748" s="6">
        <f>$M$748*$W$748</f>
        <v>15608.709599999998</v>
      </c>
      <c r="AD748" s="6">
        <f>$O$748*$X$748</f>
        <v>12420.391799999999</v>
      </c>
      <c r="AE748" s="6">
        <f>$K$748*$Y$748</f>
        <v>0</v>
      </c>
      <c r="AF748" s="6">
        <f ca="1">$M$748*$Z$748</f>
        <v>16963.55744594639</v>
      </c>
      <c r="AG748" s="6">
        <f>$O$748*$AA$748</f>
        <v>11847.425776526874</v>
      </c>
    </row>
    <row r="749" spans="1:33" ht="11.25" customHeight="1" x14ac:dyDescent="0.25">
      <c r="A749" s="4" t="s">
        <v>55</v>
      </c>
      <c r="B749" s="4" t="s">
        <v>42</v>
      </c>
      <c r="C749" s="4" t="s">
        <v>23</v>
      </c>
      <c r="D749" s="4" t="s">
        <v>43</v>
      </c>
      <c r="E749" s="4" t="s">
        <v>25</v>
      </c>
      <c r="F749" s="4" t="s">
        <v>25</v>
      </c>
      <c r="G749" s="4" t="s">
        <v>25</v>
      </c>
      <c r="H749" s="4" t="s">
        <v>25</v>
      </c>
      <c r="I749" s="5">
        <v>44531</v>
      </c>
      <c r="J749" s="6">
        <v>0</v>
      </c>
      <c r="K749" s="6">
        <v>0</v>
      </c>
      <c r="L749" s="6">
        <v>-3.8969999999999998</v>
      </c>
      <c r="M749" s="6">
        <v>-3.8969999999999998</v>
      </c>
      <c r="N749" s="6">
        <v>-3.8969999999999998</v>
      </c>
      <c r="O749" s="6">
        <v>-3.8969999999999998</v>
      </c>
      <c r="P749" s="6">
        <v>3</v>
      </c>
      <c r="Q749" s="4" t="s">
        <v>26</v>
      </c>
      <c r="R749" s="4">
        <v>0</v>
      </c>
      <c r="S749" s="6">
        <v>0</v>
      </c>
      <c r="T749" s="6">
        <v>30</v>
      </c>
      <c r="U749" s="6">
        <v>70</v>
      </c>
      <c r="V749" s="6">
        <f>IF(ISERROR(VLOOKUP($S$749,'TAR FIN'!$A$1:$O$86,15,0)),0,VLOOKUP($S$749,'TAR FIN'!$A$1:$O$86,15,0))</f>
        <v>0</v>
      </c>
      <c r="W749" s="6">
        <f>IF(ISERROR(VLOOKUP($T$749,'TAR FIN'!$A$1:$O$86,15,0)),0,VLOOKUP($T$749,'TAR FIN'!$A$1:$O$86,15,0))</f>
        <v>285.56</v>
      </c>
      <c r="X749" s="6">
        <f>IF(ISERROR(VLOOKUP($U$749,'TAR FIN'!$A$1:$O$86,15,0)),0,VLOOKUP($U$749,'TAR FIN'!$A$1:$O$86,15,0))</f>
        <v>227.23</v>
      </c>
      <c r="Y749" s="6"/>
      <c r="Z749" s="6">
        <f ca="1">('TUSD BE'!$AM$34+'TUSD BF'!$AM$34+'TUSD CVA'!$AM$34)*(1-CUSTOS!$M$38)</f>
        <v>310.34682484351242</v>
      </c>
      <c r="AA749" s="6">
        <f>('TE BE'!$AB$24+'TE BF'!$AB$24+'TE CVA'!$AB$24)*(1-CUSTOS!$M$38)</f>
        <v>216.7476358676706</v>
      </c>
      <c r="AB749" s="6">
        <f>$K$749*$V$749</f>
        <v>0</v>
      </c>
      <c r="AC749" s="6">
        <f>$M$749*$W$749</f>
        <v>-1112.8273199999999</v>
      </c>
      <c r="AD749" s="6">
        <f>$O$749*$X$749</f>
        <v>-885.51530999999989</v>
      </c>
      <c r="AE749" s="6">
        <f>$K$749*$Y$749</f>
        <v>0</v>
      </c>
      <c r="AF749" s="6">
        <f ca="1">$M$749*$Z$749</f>
        <v>-1209.4215764151679</v>
      </c>
      <c r="AG749" s="6">
        <f>$O$749*$AA$749</f>
        <v>-844.6655369763123</v>
      </c>
    </row>
    <row r="750" spans="1:33" ht="11.25" customHeight="1" x14ac:dyDescent="0.25">
      <c r="A750" s="4" t="s">
        <v>21</v>
      </c>
      <c r="B750" s="4" t="s">
        <v>42</v>
      </c>
      <c r="C750" s="4" t="s">
        <v>23</v>
      </c>
      <c r="D750" s="4" t="s">
        <v>43</v>
      </c>
      <c r="E750" s="4" t="s">
        <v>25</v>
      </c>
      <c r="F750" s="4" t="s">
        <v>25</v>
      </c>
      <c r="G750" s="4" t="s">
        <v>25</v>
      </c>
      <c r="H750" s="4" t="s">
        <v>25</v>
      </c>
      <c r="I750" s="5">
        <v>44562</v>
      </c>
      <c r="J750" s="6">
        <v>0</v>
      </c>
      <c r="K750" s="6">
        <v>0</v>
      </c>
      <c r="L750" s="6">
        <v>1602.441</v>
      </c>
      <c r="M750" s="6">
        <v>1602.441</v>
      </c>
      <c r="N750" s="6">
        <v>1602.441</v>
      </c>
      <c r="O750" s="6">
        <v>1602.441</v>
      </c>
      <c r="P750" s="6">
        <v>3483</v>
      </c>
      <c r="Q750" s="4" t="s">
        <v>26</v>
      </c>
      <c r="R750" s="4">
        <v>0</v>
      </c>
      <c r="S750" s="6">
        <v>0</v>
      </c>
      <c r="T750" s="6">
        <v>30</v>
      </c>
      <c r="U750" s="6">
        <v>70</v>
      </c>
      <c r="V750" s="6">
        <f>IF(ISERROR(VLOOKUP($S$750,'TAR FIN'!$A$1:$O$86,15,0)),0,VLOOKUP($S$750,'TAR FIN'!$A$1:$O$86,15,0))</f>
        <v>0</v>
      </c>
      <c r="W750" s="6">
        <f>IF(ISERROR(VLOOKUP($T$750,'TAR FIN'!$A$1:$O$86,15,0)),0,VLOOKUP($T$750,'TAR FIN'!$A$1:$O$86,15,0))</f>
        <v>285.56</v>
      </c>
      <c r="X750" s="6">
        <f>IF(ISERROR(VLOOKUP($U$750,'TAR FIN'!$A$1:$O$86,15,0)),0,VLOOKUP($U$750,'TAR FIN'!$A$1:$O$86,15,0))</f>
        <v>227.23</v>
      </c>
      <c r="Y750" s="6"/>
      <c r="Z750" s="6">
        <f ca="1">('TUSD BE'!$AM$34+'TUSD BF'!$AM$34+'TUSD CVA'!$AM$34)*(1-CUSTOS!$M$38)</f>
        <v>310.34682484351242</v>
      </c>
      <c r="AA750" s="6">
        <f>('TE BE'!$AB$24+'TE BF'!$AB$24+'TE CVA'!$AB$24)*(1-CUSTOS!$M$38)</f>
        <v>216.7476358676706</v>
      </c>
      <c r="AB750" s="6">
        <f>$K$750*$V$750</f>
        <v>0</v>
      </c>
      <c r="AC750" s="6">
        <f>$M$750*$W$750</f>
        <v>457593.05196000001</v>
      </c>
      <c r="AD750" s="6">
        <f>$O$750*$X$750</f>
        <v>364122.66842999996</v>
      </c>
      <c r="AE750" s="6">
        <f>$K$750*$Y$750</f>
        <v>0</v>
      </c>
      <c r="AF750" s="6">
        <f ca="1">$M$750*$Z$750</f>
        <v>497312.47634906293</v>
      </c>
      <c r="AG750" s="6">
        <f>$O$750*$AA$750</f>
        <v>347325.29836742592</v>
      </c>
    </row>
    <row r="751" spans="1:33" ht="11.25" customHeight="1" x14ac:dyDescent="0.25">
      <c r="A751" s="4" t="s">
        <v>27</v>
      </c>
      <c r="B751" s="4" t="s">
        <v>42</v>
      </c>
      <c r="C751" s="4" t="s">
        <v>23</v>
      </c>
      <c r="D751" s="4" t="s">
        <v>43</v>
      </c>
      <c r="E751" s="4" t="s">
        <v>25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-60.328000000000003</v>
      </c>
      <c r="M751" s="6">
        <v>-60.328000000000003</v>
      </c>
      <c r="N751" s="6">
        <v>-60.328000000000003</v>
      </c>
      <c r="O751" s="6">
        <v>-60.328000000000003</v>
      </c>
      <c r="P751" s="6">
        <v>0</v>
      </c>
      <c r="Q751" s="4" t="s">
        <v>26</v>
      </c>
      <c r="R751" s="4">
        <v>0</v>
      </c>
      <c r="S751" s="6">
        <v>0</v>
      </c>
      <c r="T751" s="6">
        <v>30</v>
      </c>
      <c r="U751" s="6">
        <v>70</v>
      </c>
      <c r="V751" s="6">
        <f>IF(ISERROR(VLOOKUP($S$751,'TAR FIN'!$A$1:$O$86,15,0)),0,VLOOKUP($S$751,'TAR FIN'!$A$1:$O$86,15,0))</f>
        <v>0</v>
      </c>
      <c r="W751" s="6">
        <f>IF(ISERROR(VLOOKUP($T$751,'TAR FIN'!$A$1:$O$86,15,0)),0,VLOOKUP($T$751,'TAR FIN'!$A$1:$O$86,15,0))</f>
        <v>285.56</v>
      </c>
      <c r="X751" s="6">
        <f>IF(ISERROR(VLOOKUP($U$751,'TAR FIN'!$A$1:$O$86,15,0)),0,VLOOKUP($U$751,'TAR FIN'!$A$1:$O$86,15,0))</f>
        <v>227.23</v>
      </c>
      <c r="Y751" s="6"/>
      <c r="Z751" s="6">
        <f ca="1">('TUSD BE'!$AM$34+'TUSD BF'!$AM$34+'TUSD CVA'!$AM$34)*(1-CUSTOS!$M$38)</f>
        <v>310.34682484351242</v>
      </c>
      <c r="AA751" s="6">
        <f>('TE BE'!$AB$24+'TE BF'!$AB$24+'TE CVA'!$AB$24)*(1-CUSTOS!$M$38)</f>
        <v>216.7476358676706</v>
      </c>
      <c r="AB751" s="6">
        <f>$K$751*$V$751</f>
        <v>0</v>
      </c>
      <c r="AC751" s="6">
        <f>$M$751*$W$751</f>
        <v>-17227.26368</v>
      </c>
      <c r="AD751" s="6">
        <f>$O$751*$X$751</f>
        <v>-13708.33144</v>
      </c>
      <c r="AE751" s="6">
        <f>$K$751*$Y$751</f>
        <v>0</v>
      </c>
      <c r="AF751" s="6">
        <f ca="1">$M$751*$Z$751</f>
        <v>-18722.60324915942</v>
      </c>
      <c r="AG751" s="6">
        <f>$O$751*$AA$751</f>
        <v>-13075.951376624833</v>
      </c>
    </row>
    <row r="752" spans="1:33" ht="11.25" customHeight="1" x14ac:dyDescent="0.25">
      <c r="A752" s="4" t="s">
        <v>55</v>
      </c>
      <c r="B752" s="4" t="s">
        <v>42</v>
      </c>
      <c r="C752" s="4" t="s">
        <v>23</v>
      </c>
      <c r="D752" s="4" t="s">
        <v>43</v>
      </c>
      <c r="E752" s="4" t="s">
        <v>25</v>
      </c>
      <c r="F752" s="4" t="s">
        <v>25</v>
      </c>
      <c r="G752" s="4" t="s">
        <v>25</v>
      </c>
      <c r="H752" s="4" t="s">
        <v>25</v>
      </c>
      <c r="I752" s="5">
        <v>44562</v>
      </c>
      <c r="J752" s="6">
        <v>0</v>
      </c>
      <c r="K752" s="6">
        <v>0</v>
      </c>
      <c r="L752" s="6">
        <v>48.277000000000001</v>
      </c>
      <c r="M752" s="6">
        <v>48.277000000000001</v>
      </c>
      <c r="N752" s="6">
        <v>48.277000000000001</v>
      </c>
      <c r="O752" s="6">
        <v>48.277000000000001</v>
      </c>
      <c r="P752" s="6">
        <v>205</v>
      </c>
      <c r="Q752" s="4" t="s">
        <v>26</v>
      </c>
      <c r="R752" s="4">
        <v>0</v>
      </c>
      <c r="S752" s="6">
        <v>0</v>
      </c>
      <c r="T752" s="6">
        <v>30</v>
      </c>
      <c r="U752" s="6">
        <v>70</v>
      </c>
      <c r="V752" s="6">
        <f>IF(ISERROR(VLOOKUP($S$752,'TAR FIN'!$A$1:$O$86,15,0)),0,VLOOKUP($S$752,'TAR FIN'!$A$1:$O$86,15,0))</f>
        <v>0</v>
      </c>
      <c r="W752" s="6">
        <f>IF(ISERROR(VLOOKUP($T$752,'TAR FIN'!$A$1:$O$86,15,0)),0,VLOOKUP($T$752,'TAR FIN'!$A$1:$O$86,15,0))</f>
        <v>285.56</v>
      </c>
      <c r="X752" s="6">
        <f>IF(ISERROR(VLOOKUP($U$752,'TAR FIN'!$A$1:$O$86,15,0)),0,VLOOKUP($U$752,'TAR FIN'!$A$1:$O$86,15,0))</f>
        <v>227.23</v>
      </c>
      <c r="Y752" s="6"/>
      <c r="Z752" s="6">
        <f ca="1">('TUSD BE'!$AM$34+'TUSD BF'!$AM$34+'TUSD CVA'!$AM$34)*(1-CUSTOS!$M$38)</f>
        <v>310.34682484351242</v>
      </c>
      <c r="AA752" s="6">
        <f>('TE BE'!$AB$24+'TE BF'!$AB$24+'TE CVA'!$AB$24)*(1-CUSTOS!$M$38)</f>
        <v>216.7476358676706</v>
      </c>
      <c r="AB752" s="6">
        <f>$K$752*$V$752</f>
        <v>0</v>
      </c>
      <c r="AC752" s="6">
        <f>$M$752*$W$752</f>
        <v>13785.98012</v>
      </c>
      <c r="AD752" s="6">
        <f>$O$752*$X$752</f>
        <v>10969.98271</v>
      </c>
      <c r="AE752" s="6">
        <f>$K$752*$Y$752</f>
        <v>0</v>
      </c>
      <c r="AF752" s="6">
        <f ca="1">$M$752*$Z$752</f>
        <v>14982.613662970249</v>
      </c>
      <c r="AG752" s="6">
        <f>$O$752*$AA$752</f>
        <v>10463.925616783534</v>
      </c>
    </row>
    <row r="753" spans="1:33" ht="11.25" customHeight="1" x14ac:dyDescent="0.25">
      <c r="A753" s="4" t="s">
        <v>21</v>
      </c>
      <c r="B753" s="4" t="s">
        <v>42</v>
      </c>
      <c r="C753" s="4" t="s">
        <v>23</v>
      </c>
      <c r="D753" s="4" t="s">
        <v>43</v>
      </c>
      <c r="E753" s="4" t="s">
        <v>25</v>
      </c>
      <c r="F753" s="4" t="s">
        <v>25</v>
      </c>
      <c r="G753" s="4" t="s">
        <v>25</v>
      </c>
      <c r="H753" s="4" t="s">
        <v>25</v>
      </c>
      <c r="I753" s="5">
        <v>44593</v>
      </c>
      <c r="J753" s="6">
        <v>0</v>
      </c>
      <c r="K753" s="6">
        <v>0</v>
      </c>
      <c r="L753" s="6">
        <v>1841.87</v>
      </c>
      <c r="M753" s="6">
        <v>1841.87</v>
      </c>
      <c r="N753" s="6">
        <v>1841.87</v>
      </c>
      <c r="O753" s="6">
        <v>1841.87</v>
      </c>
      <c r="P753" s="6">
        <v>3436</v>
      </c>
      <c r="Q753" s="4" t="s">
        <v>26</v>
      </c>
      <c r="R753" s="4">
        <v>0</v>
      </c>
      <c r="S753" s="6">
        <v>0</v>
      </c>
      <c r="T753" s="6">
        <v>30</v>
      </c>
      <c r="U753" s="6">
        <v>70</v>
      </c>
      <c r="V753" s="6">
        <f>IF(ISERROR(VLOOKUP($S$753,'TAR FIN'!$A$1:$O$86,15,0)),0,VLOOKUP($S$753,'TAR FIN'!$A$1:$O$86,15,0))</f>
        <v>0</v>
      </c>
      <c r="W753" s="6">
        <f>IF(ISERROR(VLOOKUP($T$753,'TAR FIN'!$A$1:$O$86,15,0)),0,VLOOKUP($T$753,'TAR FIN'!$A$1:$O$86,15,0))</f>
        <v>285.56</v>
      </c>
      <c r="X753" s="6">
        <f>IF(ISERROR(VLOOKUP($U$753,'TAR FIN'!$A$1:$O$86,15,0)),0,VLOOKUP($U$753,'TAR FIN'!$A$1:$O$86,15,0))</f>
        <v>227.23</v>
      </c>
      <c r="Y753" s="6"/>
      <c r="Z753" s="6">
        <f ca="1">('TUSD BE'!$AM$34+'TUSD BF'!$AM$34+'TUSD CVA'!$AM$34)*(1-CUSTOS!$M$38)</f>
        <v>310.34682484351242</v>
      </c>
      <c r="AA753" s="6">
        <f>('TE BE'!$AB$24+'TE BF'!$AB$24+'TE CVA'!$AB$24)*(1-CUSTOS!$M$38)</f>
        <v>216.7476358676706</v>
      </c>
      <c r="AB753" s="6">
        <f>$K$753*$V$753</f>
        <v>0</v>
      </c>
      <c r="AC753" s="6">
        <f>$M$753*$W$753</f>
        <v>525964.39720000001</v>
      </c>
      <c r="AD753" s="6">
        <f>$O$753*$X$753</f>
        <v>418528.12009999994</v>
      </c>
      <c r="AE753" s="6">
        <f>$K$753*$Y$753</f>
        <v>0</v>
      </c>
      <c r="AF753" s="6">
        <f ca="1">$M$753*$Z$753</f>
        <v>571618.50627452019</v>
      </c>
      <c r="AG753" s="6">
        <f>$O$753*$AA$753</f>
        <v>399220.96807558642</v>
      </c>
    </row>
    <row r="754" spans="1:33" ht="11.25" customHeight="1" x14ac:dyDescent="0.25">
      <c r="A754" s="4" t="s">
        <v>27</v>
      </c>
      <c r="B754" s="4" t="s">
        <v>42</v>
      </c>
      <c r="C754" s="4" t="s">
        <v>23</v>
      </c>
      <c r="D754" s="4" t="s">
        <v>43</v>
      </c>
      <c r="E754" s="4" t="s">
        <v>25</v>
      </c>
      <c r="F754" s="4" t="s">
        <v>25</v>
      </c>
      <c r="G754" s="4" t="s">
        <v>25</v>
      </c>
      <c r="H754" s="4" t="s">
        <v>25</v>
      </c>
      <c r="I754" s="5">
        <v>44593</v>
      </c>
      <c r="J754" s="6">
        <v>0</v>
      </c>
      <c r="K754" s="6">
        <v>0</v>
      </c>
      <c r="L754" s="6">
        <v>-1.823</v>
      </c>
      <c r="M754" s="6">
        <v>-1.823</v>
      </c>
      <c r="N754" s="6">
        <v>-1.823</v>
      </c>
      <c r="O754" s="6">
        <v>-1.823</v>
      </c>
      <c r="P754" s="6">
        <v>0</v>
      </c>
      <c r="Q754" s="4" t="s">
        <v>26</v>
      </c>
      <c r="R754" s="4">
        <v>0</v>
      </c>
      <c r="S754" s="6">
        <v>0</v>
      </c>
      <c r="T754" s="6">
        <v>30</v>
      </c>
      <c r="U754" s="6">
        <v>70</v>
      </c>
      <c r="V754" s="6">
        <f>IF(ISERROR(VLOOKUP($S$754,'TAR FIN'!$A$1:$O$86,15,0)),0,VLOOKUP($S$754,'TAR FIN'!$A$1:$O$86,15,0))</f>
        <v>0</v>
      </c>
      <c r="W754" s="6">
        <f>IF(ISERROR(VLOOKUP($T$754,'TAR FIN'!$A$1:$O$86,15,0)),0,VLOOKUP($T$754,'TAR FIN'!$A$1:$O$86,15,0))</f>
        <v>285.56</v>
      </c>
      <c r="X754" s="6">
        <f>IF(ISERROR(VLOOKUP($U$754,'TAR FIN'!$A$1:$O$86,15,0)),0,VLOOKUP($U$754,'TAR FIN'!$A$1:$O$86,15,0))</f>
        <v>227.23</v>
      </c>
      <c r="Y754" s="6"/>
      <c r="Z754" s="6">
        <f ca="1">('TUSD BE'!$AM$34+'TUSD BF'!$AM$34+'TUSD CVA'!$AM$34)*(1-CUSTOS!$M$38)</f>
        <v>310.34682484351242</v>
      </c>
      <c r="AA754" s="6">
        <f>('TE BE'!$AB$24+'TE BF'!$AB$24+'TE CVA'!$AB$24)*(1-CUSTOS!$M$38)</f>
        <v>216.7476358676706</v>
      </c>
      <c r="AB754" s="6">
        <f>$K$754*$V$754</f>
        <v>0</v>
      </c>
      <c r="AC754" s="6">
        <f>$M$754*$W$754</f>
        <v>-520.57587999999998</v>
      </c>
      <c r="AD754" s="6">
        <f>$O$754*$X$754</f>
        <v>-414.24028999999996</v>
      </c>
      <c r="AE754" s="6">
        <f>$K$754*$Y$754</f>
        <v>0</v>
      </c>
      <c r="AF754" s="6">
        <f ca="1">$M$754*$Z$754</f>
        <v>-565.76226168972312</v>
      </c>
      <c r="AG754" s="6">
        <f>$O$754*$AA$754</f>
        <v>-395.1309401867635</v>
      </c>
    </row>
    <row r="755" spans="1:33" ht="11.25" customHeight="1" x14ac:dyDescent="0.25">
      <c r="A755" s="4" t="s">
        <v>55</v>
      </c>
      <c r="B755" s="4" t="s">
        <v>42</v>
      </c>
      <c r="C755" s="4" t="s">
        <v>23</v>
      </c>
      <c r="D755" s="4" t="s">
        <v>43</v>
      </c>
      <c r="E755" s="4" t="s">
        <v>25</v>
      </c>
      <c r="F755" s="4" t="s">
        <v>25</v>
      </c>
      <c r="G755" s="4" t="s">
        <v>25</v>
      </c>
      <c r="H755" s="4" t="s">
        <v>25</v>
      </c>
      <c r="I755" s="5">
        <v>44593</v>
      </c>
      <c r="J755" s="6">
        <v>0</v>
      </c>
      <c r="K755" s="6">
        <v>0</v>
      </c>
      <c r="L755" s="6">
        <v>55.790999999999997</v>
      </c>
      <c r="M755" s="6">
        <v>55.790999999999997</v>
      </c>
      <c r="N755" s="6">
        <v>55.790999999999997</v>
      </c>
      <c r="O755" s="6">
        <v>55.790999999999997</v>
      </c>
      <c r="P755" s="6">
        <v>233</v>
      </c>
      <c r="Q755" s="4" t="s">
        <v>26</v>
      </c>
      <c r="R755" s="4">
        <v>0</v>
      </c>
      <c r="S755" s="6">
        <v>0</v>
      </c>
      <c r="T755" s="6">
        <v>30</v>
      </c>
      <c r="U755" s="6">
        <v>70</v>
      </c>
      <c r="V755" s="6">
        <f>IF(ISERROR(VLOOKUP($S$755,'TAR FIN'!$A$1:$O$86,15,0)),0,VLOOKUP($S$755,'TAR FIN'!$A$1:$O$86,15,0))</f>
        <v>0</v>
      </c>
      <c r="W755" s="6">
        <f>IF(ISERROR(VLOOKUP($T$755,'TAR FIN'!$A$1:$O$86,15,0)),0,VLOOKUP($T$755,'TAR FIN'!$A$1:$O$86,15,0))</f>
        <v>285.56</v>
      </c>
      <c r="X755" s="6">
        <f>IF(ISERROR(VLOOKUP($U$755,'TAR FIN'!$A$1:$O$86,15,0)),0,VLOOKUP($U$755,'TAR FIN'!$A$1:$O$86,15,0))</f>
        <v>227.23</v>
      </c>
      <c r="Y755" s="6"/>
      <c r="Z755" s="6">
        <f ca="1">('TUSD BE'!$AM$34+'TUSD BF'!$AM$34+'TUSD CVA'!$AM$34)*(1-CUSTOS!$M$38)</f>
        <v>310.34682484351242</v>
      </c>
      <c r="AA755" s="6">
        <f>('TE BE'!$AB$24+'TE BF'!$AB$24+'TE CVA'!$AB$24)*(1-CUSTOS!$M$38)</f>
        <v>216.7476358676706</v>
      </c>
      <c r="AB755" s="6">
        <f>$K$755*$V$755</f>
        <v>0</v>
      </c>
      <c r="AC755" s="6">
        <f>$M$755*$W$755</f>
        <v>15931.677959999999</v>
      </c>
      <c r="AD755" s="6">
        <f>$O$755*$X$755</f>
        <v>12677.388929999999</v>
      </c>
      <c r="AE755" s="6">
        <f>$K$755*$Y$755</f>
        <v>0</v>
      </c>
      <c r="AF755" s="6">
        <f ca="1">$M$755*$Z$755</f>
        <v>17314.5597048444</v>
      </c>
      <c r="AG755" s="6">
        <f>$O$755*$AA$755</f>
        <v>12092.56735269321</v>
      </c>
    </row>
    <row r="756" spans="1:33" ht="11.25" customHeight="1" x14ac:dyDescent="0.25">
      <c r="A756" s="4" t="s">
        <v>21</v>
      </c>
      <c r="B756" s="4" t="s">
        <v>42</v>
      </c>
      <c r="C756" s="4" t="s">
        <v>23</v>
      </c>
      <c r="D756" s="4" t="s">
        <v>43</v>
      </c>
      <c r="E756" s="4" t="s">
        <v>25</v>
      </c>
      <c r="F756" s="4" t="s">
        <v>25</v>
      </c>
      <c r="G756" s="4" t="s">
        <v>25</v>
      </c>
      <c r="H756" s="4" t="s">
        <v>25</v>
      </c>
      <c r="I756" s="5">
        <v>44621</v>
      </c>
      <c r="J756" s="6">
        <v>0</v>
      </c>
      <c r="K756" s="6">
        <v>0</v>
      </c>
      <c r="L756" s="6">
        <v>1456.9090000000001</v>
      </c>
      <c r="M756" s="6">
        <v>1456.9090000000001</v>
      </c>
      <c r="N756" s="6">
        <v>1456.9090000000001</v>
      </c>
      <c r="O756" s="6">
        <v>1456.9090000000001</v>
      </c>
      <c r="P756" s="6">
        <v>3418</v>
      </c>
      <c r="Q756" s="4" t="s">
        <v>26</v>
      </c>
      <c r="R756" s="4">
        <v>0</v>
      </c>
      <c r="S756" s="6">
        <v>0</v>
      </c>
      <c r="T756" s="6">
        <v>30</v>
      </c>
      <c r="U756" s="6">
        <v>70</v>
      </c>
      <c r="V756" s="6">
        <f>IF(ISERROR(VLOOKUP($S$756,'TAR FIN'!$A$1:$O$86,15,0)),0,VLOOKUP($S$756,'TAR FIN'!$A$1:$O$86,15,0))</f>
        <v>0</v>
      </c>
      <c r="W756" s="6">
        <f>IF(ISERROR(VLOOKUP($T$756,'TAR FIN'!$A$1:$O$86,15,0)),0,VLOOKUP($T$756,'TAR FIN'!$A$1:$O$86,15,0))</f>
        <v>285.56</v>
      </c>
      <c r="X756" s="6">
        <f>IF(ISERROR(VLOOKUP($U$756,'TAR FIN'!$A$1:$O$86,15,0)),0,VLOOKUP($U$756,'TAR FIN'!$A$1:$O$86,15,0))</f>
        <v>227.23</v>
      </c>
      <c r="Y756" s="6"/>
      <c r="Z756" s="6">
        <f ca="1">('TUSD BE'!$AM$34+'TUSD BF'!$AM$34+'TUSD CVA'!$AM$34)*(1-CUSTOS!$M$38)</f>
        <v>310.34682484351242</v>
      </c>
      <c r="AA756" s="6">
        <f>('TE BE'!$AB$24+'TE BF'!$AB$24+'TE CVA'!$AB$24)*(1-CUSTOS!$M$38)</f>
        <v>216.7476358676706</v>
      </c>
      <c r="AB756" s="6">
        <f>$K$756*$V$756</f>
        <v>0</v>
      </c>
      <c r="AC756" s="6">
        <f>$M$756*$W$756</f>
        <v>416034.93404000002</v>
      </c>
      <c r="AD756" s="6">
        <f>$O$756*$X$756</f>
        <v>331053.43206999998</v>
      </c>
      <c r="AE756" s="6">
        <f>$K$756*$Y$756</f>
        <v>0</v>
      </c>
      <c r="AF756" s="6">
        <f ca="1">$M$756*$Z$756</f>
        <v>452147.08223593689</v>
      </c>
      <c r="AG756" s="6">
        <f>$O$756*$AA$756</f>
        <v>315781.58142433211</v>
      </c>
    </row>
    <row r="757" spans="1:33" ht="11.25" customHeight="1" x14ac:dyDescent="0.25">
      <c r="A757" s="4" t="s">
        <v>27</v>
      </c>
      <c r="B757" s="4" t="s">
        <v>42</v>
      </c>
      <c r="C757" s="4" t="s">
        <v>23</v>
      </c>
      <c r="D757" s="4" t="s">
        <v>43</v>
      </c>
      <c r="E757" s="4" t="s">
        <v>25</v>
      </c>
      <c r="F757" s="4" t="s">
        <v>25</v>
      </c>
      <c r="G757" s="4" t="s">
        <v>25</v>
      </c>
      <c r="H757" s="4" t="s">
        <v>25</v>
      </c>
      <c r="I757" s="5">
        <v>44621</v>
      </c>
      <c r="J757" s="6">
        <v>0</v>
      </c>
      <c r="K757" s="6">
        <v>0</v>
      </c>
      <c r="L757" s="6">
        <v>-196.922</v>
      </c>
      <c r="M757" s="6">
        <v>-196.922</v>
      </c>
      <c r="N757" s="6">
        <v>-196.922</v>
      </c>
      <c r="O757" s="6">
        <v>-196.922</v>
      </c>
      <c r="P757" s="6">
        <v>0</v>
      </c>
      <c r="Q757" s="4" t="s">
        <v>26</v>
      </c>
      <c r="R757" s="4">
        <v>0</v>
      </c>
      <c r="S757" s="6">
        <v>0</v>
      </c>
      <c r="T757" s="6">
        <v>30</v>
      </c>
      <c r="U757" s="6">
        <v>70</v>
      </c>
      <c r="V757" s="6">
        <f>IF(ISERROR(VLOOKUP($S$757,'TAR FIN'!$A$1:$O$86,15,0)),0,VLOOKUP($S$757,'TAR FIN'!$A$1:$O$86,15,0))</f>
        <v>0</v>
      </c>
      <c r="W757" s="6">
        <f>IF(ISERROR(VLOOKUP($T$757,'TAR FIN'!$A$1:$O$86,15,0)),0,VLOOKUP($T$757,'TAR FIN'!$A$1:$O$86,15,0))</f>
        <v>285.56</v>
      </c>
      <c r="X757" s="6">
        <f>IF(ISERROR(VLOOKUP($U$757,'TAR FIN'!$A$1:$O$86,15,0)),0,VLOOKUP($U$757,'TAR FIN'!$A$1:$O$86,15,0))</f>
        <v>227.23</v>
      </c>
      <c r="Y757" s="6"/>
      <c r="Z757" s="6">
        <f ca="1">('TUSD BE'!$AM$34+'TUSD BF'!$AM$34+'TUSD CVA'!$AM$34)*(1-CUSTOS!$M$38)</f>
        <v>310.34682484351242</v>
      </c>
      <c r="AA757" s="6">
        <f>('TE BE'!$AB$24+'TE BF'!$AB$24+'TE CVA'!$AB$24)*(1-CUSTOS!$M$38)</f>
        <v>216.7476358676706</v>
      </c>
      <c r="AB757" s="6">
        <f>$K$757*$V$757</f>
        <v>0</v>
      </c>
      <c r="AC757" s="6">
        <f>$M$757*$W$757</f>
        <v>-56233.046320000001</v>
      </c>
      <c r="AD757" s="6">
        <f>$O$757*$X$757</f>
        <v>-44746.586059999994</v>
      </c>
      <c r="AE757" s="6">
        <f>$K$757*$Y$757</f>
        <v>0</v>
      </c>
      <c r="AF757" s="6">
        <f ca="1">$M$757*$Z$757</f>
        <v>-61114.117441834154</v>
      </c>
      <c r="AG757" s="6">
        <f>$O$757*$AA$757</f>
        <v>-42682.37795033343</v>
      </c>
    </row>
    <row r="758" spans="1:33" ht="11.25" customHeight="1" x14ac:dyDescent="0.25">
      <c r="A758" s="4" t="s">
        <v>55</v>
      </c>
      <c r="B758" s="4" t="s">
        <v>42</v>
      </c>
      <c r="C758" s="4" t="s">
        <v>23</v>
      </c>
      <c r="D758" s="4" t="s">
        <v>43</v>
      </c>
      <c r="E758" s="4" t="s">
        <v>25</v>
      </c>
      <c r="F758" s="4" t="s">
        <v>25</v>
      </c>
      <c r="G758" s="4" t="s">
        <v>25</v>
      </c>
      <c r="H758" s="4" t="s">
        <v>25</v>
      </c>
      <c r="I758" s="5">
        <v>44621</v>
      </c>
      <c r="J758" s="6">
        <v>0</v>
      </c>
      <c r="K758" s="6">
        <v>0</v>
      </c>
      <c r="L758" s="6">
        <v>60.874000000000002</v>
      </c>
      <c r="M758" s="6">
        <v>60.874000000000002</v>
      </c>
      <c r="N758" s="6">
        <v>60.874000000000002</v>
      </c>
      <c r="O758" s="6">
        <v>60.874000000000002</v>
      </c>
      <c r="P758" s="6">
        <v>256</v>
      </c>
      <c r="Q758" s="4" t="s">
        <v>26</v>
      </c>
      <c r="R758" s="4">
        <v>0</v>
      </c>
      <c r="S758" s="6">
        <v>0</v>
      </c>
      <c r="T758" s="6">
        <v>30</v>
      </c>
      <c r="U758" s="6">
        <v>70</v>
      </c>
      <c r="V758" s="6">
        <f>IF(ISERROR(VLOOKUP($S$758,'TAR FIN'!$A$1:$O$86,15,0)),0,VLOOKUP($S$758,'TAR FIN'!$A$1:$O$86,15,0))</f>
        <v>0</v>
      </c>
      <c r="W758" s="6">
        <f>IF(ISERROR(VLOOKUP($T$758,'TAR FIN'!$A$1:$O$86,15,0)),0,VLOOKUP($T$758,'TAR FIN'!$A$1:$O$86,15,0))</f>
        <v>285.56</v>
      </c>
      <c r="X758" s="6">
        <f>IF(ISERROR(VLOOKUP($U$758,'TAR FIN'!$A$1:$O$86,15,0)),0,VLOOKUP($U$758,'TAR FIN'!$A$1:$O$86,15,0))</f>
        <v>227.23</v>
      </c>
      <c r="Y758" s="6"/>
      <c r="Z758" s="6">
        <f ca="1">('TUSD BE'!$AM$34+'TUSD BF'!$AM$34+'TUSD CVA'!$AM$34)*(1-CUSTOS!$M$38)</f>
        <v>310.34682484351242</v>
      </c>
      <c r="AA758" s="6">
        <f>('TE BE'!$AB$24+'TE BF'!$AB$24+'TE CVA'!$AB$24)*(1-CUSTOS!$M$38)</f>
        <v>216.7476358676706</v>
      </c>
      <c r="AB758" s="6">
        <f>$K$758*$V$758</f>
        <v>0</v>
      </c>
      <c r="AC758" s="6">
        <f>$M$758*$W$758</f>
        <v>17383.17944</v>
      </c>
      <c r="AD758" s="6">
        <f>$O$758*$X$758</f>
        <v>13832.399020000001</v>
      </c>
      <c r="AE758" s="6">
        <f>$K$758*$Y$758</f>
        <v>0</v>
      </c>
      <c r="AF758" s="6">
        <f ca="1">$M$758*$Z$758</f>
        <v>18892.052615523975</v>
      </c>
      <c r="AG758" s="6">
        <f>$O$758*$AA$758</f>
        <v>13194.295585808581</v>
      </c>
    </row>
    <row r="759" spans="1:33" ht="11.25" customHeight="1" x14ac:dyDescent="0.25">
      <c r="A759" s="4" t="s">
        <v>55</v>
      </c>
      <c r="B759" s="4" t="s">
        <v>42</v>
      </c>
      <c r="C759" s="4" t="s">
        <v>23</v>
      </c>
      <c r="D759" s="4" t="s">
        <v>43</v>
      </c>
      <c r="E759" s="4" t="s">
        <v>25</v>
      </c>
      <c r="F759" s="4" t="s">
        <v>25</v>
      </c>
      <c r="G759" s="4" t="s">
        <v>25</v>
      </c>
      <c r="H759" s="4" t="s">
        <v>25</v>
      </c>
      <c r="I759" s="5">
        <v>44621</v>
      </c>
      <c r="J759" s="6">
        <v>0</v>
      </c>
      <c r="K759" s="6">
        <v>0</v>
      </c>
      <c r="L759" s="6">
        <v>0.2</v>
      </c>
      <c r="M759" s="6">
        <v>0.2</v>
      </c>
      <c r="N759" s="6">
        <v>0.2</v>
      </c>
      <c r="O759" s="6">
        <v>0.2</v>
      </c>
      <c r="P759" s="6">
        <v>2</v>
      </c>
      <c r="Q759" s="4" t="s">
        <v>26</v>
      </c>
      <c r="R759" s="4">
        <v>0</v>
      </c>
      <c r="S759" s="6">
        <v>0</v>
      </c>
      <c r="T759" s="6">
        <v>30</v>
      </c>
      <c r="U759" s="6">
        <v>70</v>
      </c>
      <c r="V759" s="6">
        <f>IF(ISERROR(VLOOKUP($S$759,'TAR FIN'!$A$1:$O$86,15,0)),0,VLOOKUP($S$759,'TAR FIN'!$A$1:$O$86,15,0))</f>
        <v>0</v>
      </c>
      <c r="W759" s="6">
        <f>IF(ISERROR(VLOOKUP($T$759,'TAR FIN'!$A$1:$O$86,15,0)),0,VLOOKUP($T$759,'TAR FIN'!$A$1:$O$86,15,0))</f>
        <v>285.56</v>
      </c>
      <c r="X759" s="6">
        <f>IF(ISERROR(VLOOKUP($U$759,'TAR FIN'!$A$1:$O$86,15,0)),0,VLOOKUP($U$759,'TAR FIN'!$A$1:$O$86,15,0))</f>
        <v>227.23</v>
      </c>
      <c r="Y759" s="6"/>
      <c r="Z759" s="6">
        <f ca="1">('TUSD BE'!$AM$34+'TUSD BF'!$AM$34+'TUSD CVA'!$AM$34)*(1-CUSTOS!$M$38)</f>
        <v>310.34682484351242</v>
      </c>
      <c r="AA759" s="6">
        <f>('TE BE'!$AB$24+'TE BF'!$AB$24+'TE CVA'!$AB$24)*(1-CUSTOS!$M$38)</f>
        <v>216.7476358676706</v>
      </c>
      <c r="AB759" s="6">
        <f>$K$759*$V$759</f>
        <v>0</v>
      </c>
      <c r="AC759" s="6">
        <f>$M$759*$W$759</f>
        <v>57.112000000000002</v>
      </c>
      <c r="AD759" s="6">
        <f>$O$759*$X$759</f>
        <v>45.445999999999998</v>
      </c>
      <c r="AE759" s="6">
        <f>$K$759*$Y$759</f>
        <v>0</v>
      </c>
      <c r="AF759" s="6">
        <f ca="1">$M$759*$Z$759</f>
        <v>62.069364968702487</v>
      </c>
      <c r="AG759" s="6">
        <f>$O$759*$AA$759</f>
        <v>43.349527173534121</v>
      </c>
    </row>
    <row r="760" spans="1:33" ht="11.25" customHeight="1" x14ac:dyDescent="0.25">
      <c r="A760" s="4" t="s">
        <v>21</v>
      </c>
      <c r="B760" s="4" t="s">
        <v>42</v>
      </c>
      <c r="C760" s="4" t="s">
        <v>23</v>
      </c>
      <c r="D760" s="4" t="s">
        <v>43</v>
      </c>
      <c r="E760" s="4" t="s">
        <v>25</v>
      </c>
      <c r="F760" s="4" t="s">
        <v>25</v>
      </c>
      <c r="G760" s="4" t="s">
        <v>25</v>
      </c>
      <c r="H760" s="4" t="s">
        <v>25</v>
      </c>
      <c r="I760" s="5">
        <v>44652</v>
      </c>
      <c r="J760" s="6">
        <v>0</v>
      </c>
      <c r="K760" s="6">
        <v>0</v>
      </c>
      <c r="L760" s="6">
        <v>1410.451</v>
      </c>
      <c r="M760" s="6">
        <v>1410.451</v>
      </c>
      <c r="N760" s="6">
        <v>1410.451</v>
      </c>
      <c r="O760" s="6">
        <v>1410.451</v>
      </c>
      <c r="P760" s="6">
        <v>3394</v>
      </c>
      <c r="Q760" s="4" t="s">
        <v>26</v>
      </c>
      <c r="R760" s="4">
        <v>0</v>
      </c>
      <c r="S760" s="6">
        <v>0</v>
      </c>
      <c r="T760" s="6">
        <v>30</v>
      </c>
      <c r="U760" s="6">
        <v>70</v>
      </c>
      <c r="V760" s="6">
        <f>IF(ISERROR(VLOOKUP($S$760,'TAR FIN'!$A$1:$O$86,15,0)),0,VLOOKUP($S$760,'TAR FIN'!$A$1:$O$86,15,0))</f>
        <v>0</v>
      </c>
      <c r="W760" s="6">
        <f>IF(ISERROR(VLOOKUP($T$760,'TAR FIN'!$A$1:$O$86,15,0)),0,VLOOKUP($T$760,'TAR FIN'!$A$1:$O$86,15,0))</f>
        <v>285.56</v>
      </c>
      <c r="X760" s="6">
        <f>IF(ISERROR(VLOOKUP($U$760,'TAR FIN'!$A$1:$O$86,15,0)),0,VLOOKUP($U$760,'TAR FIN'!$A$1:$O$86,15,0))</f>
        <v>227.23</v>
      </c>
      <c r="Y760" s="6"/>
      <c r="Z760" s="6">
        <f ca="1">('TUSD BE'!$AM$34+'TUSD BF'!$AM$34+'TUSD CVA'!$AM$34)*(1-CUSTOS!$M$38)</f>
        <v>310.34682484351242</v>
      </c>
      <c r="AA760" s="6">
        <f>('TE BE'!$AB$24+'TE BF'!$AB$24+'TE CVA'!$AB$24)*(1-CUSTOS!$M$38)</f>
        <v>216.7476358676706</v>
      </c>
      <c r="AB760" s="6">
        <f>$K$760*$V$760</f>
        <v>0</v>
      </c>
      <c r="AC760" s="6">
        <f>$M$760*$W$760</f>
        <v>402768.38756</v>
      </c>
      <c r="AD760" s="6">
        <f>$O$760*$X$760</f>
        <v>320496.78073</v>
      </c>
      <c r="AE760" s="6">
        <f>$K$760*$Y$760</f>
        <v>0</v>
      </c>
      <c r="AF760" s="6">
        <f ca="1">$M$760*$Z$760</f>
        <v>437728.98944735696</v>
      </c>
      <c r="AG760" s="6">
        <f>$O$760*$AA$760</f>
        <v>305711.91975719185</v>
      </c>
    </row>
    <row r="761" spans="1:33" ht="11.25" customHeight="1" x14ac:dyDescent="0.25">
      <c r="A761" s="4" t="s">
        <v>27</v>
      </c>
      <c r="B761" s="4" t="s">
        <v>42</v>
      </c>
      <c r="C761" s="4" t="s">
        <v>23</v>
      </c>
      <c r="D761" s="4" t="s">
        <v>43</v>
      </c>
      <c r="E761" s="4" t="s">
        <v>25</v>
      </c>
      <c r="F761" s="4" t="s">
        <v>25</v>
      </c>
      <c r="G761" s="4" t="s">
        <v>25</v>
      </c>
      <c r="H761" s="4" t="s">
        <v>25</v>
      </c>
      <c r="I761" s="5">
        <v>44652</v>
      </c>
      <c r="J761" s="6">
        <v>0</v>
      </c>
      <c r="K761" s="6">
        <v>0</v>
      </c>
      <c r="L761" s="6">
        <v>-112.73</v>
      </c>
      <c r="M761" s="6">
        <v>-112.73</v>
      </c>
      <c r="N761" s="6">
        <v>-112.73</v>
      </c>
      <c r="O761" s="6">
        <v>-112.73</v>
      </c>
      <c r="P761" s="6">
        <v>0</v>
      </c>
      <c r="Q761" s="4" t="s">
        <v>26</v>
      </c>
      <c r="R761" s="4">
        <v>0</v>
      </c>
      <c r="S761" s="6">
        <v>0</v>
      </c>
      <c r="T761" s="6">
        <v>30</v>
      </c>
      <c r="U761" s="6">
        <v>70</v>
      </c>
      <c r="V761" s="6">
        <f>IF(ISERROR(VLOOKUP($S$761,'TAR FIN'!$A$1:$O$86,15,0)),0,VLOOKUP($S$761,'TAR FIN'!$A$1:$O$86,15,0))</f>
        <v>0</v>
      </c>
      <c r="W761" s="6">
        <f>IF(ISERROR(VLOOKUP($T$761,'TAR FIN'!$A$1:$O$86,15,0)),0,VLOOKUP($T$761,'TAR FIN'!$A$1:$O$86,15,0))</f>
        <v>285.56</v>
      </c>
      <c r="X761" s="6">
        <f>IF(ISERROR(VLOOKUP($U$761,'TAR FIN'!$A$1:$O$86,15,0)),0,VLOOKUP($U$761,'TAR FIN'!$A$1:$O$86,15,0))</f>
        <v>227.23</v>
      </c>
      <c r="Y761" s="6"/>
      <c r="Z761" s="6">
        <f ca="1">('TUSD BE'!$AM$34+'TUSD BF'!$AM$34+'TUSD CVA'!$AM$34)*(1-CUSTOS!$M$38)</f>
        <v>310.34682484351242</v>
      </c>
      <c r="AA761" s="6">
        <f>('TE BE'!$AB$24+'TE BF'!$AB$24+'TE CVA'!$AB$24)*(1-CUSTOS!$M$38)</f>
        <v>216.7476358676706</v>
      </c>
      <c r="AB761" s="6">
        <f>$K$761*$V$761</f>
        <v>0</v>
      </c>
      <c r="AC761" s="6">
        <f>$M$761*$W$761</f>
        <v>-32191.178800000002</v>
      </c>
      <c r="AD761" s="6">
        <f>$O$761*$X$761</f>
        <v>-25615.637900000002</v>
      </c>
      <c r="AE761" s="6">
        <f>$K$761*$Y$761</f>
        <v>0</v>
      </c>
      <c r="AF761" s="6">
        <f ca="1">$M$761*$Z$761</f>
        <v>-34985.397564609157</v>
      </c>
      <c r="AG761" s="6">
        <f>$O$761*$AA$761</f>
        <v>-24433.960991362506</v>
      </c>
    </row>
    <row r="762" spans="1:33" ht="11.25" customHeight="1" x14ac:dyDescent="0.25">
      <c r="A762" s="4" t="s">
        <v>55</v>
      </c>
      <c r="B762" s="4" t="s">
        <v>42</v>
      </c>
      <c r="C762" s="4" t="s">
        <v>23</v>
      </c>
      <c r="D762" s="4" t="s">
        <v>43</v>
      </c>
      <c r="E762" s="4" t="s">
        <v>25</v>
      </c>
      <c r="F762" s="4" t="s">
        <v>25</v>
      </c>
      <c r="G762" s="4" t="s">
        <v>25</v>
      </c>
      <c r="H762" s="4" t="s">
        <v>25</v>
      </c>
      <c r="I762" s="5">
        <v>44652</v>
      </c>
      <c r="J762" s="6">
        <v>0</v>
      </c>
      <c r="K762" s="6">
        <v>0</v>
      </c>
      <c r="L762" s="6">
        <v>95.173000000000002</v>
      </c>
      <c r="M762" s="6">
        <v>95.173000000000002</v>
      </c>
      <c r="N762" s="6">
        <v>95.173000000000002</v>
      </c>
      <c r="O762" s="6">
        <v>95.173000000000002</v>
      </c>
      <c r="P762" s="6">
        <v>276</v>
      </c>
      <c r="Q762" s="4" t="s">
        <v>26</v>
      </c>
      <c r="R762" s="4">
        <v>0</v>
      </c>
      <c r="S762" s="6">
        <v>0</v>
      </c>
      <c r="T762" s="6">
        <v>30</v>
      </c>
      <c r="U762" s="6">
        <v>70</v>
      </c>
      <c r="V762" s="6">
        <f>IF(ISERROR(VLOOKUP($S$762,'TAR FIN'!$A$1:$O$86,15,0)),0,VLOOKUP($S$762,'TAR FIN'!$A$1:$O$86,15,0))</f>
        <v>0</v>
      </c>
      <c r="W762" s="6">
        <f>IF(ISERROR(VLOOKUP($T$762,'TAR FIN'!$A$1:$O$86,15,0)),0,VLOOKUP($T$762,'TAR FIN'!$A$1:$O$86,15,0))</f>
        <v>285.56</v>
      </c>
      <c r="X762" s="6">
        <f>IF(ISERROR(VLOOKUP($U$762,'TAR FIN'!$A$1:$O$86,15,0)),0,VLOOKUP($U$762,'TAR FIN'!$A$1:$O$86,15,0))</f>
        <v>227.23</v>
      </c>
      <c r="Y762" s="6"/>
      <c r="Z762" s="6">
        <f ca="1">('TUSD BE'!$AM$34+'TUSD BF'!$AM$34+'TUSD CVA'!$AM$34)*(1-CUSTOS!$M$38)</f>
        <v>310.34682484351242</v>
      </c>
      <c r="AA762" s="6">
        <f>('TE BE'!$AB$24+'TE BF'!$AB$24+'TE CVA'!$AB$24)*(1-CUSTOS!$M$38)</f>
        <v>216.7476358676706</v>
      </c>
      <c r="AB762" s="6">
        <f>$K$762*$V$762</f>
        <v>0</v>
      </c>
      <c r="AC762" s="6">
        <f>$M$762*$W$762</f>
        <v>27177.601880000002</v>
      </c>
      <c r="AD762" s="6">
        <f>$O$762*$X$762</f>
        <v>21626.160789999998</v>
      </c>
      <c r="AE762" s="6">
        <f>$K$762*$Y$762</f>
        <v>0</v>
      </c>
      <c r="AF762" s="6">
        <f ca="1">$M$762*$Z$762</f>
        <v>29536.63836083161</v>
      </c>
      <c r="AG762" s="6">
        <f>$O$762*$AA$762</f>
        <v>20628.522748433814</v>
      </c>
    </row>
    <row r="763" spans="1:33" ht="11.25" customHeight="1" x14ac:dyDescent="0.25">
      <c r="A763" s="4" t="s">
        <v>21</v>
      </c>
      <c r="B763" s="4" t="s">
        <v>42</v>
      </c>
      <c r="C763" s="4" t="s">
        <v>23</v>
      </c>
      <c r="D763" s="4" t="s">
        <v>43</v>
      </c>
      <c r="E763" s="4" t="s">
        <v>25</v>
      </c>
      <c r="F763" s="4" t="s">
        <v>25</v>
      </c>
      <c r="G763" s="4" t="s">
        <v>25</v>
      </c>
      <c r="H763" s="4" t="s">
        <v>25</v>
      </c>
      <c r="I763" s="5">
        <v>44682</v>
      </c>
      <c r="J763" s="6">
        <v>0</v>
      </c>
      <c r="K763" s="6">
        <v>0</v>
      </c>
      <c r="L763" s="6">
        <v>1287.5889999999999</v>
      </c>
      <c r="M763" s="6">
        <v>1287.5889999999999</v>
      </c>
      <c r="N763" s="6">
        <v>1287.5889999999999</v>
      </c>
      <c r="O763" s="6">
        <v>1287.5889999999999</v>
      </c>
      <c r="P763" s="6">
        <v>3370</v>
      </c>
      <c r="Q763" s="4" t="s">
        <v>26</v>
      </c>
      <c r="R763" s="4">
        <v>0</v>
      </c>
      <c r="S763" s="6">
        <v>0</v>
      </c>
      <c r="T763" s="6">
        <v>30</v>
      </c>
      <c r="U763" s="6">
        <v>70</v>
      </c>
      <c r="V763" s="6">
        <f>IF(ISERROR(VLOOKUP($S$763,'TAR FIN'!$A$1:$O$86,15,0)),0,VLOOKUP($S$763,'TAR FIN'!$A$1:$O$86,15,0))</f>
        <v>0</v>
      </c>
      <c r="W763" s="6">
        <f>IF(ISERROR(VLOOKUP($T$763,'TAR FIN'!$A$1:$O$86,15,0)),0,VLOOKUP($T$763,'TAR FIN'!$A$1:$O$86,15,0))</f>
        <v>285.56</v>
      </c>
      <c r="X763" s="6">
        <f>IF(ISERROR(VLOOKUP($U$763,'TAR FIN'!$A$1:$O$86,15,0)),0,VLOOKUP($U$763,'TAR FIN'!$A$1:$O$86,15,0))</f>
        <v>227.23</v>
      </c>
      <c r="Y763" s="6"/>
      <c r="Z763" s="6">
        <f ca="1">('TUSD BE'!$AM$34+'TUSD BF'!$AM$34+'TUSD CVA'!$AM$34)*(1-CUSTOS!$M$38)</f>
        <v>310.34682484351242</v>
      </c>
      <c r="AA763" s="6">
        <f>('TE BE'!$AB$24+'TE BF'!$AB$24+'TE CVA'!$AB$24)*(1-CUSTOS!$M$38)</f>
        <v>216.7476358676706</v>
      </c>
      <c r="AB763" s="6">
        <f>$K$763*$V$763</f>
        <v>0</v>
      </c>
      <c r="AC763" s="6">
        <f>$M$763*$W$763</f>
        <v>367683.91483999998</v>
      </c>
      <c r="AD763" s="6">
        <f>$O$763*$X$763</f>
        <v>292578.84846999997</v>
      </c>
      <c r="AE763" s="6">
        <f>$K$763*$Y$763</f>
        <v>0</v>
      </c>
      <c r="AF763" s="6">
        <f ca="1">$M$763*$Z$763</f>
        <v>399599.15785343328</v>
      </c>
      <c r="AG763" s="6">
        <f>$O$763*$AA$763</f>
        <v>279081.87171921809</v>
      </c>
    </row>
    <row r="764" spans="1:33" ht="11.25" customHeight="1" x14ac:dyDescent="0.25">
      <c r="A764" s="4" t="s">
        <v>27</v>
      </c>
      <c r="B764" s="4" t="s">
        <v>42</v>
      </c>
      <c r="C764" s="4" t="s">
        <v>23</v>
      </c>
      <c r="D764" s="4" t="s">
        <v>43</v>
      </c>
      <c r="E764" s="4" t="s">
        <v>25</v>
      </c>
      <c r="F764" s="4" t="s">
        <v>25</v>
      </c>
      <c r="G764" s="4" t="s">
        <v>25</v>
      </c>
      <c r="H764" s="4" t="s">
        <v>25</v>
      </c>
      <c r="I764" s="5">
        <v>44682</v>
      </c>
      <c r="J764" s="6">
        <v>0</v>
      </c>
      <c r="K764" s="6">
        <v>0</v>
      </c>
      <c r="L764" s="6">
        <v>-4.1399999999999997</v>
      </c>
      <c r="M764" s="6">
        <v>-4.1399999999999997</v>
      </c>
      <c r="N764" s="6">
        <v>-4.1399999999999997</v>
      </c>
      <c r="O764" s="6">
        <v>-4.1399999999999997</v>
      </c>
      <c r="P764" s="6">
        <v>0</v>
      </c>
      <c r="Q764" s="4" t="s">
        <v>26</v>
      </c>
      <c r="R764" s="4">
        <v>0</v>
      </c>
      <c r="S764" s="6">
        <v>0</v>
      </c>
      <c r="T764" s="6">
        <v>30</v>
      </c>
      <c r="U764" s="6">
        <v>70</v>
      </c>
      <c r="V764" s="6">
        <f>IF(ISERROR(VLOOKUP($S$764,'TAR FIN'!$A$1:$O$86,15,0)),0,VLOOKUP($S$764,'TAR FIN'!$A$1:$O$86,15,0))</f>
        <v>0</v>
      </c>
      <c r="W764" s="6">
        <f>IF(ISERROR(VLOOKUP($T$764,'TAR FIN'!$A$1:$O$86,15,0)),0,VLOOKUP($T$764,'TAR FIN'!$A$1:$O$86,15,0))</f>
        <v>285.56</v>
      </c>
      <c r="X764" s="6">
        <f>IF(ISERROR(VLOOKUP($U$764,'TAR FIN'!$A$1:$O$86,15,0)),0,VLOOKUP($U$764,'TAR FIN'!$A$1:$O$86,15,0))</f>
        <v>227.23</v>
      </c>
      <c r="Y764" s="6"/>
      <c r="Z764" s="6">
        <f ca="1">('TUSD BE'!$AM$34+'TUSD BF'!$AM$34+'TUSD CVA'!$AM$34)*(1-CUSTOS!$M$38)</f>
        <v>310.34682484351242</v>
      </c>
      <c r="AA764" s="6">
        <f>('TE BE'!$AB$24+'TE BF'!$AB$24+'TE CVA'!$AB$24)*(1-CUSTOS!$M$38)</f>
        <v>216.7476358676706</v>
      </c>
      <c r="AB764" s="6">
        <f>$K$764*$V$764</f>
        <v>0</v>
      </c>
      <c r="AC764" s="6">
        <f>$M$764*$W$764</f>
        <v>-1182.2184</v>
      </c>
      <c r="AD764" s="6">
        <f>$O$764*$X$764</f>
        <v>-940.73219999999992</v>
      </c>
      <c r="AE764" s="6">
        <f>$K$764*$Y$764</f>
        <v>0</v>
      </c>
      <c r="AF764" s="6">
        <f ca="1">$M$764*$Z$764</f>
        <v>-1284.8358548521414</v>
      </c>
      <c r="AG764" s="6">
        <f>$O$764*$AA$764</f>
        <v>-897.33521249215619</v>
      </c>
    </row>
    <row r="765" spans="1:33" ht="11.25" customHeight="1" x14ac:dyDescent="0.25">
      <c r="A765" s="4" t="s">
        <v>55</v>
      </c>
      <c r="B765" s="4" t="s">
        <v>42</v>
      </c>
      <c r="C765" s="4" t="s">
        <v>23</v>
      </c>
      <c r="D765" s="4" t="s">
        <v>43</v>
      </c>
      <c r="E765" s="4" t="s">
        <v>25</v>
      </c>
      <c r="F765" s="4" t="s">
        <v>25</v>
      </c>
      <c r="G765" s="4" t="s">
        <v>25</v>
      </c>
      <c r="H765" s="4" t="s">
        <v>25</v>
      </c>
      <c r="I765" s="5">
        <v>44682</v>
      </c>
      <c r="J765" s="6">
        <v>0</v>
      </c>
      <c r="K765" s="6">
        <v>0</v>
      </c>
      <c r="L765" s="6">
        <v>87.944000000000003</v>
      </c>
      <c r="M765" s="6">
        <v>87.944000000000003</v>
      </c>
      <c r="N765" s="6">
        <v>87.944000000000003</v>
      </c>
      <c r="O765" s="6">
        <v>87.944000000000003</v>
      </c>
      <c r="P765" s="6">
        <v>293</v>
      </c>
      <c r="Q765" s="4" t="s">
        <v>26</v>
      </c>
      <c r="R765" s="4">
        <v>0</v>
      </c>
      <c r="S765" s="6">
        <v>0</v>
      </c>
      <c r="T765" s="6">
        <v>30</v>
      </c>
      <c r="U765" s="6">
        <v>70</v>
      </c>
      <c r="V765" s="6">
        <f>IF(ISERROR(VLOOKUP($S$765,'TAR FIN'!$A$1:$O$86,15,0)),0,VLOOKUP($S$765,'TAR FIN'!$A$1:$O$86,15,0))</f>
        <v>0</v>
      </c>
      <c r="W765" s="6">
        <f>IF(ISERROR(VLOOKUP($T$765,'TAR FIN'!$A$1:$O$86,15,0)),0,VLOOKUP($T$765,'TAR FIN'!$A$1:$O$86,15,0))</f>
        <v>285.56</v>
      </c>
      <c r="X765" s="6">
        <f>IF(ISERROR(VLOOKUP($U$765,'TAR FIN'!$A$1:$O$86,15,0)),0,VLOOKUP($U$765,'TAR FIN'!$A$1:$O$86,15,0))</f>
        <v>227.23</v>
      </c>
      <c r="Y765" s="6"/>
      <c r="Z765" s="6">
        <f ca="1">('TUSD BE'!$AM$34+'TUSD BF'!$AM$34+'TUSD CVA'!$AM$34)*(1-CUSTOS!$M$38)</f>
        <v>310.34682484351242</v>
      </c>
      <c r="AA765" s="6">
        <f>('TE BE'!$AB$24+'TE BF'!$AB$24+'TE CVA'!$AB$24)*(1-CUSTOS!$M$38)</f>
        <v>216.7476358676706</v>
      </c>
      <c r="AB765" s="6">
        <f>$K$765*$V$765</f>
        <v>0</v>
      </c>
      <c r="AC765" s="6">
        <f>$M$765*$W$765</f>
        <v>25113.288640000002</v>
      </c>
      <c r="AD765" s="6">
        <f>$O$765*$X$765</f>
        <v>19983.51512</v>
      </c>
      <c r="AE765" s="6">
        <f>$K$765*$Y$765</f>
        <v>0</v>
      </c>
      <c r="AF765" s="6">
        <f ca="1">$M$765*$Z$765</f>
        <v>27293.141164037857</v>
      </c>
      <c r="AG765" s="6">
        <f>$O$765*$AA$765</f>
        <v>19061.654088746422</v>
      </c>
    </row>
    <row r="766" spans="1:33" ht="11.25" customHeight="1" x14ac:dyDescent="0.25">
      <c r="A766" s="4" t="s">
        <v>55</v>
      </c>
      <c r="B766" s="4" t="s">
        <v>42</v>
      </c>
      <c r="C766" s="4" t="s">
        <v>23</v>
      </c>
      <c r="D766" s="4" t="s">
        <v>43</v>
      </c>
      <c r="E766" s="4" t="s">
        <v>25</v>
      </c>
      <c r="F766" s="4" t="s">
        <v>25</v>
      </c>
      <c r="G766" s="4" t="s">
        <v>25</v>
      </c>
      <c r="H766" s="4" t="s">
        <v>25</v>
      </c>
      <c r="I766" s="5">
        <v>44682</v>
      </c>
      <c r="J766" s="6">
        <v>0</v>
      </c>
      <c r="K766" s="6">
        <v>0</v>
      </c>
      <c r="L766" s="6">
        <v>-0.11899999999999999</v>
      </c>
      <c r="M766" s="6">
        <v>-0.11899999999999999</v>
      </c>
      <c r="N766" s="6">
        <v>-0.11899999999999999</v>
      </c>
      <c r="O766" s="6">
        <v>-0.11899999999999999</v>
      </c>
      <c r="P766" s="6">
        <v>2</v>
      </c>
      <c r="Q766" s="4" t="s">
        <v>26</v>
      </c>
      <c r="R766" s="4">
        <v>0</v>
      </c>
      <c r="S766" s="6">
        <v>0</v>
      </c>
      <c r="T766" s="6">
        <v>30</v>
      </c>
      <c r="U766" s="6">
        <v>70</v>
      </c>
      <c r="V766" s="6">
        <f>IF(ISERROR(VLOOKUP($S$766,'TAR FIN'!$A$1:$O$86,15,0)),0,VLOOKUP($S$766,'TAR FIN'!$A$1:$O$86,15,0))</f>
        <v>0</v>
      </c>
      <c r="W766" s="6">
        <f>IF(ISERROR(VLOOKUP($T$766,'TAR FIN'!$A$1:$O$86,15,0)),0,VLOOKUP($T$766,'TAR FIN'!$A$1:$O$86,15,0))</f>
        <v>285.56</v>
      </c>
      <c r="X766" s="6">
        <f>IF(ISERROR(VLOOKUP($U$766,'TAR FIN'!$A$1:$O$86,15,0)),0,VLOOKUP($U$766,'TAR FIN'!$A$1:$O$86,15,0))</f>
        <v>227.23</v>
      </c>
      <c r="Y766" s="6"/>
      <c r="Z766" s="6">
        <f ca="1">('TUSD BE'!$AM$34+'TUSD BF'!$AM$34+'TUSD CVA'!$AM$34)*(1-CUSTOS!$M$38)</f>
        <v>310.34682484351242</v>
      </c>
      <c r="AA766" s="6">
        <f>('TE BE'!$AB$24+'TE BF'!$AB$24+'TE CVA'!$AB$24)*(1-CUSTOS!$M$38)</f>
        <v>216.7476358676706</v>
      </c>
      <c r="AB766" s="6">
        <f>$K$766*$V$766</f>
        <v>0</v>
      </c>
      <c r="AC766" s="6">
        <f>$M$766*$W$766</f>
        <v>-33.981639999999999</v>
      </c>
      <c r="AD766" s="6">
        <f>$O$766*$X$766</f>
        <v>-27.040369999999996</v>
      </c>
      <c r="AE766" s="6">
        <f>$K$766*$Y$766</f>
        <v>0</v>
      </c>
      <c r="AF766" s="6">
        <f ca="1">$M$766*$Z$766</f>
        <v>-36.931272156377979</v>
      </c>
      <c r="AG766" s="6">
        <f>$O$766*$AA$766</f>
        <v>-25.792968668252801</v>
      </c>
    </row>
    <row r="767" spans="1:33" ht="11.25" customHeight="1" x14ac:dyDescent="0.25">
      <c r="A767" s="4" t="s">
        <v>56</v>
      </c>
      <c r="B767" s="4" t="s">
        <v>42</v>
      </c>
      <c r="C767" s="4" t="s">
        <v>23</v>
      </c>
      <c r="D767" s="4" t="s">
        <v>43</v>
      </c>
      <c r="E767" s="4" t="s">
        <v>25</v>
      </c>
      <c r="F767" s="4" t="s">
        <v>25</v>
      </c>
      <c r="G767" s="4" t="s">
        <v>25</v>
      </c>
      <c r="H767" s="4" t="s">
        <v>25</v>
      </c>
      <c r="I767" s="5">
        <v>44713</v>
      </c>
      <c r="J767" s="6">
        <v>0</v>
      </c>
      <c r="K767" s="6">
        <v>0</v>
      </c>
      <c r="L767" s="6">
        <v>1287.5889999999999</v>
      </c>
      <c r="M767" s="6">
        <v>1287.5889999999999</v>
      </c>
      <c r="N767" s="6">
        <v>1287.5889999999999</v>
      </c>
      <c r="O767" s="6">
        <v>1287.5889999999999</v>
      </c>
      <c r="P767" s="6">
        <v>3370</v>
      </c>
      <c r="Q767" s="4" t="s">
        <v>26</v>
      </c>
      <c r="R767" s="4">
        <v>0</v>
      </c>
      <c r="S767" s="6">
        <v>0</v>
      </c>
      <c r="T767" s="6">
        <v>30</v>
      </c>
      <c r="U767" s="6">
        <v>70</v>
      </c>
      <c r="V767" s="6">
        <f>IF(ISERROR(VLOOKUP($S$767,'TAR FIN'!$A$1:$O$86,15,0)),0,VLOOKUP($S$767,'TAR FIN'!$A$1:$O$86,15,0))</f>
        <v>0</v>
      </c>
      <c r="W767" s="6">
        <f>IF(ISERROR(VLOOKUP($T$767,'TAR FIN'!$A$1:$O$86,15,0)),0,VLOOKUP($T$767,'TAR FIN'!$A$1:$O$86,15,0))</f>
        <v>285.56</v>
      </c>
      <c r="X767" s="6">
        <f>IF(ISERROR(VLOOKUP($U$767,'TAR FIN'!$A$1:$O$86,15,0)),0,VLOOKUP($U$767,'TAR FIN'!$A$1:$O$86,15,0))</f>
        <v>227.23</v>
      </c>
      <c r="Y767" s="6"/>
      <c r="Z767" s="6">
        <f ca="1">('TUSD BE'!$AM$34+'TUSD BF'!$AM$34+'TUSD CVA'!$AM$34)*(1-CUSTOS!$M$38)</f>
        <v>310.34682484351242</v>
      </c>
      <c r="AA767" s="6">
        <f>('TE BE'!$AB$24+'TE BF'!$AB$24+'TE CVA'!$AB$24)*(1-CUSTOS!$M$38)</f>
        <v>216.7476358676706</v>
      </c>
      <c r="AB767" s="6">
        <f>$K$767*$V$767</f>
        <v>0</v>
      </c>
      <c r="AC767" s="6">
        <f>$M$767*$W$767</f>
        <v>367683.91483999998</v>
      </c>
      <c r="AD767" s="6">
        <f>$O$767*$X$767</f>
        <v>292578.84846999997</v>
      </c>
      <c r="AE767" s="6">
        <f>$K$767*$Y$767</f>
        <v>0</v>
      </c>
      <c r="AF767" s="6">
        <f ca="1">$M$767*$Z$767</f>
        <v>399599.15785343328</v>
      </c>
      <c r="AG767" s="6">
        <f>$O$767*$AA$767</f>
        <v>279081.87171921809</v>
      </c>
    </row>
    <row r="768" spans="1:33" ht="11.25" customHeight="1" x14ac:dyDescent="0.25">
      <c r="A768" s="4" t="s">
        <v>56</v>
      </c>
      <c r="B768" s="4" t="s">
        <v>42</v>
      </c>
      <c r="C768" s="4" t="s">
        <v>23</v>
      </c>
      <c r="D768" s="4" t="s">
        <v>43</v>
      </c>
      <c r="E768" s="4" t="s">
        <v>25</v>
      </c>
      <c r="F768" s="4" t="s">
        <v>25</v>
      </c>
      <c r="G768" s="4" t="s">
        <v>25</v>
      </c>
      <c r="H768" s="4" t="s">
        <v>25</v>
      </c>
      <c r="I768" s="5">
        <v>44713</v>
      </c>
      <c r="J768" s="6">
        <v>0</v>
      </c>
      <c r="K768" s="6">
        <v>0</v>
      </c>
      <c r="L768" s="6">
        <v>-4.1399999999999997</v>
      </c>
      <c r="M768" s="6">
        <v>-4.1399999999999997</v>
      </c>
      <c r="N768" s="6">
        <v>-4.1399999999999997</v>
      </c>
      <c r="O768" s="6">
        <v>-4.1399999999999997</v>
      </c>
      <c r="P768" s="6">
        <v>0</v>
      </c>
      <c r="Q768" s="4" t="s">
        <v>26</v>
      </c>
      <c r="R768" s="4">
        <v>0</v>
      </c>
      <c r="S768" s="6">
        <v>0</v>
      </c>
      <c r="T768" s="6">
        <v>30</v>
      </c>
      <c r="U768" s="6">
        <v>70</v>
      </c>
      <c r="V768" s="6">
        <f>IF(ISERROR(VLOOKUP($S$768,'TAR FIN'!$A$1:$O$86,15,0)),0,VLOOKUP($S$768,'TAR FIN'!$A$1:$O$86,15,0))</f>
        <v>0</v>
      </c>
      <c r="W768" s="6">
        <f>IF(ISERROR(VLOOKUP($T$768,'TAR FIN'!$A$1:$O$86,15,0)),0,VLOOKUP($T$768,'TAR FIN'!$A$1:$O$86,15,0))</f>
        <v>285.56</v>
      </c>
      <c r="X768" s="6">
        <f>IF(ISERROR(VLOOKUP($U$768,'TAR FIN'!$A$1:$O$86,15,0)),0,VLOOKUP($U$768,'TAR FIN'!$A$1:$O$86,15,0))</f>
        <v>227.23</v>
      </c>
      <c r="Y768" s="6"/>
      <c r="Z768" s="6">
        <f ca="1">('TUSD BE'!$AM$34+'TUSD BF'!$AM$34+'TUSD CVA'!$AM$34)*(1-CUSTOS!$M$38)</f>
        <v>310.34682484351242</v>
      </c>
      <c r="AA768" s="6">
        <f>('TE BE'!$AB$24+'TE BF'!$AB$24+'TE CVA'!$AB$24)*(1-CUSTOS!$M$38)</f>
        <v>216.7476358676706</v>
      </c>
      <c r="AB768" s="6">
        <f>$K$768*$V$768</f>
        <v>0</v>
      </c>
      <c r="AC768" s="6">
        <f>$M$768*$W$768</f>
        <v>-1182.2184</v>
      </c>
      <c r="AD768" s="6">
        <f>$O$768*$X$768</f>
        <v>-940.73219999999992</v>
      </c>
      <c r="AE768" s="6">
        <f>$K$768*$Y$768</f>
        <v>0</v>
      </c>
      <c r="AF768" s="6">
        <f ca="1">$M$768*$Z$768</f>
        <v>-1284.8358548521414</v>
      </c>
      <c r="AG768" s="6">
        <f>$O$768*$AA$768</f>
        <v>-897.33521249215619</v>
      </c>
    </row>
    <row r="769" spans="1:33" ht="11.25" customHeight="1" x14ac:dyDescent="0.25">
      <c r="A769" s="4" t="s">
        <v>56</v>
      </c>
      <c r="B769" s="4" t="s">
        <v>42</v>
      </c>
      <c r="C769" s="4" t="s">
        <v>23</v>
      </c>
      <c r="D769" s="4" t="s">
        <v>43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44713</v>
      </c>
      <c r="J769" s="6">
        <v>0</v>
      </c>
      <c r="K769" s="6">
        <v>0</v>
      </c>
      <c r="L769" s="6">
        <v>87.944000000000003</v>
      </c>
      <c r="M769" s="6">
        <v>87.944000000000003</v>
      </c>
      <c r="N769" s="6">
        <v>87.944000000000003</v>
      </c>
      <c r="O769" s="6">
        <v>87.944000000000003</v>
      </c>
      <c r="P769" s="6">
        <v>293</v>
      </c>
      <c r="Q769" s="4" t="s">
        <v>26</v>
      </c>
      <c r="R769" s="4">
        <v>0</v>
      </c>
      <c r="S769" s="6">
        <v>0</v>
      </c>
      <c r="T769" s="6">
        <v>30</v>
      </c>
      <c r="U769" s="6">
        <v>70</v>
      </c>
      <c r="V769" s="6">
        <f>IF(ISERROR(VLOOKUP($S$769,'TAR FIN'!$A$1:$O$86,15,0)),0,VLOOKUP($S$769,'TAR FIN'!$A$1:$O$86,15,0))</f>
        <v>0</v>
      </c>
      <c r="W769" s="6">
        <f>IF(ISERROR(VLOOKUP($T$769,'TAR FIN'!$A$1:$O$86,15,0)),0,VLOOKUP($T$769,'TAR FIN'!$A$1:$O$86,15,0))</f>
        <v>285.56</v>
      </c>
      <c r="X769" s="6">
        <f>IF(ISERROR(VLOOKUP($U$769,'TAR FIN'!$A$1:$O$86,15,0)),0,VLOOKUP($U$769,'TAR FIN'!$A$1:$O$86,15,0))</f>
        <v>227.23</v>
      </c>
      <c r="Y769" s="6"/>
      <c r="Z769" s="6">
        <f ca="1">('TUSD BE'!$AM$34+'TUSD BF'!$AM$34+'TUSD CVA'!$AM$34)*(1-CUSTOS!$M$38)</f>
        <v>310.34682484351242</v>
      </c>
      <c r="AA769" s="6">
        <f>('TE BE'!$AB$24+'TE BF'!$AB$24+'TE CVA'!$AB$24)*(1-CUSTOS!$M$38)</f>
        <v>216.7476358676706</v>
      </c>
      <c r="AB769" s="6">
        <f>$K$769*$V$769</f>
        <v>0</v>
      </c>
      <c r="AC769" s="6">
        <f>$M$769*$W$769</f>
        <v>25113.288640000002</v>
      </c>
      <c r="AD769" s="6">
        <f>$O$769*$X$769</f>
        <v>19983.51512</v>
      </c>
      <c r="AE769" s="6">
        <f>$K$769*$Y$769</f>
        <v>0</v>
      </c>
      <c r="AF769" s="6">
        <f ca="1">$M$769*$Z$769</f>
        <v>27293.141164037857</v>
      </c>
      <c r="AG769" s="6">
        <f>$O$769*$AA$769</f>
        <v>19061.654088746422</v>
      </c>
    </row>
    <row r="770" spans="1:33" ht="11.25" customHeight="1" x14ac:dyDescent="0.25">
      <c r="A770" s="4" t="s">
        <v>56</v>
      </c>
      <c r="B770" s="4" t="s">
        <v>42</v>
      </c>
      <c r="C770" s="4" t="s">
        <v>23</v>
      </c>
      <c r="D770" s="4" t="s">
        <v>43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44713</v>
      </c>
      <c r="J770" s="6">
        <v>0</v>
      </c>
      <c r="K770" s="6">
        <v>0</v>
      </c>
      <c r="L770" s="6">
        <v>-0.11899999999999999</v>
      </c>
      <c r="M770" s="6">
        <v>-0.11899999999999999</v>
      </c>
      <c r="N770" s="6">
        <v>-0.11899999999999999</v>
      </c>
      <c r="O770" s="6">
        <v>-0.11899999999999999</v>
      </c>
      <c r="P770" s="6">
        <v>2</v>
      </c>
      <c r="Q770" s="4" t="s">
        <v>26</v>
      </c>
      <c r="R770" s="4">
        <v>0</v>
      </c>
      <c r="S770" s="6">
        <v>0</v>
      </c>
      <c r="T770" s="6">
        <v>30</v>
      </c>
      <c r="U770" s="6">
        <v>70</v>
      </c>
      <c r="V770" s="6">
        <f>IF(ISERROR(VLOOKUP($S$770,'TAR FIN'!$A$1:$O$86,15,0)),0,VLOOKUP($S$770,'TAR FIN'!$A$1:$O$86,15,0))</f>
        <v>0</v>
      </c>
      <c r="W770" s="6">
        <f>IF(ISERROR(VLOOKUP($T$770,'TAR FIN'!$A$1:$O$86,15,0)),0,VLOOKUP($T$770,'TAR FIN'!$A$1:$O$86,15,0))</f>
        <v>285.56</v>
      </c>
      <c r="X770" s="6">
        <f>IF(ISERROR(VLOOKUP($U$770,'TAR FIN'!$A$1:$O$86,15,0)),0,VLOOKUP($U$770,'TAR FIN'!$A$1:$O$86,15,0))</f>
        <v>227.23</v>
      </c>
      <c r="Y770" s="6"/>
      <c r="Z770" s="6">
        <f ca="1">('TUSD BE'!$AM$34+'TUSD BF'!$AM$34+'TUSD CVA'!$AM$34)*(1-CUSTOS!$M$38)</f>
        <v>310.34682484351242</v>
      </c>
      <c r="AA770" s="6">
        <f>('TE BE'!$AB$24+'TE BF'!$AB$24+'TE CVA'!$AB$24)*(1-CUSTOS!$M$38)</f>
        <v>216.7476358676706</v>
      </c>
      <c r="AB770" s="6">
        <f>$K$770*$V$770</f>
        <v>0</v>
      </c>
      <c r="AC770" s="6">
        <f>$M$770*$W$770</f>
        <v>-33.981639999999999</v>
      </c>
      <c r="AD770" s="6">
        <f>$O$770*$X$770</f>
        <v>-27.040369999999996</v>
      </c>
      <c r="AE770" s="6">
        <f>$K$770*$Y$770</f>
        <v>0</v>
      </c>
      <c r="AF770" s="6">
        <f ca="1">$M$770*$Z$770</f>
        <v>-36.931272156377979</v>
      </c>
      <c r="AG770" s="6">
        <f>$O$770*$AA$770</f>
        <v>-25.792968668252801</v>
      </c>
    </row>
    <row r="771" spans="1:33" ht="11.25" customHeight="1" x14ac:dyDescent="0.25">
      <c r="A771" s="4" t="s">
        <v>21</v>
      </c>
      <c r="B771" s="4" t="s">
        <v>36</v>
      </c>
      <c r="C771" s="4" t="s">
        <v>32</v>
      </c>
      <c r="D771" s="4" t="s">
        <v>41</v>
      </c>
      <c r="E771" s="4" t="s">
        <v>25</v>
      </c>
      <c r="F771" s="4" t="s">
        <v>25</v>
      </c>
      <c r="G771" s="4" t="s">
        <v>25</v>
      </c>
      <c r="H771" s="4" t="s">
        <v>34</v>
      </c>
      <c r="I771" s="5">
        <v>44378</v>
      </c>
      <c r="J771" s="6">
        <v>0</v>
      </c>
      <c r="K771" s="6">
        <v>0</v>
      </c>
      <c r="L771" s="6">
        <v>19.925000000000001</v>
      </c>
      <c r="M771" s="6">
        <v>19.925000000000001</v>
      </c>
      <c r="N771" s="6">
        <v>19.925000000000001</v>
      </c>
      <c r="O771" s="6">
        <v>19.925000000000001</v>
      </c>
      <c r="P771" s="6">
        <v>0</v>
      </c>
      <c r="Q771" s="4" t="s">
        <v>26</v>
      </c>
      <c r="R771" s="4">
        <v>0</v>
      </c>
      <c r="S771" s="6">
        <v>0</v>
      </c>
      <c r="T771" s="6">
        <v>26</v>
      </c>
      <c r="U771" s="6">
        <v>69</v>
      </c>
      <c r="V771" s="6">
        <f>IF(ISERROR(VLOOKUP($S$771,'TAR FIN'!$A$1:$O$86,15,0)),0,VLOOKUP($S$771,'TAR FIN'!$A$1:$O$86,15,0))</f>
        <v>0</v>
      </c>
      <c r="W771" s="6">
        <f>IF(ISERROR(VLOOKUP($T$771,'TAR FIN'!$A$1:$O$86,15,0)),0,VLOOKUP($T$771,'TAR FIN'!$A$1:$O$86,15,0))</f>
        <v>245.71</v>
      </c>
      <c r="X771" s="6">
        <f>IF(ISERROR(VLOOKUP($U$771,'TAR FIN'!$A$1:$O$86,15,0)),0,VLOOKUP($U$771,'TAR FIN'!$A$1:$O$86,15,0))</f>
        <v>246.3</v>
      </c>
      <c r="Y771" s="6"/>
      <c r="Z771" s="6">
        <f ca="1">('TUSD BE'!$AM$48+'TUSD BF'!$AM$48+'TUSD CVA'!$AM$48)*1</f>
        <v>223.26795372656312</v>
      </c>
      <c r="AA771" s="6">
        <f>('TE BE'!$AB$38+'TE BF'!$AB$38+'TE CVA'!$AB$38)*1</f>
        <v>219.40364509824883</v>
      </c>
      <c r="AB771" s="6">
        <f>$K$771*$V$771</f>
        <v>0</v>
      </c>
      <c r="AC771" s="6">
        <f>$M$771*$W$771</f>
        <v>4895.7717499999999</v>
      </c>
      <c r="AD771" s="6">
        <f>$O$771*$X$771</f>
        <v>4907.5275000000001</v>
      </c>
      <c r="AE771" s="6">
        <f>$K$771*$Y$771</f>
        <v>0</v>
      </c>
      <c r="AF771" s="6">
        <f ca="1">$M$771*$Z$771</f>
        <v>4448.6139780017702</v>
      </c>
      <c r="AG771" s="6">
        <f>$O$771*$AA$771</f>
        <v>4371.6176285826077</v>
      </c>
    </row>
    <row r="772" spans="1:33" ht="11.25" customHeight="1" x14ac:dyDescent="0.25">
      <c r="A772" s="4" t="s">
        <v>21</v>
      </c>
      <c r="B772" s="4" t="s">
        <v>36</v>
      </c>
      <c r="C772" s="4" t="s">
        <v>32</v>
      </c>
      <c r="D772" s="4" t="s">
        <v>41</v>
      </c>
      <c r="E772" s="4" t="s">
        <v>25</v>
      </c>
      <c r="F772" s="4" t="s">
        <v>25</v>
      </c>
      <c r="G772" s="4" t="s">
        <v>25</v>
      </c>
      <c r="H772" s="4" t="s">
        <v>34</v>
      </c>
      <c r="I772" s="5">
        <v>44409</v>
      </c>
      <c r="J772" s="6">
        <v>0</v>
      </c>
      <c r="K772" s="6">
        <v>0</v>
      </c>
      <c r="L772" s="6">
        <v>17.105</v>
      </c>
      <c r="M772" s="6">
        <v>17.105</v>
      </c>
      <c r="N772" s="6">
        <v>17.105</v>
      </c>
      <c r="O772" s="6">
        <v>17.105</v>
      </c>
      <c r="P772" s="6">
        <v>0</v>
      </c>
      <c r="Q772" s="4" t="s">
        <v>26</v>
      </c>
      <c r="R772" s="4">
        <v>0</v>
      </c>
      <c r="S772" s="6">
        <v>0</v>
      </c>
      <c r="T772" s="6">
        <v>26</v>
      </c>
      <c r="U772" s="6">
        <v>69</v>
      </c>
      <c r="V772" s="6">
        <f>IF(ISERROR(VLOOKUP($S$772,'TAR FIN'!$A$1:$O$86,15,0)),0,VLOOKUP($S$772,'TAR FIN'!$A$1:$O$86,15,0))</f>
        <v>0</v>
      </c>
      <c r="W772" s="6">
        <f>IF(ISERROR(VLOOKUP($T$772,'TAR FIN'!$A$1:$O$86,15,0)),0,VLOOKUP($T$772,'TAR FIN'!$A$1:$O$86,15,0))</f>
        <v>245.71</v>
      </c>
      <c r="X772" s="6">
        <f>IF(ISERROR(VLOOKUP($U$772,'TAR FIN'!$A$1:$O$86,15,0)),0,VLOOKUP($U$772,'TAR FIN'!$A$1:$O$86,15,0))</f>
        <v>246.3</v>
      </c>
      <c r="Y772" s="6"/>
      <c r="Z772" s="6">
        <f ca="1">('TUSD BE'!$AM$48+'TUSD BF'!$AM$48+'TUSD CVA'!$AM$48)*1</f>
        <v>223.26795372656312</v>
      </c>
      <c r="AA772" s="6">
        <f>('TE BE'!$AB$38+'TE BF'!$AB$38+'TE CVA'!$AB$38)*1</f>
        <v>219.40364509824883</v>
      </c>
      <c r="AB772" s="6">
        <f>$K$772*$V$772</f>
        <v>0</v>
      </c>
      <c r="AC772" s="6">
        <f>$M$772*$W$772</f>
        <v>4202.8695500000003</v>
      </c>
      <c r="AD772" s="6">
        <f>$O$772*$X$772</f>
        <v>4212.9615000000003</v>
      </c>
      <c r="AE772" s="6">
        <f>$K$772*$Y$772</f>
        <v>0</v>
      </c>
      <c r="AF772" s="6">
        <f ca="1">$M$772*$Z$772</f>
        <v>3818.9983484928621</v>
      </c>
      <c r="AG772" s="6">
        <f>$O$772*$AA$772</f>
        <v>3752.8993494055462</v>
      </c>
    </row>
    <row r="773" spans="1:33" ht="11.25" customHeight="1" x14ac:dyDescent="0.25">
      <c r="A773" s="4" t="s">
        <v>21</v>
      </c>
      <c r="B773" s="4" t="s">
        <v>36</v>
      </c>
      <c r="C773" s="4" t="s">
        <v>32</v>
      </c>
      <c r="D773" s="4" t="s">
        <v>41</v>
      </c>
      <c r="E773" s="4" t="s">
        <v>25</v>
      </c>
      <c r="F773" s="4" t="s">
        <v>25</v>
      </c>
      <c r="G773" s="4" t="s">
        <v>25</v>
      </c>
      <c r="H773" s="4" t="s">
        <v>34</v>
      </c>
      <c r="I773" s="5">
        <v>44440</v>
      </c>
      <c r="J773" s="6">
        <v>0</v>
      </c>
      <c r="K773" s="6">
        <v>0</v>
      </c>
      <c r="L773" s="6">
        <v>16.241</v>
      </c>
      <c r="M773" s="6">
        <v>16.241</v>
      </c>
      <c r="N773" s="6">
        <v>16.241</v>
      </c>
      <c r="O773" s="6">
        <v>16.241</v>
      </c>
      <c r="P773" s="6">
        <v>0</v>
      </c>
      <c r="Q773" s="4" t="s">
        <v>26</v>
      </c>
      <c r="R773" s="4">
        <v>0</v>
      </c>
      <c r="S773" s="6">
        <v>0</v>
      </c>
      <c r="T773" s="6">
        <v>26</v>
      </c>
      <c r="U773" s="6">
        <v>69</v>
      </c>
      <c r="V773" s="6">
        <f>IF(ISERROR(VLOOKUP($S$773,'TAR FIN'!$A$1:$O$86,15,0)),0,VLOOKUP($S$773,'TAR FIN'!$A$1:$O$86,15,0))</f>
        <v>0</v>
      </c>
      <c r="W773" s="6">
        <f>IF(ISERROR(VLOOKUP($T$773,'TAR FIN'!$A$1:$O$86,15,0)),0,VLOOKUP($T$773,'TAR FIN'!$A$1:$O$86,15,0))</f>
        <v>245.71</v>
      </c>
      <c r="X773" s="6">
        <f>IF(ISERROR(VLOOKUP($U$773,'TAR FIN'!$A$1:$O$86,15,0)),0,VLOOKUP($U$773,'TAR FIN'!$A$1:$O$86,15,0))</f>
        <v>246.3</v>
      </c>
      <c r="Y773" s="6"/>
      <c r="Z773" s="6">
        <f ca="1">('TUSD BE'!$AM$48+'TUSD BF'!$AM$48+'TUSD CVA'!$AM$48)*1</f>
        <v>223.26795372656312</v>
      </c>
      <c r="AA773" s="6">
        <f>('TE BE'!$AB$38+'TE BF'!$AB$38+'TE CVA'!$AB$38)*1</f>
        <v>219.40364509824883</v>
      </c>
      <c r="AB773" s="6">
        <f>$K$773*$V$773</f>
        <v>0</v>
      </c>
      <c r="AC773" s="6">
        <f>$M$773*$W$773</f>
        <v>3990.57611</v>
      </c>
      <c r="AD773" s="6">
        <f>$O$773*$X$773</f>
        <v>4000.1583000000001</v>
      </c>
      <c r="AE773" s="6">
        <f>$K$773*$Y$773</f>
        <v>0</v>
      </c>
      <c r="AF773" s="6">
        <f ca="1">$M$773*$Z$773</f>
        <v>3626.0948364731116</v>
      </c>
      <c r="AG773" s="6">
        <f>$O$773*$AA$773</f>
        <v>3563.3346000406591</v>
      </c>
    </row>
    <row r="774" spans="1:33" ht="11.25" customHeight="1" x14ac:dyDescent="0.25">
      <c r="A774" s="4" t="s">
        <v>21</v>
      </c>
      <c r="B774" s="4" t="s">
        <v>36</v>
      </c>
      <c r="C774" s="4" t="s">
        <v>32</v>
      </c>
      <c r="D774" s="4" t="s">
        <v>41</v>
      </c>
      <c r="E774" s="4" t="s">
        <v>25</v>
      </c>
      <c r="F774" s="4" t="s">
        <v>25</v>
      </c>
      <c r="G774" s="4" t="s">
        <v>25</v>
      </c>
      <c r="H774" s="4" t="s">
        <v>34</v>
      </c>
      <c r="I774" s="5">
        <v>44470</v>
      </c>
      <c r="J774" s="6">
        <v>0</v>
      </c>
      <c r="K774" s="6">
        <v>0</v>
      </c>
      <c r="L774" s="6">
        <v>16.625</v>
      </c>
      <c r="M774" s="6">
        <v>16.625</v>
      </c>
      <c r="N774" s="6">
        <v>16.625</v>
      </c>
      <c r="O774" s="6">
        <v>16.625</v>
      </c>
      <c r="P774" s="6">
        <v>0</v>
      </c>
      <c r="Q774" s="4" t="s">
        <v>26</v>
      </c>
      <c r="R774" s="4">
        <v>0</v>
      </c>
      <c r="S774" s="6">
        <v>0</v>
      </c>
      <c r="T774" s="6">
        <v>26</v>
      </c>
      <c r="U774" s="6">
        <v>69</v>
      </c>
      <c r="V774" s="6">
        <f>IF(ISERROR(VLOOKUP($S$774,'TAR FIN'!$A$1:$O$86,15,0)),0,VLOOKUP($S$774,'TAR FIN'!$A$1:$O$86,15,0))</f>
        <v>0</v>
      </c>
      <c r="W774" s="6">
        <f>IF(ISERROR(VLOOKUP($T$774,'TAR FIN'!$A$1:$O$86,15,0)),0,VLOOKUP($T$774,'TAR FIN'!$A$1:$O$86,15,0))</f>
        <v>245.71</v>
      </c>
      <c r="X774" s="6">
        <f>IF(ISERROR(VLOOKUP($U$774,'TAR FIN'!$A$1:$O$86,15,0)),0,VLOOKUP($U$774,'TAR FIN'!$A$1:$O$86,15,0))</f>
        <v>246.3</v>
      </c>
      <c r="Y774" s="6"/>
      <c r="Z774" s="6">
        <f ca="1">('TUSD BE'!$AM$48+'TUSD BF'!$AM$48+'TUSD CVA'!$AM$48)*1</f>
        <v>223.26795372656312</v>
      </c>
      <c r="AA774" s="6">
        <f>('TE BE'!$AB$38+'TE BF'!$AB$38+'TE CVA'!$AB$38)*1</f>
        <v>219.40364509824883</v>
      </c>
      <c r="AB774" s="6">
        <f>$K$774*$V$774</f>
        <v>0</v>
      </c>
      <c r="AC774" s="6">
        <f>$M$774*$W$774</f>
        <v>4084.92875</v>
      </c>
      <c r="AD774" s="6">
        <f>$O$774*$X$774</f>
        <v>4094.7375000000002</v>
      </c>
      <c r="AE774" s="6">
        <f>$K$774*$Y$774</f>
        <v>0</v>
      </c>
      <c r="AF774" s="6">
        <f ca="1">$M$774*$Z$774</f>
        <v>3711.8297307041121</v>
      </c>
      <c r="AG774" s="6">
        <f>$O$774*$AA$774</f>
        <v>3647.5855997583867</v>
      </c>
    </row>
    <row r="775" spans="1:33" ht="11.25" customHeight="1" x14ac:dyDescent="0.25">
      <c r="A775" s="4" t="s">
        <v>21</v>
      </c>
      <c r="B775" s="4" t="s">
        <v>36</v>
      </c>
      <c r="C775" s="4" t="s">
        <v>32</v>
      </c>
      <c r="D775" s="4" t="s">
        <v>41</v>
      </c>
      <c r="E775" s="4" t="s">
        <v>25</v>
      </c>
      <c r="F775" s="4" t="s">
        <v>25</v>
      </c>
      <c r="G775" s="4" t="s">
        <v>25</v>
      </c>
      <c r="H775" s="4" t="s">
        <v>34</v>
      </c>
      <c r="I775" s="5">
        <v>44501</v>
      </c>
      <c r="J775" s="6">
        <v>0</v>
      </c>
      <c r="K775" s="6">
        <v>0</v>
      </c>
      <c r="L775" s="6">
        <v>18.853000000000002</v>
      </c>
      <c r="M775" s="6">
        <v>18.853000000000002</v>
      </c>
      <c r="N775" s="6">
        <v>18.853000000000002</v>
      </c>
      <c r="O775" s="6">
        <v>18.853000000000002</v>
      </c>
      <c r="P775" s="6">
        <v>0</v>
      </c>
      <c r="Q775" s="4" t="s">
        <v>26</v>
      </c>
      <c r="R775" s="4">
        <v>0</v>
      </c>
      <c r="S775" s="6">
        <v>0</v>
      </c>
      <c r="T775" s="6">
        <v>26</v>
      </c>
      <c r="U775" s="6">
        <v>69</v>
      </c>
      <c r="V775" s="6">
        <f>IF(ISERROR(VLOOKUP($S$775,'TAR FIN'!$A$1:$O$86,15,0)),0,VLOOKUP($S$775,'TAR FIN'!$A$1:$O$86,15,0))</f>
        <v>0</v>
      </c>
      <c r="W775" s="6">
        <f>IF(ISERROR(VLOOKUP($T$775,'TAR FIN'!$A$1:$O$86,15,0)),0,VLOOKUP($T$775,'TAR FIN'!$A$1:$O$86,15,0))</f>
        <v>245.71</v>
      </c>
      <c r="X775" s="6">
        <f>IF(ISERROR(VLOOKUP($U$775,'TAR FIN'!$A$1:$O$86,15,0)),0,VLOOKUP($U$775,'TAR FIN'!$A$1:$O$86,15,0))</f>
        <v>246.3</v>
      </c>
      <c r="Y775" s="6"/>
      <c r="Z775" s="6">
        <f ca="1">('TUSD BE'!$AM$48+'TUSD BF'!$AM$48+'TUSD CVA'!$AM$48)*1</f>
        <v>223.26795372656312</v>
      </c>
      <c r="AA775" s="6">
        <f>('TE BE'!$AB$38+'TE BF'!$AB$38+'TE CVA'!$AB$38)*1</f>
        <v>219.40364509824883</v>
      </c>
      <c r="AB775" s="6">
        <f>$K$775*$V$775</f>
        <v>0</v>
      </c>
      <c r="AC775" s="6">
        <f>$M$775*$W$775</f>
        <v>4632.3706300000003</v>
      </c>
      <c r="AD775" s="6">
        <f>$O$775*$X$775</f>
        <v>4643.4939000000004</v>
      </c>
      <c r="AE775" s="6">
        <f>$K$775*$Y$775</f>
        <v>0</v>
      </c>
      <c r="AF775" s="6">
        <f ca="1">$M$775*$Z$775</f>
        <v>4209.2707316068945</v>
      </c>
      <c r="AG775" s="6">
        <f>$O$775*$AA$775</f>
        <v>4136.4169210372856</v>
      </c>
    </row>
    <row r="776" spans="1:33" ht="11.25" customHeight="1" x14ac:dyDescent="0.25">
      <c r="A776" s="4" t="s">
        <v>21</v>
      </c>
      <c r="B776" s="4" t="s">
        <v>36</v>
      </c>
      <c r="C776" s="4" t="s">
        <v>32</v>
      </c>
      <c r="D776" s="4" t="s">
        <v>41</v>
      </c>
      <c r="E776" s="4" t="s">
        <v>25</v>
      </c>
      <c r="F776" s="4" t="s">
        <v>25</v>
      </c>
      <c r="G776" s="4" t="s">
        <v>25</v>
      </c>
      <c r="H776" s="4" t="s">
        <v>34</v>
      </c>
      <c r="I776" s="5">
        <v>44531</v>
      </c>
      <c r="J776" s="6">
        <v>0</v>
      </c>
      <c r="K776" s="6">
        <v>0</v>
      </c>
      <c r="L776" s="6">
        <v>18.457999999999998</v>
      </c>
      <c r="M776" s="6">
        <v>18.457999999999998</v>
      </c>
      <c r="N776" s="6">
        <v>18.457999999999998</v>
      </c>
      <c r="O776" s="6">
        <v>18.457999999999998</v>
      </c>
      <c r="P776" s="6">
        <v>0</v>
      </c>
      <c r="Q776" s="4" t="s">
        <v>26</v>
      </c>
      <c r="R776" s="4">
        <v>0</v>
      </c>
      <c r="S776" s="6">
        <v>0</v>
      </c>
      <c r="T776" s="6">
        <v>26</v>
      </c>
      <c r="U776" s="6">
        <v>69</v>
      </c>
      <c r="V776" s="6">
        <f>IF(ISERROR(VLOOKUP($S$776,'TAR FIN'!$A$1:$O$86,15,0)),0,VLOOKUP($S$776,'TAR FIN'!$A$1:$O$86,15,0))</f>
        <v>0</v>
      </c>
      <c r="W776" s="6">
        <f>IF(ISERROR(VLOOKUP($T$776,'TAR FIN'!$A$1:$O$86,15,0)),0,VLOOKUP($T$776,'TAR FIN'!$A$1:$O$86,15,0))</f>
        <v>245.71</v>
      </c>
      <c r="X776" s="6">
        <f>IF(ISERROR(VLOOKUP($U$776,'TAR FIN'!$A$1:$O$86,15,0)),0,VLOOKUP($U$776,'TAR FIN'!$A$1:$O$86,15,0))</f>
        <v>246.3</v>
      </c>
      <c r="Y776" s="6"/>
      <c r="Z776" s="6">
        <f ca="1">('TUSD BE'!$AM$48+'TUSD BF'!$AM$48+'TUSD CVA'!$AM$48)*1</f>
        <v>223.26795372656312</v>
      </c>
      <c r="AA776" s="6">
        <f>('TE BE'!$AB$38+'TE BF'!$AB$38+'TE CVA'!$AB$38)*1</f>
        <v>219.40364509824883</v>
      </c>
      <c r="AB776" s="6">
        <f>$K$776*$V$776</f>
        <v>0</v>
      </c>
      <c r="AC776" s="6">
        <f>$M$776*$W$776</f>
        <v>4535.3151799999996</v>
      </c>
      <c r="AD776" s="6">
        <f>$O$776*$X$776</f>
        <v>4546.2053999999998</v>
      </c>
      <c r="AE776" s="6">
        <f>$K$776*$Y$776</f>
        <v>0</v>
      </c>
      <c r="AF776" s="6">
        <f ca="1">$M$776*$Z$776</f>
        <v>4121.0798898849016</v>
      </c>
      <c r="AG776" s="6">
        <f>$O$776*$AA$776</f>
        <v>4049.7524812234765</v>
      </c>
    </row>
    <row r="777" spans="1:33" ht="11.25" customHeight="1" x14ac:dyDescent="0.25">
      <c r="A777" s="4" t="s">
        <v>21</v>
      </c>
      <c r="B777" s="4" t="s">
        <v>36</v>
      </c>
      <c r="C777" s="4" t="s">
        <v>32</v>
      </c>
      <c r="D777" s="4" t="s">
        <v>41</v>
      </c>
      <c r="E777" s="4" t="s">
        <v>25</v>
      </c>
      <c r="F777" s="4" t="s">
        <v>25</v>
      </c>
      <c r="G777" s="4" t="s">
        <v>25</v>
      </c>
      <c r="H777" s="4" t="s">
        <v>34</v>
      </c>
      <c r="I777" s="5">
        <v>44562</v>
      </c>
      <c r="J777" s="6">
        <v>0</v>
      </c>
      <c r="K777" s="6">
        <v>0</v>
      </c>
      <c r="L777" s="6">
        <v>25.123999999999999</v>
      </c>
      <c r="M777" s="6">
        <v>25.123999999999999</v>
      </c>
      <c r="N777" s="6">
        <v>25.123999999999999</v>
      </c>
      <c r="O777" s="6">
        <v>25.123999999999999</v>
      </c>
      <c r="P777" s="6">
        <v>0</v>
      </c>
      <c r="Q777" s="4" t="s">
        <v>26</v>
      </c>
      <c r="R777" s="4">
        <v>0</v>
      </c>
      <c r="S777" s="6">
        <v>0</v>
      </c>
      <c r="T777" s="6">
        <v>26</v>
      </c>
      <c r="U777" s="6">
        <v>69</v>
      </c>
      <c r="V777" s="6">
        <f>IF(ISERROR(VLOOKUP($S$777,'TAR FIN'!$A$1:$O$86,15,0)),0,VLOOKUP($S$777,'TAR FIN'!$A$1:$O$86,15,0))</f>
        <v>0</v>
      </c>
      <c r="W777" s="6">
        <f>IF(ISERROR(VLOOKUP($T$777,'TAR FIN'!$A$1:$O$86,15,0)),0,VLOOKUP($T$777,'TAR FIN'!$A$1:$O$86,15,0))</f>
        <v>245.71</v>
      </c>
      <c r="X777" s="6">
        <f>IF(ISERROR(VLOOKUP($U$777,'TAR FIN'!$A$1:$O$86,15,0)),0,VLOOKUP($U$777,'TAR FIN'!$A$1:$O$86,15,0))</f>
        <v>246.3</v>
      </c>
      <c r="Y777" s="6"/>
      <c r="Z777" s="6">
        <f ca="1">('TUSD BE'!$AM$48+'TUSD BF'!$AM$48+'TUSD CVA'!$AM$48)*1</f>
        <v>223.26795372656312</v>
      </c>
      <c r="AA777" s="6">
        <f>('TE BE'!$AB$38+'TE BF'!$AB$38+'TE CVA'!$AB$38)*1</f>
        <v>219.40364509824883</v>
      </c>
      <c r="AB777" s="6">
        <f>$K$777*$V$777</f>
        <v>0</v>
      </c>
      <c r="AC777" s="6">
        <f>$M$777*$W$777</f>
        <v>6173.2180399999997</v>
      </c>
      <c r="AD777" s="6">
        <f>$O$777*$X$777</f>
        <v>6188.0411999999997</v>
      </c>
      <c r="AE777" s="6">
        <f>$K$777*$Y$777</f>
        <v>0</v>
      </c>
      <c r="AF777" s="6">
        <f ca="1">$M$777*$Z$777</f>
        <v>5609.3840694261717</v>
      </c>
      <c r="AG777" s="6">
        <f>$O$777*$AA$777</f>
        <v>5512.2971794484038</v>
      </c>
    </row>
    <row r="778" spans="1:33" ht="11.25" customHeight="1" x14ac:dyDescent="0.25">
      <c r="A778" s="4" t="s">
        <v>21</v>
      </c>
      <c r="B778" s="4" t="s">
        <v>36</v>
      </c>
      <c r="C778" s="4" t="s">
        <v>32</v>
      </c>
      <c r="D778" s="4" t="s">
        <v>41</v>
      </c>
      <c r="E778" s="4" t="s">
        <v>25</v>
      </c>
      <c r="F778" s="4" t="s">
        <v>25</v>
      </c>
      <c r="G778" s="4" t="s">
        <v>25</v>
      </c>
      <c r="H778" s="4" t="s">
        <v>34</v>
      </c>
      <c r="I778" s="5">
        <v>44593</v>
      </c>
      <c r="J778" s="6">
        <v>0</v>
      </c>
      <c r="K778" s="6">
        <v>0</v>
      </c>
      <c r="L778" s="6">
        <v>17.977</v>
      </c>
      <c r="M778" s="6">
        <v>17.977</v>
      </c>
      <c r="N778" s="6">
        <v>17.977</v>
      </c>
      <c r="O778" s="6">
        <v>17.977</v>
      </c>
      <c r="P778" s="6">
        <v>0</v>
      </c>
      <c r="Q778" s="4" t="s">
        <v>26</v>
      </c>
      <c r="R778" s="4">
        <v>0</v>
      </c>
      <c r="S778" s="6">
        <v>0</v>
      </c>
      <c r="T778" s="6">
        <v>26</v>
      </c>
      <c r="U778" s="6">
        <v>69</v>
      </c>
      <c r="V778" s="6">
        <f>IF(ISERROR(VLOOKUP($S$778,'TAR FIN'!$A$1:$O$86,15,0)),0,VLOOKUP($S$778,'TAR FIN'!$A$1:$O$86,15,0))</f>
        <v>0</v>
      </c>
      <c r="W778" s="6">
        <f>IF(ISERROR(VLOOKUP($T$778,'TAR FIN'!$A$1:$O$86,15,0)),0,VLOOKUP($T$778,'TAR FIN'!$A$1:$O$86,15,0))</f>
        <v>245.71</v>
      </c>
      <c r="X778" s="6">
        <f>IF(ISERROR(VLOOKUP($U$778,'TAR FIN'!$A$1:$O$86,15,0)),0,VLOOKUP($U$778,'TAR FIN'!$A$1:$O$86,15,0))</f>
        <v>246.3</v>
      </c>
      <c r="Y778" s="6"/>
      <c r="Z778" s="6">
        <f ca="1">('TUSD BE'!$AM$48+'TUSD BF'!$AM$48+'TUSD CVA'!$AM$48)*1</f>
        <v>223.26795372656312</v>
      </c>
      <c r="AA778" s="6">
        <f>('TE BE'!$AB$38+'TE BF'!$AB$38+'TE CVA'!$AB$38)*1</f>
        <v>219.40364509824883</v>
      </c>
      <c r="AB778" s="6">
        <f>$K$778*$V$778</f>
        <v>0</v>
      </c>
      <c r="AC778" s="6">
        <f>$M$778*$W$778</f>
        <v>4417.1286700000001</v>
      </c>
      <c r="AD778" s="6">
        <f>$O$778*$X$778</f>
        <v>4427.7350999999999</v>
      </c>
      <c r="AE778" s="6">
        <f>$K$778*$Y$778</f>
        <v>0</v>
      </c>
      <c r="AF778" s="6">
        <f ca="1">$M$778*$Z$778</f>
        <v>4013.6880041424251</v>
      </c>
      <c r="AG778" s="6">
        <f>$O$778*$AA$778</f>
        <v>3944.2193279312191</v>
      </c>
    </row>
    <row r="779" spans="1:33" ht="11.25" customHeight="1" x14ac:dyDescent="0.25">
      <c r="A779" s="4" t="s">
        <v>21</v>
      </c>
      <c r="B779" s="4" t="s">
        <v>36</v>
      </c>
      <c r="C779" s="4" t="s">
        <v>32</v>
      </c>
      <c r="D779" s="4" t="s">
        <v>41</v>
      </c>
      <c r="E779" s="4" t="s">
        <v>25</v>
      </c>
      <c r="F779" s="4" t="s">
        <v>25</v>
      </c>
      <c r="G779" s="4" t="s">
        <v>25</v>
      </c>
      <c r="H779" s="4" t="s">
        <v>34</v>
      </c>
      <c r="I779" s="5">
        <v>44621</v>
      </c>
      <c r="J779" s="6">
        <v>0</v>
      </c>
      <c r="K779" s="6">
        <v>0</v>
      </c>
      <c r="L779" s="6">
        <v>13.593999999999999</v>
      </c>
      <c r="M779" s="6">
        <v>13.593999999999999</v>
      </c>
      <c r="N779" s="6">
        <v>13.593999999999999</v>
      </c>
      <c r="O779" s="6">
        <v>13.593999999999999</v>
      </c>
      <c r="P779" s="6">
        <v>0</v>
      </c>
      <c r="Q779" s="4" t="s">
        <v>26</v>
      </c>
      <c r="R779" s="4">
        <v>0</v>
      </c>
      <c r="S779" s="6">
        <v>0</v>
      </c>
      <c r="T779" s="6">
        <v>26</v>
      </c>
      <c r="U779" s="6">
        <v>69</v>
      </c>
      <c r="V779" s="6">
        <f>IF(ISERROR(VLOOKUP($S$779,'TAR FIN'!$A$1:$O$86,15,0)),0,VLOOKUP($S$779,'TAR FIN'!$A$1:$O$86,15,0))</f>
        <v>0</v>
      </c>
      <c r="W779" s="6">
        <f>IF(ISERROR(VLOOKUP($T$779,'TAR FIN'!$A$1:$O$86,15,0)),0,VLOOKUP($T$779,'TAR FIN'!$A$1:$O$86,15,0))</f>
        <v>245.71</v>
      </c>
      <c r="X779" s="6">
        <f>IF(ISERROR(VLOOKUP($U$779,'TAR FIN'!$A$1:$O$86,15,0)),0,VLOOKUP($U$779,'TAR FIN'!$A$1:$O$86,15,0))</f>
        <v>246.3</v>
      </c>
      <c r="Y779" s="6"/>
      <c r="Z779" s="6">
        <f ca="1">('TUSD BE'!$AM$48+'TUSD BF'!$AM$48+'TUSD CVA'!$AM$48)*1</f>
        <v>223.26795372656312</v>
      </c>
      <c r="AA779" s="6">
        <f>('TE BE'!$AB$38+'TE BF'!$AB$38+'TE CVA'!$AB$38)*1</f>
        <v>219.40364509824883</v>
      </c>
      <c r="AB779" s="6">
        <f>$K$779*$V$779</f>
        <v>0</v>
      </c>
      <c r="AC779" s="6">
        <f>$M$779*$W$779</f>
        <v>3340.18174</v>
      </c>
      <c r="AD779" s="6">
        <f>$O$779*$X$779</f>
        <v>3348.2022000000002</v>
      </c>
      <c r="AE779" s="6">
        <f>$K$779*$Y$779</f>
        <v>0</v>
      </c>
      <c r="AF779" s="6">
        <f ca="1">$M$779*$Z$779</f>
        <v>3035.1045629588989</v>
      </c>
      <c r="AG779" s="6">
        <f>$O$779*$AA$779</f>
        <v>2982.5731514655945</v>
      </c>
    </row>
    <row r="780" spans="1:33" ht="11.25" customHeight="1" x14ac:dyDescent="0.25">
      <c r="A780" s="4" t="s">
        <v>21</v>
      </c>
      <c r="B780" s="4" t="s">
        <v>36</v>
      </c>
      <c r="C780" s="4" t="s">
        <v>32</v>
      </c>
      <c r="D780" s="4" t="s">
        <v>41</v>
      </c>
      <c r="E780" s="4" t="s">
        <v>25</v>
      </c>
      <c r="F780" s="4" t="s">
        <v>25</v>
      </c>
      <c r="G780" s="4" t="s">
        <v>25</v>
      </c>
      <c r="H780" s="4" t="s">
        <v>34</v>
      </c>
      <c r="I780" s="5">
        <v>44652</v>
      </c>
      <c r="J780" s="6">
        <v>0</v>
      </c>
      <c r="K780" s="6">
        <v>0</v>
      </c>
      <c r="L780" s="6">
        <v>21.498999999999999</v>
      </c>
      <c r="M780" s="6">
        <v>21.498999999999999</v>
      </c>
      <c r="N780" s="6">
        <v>21.498999999999999</v>
      </c>
      <c r="O780" s="6">
        <v>21.498999999999999</v>
      </c>
      <c r="P780" s="6">
        <v>0</v>
      </c>
      <c r="Q780" s="4" t="s">
        <v>26</v>
      </c>
      <c r="R780" s="4">
        <v>0</v>
      </c>
      <c r="S780" s="6">
        <v>0</v>
      </c>
      <c r="T780" s="6">
        <v>26</v>
      </c>
      <c r="U780" s="6">
        <v>69</v>
      </c>
      <c r="V780" s="6">
        <f>IF(ISERROR(VLOOKUP($S$780,'TAR FIN'!$A$1:$O$86,15,0)),0,VLOOKUP($S$780,'TAR FIN'!$A$1:$O$86,15,0))</f>
        <v>0</v>
      </c>
      <c r="W780" s="6">
        <f>IF(ISERROR(VLOOKUP($T$780,'TAR FIN'!$A$1:$O$86,15,0)),0,VLOOKUP($T$780,'TAR FIN'!$A$1:$O$86,15,0))</f>
        <v>245.71</v>
      </c>
      <c r="X780" s="6">
        <f>IF(ISERROR(VLOOKUP($U$780,'TAR FIN'!$A$1:$O$86,15,0)),0,VLOOKUP($U$780,'TAR FIN'!$A$1:$O$86,15,0))</f>
        <v>246.3</v>
      </c>
      <c r="Y780" s="6"/>
      <c r="Z780" s="6">
        <f ca="1">('TUSD BE'!$AM$48+'TUSD BF'!$AM$48+'TUSD CVA'!$AM$48)*1</f>
        <v>223.26795372656312</v>
      </c>
      <c r="AA780" s="6">
        <f>('TE BE'!$AB$38+'TE BF'!$AB$38+'TE CVA'!$AB$38)*1</f>
        <v>219.40364509824883</v>
      </c>
      <c r="AB780" s="6">
        <f>$K$780*$V$780</f>
        <v>0</v>
      </c>
      <c r="AC780" s="6">
        <f>$M$780*$W$780</f>
        <v>5282.5192900000002</v>
      </c>
      <c r="AD780" s="6">
        <f>$O$780*$X$780</f>
        <v>5295.2037</v>
      </c>
      <c r="AE780" s="6">
        <f>$K$780*$Y$780</f>
        <v>0</v>
      </c>
      <c r="AF780" s="6">
        <f ca="1">$M$780*$Z$780</f>
        <v>4800.0377371673803</v>
      </c>
      <c r="AG780" s="6">
        <f>$O$780*$AA$780</f>
        <v>4716.9589659672511</v>
      </c>
    </row>
    <row r="781" spans="1:33" ht="11.25" customHeight="1" x14ac:dyDescent="0.25">
      <c r="A781" s="4" t="s">
        <v>21</v>
      </c>
      <c r="B781" s="4" t="s">
        <v>36</v>
      </c>
      <c r="C781" s="4" t="s">
        <v>32</v>
      </c>
      <c r="D781" s="4" t="s">
        <v>41</v>
      </c>
      <c r="E781" s="4" t="s">
        <v>25</v>
      </c>
      <c r="F781" s="4" t="s">
        <v>25</v>
      </c>
      <c r="G781" s="4" t="s">
        <v>25</v>
      </c>
      <c r="H781" s="4" t="s">
        <v>34</v>
      </c>
      <c r="I781" s="5">
        <v>44682</v>
      </c>
      <c r="J781" s="6">
        <v>0</v>
      </c>
      <c r="K781" s="6">
        <v>0</v>
      </c>
      <c r="L781" s="6">
        <v>15.483000000000001</v>
      </c>
      <c r="M781" s="6">
        <v>15.483000000000001</v>
      </c>
      <c r="N781" s="6">
        <v>15.483000000000001</v>
      </c>
      <c r="O781" s="6">
        <v>15.483000000000001</v>
      </c>
      <c r="P781" s="6">
        <v>0</v>
      </c>
      <c r="Q781" s="4" t="s">
        <v>26</v>
      </c>
      <c r="R781" s="4">
        <v>0</v>
      </c>
      <c r="S781" s="6">
        <v>0</v>
      </c>
      <c r="T781" s="6">
        <v>26</v>
      </c>
      <c r="U781" s="6">
        <v>69</v>
      </c>
      <c r="V781" s="6">
        <f>IF(ISERROR(VLOOKUP($S$781,'TAR FIN'!$A$1:$O$86,15,0)),0,VLOOKUP($S$781,'TAR FIN'!$A$1:$O$86,15,0))</f>
        <v>0</v>
      </c>
      <c r="W781" s="6">
        <f>IF(ISERROR(VLOOKUP($T$781,'TAR FIN'!$A$1:$O$86,15,0)),0,VLOOKUP($T$781,'TAR FIN'!$A$1:$O$86,15,0))</f>
        <v>245.71</v>
      </c>
      <c r="X781" s="6">
        <f>IF(ISERROR(VLOOKUP($U$781,'TAR FIN'!$A$1:$O$86,15,0)),0,VLOOKUP($U$781,'TAR FIN'!$A$1:$O$86,15,0))</f>
        <v>246.3</v>
      </c>
      <c r="Y781" s="6"/>
      <c r="Z781" s="6">
        <f ca="1">('TUSD BE'!$AM$48+'TUSD BF'!$AM$48+'TUSD CVA'!$AM$48)*1</f>
        <v>223.26795372656312</v>
      </c>
      <c r="AA781" s="6">
        <f>('TE BE'!$AB$38+'TE BF'!$AB$38+'TE CVA'!$AB$38)*1</f>
        <v>219.40364509824883</v>
      </c>
      <c r="AB781" s="6">
        <f>$K$781*$V$781</f>
        <v>0</v>
      </c>
      <c r="AC781" s="6">
        <f>$M$781*$W$781</f>
        <v>3804.3279300000004</v>
      </c>
      <c r="AD781" s="6">
        <f>$O$781*$X$781</f>
        <v>3813.4629000000004</v>
      </c>
      <c r="AE781" s="6">
        <f>$K$781*$Y$781</f>
        <v>0</v>
      </c>
      <c r="AF781" s="6">
        <f ca="1">$M$781*$Z$781</f>
        <v>3456.8577275483767</v>
      </c>
      <c r="AG781" s="6">
        <f>$O$781*$AA$781</f>
        <v>3397.0266370561867</v>
      </c>
    </row>
    <row r="782" spans="1:33" ht="11.25" customHeight="1" x14ac:dyDescent="0.25">
      <c r="A782" s="4" t="s">
        <v>56</v>
      </c>
      <c r="B782" s="4" t="s">
        <v>36</v>
      </c>
      <c r="C782" s="4" t="s">
        <v>32</v>
      </c>
      <c r="D782" s="4" t="s">
        <v>41</v>
      </c>
      <c r="E782" s="4" t="s">
        <v>25</v>
      </c>
      <c r="F782" s="4" t="s">
        <v>25</v>
      </c>
      <c r="G782" s="4" t="s">
        <v>25</v>
      </c>
      <c r="H782" s="4" t="s">
        <v>34</v>
      </c>
      <c r="I782" s="5">
        <v>44713</v>
      </c>
      <c r="J782" s="6">
        <v>0</v>
      </c>
      <c r="K782" s="6">
        <v>0</v>
      </c>
      <c r="L782" s="6">
        <v>15.483000000000001</v>
      </c>
      <c r="M782" s="6">
        <v>15.483000000000001</v>
      </c>
      <c r="N782" s="6">
        <v>15.483000000000001</v>
      </c>
      <c r="O782" s="6">
        <v>15.483000000000001</v>
      </c>
      <c r="P782" s="6">
        <v>0</v>
      </c>
      <c r="Q782" s="4" t="s">
        <v>26</v>
      </c>
      <c r="R782" s="4">
        <v>0</v>
      </c>
      <c r="S782" s="6">
        <v>0</v>
      </c>
      <c r="T782" s="6">
        <v>26</v>
      </c>
      <c r="U782" s="6">
        <v>69</v>
      </c>
      <c r="V782" s="6">
        <f>IF(ISERROR(VLOOKUP($S$782,'TAR FIN'!$A$1:$O$86,15,0)),0,VLOOKUP($S$782,'TAR FIN'!$A$1:$O$86,15,0))</f>
        <v>0</v>
      </c>
      <c r="W782" s="6">
        <f>IF(ISERROR(VLOOKUP($T$782,'TAR FIN'!$A$1:$O$86,15,0)),0,VLOOKUP($T$782,'TAR FIN'!$A$1:$O$86,15,0))</f>
        <v>245.71</v>
      </c>
      <c r="X782" s="6">
        <f>IF(ISERROR(VLOOKUP($U$782,'TAR FIN'!$A$1:$O$86,15,0)),0,VLOOKUP($U$782,'TAR FIN'!$A$1:$O$86,15,0))</f>
        <v>246.3</v>
      </c>
      <c r="Y782" s="6"/>
      <c r="Z782" s="6">
        <f ca="1">('TUSD BE'!$AM$48+'TUSD BF'!$AM$48+'TUSD CVA'!$AM$48)*1</f>
        <v>223.26795372656312</v>
      </c>
      <c r="AA782" s="6">
        <f>('TE BE'!$AB$38+'TE BF'!$AB$38+'TE CVA'!$AB$38)*1</f>
        <v>219.40364509824883</v>
      </c>
      <c r="AB782" s="6">
        <f>$K$782*$V$782</f>
        <v>0</v>
      </c>
      <c r="AC782" s="6">
        <f>$M$782*$W$782</f>
        <v>3804.3279300000004</v>
      </c>
      <c r="AD782" s="6">
        <f>$O$782*$X$782</f>
        <v>3813.4629000000004</v>
      </c>
      <c r="AE782" s="6">
        <f>$K$782*$Y$782</f>
        <v>0</v>
      </c>
      <c r="AF782" s="6">
        <f ca="1">$M$782*$Z$782</f>
        <v>3456.8577275483767</v>
      </c>
      <c r="AG782" s="6">
        <f>$O$782*$AA$782</f>
        <v>3397.0266370561867</v>
      </c>
    </row>
    <row r="783" spans="1:33" ht="11.25" customHeight="1" x14ac:dyDescent="0.25">
      <c r="A783" s="4" t="s">
        <v>21</v>
      </c>
      <c r="B783" s="4" t="s">
        <v>36</v>
      </c>
      <c r="C783" s="4" t="s">
        <v>32</v>
      </c>
      <c r="D783" s="4" t="s">
        <v>41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44378</v>
      </c>
      <c r="J783" s="6">
        <v>0</v>
      </c>
      <c r="K783" s="6">
        <v>0</v>
      </c>
      <c r="L783" s="6">
        <v>1.2869999999999999</v>
      </c>
      <c r="M783" s="6">
        <v>1.2869999999999999</v>
      </c>
      <c r="N783" s="6">
        <v>1.2869999999999999</v>
      </c>
      <c r="O783" s="6">
        <v>1.2869999999999999</v>
      </c>
      <c r="P783" s="6">
        <v>0</v>
      </c>
      <c r="Q783" s="4" t="s">
        <v>26</v>
      </c>
      <c r="R783" s="4">
        <v>0</v>
      </c>
      <c r="S783" s="6">
        <v>0</v>
      </c>
      <c r="T783" s="6">
        <v>31</v>
      </c>
      <c r="U783" s="6">
        <v>71</v>
      </c>
      <c r="V783" s="6">
        <f>IF(ISERROR(VLOOKUP($S$783,'TAR FIN'!$A$1:$O$86,15,0)),0,VLOOKUP($S$783,'TAR FIN'!$A$1:$O$86,15,0))</f>
        <v>0</v>
      </c>
      <c r="W783" s="6">
        <f>IF(ISERROR(VLOOKUP($T$783,'TAR FIN'!$A$1:$O$86,15,0)),0,VLOOKUP($T$783,'TAR FIN'!$A$1:$O$86,15,0))</f>
        <v>479.1</v>
      </c>
      <c r="X783" s="6">
        <f>IF(ISERROR(VLOOKUP($U$783,'TAR FIN'!$A$1:$O$86,15,0)),0,VLOOKUP($U$783,'TAR FIN'!$A$1:$O$86,15,0))</f>
        <v>246.3</v>
      </c>
      <c r="Y783" s="6"/>
      <c r="Z783" s="6">
        <f ca="1">('TUSD BE'!$AM$47+'TUSD BF'!$AM$47+'TUSD CVA'!$AM$47)*1</f>
        <v>420.60013627588546</v>
      </c>
      <c r="AA783" s="6">
        <f>('TE BE'!$AB$37+'TE BF'!$AB$37+'TE CVA'!$AB$37)*1</f>
        <v>219.40364509824883</v>
      </c>
      <c r="AB783" s="6">
        <f>$K$783*$V$783</f>
        <v>0</v>
      </c>
      <c r="AC783" s="6">
        <f>$M$783*$W$783</f>
        <v>616.60169999999994</v>
      </c>
      <c r="AD783" s="6">
        <f>$O$783*$X$783</f>
        <v>316.98809999999997</v>
      </c>
      <c r="AE783" s="6">
        <f>$K$783*$Y$783</f>
        <v>0</v>
      </c>
      <c r="AF783" s="6">
        <f ca="1">$M$783*$Z$783</f>
        <v>541.31237538706455</v>
      </c>
      <c r="AG783" s="6">
        <f>$O$783*$AA$783</f>
        <v>282.37249124144626</v>
      </c>
    </row>
    <row r="784" spans="1:33" ht="11.25" customHeight="1" x14ac:dyDescent="0.25">
      <c r="A784" s="4" t="s">
        <v>21</v>
      </c>
      <c r="B784" s="4" t="s">
        <v>36</v>
      </c>
      <c r="C784" s="4" t="s">
        <v>32</v>
      </c>
      <c r="D784" s="4" t="s">
        <v>41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44409</v>
      </c>
      <c r="J784" s="6">
        <v>0</v>
      </c>
      <c r="K784" s="6">
        <v>0</v>
      </c>
      <c r="L784" s="6">
        <v>1.155</v>
      </c>
      <c r="M784" s="6">
        <v>1.155</v>
      </c>
      <c r="N784" s="6">
        <v>1.155</v>
      </c>
      <c r="O784" s="6">
        <v>1.155</v>
      </c>
      <c r="P784" s="6">
        <v>0</v>
      </c>
      <c r="Q784" s="4" t="s">
        <v>26</v>
      </c>
      <c r="R784" s="4">
        <v>0</v>
      </c>
      <c r="S784" s="6">
        <v>0</v>
      </c>
      <c r="T784" s="6">
        <v>31</v>
      </c>
      <c r="U784" s="6">
        <v>71</v>
      </c>
      <c r="V784" s="6">
        <f>IF(ISERROR(VLOOKUP($S$784,'TAR FIN'!$A$1:$O$86,15,0)),0,VLOOKUP($S$784,'TAR FIN'!$A$1:$O$86,15,0))</f>
        <v>0</v>
      </c>
      <c r="W784" s="6">
        <f>IF(ISERROR(VLOOKUP($T$784,'TAR FIN'!$A$1:$O$86,15,0)),0,VLOOKUP($T$784,'TAR FIN'!$A$1:$O$86,15,0))</f>
        <v>479.1</v>
      </c>
      <c r="X784" s="6">
        <f>IF(ISERROR(VLOOKUP($U$784,'TAR FIN'!$A$1:$O$86,15,0)),0,VLOOKUP($U$784,'TAR FIN'!$A$1:$O$86,15,0))</f>
        <v>246.3</v>
      </c>
      <c r="Y784" s="6"/>
      <c r="Z784" s="6">
        <f ca="1">('TUSD BE'!$AM$47+'TUSD BF'!$AM$47+'TUSD CVA'!$AM$47)*1</f>
        <v>420.60013627588546</v>
      </c>
      <c r="AA784" s="6">
        <f>('TE BE'!$AB$37+'TE BF'!$AB$37+'TE CVA'!$AB$37)*1</f>
        <v>219.40364509824883</v>
      </c>
      <c r="AB784" s="6">
        <f>$K$784*$V$784</f>
        <v>0</v>
      </c>
      <c r="AC784" s="6">
        <f>$M$784*$W$784</f>
        <v>553.3605</v>
      </c>
      <c r="AD784" s="6">
        <f>$O$784*$X$784</f>
        <v>284.47650000000004</v>
      </c>
      <c r="AE784" s="6">
        <f>$K$784*$Y$784</f>
        <v>0</v>
      </c>
      <c r="AF784" s="6">
        <f ca="1">$M$784*$Z$784</f>
        <v>485.79315739864774</v>
      </c>
      <c r="AG784" s="6">
        <f>$O$784*$AA$784</f>
        <v>253.41121008847742</v>
      </c>
    </row>
    <row r="785" spans="1:33" ht="11.25" customHeight="1" x14ac:dyDescent="0.25">
      <c r="A785" s="4" t="s">
        <v>21</v>
      </c>
      <c r="B785" s="4" t="s">
        <v>36</v>
      </c>
      <c r="C785" s="4" t="s">
        <v>32</v>
      </c>
      <c r="D785" s="4" t="s">
        <v>41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44440</v>
      </c>
      <c r="J785" s="6">
        <v>0</v>
      </c>
      <c r="K785" s="6">
        <v>0</v>
      </c>
      <c r="L785" s="6">
        <v>1.115</v>
      </c>
      <c r="M785" s="6">
        <v>1.115</v>
      </c>
      <c r="N785" s="6">
        <v>1.115</v>
      </c>
      <c r="O785" s="6">
        <v>1.115</v>
      </c>
      <c r="P785" s="6">
        <v>0</v>
      </c>
      <c r="Q785" s="4" t="s">
        <v>26</v>
      </c>
      <c r="R785" s="4">
        <v>0</v>
      </c>
      <c r="S785" s="6">
        <v>0</v>
      </c>
      <c r="T785" s="6">
        <v>31</v>
      </c>
      <c r="U785" s="6">
        <v>71</v>
      </c>
      <c r="V785" s="6">
        <f>IF(ISERROR(VLOOKUP($S$785,'TAR FIN'!$A$1:$O$86,15,0)),0,VLOOKUP($S$785,'TAR FIN'!$A$1:$O$86,15,0))</f>
        <v>0</v>
      </c>
      <c r="W785" s="6">
        <f>IF(ISERROR(VLOOKUP($T$785,'TAR FIN'!$A$1:$O$86,15,0)),0,VLOOKUP($T$785,'TAR FIN'!$A$1:$O$86,15,0))</f>
        <v>479.1</v>
      </c>
      <c r="X785" s="6">
        <f>IF(ISERROR(VLOOKUP($U$785,'TAR FIN'!$A$1:$O$86,15,0)),0,VLOOKUP($U$785,'TAR FIN'!$A$1:$O$86,15,0))</f>
        <v>246.3</v>
      </c>
      <c r="Y785" s="6"/>
      <c r="Z785" s="6">
        <f ca="1">('TUSD BE'!$AM$47+'TUSD BF'!$AM$47+'TUSD CVA'!$AM$47)*1</f>
        <v>420.60013627588546</v>
      </c>
      <c r="AA785" s="6">
        <f>('TE BE'!$AB$37+'TE BF'!$AB$37+'TE CVA'!$AB$37)*1</f>
        <v>219.40364509824883</v>
      </c>
      <c r="AB785" s="6">
        <f>$K$785*$V$785</f>
        <v>0</v>
      </c>
      <c r="AC785" s="6">
        <f>$M$785*$W$785</f>
        <v>534.19650000000001</v>
      </c>
      <c r="AD785" s="6">
        <f>$O$785*$X$785</f>
        <v>274.62450000000001</v>
      </c>
      <c r="AE785" s="6">
        <f>$K$785*$Y$785</f>
        <v>0</v>
      </c>
      <c r="AF785" s="6">
        <f ca="1">$M$785*$Z$785</f>
        <v>468.96915194761226</v>
      </c>
      <c r="AG785" s="6">
        <f>$O$785*$AA$785</f>
        <v>244.63506428454744</v>
      </c>
    </row>
    <row r="786" spans="1:33" ht="11.25" customHeight="1" x14ac:dyDescent="0.25">
      <c r="A786" s="4" t="s">
        <v>21</v>
      </c>
      <c r="B786" s="4" t="s">
        <v>36</v>
      </c>
      <c r="C786" s="4" t="s">
        <v>32</v>
      </c>
      <c r="D786" s="4" t="s">
        <v>41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44470</v>
      </c>
      <c r="J786" s="6">
        <v>0</v>
      </c>
      <c r="K786" s="6">
        <v>0</v>
      </c>
      <c r="L786" s="6">
        <v>1.157</v>
      </c>
      <c r="M786" s="6">
        <v>1.157</v>
      </c>
      <c r="N786" s="6">
        <v>1.157</v>
      </c>
      <c r="O786" s="6">
        <v>1.157</v>
      </c>
      <c r="P786" s="6">
        <v>0</v>
      </c>
      <c r="Q786" s="4" t="s">
        <v>26</v>
      </c>
      <c r="R786" s="4">
        <v>0</v>
      </c>
      <c r="S786" s="6">
        <v>0</v>
      </c>
      <c r="T786" s="6">
        <v>31</v>
      </c>
      <c r="U786" s="6">
        <v>71</v>
      </c>
      <c r="V786" s="6">
        <f>IF(ISERROR(VLOOKUP($S$786,'TAR FIN'!$A$1:$O$86,15,0)),0,VLOOKUP($S$786,'TAR FIN'!$A$1:$O$86,15,0))</f>
        <v>0</v>
      </c>
      <c r="W786" s="6">
        <f>IF(ISERROR(VLOOKUP($T$786,'TAR FIN'!$A$1:$O$86,15,0)),0,VLOOKUP($T$786,'TAR FIN'!$A$1:$O$86,15,0))</f>
        <v>479.1</v>
      </c>
      <c r="X786" s="6">
        <f>IF(ISERROR(VLOOKUP($U$786,'TAR FIN'!$A$1:$O$86,15,0)),0,VLOOKUP($U$786,'TAR FIN'!$A$1:$O$86,15,0))</f>
        <v>246.3</v>
      </c>
      <c r="Y786" s="6"/>
      <c r="Z786" s="6">
        <f ca="1">('TUSD BE'!$AM$47+'TUSD BF'!$AM$47+'TUSD CVA'!$AM$47)*1</f>
        <v>420.60013627588546</v>
      </c>
      <c r="AA786" s="6">
        <f>('TE BE'!$AB$37+'TE BF'!$AB$37+'TE CVA'!$AB$37)*1</f>
        <v>219.40364509824883</v>
      </c>
      <c r="AB786" s="6">
        <f>$K$786*$V$786</f>
        <v>0</v>
      </c>
      <c r="AC786" s="6">
        <f>$M$786*$W$786</f>
        <v>554.31870000000004</v>
      </c>
      <c r="AD786" s="6">
        <f>$O$786*$X$786</f>
        <v>284.96910000000003</v>
      </c>
      <c r="AE786" s="6">
        <f>$K$786*$Y$786</f>
        <v>0</v>
      </c>
      <c r="AF786" s="6">
        <f ca="1">$M$786*$Z$786</f>
        <v>486.6343576711995</v>
      </c>
      <c r="AG786" s="6">
        <f>$O$786*$AA$786</f>
        <v>253.8500173786739</v>
      </c>
    </row>
    <row r="787" spans="1:33" ht="11.25" customHeight="1" x14ac:dyDescent="0.25">
      <c r="A787" s="4" t="s">
        <v>21</v>
      </c>
      <c r="B787" s="4" t="s">
        <v>36</v>
      </c>
      <c r="C787" s="4" t="s">
        <v>32</v>
      </c>
      <c r="D787" s="4" t="s">
        <v>41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44501</v>
      </c>
      <c r="J787" s="6">
        <v>0</v>
      </c>
      <c r="K787" s="6">
        <v>0</v>
      </c>
      <c r="L787" s="6">
        <v>1.415</v>
      </c>
      <c r="M787" s="6">
        <v>1.415</v>
      </c>
      <c r="N787" s="6">
        <v>1.415</v>
      </c>
      <c r="O787" s="6">
        <v>1.415</v>
      </c>
      <c r="P787" s="6">
        <v>0</v>
      </c>
      <c r="Q787" s="4" t="s">
        <v>26</v>
      </c>
      <c r="R787" s="4">
        <v>0</v>
      </c>
      <c r="S787" s="6">
        <v>0</v>
      </c>
      <c r="T787" s="6">
        <v>31</v>
      </c>
      <c r="U787" s="6">
        <v>71</v>
      </c>
      <c r="V787" s="6">
        <f>IF(ISERROR(VLOOKUP($S$787,'TAR FIN'!$A$1:$O$86,15,0)),0,VLOOKUP($S$787,'TAR FIN'!$A$1:$O$86,15,0))</f>
        <v>0</v>
      </c>
      <c r="W787" s="6">
        <f>IF(ISERROR(VLOOKUP($T$787,'TAR FIN'!$A$1:$O$86,15,0)),0,VLOOKUP($T$787,'TAR FIN'!$A$1:$O$86,15,0))</f>
        <v>479.1</v>
      </c>
      <c r="X787" s="6">
        <f>IF(ISERROR(VLOOKUP($U$787,'TAR FIN'!$A$1:$O$86,15,0)),0,VLOOKUP($U$787,'TAR FIN'!$A$1:$O$86,15,0))</f>
        <v>246.3</v>
      </c>
      <c r="Y787" s="6"/>
      <c r="Z787" s="6">
        <f ca="1">('TUSD BE'!$AM$47+'TUSD BF'!$AM$47+'TUSD CVA'!$AM$47)*1</f>
        <v>420.60013627588546</v>
      </c>
      <c r="AA787" s="6">
        <f>('TE BE'!$AB$37+'TE BF'!$AB$37+'TE CVA'!$AB$37)*1</f>
        <v>219.40364509824883</v>
      </c>
      <c r="AB787" s="6">
        <f>$K$787*$V$787</f>
        <v>0</v>
      </c>
      <c r="AC787" s="6">
        <f>$M$787*$W$787</f>
        <v>677.92650000000003</v>
      </c>
      <c r="AD787" s="6">
        <f>$O$787*$X$787</f>
        <v>348.5145</v>
      </c>
      <c r="AE787" s="6">
        <f>$K$787*$Y$787</f>
        <v>0</v>
      </c>
      <c r="AF787" s="6">
        <f ca="1">$M$787*$Z$787</f>
        <v>595.14919283037796</v>
      </c>
      <c r="AG787" s="6">
        <f>$O$787*$AA$787</f>
        <v>310.45615781402211</v>
      </c>
    </row>
    <row r="788" spans="1:33" ht="11.25" customHeight="1" x14ac:dyDescent="0.25">
      <c r="A788" s="4" t="s">
        <v>21</v>
      </c>
      <c r="B788" s="4" t="s">
        <v>36</v>
      </c>
      <c r="C788" s="4" t="s">
        <v>32</v>
      </c>
      <c r="D788" s="4" t="s">
        <v>41</v>
      </c>
      <c r="E788" s="4" t="s">
        <v>25</v>
      </c>
      <c r="F788" s="4" t="s">
        <v>25</v>
      </c>
      <c r="G788" s="4" t="s">
        <v>25</v>
      </c>
      <c r="H788" s="4" t="s">
        <v>35</v>
      </c>
      <c r="I788" s="5">
        <v>44531</v>
      </c>
      <c r="J788" s="6">
        <v>0</v>
      </c>
      <c r="K788" s="6">
        <v>0</v>
      </c>
      <c r="L788" s="6">
        <v>1.536</v>
      </c>
      <c r="M788" s="6">
        <v>1.536</v>
      </c>
      <c r="N788" s="6">
        <v>1.536</v>
      </c>
      <c r="O788" s="6">
        <v>1.536</v>
      </c>
      <c r="P788" s="6">
        <v>0</v>
      </c>
      <c r="Q788" s="4" t="s">
        <v>26</v>
      </c>
      <c r="R788" s="4">
        <v>0</v>
      </c>
      <c r="S788" s="6">
        <v>0</v>
      </c>
      <c r="T788" s="6">
        <v>31</v>
      </c>
      <c r="U788" s="6">
        <v>71</v>
      </c>
      <c r="V788" s="6">
        <f>IF(ISERROR(VLOOKUP($S$788,'TAR FIN'!$A$1:$O$86,15,0)),0,VLOOKUP($S$788,'TAR FIN'!$A$1:$O$86,15,0))</f>
        <v>0</v>
      </c>
      <c r="W788" s="6">
        <f>IF(ISERROR(VLOOKUP($T$788,'TAR FIN'!$A$1:$O$86,15,0)),0,VLOOKUP($T$788,'TAR FIN'!$A$1:$O$86,15,0))</f>
        <v>479.1</v>
      </c>
      <c r="X788" s="6">
        <f>IF(ISERROR(VLOOKUP($U$788,'TAR FIN'!$A$1:$O$86,15,0)),0,VLOOKUP($U$788,'TAR FIN'!$A$1:$O$86,15,0))</f>
        <v>246.3</v>
      </c>
      <c r="Y788" s="6"/>
      <c r="Z788" s="6">
        <f ca="1">('TUSD BE'!$AM$47+'TUSD BF'!$AM$47+'TUSD CVA'!$AM$47)*1</f>
        <v>420.60013627588546</v>
      </c>
      <c r="AA788" s="6">
        <f>('TE BE'!$AB$37+'TE BF'!$AB$37+'TE CVA'!$AB$37)*1</f>
        <v>219.40364509824883</v>
      </c>
      <c r="AB788" s="6">
        <f>$K$788*$V$788</f>
        <v>0</v>
      </c>
      <c r="AC788" s="6">
        <f>$M$788*$W$788</f>
        <v>735.89760000000001</v>
      </c>
      <c r="AD788" s="6">
        <f>$O$788*$X$788</f>
        <v>378.3168</v>
      </c>
      <c r="AE788" s="6">
        <f>$K$788*$Y$788</f>
        <v>0</v>
      </c>
      <c r="AF788" s="6">
        <f ca="1">$M$788*$Z$788</f>
        <v>646.04180931976009</v>
      </c>
      <c r="AG788" s="6">
        <f>$O$788*$AA$788</f>
        <v>337.00399887091021</v>
      </c>
    </row>
    <row r="789" spans="1:33" ht="11.25" customHeight="1" x14ac:dyDescent="0.25">
      <c r="A789" s="4" t="s">
        <v>21</v>
      </c>
      <c r="B789" s="4" t="s">
        <v>36</v>
      </c>
      <c r="C789" s="4" t="s">
        <v>32</v>
      </c>
      <c r="D789" s="4" t="s">
        <v>41</v>
      </c>
      <c r="E789" s="4" t="s">
        <v>25</v>
      </c>
      <c r="F789" s="4" t="s">
        <v>25</v>
      </c>
      <c r="G789" s="4" t="s">
        <v>25</v>
      </c>
      <c r="H789" s="4" t="s">
        <v>35</v>
      </c>
      <c r="I789" s="5">
        <v>44562</v>
      </c>
      <c r="J789" s="6">
        <v>0</v>
      </c>
      <c r="K789" s="6">
        <v>0</v>
      </c>
      <c r="L789" s="6">
        <v>2.0840000000000001</v>
      </c>
      <c r="M789" s="6">
        <v>2.0840000000000001</v>
      </c>
      <c r="N789" s="6">
        <v>2.0840000000000001</v>
      </c>
      <c r="O789" s="6">
        <v>2.0840000000000001</v>
      </c>
      <c r="P789" s="6">
        <v>0</v>
      </c>
      <c r="Q789" s="4" t="s">
        <v>26</v>
      </c>
      <c r="R789" s="4">
        <v>0</v>
      </c>
      <c r="S789" s="6">
        <v>0</v>
      </c>
      <c r="T789" s="6">
        <v>31</v>
      </c>
      <c r="U789" s="6">
        <v>71</v>
      </c>
      <c r="V789" s="6">
        <f>IF(ISERROR(VLOOKUP($S$789,'TAR FIN'!$A$1:$O$86,15,0)),0,VLOOKUP($S$789,'TAR FIN'!$A$1:$O$86,15,0))</f>
        <v>0</v>
      </c>
      <c r="W789" s="6">
        <f>IF(ISERROR(VLOOKUP($T$789,'TAR FIN'!$A$1:$O$86,15,0)),0,VLOOKUP($T$789,'TAR FIN'!$A$1:$O$86,15,0))</f>
        <v>479.1</v>
      </c>
      <c r="X789" s="6">
        <f>IF(ISERROR(VLOOKUP($U$789,'TAR FIN'!$A$1:$O$86,15,0)),0,VLOOKUP($U$789,'TAR FIN'!$A$1:$O$86,15,0))</f>
        <v>246.3</v>
      </c>
      <c r="Y789" s="6"/>
      <c r="Z789" s="6">
        <f ca="1">('TUSD BE'!$AM$47+'TUSD BF'!$AM$47+'TUSD CVA'!$AM$47)*1</f>
        <v>420.60013627588546</v>
      </c>
      <c r="AA789" s="6">
        <f>('TE BE'!$AB$37+'TE BF'!$AB$37+'TE CVA'!$AB$37)*1</f>
        <v>219.40364509824883</v>
      </c>
      <c r="AB789" s="6">
        <f>$K$789*$V$789</f>
        <v>0</v>
      </c>
      <c r="AC789" s="6">
        <f>$M$789*$W$789</f>
        <v>998.44440000000009</v>
      </c>
      <c r="AD789" s="6">
        <f>$O$789*$X$789</f>
        <v>513.28920000000005</v>
      </c>
      <c r="AE789" s="6">
        <f>$K$789*$Y$789</f>
        <v>0</v>
      </c>
      <c r="AF789" s="6">
        <f ca="1">$M$789*$Z$789</f>
        <v>876.53068399894528</v>
      </c>
      <c r="AG789" s="6">
        <f>$O$789*$AA$789</f>
        <v>457.23719638475058</v>
      </c>
    </row>
    <row r="790" spans="1:33" ht="11.25" customHeight="1" x14ac:dyDescent="0.25">
      <c r="A790" s="4" t="s">
        <v>21</v>
      </c>
      <c r="B790" s="4" t="s">
        <v>36</v>
      </c>
      <c r="C790" s="4" t="s">
        <v>32</v>
      </c>
      <c r="D790" s="4" t="s">
        <v>41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44593</v>
      </c>
      <c r="J790" s="6">
        <v>0</v>
      </c>
      <c r="K790" s="6">
        <v>0</v>
      </c>
      <c r="L790" s="6">
        <v>1.64</v>
      </c>
      <c r="M790" s="6">
        <v>1.64</v>
      </c>
      <c r="N790" s="6">
        <v>1.64</v>
      </c>
      <c r="O790" s="6">
        <v>1.64</v>
      </c>
      <c r="P790" s="6">
        <v>0</v>
      </c>
      <c r="Q790" s="4" t="s">
        <v>26</v>
      </c>
      <c r="R790" s="4">
        <v>0</v>
      </c>
      <c r="S790" s="6">
        <v>0</v>
      </c>
      <c r="T790" s="6">
        <v>31</v>
      </c>
      <c r="U790" s="6">
        <v>71</v>
      </c>
      <c r="V790" s="6">
        <f>IF(ISERROR(VLOOKUP($S$790,'TAR FIN'!$A$1:$O$86,15,0)),0,VLOOKUP($S$790,'TAR FIN'!$A$1:$O$86,15,0))</f>
        <v>0</v>
      </c>
      <c r="W790" s="6">
        <f>IF(ISERROR(VLOOKUP($T$790,'TAR FIN'!$A$1:$O$86,15,0)),0,VLOOKUP($T$790,'TAR FIN'!$A$1:$O$86,15,0))</f>
        <v>479.1</v>
      </c>
      <c r="X790" s="6">
        <f>IF(ISERROR(VLOOKUP($U$790,'TAR FIN'!$A$1:$O$86,15,0)),0,VLOOKUP($U$790,'TAR FIN'!$A$1:$O$86,15,0))</f>
        <v>246.3</v>
      </c>
      <c r="Y790" s="6"/>
      <c r="Z790" s="6">
        <f ca="1">('TUSD BE'!$AM$47+'TUSD BF'!$AM$47+'TUSD CVA'!$AM$47)*1</f>
        <v>420.60013627588546</v>
      </c>
      <c r="AA790" s="6">
        <f>('TE BE'!$AB$37+'TE BF'!$AB$37+'TE CVA'!$AB$37)*1</f>
        <v>219.40364509824883</v>
      </c>
      <c r="AB790" s="6">
        <f>$K$790*$V$790</f>
        <v>0</v>
      </c>
      <c r="AC790" s="6">
        <f>$M$790*$W$790</f>
        <v>785.72400000000005</v>
      </c>
      <c r="AD790" s="6">
        <f>$O$790*$X$790</f>
        <v>403.93200000000002</v>
      </c>
      <c r="AE790" s="6">
        <f>$K$790*$Y$790</f>
        <v>0</v>
      </c>
      <c r="AF790" s="6">
        <f ca="1">$M$790*$Z$790</f>
        <v>689.78422349245216</v>
      </c>
      <c r="AG790" s="6">
        <f>$O$790*$AA$790</f>
        <v>359.82197796112808</v>
      </c>
    </row>
    <row r="791" spans="1:33" ht="11.25" customHeight="1" x14ac:dyDescent="0.25">
      <c r="A791" s="4" t="s">
        <v>21</v>
      </c>
      <c r="B791" s="4" t="s">
        <v>36</v>
      </c>
      <c r="C791" s="4" t="s">
        <v>32</v>
      </c>
      <c r="D791" s="4" t="s">
        <v>41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44621</v>
      </c>
      <c r="J791" s="6">
        <v>0</v>
      </c>
      <c r="K791" s="6">
        <v>0</v>
      </c>
      <c r="L791" s="6">
        <v>1.492</v>
      </c>
      <c r="M791" s="6">
        <v>1.492</v>
      </c>
      <c r="N791" s="6">
        <v>1.492</v>
      </c>
      <c r="O791" s="6">
        <v>1.492</v>
      </c>
      <c r="P791" s="6">
        <v>0</v>
      </c>
      <c r="Q791" s="4" t="s">
        <v>26</v>
      </c>
      <c r="R791" s="4">
        <v>0</v>
      </c>
      <c r="S791" s="6">
        <v>0</v>
      </c>
      <c r="T791" s="6">
        <v>31</v>
      </c>
      <c r="U791" s="6">
        <v>71</v>
      </c>
      <c r="V791" s="6">
        <f>IF(ISERROR(VLOOKUP($S$791,'TAR FIN'!$A$1:$O$86,15,0)),0,VLOOKUP($S$791,'TAR FIN'!$A$1:$O$86,15,0))</f>
        <v>0</v>
      </c>
      <c r="W791" s="6">
        <f>IF(ISERROR(VLOOKUP($T$791,'TAR FIN'!$A$1:$O$86,15,0)),0,VLOOKUP($T$791,'TAR FIN'!$A$1:$O$86,15,0))</f>
        <v>479.1</v>
      </c>
      <c r="X791" s="6">
        <f>IF(ISERROR(VLOOKUP($U$791,'TAR FIN'!$A$1:$O$86,15,0)),0,VLOOKUP($U$791,'TAR FIN'!$A$1:$O$86,15,0))</f>
        <v>246.3</v>
      </c>
      <c r="Y791" s="6"/>
      <c r="Z791" s="6">
        <f ca="1">('TUSD BE'!$AM$47+'TUSD BF'!$AM$47+'TUSD CVA'!$AM$47)*1</f>
        <v>420.60013627588546</v>
      </c>
      <c r="AA791" s="6">
        <f>('TE BE'!$AB$37+'TE BF'!$AB$37+'TE CVA'!$AB$37)*1</f>
        <v>219.40364509824883</v>
      </c>
      <c r="AB791" s="6">
        <f>$K$791*$V$791</f>
        <v>0</v>
      </c>
      <c r="AC791" s="6">
        <f>$M$791*$W$791</f>
        <v>714.81720000000007</v>
      </c>
      <c r="AD791" s="6">
        <f>$O$791*$X$791</f>
        <v>367.4796</v>
      </c>
      <c r="AE791" s="6">
        <f>$K$791*$Y$791</f>
        <v>0</v>
      </c>
      <c r="AF791" s="6">
        <f ca="1">$M$791*$Z$791</f>
        <v>627.53540332362115</v>
      </c>
      <c r="AG791" s="6">
        <f>$O$791*$AA$791</f>
        <v>327.35023848658727</v>
      </c>
    </row>
    <row r="792" spans="1:33" ht="11.25" customHeight="1" x14ac:dyDescent="0.25">
      <c r="A792" s="4" t="s">
        <v>21</v>
      </c>
      <c r="B792" s="4" t="s">
        <v>36</v>
      </c>
      <c r="C792" s="4" t="s">
        <v>32</v>
      </c>
      <c r="D792" s="4" t="s">
        <v>41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44652</v>
      </c>
      <c r="J792" s="6">
        <v>0</v>
      </c>
      <c r="K792" s="6">
        <v>0</v>
      </c>
      <c r="L792" s="6">
        <v>1.5289999999999999</v>
      </c>
      <c r="M792" s="6">
        <v>1.5289999999999999</v>
      </c>
      <c r="N792" s="6">
        <v>1.5289999999999999</v>
      </c>
      <c r="O792" s="6">
        <v>1.5289999999999999</v>
      </c>
      <c r="P792" s="6">
        <v>0</v>
      </c>
      <c r="Q792" s="4" t="s">
        <v>26</v>
      </c>
      <c r="R792" s="4">
        <v>0</v>
      </c>
      <c r="S792" s="6">
        <v>0</v>
      </c>
      <c r="T792" s="6">
        <v>31</v>
      </c>
      <c r="U792" s="6">
        <v>71</v>
      </c>
      <c r="V792" s="6">
        <f>IF(ISERROR(VLOOKUP($S$792,'TAR FIN'!$A$1:$O$86,15,0)),0,VLOOKUP($S$792,'TAR FIN'!$A$1:$O$86,15,0))</f>
        <v>0</v>
      </c>
      <c r="W792" s="6">
        <f>IF(ISERROR(VLOOKUP($T$792,'TAR FIN'!$A$1:$O$86,15,0)),0,VLOOKUP($T$792,'TAR FIN'!$A$1:$O$86,15,0))</f>
        <v>479.1</v>
      </c>
      <c r="X792" s="6">
        <f>IF(ISERROR(VLOOKUP($U$792,'TAR FIN'!$A$1:$O$86,15,0)),0,VLOOKUP($U$792,'TAR FIN'!$A$1:$O$86,15,0))</f>
        <v>246.3</v>
      </c>
      <c r="Y792" s="6"/>
      <c r="Z792" s="6">
        <f ca="1">('TUSD BE'!$AM$47+'TUSD BF'!$AM$47+'TUSD CVA'!$AM$47)*1</f>
        <v>420.60013627588546</v>
      </c>
      <c r="AA792" s="6">
        <f>('TE BE'!$AB$37+'TE BF'!$AB$37+'TE CVA'!$AB$37)*1</f>
        <v>219.40364509824883</v>
      </c>
      <c r="AB792" s="6">
        <f>$K$792*$V$792</f>
        <v>0</v>
      </c>
      <c r="AC792" s="6">
        <f>$M$792*$W$792</f>
        <v>732.54390000000001</v>
      </c>
      <c r="AD792" s="6">
        <f>$O$792*$X$792</f>
        <v>376.59269999999998</v>
      </c>
      <c r="AE792" s="6">
        <f>$K$792*$Y$792</f>
        <v>0</v>
      </c>
      <c r="AF792" s="6">
        <f ca="1">$M$792*$Z$792</f>
        <v>643.09760836582882</v>
      </c>
      <c r="AG792" s="6">
        <f>$O$792*$AA$792</f>
        <v>335.46817335522246</v>
      </c>
    </row>
    <row r="793" spans="1:33" ht="11.25" customHeight="1" x14ac:dyDescent="0.25">
      <c r="A793" s="4" t="s">
        <v>21</v>
      </c>
      <c r="B793" s="4" t="s">
        <v>36</v>
      </c>
      <c r="C793" s="4" t="s">
        <v>32</v>
      </c>
      <c r="D793" s="4" t="s">
        <v>41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44682</v>
      </c>
      <c r="J793" s="6">
        <v>0</v>
      </c>
      <c r="K793" s="6">
        <v>0</v>
      </c>
      <c r="L793" s="6">
        <v>1.139</v>
      </c>
      <c r="M793" s="6">
        <v>1.139</v>
      </c>
      <c r="N793" s="6">
        <v>1.139</v>
      </c>
      <c r="O793" s="6">
        <v>1.139</v>
      </c>
      <c r="P793" s="6">
        <v>0</v>
      </c>
      <c r="Q793" s="4" t="s">
        <v>26</v>
      </c>
      <c r="R793" s="4">
        <v>0</v>
      </c>
      <c r="S793" s="6">
        <v>0</v>
      </c>
      <c r="T793" s="6">
        <v>31</v>
      </c>
      <c r="U793" s="6">
        <v>71</v>
      </c>
      <c r="V793" s="6">
        <f>IF(ISERROR(VLOOKUP($S$793,'TAR FIN'!$A$1:$O$86,15,0)),0,VLOOKUP($S$793,'TAR FIN'!$A$1:$O$86,15,0))</f>
        <v>0</v>
      </c>
      <c r="W793" s="6">
        <f>IF(ISERROR(VLOOKUP($T$793,'TAR FIN'!$A$1:$O$86,15,0)),0,VLOOKUP($T$793,'TAR FIN'!$A$1:$O$86,15,0))</f>
        <v>479.1</v>
      </c>
      <c r="X793" s="6">
        <f>IF(ISERROR(VLOOKUP($U$793,'TAR FIN'!$A$1:$O$86,15,0)),0,VLOOKUP($U$793,'TAR FIN'!$A$1:$O$86,15,0))</f>
        <v>246.3</v>
      </c>
      <c r="Y793" s="6"/>
      <c r="Z793" s="6">
        <f ca="1">('TUSD BE'!$AM$47+'TUSD BF'!$AM$47+'TUSD CVA'!$AM$47)*1</f>
        <v>420.60013627588546</v>
      </c>
      <c r="AA793" s="6">
        <f>('TE BE'!$AB$37+'TE BF'!$AB$37+'TE CVA'!$AB$37)*1</f>
        <v>219.40364509824883</v>
      </c>
      <c r="AB793" s="6">
        <f>$K$793*$V$793</f>
        <v>0</v>
      </c>
      <c r="AC793" s="6">
        <f>$M$793*$W$793</f>
        <v>545.69490000000008</v>
      </c>
      <c r="AD793" s="6">
        <f>$O$793*$X$793</f>
        <v>280.53570000000002</v>
      </c>
      <c r="AE793" s="6">
        <f>$K$793*$Y$793</f>
        <v>0</v>
      </c>
      <c r="AF793" s="6">
        <f ca="1">$M$793*$Z$793</f>
        <v>479.06355521823355</v>
      </c>
      <c r="AG793" s="6">
        <f>$O$793*$AA$793</f>
        <v>249.90075176690542</v>
      </c>
    </row>
    <row r="794" spans="1:33" ht="11.25" customHeight="1" x14ac:dyDescent="0.25">
      <c r="A794" s="4" t="s">
        <v>56</v>
      </c>
      <c r="B794" s="4" t="s">
        <v>36</v>
      </c>
      <c r="C794" s="4" t="s">
        <v>32</v>
      </c>
      <c r="D794" s="4" t="s">
        <v>41</v>
      </c>
      <c r="E794" s="4" t="s">
        <v>25</v>
      </c>
      <c r="F794" s="4" t="s">
        <v>25</v>
      </c>
      <c r="G794" s="4" t="s">
        <v>25</v>
      </c>
      <c r="H794" s="4" t="s">
        <v>35</v>
      </c>
      <c r="I794" s="5">
        <v>44713</v>
      </c>
      <c r="J794" s="6">
        <v>0</v>
      </c>
      <c r="K794" s="6">
        <v>0</v>
      </c>
      <c r="L794" s="6">
        <v>1.139</v>
      </c>
      <c r="M794" s="6">
        <v>1.139</v>
      </c>
      <c r="N794" s="6">
        <v>1.139</v>
      </c>
      <c r="O794" s="6">
        <v>1.139</v>
      </c>
      <c r="P794" s="6">
        <v>0</v>
      </c>
      <c r="Q794" s="4" t="s">
        <v>26</v>
      </c>
      <c r="R794" s="4">
        <v>0</v>
      </c>
      <c r="S794" s="6">
        <v>0</v>
      </c>
      <c r="T794" s="6">
        <v>31</v>
      </c>
      <c r="U794" s="6">
        <v>71</v>
      </c>
      <c r="V794" s="6">
        <f>IF(ISERROR(VLOOKUP($S$794,'TAR FIN'!$A$1:$O$86,15,0)),0,VLOOKUP($S$794,'TAR FIN'!$A$1:$O$86,15,0))</f>
        <v>0</v>
      </c>
      <c r="W794" s="6">
        <f>IF(ISERROR(VLOOKUP($T$794,'TAR FIN'!$A$1:$O$86,15,0)),0,VLOOKUP($T$794,'TAR FIN'!$A$1:$O$86,15,0))</f>
        <v>479.1</v>
      </c>
      <c r="X794" s="6">
        <f>IF(ISERROR(VLOOKUP($U$794,'TAR FIN'!$A$1:$O$86,15,0)),0,VLOOKUP($U$794,'TAR FIN'!$A$1:$O$86,15,0))</f>
        <v>246.3</v>
      </c>
      <c r="Y794" s="6"/>
      <c r="Z794" s="6">
        <f ca="1">('TUSD BE'!$AM$47+'TUSD BF'!$AM$47+'TUSD CVA'!$AM$47)*1</f>
        <v>420.60013627588546</v>
      </c>
      <c r="AA794" s="6">
        <f>('TE BE'!$AB$37+'TE BF'!$AB$37+'TE CVA'!$AB$37)*1</f>
        <v>219.40364509824883</v>
      </c>
      <c r="AB794" s="6">
        <f>$K$794*$V$794</f>
        <v>0</v>
      </c>
      <c r="AC794" s="6">
        <f>$M$794*$W$794</f>
        <v>545.69490000000008</v>
      </c>
      <c r="AD794" s="6">
        <f>$O$794*$X$794</f>
        <v>280.53570000000002</v>
      </c>
      <c r="AE794" s="6">
        <f>$K$794*$Y$794</f>
        <v>0</v>
      </c>
      <c r="AF794" s="6">
        <f ca="1">$M$794*$Z$794</f>
        <v>479.06355521823355</v>
      </c>
      <c r="AG794" s="6">
        <f>$O$794*$AA$794</f>
        <v>249.90075176690542</v>
      </c>
    </row>
    <row r="795" spans="1:33" ht="11.25" customHeight="1" x14ac:dyDescent="0.25">
      <c r="A795" s="4" t="s">
        <v>21</v>
      </c>
      <c r="B795" s="4" t="s">
        <v>36</v>
      </c>
      <c r="C795" s="4" t="s">
        <v>32</v>
      </c>
      <c r="D795" s="4" t="s">
        <v>41</v>
      </c>
      <c r="E795" s="4" t="s">
        <v>25</v>
      </c>
      <c r="F795" s="4" t="s">
        <v>25</v>
      </c>
      <c r="G795" s="4" t="s">
        <v>25</v>
      </c>
      <c r="H795" s="4" t="s">
        <v>33</v>
      </c>
      <c r="I795" s="5">
        <v>44378</v>
      </c>
      <c r="J795" s="6">
        <v>0</v>
      </c>
      <c r="K795" s="6">
        <v>0</v>
      </c>
      <c r="L795" s="6">
        <v>1.661</v>
      </c>
      <c r="M795" s="6">
        <v>1.661</v>
      </c>
      <c r="N795" s="6">
        <v>1.661</v>
      </c>
      <c r="O795" s="6">
        <v>1.661</v>
      </c>
      <c r="P795" s="6">
        <v>0</v>
      </c>
      <c r="Q795" s="4" t="s">
        <v>26</v>
      </c>
      <c r="R795" s="4">
        <v>0</v>
      </c>
      <c r="S795" s="6">
        <v>0</v>
      </c>
      <c r="T795" s="6">
        <v>33</v>
      </c>
      <c r="U795" s="6">
        <v>75</v>
      </c>
      <c r="V795" s="6">
        <f>IF(ISERROR(VLOOKUP($S$795,'TAR FIN'!$A$1:$O$86,15,0)),0,VLOOKUP($S$795,'TAR FIN'!$A$1:$O$86,15,0))</f>
        <v>0</v>
      </c>
      <c r="W795" s="6">
        <f>IF(ISERROR(VLOOKUP($T$795,'TAR FIN'!$A$1:$O$86,15,0)),0,VLOOKUP($T$795,'TAR FIN'!$A$1:$O$86,15,0))</f>
        <v>858.83</v>
      </c>
      <c r="X795" s="6">
        <f>IF(ISERROR(VLOOKUP($U$795,'TAR FIN'!$A$1:$O$86,15,0)),0,VLOOKUP($U$795,'TAR FIN'!$A$1:$O$86,15,0))</f>
        <v>389.21</v>
      </c>
      <c r="Y795" s="6"/>
      <c r="Z795" s="6">
        <f ca="1">('TUSD BE'!$AM$46+'TUSD BF'!$AM$46+'TUSD CVA'!$AM$46)*1</f>
        <v>1111.2627392273312</v>
      </c>
      <c r="AA795" s="6">
        <f>('TE BE'!$AB$36+'TE BF'!$AB$36+'TE CVA'!$AB$36)*1</f>
        <v>353.55100010229148</v>
      </c>
      <c r="AB795" s="6">
        <f>$K$795*$V$795</f>
        <v>0</v>
      </c>
      <c r="AC795" s="6">
        <f>$M$795*$W$795</f>
        <v>1426.5166300000001</v>
      </c>
      <c r="AD795" s="6">
        <f>$O$795*$X$795</f>
        <v>646.47780999999998</v>
      </c>
      <c r="AE795" s="6">
        <f>$K$795*$Y$795</f>
        <v>0</v>
      </c>
      <c r="AF795" s="6">
        <f ca="1">$M$795*$Z$795</f>
        <v>1845.8074098565971</v>
      </c>
      <c r="AG795" s="6">
        <f>$O$795*$AA$795</f>
        <v>587.2482111699062</v>
      </c>
    </row>
    <row r="796" spans="1:33" ht="11.25" customHeight="1" x14ac:dyDescent="0.25">
      <c r="A796" s="4" t="s">
        <v>21</v>
      </c>
      <c r="B796" s="4" t="s">
        <v>36</v>
      </c>
      <c r="C796" s="4" t="s">
        <v>32</v>
      </c>
      <c r="D796" s="4" t="s">
        <v>41</v>
      </c>
      <c r="E796" s="4" t="s">
        <v>25</v>
      </c>
      <c r="F796" s="4" t="s">
        <v>25</v>
      </c>
      <c r="G796" s="4" t="s">
        <v>25</v>
      </c>
      <c r="H796" s="4" t="s">
        <v>33</v>
      </c>
      <c r="I796" s="5">
        <v>44409</v>
      </c>
      <c r="J796" s="6">
        <v>0</v>
      </c>
      <c r="K796" s="6">
        <v>0</v>
      </c>
      <c r="L796" s="6">
        <v>1.4</v>
      </c>
      <c r="M796" s="6">
        <v>1.4</v>
      </c>
      <c r="N796" s="6">
        <v>1.4</v>
      </c>
      <c r="O796" s="6">
        <v>1.4</v>
      </c>
      <c r="P796" s="6">
        <v>0</v>
      </c>
      <c r="Q796" s="4" t="s">
        <v>26</v>
      </c>
      <c r="R796" s="4">
        <v>0</v>
      </c>
      <c r="S796" s="6">
        <v>0</v>
      </c>
      <c r="T796" s="6">
        <v>33</v>
      </c>
      <c r="U796" s="6">
        <v>75</v>
      </c>
      <c r="V796" s="6">
        <f>IF(ISERROR(VLOOKUP($S$796,'TAR FIN'!$A$1:$O$86,15,0)),0,VLOOKUP($S$796,'TAR FIN'!$A$1:$O$86,15,0))</f>
        <v>0</v>
      </c>
      <c r="W796" s="6">
        <f>IF(ISERROR(VLOOKUP($T$796,'TAR FIN'!$A$1:$O$86,15,0)),0,VLOOKUP($T$796,'TAR FIN'!$A$1:$O$86,15,0))</f>
        <v>858.83</v>
      </c>
      <c r="X796" s="6">
        <f>IF(ISERROR(VLOOKUP($U$796,'TAR FIN'!$A$1:$O$86,15,0)),0,VLOOKUP($U$796,'TAR FIN'!$A$1:$O$86,15,0))</f>
        <v>389.21</v>
      </c>
      <c r="Y796" s="6"/>
      <c r="Z796" s="6">
        <f ca="1">('TUSD BE'!$AM$46+'TUSD BF'!$AM$46+'TUSD CVA'!$AM$46)*1</f>
        <v>1111.2627392273312</v>
      </c>
      <c r="AA796" s="6">
        <f>('TE BE'!$AB$36+'TE BF'!$AB$36+'TE CVA'!$AB$36)*1</f>
        <v>353.55100010229148</v>
      </c>
      <c r="AB796" s="6">
        <f>$K$796*$V$796</f>
        <v>0</v>
      </c>
      <c r="AC796" s="6">
        <f>$M$796*$W$796</f>
        <v>1202.3620000000001</v>
      </c>
      <c r="AD796" s="6">
        <f>$O$796*$X$796</f>
        <v>544.89399999999989</v>
      </c>
      <c r="AE796" s="6">
        <f>$K$796*$Y$796</f>
        <v>0</v>
      </c>
      <c r="AF796" s="6">
        <f ca="1">$M$796*$Z$796</f>
        <v>1555.7678349182636</v>
      </c>
      <c r="AG796" s="6">
        <f>$O$796*$AA$796</f>
        <v>494.97140014320803</v>
      </c>
    </row>
    <row r="797" spans="1:33" ht="11.25" customHeight="1" x14ac:dyDescent="0.25">
      <c r="A797" s="4" t="s">
        <v>21</v>
      </c>
      <c r="B797" s="4" t="s">
        <v>36</v>
      </c>
      <c r="C797" s="4" t="s">
        <v>32</v>
      </c>
      <c r="D797" s="4" t="s">
        <v>41</v>
      </c>
      <c r="E797" s="4" t="s">
        <v>25</v>
      </c>
      <c r="F797" s="4" t="s">
        <v>25</v>
      </c>
      <c r="G797" s="4" t="s">
        <v>25</v>
      </c>
      <c r="H797" s="4" t="s">
        <v>33</v>
      </c>
      <c r="I797" s="5">
        <v>44440</v>
      </c>
      <c r="J797" s="6">
        <v>0</v>
      </c>
      <c r="K797" s="6">
        <v>0</v>
      </c>
      <c r="L797" s="6">
        <v>1.401</v>
      </c>
      <c r="M797" s="6">
        <v>1.401</v>
      </c>
      <c r="N797" s="6">
        <v>1.401</v>
      </c>
      <c r="O797" s="6">
        <v>1.401</v>
      </c>
      <c r="P797" s="6">
        <v>0</v>
      </c>
      <c r="Q797" s="4" t="s">
        <v>26</v>
      </c>
      <c r="R797" s="4">
        <v>0</v>
      </c>
      <c r="S797" s="6">
        <v>0</v>
      </c>
      <c r="T797" s="6">
        <v>33</v>
      </c>
      <c r="U797" s="6">
        <v>75</v>
      </c>
      <c r="V797" s="6">
        <f>IF(ISERROR(VLOOKUP($S$797,'TAR FIN'!$A$1:$O$86,15,0)),0,VLOOKUP($S$797,'TAR FIN'!$A$1:$O$86,15,0))</f>
        <v>0</v>
      </c>
      <c r="W797" s="6">
        <f>IF(ISERROR(VLOOKUP($T$797,'TAR FIN'!$A$1:$O$86,15,0)),0,VLOOKUP($T$797,'TAR FIN'!$A$1:$O$86,15,0))</f>
        <v>858.83</v>
      </c>
      <c r="X797" s="6">
        <f>IF(ISERROR(VLOOKUP($U$797,'TAR FIN'!$A$1:$O$86,15,0)),0,VLOOKUP($U$797,'TAR FIN'!$A$1:$O$86,15,0))</f>
        <v>389.21</v>
      </c>
      <c r="Y797" s="6"/>
      <c r="Z797" s="6">
        <f ca="1">('TUSD BE'!$AM$46+'TUSD BF'!$AM$46+'TUSD CVA'!$AM$46)*1</f>
        <v>1111.2627392273312</v>
      </c>
      <c r="AA797" s="6">
        <f>('TE BE'!$AB$36+'TE BF'!$AB$36+'TE CVA'!$AB$36)*1</f>
        <v>353.55100010229148</v>
      </c>
      <c r="AB797" s="6">
        <f>$K$797*$V$797</f>
        <v>0</v>
      </c>
      <c r="AC797" s="6">
        <f>$M$797*$W$797</f>
        <v>1203.22083</v>
      </c>
      <c r="AD797" s="6">
        <f>$O$797*$X$797</f>
        <v>545.28320999999994</v>
      </c>
      <c r="AE797" s="6">
        <f>$K$797*$Y$797</f>
        <v>0</v>
      </c>
      <c r="AF797" s="6">
        <f ca="1">$M$797*$Z$797</f>
        <v>1556.879097657491</v>
      </c>
      <c r="AG797" s="6">
        <f>$O$797*$AA$797</f>
        <v>495.32495114331039</v>
      </c>
    </row>
    <row r="798" spans="1:33" ht="11.25" customHeight="1" x14ac:dyDescent="0.25">
      <c r="A798" s="4" t="s">
        <v>21</v>
      </c>
      <c r="B798" s="4" t="s">
        <v>36</v>
      </c>
      <c r="C798" s="4" t="s">
        <v>32</v>
      </c>
      <c r="D798" s="4" t="s">
        <v>41</v>
      </c>
      <c r="E798" s="4" t="s">
        <v>25</v>
      </c>
      <c r="F798" s="4" t="s">
        <v>25</v>
      </c>
      <c r="G798" s="4" t="s">
        <v>25</v>
      </c>
      <c r="H798" s="4" t="s">
        <v>33</v>
      </c>
      <c r="I798" s="5">
        <v>44470</v>
      </c>
      <c r="J798" s="6">
        <v>0</v>
      </c>
      <c r="K798" s="6">
        <v>0</v>
      </c>
      <c r="L798" s="6">
        <v>1.506</v>
      </c>
      <c r="M798" s="6">
        <v>1.506</v>
      </c>
      <c r="N798" s="6">
        <v>1.506</v>
      </c>
      <c r="O798" s="6">
        <v>1.506</v>
      </c>
      <c r="P798" s="6">
        <v>0</v>
      </c>
      <c r="Q798" s="4" t="s">
        <v>26</v>
      </c>
      <c r="R798" s="4">
        <v>0</v>
      </c>
      <c r="S798" s="6">
        <v>0</v>
      </c>
      <c r="T798" s="6">
        <v>33</v>
      </c>
      <c r="U798" s="6">
        <v>75</v>
      </c>
      <c r="V798" s="6">
        <f>IF(ISERROR(VLOOKUP($S$798,'TAR FIN'!$A$1:$O$86,15,0)),0,VLOOKUP($S$798,'TAR FIN'!$A$1:$O$86,15,0))</f>
        <v>0</v>
      </c>
      <c r="W798" s="6">
        <f>IF(ISERROR(VLOOKUP($T$798,'TAR FIN'!$A$1:$O$86,15,0)),0,VLOOKUP($T$798,'TAR FIN'!$A$1:$O$86,15,0))</f>
        <v>858.83</v>
      </c>
      <c r="X798" s="6">
        <f>IF(ISERROR(VLOOKUP($U$798,'TAR FIN'!$A$1:$O$86,15,0)),0,VLOOKUP($U$798,'TAR FIN'!$A$1:$O$86,15,0))</f>
        <v>389.21</v>
      </c>
      <c r="Y798" s="6"/>
      <c r="Z798" s="6">
        <f ca="1">('TUSD BE'!$AM$46+'TUSD BF'!$AM$46+'TUSD CVA'!$AM$46)*1</f>
        <v>1111.2627392273312</v>
      </c>
      <c r="AA798" s="6">
        <f>('TE BE'!$AB$36+'TE BF'!$AB$36+'TE CVA'!$AB$36)*1</f>
        <v>353.55100010229148</v>
      </c>
      <c r="AB798" s="6">
        <f>$K$798*$V$798</f>
        <v>0</v>
      </c>
      <c r="AC798" s="6">
        <f>$M$798*$W$798</f>
        <v>1293.39798</v>
      </c>
      <c r="AD798" s="6">
        <f>$O$798*$X$798</f>
        <v>586.15026</v>
      </c>
      <c r="AE798" s="6">
        <f>$K$798*$Y$798</f>
        <v>0</v>
      </c>
      <c r="AF798" s="6">
        <f ca="1">$M$798*$Z$798</f>
        <v>1673.5616852763608</v>
      </c>
      <c r="AG798" s="6">
        <f>$O$798*$AA$798</f>
        <v>532.44780615405102</v>
      </c>
    </row>
    <row r="799" spans="1:33" ht="11.25" customHeight="1" x14ac:dyDescent="0.25">
      <c r="A799" s="4" t="s">
        <v>21</v>
      </c>
      <c r="B799" s="4" t="s">
        <v>36</v>
      </c>
      <c r="C799" s="4" t="s">
        <v>32</v>
      </c>
      <c r="D799" s="4" t="s">
        <v>41</v>
      </c>
      <c r="E799" s="4" t="s">
        <v>25</v>
      </c>
      <c r="F799" s="4" t="s">
        <v>25</v>
      </c>
      <c r="G799" s="4" t="s">
        <v>25</v>
      </c>
      <c r="H799" s="4" t="s">
        <v>33</v>
      </c>
      <c r="I799" s="5">
        <v>44501</v>
      </c>
      <c r="J799" s="6">
        <v>0</v>
      </c>
      <c r="K799" s="6">
        <v>0</v>
      </c>
      <c r="L799" s="6">
        <v>1.865</v>
      </c>
      <c r="M799" s="6">
        <v>1.865</v>
      </c>
      <c r="N799" s="6">
        <v>1.865</v>
      </c>
      <c r="O799" s="6">
        <v>1.865</v>
      </c>
      <c r="P799" s="6">
        <v>0</v>
      </c>
      <c r="Q799" s="4" t="s">
        <v>26</v>
      </c>
      <c r="R799" s="4">
        <v>0</v>
      </c>
      <c r="S799" s="6">
        <v>0</v>
      </c>
      <c r="T799" s="6">
        <v>33</v>
      </c>
      <c r="U799" s="6">
        <v>75</v>
      </c>
      <c r="V799" s="6">
        <f>IF(ISERROR(VLOOKUP($S$799,'TAR FIN'!$A$1:$O$86,15,0)),0,VLOOKUP($S$799,'TAR FIN'!$A$1:$O$86,15,0))</f>
        <v>0</v>
      </c>
      <c r="W799" s="6">
        <f>IF(ISERROR(VLOOKUP($T$799,'TAR FIN'!$A$1:$O$86,15,0)),0,VLOOKUP($T$799,'TAR FIN'!$A$1:$O$86,15,0))</f>
        <v>858.83</v>
      </c>
      <c r="X799" s="6">
        <f>IF(ISERROR(VLOOKUP($U$799,'TAR FIN'!$A$1:$O$86,15,0)),0,VLOOKUP($U$799,'TAR FIN'!$A$1:$O$86,15,0))</f>
        <v>389.21</v>
      </c>
      <c r="Y799" s="6"/>
      <c r="Z799" s="6">
        <f ca="1">('TUSD BE'!$AM$46+'TUSD BF'!$AM$46+'TUSD CVA'!$AM$46)*1</f>
        <v>1111.2627392273312</v>
      </c>
      <c r="AA799" s="6">
        <f>('TE BE'!$AB$36+'TE BF'!$AB$36+'TE CVA'!$AB$36)*1</f>
        <v>353.55100010229148</v>
      </c>
      <c r="AB799" s="6">
        <f>$K$799*$V$799</f>
        <v>0</v>
      </c>
      <c r="AC799" s="6">
        <f>$M$799*$W$799</f>
        <v>1601.71795</v>
      </c>
      <c r="AD799" s="6">
        <f>$O$799*$X$799</f>
        <v>725.87664999999993</v>
      </c>
      <c r="AE799" s="6">
        <f>$K$799*$Y$799</f>
        <v>0</v>
      </c>
      <c r="AF799" s="6">
        <f ca="1">$M$799*$Z$799</f>
        <v>2072.5050086589727</v>
      </c>
      <c r="AG799" s="6">
        <f>$O$799*$AA$799</f>
        <v>659.37261519077356</v>
      </c>
    </row>
    <row r="800" spans="1:33" ht="11.25" customHeight="1" x14ac:dyDescent="0.25">
      <c r="A800" s="4" t="s">
        <v>21</v>
      </c>
      <c r="B800" s="4" t="s">
        <v>36</v>
      </c>
      <c r="C800" s="4" t="s">
        <v>32</v>
      </c>
      <c r="D800" s="4" t="s">
        <v>41</v>
      </c>
      <c r="E800" s="4" t="s">
        <v>25</v>
      </c>
      <c r="F800" s="4" t="s">
        <v>25</v>
      </c>
      <c r="G800" s="4" t="s">
        <v>25</v>
      </c>
      <c r="H800" s="4" t="s">
        <v>33</v>
      </c>
      <c r="I800" s="5">
        <v>44531</v>
      </c>
      <c r="J800" s="6">
        <v>0</v>
      </c>
      <c r="K800" s="6">
        <v>0</v>
      </c>
      <c r="L800" s="6">
        <v>1.996</v>
      </c>
      <c r="M800" s="6">
        <v>1.996</v>
      </c>
      <c r="N800" s="6">
        <v>1.996</v>
      </c>
      <c r="O800" s="6">
        <v>1.996</v>
      </c>
      <c r="P800" s="6">
        <v>0</v>
      </c>
      <c r="Q800" s="4" t="s">
        <v>26</v>
      </c>
      <c r="R800" s="4">
        <v>0</v>
      </c>
      <c r="S800" s="6">
        <v>0</v>
      </c>
      <c r="T800" s="6">
        <v>33</v>
      </c>
      <c r="U800" s="6">
        <v>75</v>
      </c>
      <c r="V800" s="6">
        <f>IF(ISERROR(VLOOKUP($S$800,'TAR FIN'!$A$1:$O$86,15,0)),0,VLOOKUP($S$800,'TAR FIN'!$A$1:$O$86,15,0))</f>
        <v>0</v>
      </c>
      <c r="W800" s="6">
        <f>IF(ISERROR(VLOOKUP($T$800,'TAR FIN'!$A$1:$O$86,15,0)),0,VLOOKUP($T$800,'TAR FIN'!$A$1:$O$86,15,0))</f>
        <v>858.83</v>
      </c>
      <c r="X800" s="6">
        <f>IF(ISERROR(VLOOKUP($U$800,'TAR FIN'!$A$1:$O$86,15,0)),0,VLOOKUP($U$800,'TAR FIN'!$A$1:$O$86,15,0))</f>
        <v>389.21</v>
      </c>
      <c r="Y800" s="6"/>
      <c r="Z800" s="6">
        <f ca="1">('TUSD BE'!$AM$46+'TUSD BF'!$AM$46+'TUSD CVA'!$AM$46)*1</f>
        <v>1111.2627392273312</v>
      </c>
      <c r="AA800" s="6">
        <f>('TE BE'!$AB$36+'TE BF'!$AB$36+'TE CVA'!$AB$36)*1</f>
        <v>353.55100010229148</v>
      </c>
      <c r="AB800" s="6">
        <f>$K$800*$V$800</f>
        <v>0</v>
      </c>
      <c r="AC800" s="6">
        <f>$M$800*$W$800</f>
        <v>1714.22468</v>
      </c>
      <c r="AD800" s="6">
        <f>$O$800*$X$800</f>
        <v>776.86315999999999</v>
      </c>
      <c r="AE800" s="6">
        <f>$K$800*$Y$800</f>
        <v>0</v>
      </c>
      <c r="AF800" s="6">
        <f ca="1">$M$800*$Z$800</f>
        <v>2218.0804274977531</v>
      </c>
      <c r="AG800" s="6">
        <f>$O$800*$AA$800</f>
        <v>705.68779620417376</v>
      </c>
    </row>
    <row r="801" spans="1:33" ht="11.25" customHeight="1" x14ac:dyDescent="0.25">
      <c r="A801" s="4" t="s">
        <v>21</v>
      </c>
      <c r="B801" s="4" t="s">
        <v>36</v>
      </c>
      <c r="C801" s="4" t="s">
        <v>32</v>
      </c>
      <c r="D801" s="4" t="s">
        <v>41</v>
      </c>
      <c r="E801" s="4" t="s">
        <v>25</v>
      </c>
      <c r="F801" s="4" t="s">
        <v>25</v>
      </c>
      <c r="G801" s="4" t="s">
        <v>25</v>
      </c>
      <c r="H801" s="4" t="s">
        <v>33</v>
      </c>
      <c r="I801" s="5">
        <v>44562</v>
      </c>
      <c r="J801" s="6">
        <v>0</v>
      </c>
      <c r="K801" s="6">
        <v>0</v>
      </c>
      <c r="L801" s="6">
        <v>2.5379999999999998</v>
      </c>
      <c r="M801" s="6">
        <v>2.5379999999999998</v>
      </c>
      <c r="N801" s="6">
        <v>2.5379999999999998</v>
      </c>
      <c r="O801" s="6">
        <v>2.5379999999999998</v>
      </c>
      <c r="P801" s="6">
        <v>0</v>
      </c>
      <c r="Q801" s="4" t="s">
        <v>26</v>
      </c>
      <c r="R801" s="4">
        <v>0</v>
      </c>
      <c r="S801" s="6">
        <v>0</v>
      </c>
      <c r="T801" s="6">
        <v>33</v>
      </c>
      <c r="U801" s="6">
        <v>75</v>
      </c>
      <c r="V801" s="6">
        <f>IF(ISERROR(VLOOKUP($S$801,'TAR FIN'!$A$1:$O$86,15,0)),0,VLOOKUP($S$801,'TAR FIN'!$A$1:$O$86,15,0))</f>
        <v>0</v>
      </c>
      <c r="W801" s="6">
        <f>IF(ISERROR(VLOOKUP($T$801,'TAR FIN'!$A$1:$O$86,15,0)),0,VLOOKUP($T$801,'TAR FIN'!$A$1:$O$86,15,0))</f>
        <v>858.83</v>
      </c>
      <c r="X801" s="6">
        <f>IF(ISERROR(VLOOKUP($U$801,'TAR FIN'!$A$1:$O$86,15,0)),0,VLOOKUP($U$801,'TAR FIN'!$A$1:$O$86,15,0))</f>
        <v>389.21</v>
      </c>
      <c r="Y801" s="6"/>
      <c r="Z801" s="6">
        <f ca="1">('TUSD BE'!$AM$46+'TUSD BF'!$AM$46+'TUSD CVA'!$AM$46)*1</f>
        <v>1111.2627392273312</v>
      </c>
      <c r="AA801" s="6">
        <f>('TE BE'!$AB$36+'TE BF'!$AB$36+'TE CVA'!$AB$36)*1</f>
        <v>353.55100010229148</v>
      </c>
      <c r="AB801" s="6">
        <f>$K$801*$V$801</f>
        <v>0</v>
      </c>
      <c r="AC801" s="6">
        <f>$M$801*$W$801</f>
        <v>2179.71054</v>
      </c>
      <c r="AD801" s="6">
        <f>$O$801*$X$801</f>
        <v>987.81497999999988</v>
      </c>
      <c r="AE801" s="6">
        <f>$K$801*$Y$801</f>
        <v>0</v>
      </c>
      <c r="AF801" s="6">
        <f ca="1">$M$801*$Z$801</f>
        <v>2820.3848321589662</v>
      </c>
      <c r="AG801" s="6">
        <f>$O$801*$AA$801</f>
        <v>897.31243825961576</v>
      </c>
    </row>
    <row r="802" spans="1:33" ht="11.25" customHeight="1" x14ac:dyDescent="0.25">
      <c r="A802" s="4" t="s">
        <v>21</v>
      </c>
      <c r="B802" s="4" t="s">
        <v>36</v>
      </c>
      <c r="C802" s="4" t="s">
        <v>32</v>
      </c>
      <c r="D802" s="4" t="s">
        <v>41</v>
      </c>
      <c r="E802" s="4" t="s">
        <v>25</v>
      </c>
      <c r="F802" s="4" t="s">
        <v>25</v>
      </c>
      <c r="G802" s="4" t="s">
        <v>25</v>
      </c>
      <c r="H802" s="4" t="s">
        <v>33</v>
      </c>
      <c r="I802" s="5">
        <v>44593</v>
      </c>
      <c r="J802" s="6">
        <v>0</v>
      </c>
      <c r="K802" s="6">
        <v>0</v>
      </c>
      <c r="L802" s="6">
        <v>1.871</v>
      </c>
      <c r="M802" s="6">
        <v>1.871</v>
      </c>
      <c r="N802" s="6">
        <v>1.871</v>
      </c>
      <c r="O802" s="6">
        <v>1.871</v>
      </c>
      <c r="P802" s="6">
        <v>0</v>
      </c>
      <c r="Q802" s="4" t="s">
        <v>26</v>
      </c>
      <c r="R802" s="4">
        <v>0</v>
      </c>
      <c r="S802" s="6">
        <v>0</v>
      </c>
      <c r="T802" s="6">
        <v>33</v>
      </c>
      <c r="U802" s="6">
        <v>75</v>
      </c>
      <c r="V802" s="6">
        <f>IF(ISERROR(VLOOKUP($S$802,'TAR FIN'!$A$1:$O$86,15,0)),0,VLOOKUP($S$802,'TAR FIN'!$A$1:$O$86,15,0))</f>
        <v>0</v>
      </c>
      <c r="W802" s="6">
        <f>IF(ISERROR(VLOOKUP($T$802,'TAR FIN'!$A$1:$O$86,15,0)),0,VLOOKUP($T$802,'TAR FIN'!$A$1:$O$86,15,0))</f>
        <v>858.83</v>
      </c>
      <c r="X802" s="6">
        <f>IF(ISERROR(VLOOKUP($U$802,'TAR FIN'!$A$1:$O$86,15,0)),0,VLOOKUP($U$802,'TAR FIN'!$A$1:$O$86,15,0))</f>
        <v>389.21</v>
      </c>
      <c r="Y802" s="6"/>
      <c r="Z802" s="6">
        <f ca="1">('TUSD BE'!$AM$46+'TUSD BF'!$AM$46+'TUSD CVA'!$AM$46)*1</f>
        <v>1111.2627392273312</v>
      </c>
      <c r="AA802" s="6">
        <f>('TE BE'!$AB$36+'TE BF'!$AB$36+'TE CVA'!$AB$36)*1</f>
        <v>353.55100010229148</v>
      </c>
      <c r="AB802" s="6">
        <f>$K$802*$V$802</f>
        <v>0</v>
      </c>
      <c r="AC802" s="6">
        <f>$M$802*$W$802</f>
        <v>1606.87093</v>
      </c>
      <c r="AD802" s="6">
        <f>$O$802*$X$802</f>
        <v>728.21190999999999</v>
      </c>
      <c r="AE802" s="6">
        <f>$K$802*$Y$802</f>
        <v>0</v>
      </c>
      <c r="AF802" s="6">
        <f ca="1">$M$802*$Z$802</f>
        <v>2079.1725850943367</v>
      </c>
      <c r="AG802" s="6">
        <f>$O$802*$AA$802</f>
        <v>661.49392119138736</v>
      </c>
    </row>
    <row r="803" spans="1:33" ht="11.25" customHeight="1" x14ac:dyDescent="0.25">
      <c r="A803" s="4" t="s">
        <v>21</v>
      </c>
      <c r="B803" s="4" t="s">
        <v>36</v>
      </c>
      <c r="C803" s="4" t="s">
        <v>32</v>
      </c>
      <c r="D803" s="4" t="s">
        <v>41</v>
      </c>
      <c r="E803" s="4" t="s">
        <v>25</v>
      </c>
      <c r="F803" s="4" t="s">
        <v>25</v>
      </c>
      <c r="G803" s="4" t="s">
        <v>25</v>
      </c>
      <c r="H803" s="4" t="s">
        <v>33</v>
      </c>
      <c r="I803" s="5">
        <v>44621</v>
      </c>
      <c r="J803" s="6">
        <v>0</v>
      </c>
      <c r="K803" s="6">
        <v>0</v>
      </c>
      <c r="L803" s="6">
        <v>1.47</v>
      </c>
      <c r="M803" s="6">
        <v>1.47</v>
      </c>
      <c r="N803" s="6">
        <v>1.47</v>
      </c>
      <c r="O803" s="6">
        <v>1.47</v>
      </c>
      <c r="P803" s="6">
        <v>0</v>
      </c>
      <c r="Q803" s="4" t="s">
        <v>26</v>
      </c>
      <c r="R803" s="4">
        <v>0</v>
      </c>
      <c r="S803" s="6">
        <v>0</v>
      </c>
      <c r="T803" s="6">
        <v>33</v>
      </c>
      <c r="U803" s="6">
        <v>75</v>
      </c>
      <c r="V803" s="6">
        <f>IF(ISERROR(VLOOKUP($S$803,'TAR FIN'!$A$1:$O$86,15,0)),0,VLOOKUP($S$803,'TAR FIN'!$A$1:$O$86,15,0))</f>
        <v>0</v>
      </c>
      <c r="W803" s="6">
        <f>IF(ISERROR(VLOOKUP($T$803,'TAR FIN'!$A$1:$O$86,15,0)),0,VLOOKUP($T$803,'TAR FIN'!$A$1:$O$86,15,0))</f>
        <v>858.83</v>
      </c>
      <c r="X803" s="6">
        <f>IF(ISERROR(VLOOKUP($U$803,'TAR FIN'!$A$1:$O$86,15,0)),0,VLOOKUP($U$803,'TAR FIN'!$A$1:$O$86,15,0))</f>
        <v>389.21</v>
      </c>
      <c r="Y803" s="6"/>
      <c r="Z803" s="6">
        <f ca="1">('TUSD BE'!$AM$46+'TUSD BF'!$AM$46+'TUSD CVA'!$AM$46)*1</f>
        <v>1111.2627392273312</v>
      </c>
      <c r="AA803" s="6">
        <f>('TE BE'!$AB$36+'TE BF'!$AB$36+'TE CVA'!$AB$36)*1</f>
        <v>353.55100010229148</v>
      </c>
      <c r="AB803" s="6">
        <f>$K$803*$V$803</f>
        <v>0</v>
      </c>
      <c r="AC803" s="6">
        <f>$M$803*$W$803</f>
        <v>1262.4801</v>
      </c>
      <c r="AD803" s="6">
        <f>$O$803*$X$803</f>
        <v>572.13869999999997</v>
      </c>
      <c r="AE803" s="6">
        <f>$K$803*$Y$803</f>
        <v>0</v>
      </c>
      <c r="AF803" s="6">
        <f ca="1">$M$803*$Z$803</f>
        <v>1633.5562266641768</v>
      </c>
      <c r="AG803" s="6">
        <f>$O$803*$AA$803</f>
        <v>519.71997015036845</v>
      </c>
    </row>
    <row r="804" spans="1:33" ht="11.25" customHeight="1" x14ac:dyDescent="0.25">
      <c r="A804" s="4" t="s">
        <v>21</v>
      </c>
      <c r="B804" s="4" t="s">
        <v>36</v>
      </c>
      <c r="C804" s="4" t="s">
        <v>32</v>
      </c>
      <c r="D804" s="4" t="s">
        <v>41</v>
      </c>
      <c r="E804" s="4" t="s">
        <v>25</v>
      </c>
      <c r="F804" s="4" t="s">
        <v>25</v>
      </c>
      <c r="G804" s="4" t="s">
        <v>25</v>
      </c>
      <c r="H804" s="4" t="s">
        <v>33</v>
      </c>
      <c r="I804" s="5">
        <v>44652</v>
      </c>
      <c r="J804" s="6">
        <v>0</v>
      </c>
      <c r="K804" s="6">
        <v>0</v>
      </c>
      <c r="L804" s="6">
        <v>1.9059999999999999</v>
      </c>
      <c r="M804" s="6">
        <v>1.9059999999999999</v>
      </c>
      <c r="N804" s="6">
        <v>1.9059999999999999</v>
      </c>
      <c r="O804" s="6">
        <v>1.9059999999999999</v>
      </c>
      <c r="P804" s="6">
        <v>0</v>
      </c>
      <c r="Q804" s="4" t="s">
        <v>26</v>
      </c>
      <c r="R804" s="4">
        <v>0</v>
      </c>
      <c r="S804" s="6">
        <v>0</v>
      </c>
      <c r="T804" s="6">
        <v>33</v>
      </c>
      <c r="U804" s="6">
        <v>75</v>
      </c>
      <c r="V804" s="6">
        <f>IF(ISERROR(VLOOKUP($S$804,'TAR FIN'!$A$1:$O$86,15,0)),0,VLOOKUP($S$804,'TAR FIN'!$A$1:$O$86,15,0))</f>
        <v>0</v>
      </c>
      <c r="W804" s="6">
        <f>IF(ISERROR(VLOOKUP($T$804,'TAR FIN'!$A$1:$O$86,15,0)),0,VLOOKUP($T$804,'TAR FIN'!$A$1:$O$86,15,0))</f>
        <v>858.83</v>
      </c>
      <c r="X804" s="6">
        <f>IF(ISERROR(VLOOKUP($U$804,'TAR FIN'!$A$1:$O$86,15,0)),0,VLOOKUP($U$804,'TAR FIN'!$A$1:$O$86,15,0))</f>
        <v>389.21</v>
      </c>
      <c r="Y804" s="6"/>
      <c r="Z804" s="6">
        <f ca="1">('TUSD BE'!$AM$46+'TUSD BF'!$AM$46+'TUSD CVA'!$AM$46)*1</f>
        <v>1111.2627392273312</v>
      </c>
      <c r="AA804" s="6">
        <f>('TE BE'!$AB$36+'TE BF'!$AB$36+'TE CVA'!$AB$36)*1</f>
        <v>353.55100010229148</v>
      </c>
      <c r="AB804" s="6">
        <f>$K$804*$V$804</f>
        <v>0</v>
      </c>
      <c r="AC804" s="6">
        <f>$M$804*$W$804</f>
        <v>1636.9299800000001</v>
      </c>
      <c r="AD804" s="6">
        <f>$O$804*$X$804</f>
        <v>741.83425999999997</v>
      </c>
      <c r="AE804" s="6">
        <f>$K$804*$Y$804</f>
        <v>0</v>
      </c>
      <c r="AF804" s="6">
        <f ca="1">$M$804*$Z$804</f>
        <v>2118.0667809672932</v>
      </c>
      <c r="AG804" s="6">
        <f>$O$804*$AA$804</f>
        <v>673.86820619496757</v>
      </c>
    </row>
    <row r="805" spans="1:33" ht="11.25" customHeight="1" x14ac:dyDescent="0.25">
      <c r="A805" s="4" t="s">
        <v>21</v>
      </c>
      <c r="B805" s="4" t="s">
        <v>36</v>
      </c>
      <c r="C805" s="4" t="s">
        <v>32</v>
      </c>
      <c r="D805" s="4" t="s">
        <v>41</v>
      </c>
      <c r="E805" s="4" t="s">
        <v>25</v>
      </c>
      <c r="F805" s="4" t="s">
        <v>25</v>
      </c>
      <c r="G805" s="4" t="s">
        <v>25</v>
      </c>
      <c r="H805" s="4" t="s">
        <v>33</v>
      </c>
      <c r="I805" s="5">
        <v>44682</v>
      </c>
      <c r="J805" s="6">
        <v>0</v>
      </c>
      <c r="K805" s="6">
        <v>0</v>
      </c>
      <c r="L805" s="6">
        <v>1.429</v>
      </c>
      <c r="M805" s="6">
        <v>1.429</v>
      </c>
      <c r="N805" s="6">
        <v>1.429</v>
      </c>
      <c r="O805" s="6">
        <v>1.429</v>
      </c>
      <c r="P805" s="6">
        <v>0</v>
      </c>
      <c r="Q805" s="4" t="s">
        <v>26</v>
      </c>
      <c r="R805" s="4">
        <v>0</v>
      </c>
      <c r="S805" s="6">
        <v>0</v>
      </c>
      <c r="T805" s="6">
        <v>33</v>
      </c>
      <c r="U805" s="6">
        <v>75</v>
      </c>
      <c r="V805" s="6">
        <f>IF(ISERROR(VLOOKUP($S$805,'TAR FIN'!$A$1:$O$86,15,0)),0,VLOOKUP($S$805,'TAR FIN'!$A$1:$O$86,15,0))</f>
        <v>0</v>
      </c>
      <c r="W805" s="6">
        <f>IF(ISERROR(VLOOKUP($T$805,'TAR FIN'!$A$1:$O$86,15,0)),0,VLOOKUP($T$805,'TAR FIN'!$A$1:$O$86,15,0))</f>
        <v>858.83</v>
      </c>
      <c r="X805" s="6">
        <f>IF(ISERROR(VLOOKUP($U$805,'TAR FIN'!$A$1:$O$86,15,0)),0,VLOOKUP($U$805,'TAR FIN'!$A$1:$O$86,15,0))</f>
        <v>389.21</v>
      </c>
      <c r="Y805" s="6"/>
      <c r="Z805" s="6">
        <f ca="1">('TUSD BE'!$AM$46+'TUSD BF'!$AM$46+'TUSD CVA'!$AM$46)*1</f>
        <v>1111.2627392273312</v>
      </c>
      <c r="AA805" s="6">
        <f>('TE BE'!$AB$36+'TE BF'!$AB$36+'TE CVA'!$AB$36)*1</f>
        <v>353.55100010229148</v>
      </c>
      <c r="AB805" s="6">
        <f>$K$805*$V$805</f>
        <v>0</v>
      </c>
      <c r="AC805" s="6">
        <f>$M$805*$W$805</f>
        <v>1227.2680700000001</v>
      </c>
      <c r="AD805" s="6">
        <f>$O$805*$X$805</f>
        <v>556.18109000000004</v>
      </c>
      <c r="AE805" s="6">
        <f>$K$805*$Y$805</f>
        <v>0</v>
      </c>
      <c r="AF805" s="6">
        <f ca="1">$M$805*$Z$805</f>
        <v>1587.9944543558563</v>
      </c>
      <c r="AG805" s="6">
        <f>$O$805*$AA$805</f>
        <v>505.22437914617456</v>
      </c>
    </row>
    <row r="806" spans="1:33" ht="11.25" customHeight="1" x14ac:dyDescent="0.25">
      <c r="A806" s="4" t="s">
        <v>56</v>
      </c>
      <c r="B806" s="4" t="s">
        <v>36</v>
      </c>
      <c r="C806" s="4" t="s">
        <v>32</v>
      </c>
      <c r="D806" s="4" t="s">
        <v>41</v>
      </c>
      <c r="E806" s="4" t="s">
        <v>25</v>
      </c>
      <c r="F806" s="4" t="s">
        <v>25</v>
      </c>
      <c r="G806" s="4" t="s">
        <v>25</v>
      </c>
      <c r="H806" s="4" t="s">
        <v>33</v>
      </c>
      <c r="I806" s="5">
        <v>44713</v>
      </c>
      <c r="J806" s="6">
        <v>0</v>
      </c>
      <c r="K806" s="6">
        <v>0</v>
      </c>
      <c r="L806" s="6">
        <v>1.429</v>
      </c>
      <c r="M806" s="6">
        <v>1.429</v>
      </c>
      <c r="N806" s="6">
        <v>1.429</v>
      </c>
      <c r="O806" s="6">
        <v>1.429</v>
      </c>
      <c r="P806" s="6">
        <v>0</v>
      </c>
      <c r="Q806" s="4" t="s">
        <v>26</v>
      </c>
      <c r="R806" s="4">
        <v>0</v>
      </c>
      <c r="S806" s="6">
        <v>0</v>
      </c>
      <c r="T806" s="6">
        <v>33</v>
      </c>
      <c r="U806" s="6">
        <v>75</v>
      </c>
      <c r="V806" s="6">
        <f>IF(ISERROR(VLOOKUP($S$806,'TAR FIN'!$A$1:$O$86,15,0)),0,VLOOKUP($S$806,'TAR FIN'!$A$1:$O$86,15,0))</f>
        <v>0</v>
      </c>
      <c r="W806" s="6">
        <f>IF(ISERROR(VLOOKUP($T$806,'TAR FIN'!$A$1:$O$86,15,0)),0,VLOOKUP($T$806,'TAR FIN'!$A$1:$O$86,15,0))</f>
        <v>858.83</v>
      </c>
      <c r="X806" s="6">
        <f>IF(ISERROR(VLOOKUP($U$806,'TAR FIN'!$A$1:$O$86,15,0)),0,VLOOKUP($U$806,'TAR FIN'!$A$1:$O$86,15,0))</f>
        <v>389.21</v>
      </c>
      <c r="Y806" s="6"/>
      <c r="Z806" s="6">
        <f ca="1">('TUSD BE'!$AM$46+'TUSD BF'!$AM$46+'TUSD CVA'!$AM$46)*1</f>
        <v>1111.2627392273312</v>
      </c>
      <c r="AA806" s="6">
        <f>('TE BE'!$AB$36+'TE BF'!$AB$36+'TE CVA'!$AB$36)*1</f>
        <v>353.55100010229148</v>
      </c>
      <c r="AB806" s="6">
        <f>$K$806*$V$806</f>
        <v>0</v>
      </c>
      <c r="AC806" s="6">
        <f>$M$806*$W$806</f>
        <v>1227.2680700000001</v>
      </c>
      <c r="AD806" s="6">
        <f>$O$806*$X$806</f>
        <v>556.18109000000004</v>
      </c>
      <c r="AE806" s="6">
        <f>$K$806*$Y$806</f>
        <v>0</v>
      </c>
      <c r="AF806" s="6">
        <f ca="1">$M$806*$Z$806</f>
        <v>1587.9944543558563</v>
      </c>
      <c r="AG806" s="6">
        <f>$O$806*$AA$806</f>
        <v>505.22437914617456</v>
      </c>
    </row>
    <row r="807" spans="1:33" ht="11.25" customHeight="1" x14ac:dyDescent="0.25">
      <c r="A807" s="4" t="s">
        <v>21</v>
      </c>
      <c r="B807" s="4" t="s">
        <v>36</v>
      </c>
      <c r="C807" s="4" t="s">
        <v>23</v>
      </c>
      <c r="D807" s="4" t="s">
        <v>41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44378</v>
      </c>
      <c r="J807" s="6">
        <v>0</v>
      </c>
      <c r="K807" s="6">
        <v>0</v>
      </c>
      <c r="L807" s="6">
        <v>1496.1780000000001</v>
      </c>
      <c r="M807" s="6">
        <v>1496.1780000000001</v>
      </c>
      <c r="N807" s="6">
        <v>1496.1780000000001</v>
      </c>
      <c r="O807" s="6">
        <v>1496.1780000000001</v>
      </c>
      <c r="P807" s="6">
        <v>3511</v>
      </c>
      <c r="Q807" s="4" t="s">
        <v>26</v>
      </c>
      <c r="R807" s="4">
        <v>0</v>
      </c>
      <c r="S807" s="6">
        <v>0</v>
      </c>
      <c r="T807" s="6">
        <v>34</v>
      </c>
      <c r="U807" s="6">
        <v>80</v>
      </c>
      <c r="V807" s="6">
        <f>IF(ISERROR(VLOOKUP($S$807,'TAR FIN'!$A$1:$O$86,15,0)),0,VLOOKUP($S$807,'TAR FIN'!$A$1:$O$86,15,0))</f>
        <v>0</v>
      </c>
      <c r="W807" s="6">
        <f>IF(ISERROR(VLOOKUP($T$807,'TAR FIN'!$A$1:$O$86,15,0)),0,VLOOKUP($T$807,'TAR FIN'!$A$1:$O$86,15,0))</f>
        <v>324.5</v>
      </c>
      <c r="X807" s="6">
        <f>IF(ISERROR(VLOOKUP($U$807,'TAR FIN'!$A$1:$O$86,15,0)),0,VLOOKUP($U$807,'TAR FIN'!$A$1:$O$86,15,0))</f>
        <v>258.20999999999998</v>
      </c>
      <c r="Y807" s="6"/>
      <c r="Z807" s="6">
        <f ca="1">('TUSD BE'!$AM$49+'TUSD BF'!$AM$49+'TUSD CVA'!$AM$49)*1</f>
        <v>330.1561966420345</v>
      </c>
      <c r="AA807" s="6">
        <f>('TE BE'!$AB$39+'TE BF'!$AB$39+'TE CVA'!$AB$39)*1</f>
        <v>230.58259134858577</v>
      </c>
      <c r="AB807" s="6">
        <f>$K$807*$V$807</f>
        <v>0</v>
      </c>
      <c r="AC807" s="6">
        <f>$M$807*$W$807</f>
        <v>485509.76100000006</v>
      </c>
      <c r="AD807" s="6">
        <f>$O$807*$X$807</f>
        <v>386328.12138000003</v>
      </c>
      <c r="AE807" s="6">
        <f>$K$807*$Y$807</f>
        <v>0</v>
      </c>
      <c r="AF807" s="6">
        <f ca="1">$M$807*$Z$807</f>
        <v>493972.43797948596</v>
      </c>
      <c r="AG807" s="6">
        <f>$O$807*$AA$807</f>
        <v>344992.60035874438</v>
      </c>
    </row>
    <row r="808" spans="1:33" ht="11.25" customHeight="1" x14ac:dyDescent="0.25">
      <c r="A808" s="4" t="s">
        <v>27</v>
      </c>
      <c r="B808" s="4" t="s">
        <v>36</v>
      </c>
      <c r="C808" s="4" t="s">
        <v>23</v>
      </c>
      <c r="D808" s="4" t="s">
        <v>41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44378</v>
      </c>
      <c r="J808" s="6">
        <v>0</v>
      </c>
      <c r="K808" s="6">
        <v>0</v>
      </c>
      <c r="L808" s="6">
        <v>4.2000000000000003E-2</v>
      </c>
      <c r="M808" s="6">
        <v>4.2000000000000003E-2</v>
      </c>
      <c r="N808" s="6">
        <v>4.2000000000000003E-2</v>
      </c>
      <c r="O808" s="6">
        <v>4.2000000000000003E-2</v>
      </c>
      <c r="P808" s="6">
        <v>0</v>
      </c>
      <c r="Q808" s="4" t="s">
        <v>26</v>
      </c>
      <c r="R808" s="4">
        <v>0</v>
      </c>
      <c r="S808" s="6">
        <v>0</v>
      </c>
      <c r="T808" s="6">
        <v>34</v>
      </c>
      <c r="U808" s="6">
        <v>80</v>
      </c>
      <c r="V808" s="6">
        <f>IF(ISERROR(VLOOKUP($S$808,'TAR FIN'!$A$1:$O$86,15,0)),0,VLOOKUP($S$808,'TAR FIN'!$A$1:$O$86,15,0))</f>
        <v>0</v>
      </c>
      <c r="W808" s="6">
        <f>IF(ISERROR(VLOOKUP($T$808,'TAR FIN'!$A$1:$O$86,15,0)),0,VLOOKUP($T$808,'TAR FIN'!$A$1:$O$86,15,0))</f>
        <v>324.5</v>
      </c>
      <c r="X808" s="6">
        <f>IF(ISERROR(VLOOKUP($U$808,'TAR FIN'!$A$1:$O$86,15,0)),0,VLOOKUP($U$808,'TAR FIN'!$A$1:$O$86,15,0))</f>
        <v>258.20999999999998</v>
      </c>
      <c r="Y808" s="6"/>
      <c r="Z808" s="6">
        <f ca="1">('TUSD BE'!$AM$49+'TUSD BF'!$AM$49+'TUSD CVA'!$AM$49)*1</f>
        <v>330.1561966420345</v>
      </c>
      <c r="AA808" s="6">
        <f>('TE BE'!$AB$39+'TE BF'!$AB$39+'TE CVA'!$AB$39)*1</f>
        <v>230.58259134858577</v>
      </c>
      <c r="AB808" s="6">
        <f>$K$808*$V$808</f>
        <v>0</v>
      </c>
      <c r="AC808" s="6">
        <f>$M$808*$W$808</f>
        <v>13.629000000000001</v>
      </c>
      <c r="AD808" s="6">
        <f>$O$808*$X$808</f>
        <v>10.84482</v>
      </c>
      <c r="AE808" s="6">
        <f>$K$808*$Y$808</f>
        <v>0</v>
      </c>
      <c r="AF808" s="6">
        <f ca="1">$M$808*$Z$808</f>
        <v>13.86656025896545</v>
      </c>
      <c r="AG808" s="6">
        <f>$O$808*$AA$808</f>
        <v>9.6844688366406029</v>
      </c>
    </row>
    <row r="809" spans="1:33" ht="11.25" customHeight="1" x14ac:dyDescent="0.25">
      <c r="A809" s="4" t="s">
        <v>21</v>
      </c>
      <c r="B809" s="4" t="s">
        <v>36</v>
      </c>
      <c r="C809" s="4" t="s">
        <v>23</v>
      </c>
      <c r="D809" s="4" t="s">
        <v>41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44409</v>
      </c>
      <c r="J809" s="6">
        <v>0</v>
      </c>
      <c r="K809" s="6">
        <v>0</v>
      </c>
      <c r="L809" s="6">
        <v>1480.2719999999999</v>
      </c>
      <c r="M809" s="6">
        <v>1480.2719999999999</v>
      </c>
      <c r="N809" s="6">
        <v>1480.2719999999999</v>
      </c>
      <c r="O809" s="6">
        <v>1480.2719999999999</v>
      </c>
      <c r="P809" s="6">
        <v>3497</v>
      </c>
      <c r="Q809" s="4" t="s">
        <v>26</v>
      </c>
      <c r="R809" s="4">
        <v>0</v>
      </c>
      <c r="S809" s="6">
        <v>0</v>
      </c>
      <c r="T809" s="6">
        <v>34</v>
      </c>
      <c r="U809" s="6">
        <v>80</v>
      </c>
      <c r="V809" s="6">
        <f>IF(ISERROR(VLOOKUP($S$809,'TAR FIN'!$A$1:$O$86,15,0)),0,VLOOKUP($S$809,'TAR FIN'!$A$1:$O$86,15,0))</f>
        <v>0</v>
      </c>
      <c r="W809" s="6">
        <f>IF(ISERROR(VLOOKUP($T$809,'TAR FIN'!$A$1:$O$86,15,0)),0,VLOOKUP($T$809,'TAR FIN'!$A$1:$O$86,15,0))</f>
        <v>324.5</v>
      </c>
      <c r="X809" s="6">
        <f>IF(ISERROR(VLOOKUP($U$809,'TAR FIN'!$A$1:$O$86,15,0)),0,VLOOKUP($U$809,'TAR FIN'!$A$1:$O$86,15,0))</f>
        <v>258.20999999999998</v>
      </c>
      <c r="Y809" s="6"/>
      <c r="Z809" s="6">
        <f ca="1">('TUSD BE'!$AM$49+'TUSD BF'!$AM$49+'TUSD CVA'!$AM$49)*1</f>
        <v>330.1561966420345</v>
      </c>
      <c r="AA809" s="6">
        <f>('TE BE'!$AB$39+'TE BF'!$AB$39+'TE CVA'!$AB$39)*1</f>
        <v>230.58259134858577</v>
      </c>
      <c r="AB809" s="6">
        <f>$K$809*$V$809</f>
        <v>0</v>
      </c>
      <c r="AC809" s="6">
        <f>$M$809*$W$809</f>
        <v>480348.26399999997</v>
      </c>
      <c r="AD809" s="6">
        <f>$O$809*$X$809</f>
        <v>382221.03311999998</v>
      </c>
      <c r="AE809" s="6">
        <f>$K$809*$Y$809</f>
        <v>0</v>
      </c>
      <c r="AF809" s="6">
        <f ca="1">$M$809*$Z$809</f>
        <v>488720.9735156977</v>
      </c>
      <c r="AG809" s="6">
        <f>$O$809*$AA$809</f>
        <v>341324.95366075373</v>
      </c>
    </row>
    <row r="810" spans="1:33" ht="11.25" customHeight="1" x14ac:dyDescent="0.25">
      <c r="A810" s="4" t="s">
        <v>27</v>
      </c>
      <c r="B810" s="4" t="s">
        <v>36</v>
      </c>
      <c r="C810" s="4" t="s">
        <v>23</v>
      </c>
      <c r="D810" s="4" t="s">
        <v>41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44409</v>
      </c>
      <c r="J810" s="6">
        <v>0</v>
      </c>
      <c r="K810" s="6">
        <v>0</v>
      </c>
      <c r="L810" s="6">
        <v>-6.6000000000000003E-2</v>
      </c>
      <c r="M810" s="6">
        <v>-6.6000000000000003E-2</v>
      </c>
      <c r="N810" s="6">
        <v>-6.6000000000000003E-2</v>
      </c>
      <c r="O810" s="6">
        <v>-6.6000000000000003E-2</v>
      </c>
      <c r="P810" s="6">
        <v>0</v>
      </c>
      <c r="Q810" s="4" t="s">
        <v>26</v>
      </c>
      <c r="R810" s="4">
        <v>0</v>
      </c>
      <c r="S810" s="6">
        <v>0</v>
      </c>
      <c r="T810" s="6">
        <v>34</v>
      </c>
      <c r="U810" s="6">
        <v>80</v>
      </c>
      <c r="V810" s="6">
        <f>IF(ISERROR(VLOOKUP($S$810,'TAR FIN'!$A$1:$O$86,15,0)),0,VLOOKUP($S$810,'TAR FIN'!$A$1:$O$86,15,0))</f>
        <v>0</v>
      </c>
      <c r="W810" s="6">
        <f>IF(ISERROR(VLOOKUP($T$810,'TAR FIN'!$A$1:$O$86,15,0)),0,VLOOKUP($T$810,'TAR FIN'!$A$1:$O$86,15,0))</f>
        <v>324.5</v>
      </c>
      <c r="X810" s="6">
        <f>IF(ISERROR(VLOOKUP($U$810,'TAR FIN'!$A$1:$O$86,15,0)),0,VLOOKUP($U$810,'TAR FIN'!$A$1:$O$86,15,0))</f>
        <v>258.20999999999998</v>
      </c>
      <c r="Y810" s="6"/>
      <c r="Z810" s="6">
        <f ca="1">('TUSD BE'!$AM$49+'TUSD BF'!$AM$49+'TUSD CVA'!$AM$49)*1</f>
        <v>330.1561966420345</v>
      </c>
      <c r="AA810" s="6">
        <f>('TE BE'!$AB$39+'TE BF'!$AB$39+'TE CVA'!$AB$39)*1</f>
        <v>230.58259134858577</v>
      </c>
      <c r="AB810" s="6">
        <f>$K$810*$V$810</f>
        <v>0</v>
      </c>
      <c r="AC810" s="6">
        <f>$M$810*$W$810</f>
        <v>-21.417000000000002</v>
      </c>
      <c r="AD810" s="6">
        <f>$O$810*$X$810</f>
        <v>-17.04186</v>
      </c>
      <c r="AE810" s="6">
        <f>$K$810*$Y$810</f>
        <v>0</v>
      </c>
      <c r="AF810" s="6">
        <f ca="1">$M$810*$Z$810</f>
        <v>-21.790308978374277</v>
      </c>
      <c r="AG810" s="6">
        <f>$O$810*$AA$810</f>
        <v>-15.218451029006662</v>
      </c>
    </row>
    <row r="811" spans="1:33" ht="11.25" customHeight="1" x14ac:dyDescent="0.25">
      <c r="A811" s="4" t="s">
        <v>55</v>
      </c>
      <c r="B811" s="4" t="s">
        <v>36</v>
      </c>
      <c r="C811" s="4" t="s">
        <v>23</v>
      </c>
      <c r="D811" s="4" t="s">
        <v>41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44409</v>
      </c>
      <c r="J811" s="6">
        <v>0</v>
      </c>
      <c r="K811" s="6">
        <v>0</v>
      </c>
      <c r="L811" s="6">
        <v>98.412000000000006</v>
      </c>
      <c r="M811" s="6">
        <v>98.412000000000006</v>
      </c>
      <c r="N811" s="6">
        <v>98.412000000000006</v>
      </c>
      <c r="O811" s="6">
        <v>98.412000000000006</v>
      </c>
      <c r="P811" s="6">
        <v>263</v>
      </c>
      <c r="Q811" s="4" t="s">
        <v>26</v>
      </c>
      <c r="R811" s="4">
        <v>0</v>
      </c>
      <c r="S811" s="6">
        <v>0</v>
      </c>
      <c r="T811" s="6">
        <v>34</v>
      </c>
      <c r="U811" s="6">
        <v>80</v>
      </c>
      <c r="V811" s="6">
        <f>IF(ISERROR(VLOOKUP($S$811,'TAR FIN'!$A$1:$O$86,15,0)),0,VLOOKUP($S$811,'TAR FIN'!$A$1:$O$86,15,0))</f>
        <v>0</v>
      </c>
      <c r="W811" s="6">
        <f>IF(ISERROR(VLOOKUP($T$811,'TAR FIN'!$A$1:$O$86,15,0)),0,VLOOKUP($T$811,'TAR FIN'!$A$1:$O$86,15,0))</f>
        <v>324.5</v>
      </c>
      <c r="X811" s="6">
        <f>IF(ISERROR(VLOOKUP($U$811,'TAR FIN'!$A$1:$O$86,15,0)),0,VLOOKUP($U$811,'TAR FIN'!$A$1:$O$86,15,0))</f>
        <v>258.20999999999998</v>
      </c>
      <c r="Y811" s="6"/>
      <c r="Z811" s="6">
        <f ca="1">('TUSD BE'!$AM$49+'TUSD BF'!$AM$49+'TUSD CVA'!$AM$49)*1</f>
        <v>330.1561966420345</v>
      </c>
      <c r="AA811" s="6">
        <f>('TE BE'!$AB$39+'TE BF'!$AB$39+'TE CVA'!$AB$39)*1</f>
        <v>230.58259134858577</v>
      </c>
      <c r="AB811" s="6">
        <f>$K$811*$V$811</f>
        <v>0</v>
      </c>
      <c r="AC811" s="6">
        <f>$M$811*$W$811</f>
        <v>31934.694000000003</v>
      </c>
      <c r="AD811" s="6">
        <f>$O$811*$X$811</f>
        <v>25410.962520000001</v>
      </c>
      <c r="AE811" s="6">
        <f>$K$811*$Y$811</f>
        <v>0</v>
      </c>
      <c r="AF811" s="6">
        <f ca="1">$M$811*$Z$811</f>
        <v>32491.331623935901</v>
      </c>
      <c r="AG811" s="6">
        <f>$O$811*$AA$811</f>
        <v>22692.093979797024</v>
      </c>
    </row>
    <row r="812" spans="1:33" ht="11.25" customHeight="1" x14ac:dyDescent="0.25">
      <c r="A812" s="4" t="s">
        <v>21</v>
      </c>
      <c r="B812" s="4" t="s">
        <v>36</v>
      </c>
      <c r="C812" s="4" t="s">
        <v>23</v>
      </c>
      <c r="D812" s="4" t="s">
        <v>41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44440</v>
      </c>
      <c r="J812" s="6">
        <v>0</v>
      </c>
      <c r="K812" s="6">
        <v>0</v>
      </c>
      <c r="L812" s="6">
        <v>1433.048</v>
      </c>
      <c r="M812" s="6">
        <v>1433.048</v>
      </c>
      <c r="N812" s="6">
        <v>1433.048</v>
      </c>
      <c r="O812" s="6">
        <v>1433.048</v>
      </c>
      <c r="P812" s="6">
        <v>3490</v>
      </c>
      <c r="Q812" s="4" t="s">
        <v>26</v>
      </c>
      <c r="R812" s="4">
        <v>0</v>
      </c>
      <c r="S812" s="6">
        <v>0</v>
      </c>
      <c r="T812" s="6">
        <v>34</v>
      </c>
      <c r="U812" s="6">
        <v>80</v>
      </c>
      <c r="V812" s="6">
        <f>IF(ISERROR(VLOOKUP($S$812,'TAR FIN'!$A$1:$O$86,15,0)),0,VLOOKUP($S$812,'TAR FIN'!$A$1:$O$86,15,0))</f>
        <v>0</v>
      </c>
      <c r="W812" s="6">
        <f>IF(ISERROR(VLOOKUP($T$812,'TAR FIN'!$A$1:$O$86,15,0)),0,VLOOKUP($T$812,'TAR FIN'!$A$1:$O$86,15,0))</f>
        <v>324.5</v>
      </c>
      <c r="X812" s="6">
        <f>IF(ISERROR(VLOOKUP($U$812,'TAR FIN'!$A$1:$O$86,15,0)),0,VLOOKUP($U$812,'TAR FIN'!$A$1:$O$86,15,0))</f>
        <v>258.20999999999998</v>
      </c>
      <c r="Y812" s="6"/>
      <c r="Z812" s="6">
        <f ca="1">('TUSD BE'!$AM$49+'TUSD BF'!$AM$49+'TUSD CVA'!$AM$49)*1</f>
        <v>330.1561966420345</v>
      </c>
      <c r="AA812" s="6">
        <f>('TE BE'!$AB$39+'TE BF'!$AB$39+'TE CVA'!$AB$39)*1</f>
        <v>230.58259134858577</v>
      </c>
      <c r="AB812" s="6">
        <f>$K$812*$V$812</f>
        <v>0</v>
      </c>
      <c r="AC812" s="6">
        <f>$M$812*$W$812</f>
        <v>465024.076</v>
      </c>
      <c r="AD812" s="6">
        <f>$O$812*$X$812</f>
        <v>370027.32407999999</v>
      </c>
      <c r="AE812" s="6">
        <f>$K$812*$Y$812</f>
        <v>0</v>
      </c>
      <c r="AF812" s="6">
        <f ca="1">$M$812*$Z$812</f>
        <v>473129.67728547426</v>
      </c>
      <c r="AG812" s="6">
        <f>$O$812*$AA$812</f>
        <v>330435.92136690812</v>
      </c>
    </row>
    <row r="813" spans="1:33" ht="11.25" customHeight="1" x14ac:dyDescent="0.25">
      <c r="A813" s="4" t="s">
        <v>27</v>
      </c>
      <c r="B813" s="4" t="s">
        <v>36</v>
      </c>
      <c r="C813" s="4" t="s">
        <v>23</v>
      </c>
      <c r="D813" s="4" t="s">
        <v>41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44440</v>
      </c>
      <c r="J813" s="6">
        <v>0</v>
      </c>
      <c r="K813" s="6">
        <v>0</v>
      </c>
      <c r="L813" s="6">
        <v>-3.03</v>
      </c>
      <c r="M813" s="6">
        <v>-3.03</v>
      </c>
      <c r="N813" s="6">
        <v>-3.03</v>
      </c>
      <c r="O813" s="6">
        <v>-3.03</v>
      </c>
      <c r="P813" s="6">
        <v>0</v>
      </c>
      <c r="Q813" s="4" t="s">
        <v>26</v>
      </c>
      <c r="R813" s="4">
        <v>0</v>
      </c>
      <c r="S813" s="6">
        <v>0</v>
      </c>
      <c r="T813" s="6">
        <v>34</v>
      </c>
      <c r="U813" s="6">
        <v>80</v>
      </c>
      <c r="V813" s="6">
        <f>IF(ISERROR(VLOOKUP($S$813,'TAR FIN'!$A$1:$O$86,15,0)),0,VLOOKUP($S$813,'TAR FIN'!$A$1:$O$86,15,0))</f>
        <v>0</v>
      </c>
      <c r="W813" s="6">
        <f>IF(ISERROR(VLOOKUP($T$813,'TAR FIN'!$A$1:$O$86,15,0)),0,VLOOKUP($T$813,'TAR FIN'!$A$1:$O$86,15,0))</f>
        <v>324.5</v>
      </c>
      <c r="X813" s="6">
        <f>IF(ISERROR(VLOOKUP($U$813,'TAR FIN'!$A$1:$O$86,15,0)),0,VLOOKUP($U$813,'TAR FIN'!$A$1:$O$86,15,0))</f>
        <v>258.20999999999998</v>
      </c>
      <c r="Y813" s="6"/>
      <c r="Z813" s="6">
        <f ca="1">('TUSD BE'!$AM$49+'TUSD BF'!$AM$49+'TUSD CVA'!$AM$49)*1</f>
        <v>330.1561966420345</v>
      </c>
      <c r="AA813" s="6">
        <f>('TE BE'!$AB$39+'TE BF'!$AB$39+'TE CVA'!$AB$39)*1</f>
        <v>230.58259134858577</v>
      </c>
      <c r="AB813" s="6">
        <f>$K$813*$V$813</f>
        <v>0</v>
      </c>
      <c r="AC813" s="6">
        <f>$M$813*$W$813</f>
        <v>-983.2349999999999</v>
      </c>
      <c r="AD813" s="6">
        <f>$O$813*$X$813</f>
        <v>-782.3762999999999</v>
      </c>
      <c r="AE813" s="6">
        <f>$K$813*$Y$813</f>
        <v>0</v>
      </c>
      <c r="AF813" s="6">
        <f ca="1">$M$813*$Z$813</f>
        <v>-1000.3732758253644</v>
      </c>
      <c r="AG813" s="6">
        <f>$O$813*$AA$813</f>
        <v>-698.66525178621487</v>
      </c>
    </row>
    <row r="814" spans="1:33" ht="11.25" customHeight="1" x14ac:dyDescent="0.25">
      <c r="A814" s="4" t="s">
        <v>55</v>
      </c>
      <c r="B814" s="4" t="s">
        <v>36</v>
      </c>
      <c r="C814" s="4" t="s">
        <v>23</v>
      </c>
      <c r="D814" s="4" t="s">
        <v>41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44440</v>
      </c>
      <c r="J814" s="6">
        <v>0</v>
      </c>
      <c r="K814" s="6">
        <v>0</v>
      </c>
      <c r="L814" s="6">
        <v>102.071</v>
      </c>
      <c r="M814" s="6">
        <v>102.071</v>
      </c>
      <c r="N814" s="6">
        <v>102.071</v>
      </c>
      <c r="O814" s="6">
        <v>102.071</v>
      </c>
      <c r="P814" s="6">
        <v>279</v>
      </c>
      <c r="Q814" s="4" t="s">
        <v>26</v>
      </c>
      <c r="R814" s="4">
        <v>0</v>
      </c>
      <c r="S814" s="6">
        <v>0</v>
      </c>
      <c r="T814" s="6">
        <v>34</v>
      </c>
      <c r="U814" s="6">
        <v>80</v>
      </c>
      <c r="V814" s="6">
        <f>IF(ISERROR(VLOOKUP($S$814,'TAR FIN'!$A$1:$O$86,15,0)),0,VLOOKUP($S$814,'TAR FIN'!$A$1:$O$86,15,0))</f>
        <v>0</v>
      </c>
      <c r="W814" s="6">
        <f>IF(ISERROR(VLOOKUP($T$814,'TAR FIN'!$A$1:$O$86,15,0)),0,VLOOKUP($T$814,'TAR FIN'!$A$1:$O$86,15,0))</f>
        <v>324.5</v>
      </c>
      <c r="X814" s="6">
        <f>IF(ISERROR(VLOOKUP($U$814,'TAR FIN'!$A$1:$O$86,15,0)),0,VLOOKUP($U$814,'TAR FIN'!$A$1:$O$86,15,0))</f>
        <v>258.20999999999998</v>
      </c>
      <c r="Y814" s="6"/>
      <c r="Z814" s="6">
        <f ca="1">('TUSD BE'!$AM$49+'TUSD BF'!$AM$49+'TUSD CVA'!$AM$49)*1</f>
        <v>330.1561966420345</v>
      </c>
      <c r="AA814" s="6">
        <f>('TE BE'!$AB$39+'TE BF'!$AB$39+'TE CVA'!$AB$39)*1</f>
        <v>230.58259134858577</v>
      </c>
      <c r="AB814" s="6">
        <f>$K$814*$V$814</f>
        <v>0</v>
      </c>
      <c r="AC814" s="6">
        <f>$M$814*$W$814</f>
        <v>33122.039499999999</v>
      </c>
      <c r="AD814" s="6">
        <f>$O$814*$X$814</f>
        <v>26355.752909999996</v>
      </c>
      <c r="AE814" s="6">
        <f>$K$814*$Y$814</f>
        <v>0</v>
      </c>
      <c r="AF814" s="6">
        <f ca="1">$M$814*$Z$814</f>
        <v>33699.3731474491</v>
      </c>
      <c r="AG814" s="6">
        <f>$O$814*$AA$814</f>
        <v>23535.795681541498</v>
      </c>
    </row>
    <row r="815" spans="1:33" ht="11.25" customHeight="1" x14ac:dyDescent="0.25">
      <c r="A815" s="4" t="s">
        <v>55</v>
      </c>
      <c r="B815" s="4" t="s">
        <v>36</v>
      </c>
      <c r="C815" s="4" t="s">
        <v>23</v>
      </c>
      <c r="D815" s="4" t="s">
        <v>41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44440</v>
      </c>
      <c r="J815" s="6">
        <v>0</v>
      </c>
      <c r="K815" s="6">
        <v>0</v>
      </c>
      <c r="L815" s="6">
        <v>0.997</v>
      </c>
      <c r="M815" s="6">
        <v>0.997</v>
      </c>
      <c r="N815" s="6">
        <v>0.997</v>
      </c>
      <c r="O815" s="6">
        <v>0.997</v>
      </c>
      <c r="P815" s="6">
        <v>1</v>
      </c>
      <c r="Q815" s="4" t="s">
        <v>26</v>
      </c>
      <c r="R815" s="4">
        <v>0</v>
      </c>
      <c r="S815" s="6">
        <v>0</v>
      </c>
      <c r="T815" s="6">
        <v>34</v>
      </c>
      <c r="U815" s="6">
        <v>80</v>
      </c>
      <c r="V815" s="6">
        <f>IF(ISERROR(VLOOKUP($S$815,'TAR FIN'!$A$1:$O$86,15,0)),0,VLOOKUP($S$815,'TAR FIN'!$A$1:$O$86,15,0))</f>
        <v>0</v>
      </c>
      <c r="W815" s="6">
        <f>IF(ISERROR(VLOOKUP($T$815,'TAR FIN'!$A$1:$O$86,15,0)),0,VLOOKUP($T$815,'TAR FIN'!$A$1:$O$86,15,0))</f>
        <v>324.5</v>
      </c>
      <c r="X815" s="6">
        <f>IF(ISERROR(VLOOKUP($U$815,'TAR FIN'!$A$1:$O$86,15,0)),0,VLOOKUP($U$815,'TAR FIN'!$A$1:$O$86,15,0))</f>
        <v>258.20999999999998</v>
      </c>
      <c r="Y815" s="6"/>
      <c r="Z815" s="6">
        <f ca="1">('TUSD BE'!$AM$49+'TUSD BF'!$AM$49+'TUSD CVA'!$AM$49)*1</f>
        <v>330.1561966420345</v>
      </c>
      <c r="AA815" s="6">
        <f>('TE BE'!$AB$39+'TE BF'!$AB$39+'TE CVA'!$AB$39)*1</f>
        <v>230.58259134858577</v>
      </c>
      <c r="AB815" s="6">
        <f>$K$815*$V$815</f>
        <v>0</v>
      </c>
      <c r="AC815" s="6">
        <f>$M$815*$W$815</f>
        <v>323.5265</v>
      </c>
      <c r="AD815" s="6">
        <f>$O$815*$X$815</f>
        <v>257.43536999999998</v>
      </c>
      <c r="AE815" s="6">
        <f>$K$815*$Y$815</f>
        <v>0</v>
      </c>
      <c r="AF815" s="6">
        <f ca="1">$M$815*$Z$815</f>
        <v>329.16572805210842</v>
      </c>
      <c r="AG815" s="6">
        <f>$O$815*$AA$815</f>
        <v>229.89084357454001</v>
      </c>
    </row>
    <row r="816" spans="1:33" ht="11.25" customHeight="1" x14ac:dyDescent="0.25">
      <c r="A816" s="4" t="s">
        <v>21</v>
      </c>
      <c r="B816" s="4" t="s">
        <v>36</v>
      </c>
      <c r="C816" s="4" t="s">
        <v>23</v>
      </c>
      <c r="D816" s="4" t="s">
        <v>41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44470</v>
      </c>
      <c r="J816" s="6">
        <v>0</v>
      </c>
      <c r="K816" s="6">
        <v>0</v>
      </c>
      <c r="L816" s="6">
        <v>1456.4770000000001</v>
      </c>
      <c r="M816" s="6">
        <v>1456.4770000000001</v>
      </c>
      <c r="N816" s="6">
        <v>1456.4770000000001</v>
      </c>
      <c r="O816" s="6">
        <v>1456.4770000000001</v>
      </c>
      <c r="P816" s="6">
        <v>3478</v>
      </c>
      <c r="Q816" s="4" t="s">
        <v>26</v>
      </c>
      <c r="R816" s="4">
        <v>0</v>
      </c>
      <c r="S816" s="6">
        <v>0</v>
      </c>
      <c r="T816" s="6">
        <v>34</v>
      </c>
      <c r="U816" s="6">
        <v>80</v>
      </c>
      <c r="V816" s="6">
        <f>IF(ISERROR(VLOOKUP($S$816,'TAR FIN'!$A$1:$O$86,15,0)),0,VLOOKUP($S$816,'TAR FIN'!$A$1:$O$86,15,0))</f>
        <v>0</v>
      </c>
      <c r="W816" s="6">
        <f>IF(ISERROR(VLOOKUP($T$816,'TAR FIN'!$A$1:$O$86,15,0)),0,VLOOKUP($T$816,'TAR FIN'!$A$1:$O$86,15,0))</f>
        <v>324.5</v>
      </c>
      <c r="X816" s="6">
        <f>IF(ISERROR(VLOOKUP($U$816,'TAR FIN'!$A$1:$O$86,15,0)),0,VLOOKUP($U$816,'TAR FIN'!$A$1:$O$86,15,0))</f>
        <v>258.20999999999998</v>
      </c>
      <c r="Y816" s="6"/>
      <c r="Z816" s="6">
        <f ca="1">('TUSD BE'!$AM$49+'TUSD BF'!$AM$49+'TUSD CVA'!$AM$49)*1</f>
        <v>330.1561966420345</v>
      </c>
      <c r="AA816" s="6">
        <f>('TE BE'!$AB$39+'TE BF'!$AB$39+'TE CVA'!$AB$39)*1</f>
        <v>230.58259134858577</v>
      </c>
      <c r="AB816" s="6">
        <f>$K$816*$V$816</f>
        <v>0</v>
      </c>
      <c r="AC816" s="6">
        <f>$M$816*$W$816</f>
        <v>472626.78650000005</v>
      </c>
      <c r="AD816" s="6">
        <f>$O$816*$X$816</f>
        <v>376076.92616999999</v>
      </c>
      <c r="AE816" s="6">
        <f>$K$816*$Y$816</f>
        <v>0</v>
      </c>
      <c r="AF816" s="6">
        <f ca="1">$M$816*$Z$816</f>
        <v>480864.90681660053</v>
      </c>
      <c r="AG816" s="6">
        <f>$O$816*$AA$816</f>
        <v>335838.24089961417</v>
      </c>
    </row>
    <row r="817" spans="1:33" ht="11.25" customHeight="1" x14ac:dyDescent="0.25">
      <c r="A817" s="4" t="s">
        <v>27</v>
      </c>
      <c r="B817" s="4" t="s">
        <v>36</v>
      </c>
      <c r="C817" s="4" t="s">
        <v>23</v>
      </c>
      <c r="D817" s="4" t="s">
        <v>41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44470</v>
      </c>
      <c r="J817" s="6">
        <v>0</v>
      </c>
      <c r="K817" s="6">
        <v>0</v>
      </c>
      <c r="L817" s="6">
        <v>-11.048999999999999</v>
      </c>
      <c r="M817" s="6">
        <v>-11.048999999999999</v>
      </c>
      <c r="N817" s="6">
        <v>-11.048999999999999</v>
      </c>
      <c r="O817" s="6">
        <v>-11.048999999999999</v>
      </c>
      <c r="P817" s="6">
        <v>0</v>
      </c>
      <c r="Q817" s="4" t="s">
        <v>26</v>
      </c>
      <c r="R817" s="4">
        <v>0</v>
      </c>
      <c r="S817" s="6">
        <v>0</v>
      </c>
      <c r="T817" s="6">
        <v>34</v>
      </c>
      <c r="U817" s="6">
        <v>80</v>
      </c>
      <c r="V817" s="6">
        <f>IF(ISERROR(VLOOKUP($S$817,'TAR FIN'!$A$1:$O$86,15,0)),0,VLOOKUP($S$817,'TAR FIN'!$A$1:$O$86,15,0))</f>
        <v>0</v>
      </c>
      <c r="W817" s="6">
        <f>IF(ISERROR(VLOOKUP($T$817,'TAR FIN'!$A$1:$O$86,15,0)),0,VLOOKUP($T$817,'TAR FIN'!$A$1:$O$86,15,0))</f>
        <v>324.5</v>
      </c>
      <c r="X817" s="6">
        <f>IF(ISERROR(VLOOKUP($U$817,'TAR FIN'!$A$1:$O$86,15,0)),0,VLOOKUP($U$817,'TAR FIN'!$A$1:$O$86,15,0))</f>
        <v>258.20999999999998</v>
      </c>
      <c r="Y817" s="6"/>
      <c r="Z817" s="6">
        <f ca="1">('TUSD BE'!$AM$49+'TUSD BF'!$AM$49+'TUSD CVA'!$AM$49)*1</f>
        <v>330.1561966420345</v>
      </c>
      <c r="AA817" s="6">
        <f>('TE BE'!$AB$39+'TE BF'!$AB$39+'TE CVA'!$AB$39)*1</f>
        <v>230.58259134858577</v>
      </c>
      <c r="AB817" s="6">
        <f>$K$817*$V$817</f>
        <v>0</v>
      </c>
      <c r="AC817" s="6">
        <f>$M$817*$W$817</f>
        <v>-3585.4004999999997</v>
      </c>
      <c r="AD817" s="6">
        <f>$O$817*$X$817</f>
        <v>-2852.9622899999995</v>
      </c>
      <c r="AE817" s="6">
        <f>$K$817*$Y$817</f>
        <v>0</v>
      </c>
      <c r="AF817" s="6">
        <f ca="1">$M$817*$Z$817</f>
        <v>-3647.8958166978391</v>
      </c>
      <c r="AG817" s="6">
        <f>$O$817*$AA$817</f>
        <v>-2547.7070518105238</v>
      </c>
    </row>
    <row r="818" spans="1:33" ht="11.25" customHeight="1" x14ac:dyDescent="0.25">
      <c r="A818" s="4" t="s">
        <v>55</v>
      </c>
      <c r="B818" s="4" t="s">
        <v>36</v>
      </c>
      <c r="C818" s="4" t="s">
        <v>23</v>
      </c>
      <c r="D818" s="4" t="s">
        <v>41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44470</v>
      </c>
      <c r="J818" s="6">
        <v>0</v>
      </c>
      <c r="K818" s="6">
        <v>0</v>
      </c>
      <c r="L818" s="6">
        <v>94.376000000000005</v>
      </c>
      <c r="M818" s="6">
        <v>94.376000000000005</v>
      </c>
      <c r="N818" s="6">
        <v>94.376000000000005</v>
      </c>
      <c r="O818" s="6">
        <v>94.376000000000005</v>
      </c>
      <c r="P818" s="6">
        <v>289</v>
      </c>
      <c r="Q818" s="4" t="s">
        <v>26</v>
      </c>
      <c r="R818" s="4">
        <v>0</v>
      </c>
      <c r="S818" s="6">
        <v>0</v>
      </c>
      <c r="T818" s="6">
        <v>34</v>
      </c>
      <c r="U818" s="6">
        <v>80</v>
      </c>
      <c r="V818" s="6">
        <f>IF(ISERROR(VLOOKUP($S$818,'TAR FIN'!$A$1:$O$86,15,0)),0,VLOOKUP($S$818,'TAR FIN'!$A$1:$O$86,15,0))</f>
        <v>0</v>
      </c>
      <c r="W818" s="6">
        <f>IF(ISERROR(VLOOKUP($T$818,'TAR FIN'!$A$1:$O$86,15,0)),0,VLOOKUP($T$818,'TAR FIN'!$A$1:$O$86,15,0))</f>
        <v>324.5</v>
      </c>
      <c r="X818" s="6">
        <f>IF(ISERROR(VLOOKUP($U$818,'TAR FIN'!$A$1:$O$86,15,0)),0,VLOOKUP($U$818,'TAR FIN'!$A$1:$O$86,15,0))</f>
        <v>258.20999999999998</v>
      </c>
      <c r="Y818" s="6"/>
      <c r="Z818" s="6">
        <f ca="1">('TUSD BE'!$AM$49+'TUSD BF'!$AM$49+'TUSD CVA'!$AM$49)*1</f>
        <v>330.1561966420345</v>
      </c>
      <c r="AA818" s="6">
        <f>('TE BE'!$AB$39+'TE BF'!$AB$39+'TE CVA'!$AB$39)*1</f>
        <v>230.58259134858577</v>
      </c>
      <c r="AB818" s="6">
        <f>$K$818*$V$818</f>
        <v>0</v>
      </c>
      <c r="AC818" s="6">
        <f>$M$818*$W$818</f>
        <v>30625.012000000002</v>
      </c>
      <c r="AD818" s="6">
        <f>$O$818*$X$818</f>
        <v>24368.826959999999</v>
      </c>
      <c r="AE818" s="6">
        <f>$K$818*$Y$818</f>
        <v>0</v>
      </c>
      <c r="AF818" s="6">
        <f ca="1">$M$818*$Z$818</f>
        <v>31158.821214288651</v>
      </c>
      <c r="AG818" s="6">
        <f>$O$818*$AA$818</f>
        <v>21761.462641114133</v>
      </c>
    </row>
    <row r="819" spans="1:33" ht="11.25" customHeight="1" x14ac:dyDescent="0.25">
      <c r="A819" s="4" t="s">
        <v>21</v>
      </c>
      <c r="B819" s="4" t="s">
        <v>36</v>
      </c>
      <c r="C819" s="4" t="s">
        <v>23</v>
      </c>
      <c r="D819" s="4" t="s">
        <v>41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44501</v>
      </c>
      <c r="J819" s="6">
        <v>0</v>
      </c>
      <c r="K819" s="6">
        <v>0</v>
      </c>
      <c r="L819" s="6">
        <v>1624.27</v>
      </c>
      <c r="M819" s="6">
        <v>1624.27</v>
      </c>
      <c r="N819" s="6">
        <v>1624.27</v>
      </c>
      <c r="O819" s="6">
        <v>1624.27</v>
      </c>
      <c r="P819" s="6">
        <v>3459</v>
      </c>
      <c r="Q819" s="4" t="s">
        <v>26</v>
      </c>
      <c r="R819" s="4">
        <v>0</v>
      </c>
      <c r="S819" s="6">
        <v>0</v>
      </c>
      <c r="T819" s="6">
        <v>34</v>
      </c>
      <c r="U819" s="6">
        <v>80</v>
      </c>
      <c r="V819" s="6">
        <f>IF(ISERROR(VLOOKUP($S$819,'TAR FIN'!$A$1:$O$86,15,0)),0,VLOOKUP($S$819,'TAR FIN'!$A$1:$O$86,15,0))</f>
        <v>0</v>
      </c>
      <c r="W819" s="6">
        <f>IF(ISERROR(VLOOKUP($T$819,'TAR FIN'!$A$1:$O$86,15,0)),0,VLOOKUP($T$819,'TAR FIN'!$A$1:$O$86,15,0))</f>
        <v>324.5</v>
      </c>
      <c r="X819" s="6">
        <f>IF(ISERROR(VLOOKUP($U$819,'TAR FIN'!$A$1:$O$86,15,0)),0,VLOOKUP($U$819,'TAR FIN'!$A$1:$O$86,15,0))</f>
        <v>258.20999999999998</v>
      </c>
      <c r="Y819" s="6"/>
      <c r="Z819" s="6">
        <f ca="1">('TUSD BE'!$AM$49+'TUSD BF'!$AM$49+'TUSD CVA'!$AM$49)*1</f>
        <v>330.1561966420345</v>
      </c>
      <c r="AA819" s="6">
        <f>('TE BE'!$AB$39+'TE BF'!$AB$39+'TE CVA'!$AB$39)*1</f>
        <v>230.58259134858577</v>
      </c>
      <c r="AB819" s="6">
        <f>$K$819*$V$819</f>
        <v>0</v>
      </c>
      <c r="AC819" s="6">
        <f>$M$819*$W$819</f>
        <v>527075.61499999999</v>
      </c>
      <c r="AD819" s="6">
        <f>$O$819*$X$819</f>
        <v>419402.75669999997</v>
      </c>
      <c r="AE819" s="6">
        <f>$K$819*$Y$819</f>
        <v>0</v>
      </c>
      <c r="AF819" s="6">
        <f ca="1">$M$819*$Z$819</f>
        <v>536262.80551975733</v>
      </c>
      <c r="AG819" s="6">
        <f>$O$819*$AA$819</f>
        <v>374528.38564976741</v>
      </c>
    </row>
    <row r="820" spans="1:33" ht="11.25" customHeight="1" x14ac:dyDescent="0.25">
      <c r="A820" s="4" t="s">
        <v>27</v>
      </c>
      <c r="B820" s="4" t="s">
        <v>36</v>
      </c>
      <c r="C820" s="4" t="s">
        <v>23</v>
      </c>
      <c r="D820" s="4" t="s">
        <v>41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44501</v>
      </c>
      <c r="J820" s="6">
        <v>0</v>
      </c>
      <c r="K820" s="6">
        <v>0</v>
      </c>
      <c r="L820" s="6">
        <v>-7.5990000000000002</v>
      </c>
      <c r="M820" s="6">
        <v>-7.5990000000000002</v>
      </c>
      <c r="N820" s="6">
        <v>-7.5990000000000002</v>
      </c>
      <c r="O820" s="6">
        <v>-7.5990000000000002</v>
      </c>
      <c r="P820" s="6">
        <v>0</v>
      </c>
      <c r="Q820" s="4" t="s">
        <v>26</v>
      </c>
      <c r="R820" s="4">
        <v>0</v>
      </c>
      <c r="S820" s="6">
        <v>0</v>
      </c>
      <c r="T820" s="6">
        <v>34</v>
      </c>
      <c r="U820" s="6">
        <v>80</v>
      </c>
      <c r="V820" s="6">
        <f>IF(ISERROR(VLOOKUP($S$820,'TAR FIN'!$A$1:$O$86,15,0)),0,VLOOKUP($S$820,'TAR FIN'!$A$1:$O$86,15,0))</f>
        <v>0</v>
      </c>
      <c r="W820" s="6">
        <f>IF(ISERROR(VLOOKUP($T$820,'TAR FIN'!$A$1:$O$86,15,0)),0,VLOOKUP($T$820,'TAR FIN'!$A$1:$O$86,15,0))</f>
        <v>324.5</v>
      </c>
      <c r="X820" s="6">
        <f>IF(ISERROR(VLOOKUP($U$820,'TAR FIN'!$A$1:$O$86,15,0)),0,VLOOKUP($U$820,'TAR FIN'!$A$1:$O$86,15,0))</f>
        <v>258.20999999999998</v>
      </c>
      <c r="Y820" s="6"/>
      <c r="Z820" s="6">
        <f ca="1">('TUSD BE'!$AM$49+'TUSD BF'!$AM$49+'TUSD CVA'!$AM$49)*1</f>
        <v>330.1561966420345</v>
      </c>
      <c r="AA820" s="6">
        <f>('TE BE'!$AB$39+'TE BF'!$AB$39+'TE CVA'!$AB$39)*1</f>
        <v>230.58259134858577</v>
      </c>
      <c r="AB820" s="6">
        <f>$K$820*$V$820</f>
        <v>0</v>
      </c>
      <c r="AC820" s="6">
        <f>$M$820*$W$820</f>
        <v>-2465.8755000000001</v>
      </c>
      <c r="AD820" s="6">
        <f>$O$820*$X$820</f>
        <v>-1962.13779</v>
      </c>
      <c r="AE820" s="6">
        <f>$K$820*$Y$820</f>
        <v>0</v>
      </c>
      <c r="AF820" s="6">
        <f ca="1">$M$820*$Z$820</f>
        <v>-2508.8569382828205</v>
      </c>
      <c r="AG820" s="6">
        <f>$O$820*$AA$820</f>
        <v>-1752.1971116579032</v>
      </c>
    </row>
    <row r="821" spans="1:33" ht="11.25" customHeight="1" x14ac:dyDescent="0.25">
      <c r="A821" s="4" t="s">
        <v>55</v>
      </c>
      <c r="B821" s="4" t="s">
        <v>36</v>
      </c>
      <c r="C821" s="4" t="s">
        <v>23</v>
      </c>
      <c r="D821" s="4" t="s">
        <v>41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44501</v>
      </c>
      <c r="J821" s="6">
        <v>0</v>
      </c>
      <c r="K821" s="6">
        <v>0</v>
      </c>
      <c r="L821" s="6">
        <v>91.132999999999996</v>
      </c>
      <c r="M821" s="6">
        <v>91.132999999999996</v>
      </c>
      <c r="N821" s="6">
        <v>91.132999999999996</v>
      </c>
      <c r="O821" s="6">
        <v>91.132999999999996</v>
      </c>
      <c r="P821" s="6">
        <v>308</v>
      </c>
      <c r="Q821" s="4" t="s">
        <v>26</v>
      </c>
      <c r="R821" s="4">
        <v>0</v>
      </c>
      <c r="S821" s="6">
        <v>0</v>
      </c>
      <c r="T821" s="6">
        <v>34</v>
      </c>
      <c r="U821" s="6">
        <v>80</v>
      </c>
      <c r="V821" s="6">
        <f>IF(ISERROR(VLOOKUP($S$821,'TAR FIN'!$A$1:$O$86,15,0)),0,VLOOKUP($S$821,'TAR FIN'!$A$1:$O$86,15,0))</f>
        <v>0</v>
      </c>
      <c r="W821" s="6">
        <f>IF(ISERROR(VLOOKUP($T$821,'TAR FIN'!$A$1:$O$86,15,0)),0,VLOOKUP($T$821,'TAR FIN'!$A$1:$O$86,15,0))</f>
        <v>324.5</v>
      </c>
      <c r="X821" s="6">
        <f>IF(ISERROR(VLOOKUP($U$821,'TAR FIN'!$A$1:$O$86,15,0)),0,VLOOKUP($U$821,'TAR FIN'!$A$1:$O$86,15,0))</f>
        <v>258.20999999999998</v>
      </c>
      <c r="Y821" s="6"/>
      <c r="Z821" s="6">
        <f ca="1">('TUSD BE'!$AM$49+'TUSD BF'!$AM$49+'TUSD CVA'!$AM$49)*1</f>
        <v>330.1561966420345</v>
      </c>
      <c r="AA821" s="6">
        <f>('TE BE'!$AB$39+'TE BF'!$AB$39+'TE CVA'!$AB$39)*1</f>
        <v>230.58259134858577</v>
      </c>
      <c r="AB821" s="6">
        <f>$K$821*$V$821</f>
        <v>0</v>
      </c>
      <c r="AC821" s="6">
        <f>$M$821*$W$821</f>
        <v>29572.658499999998</v>
      </c>
      <c r="AD821" s="6">
        <f>$O$821*$X$821</f>
        <v>23531.451929999996</v>
      </c>
      <c r="AE821" s="6">
        <f>$K$821*$Y$821</f>
        <v>0</v>
      </c>
      <c r="AF821" s="6">
        <f ca="1">$M$821*$Z$821</f>
        <v>30088.12466857853</v>
      </c>
      <c r="AG821" s="6">
        <f>$O$821*$AA$821</f>
        <v>21013.683297370666</v>
      </c>
    </row>
    <row r="822" spans="1:33" ht="11.25" customHeight="1" x14ac:dyDescent="0.25">
      <c r="A822" s="4" t="s">
        <v>21</v>
      </c>
      <c r="B822" s="4" t="s">
        <v>36</v>
      </c>
      <c r="C822" s="4" t="s">
        <v>23</v>
      </c>
      <c r="D822" s="4" t="s">
        <v>41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44531</v>
      </c>
      <c r="J822" s="6">
        <v>0</v>
      </c>
      <c r="K822" s="6">
        <v>0</v>
      </c>
      <c r="L822" s="6">
        <v>1704.2360000000001</v>
      </c>
      <c r="M822" s="6">
        <v>1704.2360000000001</v>
      </c>
      <c r="N822" s="6">
        <v>1704.2360000000001</v>
      </c>
      <c r="O822" s="6">
        <v>1704.2360000000001</v>
      </c>
      <c r="P822" s="6">
        <v>3467</v>
      </c>
      <c r="Q822" s="4" t="s">
        <v>26</v>
      </c>
      <c r="R822" s="4">
        <v>0</v>
      </c>
      <c r="S822" s="6">
        <v>0</v>
      </c>
      <c r="T822" s="6">
        <v>34</v>
      </c>
      <c r="U822" s="6">
        <v>80</v>
      </c>
      <c r="V822" s="6">
        <f>IF(ISERROR(VLOOKUP($S$822,'TAR FIN'!$A$1:$O$86,15,0)),0,VLOOKUP($S$822,'TAR FIN'!$A$1:$O$86,15,0))</f>
        <v>0</v>
      </c>
      <c r="W822" s="6">
        <f>IF(ISERROR(VLOOKUP($T$822,'TAR FIN'!$A$1:$O$86,15,0)),0,VLOOKUP($T$822,'TAR FIN'!$A$1:$O$86,15,0))</f>
        <v>324.5</v>
      </c>
      <c r="X822" s="6">
        <f>IF(ISERROR(VLOOKUP($U$822,'TAR FIN'!$A$1:$O$86,15,0)),0,VLOOKUP($U$822,'TAR FIN'!$A$1:$O$86,15,0))</f>
        <v>258.20999999999998</v>
      </c>
      <c r="Y822" s="6"/>
      <c r="Z822" s="6">
        <f ca="1">('TUSD BE'!$AM$49+'TUSD BF'!$AM$49+'TUSD CVA'!$AM$49)*1</f>
        <v>330.1561966420345</v>
      </c>
      <c r="AA822" s="6">
        <f>('TE BE'!$AB$39+'TE BF'!$AB$39+'TE CVA'!$AB$39)*1</f>
        <v>230.58259134858577</v>
      </c>
      <c r="AB822" s="6">
        <f>$K$822*$V$822</f>
        <v>0</v>
      </c>
      <c r="AC822" s="6">
        <f>$M$822*$W$822</f>
        <v>553024.58200000005</v>
      </c>
      <c r="AD822" s="6">
        <f>$O$822*$X$822</f>
        <v>440050.77756000002</v>
      </c>
      <c r="AE822" s="6">
        <f>$K$822*$Y$822</f>
        <v>0</v>
      </c>
      <c r="AF822" s="6">
        <f ca="1">$M$822*$Z$822</f>
        <v>562664.07594043436</v>
      </c>
      <c r="AG822" s="6">
        <f>$O$822*$AA$822</f>
        <v>392967.15314954845</v>
      </c>
    </row>
    <row r="823" spans="1:33" ht="11.25" customHeight="1" x14ac:dyDescent="0.25">
      <c r="A823" s="4" t="s">
        <v>27</v>
      </c>
      <c r="B823" s="4" t="s">
        <v>36</v>
      </c>
      <c r="C823" s="4" t="s">
        <v>23</v>
      </c>
      <c r="D823" s="4" t="s">
        <v>41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44531</v>
      </c>
      <c r="J823" s="6">
        <v>0</v>
      </c>
      <c r="K823" s="6">
        <v>0</v>
      </c>
      <c r="L823" s="6">
        <v>-211.714</v>
      </c>
      <c r="M823" s="6">
        <v>-211.714</v>
      </c>
      <c r="N823" s="6">
        <v>-211.714</v>
      </c>
      <c r="O823" s="6">
        <v>-211.714</v>
      </c>
      <c r="P823" s="6">
        <v>0</v>
      </c>
      <c r="Q823" s="4" t="s">
        <v>26</v>
      </c>
      <c r="R823" s="4">
        <v>0</v>
      </c>
      <c r="S823" s="6">
        <v>0</v>
      </c>
      <c r="T823" s="6">
        <v>34</v>
      </c>
      <c r="U823" s="6">
        <v>80</v>
      </c>
      <c r="V823" s="6">
        <f>IF(ISERROR(VLOOKUP($S$823,'TAR FIN'!$A$1:$O$86,15,0)),0,VLOOKUP($S$823,'TAR FIN'!$A$1:$O$86,15,0))</f>
        <v>0</v>
      </c>
      <c r="W823" s="6">
        <f>IF(ISERROR(VLOOKUP($T$823,'TAR FIN'!$A$1:$O$86,15,0)),0,VLOOKUP($T$823,'TAR FIN'!$A$1:$O$86,15,0))</f>
        <v>324.5</v>
      </c>
      <c r="X823" s="6">
        <f>IF(ISERROR(VLOOKUP($U$823,'TAR FIN'!$A$1:$O$86,15,0)),0,VLOOKUP($U$823,'TAR FIN'!$A$1:$O$86,15,0))</f>
        <v>258.20999999999998</v>
      </c>
      <c r="Y823" s="6"/>
      <c r="Z823" s="6">
        <f ca="1">('TUSD BE'!$AM$49+'TUSD BF'!$AM$49+'TUSD CVA'!$AM$49)*1</f>
        <v>330.1561966420345</v>
      </c>
      <c r="AA823" s="6">
        <f>('TE BE'!$AB$39+'TE BF'!$AB$39+'TE CVA'!$AB$39)*1</f>
        <v>230.58259134858577</v>
      </c>
      <c r="AB823" s="6">
        <f>$K$823*$V$823</f>
        <v>0</v>
      </c>
      <c r="AC823" s="6">
        <f>$M$823*$W$823</f>
        <v>-68701.192999999999</v>
      </c>
      <c r="AD823" s="6">
        <f>$O$823*$X$823</f>
        <v>-54666.671939999993</v>
      </c>
      <c r="AE823" s="6">
        <f>$K$823*$Y$823</f>
        <v>0</v>
      </c>
      <c r="AF823" s="6">
        <f ca="1">$M$823*$Z$823</f>
        <v>-69898.689015871685</v>
      </c>
      <c r="AG823" s="6">
        <f>$O$823*$AA$823</f>
        <v>-48817.562744774485</v>
      </c>
    </row>
    <row r="824" spans="1:33" ht="11.25" customHeight="1" x14ac:dyDescent="0.25">
      <c r="A824" s="4" t="s">
        <v>55</v>
      </c>
      <c r="B824" s="4" t="s">
        <v>36</v>
      </c>
      <c r="C824" s="4" t="s">
        <v>23</v>
      </c>
      <c r="D824" s="4" t="s">
        <v>41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120.959</v>
      </c>
      <c r="M824" s="6">
        <v>120.959</v>
      </c>
      <c r="N824" s="6">
        <v>120.959</v>
      </c>
      <c r="O824" s="6">
        <v>120.959</v>
      </c>
      <c r="P824" s="6">
        <v>330</v>
      </c>
      <c r="Q824" s="4" t="s">
        <v>26</v>
      </c>
      <c r="R824" s="4">
        <v>0</v>
      </c>
      <c r="S824" s="6">
        <v>0</v>
      </c>
      <c r="T824" s="6">
        <v>34</v>
      </c>
      <c r="U824" s="6">
        <v>80</v>
      </c>
      <c r="V824" s="6">
        <f>IF(ISERROR(VLOOKUP($S$824,'TAR FIN'!$A$1:$O$86,15,0)),0,VLOOKUP($S$824,'TAR FIN'!$A$1:$O$86,15,0))</f>
        <v>0</v>
      </c>
      <c r="W824" s="6">
        <f>IF(ISERROR(VLOOKUP($T$824,'TAR FIN'!$A$1:$O$86,15,0)),0,VLOOKUP($T$824,'TAR FIN'!$A$1:$O$86,15,0))</f>
        <v>324.5</v>
      </c>
      <c r="X824" s="6">
        <f>IF(ISERROR(VLOOKUP($U$824,'TAR FIN'!$A$1:$O$86,15,0)),0,VLOOKUP($U$824,'TAR FIN'!$A$1:$O$86,15,0))</f>
        <v>258.20999999999998</v>
      </c>
      <c r="Y824" s="6"/>
      <c r="Z824" s="6">
        <f ca="1">('TUSD BE'!$AM$49+'TUSD BF'!$AM$49+'TUSD CVA'!$AM$49)*1</f>
        <v>330.1561966420345</v>
      </c>
      <c r="AA824" s="6">
        <f>('TE BE'!$AB$39+'TE BF'!$AB$39+'TE CVA'!$AB$39)*1</f>
        <v>230.58259134858577</v>
      </c>
      <c r="AB824" s="6">
        <f>$K$824*$V$824</f>
        <v>0</v>
      </c>
      <c r="AC824" s="6">
        <f>$M$824*$W$824</f>
        <v>39251.195500000002</v>
      </c>
      <c r="AD824" s="6">
        <f>$O$824*$X$824</f>
        <v>31232.823389999998</v>
      </c>
      <c r="AE824" s="6">
        <f>$K$824*$Y$824</f>
        <v>0</v>
      </c>
      <c r="AF824" s="6">
        <f ca="1">$M$824*$Z$824</f>
        <v>39935.363389623853</v>
      </c>
      <c r="AG824" s="6">
        <f>$O$824*$AA$824</f>
        <v>27891.039666933586</v>
      </c>
    </row>
    <row r="825" spans="1:33" ht="11.25" customHeight="1" x14ac:dyDescent="0.25">
      <c r="A825" s="4" t="s">
        <v>55</v>
      </c>
      <c r="B825" s="4" t="s">
        <v>36</v>
      </c>
      <c r="C825" s="4" t="s">
        <v>23</v>
      </c>
      <c r="D825" s="4" t="s">
        <v>41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44531</v>
      </c>
      <c r="J825" s="6">
        <v>0</v>
      </c>
      <c r="K825" s="6">
        <v>0</v>
      </c>
      <c r="L825" s="6">
        <v>0.1</v>
      </c>
      <c r="M825" s="6">
        <v>0.1</v>
      </c>
      <c r="N825" s="6">
        <v>0.1</v>
      </c>
      <c r="O825" s="6">
        <v>0.1</v>
      </c>
      <c r="P825" s="6">
        <v>1</v>
      </c>
      <c r="Q825" s="4" t="s">
        <v>26</v>
      </c>
      <c r="R825" s="4">
        <v>0</v>
      </c>
      <c r="S825" s="6">
        <v>0</v>
      </c>
      <c r="T825" s="6">
        <v>34</v>
      </c>
      <c r="U825" s="6">
        <v>80</v>
      </c>
      <c r="V825" s="6">
        <f>IF(ISERROR(VLOOKUP($S$825,'TAR FIN'!$A$1:$O$86,15,0)),0,VLOOKUP($S$825,'TAR FIN'!$A$1:$O$86,15,0))</f>
        <v>0</v>
      </c>
      <c r="W825" s="6">
        <f>IF(ISERROR(VLOOKUP($T$825,'TAR FIN'!$A$1:$O$86,15,0)),0,VLOOKUP($T$825,'TAR FIN'!$A$1:$O$86,15,0))</f>
        <v>324.5</v>
      </c>
      <c r="X825" s="6">
        <f>IF(ISERROR(VLOOKUP($U$825,'TAR FIN'!$A$1:$O$86,15,0)),0,VLOOKUP($U$825,'TAR FIN'!$A$1:$O$86,15,0))</f>
        <v>258.20999999999998</v>
      </c>
      <c r="Y825" s="6"/>
      <c r="Z825" s="6">
        <f ca="1">('TUSD BE'!$AM$49+'TUSD BF'!$AM$49+'TUSD CVA'!$AM$49)*1</f>
        <v>330.1561966420345</v>
      </c>
      <c r="AA825" s="6">
        <f>('TE BE'!$AB$39+'TE BF'!$AB$39+'TE CVA'!$AB$39)*1</f>
        <v>230.58259134858577</v>
      </c>
      <c r="AB825" s="6">
        <f>$K$825*$V$825</f>
        <v>0</v>
      </c>
      <c r="AC825" s="6">
        <f>$M$825*$W$825</f>
        <v>32.450000000000003</v>
      </c>
      <c r="AD825" s="6">
        <f>$O$825*$X$825</f>
        <v>25.820999999999998</v>
      </c>
      <c r="AE825" s="6">
        <f>$K$825*$Y$825</f>
        <v>0</v>
      </c>
      <c r="AF825" s="6">
        <f ca="1">$M$825*$Z$825</f>
        <v>33.015619664203449</v>
      </c>
      <c r="AG825" s="6">
        <f>$O$825*$AA$825</f>
        <v>23.058259134858577</v>
      </c>
    </row>
    <row r="826" spans="1:33" ht="11.25" customHeight="1" x14ac:dyDescent="0.25">
      <c r="A826" s="4" t="s">
        <v>21</v>
      </c>
      <c r="B826" s="4" t="s">
        <v>36</v>
      </c>
      <c r="C826" s="4" t="s">
        <v>23</v>
      </c>
      <c r="D826" s="4" t="s">
        <v>41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44562</v>
      </c>
      <c r="J826" s="6">
        <v>0</v>
      </c>
      <c r="K826" s="6">
        <v>0</v>
      </c>
      <c r="L826" s="6">
        <v>1899.3979999999999</v>
      </c>
      <c r="M826" s="6">
        <v>1899.3979999999999</v>
      </c>
      <c r="N826" s="6">
        <v>1899.3979999999999</v>
      </c>
      <c r="O826" s="6">
        <v>1899.3979999999999</v>
      </c>
      <c r="P826" s="6">
        <v>3426</v>
      </c>
      <c r="Q826" s="4" t="s">
        <v>26</v>
      </c>
      <c r="R826" s="4">
        <v>0</v>
      </c>
      <c r="S826" s="6">
        <v>0</v>
      </c>
      <c r="T826" s="6">
        <v>34</v>
      </c>
      <c r="U826" s="6">
        <v>80</v>
      </c>
      <c r="V826" s="6">
        <f>IF(ISERROR(VLOOKUP($S$826,'TAR FIN'!$A$1:$O$86,15,0)),0,VLOOKUP($S$826,'TAR FIN'!$A$1:$O$86,15,0))</f>
        <v>0</v>
      </c>
      <c r="W826" s="6">
        <f>IF(ISERROR(VLOOKUP($T$826,'TAR FIN'!$A$1:$O$86,15,0)),0,VLOOKUP($T$826,'TAR FIN'!$A$1:$O$86,15,0))</f>
        <v>324.5</v>
      </c>
      <c r="X826" s="6">
        <f>IF(ISERROR(VLOOKUP($U$826,'TAR FIN'!$A$1:$O$86,15,0)),0,VLOOKUP($U$826,'TAR FIN'!$A$1:$O$86,15,0))</f>
        <v>258.20999999999998</v>
      </c>
      <c r="Y826" s="6"/>
      <c r="Z826" s="6">
        <f ca="1">('TUSD BE'!$AM$49+'TUSD BF'!$AM$49+'TUSD CVA'!$AM$49)*1</f>
        <v>330.1561966420345</v>
      </c>
      <c r="AA826" s="6">
        <f>('TE BE'!$AB$39+'TE BF'!$AB$39+'TE CVA'!$AB$39)*1</f>
        <v>230.58259134858577</v>
      </c>
      <c r="AB826" s="6">
        <f>$K$826*$V$826</f>
        <v>0</v>
      </c>
      <c r="AC826" s="6">
        <f>$M$826*$W$826</f>
        <v>616354.65099999995</v>
      </c>
      <c r="AD826" s="6">
        <f>$O$826*$X$826</f>
        <v>490443.55757999996</v>
      </c>
      <c r="AE826" s="6">
        <f>$K$826*$Y$826</f>
        <v>0</v>
      </c>
      <c r="AF826" s="6">
        <f ca="1">$M$826*$Z$826</f>
        <v>627098.019589487</v>
      </c>
      <c r="AG826" s="6">
        <f>$O$826*$AA$826</f>
        <v>437968.1128423211</v>
      </c>
    </row>
    <row r="827" spans="1:33" ht="11.25" customHeight="1" x14ac:dyDescent="0.25">
      <c r="A827" s="4" t="s">
        <v>27</v>
      </c>
      <c r="B827" s="4" t="s">
        <v>36</v>
      </c>
      <c r="C827" s="4" t="s">
        <v>23</v>
      </c>
      <c r="D827" s="4" t="s">
        <v>41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44562</v>
      </c>
      <c r="J827" s="6">
        <v>0</v>
      </c>
      <c r="K827" s="6">
        <v>0</v>
      </c>
      <c r="L827" s="6">
        <v>-0.47399999999999998</v>
      </c>
      <c r="M827" s="6">
        <v>-0.47399999999999998</v>
      </c>
      <c r="N827" s="6">
        <v>-0.47399999999999998</v>
      </c>
      <c r="O827" s="6">
        <v>-0.47399999999999998</v>
      </c>
      <c r="P827" s="6">
        <v>0</v>
      </c>
      <c r="Q827" s="4" t="s">
        <v>26</v>
      </c>
      <c r="R827" s="4">
        <v>0</v>
      </c>
      <c r="S827" s="6">
        <v>0</v>
      </c>
      <c r="T827" s="6">
        <v>34</v>
      </c>
      <c r="U827" s="6">
        <v>80</v>
      </c>
      <c r="V827" s="6">
        <f>IF(ISERROR(VLOOKUP($S$827,'TAR FIN'!$A$1:$O$86,15,0)),0,VLOOKUP($S$827,'TAR FIN'!$A$1:$O$86,15,0))</f>
        <v>0</v>
      </c>
      <c r="W827" s="6">
        <f>IF(ISERROR(VLOOKUP($T$827,'TAR FIN'!$A$1:$O$86,15,0)),0,VLOOKUP($T$827,'TAR FIN'!$A$1:$O$86,15,0))</f>
        <v>324.5</v>
      </c>
      <c r="X827" s="6">
        <f>IF(ISERROR(VLOOKUP($U$827,'TAR FIN'!$A$1:$O$86,15,0)),0,VLOOKUP($U$827,'TAR FIN'!$A$1:$O$86,15,0))</f>
        <v>258.20999999999998</v>
      </c>
      <c r="Y827" s="6"/>
      <c r="Z827" s="6">
        <f ca="1">('TUSD BE'!$AM$49+'TUSD BF'!$AM$49+'TUSD CVA'!$AM$49)*1</f>
        <v>330.1561966420345</v>
      </c>
      <c r="AA827" s="6">
        <f>('TE BE'!$AB$39+'TE BF'!$AB$39+'TE CVA'!$AB$39)*1</f>
        <v>230.58259134858577</v>
      </c>
      <c r="AB827" s="6">
        <f>$K$827*$V$827</f>
        <v>0</v>
      </c>
      <c r="AC827" s="6">
        <f>$M$827*$W$827</f>
        <v>-153.81299999999999</v>
      </c>
      <c r="AD827" s="6">
        <f>$O$827*$X$827</f>
        <v>-122.39153999999998</v>
      </c>
      <c r="AE827" s="6">
        <f>$K$827*$Y$827</f>
        <v>0</v>
      </c>
      <c r="AF827" s="6">
        <f ca="1">$M$827*$Z$827</f>
        <v>-156.49403720832436</v>
      </c>
      <c r="AG827" s="6">
        <f>$O$827*$AA$827</f>
        <v>-109.29614829922964</v>
      </c>
    </row>
    <row r="828" spans="1:33" ht="11.25" customHeight="1" x14ac:dyDescent="0.25">
      <c r="A828" s="4" t="s">
        <v>55</v>
      </c>
      <c r="B828" s="4" t="s">
        <v>36</v>
      </c>
      <c r="C828" s="4" t="s">
        <v>23</v>
      </c>
      <c r="D828" s="4" t="s">
        <v>41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44562</v>
      </c>
      <c r="J828" s="6">
        <v>0</v>
      </c>
      <c r="K828" s="6">
        <v>0</v>
      </c>
      <c r="L828" s="6">
        <v>115.46</v>
      </c>
      <c r="M828" s="6">
        <v>115.46</v>
      </c>
      <c r="N828" s="6">
        <v>115.46</v>
      </c>
      <c r="O828" s="6">
        <v>115.46</v>
      </c>
      <c r="P828" s="6">
        <v>344</v>
      </c>
      <c r="Q828" s="4" t="s">
        <v>26</v>
      </c>
      <c r="R828" s="4">
        <v>0</v>
      </c>
      <c r="S828" s="6">
        <v>0</v>
      </c>
      <c r="T828" s="6">
        <v>34</v>
      </c>
      <c r="U828" s="6">
        <v>80</v>
      </c>
      <c r="V828" s="6">
        <f>IF(ISERROR(VLOOKUP($S$828,'TAR FIN'!$A$1:$O$86,15,0)),0,VLOOKUP($S$828,'TAR FIN'!$A$1:$O$86,15,0))</f>
        <v>0</v>
      </c>
      <c r="W828" s="6">
        <f>IF(ISERROR(VLOOKUP($T$828,'TAR FIN'!$A$1:$O$86,15,0)),0,VLOOKUP($T$828,'TAR FIN'!$A$1:$O$86,15,0))</f>
        <v>324.5</v>
      </c>
      <c r="X828" s="6">
        <f>IF(ISERROR(VLOOKUP($U$828,'TAR FIN'!$A$1:$O$86,15,0)),0,VLOOKUP($U$828,'TAR FIN'!$A$1:$O$86,15,0))</f>
        <v>258.20999999999998</v>
      </c>
      <c r="Y828" s="6"/>
      <c r="Z828" s="6">
        <f ca="1">('TUSD BE'!$AM$49+'TUSD BF'!$AM$49+'TUSD CVA'!$AM$49)*1</f>
        <v>330.1561966420345</v>
      </c>
      <c r="AA828" s="6">
        <f>('TE BE'!$AB$39+'TE BF'!$AB$39+'TE CVA'!$AB$39)*1</f>
        <v>230.58259134858577</v>
      </c>
      <c r="AB828" s="6">
        <f>$K$828*$V$828</f>
        <v>0</v>
      </c>
      <c r="AC828" s="6">
        <f>$M$828*$W$828</f>
        <v>37466.769999999997</v>
      </c>
      <c r="AD828" s="6">
        <f>$O$828*$X$828</f>
        <v>29812.926599999995</v>
      </c>
      <c r="AE828" s="6">
        <f>$K$828*$Y$828</f>
        <v>0</v>
      </c>
      <c r="AF828" s="6">
        <f ca="1">$M$828*$Z$828</f>
        <v>38119.834464289299</v>
      </c>
      <c r="AG828" s="6">
        <f>$O$828*$AA$828</f>
        <v>26623.065997107711</v>
      </c>
    </row>
    <row r="829" spans="1:33" ht="11.25" customHeight="1" x14ac:dyDescent="0.25">
      <c r="A829" s="4" t="s">
        <v>55</v>
      </c>
      <c r="B829" s="4" t="s">
        <v>36</v>
      </c>
      <c r="C829" s="4" t="s">
        <v>23</v>
      </c>
      <c r="D829" s="4" t="s">
        <v>41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44562</v>
      </c>
      <c r="J829" s="6">
        <v>0</v>
      </c>
      <c r="K829" s="6">
        <v>0</v>
      </c>
      <c r="L829" s="6">
        <v>0.1</v>
      </c>
      <c r="M829" s="6">
        <v>0.1</v>
      </c>
      <c r="N829" s="6">
        <v>0.1</v>
      </c>
      <c r="O829" s="6">
        <v>0.1</v>
      </c>
      <c r="P829" s="6">
        <v>1</v>
      </c>
      <c r="Q829" s="4" t="s">
        <v>26</v>
      </c>
      <c r="R829" s="4">
        <v>0</v>
      </c>
      <c r="S829" s="6">
        <v>0</v>
      </c>
      <c r="T829" s="6">
        <v>34</v>
      </c>
      <c r="U829" s="6">
        <v>80</v>
      </c>
      <c r="V829" s="6">
        <f>IF(ISERROR(VLOOKUP($S$829,'TAR FIN'!$A$1:$O$86,15,0)),0,VLOOKUP($S$829,'TAR FIN'!$A$1:$O$86,15,0))</f>
        <v>0</v>
      </c>
      <c r="W829" s="6">
        <f>IF(ISERROR(VLOOKUP($T$829,'TAR FIN'!$A$1:$O$86,15,0)),0,VLOOKUP($T$829,'TAR FIN'!$A$1:$O$86,15,0))</f>
        <v>324.5</v>
      </c>
      <c r="X829" s="6">
        <f>IF(ISERROR(VLOOKUP($U$829,'TAR FIN'!$A$1:$O$86,15,0)),0,VLOOKUP($U$829,'TAR FIN'!$A$1:$O$86,15,0))</f>
        <v>258.20999999999998</v>
      </c>
      <c r="Y829" s="6"/>
      <c r="Z829" s="6">
        <f ca="1">('TUSD BE'!$AM$49+'TUSD BF'!$AM$49+'TUSD CVA'!$AM$49)*1</f>
        <v>330.1561966420345</v>
      </c>
      <c r="AA829" s="6">
        <f>('TE BE'!$AB$39+'TE BF'!$AB$39+'TE CVA'!$AB$39)*1</f>
        <v>230.58259134858577</v>
      </c>
      <c r="AB829" s="6">
        <f>$K$829*$V$829</f>
        <v>0</v>
      </c>
      <c r="AC829" s="6">
        <f>$M$829*$W$829</f>
        <v>32.450000000000003</v>
      </c>
      <c r="AD829" s="6">
        <f>$O$829*$X$829</f>
        <v>25.820999999999998</v>
      </c>
      <c r="AE829" s="6">
        <f>$K$829*$Y$829</f>
        <v>0</v>
      </c>
      <c r="AF829" s="6">
        <f ca="1">$M$829*$Z$829</f>
        <v>33.015619664203449</v>
      </c>
      <c r="AG829" s="6">
        <f>$O$829*$AA$829</f>
        <v>23.058259134858577</v>
      </c>
    </row>
    <row r="830" spans="1:33" ht="11.25" customHeight="1" x14ac:dyDescent="0.25">
      <c r="A830" s="4" t="s">
        <v>21</v>
      </c>
      <c r="B830" s="4" t="s">
        <v>36</v>
      </c>
      <c r="C830" s="4" t="s">
        <v>23</v>
      </c>
      <c r="D830" s="4" t="s">
        <v>41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44593</v>
      </c>
      <c r="J830" s="6">
        <v>0</v>
      </c>
      <c r="K830" s="6">
        <v>0</v>
      </c>
      <c r="L830" s="6">
        <v>1757.3530000000001</v>
      </c>
      <c r="M830" s="6">
        <v>1757.3530000000001</v>
      </c>
      <c r="N830" s="6">
        <v>1757.3530000000001</v>
      </c>
      <c r="O830" s="6">
        <v>1757.3530000000001</v>
      </c>
      <c r="P830" s="6">
        <v>3403</v>
      </c>
      <c r="Q830" s="4" t="s">
        <v>26</v>
      </c>
      <c r="R830" s="4">
        <v>0</v>
      </c>
      <c r="S830" s="6">
        <v>0</v>
      </c>
      <c r="T830" s="6">
        <v>34</v>
      </c>
      <c r="U830" s="6">
        <v>80</v>
      </c>
      <c r="V830" s="6">
        <f>IF(ISERROR(VLOOKUP($S$830,'TAR FIN'!$A$1:$O$86,15,0)),0,VLOOKUP($S$830,'TAR FIN'!$A$1:$O$86,15,0))</f>
        <v>0</v>
      </c>
      <c r="W830" s="6">
        <f>IF(ISERROR(VLOOKUP($T$830,'TAR FIN'!$A$1:$O$86,15,0)),0,VLOOKUP($T$830,'TAR FIN'!$A$1:$O$86,15,0))</f>
        <v>324.5</v>
      </c>
      <c r="X830" s="6">
        <f>IF(ISERROR(VLOOKUP($U$830,'TAR FIN'!$A$1:$O$86,15,0)),0,VLOOKUP($U$830,'TAR FIN'!$A$1:$O$86,15,0))</f>
        <v>258.20999999999998</v>
      </c>
      <c r="Y830" s="6"/>
      <c r="Z830" s="6">
        <f ca="1">('TUSD BE'!$AM$49+'TUSD BF'!$AM$49+'TUSD CVA'!$AM$49)*1</f>
        <v>330.1561966420345</v>
      </c>
      <c r="AA830" s="6">
        <f>('TE BE'!$AB$39+'TE BF'!$AB$39+'TE CVA'!$AB$39)*1</f>
        <v>230.58259134858577</v>
      </c>
      <c r="AB830" s="6">
        <f>$K$830*$V$830</f>
        <v>0</v>
      </c>
      <c r="AC830" s="6">
        <f>$M$830*$W$830</f>
        <v>570261.04850000003</v>
      </c>
      <c r="AD830" s="6">
        <f>$O$830*$X$830</f>
        <v>453766.11812999996</v>
      </c>
      <c r="AE830" s="6">
        <f>$K$830*$Y$830</f>
        <v>0</v>
      </c>
      <c r="AF830" s="6">
        <f ca="1">$M$830*$Z$830</f>
        <v>580200.98263746931</v>
      </c>
      <c r="AG830" s="6">
        <f>$O$830*$AA$830</f>
        <v>405215.00865421124</v>
      </c>
    </row>
    <row r="831" spans="1:33" ht="11.25" customHeight="1" x14ac:dyDescent="0.25">
      <c r="A831" s="4" t="s">
        <v>27</v>
      </c>
      <c r="B831" s="4" t="s">
        <v>36</v>
      </c>
      <c r="C831" s="4" t="s">
        <v>23</v>
      </c>
      <c r="D831" s="4" t="s">
        <v>41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44593</v>
      </c>
      <c r="J831" s="6">
        <v>0</v>
      </c>
      <c r="K831" s="6">
        <v>0</v>
      </c>
      <c r="L831" s="6">
        <v>-1.524</v>
      </c>
      <c r="M831" s="6">
        <v>-1.524</v>
      </c>
      <c r="N831" s="6">
        <v>-1.524</v>
      </c>
      <c r="O831" s="6">
        <v>-1.524</v>
      </c>
      <c r="P831" s="6">
        <v>0</v>
      </c>
      <c r="Q831" s="4" t="s">
        <v>26</v>
      </c>
      <c r="R831" s="4">
        <v>0</v>
      </c>
      <c r="S831" s="6">
        <v>0</v>
      </c>
      <c r="T831" s="6">
        <v>34</v>
      </c>
      <c r="U831" s="6">
        <v>80</v>
      </c>
      <c r="V831" s="6">
        <f>IF(ISERROR(VLOOKUP($S$831,'TAR FIN'!$A$1:$O$86,15,0)),0,VLOOKUP($S$831,'TAR FIN'!$A$1:$O$86,15,0))</f>
        <v>0</v>
      </c>
      <c r="W831" s="6">
        <f>IF(ISERROR(VLOOKUP($T$831,'TAR FIN'!$A$1:$O$86,15,0)),0,VLOOKUP($T$831,'TAR FIN'!$A$1:$O$86,15,0))</f>
        <v>324.5</v>
      </c>
      <c r="X831" s="6">
        <f>IF(ISERROR(VLOOKUP($U$831,'TAR FIN'!$A$1:$O$86,15,0)),0,VLOOKUP($U$831,'TAR FIN'!$A$1:$O$86,15,0))</f>
        <v>258.20999999999998</v>
      </c>
      <c r="Y831" s="6"/>
      <c r="Z831" s="6">
        <f ca="1">('TUSD BE'!$AM$49+'TUSD BF'!$AM$49+'TUSD CVA'!$AM$49)*1</f>
        <v>330.1561966420345</v>
      </c>
      <c r="AA831" s="6">
        <f>('TE BE'!$AB$39+'TE BF'!$AB$39+'TE CVA'!$AB$39)*1</f>
        <v>230.58259134858577</v>
      </c>
      <c r="AB831" s="6">
        <f>$K$831*$V$831</f>
        <v>0</v>
      </c>
      <c r="AC831" s="6">
        <f>$M$831*$W$831</f>
        <v>-494.53800000000001</v>
      </c>
      <c r="AD831" s="6">
        <f>$O$831*$X$831</f>
        <v>-393.51203999999996</v>
      </c>
      <c r="AE831" s="6">
        <f>$K$831*$Y$831</f>
        <v>0</v>
      </c>
      <c r="AF831" s="6">
        <f ca="1">$M$831*$Z$831</f>
        <v>-503.15804368246057</v>
      </c>
      <c r="AG831" s="6">
        <f>$O$831*$AA$831</f>
        <v>-351.40786921524472</v>
      </c>
    </row>
    <row r="832" spans="1:33" ht="11.25" customHeight="1" x14ac:dyDescent="0.25">
      <c r="A832" s="4" t="s">
        <v>55</v>
      </c>
      <c r="B832" s="4" t="s">
        <v>36</v>
      </c>
      <c r="C832" s="4" t="s">
        <v>23</v>
      </c>
      <c r="D832" s="4" t="s">
        <v>41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44593</v>
      </c>
      <c r="J832" s="6">
        <v>0</v>
      </c>
      <c r="K832" s="6">
        <v>0</v>
      </c>
      <c r="L832" s="6">
        <v>138.67599999999999</v>
      </c>
      <c r="M832" s="6">
        <v>138.67599999999999</v>
      </c>
      <c r="N832" s="6">
        <v>138.67599999999999</v>
      </c>
      <c r="O832" s="6">
        <v>138.67599999999999</v>
      </c>
      <c r="P832" s="6">
        <v>364</v>
      </c>
      <c r="Q832" s="4" t="s">
        <v>26</v>
      </c>
      <c r="R832" s="4">
        <v>0</v>
      </c>
      <c r="S832" s="6">
        <v>0</v>
      </c>
      <c r="T832" s="6">
        <v>34</v>
      </c>
      <c r="U832" s="6">
        <v>80</v>
      </c>
      <c r="V832" s="6">
        <f>IF(ISERROR(VLOOKUP($S$832,'TAR FIN'!$A$1:$O$86,15,0)),0,VLOOKUP($S$832,'TAR FIN'!$A$1:$O$86,15,0))</f>
        <v>0</v>
      </c>
      <c r="W832" s="6">
        <f>IF(ISERROR(VLOOKUP($T$832,'TAR FIN'!$A$1:$O$86,15,0)),0,VLOOKUP($T$832,'TAR FIN'!$A$1:$O$86,15,0))</f>
        <v>324.5</v>
      </c>
      <c r="X832" s="6">
        <f>IF(ISERROR(VLOOKUP($U$832,'TAR FIN'!$A$1:$O$86,15,0)),0,VLOOKUP($U$832,'TAR FIN'!$A$1:$O$86,15,0))</f>
        <v>258.20999999999998</v>
      </c>
      <c r="Y832" s="6"/>
      <c r="Z832" s="6">
        <f ca="1">('TUSD BE'!$AM$49+'TUSD BF'!$AM$49+'TUSD CVA'!$AM$49)*1</f>
        <v>330.1561966420345</v>
      </c>
      <c r="AA832" s="6">
        <f>('TE BE'!$AB$39+'TE BF'!$AB$39+'TE CVA'!$AB$39)*1</f>
        <v>230.58259134858577</v>
      </c>
      <c r="AB832" s="6">
        <f>$K$832*$V$832</f>
        <v>0</v>
      </c>
      <c r="AC832" s="6">
        <f>$M$832*$W$832</f>
        <v>45000.361999999994</v>
      </c>
      <c r="AD832" s="6">
        <f>$O$832*$X$832</f>
        <v>35807.529959999993</v>
      </c>
      <c r="AE832" s="6">
        <f>$K$832*$Y$832</f>
        <v>0</v>
      </c>
      <c r="AF832" s="6">
        <f ca="1">$M$832*$Z$832</f>
        <v>45784.74072553077</v>
      </c>
      <c r="AG832" s="6">
        <f>$O$832*$AA$832</f>
        <v>31976.271437856478</v>
      </c>
    </row>
    <row r="833" spans="1:33" ht="11.25" customHeight="1" x14ac:dyDescent="0.25">
      <c r="A833" s="4" t="s">
        <v>21</v>
      </c>
      <c r="B833" s="4" t="s">
        <v>36</v>
      </c>
      <c r="C833" s="4" t="s">
        <v>23</v>
      </c>
      <c r="D833" s="4" t="s">
        <v>41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44621</v>
      </c>
      <c r="J833" s="6">
        <v>0</v>
      </c>
      <c r="K833" s="6">
        <v>0</v>
      </c>
      <c r="L833" s="6">
        <v>1864.232</v>
      </c>
      <c r="M833" s="6">
        <v>1864.232</v>
      </c>
      <c r="N833" s="6">
        <v>1864.232</v>
      </c>
      <c r="O833" s="6">
        <v>1864.232</v>
      </c>
      <c r="P833" s="6">
        <v>3405</v>
      </c>
      <c r="Q833" s="4" t="s">
        <v>26</v>
      </c>
      <c r="R833" s="4">
        <v>0</v>
      </c>
      <c r="S833" s="6">
        <v>0</v>
      </c>
      <c r="T833" s="6">
        <v>34</v>
      </c>
      <c r="U833" s="6">
        <v>80</v>
      </c>
      <c r="V833" s="6">
        <f>IF(ISERROR(VLOOKUP($S$833,'TAR FIN'!$A$1:$O$86,15,0)),0,VLOOKUP($S$833,'TAR FIN'!$A$1:$O$86,15,0))</f>
        <v>0</v>
      </c>
      <c r="W833" s="6">
        <f>IF(ISERROR(VLOOKUP($T$833,'TAR FIN'!$A$1:$O$86,15,0)),0,VLOOKUP($T$833,'TAR FIN'!$A$1:$O$86,15,0))</f>
        <v>324.5</v>
      </c>
      <c r="X833" s="6">
        <f>IF(ISERROR(VLOOKUP($U$833,'TAR FIN'!$A$1:$O$86,15,0)),0,VLOOKUP($U$833,'TAR FIN'!$A$1:$O$86,15,0))</f>
        <v>258.20999999999998</v>
      </c>
      <c r="Y833" s="6"/>
      <c r="Z833" s="6">
        <f ca="1">('TUSD BE'!$AM$49+'TUSD BF'!$AM$49+'TUSD CVA'!$AM$49)*1</f>
        <v>330.1561966420345</v>
      </c>
      <c r="AA833" s="6">
        <f>('TE BE'!$AB$39+'TE BF'!$AB$39+'TE CVA'!$AB$39)*1</f>
        <v>230.58259134858577</v>
      </c>
      <c r="AB833" s="6">
        <f>$K$833*$V$833</f>
        <v>0</v>
      </c>
      <c r="AC833" s="6">
        <f>$M$833*$W$833</f>
        <v>604943.28399999999</v>
      </c>
      <c r="AD833" s="6">
        <f>$O$833*$X$833</f>
        <v>481363.34471999994</v>
      </c>
      <c r="AE833" s="6">
        <f>$K$833*$Y$833</f>
        <v>0</v>
      </c>
      <c r="AF833" s="6">
        <f ca="1">$M$833*$Z$833</f>
        <v>615487.74677837326</v>
      </c>
      <c r="AG833" s="6">
        <f>$O$833*$AA$833</f>
        <v>429859.44543495675</v>
      </c>
    </row>
    <row r="834" spans="1:33" ht="11.25" customHeight="1" x14ac:dyDescent="0.25">
      <c r="A834" s="4" t="s">
        <v>27</v>
      </c>
      <c r="B834" s="4" t="s">
        <v>36</v>
      </c>
      <c r="C834" s="4" t="s">
        <v>23</v>
      </c>
      <c r="D834" s="4" t="s">
        <v>41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44621</v>
      </c>
      <c r="J834" s="6">
        <v>0</v>
      </c>
      <c r="K834" s="6">
        <v>0</v>
      </c>
      <c r="L834" s="6">
        <v>-0.33700000000000002</v>
      </c>
      <c r="M834" s="6">
        <v>-0.33700000000000002</v>
      </c>
      <c r="N834" s="6">
        <v>-0.33700000000000002</v>
      </c>
      <c r="O834" s="6">
        <v>-0.33700000000000002</v>
      </c>
      <c r="P834" s="6">
        <v>0</v>
      </c>
      <c r="Q834" s="4" t="s">
        <v>26</v>
      </c>
      <c r="R834" s="4">
        <v>0</v>
      </c>
      <c r="S834" s="6">
        <v>0</v>
      </c>
      <c r="T834" s="6">
        <v>34</v>
      </c>
      <c r="U834" s="6">
        <v>80</v>
      </c>
      <c r="V834" s="6">
        <f>IF(ISERROR(VLOOKUP($S$834,'TAR FIN'!$A$1:$O$86,15,0)),0,VLOOKUP($S$834,'TAR FIN'!$A$1:$O$86,15,0))</f>
        <v>0</v>
      </c>
      <c r="W834" s="6">
        <f>IF(ISERROR(VLOOKUP($T$834,'TAR FIN'!$A$1:$O$86,15,0)),0,VLOOKUP($T$834,'TAR FIN'!$A$1:$O$86,15,0))</f>
        <v>324.5</v>
      </c>
      <c r="X834" s="6">
        <f>IF(ISERROR(VLOOKUP($U$834,'TAR FIN'!$A$1:$O$86,15,0)),0,VLOOKUP($U$834,'TAR FIN'!$A$1:$O$86,15,0))</f>
        <v>258.20999999999998</v>
      </c>
      <c r="Y834" s="6"/>
      <c r="Z834" s="6">
        <f ca="1">('TUSD BE'!$AM$49+'TUSD BF'!$AM$49+'TUSD CVA'!$AM$49)*1</f>
        <v>330.1561966420345</v>
      </c>
      <c r="AA834" s="6">
        <f>('TE BE'!$AB$39+'TE BF'!$AB$39+'TE CVA'!$AB$39)*1</f>
        <v>230.58259134858577</v>
      </c>
      <c r="AB834" s="6">
        <f>$K$834*$V$834</f>
        <v>0</v>
      </c>
      <c r="AC834" s="6">
        <f>$M$834*$W$834</f>
        <v>-109.35650000000001</v>
      </c>
      <c r="AD834" s="6">
        <f>$O$834*$X$834</f>
        <v>-87.016769999999994</v>
      </c>
      <c r="AE834" s="6">
        <f>$K$834*$Y$834</f>
        <v>0</v>
      </c>
      <c r="AF834" s="6">
        <f ca="1">$M$834*$Z$834</f>
        <v>-111.26263826836563</v>
      </c>
      <c r="AG834" s="6">
        <f>$O$834*$AA$834</f>
        <v>-77.706333284473402</v>
      </c>
    </row>
    <row r="835" spans="1:33" ht="11.25" customHeight="1" x14ac:dyDescent="0.25">
      <c r="A835" s="4" t="s">
        <v>55</v>
      </c>
      <c r="B835" s="4" t="s">
        <v>36</v>
      </c>
      <c r="C835" s="4" t="s">
        <v>23</v>
      </c>
      <c r="D835" s="4" t="s">
        <v>41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44621</v>
      </c>
      <c r="J835" s="6">
        <v>0</v>
      </c>
      <c r="K835" s="6">
        <v>0</v>
      </c>
      <c r="L835" s="6">
        <v>162.666</v>
      </c>
      <c r="M835" s="6">
        <v>162.666</v>
      </c>
      <c r="N835" s="6">
        <v>162.666</v>
      </c>
      <c r="O835" s="6">
        <v>162.666</v>
      </c>
      <c r="P835" s="6">
        <v>373</v>
      </c>
      <c r="Q835" s="4" t="s">
        <v>26</v>
      </c>
      <c r="R835" s="4">
        <v>0</v>
      </c>
      <c r="S835" s="6">
        <v>0</v>
      </c>
      <c r="T835" s="6">
        <v>34</v>
      </c>
      <c r="U835" s="6">
        <v>80</v>
      </c>
      <c r="V835" s="6">
        <f>IF(ISERROR(VLOOKUP($S$835,'TAR FIN'!$A$1:$O$86,15,0)),0,VLOOKUP($S$835,'TAR FIN'!$A$1:$O$86,15,0))</f>
        <v>0</v>
      </c>
      <c r="W835" s="6">
        <f>IF(ISERROR(VLOOKUP($T$835,'TAR FIN'!$A$1:$O$86,15,0)),0,VLOOKUP($T$835,'TAR FIN'!$A$1:$O$86,15,0))</f>
        <v>324.5</v>
      </c>
      <c r="X835" s="6">
        <f>IF(ISERROR(VLOOKUP($U$835,'TAR FIN'!$A$1:$O$86,15,0)),0,VLOOKUP($U$835,'TAR FIN'!$A$1:$O$86,15,0))</f>
        <v>258.20999999999998</v>
      </c>
      <c r="Y835" s="6"/>
      <c r="Z835" s="6">
        <f ca="1">('TUSD BE'!$AM$49+'TUSD BF'!$AM$49+'TUSD CVA'!$AM$49)*1</f>
        <v>330.1561966420345</v>
      </c>
      <c r="AA835" s="6">
        <f>('TE BE'!$AB$39+'TE BF'!$AB$39+'TE CVA'!$AB$39)*1</f>
        <v>230.58259134858577</v>
      </c>
      <c r="AB835" s="6">
        <f>$K$835*$V$835</f>
        <v>0</v>
      </c>
      <c r="AC835" s="6">
        <f>$M$835*$W$835</f>
        <v>52785.116999999998</v>
      </c>
      <c r="AD835" s="6">
        <f>$O$835*$X$835</f>
        <v>42001.987859999994</v>
      </c>
      <c r="AE835" s="6">
        <f>$K$835*$Y$835</f>
        <v>0</v>
      </c>
      <c r="AF835" s="6">
        <f ca="1">$M$835*$Z$835</f>
        <v>53705.187882973187</v>
      </c>
      <c r="AG835" s="6">
        <f>$O$835*$AA$835</f>
        <v>37507.947804309049</v>
      </c>
    </row>
    <row r="836" spans="1:33" ht="11.25" customHeight="1" x14ac:dyDescent="0.25">
      <c r="A836" s="4" t="s">
        <v>55</v>
      </c>
      <c r="B836" s="4" t="s">
        <v>36</v>
      </c>
      <c r="C836" s="4" t="s">
        <v>23</v>
      </c>
      <c r="D836" s="4" t="s">
        <v>41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44621</v>
      </c>
      <c r="J836" s="6">
        <v>0</v>
      </c>
      <c r="K836" s="6">
        <v>0</v>
      </c>
      <c r="L836" s="6">
        <v>-1.3220000000000001</v>
      </c>
      <c r="M836" s="6">
        <v>-1.3220000000000001</v>
      </c>
      <c r="N836" s="6">
        <v>-1.3220000000000001</v>
      </c>
      <c r="O836" s="6">
        <v>-1.3220000000000001</v>
      </c>
      <c r="P836" s="6">
        <v>8</v>
      </c>
      <c r="Q836" s="4" t="s">
        <v>26</v>
      </c>
      <c r="R836" s="4">
        <v>0</v>
      </c>
      <c r="S836" s="6">
        <v>0</v>
      </c>
      <c r="T836" s="6">
        <v>34</v>
      </c>
      <c r="U836" s="6">
        <v>80</v>
      </c>
      <c r="V836" s="6">
        <f>IF(ISERROR(VLOOKUP($S$836,'TAR FIN'!$A$1:$O$86,15,0)),0,VLOOKUP($S$836,'TAR FIN'!$A$1:$O$86,15,0))</f>
        <v>0</v>
      </c>
      <c r="W836" s="6">
        <f>IF(ISERROR(VLOOKUP($T$836,'TAR FIN'!$A$1:$O$86,15,0)),0,VLOOKUP($T$836,'TAR FIN'!$A$1:$O$86,15,0))</f>
        <v>324.5</v>
      </c>
      <c r="X836" s="6">
        <f>IF(ISERROR(VLOOKUP($U$836,'TAR FIN'!$A$1:$O$86,15,0)),0,VLOOKUP($U$836,'TAR FIN'!$A$1:$O$86,15,0))</f>
        <v>258.20999999999998</v>
      </c>
      <c r="Y836" s="6"/>
      <c r="Z836" s="6">
        <f ca="1">('TUSD BE'!$AM$49+'TUSD BF'!$AM$49+'TUSD CVA'!$AM$49)*1</f>
        <v>330.1561966420345</v>
      </c>
      <c r="AA836" s="6">
        <f>('TE BE'!$AB$39+'TE BF'!$AB$39+'TE CVA'!$AB$39)*1</f>
        <v>230.58259134858577</v>
      </c>
      <c r="AB836" s="6">
        <f>$K$836*$V$836</f>
        <v>0</v>
      </c>
      <c r="AC836" s="6">
        <f>$M$836*$W$836</f>
        <v>-428.98900000000003</v>
      </c>
      <c r="AD836" s="6">
        <f>$O$836*$X$836</f>
        <v>-341.35361999999998</v>
      </c>
      <c r="AE836" s="6">
        <f>$K$836*$Y$836</f>
        <v>0</v>
      </c>
      <c r="AF836" s="6">
        <f ca="1">$M$836*$Z$836</f>
        <v>-436.46649196076964</v>
      </c>
      <c r="AG836" s="6">
        <f>$O$836*$AA$836</f>
        <v>-304.83018576283041</v>
      </c>
    </row>
    <row r="837" spans="1:33" ht="11.25" customHeight="1" x14ac:dyDescent="0.25">
      <c r="A837" s="4" t="s">
        <v>21</v>
      </c>
      <c r="B837" s="4" t="s">
        <v>36</v>
      </c>
      <c r="C837" s="4" t="s">
        <v>23</v>
      </c>
      <c r="D837" s="4" t="s">
        <v>41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44652</v>
      </c>
      <c r="J837" s="6">
        <v>0</v>
      </c>
      <c r="K837" s="6">
        <v>0</v>
      </c>
      <c r="L837" s="6">
        <v>1404.752</v>
      </c>
      <c r="M837" s="6">
        <v>1404.752</v>
      </c>
      <c r="N837" s="6">
        <v>1404.752</v>
      </c>
      <c r="O837" s="6">
        <v>1404.752</v>
      </c>
      <c r="P837" s="6">
        <v>3393</v>
      </c>
      <c r="Q837" s="4" t="s">
        <v>26</v>
      </c>
      <c r="R837" s="4">
        <v>0</v>
      </c>
      <c r="S837" s="6">
        <v>0</v>
      </c>
      <c r="T837" s="6">
        <v>34</v>
      </c>
      <c r="U837" s="6">
        <v>80</v>
      </c>
      <c r="V837" s="6">
        <f>IF(ISERROR(VLOOKUP($S$837,'TAR FIN'!$A$1:$O$86,15,0)),0,VLOOKUP($S$837,'TAR FIN'!$A$1:$O$86,15,0))</f>
        <v>0</v>
      </c>
      <c r="W837" s="6">
        <f>IF(ISERROR(VLOOKUP($T$837,'TAR FIN'!$A$1:$O$86,15,0)),0,VLOOKUP($T$837,'TAR FIN'!$A$1:$O$86,15,0))</f>
        <v>324.5</v>
      </c>
      <c r="X837" s="6">
        <f>IF(ISERROR(VLOOKUP($U$837,'TAR FIN'!$A$1:$O$86,15,0)),0,VLOOKUP($U$837,'TAR FIN'!$A$1:$O$86,15,0))</f>
        <v>258.20999999999998</v>
      </c>
      <c r="Y837" s="6"/>
      <c r="Z837" s="6">
        <f ca="1">('TUSD BE'!$AM$49+'TUSD BF'!$AM$49+'TUSD CVA'!$AM$49)*1</f>
        <v>330.1561966420345</v>
      </c>
      <c r="AA837" s="6">
        <f>('TE BE'!$AB$39+'TE BF'!$AB$39+'TE CVA'!$AB$39)*1</f>
        <v>230.58259134858577</v>
      </c>
      <c r="AB837" s="6">
        <f>$K$837*$V$837</f>
        <v>0</v>
      </c>
      <c r="AC837" s="6">
        <f>$M$837*$W$837</f>
        <v>455842.02399999998</v>
      </c>
      <c r="AD837" s="6">
        <f>$O$837*$X$837</f>
        <v>362721.01391999994</v>
      </c>
      <c r="AE837" s="6">
        <f>$K$837*$Y$837</f>
        <v>0</v>
      </c>
      <c r="AF837" s="6">
        <f ca="1">$M$837*$Z$837</f>
        <v>463787.57754529122</v>
      </c>
      <c r="AG837" s="6">
        <f>$O$837*$AA$837</f>
        <v>323911.35636210855</v>
      </c>
    </row>
    <row r="838" spans="1:33" ht="11.25" customHeight="1" x14ac:dyDescent="0.25">
      <c r="A838" s="4" t="s">
        <v>27</v>
      </c>
      <c r="B838" s="4" t="s">
        <v>36</v>
      </c>
      <c r="C838" s="4" t="s">
        <v>23</v>
      </c>
      <c r="D838" s="4" t="s">
        <v>41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44652</v>
      </c>
      <c r="J838" s="6">
        <v>0</v>
      </c>
      <c r="K838" s="6">
        <v>0</v>
      </c>
      <c r="L838" s="6">
        <v>-2.246</v>
      </c>
      <c r="M838" s="6">
        <v>-2.246</v>
      </c>
      <c r="N838" s="6">
        <v>-2.246</v>
      </c>
      <c r="O838" s="6">
        <v>-2.246</v>
      </c>
      <c r="P838" s="6">
        <v>0</v>
      </c>
      <c r="Q838" s="4" t="s">
        <v>26</v>
      </c>
      <c r="R838" s="4">
        <v>0</v>
      </c>
      <c r="S838" s="6">
        <v>0</v>
      </c>
      <c r="T838" s="6">
        <v>34</v>
      </c>
      <c r="U838" s="6">
        <v>80</v>
      </c>
      <c r="V838" s="6">
        <f>IF(ISERROR(VLOOKUP($S$838,'TAR FIN'!$A$1:$O$86,15,0)),0,VLOOKUP($S$838,'TAR FIN'!$A$1:$O$86,15,0))</f>
        <v>0</v>
      </c>
      <c r="W838" s="6">
        <f>IF(ISERROR(VLOOKUP($T$838,'TAR FIN'!$A$1:$O$86,15,0)),0,VLOOKUP($T$838,'TAR FIN'!$A$1:$O$86,15,0))</f>
        <v>324.5</v>
      </c>
      <c r="X838" s="6">
        <f>IF(ISERROR(VLOOKUP($U$838,'TAR FIN'!$A$1:$O$86,15,0)),0,VLOOKUP($U$838,'TAR FIN'!$A$1:$O$86,15,0))</f>
        <v>258.20999999999998</v>
      </c>
      <c r="Y838" s="6"/>
      <c r="Z838" s="6">
        <f ca="1">('TUSD BE'!$AM$49+'TUSD BF'!$AM$49+'TUSD CVA'!$AM$49)*1</f>
        <v>330.1561966420345</v>
      </c>
      <c r="AA838" s="6">
        <f>('TE BE'!$AB$39+'TE BF'!$AB$39+'TE CVA'!$AB$39)*1</f>
        <v>230.58259134858577</v>
      </c>
      <c r="AB838" s="6">
        <f>$K$838*$V$838</f>
        <v>0</v>
      </c>
      <c r="AC838" s="6">
        <f>$M$838*$W$838</f>
        <v>-728.827</v>
      </c>
      <c r="AD838" s="6">
        <f>$O$838*$X$838</f>
        <v>-579.93966</v>
      </c>
      <c r="AE838" s="6">
        <f>$K$838*$Y$838</f>
        <v>0</v>
      </c>
      <c r="AF838" s="6">
        <f ca="1">$M$838*$Z$838</f>
        <v>-741.53081765800948</v>
      </c>
      <c r="AG838" s="6">
        <f>$O$838*$AA$838</f>
        <v>-517.88850016892366</v>
      </c>
    </row>
    <row r="839" spans="1:33" ht="11.25" customHeight="1" x14ac:dyDescent="0.25">
      <c r="A839" s="4" t="s">
        <v>55</v>
      </c>
      <c r="B839" s="4" t="s">
        <v>36</v>
      </c>
      <c r="C839" s="4" t="s">
        <v>23</v>
      </c>
      <c r="D839" s="4" t="s">
        <v>41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44652</v>
      </c>
      <c r="J839" s="6">
        <v>0</v>
      </c>
      <c r="K839" s="6">
        <v>0</v>
      </c>
      <c r="L839" s="6">
        <v>141.43</v>
      </c>
      <c r="M839" s="6">
        <v>141.43</v>
      </c>
      <c r="N839" s="6">
        <v>141.43</v>
      </c>
      <c r="O839" s="6">
        <v>141.43</v>
      </c>
      <c r="P839" s="6">
        <v>376</v>
      </c>
      <c r="Q839" s="4" t="s">
        <v>26</v>
      </c>
      <c r="R839" s="4">
        <v>0</v>
      </c>
      <c r="S839" s="6">
        <v>0</v>
      </c>
      <c r="T839" s="6">
        <v>34</v>
      </c>
      <c r="U839" s="6">
        <v>80</v>
      </c>
      <c r="V839" s="6">
        <f>IF(ISERROR(VLOOKUP($S$839,'TAR FIN'!$A$1:$O$86,15,0)),0,VLOOKUP($S$839,'TAR FIN'!$A$1:$O$86,15,0))</f>
        <v>0</v>
      </c>
      <c r="W839" s="6">
        <f>IF(ISERROR(VLOOKUP($T$839,'TAR FIN'!$A$1:$O$86,15,0)),0,VLOOKUP($T$839,'TAR FIN'!$A$1:$O$86,15,0))</f>
        <v>324.5</v>
      </c>
      <c r="X839" s="6">
        <f>IF(ISERROR(VLOOKUP($U$839,'TAR FIN'!$A$1:$O$86,15,0)),0,VLOOKUP($U$839,'TAR FIN'!$A$1:$O$86,15,0))</f>
        <v>258.20999999999998</v>
      </c>
      <c r="Y839" s="6"/>
      <c r="Z839" s="6">
        <f ca="1">('TUSD BE'!$AM$49+'TUSD BF'!$AM$49+'TUSD CVA'!$AM$49)*1</f>
        <v>330.1561966420345</v>
      </c>
      <c r="AA839" s="6">
        <f>('TE BE'!$AB$39+'TE BF'!$AB$39+'TE CVA'!$AB$39)*1</f>
        <v>230.58259134858577</v>
      </c>
      <c r="AB839" s="6">
        <f>$K$839*$V$839</f>
        <v>0</v>
      </c>
      <c r="AC839" s="6">
        <f>$M$839*$W$839</f>
        <v>45894.035000000003</v>
      </c>
      <c r="AD839" s="6">
        <f>$O$839*$X$839</f>
        <v>36518.640299999999</v>
      </c>
      <c r="AE839" s="6">
        <f>$K$839*$Y$839</f>
        <v>0</v>
      </c>
      <c r="AF839" s="6">
        <f ca="1">$M$839*$Z$839</f>
        <v>46693.99089108294</v>
      </c>
      <c r="AG839" s="6">
        <f>$O$839*$AA$839</f>
        <v>32611.295894430485</v>
      </c>
    </row>
    <row r="840" spans="1:33" ht="11.25" customHeight="1" x14ac:dyDescent="0.25">
      <c r="A840" s="4" t="s">
        <v>55</v>
      </c>
      <c r="B840" s="4" t="s">
        <v>36</v>
      </c>
      <c r="C840" s="4" t="s">
        <v>23</v>
      </c>
      <c r="D840" s="4" t="s">
        <v>41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9.5510000000000002</v>
      </c>
      <c r="M840" s="6">
        <v>9.5510000000000002</v>
      </c>
      <c r="N840" s="6">
        <v>9.5510000000000002</v>
      </c>
      <c r="O840" s="6">
        <v>9.5510000000000002</v>
      </c>
      <c r="P840" s="6">
        <v>11</v>
      </c>
      <c r="Q840" s="4" t="s">
        <v>26</v>
      </c>
      <c r="R840" s="4">
        <v>0</v>
      </c>
      <c r="S840" s="6">
        <v>0</v>
      </c>
      <c r="T840" s="6">
        <v>34</v>
      </c>
      <c r="U840" s="6">
        <v>80</v>
      </c>
      <c r="V840" s="6">
        <f>IF(ISERROR(VLOOKUP($S$840,'TAR FIN'!$A$1:$O$86,15,0)),0,VLOOKUP($S$840,'TAR FIN'!$A$1:$O$86,15,0))</f>
        <v>0</v>
      </c>
      <c r="W840" s="6">
        <f>IF(ISERROR(VLOOKUP($T$840,'TAR FIN'!$A$1:$O$86,15,0)),0,VLOOKUP($T$840,'TAR FIN'!$A$1:$O$86,15,0))</f>
        <v>324.5</v>
      </c>
      <c r="X840" s="6">
        <f>IF(ISERROR(VLOOKUP($U$840,'TAR FIN'!$A$1:$O$86,15,0)),0,VLOOKUP($U$840,'TAR FIN'!$A$1:$O$86,15,0))</f>
        <v>258.20999999999998</v>
      </c>
      <c r="Y840" s="6"/>
      <c r="Z840" s="6">
        <f ca="1">('TUSD BE'!$AM$49+'TUSD BF'!$AM$49+'TUSD CVA'!$AM$49)*1</f>
        <v>330.1561966420345</v>
      </c>
      <c r="AA840" s="6">
        <f>('TE BE'!$AB$39+'TE BF'!$AB$39+'TE CVA'!$AB$39)*1</f>
        <v>230.58259134858577</v>
      </c>
      <c r="AB840" s="6">
        <f>$K$840*$V$840</f>
        <v>0</v>
      </c>
      <c r="AC840" s="6">
        <f>$M$840*$W$840</f>
        <v>3099.2995000000001</v>
      </c>
      <c r="AD840" s="6">
        <f>$O$840*$X$840</f>
        <v>2466.1637099999998</v>
      </c>
      <c r="AE840" s="6">
        <f>$K$840*$Y$840</f>
        <v>0</v>
      </c>
      <c r="AF840" s="6">
        <f ca="1">$M$840*$Z$840</f>
        <v>3153.3218341280717</v>
      </c>
      <c r="AG840" s="6">
        <f>$O$840*$AA$840</f>
        <v>2202.2943299703425</v>
      </c>
    </row>
    <row r="841" spans="1:33" ht="11.25" customHeight="1" x14ac:dyDescent="0.25">
      <c r="A841" s="4" t="s">
        <v>21</v>
      </c>
      <c r="B841" s="4" t="s">
        <v>36</v>
      </c>
      <c r="C841" s="4" t="s">
        <v>23</v>
      </c>
      <c r="D841" s="4" t="s">
        <v>41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44682</v>
      </c>
      <c r="J841" s="6">
        <v>0</v>
      </c>
      <c r="K841" s="6">
        <v>0</v>
      </c>
      <c r="L841" s="6">
        <v>1289.569</v>
      </c>
      <c r="M841" s="6">
        <v>1289.569</v>
      </c>
      <c r="N841" s="6">
        <v>1289.569</v>
      </c>
      <c r="O841" s="6">
        <v>1289.569</v>
      </c>
      <c r="P841" s="6">
        <v>3370</v>
      </c>
      <c r="Q841" s="4" t="s">
        <v>26</v>
      </c>
      <c r="R841" s="4">
        <v>0</v>
      </c>
      <c r="S841" s="6">
        <v>0</v>
      </c>
      <c r="T841" s="6">
        <v>34</v>
      </c>
      <c r="U841" s="6">
        <v>80</v>
      </c>
      <c r="V841" s="6">
        <f>IF(ISERROR(VLOOKUP($S$841,'TAR FIN'!$A$1:$O$86,15,0)),0,VLOOKUP($S$841,'TAR FIN'!$A$1:$O$86,15,0))</f>
        <v>0</v>
      </c>
      <c r="W841" s="6">
        <f>IF(ISERROR(VLOOKUP($T$841,'TAR FIN'!$A$1:$O$86,15,0)),0,VLOOKUP($T$841,'TAR FIN'!$A$1:$O$86,15,0))</f>
        <v>324.5</v>
      </c>
      <c r="X841" s="6">
        <f>IF(ISERROR(VLOOKUP($U$841,'TAR FIN'!$A$1:$O$86,15,0)),0,VLOOKUP($U$841,'TAR FIN'!$A$1:$O$86,15,0))</f>
        <v>258.20999999999998</v>
      </c>
      <c r="Y841" s="6"/>
      <c r="Z841" s="6">
        <f ca="1">('TUSD BE'!$AM$49+'TUSD BF'!$AM$49+'TUSD CVA'!$AM$49)*1</f>
        <v>330.1561966420345</v>
      </c>
      <c r="AA841" s="6">
        <f>('TE BE'!$AB$39+'TE BF'!$AB$39+'TE CVA'!$AB$39)*1</f>
        <v>230.58259134858577</v>
      </c>
      <c r="AB841" s="6">
        <f>$K$841*$V$841</f>
        <v>0</v>
      </c>
      <c r="AC841" s="6">
        <f>$M$841*$W$841</f>
        <v>418465.14049999998</v>
      </c>
      <c r="AD841" s="6">
        <f>$O$841*$X$841</f>
        <v>332979.61148999998</v>
      </c>
      <c r="AE841" s="6">
        <f>$K$841*$Y$841</f>
        <v>0</v>
      </c>
      <c r="AF841" s="6">
        <f ca="1">$M$841*$Z$841</f>
        <v>425759.19634747179</v>
      </c>
      <c r="AG841" s="6">
        <f>$O$841*$AA$841</f>
        <v>297352.1617428044</v>
      </c>
    </row>
    <row r="842" spans="1:33" ht="11.25" customHeight="1" x14ac:dyDescent="0.25">
      <c r="A842" s="4" t="s">
        <v>55</v>
      </c>
      <c r="B842" s="4" t="s">
        <v>36</v>
      </c>
      <c r="C842" s="4" t="s">
        <v>23</v>
      </c>
      <c r="D842" s="4" t="s">
        <v>41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44682</v>
      </c>
      <c r="J842" s="6">
        <v>0</v>
      </c>
      <c r="K842" s="6">
        <v>0</v>
      </c>
      <c r="L842" s="6">
        <v>159.91200000000001</v>
      </c>
      <c r="M842" s="6">
        <v>159.91200000000001</v>
      </c>
      <c r="N842" s="6">
        <v>159.91200000000001</v>
      </c>
      <c r="O842" s="6">
        <v>159.91200000000001</v>
      </c>
      <c r="P842" s="6">
        <v>405</v>
      </c>
      <c r="Q842" s="4" t="s">
        <v>26</v>
      </c>
      <c r="R842" s="4">
        <v>0</v>
      </c>
      <c r="S842" s="6">
        <v>0</v>
      </c>
      <c r="T842" s="6">
        <v>34</v>
      </c>
      <c r="U842" s="6">
        <v>80</v>
      </c>
      <c r="V842" s="6">
        <f>IF(ISERROR(VLOOKUP($S$842,'TAR FIN'!$A$1:$O$86,15,0)),0,VLOOKUP($S$842,'TAR FIN'!$A$1:$O$86,15,0))</f>
        <v>0</v>
      </c>
      <c r="W842" s="6">
        <f>IF(ISERROR(VLOOKUP($T$842,'TAR FIN'!$A$1:$O$86,15,0)),0,VLOOKUP($T$842,'TAR FIN'!$A$1:$O$86,15,0))</f>
        <v>324.5</v>
      </c>
      <c r="X842" s="6">
        <f>IF(ISERROR(VLOOKUP($U$842,'TAR FIN'!$A$1:$O$86,15,0)),0,VLOOKUP($U$842,'TAR FIN'!$A$1:$O$86,15,0))</f>
        <v>258.20999999999998</v>
      </c>
      <c r="Y842" s="6"/>
      <c r="Z842" s="6">
        <f ca="1">('TUSD BE'!$AM$49+'TUSD BF'!$AM$49+'TUSD CVA'!$AM$49)*1</f>
        <v>330.1561966420345</v>
      </c>
      <c r="AA842" s="6">
        <f>('TE BE'!$AB$39+'TE BF'!$AB$39+'TE CVA'!$AB$39)*1</f>
        <v>230.58259134858577</v>
      </c>
      <c r="AB842" s="6">
        <f>$K$842*$V$842</f>
        <v>0</v>
      </c>
      <c r="AC842" s="6">
        <f>$M$842*$W$842</f>
        <v>51891.444000000003</v>
      </c>
      <c r="AD842" s="6">
        <f>$O$842*$X$842</f>
        <v>41290.877520000002</v>
      </c>
      <c r="AE842" s="6">
        <f>$K$842*$Y$842</f>
        <v>0</v>
      </c>
      <c r="AF842" s="6">
        <f ca="1">$M$842*$Z$842</f>
        <v>52795.937717421024</v>
      </c>
      <c r="AG842" s="6">
        <f>$O$842*$AA$842</f>
        <v>36872.92334773505</v>
      </c>
    </row>
    <row r="843" spans="1:33" ht="11.25" customHeight="1" x14ac:dyDescent="0.25">
      <c r="A843" s="4" t="s">
        <v>56</v>
      </c>
      <c r="B843" s="4" t="s">
        <v>36</v>
      </c>
      <c r="C843" s="4" t="s">
        <v>23</v>
      </c>
      <c r="D843" s="4" t="s">
        <v>41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44713</v>
      </c>
      <c r="J843" s="6">
        <v>0</v>
      </c>
      <c r="K843" s="6">
        <v>0</v>
      </c>
      <c r="L843" s="6">
        <v>1289.569</v>
      </c>
      <c r="M843" s="6">
        <v>1289.569</v>
      </c>
      <c r="N843" s="6">
        <v>1289.569</v>
      </c>
      <c r="O843" s="6">
        <v>1289.569</v>
      </c>
      <c r="P843" s="6">
        <v>3370</v>
      </c>
      <c r="Q843" s="4" t="s">
        <v>26</v>
      </c>
      <c r="R843" s="4">
        <v>0</v>
      </c>
      <c r="S843" s="6">
        <v>0</v>
      </c>
      <c r="T843" s="6">
        <v>34</v>
      </c>
      <c r="U843" s="6">
        <v>80</v>
      </c>
      <c r="V843" s="6">
        <f>IF(ISERROR(VLOOKUP($S$843,'TAR FIN'!$A$1:$O$86,15,0)),0,VLOOKUP($S$843,'TAR FIN'!$A$1:$O$86,15,0))</f>
        <v>0</v>
      </c>
      <c r="W843" s="6">
        <f>IF(ISERROR(VLOOKUP($T$843,'TAR FIN'!$A$1:$O$86,15,0)),0,VLOOKUP($T$843,'TAR FIN'!$A$1:$O$86,15,0))</f>
        <v>324.5</v>
      </c>
      <c r="X843" s="6">
        <f>IF(ISERROR(VLOOKUP($U$843,'TAR FIN'!$A$1:$O$86,15,0)),0,VLOOKUP($U$843,'TAR FIN'!$A$1:$O$86,15,0))</f>
        <v>258.20999999999998</v>
      </c>
      <c r="Y843" s="6"/>
      <c r="Z843" s="6">
        <f ca="1">('TUSD BE'!$AM$49+'TUSD BF'!$AM$49+'TUSD CVA'!$AM$49)*1</f>
        <v>330.1561966420345</v>
      </c>
      <c r="AA843" s="6">
        <f>('TE BE'!$AB$39+'TE BF'!$AB$39+'TE CVA'!$AB$39)*1</f>
        <v>230.58259134858577</v>
      </c>
      <c r="AB843" s="6">
        <f>$K$843*$V$843</f>
        <v>0</v>
      </c>
      <c r="AC843" s="6">
        <f>$M$843*$W$843</f>
        <v>418465.14049999998</v>
      </c>
      <c r="AD843" s="6">
        <f>$O$843*$X$843</f>
        <v>332979.61148999998</v>
      </c>
      <c r="AE843" s="6">
        <f>$K$843*$Y$843</f>
        <v>0</v>
      </c>
      <c r="AF843" s="6">
        <f ca="1">$M$843*$Z$843</f>
        <v>425759.19634747179</v>
      </c>
      <c r="AG843" s="6">
        <f>$O$843*$AA$843</f>
        <v>297352.1617428044</v>
      </c>
    </row>
    <row r="844" spans="1:33" ht="11.25" customHeight="1" x14ac:dyDescent="0.25">
      <c r="A844" s="4" t="s">
        <v>56</v>
      </c>
      <c r="B844" s="4" t="s">
        <v>36</v>
      </c>
      <c r="C844" s="4" t="s">
        <v>23</v>
      </c>
      <c r="D844" s="4" t="s">
        <v>41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44713</v>
      </c>
      <c r="J844" s="6">
        <v>0</v>
      </c>
      <c r="K844" s="6">
        <v>0</v>
      </c>
      <c r="L844" s="6">
        <v>159.91200000000001</v>
      </c>
      <c r="M844" s="6">
        <v>159.91200000000001</v>
      </c>
      <c r="N844" s="6">
        <v>159.91200000000001</v>
      </c>
      <c r="O844" s="6">
        <v>159.91200000000001</v>
      </c>
      <c r="P844" s="6">
        <v>405</v>
      </c>
      <c r="Q844" s="4" t="s">
        <v>26</v>
      </c>
      <c r="R844" s="4">
        <v>0</v>
      </c>
      <c r="S844" s="6">
        <v>0</v>
      </c>
      <c r="T844" s="6">
        <v>34</v>
      </c>
      <c r="U844" s="6">
        <v>80</v>
      </c>
      <c r="V844" s="6">
        <f>IF(ISERROR(VLOOKUP($S$844,'TAR FIN'!$A$1:$O$86,15,0)),0,VLOOKUP($S$844,'TAR FIN'!$A$1:$O$86,15,0))</f>
        <v>0</v>
      </c>
      <c r="W844" s="6">
        <f>IF(ISERROR(VLOOKUP($T$844,'TAR FIN'!$A$1:$O$86,15,0)),0,VLOOKUP($T$844,'TAR FIN'!$A$1:$O$86,15,0))</f>
        <v>324.5</v>
      </c>
      <c r="X844" s="6">
        <f>IF(ISERROR(VLOOKUP($U$844,'TAR FIN'!$A$1:$O$86,15,0)),0,VLOOKUP($U$844,'TAR FIN'!$A$1:$O$86,15,0))</f>
        <v>258.20999999999998</v>
      </c>
      <c r="Y844" s="6"/>
      <c r="Z844" s="6">
        <f ca="1">('TUSD BE'!$AM$49+'TUSD BF'!$AM$49+'TUSD CVA'!$AM$49)*1</f>
        <v>330.1561966420345</v>
      </c>
      <c r="AA844" s="6">
        <f>('TE BE'!$AB$39+'TE BF'!$AB$39+'TE CVA'!$AB$39)*1</f>
        <v>230.58259134858577</v>
      </c>
      <c r="AB844" s="6">
        <f>$K$844*$V$844</f>
        <v>0</v>
      </c>
      <c r="AC844" s="6">
        <f>$M$844*$W$844</f>
        <v>51891.444000000003</v>
      </c>
      <c r="AD844" s="6">
        <f>$O$844*$X$844</f>
        <v>41290.877520000002</v>
      </c>
      <c r="AE844" s="6">
        <f>$K$844*$Y$844</f>
        <v>0</v>
      </c>
      <c r="AF844" s="6">
        <f ca="1">$M$844*$Z$844</f>
        <v>52795.937717421024</v>
      </c>
      <c r="AG844" s="6">
        <f>$O$844*$AA$844</f>
        <v>36872.92334773505</v>
      </c>
    </row>
    <row r="845" spans="1:33" ht="11.25" customHeight="1" x14ac:dyDescent="0.25">
      <c r="A845" s="4" t="s">
        <v>21</v>
      </c>
      <c r="B845" s="4" t="s">
        <v>36</v>
      </c>
      <c r="C845" s="4" t="s">
        <v>23</v>
      </c>
      <c r="D845" s="4" t="s">
        <v>50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44378</v>
      </c>
      <c r="J845" s="6">
        <v>0</v>
      </c>
      <c r="K845" s="6">
        <v>0</v>
      </c>
      <c r="L845" s="6">
        <v>6.26</v>
      </c>
      <c r="M845" s="6">
        <v>6.26</v>
      </c>
      <c r="N845" s="6">
        <v>6.26</v>
      </c>
      <c r="O845" s="6">
        <v>6.26</v>
      </c>
      <c r="P845" s="6">
        <v>4</v>
      </c>
      <c r="Q845" s="4" t="s">
        <v>26</v>
      </c>
      <c r="R845" s="4">
        <v>0</v>
      </c>
      <c r="S845" s="6">
        <v>0</v>
      </c>
      <c r="T845" s="6">
        <v>34</v>
      </c>
      <c r="U845" s="6">
        <v>80</v>
      </c>
      <c r="V845" s="6">
        <f>IF(ISERROR(VLOOKUP($S$845,'TAR FIN'!$A$1:$O$86,15,0)),0,VLOOKUP($S$845,'TAR FIN'!$A$1:$O$86,15,0))</f>
        <v>0</v>
      </c>
      <c r="W845" s="6">
        <f>IF(ISERROR(VLOOKUP($T$845,'TAR FIN'!$A$1:$O$86,15,0)),0,VLOOKUP($T$845,'TAR FIN'!$A$1:$O$86,15,0))</f>
        <v>324.5</v>
      </c>
      <c r="X845" s="6">
        <f>IF(ISERROR(VLOOKUP($U$845,'TAR FIN'!$A$1:$O$86,15,0)),0,VLOOKUP($U$845,'TAR FIN'!$A$1:$O$86,15,0))</f>
        <v>258.20999999999998</v>
      </c>
      <c r="Y845" s="6"/>
      <c r="Z845" s="6">
        <f ca="1">('TUSD BE'!$AM$49+'TUSD BF'!$AM$49+'TUSD CVA'!$AM$49)*1</f>
        <v>330.1561966420345</v>
      </c>
      <c r="AA845" s="6">
        <f>('TE BE'!$AB$39+'TE BF'!$AB$39+'TE CVA'!$AB$39)*1</f>
        <v>230.58259134858577</v>
      </c>
      <c r="AB845" s="6">
        <f>$K$845*$V$845</f>
        <v>0</v>
      </c>
      <c r="AC845" s="6">
        <f>$M$845*$W$845</f>
        <v>2031.37</v>
      </c>
      <c r="AD845" s="6">
        <f>$O$845*$X$845</f>
        <v>1616.3945999999999</v>
      </c>
      <c r="AE845" s="6">
        <f>$K$845*$Y$845</f>
        <v>0</v>
      </c>
      <c r="AF845" s="6">
        <f ca="1">$M$845*$Z$845</f>
        <v>2066.7777909791357</v>
      </c>
      <c r="AG845" s="6">
        <f>$O$845*$AA$845</f>
        <v>1443.4470218421468</v>
      </c>
    </row>
    <row r="846" spans="1:33" ht="11.25" customHeight="1" x14ac:dyDescent="0.25">
      <c r="A846" s="4" t="s">
        <v>21</v>
      </c>
      <c r="B846" s="4" t="s">
        <v>36</v>
      </c>
      <c r="C846" s="4" t="s">
        <v>23</v>
      </c>
      <c r="D846" s="4" t="s">
        <v>50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44409</v>
      </c>
      <c r="J846" s="6">
        <v>0</v>
      </c>
      <c r="K846" s="6">
        <v>0</v>
      </c>
      <c r="L846" s="6">
        <v>6.88</v>
      </c>
      <c r="M846" s="6">
        <v>6.88</v>
      </c>
      <c r="N846" s="6">
        <v>6.88</v>
      </c>
      <c r="O846" s="6">
        <v>6.88</v>
      </c>
      <c r="P846" s="6">
        <v>4</v>
      </c>
      <c r="Q846" s="4" t="s">
        <v>26</v>
      </c>
      <c r="R846" s="4">
        <v>0</v>
      </c>
      <c r="S846" s="6">
        <v>0</v>
      </c>
      <c r="T846" s="6">
        <v>34</v>
      </c>
      <c r="U846" s="6">
        <v>80</v>
      </c>
      <c r="V846" s="6">
        <f>IF(ISERROR(VLOOKUP($S$846,'TAR FIN'!$A$1:$O$86,15,0)),0,VLOOKUP($S$846,'TAR FIN'!$A$1:$O$86,15,0))</f>
        <v>0</v>
      </c>
      <c r="W846" s="6">
        <f>IF(ISERROR(VLOOKUP($T$846,'TAR FIN'!$A$1:$O$86,15,0)),0,VLOOKUP($T$846,'TAR FIN'!$A$1:$O$86,15,0))</f>
        <v>324.5</v>
      </c>
      <c r="X846" s="6">
        <f>IF(ISERROR(VLOOKUP($U$846,'TAR FIN'!$A$1:$O$86,15,0)),0,VLOOKUP($U$846,'TAR FIN'!$A$1:$O$86,15,0))</f>
        <v>258.20999999999998</v>
      </c>
      <c r="Y846" s="6"/>
      <c r="Z846" s="6">
        <f ca="1">('TUSD BE'!$AM$49+'TUSD BF'!$AM$49+'TUSD CVA'!$AM$49)*1</f>
        <v>330.1561966420345</v>
      </c>
      <c r="AA846" s="6">
        <f>('TE BE'!$AB$39+'TE BF'!$AB$39+'TE CVA'!$AB$39)*1</f>
        <v>230.58259134858577</v>
      </c>
      <c r="AB846" s="6">
        <f>$K$846*$V$846</f>
        <v>0</v>
      </c>
      <c r="AC846" s="6">
        <f>$M$846*$W$846</f>
        <v>2232.56</v>
      </c>
      <c r="AD846" s="6">
        <f>$O$846*$X$846</f>
        <v>1776.4847999999997</v>
      </c>
      <c r="AE846" s="6">
        <f>$K$846*$Y$846</f>
        <v>0</v>
      </c>
      <c r="AF846" s="6">
        <f ca="1">$M$846*$Z$846</f>
        <v>2271.4746328971974</v>
      </c>
      <c r="AG846" s="6">
        <f>$O$846*$AA$846</f>
        <v>1586.4082284782701</v>
      </c>
    </row>
    <row r="847" spans="1:33" ht="11.25" customHeight="1" x14ac:dyDescent="0.25">
      <c r="A847" s="4" t="s">
        <v>21</v>
      </c>
      <c r="B847" s="4" t="s">
        <v>36</v>
      </c>
      <c r="C847" s="4" t="s">
        <v>23</v>
      </c>
      <c r="D847" s="4" t="s">
        <v>50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44440</v>
      </c>
      <c r="J847" s="6">
        <v>0</v>
      </c>
      <c r="K847" s="6">
        <v>0</v>
      </c>
      <c r="L847" s="6">
        <v>6.58</v>
      </c>
      <c r="M847" s="6">
        <v>6.58</v>
      </c>
      <c r="N847" s="6">
        <v>6.58</v>
      </c>
      <c r="O847" s="6">
        <v>6.58</v>
      </c>
      <c r="P847" s="6">
        <v>4</v>
      </c>
      <c r="Q847" s="4" t="s">
        <v>26</v>
      </c>
      <c r="R847" s="4">
        <v>0</v>
      </c>
      <c r="S847" s="6">
        <v>0</v>
      </c>
      <c r="T847" s="6">
        <v>34</v>
      </c>
      <c r="U847" s="6">
        <v>80</v>
      </c>
      <c r="V847" s="6">
        <f>IF(ISERROR(VLOOKUP($S$847,'TAR FIN'!$A$1:$O$86,15,0)),0,VLOOKUP($S$847,'TAR FIN'!$A$1:$O$86,15,0))</f>
        <v>0</v>
      </c>
      <c r="W847" s="6">
        <f>IF(ISERROR(VLOOKUP($T$847,'TAR FIN'!$A$1:$O$86,15,0)),0,VLOOKUP($T$847,'TAR FIN'!$A$1:$O$86,15,0))</f>
        <v>324.5</v>
      </c>
      <c r="X847" s="6">
        <f>IF(ISERROR(VLOOKUP($U$847,'TAR FIN'!$A$1:$O$86,15,0)),0,VLOOKUP($U$847,'TAR FIN'!$A$1:$O$86,15,0))</f>
        <v>258.20999999999998</v>
      </c>
      <c r="Y847" s="6"/>
      <c r="Z847" s="6">
        <f ca="1">('TUSD BE'!$AM$49+'TUSD BF'!$AM$49+'TUSD CVA'!$AM$49)*1</f>
        <v>330.1561966420345</v>
      </c>
      <c r="AA847" s="6">
        <f>('TE BE'!$AB$39+'TE BF'!$AB$39+'TE CVA'!$AB$39)*1</f>
        <v>230.58259134858577</v>
      </c>
      <c r="AB847" s="6">
        <f>$K$847*$V$847</f>
        <v>0</v>
      </c>
      <c r="AC847" s="6">
        <f>$M$847*$W$847</f>
        <v>2135.21</v>
      </c>
      <c r="AD847" s="6">
        <f>$O$847*$X$847</f>
        <v>1699.0218</v>
      </c>
      <c r="AE847" s="6">
        <f>$K$847*$Y$847</f>
        <v>0</v>
      </c>
      <c r="AF847" s="6">
        <f ca="1">$M$847*$Z$847</f>
        <v>2172.427773904587</v>
      </c>
      <c r="AG847" s="6">
        <f>$O$847*$AA$847</f>
        <v>1517.2334510736944</v>
      </c>
    </row>
    <row r="848" spans="1:33" ht="11.25" customHeight="1" x14ac:dyDescent="0.25">
      <c r="A848" s="4" t="s">
        <v>21</v>
      </c>
      <c r="B848" s="4" t="s">
        <v>36</v>
      </c>
      <c r="C848" s="4" t="s">
        <v>23</v>
      </c>
      <c r="D848" s="4" t="s">
        <v>50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44470</v>
      </c>
      <c r="J848" s="6">
        <v>0</v>
      </c>
      <c r="K848" s="6">
        <v>0</v>
      </c>
      <c r="L848" s="6">
        <v>7.3239999999999998</v>
      </c>
      <c r="M848" s="6">
        <v>7.3239999999999998</v>
      </c>
      <c r="N848" s="6">
        <v>7.3239999999999998</v>
      </c>
      <c r="O848" s="6">
        <v>7.3239999999999998</v>
      </c>
      <c r="P848" s="6">
        <v>4</v>
      </c>
      <c r="Q848" s="4" t="s">
        <v>26</v>
      </c>
      <c r="R848" s="4">
        <v>0</v>
      </c>
      <c r="S848" s="6">
        <v>0</v>
      </c>
      <c r="T848" s="6">
        <v>34</v>
      </c>
      <c r="U848" s="6">
        <v>80</v>
      </c>
      <c r="V848" s="6">
        <f>IF(ISERROR(VLOOKUP($S$848,'TAR FIN'!$A$1:$O$86,15,0)),0,VLOOKUP($S$848,'TAR FIN'!$A$1:$O$86,15,0))</f>
        <v>0</v>
      </c>
      <c r="W848" s="6">
        <f>IF(ISERROR(VLOOKUP($T$848,'TAR FIN'!$A$1:$O$86,15,0)),0,VLOOKUP($T$848,'TAR FIN'!$A$1:$O$86,15,0))</f>
        <v>324.5</v>
      </c>
      <c r="X848" s="6">
        <f>IF(ISERROR(VLOOKUP($U$848,'TAR FIN'!$A$1:$O$86,15,0)),0,VLOOKUP($U$848,'TAR FIN'!$A$1:$O$86,15,0))</f>
        <v>258.20999999999998</v>
      </c>
      <c r="Y848" s="6"/>
      <c r="Z848" s="6">
        <f ca="1">('TUSD BE'!$AM$49+'TUSD BF'!$AM$49+'TUSD CVA'!$AM$49)*1</f>
        <v>330.1561966420345</v>
      </c>
      <c r="AA848" s="6">
        <f>('TE BE'!$AB$39+'TE BF'!$AB$39+'TE CVA'!$AB$39)*1</f>
        <v>230.58259134858577</v>
      </c>
      <c r="AB848" s="6">
        <f>$K$848*$V$848</f>
        <v>0</v>
      </c>
      <c r="AC848" s="6">
        <f>$M$848*$W$848</f>
        <v>2376.6379999999999</v>
      </c>
      <c r="AD848" s="6">
        <f>$O$848*$X$848</f>
        <v>1891.1300399999998</v>
      </c>
      <c r="AE848" s="6">
        <f>$K$848*$Y$848</f>
        <v>0</v>
      </c>
      <c r="AF848" s="6">
        <f ca="1">$M$848*$Z$848</f>
        <v>2418.0639842062606</v>
      </c>
      <c r="AG848" s="6">
        <f>$O$848*$AA$848</f>
        <v>1688.7868990370421</v>
      </c>
    </row>
    <row r="849" spans="1:33" ht="11.25" customHeight="1" x14ac:dyDescent="0.25">
      <c r="A849" s="4" t="s">
        <v>21</v>
      </c>
      <c r="B849" s="4" t="s">
        <v>36</v>
      </c>
      <c r="C849" s="4" t="s">
        <v>23</v>
      </c>
      <c r="D849" s="4" t="s">
        <v>50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44501</v>
      </c>
      <c r="J849" s="6">
        <v>0</v>
      </c>
      <c r="K849" s="6">
        <v>0</v>
      </c>
      <c r="L849" s="6">
        <v>6.5979999999999999</v>
      </c>
      <c r="M849" s="6">
        <v>6.5979999999999999</v>
      </c>
      <c r="N849" s="6">
        <v>6.5979999999999999</v>
      </c>
      <c r="O849" s="6">
        <v>6.5979999999999999</v>
      </c>
      <c r="P849" s="6">
        <v>4</v>
      </c>
      <c r="Q849" s="4" t="s">
        <v>26</v>
      </c>
      <c r="R849" s="4">
        <v>0</v>
      </c>
      <c r="S849" s="6">
        <v>0</v>
      </c>
      <c r="T849" s="6">
        <v>34</v>
      </c>
      <c r="U849" s="6">
        <v>80</v>
      </c>
      <c r="V849" s="6">
        <f>IF(ISERROR(VLOOKUP($S$849,'TAR FIN'!$A$1:$O$86,15,0)),0,VLOOKUP($S$849,'TAR FIN'!$A$1:$O$86,15,0))</f>
        <v>0</v>
      </c>
      <c r="W849" s="6">
        <f>IF(ISERROR(VLOOKUP($T$849,'TAR FIN'!$A$1:$O$86,15,0)),0,VLOOKUP($T$849,'TAR FIN'!$A$1:$O$86,15,0))</f>
        <v>324.5</v>
      </c>
      <c r="X849" s="6">
        <f>IF(ISERROR(VLOOKUP($U$849,'TAR FIN'!$A$1:$O$86,15,0)),0,VLOOKUP($U$849,'TAR FIN'!$A$1:$O$86,15,0))</f>
        <v>258.20999999999998</v>
      </c>
      <c r="Y849" s="6"/>
      <c r="Z849" s="6">
        <f ca="1">('TUSD BE'!$AM$49+'TUSD BF'!$AM$49+'TUSD CVA'!$AM$49)*1</f>
        <v>330.1561966420345</v>
      </c>
      <c r="AA849" s="6">
        <f>('TE BE'!$AB$39+'TE BF'!$AB$39+'TE CVA'!$AB$39)*1</f>
        <v>230.58259134858577</v>
      </c>
      <c r="AB849" s="6">
        <f>$K$849*$V$849</f>
        <v>0</v>
      </c>
      <c r="AC849" s="6">
        <f>$M$849*$W$849</f>
        <v>2141.0509999999999</v>
      </c>
      <c r="AD849" s="6">
        <f>$O$849*$X$849</f>
        <v>1703.6695799999998</v>
      </c>
      <c r="AE849" s="6">
        <f>$K$849*$Y$849</f>
        <v>0</v>
      </c>
      <c r="AF849" s="6">
        <f ca="1">$M$849*$Z$849</f>
        <v>2178.3705854441437</v>
      </c>
      <c r="AG849" s="6">
        <f>$O$849*$AA$849</f>
        <v>1521.3839377179688</v>
      </c>
    </row>
    <row r="850" spans="1:33" ht="11.25" customHeight="1" x14ac:dyDescent="0.25">
      <c r="A850" s="4" t="s">
        <v>21</v>
      </c>
      <c r="B850" s="4" t="s">
        <v>36</v>
      </c>
      <c r="C850" s="4" t="s">
        <v>23</v>
      </c>
      <c r="D850" s="4" t="s">
        <v>50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44531</v>
      </c>
      <c r="J850" s="6">
        <v>0</v>
      </c>
      <c r="K850" s="6">
        <v>0</v>
      </c>
      <c r="L850" s="6">
        <v>7.2380000000000004</v>
      </c>
      <c r="M850" s="6">
        <v>7.2380000000000004</v>
      </c>
      <c r="N850" s="6">
        <v>7.2380000000000004</v>
      </c>
      <c r="O850" s="6">
        <v>7.2380000000000004</v>
      </c>
      <c r="P850" s="6">
        <v>4</v>
      </c>
      <c r="Q850" s="4" t="s">
        <v>26</v>
      </c>
      <c r="R850" s="4">
        <v>0</v>
      </c>
      <c r="S850" s="6">
        <v>0</v>
      </c>
      <c r="T850" s="6">
        <v>34</v>
      </c>
      <c r="U850" s="6">
        <v>80</v>
      </c>
      <c r="V850" s="6">
        <f>IF(ISERROR(VLOOKUP($S$850,'TAR FIN'!$A$1:$O$86,15,0)),0,VLOOKUP($S$850,'TAR FIN'!$A$1:$O$86,15,0))</f>
        <v>0</v>
      </c>
      <c r="W850" s="6">
        <f>IF(ISERROR(VLOOKUP($T$850,'TAR FIN'!$A$1:$O$86,15,0)),0,VLOOKUP($T$850,'TAR FIN'!$A$1:$O$86,15,0))</f>
        <v>324.5</v>
      </c>
      <c r="X850" s="6">
        <f>IF(ISERROR(VLOOKUP($U$850,'TAR FIN'!$A$1:$O$86,15,0)),0,VLOOKUP($U$850,'TAR FIN'!$A$1:$O$86,15,0))</f>
        <v>258.20999999999998</v>
      </c>
      <c r="Y850" s="6"/>
      <c r="Z850" s="6">
        <f ca="1">('TUSD BE'!$AM$49+'TUSD BF'!$AM$49+'TUSD CVA'!$AM$49)*1</f>
        <v>330.1561966420345</v>
      </c>
      <c r="AA850" s="6">
        <f>('TE BE'!$AB$39+'TE BF'!$AB$39+'TE CVA'!$AB$39)*1</f>
        <v>230.58259134858577</v>
      </c>
      <c r="AB850" s="6">
        <f>$K$850*$V$850</f>
        <v>0</v>
      </c>
      <c r="AC850" s="6">
        <f>$M$850*$W$850</f>
        <v>2348.7310000000002</v>
      </c>
      <c r="AD850" s="6">
        <f>$O$850*$X$850</f>
        <v>1868.92398</v>
      </c>
      <c r="AE850" s="6">
        <f>$K$850*$Y$850</f>
        <v>0</v>
      </c>
      <c r="AF850" s="6">
        <f ca="1">$M$850*$Z$850</f>
        <v>2389.6705512950457</v>
      </c>
      <c r="AG850" s="6">
        <f>$O$850*$AA$850</f>
        <v>1668.956796181064</v>
      </c>
    </row>
    <row r="851" spans="1:33" ht="11.25" customHeight="1" x14ac:dyDescent="0.25">
      <c r="A851" s="4" t="s">
        <v>21</v>
      </c>
      <c r="B851" s="4" t="s">
        <v>36</v>
      </c>
      <c r="C851" s="4" t="s">
        <v>23</v>
      </c>
      <c r="D851" s="4" t="s">
        <v>50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44562</v>
      </c>
      <c r="J851" s="6">
        <v>0</v>
      </c>
      <c r="K851" s="6">
        <v>0</v>
      </c>
      <c r="L851" s="6">
        <v>9.24</v>
      </c>
      <c r="M851" s="6">
        <v>9.24</v>
      </c>
      <c r="N851" s="6">
        <v>9.24</v>
      </c>
      <c r="O851" s="6">
        <v>9.24</v>
      </c>
      <c r="P851" s="6">
        <v>4</v>
      </c>
      <c r="Q851" s="4" t="s">
        <v>26</v>
      </c>
      <c r="R851" s="4">
        <v>0</v>
      </c>
      <c r="S851" s="6">
        <v>0</v>
      </c>
      <c r="T851" s="6">
        <v>34</v>
      </c>
      <c r="U851" s="6">
        <v>80</v>
      </c>
      <c r="V851" s="6">
        <f>IF(ISERROR(VLOOKUP($S$851,'TAR FIN'!$A$1:$O$86,15,0)),0,VLOOKUP($S$851,'TAR FIN'!$A$1:$O$86,15,0))</f>
        <v>0</v>
      </c>
      <c r="W851" s="6">
        <f>IF(ISERROR(VLOOKUP($T$851,'TAR FIN'!$A$1:$O$86,15,0)),0,VLOOKUP($T$851,'TAR FIN'!$A$1:$O$86,15,0))</f>
        <v>324.5</v>
      </c>
      <c r="X851" s="6">
        <f>IF(ISERROR(VLOOKUP($U$851,'TAR FIN'!$A$1:$O$86,15,0)),0,VLOOKUP($U$851,'TAR FIN'!$A$1:$O$86,15,0))</f>
        <v>258.20999999999998</v>
      </c>
      <c r="Y851" s="6"/>
      <c r="Z851" s="6">
        <f ca="1">('TUSD BE'!$AM$49+'TUSD BF'!$AM$49+'TUSD CVA'!$AM$49)*1</f>
        <v>330.1561966420345</v>
      </c>
      <c r="AA851" s="6">
        <f>('TE BE'!$AB$39+'TE BF'!$AB$39+'TE CVA'!$AB$39)*1</f>
        <v>230.58259134858577</v>
      </c>
      <c r="AB851" s="6">
        <f>$K$851*$V$851</f>
        <v>0</v>
      </c>
      <c r="AC851" s="6">
        <f>$M$851*$W$851</f>
        <v>2998.38</v>
      </c>
      <c r="AD851" s="6">
        <f>$O$851*$X$851</f>
        <v>2385.8604</v>
      </c>
      <c r="AE851" s="6">
        <f>$K$851*$Y$851</f>
        <v>0</v>
      </c>
      <c r="AF851" s="6">
        <f ca="1">$M$851*$Z$851</f>
        <v>3050.6432569723988</v>
      </c>
      <c r="AG851" s="6">
        <f>$O$851*$AA$851</f>
        <v>2130.5831440609327</v>
      </c>
    </row>
    <row r="852" spans="1:33" ht="11.25" customHeight="1" x14ac:dyDescent="0.25">
      <c r="A852" s="4" t="s">
        <v>21</v>
      </c>
      <c r="B852" s="4" t="s">
        <v>36</v>
      </c>
      <c r="C852" s="4" t="s">
        <v>23</v>
      </c>
      <c r="D852" s="4" t="s">
        <v>50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44593</v>
      </c>
      <c r="J852" s="6">
        <v>0</v>
      </c>
      <c r="K852" s="6">
        <v>0</v>
      </c>
      <c r="L852" s="6">
        <v>7.9509999999999996</v>
      </c>
      <c r="M852" s="6">
        <v>7.9509999999999996</v>
      </c>
      <c r="N852" s="6">
        <v>7.9509999999999996</v>
      </c>
      <c r="O852" s="6">
        <v>7.9509999999999996</v>
      </c>
      <c r="P852" s="6">
        <v>4</v>
      </c>
      <c r="Q852" s="4" t="s">
        <v>26</v>
      </c>
      <c r="R852" s="4">
        <v>0</v>
      </c>
      <c r="S852" s="6">
        <v>0</v>
      </c>
      <c r="T852" s="6">
        <v>34</v>
      </c>
      <c r="U852" s="6">
        <v>80</v>
      </c>
      <c r="V852" s="6">
        <f>IF(ISERROR(VLOOKUP($S$852,'TAR FIN'!$A$1:$O$86,15,0)),0,VLOOKUP($S$852,'TAR FIN'!$A$1:$O$86,15,0))</f>
        <v>0</v>
      </c>
      <c r="W852" s="6">
        <f>IF(ISERROR(VLOOKUP($T$852,'TAR FIN'!$A$1:$O$86,15,0)),0,VLOOKUP($T$852,'TAR FIN'!$A$1:$O$86,15,0))</f>
        <v>324.5</v>
      </c>
      <c r="X852" s="6">
        <f>IF(ISERROR(VLOOKUP($U$852,'TAR FIN'!$A$1:$O$86,15,0)),0,VLOOKUP($U$852,'TAR FIN'!$A$1:$O$86,15,0))</f>
        <v>258.20999999999998</v>
      </c>
      <c r="Y852" s="6"/>
      <c r="Z852" s="6">
        <f ca="1">('TUSD BE'!$AM$49+'TUSD BF'!$AM$49+'TUSD CVA'!$AM$49)*1</f>
        <v>330.1561966420345</v>
      </c>
      <c r="AA852" s="6">
        <f>('TE BE'!$AB$39+'TE BF'!$AB$39+'TE CVA'!$AB$39)*1</f>
        <v>230.58259134858577</v>
      </c>
      <c r="AB852" s="6">
        <f>$K$852*$V$852</f>
        <v>0</v>
      </c>
      <c r="AC852" s="6">
        <f>$M$852*$W$852</f>
        <v>2580.0994999999998</v>
      </c>
      <c r="AD852" s="6">
        <f>$O$852*$X$852</f>
        <v>2053.0277099999998</v>
      </c>
      <c r="AE852" s="6">
        <f>$K$852*$Y$852</f>
        <v>0</v>
      </c>
      <c r="AF852" s="6">
        <f ca="1">$M$852*$Z$852</f>
        <v>2625.0719195008164</v>
      </c>
      <c r="AG852" s="6">
        <f>$O$852*$AA$852</f>
        <v>1833.3621838126053</v>
      </c>
    </row>
    <row r="853" spans="1:33" ht="11.25" customHeight="1" x14ac:dyDescent="0.25">
      <c r="A853" s="4" t="s">
        <v>21</v>
      </c>
      <c r="B853" s="4" t="s">
        <v>36</v>
      </c>
      <c r="C853" s="4" t="s">
        <v>23</v>
      </c>
      <c r="D853" s="4" t="s">
        <v>50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44621</v>
      </c>
      <c r="J853" s="6">
        <v>0</v>
      </c>
      <c r="K853" s="6">
        <v>0</v>
      </c>
      <c r="L853" s="6">
        <v>7.4459999999999997</v>
      </c>
      <c r="M853" s="6">
        <v>7.4459999999999997</v>
      </c>
      <c r="N853" s="6">
        <v>7.4459999999999997</v>
      </c>
      <c r="O853" s="6">
        <v>7.4459999999999997</v>
      </c>
      <c r="P853" s="6">
        <v>4</v>
      </c>
      <c r="Q853" s="4" t="s">
        <v>26</v>
      </c>
      <c r="R853" s="4">
        <v>0</v>
      </c>
      <c r="S853" s="6">
        <v>0</v>
      </c>
      <c r="T853" s="6">
        <v>34</v>
      </c>
      <c r="U853" s="6">
        <v>80</v>
      </c>
      <c r="V853" s="6">
        <f>IF(ISERROR(VLOOKUP($S$853,'TAR FIN'!$A$1:$O$86,15,0)),0,VLOOKUP($S$853,'TAR FIN'!$A$1:$O$86,15,0))</f>
        <v>0</v>
      </c>
      <c r="W853" s="6">
        <f>IF(ISERROR(VLOOKUP($T$853,'TAR FIN'!$A$1:$O$86,15,0)),0,VLOOKUP($T$853,'TAR FIN'!$A$1:$O$86,15,0))</f>
        <v>324.5</v>
      </c>
      <c r="X853" s="6">
        <f>IF(ISERROR(VLOOKUP($U$853,'TAR FIN'!$A$1:$O$86,15,0)),0,VLOOKUP($U$853,'TAR FIN'!$A$1:$O$86,15,0))</f>
        <v>258.20999999999998</v>
      </c>
      <c r="Y853" s="6"/>
      <c r="Z853" s="6">
        <f ca="1">('TUSD BE'!$AM$49+'TUSD BF'!$AM$49+'TUSD CVA'!$AM$49)*1</f>
        <v>330.1561966420345</v>
      </c>
      <c r="AA853" s="6">
        <f>('TE BE'!$AB$39+'TE BF'!$AB$39+'TE CVA'!$AB$39)*1</f>
        <v>230.58259134858577</v>
      </c>
      <c r="AB853" s="6">
        <f>$K$853*$V$853</f>
        <v>0</v>
      </c>
      <c r="AC853" s="6">
        <f>$M$853*$W$853</f>
        <v>2416.2269999999999</v>
      </c>
      <c r="AD853" s="6">
        <f>$O$853*$X$853</f>
        <v>1922.6316599999998</v>
      </c>
      <c r="AE853" s="6">
        <f>$K$853*$Y$853</f>
        <v>0</v>
      </c>
      <c r="AF853" s="6">
        <f ca="1">$M$853*$Z$853</f>
        <v>2458.3430401965888</v>
      </c>
      <c r="AG853" s="6">
        <f>$O$853*$AA$853</f>
        <v>1716.9179751815695</v>
      </c>
    </row>
    <row r="854" spans="1:33" ht="11.25" customHeight="1" x14ac:dyDescent="0.25">
      <c r="A854" s="4" t="s">
        <v>21</v>
      </c>
      <c r="B854" s="4" t="s">
        <v>36</v>
      </c>
      <c r="C854" s="4" t="s">
        <v>23</v>
      </c>
      <c r="D854" s="4" t="s">
        <v>50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44652</v>
      </c>
      <c r="J854" s="6">
        <v>0</v>
      </c>
      <c r="K854" s="6">
        <v>0</v>
      </c>
      <c r="L854" s="6">
        <v>7.6</v>
      </c>
      <c r="M854" s="6">
        <v>7.6</v>
      </c>
      <c r="N854" s="6">
        <v>7.6</v>
      </c>
      <c r="O854" s="6">
        <v>7.6</v>
      </c>
      <c r="P854" s="6">
        <v>4</v>
      </c>
      <c r="Q854" s="4" t="s">
        <v>26</v>
      </c>
      <c r="R854" s="4">
        <v>0</v>
      </c>
      <c r="S854" s="6">
        <v>0</v>
      </c>
      <c r="T854" s="6">
        <v>34</v>
      </c>
      <c r="U854" s="6">
        <v>80</v>
      </c>
      <c r="V854" s="6">
        <f>IF(ISERROR(VLOOKUP($S$854,'TAR FIN'!$A$1:$O$86,15,0)),0,VLOOKUP($S$854,'TAR FIN'!$A$1:$O$86,15,0))</f>
        <v>0</v>
      </c>
      <c r="W854" s="6">
        <f>IF(ISERROR(VLOOKUP($T$854,'TAR FIN'!$A$1:$O$86,15,0)),0,VLOOKUP($T$854,'TAR FIN'!$A$1:$O$86,15,0))</f>
        <v>324.5</v>
      </c>
      <c r="X854" s="6">
        <f>IF(ISERROR(VLOOKUP($U$854,'TAR FIN'!$A$1:$O$86,15,0)),0,VLOOKUP($U$854,'TAR FIN'!$A$1:$O$86,15,0))</f>
        <v>258.20999999999998</v>
      </c>
      <c r="Y854" s="6"/>
      <c r="Z854" s="6">
        <f ca="1">('TUSD BE'!$AM$49+'TUSD BF'!$AM$49+'TUSD CVA'!$AM$49)*1</f>
        <v>330.1561966420345</v>
      </c>
      <c r="AA854" s="6">
        <f>('TE BE'!$AB$39+'TE BF'!$AB$39+'TE CVA'!$AB$39)*1</f>
        <v>230.58259134858577</v>
      </c>
      <c r="AB854" s="6">
        <f>$K$854*$V$854</f>
        <v>0</v>
      </c>
      <c r="AC854" s="6">
        <f>$M$854*$W$854</f>
        <v>2466.1999999999998</v>
      </c>
      <c r="AD854" s="6">
        <f>$O$854*$X$854</f>
        <v>1962.3959999999997</v>
      </c>
      <c r="AE854" s="6">
        <f>$K$854*$Y$854</f>
        <v>0</v>
      </c>
      <c r="AF854" s="6">
        <f ca="1">$M$854*$Z$854</f>
        <v>2509.1870944794623</v>
      </c>
      <c r="AG854" s="6">
        <f>$O$854*$AA$854</f>
        <v>1752.4276942492518</v>
      </c>
    </row>
    <row r="855" spans="1:33" ht="11.25" customHeight="1" x14ac:dyDescent="0.25">
      <c r="A855" s="4" t="s">
        <v>21</v>
      </c>
      <c r="B855" s="4" t="s">
        <v>36</v>
      </c>
      <c r="C855" s="4" t="s">
        <v>23</v>
      </c>
      <c r="D855" s="4" t="s">
        <v>50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44682</v>
      </c>
      <c r="J855" s="6">
        <v>0</v>
      </c>
      <c r="K855" s="6">
        <v>0</v>
      </c>
      <c r="L855" s="6">
        <v>6.72</v>
      </c>
      <c r="M855" s="6">
        <v>6.72</v>
      </c>
      <c r="N855" s="6">
        <v>6.72</v>
      </c>
      <c r="O855" s="6">
        <v>6.72</v>
      </c>
      <c r="P855" s="6">
        <v>4</v>
      </c>
      <c r="Q855" s="4" t="s">
        <v>26</v>
      </c>
      <c r="R855" s="4">
        <v>0</v>
      </c>
      <c r="S855" s="6">
        <v>0</v>
      </c>
      <c r="T855" s="6">
        <v>34</v>
      </c>
      <c r="U855" s="6">
        <v>80</v>
      </c>
      <c r="V855" s="6">
        <f>IF(ISERROR(VLOOKUP($S$855,'TAR FIN'!$A$1:$O$86,15,0)),0,VLOOKUP($S$855,'TAR FIN'!$A$1:$O$86,15,0))</f>
        <v>0</v>
      </c>
      <c r="W855" s="6">
        <f>IF(ISERROR(VLOOKUP($T$855,'TAR FIN'!$A$1:$O$86,15,0)),0,VLOOKUP($T$855,'TAR FIN'!$A$1:$O$86,15,0))</f>
        <v>324.5</v>
      </c>
      <c r="X855" s="6">
        <f>IF(ISERROR(VLOOKUP($U$855,'TAR FIN'!$A$1:$O$86,15,0)),0,VLOOKUP($U$855,'TAR FIN'!$A$1:$O$86,15,0))</f>
        <v>258.20999999999998</v>
      </c>
      <c r="Y855" s="6"/>
      <c r="Z855" s="6">
        <f ca="1">('TUSD BE'!$AM$49+'TUSD BF'!$AM$49+'TUSD CVA'!$AM$49)*1</f>
        <v>330.1561966420345</v>
      </c>
      <c r="AA855" s="6">
        <f>('TE BE'!$AB$39+'TE BF'!$AB$39+'TE CVA'!$AB$39)*1</f>
        <v>230.58259134858577</v>
      </c>
      <c r="AB855" s="6">
        <f>$K$855*$V$855</f>
        <v>0</v>
      </c>
      <c r="AC855" s="6">
        <f>$M$855*$W$855</f>
        <v>2180.64</v>
      </c>
      <c r="AD855" s="6">
        <f>$O$855*$X$855</f>
        <v>1735.1711999999998</v>
      </c>
      <c r="AE855" s="6">
        <f>$K$855*$Y$855</f>
        <v>0</v>
      </c>
      <c r="AF855" s="6">
        <f ca="1">$M$855*$Z$855</f>
        <v>2218.649641434472</v>
      </c>
      <c r="AG855" s="6">
        <f>$O$855*$AA$855</f>
        <v>1549.5150138624963</v>
      </c>
    </row>
    <row r="856" spans="1:33" ht="11.25" customHeight="1" x14ac:dyDescent="0.25">
      <c r="A856" s="4" t="s">
        <v>56</v>
      </c>
      <c r="B856" s="4" t="s">
        <v>36</v>
      </c>
      <c r="C856" s="4" t="s">
        <v>23</v>
      </c>
      <c r="D856" s="4" t="s">
        <v>50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44713</v>
      </c>
      <c r="J856" s="6">
        <v>0</v>
      </c>
      <c r="K856" s="6">
        <v>0</v>
      </c>
      <c r="L856" s="6">
        <v>6.72</v>
      </c>
      <c r="M856" s="6">
        <v>6.72</v>
      </c>
      <c r="N856" s="6">
        <v>6.72</v>
      </c>
      <c r="O856" s="6">
        <v>6.72</v>
      </c>
      <c r="P856" s="6">
        <v>4</v>
      </c>
      <c r="Q856" s="4" t="s">
        <v>26</v>
      </c>
      <c r="R856" s="4">
        <v>0</v>
      </c>
      <c r="S856" s="6">
        <v>0</v>
      </c>
      <c r="T856" s="6">
        <v>34</v>
      </c>
      <c r="U856" s="6">
        <v>80</v>
      </c>
      <c r="V856" s="6">
        <f>IF(ISERROR(VLOOKUP($S$856,'TAR FIN'!$A$1:$O$86,15,0)),0,VLOOKUP($S$856,'TAR FIN'!$A$1:$O$86,15,0))</f>
        <v>0</v>
      </c>
      <c r="W856" s="6">
        <f>IF(ISERROR(VLOOKUP($T$856,'TAR FIN'!$A$1:$O$86,15,0)),0,VLOOKUP($T$856,'TAR FIN'!$A$1:$O$86,15,0))</f>
        <v>324.5</v>
      </c>
      <c r="X856" s="6">
        <f>IF(ISERROR(VLOOKUP($U$856,'TAR FIN'!$A$1:$O$86,15,0)),0,VLOOKUP($U$856,'TAR FIN'!$A$1:$O$86,15,0))</f>
        <v>258.20999999999998</v>
      </c>
      <c r="Y856" s="6"/>
      <c r="Z856" s="6">
        <f ca="1">('TUSD BE'!$AM$49+'TUSD BF'!$AM$49+'TUSD CVA'!$AM$49)*1</f>
        <v>330.1561966420345</v>
      </c>
      <c r="AA856" s="6">
        <f>('TE BE'!$AB$39+'TE BF'!$AB$39+'TE CVA'!$AB$39)*1</f>
        <v>230.58259134858577</v>
      </c>
      <c r="AB856" s="6">
        <f>$K$856*$V$856</f>
        <v>0</v>
      </c>
      <c r="AC856" s="6">
        <f>$M$856*$W$856</f>
        <v>2180.64</v>
      </c>
      <c r="AD856" s="6">
        <f>$O$856*$X$856</f>
        <v>1735.1711999999998</v>
      </c>
      <c r="AE856" s="6">
        <f>$K$856*$Y$856</f>
        <v>0</v>
      </c>
      <c r="AF856" s="6">
        <f ca="1">$M$856*$Z$856</f>
        <v>2218.649641434472</v>
      </c>
      <c r="AG856" s="6">
        <f>$O$856*$AA$856</f>
        <v>1549.5150138624963</v>
      </c>
    </row>
    <row r="857" spans="1:33" ht="11.25" customHeight="1" x14ac:dyDescent="0.25">
      <c r="A857" s="4" t="s">
        <v>21</v>
      </c>
      <c r="B857" s="4" t="s">
        <v>36</v>
      </c>
      <c r="C857" s="4" t="s">
        <v>23</v>
      </c>
      <c r="D857" s="4" t="s">
        <v>37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44378</v>
      </c>
      <c r="J857" s="6">
        <v>0</v>
      </c>
      <c r="K857" s="6">
        <v>0</v>
      </c>
      <c r="L857" s="6">
        <v>91.245000000000005</v>
      </c>
      <c r="M857" s="6">
        <v>91.245000000000005</v>
      </c>
      <c r="N857" s="6">
        <v>91.245000000000005</v>
      </c>
      <c r="O857" s="6">
        <v>91.245000000000005</v>
      </c>
      <c r="P857" s="6">
        <v>99</v>
      </c>
      <c r="Q857" s="4" t="s">
        <v>26</v>
      </c>
      <c r="R857" s="4">
        <v>0</v>
      </c>
      <c r="S857" s="6">
        <v>0</v>
      </c>
      <c r="T857" s="6">
        <v>34</v>
      </c>
      <c r="U857" s="6">
        <v>80</v>
      </c>
      <c r="V857" s="6">
        <f>IF(ISERROR(VLOOKUP($S$857,'TAR FIN'!$A$1:$O$86,15,0)),0,VLOOKUP($S$857,'TAR FIN'!$A$1:$O$86,15,0))</f>
        <v>0</v>
      </c>
      <c r="W857" s="6">
        <f>IF(ISERROR(VLOOKUP($T$857,'TAR FIN'!$A$1:$O$86,15,0)),0,VLOOKUP($T$857,'TAR FIN'!$A$1:$O$86,15,0))</f>
        <v>324.5</v>
      </c>
      <c r="X857" s="6">
        <f>IF(ISERROR(VLOOKUP($U$857,'TAR FIN'!$A$1:$O$86,15,0)),0,VLOOKUP($U$857,'TAR FIN'!$A$1:$O$86,15,0))</f>
        <v>258.20999999999998</v>
      </c>
      <c r="Y857" s="6"/>
      <c r="Z857" s="6">
        <f ca="1">('TUSD BE'!$AM$49+'TUSD BF'!$AM$49+'TUSD CVA'!$AM$49)*1</f>
        <v>330.1561966420345</v>
      </c>
      <c r="AA857" s="6">
        <f>('TE BE'!$AB$39+'TE BF'!$AB$39+'TE CVA'!$AB$39)*1</f>
        <v>230.58259134858577</v>
      </c>
      <c r="AB857" s="6">
        <f>$K$857*$V$857</f>
        <v>0</v>
      </c>
      <c r="AC857" s="6">
        <f>$M$857*$W$857</f>
        <v>29609.002500000002</v>
      </c>
      <c r="AD857" s="6">
        <f>$O$857*$X$857</f>
        <v>23560.371449999999</v>
      </c>
      <c r="AE857" s="6">
        <f>$K$857*$Y$857</f>
        <v>0</v>
      </c>
      <c r="AF857" s="6">
        <f ca="1">$M$857*$Z$857</f>
        <v>30125.102162602441</v>
      </c>
      <c r="AG857" s="6">
        <f>$O$857*$AA$857</f>
        <v>21039.508547601708</v>
      </c>
    </row>
    <row r="858" spans="1:33" ht="11.25" customHeight="1" x14ac:dyDescent="0.25">
      <c r="A858" s="4" t="s">
        <v>21</v>
      </c>
      <c r="B858" s="4" t="s">
        <v>36</v>
      </c>
      <c r="C858" s="4" t="s">
        <v>23</v>
      </c>
      <c r="D858" s="4" t="s">
        <v>37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44409</v>
      </c>
      <c r="J858" s="6">
        <v>0</v>
      </c>
      <c r="K858" s="6">
        <v>0</v>
      </c>
      <c r="L858" s="6">
        <v>94.638999999999996</v>
      </c>
      <c r="M858" s="6">
        <v>94.638999999999996</v>
      </c>
      <c r="N858" s="6">
        <v>94.638999999999996</v>
      </c>
      <c r="O858" s="6">
        <v>94.638999999999996</v>
      </c>
      <c r="P858" s="6">
        <v>100</v>
      </c>
      <c r="Q858" s="4" t="s">
        <v>26</v>
      </c>
      <c r="R858" s="4">
        <v>0</v>
      </c>
      <c r="S858" s="6">
        <v>0</v>
      </c>
      <c r="T858" s="6">
        <v>34</v>
      </c>
      <c r="U858" s="6">
        <v>80</v>
      </c>
      <c r="V858" s="6">
        <f>IF(ISERROR(VLOOKUP($S$858,'TAR FIN'!$A$1:$O$86,15,0)),0,VLOOKUP($S$858,'TAR FIN'!$A$1:$O$86,15,0))</f>
        <v>0</v>
      </c>
      <c r="W858" s="6">
        <f>IF(ISERROR(VLOOKUP($T$858,'TAR FIN'!$A$1:$O$86,15,0)),0,VLOOKUP($T$858,'TAR FIN'!$A$1:$O$86,15,0))</f>
        <v>324.5</v>
      </c>
      <c r="X858" s="6">
        <f>IF(ISERROR(VLOOKUP($U$858,'TAR FIN'!$A$1:$O$86,15,0)),0,VLOOKUP($U$858,'TAR FIN'!$A$1:$O$86,15,0))</f>
        <v>258.20999999999998</v>
      </c>
      <c r="Y858" s="6"/>
      <c r="Z858" s="6">
        <f ca="1">('TUSD BE'!$AM$49+'TUSD BF'!$AM$49+'TUSD CVA'!$AM$49)*1</f>
        <v>330.1561966420345</v>
      </c>
      <c r="AA858" s="6">
        <f>('TE BE'!$AB$39+'TE BF'!$AB$39+'TE CVA'!$AB$39)*1</f>
        <v>230.58259134858577</v>
      </c>
      <c r="AB858" s="6">
        <f>$K$858*$V$858</f>
        <v>0</v>
      </c>
      <c r="AC858" s="6">
        <f>$M$858*$W$858</f>
        <v>30710.355499999998</v>
      </c>
      <c r="AD858" s="6">
        <f>$O$858*$X$858</f>
        <v>24436.736189999996</v>
      </c>
      <c r="AE858" s="6">
        <f>$K$858*$Y$858</f>
        <v>0</v>
      </c>
      <c r="AF858" s="6">
        <f ca="1">$M$858*$Z$858</f>
        <v>31245.6522940055</v>
      </c>
      <c r="AG858" s="6">
        <f>$O$858*$AA$858</f>
        <v>21822.105862638808</v>
      </c>
    </row>
    <row r="859" spans="1:33" ht="11.25" customHeight="1" x14ac:dyDescent="0.25">
      <c r="A859" s="4" t="s">
        <v>55</v>
      </c>
      <c r="B859" s="4" t="s">
        <v>36</v>
      </c>
      <c r="C859" s="4" t="s">
        <v>23</v>
      </c>
      <c r="D859" s="4" t="s">
        <v>37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44409</v>
      </c>
      <c r="J859" s="6">
        <v>0</v>
      </c>
      <c r="K859" s="6">
        <v>0</v>
      </c>
      <c r="L859" s="6">
        <v>13.840999999999999</v>
      </c>
      <c r="M859" s="6">
        <v>13.840999999999999</v>
      </c>
      <c r="N859" s="6">
        <v>13.840999999999999</v>
      </c>
      <c r="O859" s="6">
        <v>13.840999999999999</v>
      </c>
      <c r="P859" s="6">
        <v>16</v>
      </c>
      <c r="Q859" s="4" t="s">
        <v>26</v>
      </c>
      <c r="R859" s="4">
        <v>0</v>
      </c>
      <c r="S859" s="6">
        <v>0</v>
      </c>
      <c r="T859" s="6">
        <v>34</v>
      </c>
      <c r="U859" s="6">
        <v>80</v>
      </c>
      <c r="V859" s="6">
        <f>IF(ISERROR(VLOOKUP($S$859,'TAR FIN'!$A$1:$O$86,15,0)),0,VLOOKUP($S$859,'TAR FIN'!$A$1:$O$86,15,0))</f>
        <v>0</v>
      </c>
      <c r="W859" s="6">
        <f>IF(ISERROR(VLOOKUP($T$859,'TAR FIN'!$A$1:$O$86,15,0)),0,VLOOKUP($T$859,'TAR FIN'!$A$1:$O$86,15,0))</f>
        <v>324.5</v>
      </c>
      <c r="X859" s="6">
        <f>IF(ISERROR(VLOOKUP($U$859,'TAR FIN'!$A$1:$O$86,15,0)),0,VLOOKUP($U$859,'TAR FIN'!$A$1:$O$86,15,0))</f>
        <v>258.20999999999998</v>
      </c>
      <c r="Y859" s="6"/>
      <c r="Z859" s="6">
        <f ca="1">('TUSD BE'!$AM$49+'TUSD BF'!$AM$49+'TUSD CVA'!$AM$49)*1</f>
        <v>330.1561966420345</v>
      </c>
      <c r="AA859" s="6">
        <f>('TE BE'!$AB$39+'TE BF'!$AB$39+'TE CVA'!$AB$39)*1</f>
        <v>230.58259134858577</v>
      </c>
      <c r="AB859" s="6">
        <f>$K$859*$V$859</f>
        <v>0</v>
      </c>
      <c r="AC859" s="6">
        <f>$M$859*$W$859</f>
        <v>4491.4044999999996</v>
      </c>
      <c r="AD859" s="6">
        <f>$O$859*$X$859</f>
        <v>3573.8846099999996</v>
      </c>
      <c r="AE859" s="6">
        <f>$K$859*$Y$859</f>
        <v>0</v>
      </c>
      <c r="AF859" s="6">
        <f ca="1">$M$859*$Z$859</f>
        <v>4569.691917722399</v>
      </c>
      <c r="AG859" s="6">
        <f>$O$859*$AA$859</f>
        <v>3191.4936468557753</v>
      </c>
    </row>
    <row r="860" spans="1:33" ht="11.25" customHeight="1" x14ac:dyDescent="0.25">
      <c r="A860" s="4" t="s">
        <v>21</v>
      </c>
      <c r="B860" s="4" t="s">
        <v>36</v>
      </c>
      <c r="C860" s="4" t="s">
        <v>23</v>
      </c>
      <c r="D860" s="4" t="s">
        <v>37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44440</v>
      </c>
      <c r="J860" s="6">
        <v>0</v>
      </c>
      <c r="K860" s="6">
        <v>0</v>
      </c>
      <c r="L860" s="6">
        <v>96.843999999999994</v>
      </c>
      <c r="M860" s="6">
        <v>96.843999999999994</v>
      </c>
      <c r="N860" s="6">
        <v>96.843999999999994</v>
      </c>
      <c r="O860" s="6">
        <v>96.843999999999994</v>
      </c>
      <c r="P860" s="6">
        <v>103</v>
      </c>
      <c r="Q860" s="4" t="s">
        <v>26</v>
      </c>
      <c r="R860" s="4">
        <v>0</v>
      </c>
      <c r="S860" s="6">
        <v>0</v>
      </c>
      <c r="T860" s="6">
        <v>34</v>
      </c>
      <c r="U860" s="6">
        <v>80</v>
      </c>
      <c r="V860" s="6">
        <f>IF(ISERROR(VLOOKUP($S$860,'TAR FIN'!$A$1:$O$86,15,0)),0,VLOOKUP($S$860,'TAR FIN'!$A$1:$O$86,15,0))</f>
        <v>0</v>
      </c>
      <c r="W860" s="6">
        <f>IF(ISERROR(VLOOKUP($T$860,'TAR FIN'!$A$1:$O$86,15,0)),0,VLOOKUP($T$860,'TAR FIN'!$A$1:$O$86,15,0))</f>
        <v>324.5</v>
      </c>
      <c r="X860" s="6">
        <f>IF(ISERROR(VLOOKUP($U$860,'TAR FIN'!$A$1:$O$86,15,0)),0,VLOOKUP($U$860,'TAR FIN'!$A$1:$O$86,15,0))</f>
        <v>258.20999999999998</v>
      </c>
      <c r="Y860" s="6"/>
      <c r="Z860" s="6">
        <f ca="1">('TUSD BE'!$AM$49+'TUSD BF'!$AM$49+'TUSD CVA'!$AM$49)*1</f>
        <v>330.1561966420345</v>
      </c>
      <c r="AA860" s="6">
        <f>('TE BE'!$AB$39+'TE BF'!$AB$39+'TE CVA'!$AB$39)*1</f>
        <v>230.58259134858577</v>
      </c>
      <c r="AB860" s="6">
        <f>$K$860*$V$860</f>
        <v>0</v>
      </c>
      <c r="AC860" s="6">
        <f>$M$860*$W$860</f>
        <v>31425.877999999997</v>
      </c>
      <c r="AD860" s="6">
        <f>$O$860*$X$860</f>
        <v>25006.089239999998</v>
      </c>
      <c r="AE860" s="6">
        <f>$K$860*$Y$860</f>
        <v>0</v>
      </c>
      <c r="AF860" s="6">
        <f ca="1">$M$860*$Z$860</f>
        <v>31973.646707601187</v>
      </c>
      <c r="AG860" s="6">
        <f>$O$860*$AA$860</f>
        <v>22330.540476562437</v>
      </c>
    </row>
    <row r="861" spans="1:33" ht="11.25" customHeight="1" x14ac:dyDescent="0.25">
      <c r="A861" s="4" t="s">
        <v>55</v>
      </c>
      <c r="B861" s="4" t="s">
        <v>36</v>
      </c>
      <c r="C861" s="4" t="s">
        <v>23</v>
      </c>
      <c r="D861" s="4" t="s">
        <v>37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44440</v>
      </c>
      <c r="J861" s="6">
        <v>0</v>
      </c>
      <c r="K861" s="6">
        <v>0</v>
      </c>
      <c r="L861" s="6">
        <v>16.565999999999999</v>
      </c>
      <c r="M861" s="6">
        <v>16.565999999999999</v>
      </c>
      <c r="N861" s="6">
        <v>16.565999999999999</v>
      </c>
      <c r="O861" s="6">
        <v>16.565999999999999</v>
      </c>
      <c r="P861" s="6">
        <v>16</v>
      </c>
      <c r="Q861" s="4" t="s">
        <v>26</v>
      </c>
      <c r="R861" s="4">
        <v>0</v>
      </c>
      <c r="S861" s="6">
        <v>0</v>
      </c>
      <c r="T861" s="6">
        <v>34</v>
      </c>
      <c r="U861" s="6">
        <v>80</v>
      </c>
      <c r="V861" s="6">
        <f>IF(ISERROR(VLOOKUP($S$861,'TAR FIN'!$A$1:$O$86,15,0)),0,VLOOKUP($S$861,'TAR FIN'!$A$1:$O$86,15,0))</f>
        <v>0</v>
      </c>
      <c r="W861" s="6">
        <f>IF(ISERROR(VLOOKUP($T$861,'TAR FIN'!$A$1:$O$86,15,0)),0,VLOOKUP($T$861,'TAR FIN'!$A$1:$O$86,15,0))</f>
        <v>324.5</v>
      </c>
      <c r="X861" s="6">
        <f>IF(ISERROR(VLOOKUP($U$861,'TAR FIN'!$A$1:$O$86,15,0)),0,VLOOKUP($U$861,'TAR FIN'!$A$1:$O$86,15,0))</f>
        <v>258.20999999999998</v>
      </c>
      <c r="Y861" s="6"/>
      <c r="Z861" s="6">
        <f ca="1">('TUSD BE'!$AM$49+'TUSD BF'!$AM$49+'TUSD CVA'!$AM$49)*1</f>
        <v>330.1561966420345</v>
      </c>
      <c r="AA861" s="6">
        <f>('TE BE'!$AB$39+'TE BF'!$AB$39+'TE CVA'!$AB$39)*1</f>
        <v>230.58259134858577</v>
      </c>
      <c r="AB861" s="6">
        <f>$K$861*$V$861</f>
        <v>0</v>
      </c>
      <c r="AC861" s="6">
        <f>$M$861*$W$861</f>
        <v>5375.6669999999995</v>
      </c>
      <c r="AD861" s="6">
        <f>$O$861*$X$861</f>
        <v>4277.5068599999995</v>
      </c>
      <c r="AE861" s="6">
        <f>$K$861*$Y$861</f>
        <v>0</v>
      </c>
      <c r="AF861" s="6">
        <f ca="1">$M$861*$Z$861</f>
        <v>5469.3675535719431</v>
      </c>
      <c r="AG861" s="6">
        <f>$O$861*$AA$861</f>
        <v>3819.8312082806715</v>
      </c>
    </row>
    <row r="862" spans="1:33" ht="11.25" customHeight="1" x14ac:dyDescent="0.25">
      <c r="A862" s="4" t="s">
        <v>21</v>
      </c>
      <c r="B862" s="4" t="s">
        <v>36</v>
      </c>
      <c r="C862" s="4" t="s">
        <v>23</v>
      </c>
      <c r="D862" s="4" t="s">
        <v>37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44470</v>
      </c>
      <c r="J862" s="6">
        <v>0</v>
      </c>
      <c r="K862" s="6">
        <v>0</v>
      </c>
      <c r="L862" s="6">
        <v>104.761</v>
      </c>
      <c r="M862" s="6">
        <v>104.761</v>
      </c>
      <c r="N862" s="6">
        <v>104.761</v>
      </c>
      <c r="O862" s="6">
        <v>104.761</v>
      </c>
      <c r="P862" s="6">
        <v>103</v>
      </c>
      <c r="Q862" s="4" t="s">
        <v>26</v>
      </c>
      <c r="R862" s="4">
        <v>0</v>
      </c>
      <c r="S862" s="6">
        <v>0</v>
      </c>
      <c r="T862" s="6">
        <v>34</v>
      </c>
      <c r="U862" s="6">
        <v>80</v>
      </c>
      <c r="V862" s="6">
        <f>IF(ISERROR(VLOOKUP($S$862,'TAR FIN'!$A$1:$O$86,15,0)),0,VLOOKUP($S$862,'TAR FIN'!$A$1:$O$86,15,0))</f>
        <v>0</v>
      </c>
      <c r="W862" s="6">
        <f>IF(ISERROR(VLOOKUP($T$862,'TAR FIN'!$A$1:$O$86,15,0)),0,VLOOKUP($T$862,'TAR FIN'!$A$1:$O$86,15,0))</f>
        <v>324.5</v>
      </c>
      <c r="X862" s="6">
        <f>IF(ISERROR(VLOOKUP($U$862,'TAR FIN'!$A$1:$O$86,15,0)),0,VLOOKUP($U$862,'TAR FIN'!$A$1:$O$86,15,0))</f>
        <v>258.20999999999998</v>
      </c>
      <c r="Y862" s="6"/>
      <c r="Z862" s="6">
        <f ca="1">('TUSD BE'!$AM$49+'TUSD BF'!$AM$49+'TUSD CVA'!$AM$49)*1</f>
        <v>330.1561966420345</v>
      </c>
      <c r="AA862" s="6">
        <f>('TE BE'!$AB$39+'TE BF'!$AB$39+'TE CVA'!$AB$39)*1</f>
        <v>230.58259134858577</v>
      </c>
      <c r="AB862" s="6">
        <f>$K$862*$V$862</f>
        <v>0</v>
      </c>
      <c r="AC862" s="6">
        <f>$M$862*$W$862</f>
        <v>33994.944499999998</v>
      </c>
      <c r="AD862" s="6">
        <f>$O$862*$X$862</f>
        <v>27050.337809999997</v>
      </c>
      <c r="AE862" s="6">
        <f>$K$862*$Y$862</f>
        <v>0</v>
      </c>
      <c r="AF862" s="6">
        <f ca="1">$M$862*$Z$862</f>
        <v>34587.493316416178</v>
      </c>
      <c r="AG862" s="6">
        <f>$O$862*$AA$862</f>
        <v>24156.062852269191</v>
      </c>
    </row>
    <row r="863" spans="1:33" ht="11.25" customHeight="1" x14ac:dyDescent="0.25">
      <c r="A863" s="4" t="s">
        <v>55</v>
      </c>
      <c r="B863" s="4" t="s">
        <v>36</v>
      </c>
      <c r="C863" s="4" t="s">
        <v>23</v>
      </c>
      <c r="D863" s="4" t="s">
        <v>37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44470</v>
      </c>
      <c r="J863" s="6">
        <v>0</v>
      </c>
      <c r="K863" s="6">
        <v>0</v>
      </c>
      <c r="L863" s="6">
        <v>16.713999999999999</v>
      </c>
      <c r="M863" s="6">
        <v>16.713999999999999</v>
      </c>
      <c r="N863" s="6">
        <v>16.713999999999999</v>
      </c>
      <c r="O863" s="6">
        <v>16.713999999999999</v>
      </c>
      <c r="P863" s="6">
        <v>16</v>
      </c>
      <c r="Q863" s="4" t="s">
        <v>26</v>
      </c>
      <c r="R863" s="4">
        <v>0</v>
      </c>
      <c r="S863" s="6">
        <v>0</v>
      </c>
      <c r="T863" s="6">
        <v>34</v>
      </c>
      <c r="U863" s="6">
        <v>80</v>
      </c>
      <c r="V863" s="6">
        <f>IF(ISERROR(VLOOKUP($S$863,'TAR FIN'!$A$1:$O$86,15,0)),0,VLOOKUP($S$863,'TAR FIN'!$A$1:$O$86,15,0))</f>
        <v>0</v>
      </c>
      <c r="W863" s="6">
        <f>IF(ISERROR(VLOOKUP($T$863,'TAR FIN'!$A$1:$O$86,15,0)),0,VLOOKUP($T$863,'TAR FIN'!$A$1:$O$86,15,0))</f>
        <v>324.5</v>
      </c>
      <c r="X863" s="6">
        <f>IF(ISERROR(VLOOKUP($U$863,'TAR FIN'!$A$1:$O$86,15,0)),0,VLOOKUP($U$863,'TAR FIN'!$A$1:$O$86,15,0))</f>
        <v>258.20999999999998</v>
      </c>
      <c r="Y863" s="6"/>
      <c r="Z863" s="6">
        <f ca="1">('TUSD BE'!$AM$49+'TUSD BF'!$AM$49+'TUSD CVA'!$AM$49)*1</f>
        <v>330.1561966420345</v>
      </c>
      <c r="AA863" s="6">
        <f>('TE BE'!$AB$39+'TE BF'!$AB$39+'TE CVA'!$AB$39)*1</f>
        <v>230.58259134858577</v>
      </c>
      <c r="AB863" s="6">
        <f>$K$863*$V$863</f>
        <v>0</v>
      </c>
      <c r="AC863" s="6">
        <f>$M$863*$W$863</f>
        <v>5423.6929999999993</v>
      </c>
      <c r="AD863" s="6">
        <f>$O$863*$X$863</f>
        <v>4315.7219399999994</v>
      </c>
      <c r="AE863" s="6">
        <f>$K$863*$Y$863</f>
        <v>0</v>
      </c>
      <c r="AF863" s="6">
        <f ca="1">$M$863*$Z$863</f>
        <v>5518.2306706749641</v>
      </c>
      <c r="AG863" s="6">
        <f>$O$863*$AA$863</f>
        <v>3853.9574318002624</v>
      </c>
    </row>
    <row r="864" spans="1:33" ht="11.25" customHeight="1" x14ac:dyDescent="0.25">
      <c r="A864" s="4" t="s">
        <v>21</v>
      </c>
      <c r="B864" s="4" t="s">
        <v>36</v>
      </c>
      <c r="C864" s="4" t="s">
        <v>23</v>
      </c>
      <c r="D864" s="4" t="s">
        <v>37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44501</v>
      </c>
      <c r="J864" s="6">
        <v>0</v>
      </c>
      <c r="K864" s="6">
        <v>0</v>
      </c>
      <c r="L864" s="6">
        <v>123.17700000000001</v>
      </c>
      <c r="M864" s="6">
        <v>123.17700000000001</v>
      </c>
      <c r="N864" s="6">
        <v>123.17700000000001</v>
      </c>
      <c r="O864" s="6">
        <v>123.17700000000001</v>
      </c>
      <c r="P864" s="6">
        <v>105</v>
      </c>
      <c r="Q864" s="4" t="s">
        <v>26</v>
      </c>
      <c r="R864" s="4">
        <v>0</v>
      </c>
      <c r="S864" s="6">
        <v>0</v>
      </c>
      <c r="T864" s="6">
        <v>34</v>
      </c>
      <c r="U864" s="6">
        <v>80</v>
      </c>
      <c r="V864" s="6">
        <f>IF(ISERROR(VLOOKUP($S$864,'TAR FIN'!$A$1:$O$86,15,0)),0,VLOOKUP($S$864,'TAR FIN'!$A$1:$O$86,15,0))</f>
        <v>0</v>
      </c>
      <c r="W864" s="6">
        <f>IF(ISERROR(VLOOKUP($T$864,'TAR FIN'!$A$1:$O$86,15,0)),0,VLOOKUP($T$864,'TAR FIN'!$A$1:$O$86,15,0))</f>
        <v>324.5</v>
      </c>
      <c r="X864" s="6">
        <f>IF(ISERROR(VLOOKUP($U$864,'TAR FIN'!$A$1:$O$86,15,0)),0,VLOOKUP($U$864,'TAR FIN'!$A$1:$O$86,15,0))</f>
        <v>258.20999999999998</v>
      </c>
      <c r="Y864" s="6"/>
      <c r="Z864" s="6">
        <f ca="1">('TUSD BE'!$AM$49+'TUSD BF'!$AM$49+'TUSD CVA'!$AM$49)*1</f>
        <v>330.1561966420345</v>
      </c>
      <c r="AA864" s="6">
        <f>('TE BE'!$AB$39+'TE BF'!$AB$39+'TE CVA'!$AB$39)*1</f>
        <v>230.58259134858577</v>
      </c>
      <c r="AB864" s="6">
        <f>$K$864*$V$864</f>
        <v>0</v>
      </c>
      <c r="AC864" s="6">
        <f>$M$864*$W$864</f>
        <v>39970.936500000003</v>
      </c>
      <c r="AD864" s="6">
        <f>$O$864*$X$864</f>
        <v>31805.533169999999</v>
      </c>
      <c r="AE864" s="6">
        <f>$K$864*$Y$864</f>
        <v>0</v>
      </c>
      <c r="AF864" s="6">
        <f ca="1">$M$864*$Z$864</f>
        <v>40667.649833775889</v>
      </c>
      <c r="AG864" s="6">
        <f>$O$864*$AA$864</f>
        <v>28402.47185454475</v>
      </c>
    </row>
    <row r="865" spans="1:33" ht="11.25" customHeight="1" x14ac:dyDescent="0.25">
      <c r="A865" s="4" t="s">
        <v>55</v>
      </c>
      <c r="B865" s="4" t="s">
        <v>36</v>
      </c>
      <c r="C865" s="4" t="s">
        <v>23</v>
      </c>
      <c r="D865" s="4" t="s">
        <v>37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44501</v>
      </c>
      <c r="J865" s="6">
        <v>0</v>
      </c>
      <c r="K865" s="6">
        <v>0</v>
      </c>
      <c r="L865" s="6">
        <v>15.544</v>
      </c>
      <c r="M865" s="6">
        <v>15.544</v>
      </c>
      <c r="N865" s="6">
        <v>15.544</v>
      </c>
      <c r="O865" s="6">
        <v>15.544</v>
      </c>
      <c r="P865" s="6">
        <v>17</v>
      </c>
      <c r="Q865" s="4" t="s">
        <v>26</v>
      </c>
      <c r="R865" s="4">
        <v>0</v>
      </c>
      <c r="S865" s="6">
        <v>0</v>
      </c>
      <c r="T865" s="6">
        <v>34</v>
      </c>
      <c r="U865" s="6">
        <v>80</v>
      </c>
      <c r="V865" s="6">
        <f>IF(ISERROR(VLOOKUP($S$865,'TAR FIN'!$A$1:$O$86,15,0)),0,VLOOKUP($S$865,'TAR FIN'!$A$1:$O$86,15,0))</f>
        <v>0</v>
      </c>
      <c r="W865" s="6">
        <f>IF(ISERROR(VLOOKUP($T$865,'TAR FIN'!$A$1:$O$86,15,0)),0,VLOOKUP($T$865,'TAR FIN'!$A$1:$O$86,15,0))</f>
        <v>324.5</v>
      </c>
      <c r="X865" s="6">
        <f>IF(ISERROR(VLOOKUP($U$865,'TAR FIN'!$A$1:$O$86,15,0)),0,VLOOKUP($U$865,'TAR FIN'!$A$1:$O$86,15,0))</f>
        <v>258.20999999999998</v>
      </c>
      <c r="Y865" s="6"/>
      <c r="Z865" s="6">
        <f ca="1">('TUSD BE'!$AM$49+'TUSD BF'!$AM$49+'TUSD CVA'!$AM$49)*1</f>
        <v>330.1561966420345</v>
      </c>
      <c r="AA865" s="6">
        <f>('TE BE'!$AB$39+'TE BF'!$AB$39+'TE CVA'!$AB$39)*1</f>
        <v>230.58259134858577</v>
      </c>
      <c r="AB865" s="6">
        <f>$K$865*$V$865</f>
        <v>0</v>
      </c>
      <c r="AC865" s="6">
        <f>$M$865*$W$865</f>
        <v>5044.0280000000002</v>
      </c>
      <c r="AD865" s="6">
        <f>$O$865*$X$865</f>
        <v>4013.6162399999998</v>
      </c>
      <c r="AE865" s="6">
        <f>$K$865*$Y$865</f>
        <v>0</v>
      </c>
      <c r="AF865" s="6">
        <f ca="1">$M$865*$Z$865</f>
        <v>5131.947920603784</v>
      </c>
      <c r="AG865" s="6">
        <f>$O$865*$AA$865</f>
        <v>3584.1757999224174</v>
      </c>
    </row>
    <row r="866" spans="1:33" ht="11.25" customHeight="1" x14ac:dyDescent="0.25">
      <c r="A866" s="4" t="s">
        <v>21</v>
      </c>
      <c r="B866" s="4" t="s">
        <v>36</v>
      </c>
      <c r="C866" s="4" t="s">
        <v>23</v>
      </c>
      <c r="D866" s="4" t="s">
        <v>37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44531</v>
      </c>
      <c r="J866" s="6">
        <v>0</v>
      </c>
      <c r="K866" s="6">
        <v>0</v>
      </c>
      <c r="L866" s="6">
        <v>130.61099999999999</v>
      </c>
      <c r="M866" s="6">
        <v>130.61099999999999</v>
      </c>
      <c r="N866" s="6">
        <v>130.61099999999999</v>
      </c>
      <c r="O866" s="6">
        <v>130.61099999999999</v>
      </c>
      <c r="P866" s="6">
        <v>105</v>
      </c>
      <c r="Q866" s="4" t="s">
        <v>26</v>
      </c>
      <c r="R866" s="4">
        <v>0</v>
      </c>
      <c r="S866" s="6">
        <v>0</v>
      </c>
      <c r="T866" s="6">
        <v>34</v>
      </c>
      <c r="U866" s="6">
        <v>80</v>
      </c>
      <c r="V866" s="6">
        <f>IF(ISERROR(VLOOKUP($S$866,'TAR FIN'!$A$1:$O$86,15,0)),0,VLOOKUP($S$866,'TAR FIN'!$A$1:$O$86,15,0))</f>
        <v>0</v>
      </c>
      <c r="W866" s="6">
        <f>IF(ISERROR(VLOOKUP($T$866,'TAR FIN'!$A$1:$O$86,15,0)),0,VLOOKUP($T$866,'TAR FIN'!$A$1:$O$86,15,0))</f>
        <v>324.5</v>
      </c>
      <c r="X866" s="6">
        <f>IF(ISERROR(VLOOKUP($U$866,'TAR FIN'!$A$1:$O$86,15,0)),0,VLOOKUP($U$866,'TAR FIN'!$A$1:$O$86,15,0))</f>
        <v>258.20999999999998</v>
      </c>
      <c r="Y866" s="6"/>
      <c r="Z866" s="6">
        <f ca="1">('TUSD BE'!$AM$49+'TUSD BF'!$AM$49+'TUSD CVA'!$AM$49)*1</f>
        <v>330.1561966420345</v>
      </c>
      <c r="AA866" s="6">
        <f>('TE BE'!$AB$39+'TE BF'!$AB$39+'TE CVA'!$AB$39)*1</f>
        <v>230.58259134858577</v>
      </c>
      <c r="AB866" s="6">
        <f>$K$866*$V$866</f>
        <v>0</v>
      </c>
      <c r="AC866" s="6">
        <f>$M$866*$W$866</f>
        <v>42383.269499999995</v>
      </c>
      <c r="AD866" s="6">
        <f>$O$866*$X$866</f>
        <v>33725.066309999995</v>
      </c>
      <c r="AE866" s="6">
        <f>$K$866*$Y$866</f>
        <v>0</v>
      </c>
      <c r="AF866" s="6">
        <f ca="1">$M$866*$Z$866</f>
        <v>43122.030999612762</v>
      </c>
      <c r="AG866" s="6">
        <f>$O$866*$AA$866</f>
        <v>30116.622838630134</v>
      </c>
    </row>
    <row r="867" spans="1:33" ht="11.25" customHeight="1" x14ac:dyDescent="0.25">
      <c r="A867" s="4" t="s">
        <v>27</v>
      </c>
      <c r="B867" s="4" t="s">
        <v>36</v>
      </c>
      <c r="C867" s="4" t="s">
        <v>23</v>
      </c>
      <c r="D867" s="4" t="s">
        <v>37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44531</v>
      </c>
      <c r="J867" s="6">
        <v>0</v>
      </c>
      <c r="K867" s="6">
        <v>0</v>
      </c>
      <c r="L867" s="6">
        <v>209.90799999999999</v>
      </c>
      <c r="M867" s="6">
        <v>209.90799999999999</v>
      </c>
      <c r="N867" s="6">
        <v>209.90799999999999</v>
      </c>
      <c r="O867" s="6">
        <v>209.90799999999999</v>
      </c>
      <c r="P867" s="6">
        <v>0</v>
      </c>
      <c r="Q867" s="4" t="s">
        <v>26</v>
      </c>
      <c r="R867" s="4">
        <v>0</v>
      </c>
      <c r="S867" s="6">
        <v>0</v>
      </c>
      <c r="T867" s="6">
        <v>34</v>
      </c>
      <c r="U867" s="6">
        <v>80</v>
      </c>
      <c r="V867" s="6">
        <f>IF(ISERROR(VLOOKUP($S$867,'TAR FIN'!$A$1:$O$86,15,0)),0,VLOOKUP($S$867,'TAR FIN'!$A$1:$O$86,15,0))</f>
        <v>0</v>
      </c>
      <c r="W867" s="6">
        <f>IF(ISERROR(VLOOKUP($T$867,'TAR FIN'!$A$1:$O$86,15,0)),0,VLOOKUP($T$867,'TAR FIN'!$A$1:$O$86,15,0))</f>
        <v>324.5</v>
      </c>
      <c r="X867" s="6">
        <f>IF(ISERROR(VLOOKUP($U$867,'TAR FIN'!$A$1:$O$86,15,0)),0,VLOOKUP($U$867,'TAR FIN'!$A$1:$O$86,15,0))</f>
        <v>258.20999999999998</v>
      </c>
      <c r="Y867" s="6"/>
      <c r="Z867" s="6">
        <f ca="1">('TUSD BE'!$AM$49+'TUSD BF'!$AM$49+'TUSD CVA'!$AM$49)*1</f>
        <v>330.1561966420345</v>
      </c>
      <c r="AA867" s="6">
        <f>('TE BE'!$AB$39+'TE BF'!$AB$39+'TE CVA'!$AB$39)*1</f>
        <v>230.58259134858577</v>
      </c>
      <c r="AB867" s="6">
        <f>$K$867*$V$867</f>
        <v>0</v>
      </c>
      <c r="AC867" s="6">
        <f>$M$867*$W$867</f>
        <v>68115.145999999993</v>
      </c>
      <c r="AD867" s="6">
        <f>$O$867*$X$867</f>
        <v>54200.344679999995</v>
      </c>
      <c r="AE867" s="6">
        <f>$K$867*$Y$867</f>
        <v>0</v>
      </c>
      <c r="AF867" s="6">
        <f ca="1">$M$867*$Z$867</f>
        <v>69302.426924736181</v>
      </c>
      <c r="AG867" s="6">
        <f>$O$867*$AA$867</f>
        <v>48401.130584798935</v>
      </c>
    </row>
    <row r="868" spans="1:33" ht="11.25" customHeight="1" x14ac:dyDescent="0.25">
      <c r="A868" s="4" t="s">
        <v>55</v>
      </c>
      <c r="B868" s="4" t="s">
        <v>36</v>
      </c>
      <c r="C868" s="4" t="s">
        <v>23</v>
      </c>
      <c r="D868" s="4" t="s">
        <v>37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44531</v>
      </c>
      <c r="J868" s="6">
        <v>0</v>
      </c>
      <c r="K868" s="6">
        <v>0</v>
      </c>
      <c r="L868" s="6">
        <v>18.53</v>
      </c>
      <c r="M868" s="6">
        <v>18.53</v>
      </c>
      <c r="N868" s="6">
        <v>18.53</v>
      </c>
      <c r="O868" s="6">
        <v>18.53</v>
      </c>
      <c r="P868" s="6">
        <v>16</v>
      </c>
      <c r="Q868" s="4" t="s">
        <v>26</v>
      </c>
      <c r="R868" s="4">
        <v>0</v>
      </c>
      <c r="S868" s="6">
        <v>0</v>
      </c>
      <c r="T868" s="6">
        <v>34</v>
      </c>
      <c r="U868" s="6">
        <v>80</v>
      </c>
      <c r="V868" s="6">
        <f>IF(ISERROR(VLOOKUP($S$868,'TAR FIN'!$A$1:$O$86,15,0)),0,VLOOKUP($S$868,'TAR FIN'!$A$1:$O$86,15,0))</f>
        <v>0</v>
      </c>
      <c r="W868" s="6">
        <f>IF(ISERROR(VLOOKUP($T$868,'TAR FIN'!$A$1:$O$86,15,0)),0,VLOOKUP($T$868,'TAR FIN'!$A$1:$O$86,15,0))</f>
        <v>324.5</v>
      </c>
      <c r="X868" s="6">
        <f>IF(ISERROR(VLOOKUP($U$868,'TAR FIN'!$A$1:$O$86,15,0)),0,VLOOKUP($U$868,'TAR FIN'!$A$1:$O$86,15,0))</f>
        <v>258.20999999999998</v>
      </c>
      <c r="Y868" s="6"/>
      <c r="Z868" s="6">
        <f ca="1">('TUSD BE'!$AM$49+'TUSD BF'!$AM$49+'TUSD CVA'!$AM$49)*1</f>
        <v>330.1561966420345</v>
      </c>
      <c r="AA868" s="6">
        <f>('TE BE'!$AB$39+'TE BF'!$AB$39+'TE CVA'!$AB$39)*1</f>
        <v>230.58259134858577</v>
      </c>
      <c r="AB868" s="6">
        <f>$K$868*$V$868</f>
        <v>0</v>
      </c>
      <c r="AC868" s="6">
        <f>$M$868*$W$868</f>
        <v>6012.9850000000006</v>
      </c>
      <c r="AD868" s="6">
        <f>$O$868*$X$868</f>
        <v>4784.6313</v>
      </c>
      <c r="AE868" s="6">
        <f>$K$868*$Y$868</f>
        <v>0</v>
      </c>
      <c r="AF868" s="6">
        <f ca="1">$M$868*$Z$868</f>
        <v>6117.7943237768995</v>
      </c>
      <c r="AG868" s="6">
        <f>$O$868*$AA$868</f>
        <v>4272.6954176892941</v>
      </c>
    </row>
    <row r="869" spans="1:33" ht="11.25" customHeight="1" x14ac:dyDescent="0.25">
      <c r="A869" s="4" t="s">
        <v>21</v>
      </c>
      <c r="B869" s="4" t="s">
        <v>36</v>
      </c>
      <c r="C869" s="4" t="s">
        <v>23</v>
      </c>
      <c r="D869" s="4" t="s">
        <v>37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44562</v>
      </c>
      <c r="J869" s="6">
        <v>0</v>
      </c>
      <c r="K869" s="6">
        <v>0</v>
      </c>
      <c r="L869" s="6">
        <v>125.572</v>
      </c>
      <c r="M869" s="6">
        <v>125.572</v>
      </c>
      <c r="N869" s="6">
        <v>125.572</v>
      </c>
      <c r="O869" s="6">
        <v>125.572</v>
      </c>
      <c r="P869" s="6">
        <v>103</v>
      </c>
      <c r="Q869" s="4" t="s">
        <v>26</v>
      </c>
      <c r="R869" s="4">
        <v>0</v>
      </c>
      <c r="S869" s="6">
        <v>0</v>
      </c>
      <c r="T869" s="6">
        <v>34</v>
      </c>
      <c r="U869" s="6">
        <v>80</v>
      </c>
      <c r="V869" s="6">
        <f>IF(ISERROR(VLOOKUP($S$869,'TAR FIN'!$A$1:$O$86,15,0)),0,VLOOKUP($S$869,'TAR FIN'!$A$1:$O$86,15,0))</f>
        <v>0</v>
      </c>
      <c r="W869" s="6">
        <f>IF(ISERROR(VLOOKUP($T$869,'TAR FIN'!$A$1:$O$86,15,0)),0,VLOOKUP($T$869,'TAR FIN'!$A$1:$O$86,15,0))</f>
        <v>324.5</v>
      </c>
      <c r="X869" s="6">
        <f>IF(ISERROR(VLOOKUP($U$869,'TAR FIN'!$A$1:$O$86,15,0)),0,VLOOKUP($U$869,'TAR FIN'!$A$1:$O$86,15,0))</f>
        <v>258.20999999999998</v>
      </c>
      <c r="Y869" s="6"/>
      <c r="Z869" s="6">
        <f ca="1">('TUSD BE'!$AM$49+'TUSD BF'!$AM$49+'TUSD CVA'!$AM$49)*1</f>
        <v>330.1561966420345</v>
      </c>
      <c r="AA869" s="6">
        <f>('TE BE'!$AB$39+'TE BF'!$AB$39+'TE CVA'!$AB$39)*1</f>
        <v>230.58259134858577</v>
      </c>
      <c r="AB869" s="6">
        <f>$K$869*$V$869</f>
        <v>0</v>
      </c>
      <c r="AC869" s="6">
        <f>$M$869*$W$869</f>
        <v>40748.114000000001</v>
      </c>
      <c r="AD869" s="6">
        <f>$O$869*$X$869</f>
        <v>32423.946119999997</v>
      </c>
      <c r="AE869" s="6">
        <f>$K$869*$Y$869</f>
        <v>0</v>
      </c>
      <c r="AF869" s="6">
        <f ca="1">$M$869*$Z$869</f>
        <v>41458.373924733554</v>
      </c>
      <c r="AG869" s="6">
        <f>$O$869*$AA$869</f>
        <v>28954.717160824614</v>
      </c>
    </row>
    <row r="870" spans="1:33" ht="11.25" customHeight="1" x14ac:dyDescent="0.25">
      <c r="A870" s="4" t="s">
        <v>55</v>
      </c>
      <c r="B870" s="4" t="s">
        <v>36</v>
      </c>
      <c r="C870" s="4" t="s">
        <v>23</v>
      </c>
      <c r="D870" s="4" t="s">
        <v>37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44562</v>
      </c>
      <c r="J870" s="6">
        <v>0</v>
      </c>
      <c r="K870" s="6">
        <v>0</v>
      </c>
      <c r="L870" s="6">
        <v>11.912000000000001</v>
      </c>
      <c r="M870" s="6">
        <v>11.912000000000001</v>
      </c>
      <c r="N870" s="6">
        <v>11.912000000000001</v>
      </c>
      <c r="O870" s="6">
        <v>11.912000000000001</v>
      </c>
      <c r="P870" s="6">
        <v>17</v>
      </c>
      <c r="Q870" s="4" t="s">
        <v>26</v>
      </c>
      <c r="R870" s="4">
        <v>0</v>
      </c>
      <c r="S870" s="6">
        <v>0</v>
      </c>
      <c r="T870" s="6">
        <v>34</v>
      </c>
      <c r="U870" s="6">
        <v>80</v>
      </c>
      <c r="V870" s="6">
        <f>IF(ISERROR(VLOOKUP($S$870,'TAR FIN'!$A$1:$O$86,15,0)),0,VLOOKUP($S$870,'TAR FIN'!$A$1:$O$86,15,0))</f>
        <v>0</v>
      </c>
      <c r="W870" s="6">
        <f>IF(ISERROR(VLOOKUP($T$870,'TAR FIN'!$A$1:$O$86,15,0)),0,VLOOKUP($T$870,'TAR FIN'!$A$1:$O$86,15,0))</f>
        <v>324.5</v>
      </c>
      <c r="X870" s="6">
        <f>IF(ISERROR(VLOOKUP($U$870,'TAR FIN'!$A$1:$O$86,15,0)),0,VLOOKUP($U$870,'TAR FIN'!$A$1:$O$86,15,0))</f>
        <v>258.20999999999998</v>
      </c>
      <c r="Y870" s="6"/>
      <c r="Z870" s="6">
        <f ca="1">('TUSD BE'!$AM$49+'TUSD BF'!$AM$49+'TUSD CVA'!$AM$49)*1</f>
        <v>330.1561966420345</v>
      </c>
      <c r="AA870" s="6">
        <f>('TE BE'!$AB$39+'TE BF'!$AB$39+'TE CVA'!$AB$39)*1</f>
        <v>230.58259134858577</v>
      </c>
      <c r="AB870" s="6">
        <f>$K$870*$V$870</f>
        <v>0</v>
      </c>
      <c r="AC870" s="6">
        <f>$M$870*$W$870</f>
        <v>3865.4440000000004</v>
      </c>
      <c r="AD870" s="6">
        <f>$O$870*$X$870</f>
        <v>3075.7975200000001</v>
      </c>
      <c r="AE870" s="6">
        <f>$K$870*$Y$870</f>
        <v>0</v>
      </c>
      <c r="AF870" s="6">
        <f ca="1">$M$870*$Z$870</f>
        <v>3932.820614399915</v>
      </c>
      <c r="AG870" s="6">
        <f>$O$870*$AA$870</f>
        <v>2746.6998281443539</v>
      </c>
    </row>
    <row r="871" spans="1:33" ht="11.25" customHeight="1" x14ac:dyDescent="0.25">
      <c r="A871" s="4" t="s">
        <v>21</v>
      </c>
      <c r="B871" s="4" t="s">
        <v>36</v>
      </c>
      <c r="C871" s="4" t="s">
        <v>23</v>
      </c>
      <c r="D871" s="4" t="s">
        <v>37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44593</v>
      </c>
      <c r="J871" s="6">
        <v>0</v>
      </c>
      <c r="K871" s="6">
        <v>0</v>
      </c>
      <c r="L871" s="6">
        <v>100.13200000000001</v>
      </c>
      <c r="M871" s="6">
        <v>100.13200000000001</v>
      </c>
      <c r="N871" s="6">
        <v>100.13200000000001</v>
      </c>
      <c r="O871" s="6">
        <v>100.13200000000001</v>
      </c>
      <c r="P871" s="6">
        <v>98</v>
      </c>
      <c r="Q871" s="4" t="s">
        <v>26</v>
      </c>
      <c r="R871" s="4">
        <v>0</v>
      </c>
      <c r="S871" s="6">
        <v>0</v>
      </c>
      <c r="T871" s="6">
        <v>34</v>
      </c>
      <c r="U871" s="6">
        <v>80</v>
      </c>
      <c r="V871" s="6">
        <f>IF(ISERROR(VLOOKUP($S$871,'TAR FIN'!$A$1:$O$86,15,0)),0,VLOOKUP($S$871,'TAR FIN'!$A$1:$O$86,15,0))</f>
        <v>0</v>
      </c>
      <c r="W871" s="6">
        <f>IF(ISERROR(VLOOKUP($T$871,'TAR FIN'!$A$1:$O$86,15,0)),0,VLOOKUP($T$871,'TAR FIN'!$A$1:$O$86,15,0))</f>
        <v>324.5</v>
      </c>
      <c r="X871" s="6">
        <f>IF(ISERROR(VLOOKUP($U$871,'TAR FIN'!$A$1:$O$86,15,0)),0,VLOOKUP($U$871,'TAR FIN'!$A$1:$O$86,15,0))</f>
        <v>258.20999999999998</v>
      </c>
      <c r="Y871" s="6"/>
      <c r="Z871" s="6">
        <f ca="1">('TUSD BE'!$AM$49+'TUSD BF'!$AM$49+'TUSD CVA'!$AM$49)*1</f>
        <v>330.1561966420345</v>
      </c>
      <c r="AA871" s="6">
        <f>('TE BE'!$AB$39+'TE BF'!$AB$39+'TE CVA'!$AB$39)*1</f>
        <v>230.58259134858577</v>
      </c>
      <c r="AB871" s="6">
        <f>$K$871*$V$871</f>
        <v>0</v>
      </c>
      <c r="AC871" s="6">
        <f>$M$871*$W$871</f>
        <v>32492.834000000003</v>
      </c>
      <c r="AD871" s="6">
        <f>$O$871*$X$871</f>
        <v>25855.083719999999</v>
      </c>
      <c r="AE871" s="6">
        <f>$K$871*$Y$871</f>
        <v>0</v>
      </c>
      <c r="AF871" s="6">
        <f ca="1">$M$871*$Z$871</f>
        <v>33059.2002821602</v>
      </c>
      <c r="AG871" s="6">
        <f>$O$871*$AA$871</f>
        <v>23088.69603691659</v>
      </c>
    </row>
    <row r="872" spans="1:33" ht="11.25" customHeight="1" x14ac:dyDescent="0.25">
      <c r="A872" s="4" t="s">
        <v>55</v>
      </c>
      <c r="B872" s="4" t="s">
        <v>36</v>
      </c>
      <c r="C872" s="4" t="s">
        <v>23</v>
      </c>
      <c r="D872" s="4" t="s">
        <v>37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44593</v>
      </c>
      <c r="J872" s="6">
        <v>0</v>
      </c>
      <c r="K872" s="6">
        <v>0</v>
      </c>
      <c r="L872" s="6">
        <v>25.227</v>
      </c>
      <c r="M872" s="6">
        <v>25.227</v>
      </c>
      <c r="N872" s="6">
        <v>25.227</v>
      </c>
      <c r="O872" s="6">
        <v>25.227</v>
      </c>
      <c r="P872" s="6">
        <v>21</v>
      </c>
      <c r="Q872" s="4" t="s">
        <v>26</v>
      </c>
      <c r="R872" s="4">
        <v>0</v>
      </c>
      <c r="S872" s="6">
        <v>0</v>
      </c>
      <c r="T872" s="6">
        <v>34</v>
      </c>
      <c r="U872" s="6">
        <v>80</v>
      </c>
      <c r="V872" s="6">
        <f>IF(ISERROR(VLOOKUP($S$872,'TAR FIN'!$A$1:$O$86,15,0)),0,VLOOKUP($S$872,'TAR FIN'!$A$1:$O$86,15,0))</f>
        <v>0</v>
      </c>
      <c r="W872" s="6">
        <f>IF(ISERROR(VLOOKUP($T$872,'TAR FIN'!$A$1:$O$86,15,0)),0,VLOOKUP($T$872,'TAR FIN'!$A$1:$O$86,15,0))</f>
        <v>324.5</v>
      </c>
      <c r="X872" s="6">
        <f>IF(ISERROR(VLOOKUP($U$872,'TAR FIN'!$A$1:$O$86,15,0)),0,VLOOKUP($U$872,'TAR FIN'!$A$1:$O$86,15,0))</f>
        <v>258.20999999999998</v>
      </c>
      <c r="Y872" s="6"/>
      <c r="Z872" s="6">
        <f ca="1">('TUSD BE'!$AM$49+'TUSD BF'!$AM$49+'TUSD CVA'!$AM$49)*1</f>
        <v>330.1561966420345</v>
      </c>
      <c r="AA872" s="6">
        <f>('TE BE'!$AB$39+'TE BF'!$AB$39+'TE CVA'!$AB$39)*1</f>
        <v>230.58259134858577</v>
      </c>
      <c r="AB872" s="6">
        <f>$K$872*$V$872</f>
        <v>0</v>
      </c>
      <c r="AC872" s="6">
        <f>$M$872*$W$872</f>
        <v>8186.1615000000002</v>
      </c>
      <c r="AD872" s="6">
        <f>$O$872*$X$872</f>
        <v>6513.8636699999997</v>
      </c>
      <c r="AE872" s="6">
        <f>$K$872*$Y$872</f>
        <v>0</v>
      </c>
      <c r="AF872" s="6">
        <f ca="1">$M$872*$Z$872</f>
        <v>8328.8503726886047</v>
      </c>
      <c r="AG872" s="6">
        <f>$O$872*$AA$872</f>
        <v>5816.9070319507728</v>
      </c>
    </row>
    <row r="873" spans="1:33" ht="11.25" customHeight="1" x14ac:dyDescent="0.25">
      <c r="A873" s="4" t="s">
        <v>21</v>
      </c>
      <c r="B873" s="4" t="s">
        <v>36</v>
      </c>
      <c r="C873" s="4" t="s">
        <v>23</v>
      </c>
      <c r="D873" s="4" t="s">
        <v>37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44621</v>
      </c>
      <c r="J873" s="6">
        <v>0</v>
      </c>
      <c r="K873" s="6">
        <v>0</v>
      </c>
      <c r="L873" s="6">
        <v>93.885000000000005</v>
      </c>
      <c r="M873" s="6">
        <v>93.885000000000005</v>
      </c>
      <c r="N873" s="6">
        <v>93.885000000000005</v>
      </c>
      <c r="O873" s="6">
        <v>93.885000000000005</v>
      </c>
      <c r="P873" s="6">
        <v>98</v>
      </c>
      <c r="Q873" s="4" t="s">
        <v>26</v>
      </c>
      <c r="R873" s="4">
        <v>0</v>
      </c>
      <c r="S873" s="6">
        <v>0</v>
      </c>
      <c r="T873" s="6">
        <v>34</v>
      </c>
      <c r="U873" s="6">
        <v>80</v>
      </c>
      <c r="V873" s="6">
        <f>IF(ISERROR(VLOOKUP($S$873,'TAR FIN'!$A$1:$O$86,15,0)),0,VLOOKUP($S$873,'TAR FIN'!$A$1:$O$86,15,0))</f>
        <v>0</v>
      </c>
      <c r="W873" s="6">
        <f>IF(ISERROR(VLOOKUP($T$873,'TAR FIN'!$A$1:$O$86,15,0)),0,VLOOKUP($T$873,'TAR FIN'!$A$1:$O$86,15,0))</f>
        <v>324.5</v>
      </c>
      <c r="X873" s="6">
        <f>IF(ISERROR(VLOOKUP($U$873,'TAR FIN'!$A$1:$O$86,15,0)),0,VLOOKUP($U$873,'TAR FIN'!$A$1:$O$86,15,0))</f>
        <v>258.20999999999998</v>
      </c>
      <c r="Y873" s="6"/>
      <c r="Z873" s="6">
        <f ca="1">('TUSD BE'!$AM$49+'TUSD BF'!$AM$49+'TUSD CVA'!$AM$49)*1</f>
        <v>330.1561966420345</v>
      </c>
      <c r="AA873" s="6">
        <f>('TE BE'!$AB$39+'TE BF'!$AB$39+'TE CVA'!$AB$39)*1</f>
        <v>230.58259134858577</v>
      </c>
      <c r="AB873" s="6">
        <f>$K$873*$V$873</f>
        <v>0</v>
      </c>
      <c r="AC873" s="6">
        <f>$M$873*$W$873</f>
        <v>30465.682500000003</v>
      </c>
      <c r="AD873" s="6">
        <f>$O$873*$X$873</f>
        <v>24242.045849999999</v>
      </c>
      <c r="AE873" s="6">
        <f>$K$873*$Y$873</f>
        <v>0</v>
      </c>
      <c r="AF873" s="6">
        <f ca="1">$M$873*$Z$873</f>
        <v>30996.714521737409</v>
      </c>
      <c r="AG873" s="6">
        <f>$O$873*$AA$873</f>
        <v>21648.246588761976</v>
      </c>
    </row>
    <row r="874" spans="1:33" ht="11.25" customHeight="1" x14ac:dyDescent="0.25">
      <c r="A874" s="4" t="s">
        <v>55</v>
      </c>
      <c r="B874" s="4" t="s">
        <v>36</v>
      </c>
      <c r="C874" s="4" t="s">
        <v>23</v>
      </c>
      <c r="D874" s="4" t="s">
        <v>37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44621</v>
      </c>
      <c r="J874" s="6">
        <v>0</v>
      </c>
      <c r="K874" s="6">
        <v>0</v>
      </c>
      <c r="L874" s="6">
        <v>16.547000000000001</v>
      </c>
      <c r="M874" s="6">
        <v>16.547000000000001</v>
      </c>
      <c r="N874" s="6">
        <v>16.547000000000001</v>
      </c>
      <c r="O874" s="6">
        <v>16.547000000000001</v>
      </c>
      <c r="P874" s="6">
        <v>21</v>
      </c>
      <c r="Q874" s="4" t="s">
        <v>26</v>
      </c>
      <c r="R874" s="4">
        <v>0</v>
      </c>
      <c r="S874" s="6">
        <v>0</v>
      </c>
      <c r="T874" s="6">
        <v>34</v>
      </c>
      <c r="U874" s="6">
        <v>80</v>
      </c>
      <c r="V874" s="6">
        <f>IF(ISERROR(VLOOKUP($S$874,'TAR FIN'!$A$1:$O$86,15,0)),0,VLOOKUP($S$874,'TAR FIN'!$A$1:$O$86,15,0))</f>
        <v>0</v>
      </c>
      <c r="W874" s="6">
        <f>IF(ISERROR(VLOOKUP($T$874,'TAR FIN'!$A$1:$O$86,15,0)),0,VLOOKUP($T$874,'TAR FIN'!$A$1:$O$86,15,0))</f>
        <v>324.5</v>
      </c>
      <c r="X874" s="6">
        <f>IF(ISERROR(VLOOKUP($U$874,'TAR FIN'!$A$1:$O$86,15,0)),0,VLOOKUP($U$874,'TAR FIN'!$A$1:$O$86,15,0))</f>
        <v>258.20999999999998</v>
      </c>
      <c r="Y874" s="6"/>
      <c r="Z874" s="6">
        <f ca="1">('TUSD BE'!$AM$49+'TUSD BF'!$AM$49+'TUSD CVA'!$AM$49)*1</f>
        <v>330.1561966420345</v>
      </c>
      <c r="AA874" s="6">
        <f>('TE BE'!$AB$39+'TE BF'!$AB$39+'TE CVA'!$AB$39)*1</f>
        <v>230.58259134858577</v>
      </c>
      <c r="AB874" s="6">
        <f>$K$874*$V$874</f>
        <v>0</v>
      </c>
      <c r="AC874" s="6">
        <f>$M$874*$W$874</f>
        <v>5369.5015000000003</v>
      </c>
      <c r="AD874" s="6">
        <f>$O$874*$X$874</f>
        <v>4272.6008700000002</v>
      </c>
      <c r="AE874" s="6">
        <f>$K$874*$Y$874</f>
        <v>0</v>
      </c>
      <c r="AF874" s="6">
        <f ca="1">$M$874*$Z$874</f>
        <v>5463.0945858357454</v>
      </c>
      <c r="AG874" s="6">
        <f>$O$874*$AA$874</f>
        <v>3815.4501390450487</v>
      </c>
    </row>
    <row r="875" spans="1:33" ht="11.25" customHeight="1" x14ac:dyDescent="0.25">
      <c r="A875" s="4" t="s">
        <v>21</v>
      </c>
      <c r="B875" s="4" t="s">
        <v>36</v>
      </c>
      <c r="C875" s="4" t="s">
        <v>23</v>
      </c>
      <c r="D875" s="4" t="s">
        <v>37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44652</v>
      </c>
      <c r="J875" s="6">
        <v>0</v>
      </c>
      <c r="K875" s="6">
        <v>0</v>
      </c>
      <c r="L875" s="6">
        <v>97.992000000000004</v>
      </c>
      <c r="M875" s="6">
        <v>97.992000000000004</v>
      </c>
      <c r="N875" s="6">
        <v>97.992000000000004</v>
      </c>
      <c r="O875" s="6">
        <v>97.992000000000004</v>
      </c>
      <c r="P875" s="6">
        <v>97</v>
      </c>
      <c r="Q875" s="4" t="s">
        <v>26</v>
      </c>
      <c r="R875" s="4">
        <v>0</v>
      </c>
      <c r="S875" s="6">
        <v>0</v>
      </c>
      <c r="T875" s="6">
        <v>34</v>
      </c>
      <c r="U875" s="6">
        <v>80</v>
      </c>
      <c r="V875" s="6">
        <f>IF(ISERROR(VLOOKUP($S$875,'TAR FIN'!$A$1:$O$86,15,0)),0,VLOOKUP($S$875,'TAR FIN'!$A$1:$O$86,15,0))</f>
        <v>0</v>
      </c>
      <c r="W875" s="6">
        <f>IF(ISERROR(VLOOKUP($T$875,'TAR FIN'!$A$1:$O$86,15,0)),0,VLOOKUP($T$875,'TAR FIN'!$A$1:$O$86,15,0))</f>
        <v>324.5</v>
      </c>
      <c r="X875" s="6">
        <f>IF(ISERROR(VLOOKUP($U$875,'TAR FIN'!$A$1:$O$86,15,0)),0,VLOOKUP($U$875,'TAR FIN'!$A$1:$O$86,15,0))</f>
        <v>258.20999999999998</v>
      </c>
      <c r="Y875" s="6"/>
      <c r="Z875" s="6">
        <f ca="1">('TUSD BE'!$AM$49+'TUSD BF'!$AM$49+'TUSD CVA'!$AM$49)*1</f>
        <v>330.1561966420345</v>
      </c>
      <c r="AA875" s="6">
        <f>('TE BE'!$AB$39+'TE BF'!$AB$39+'TE CVA'!$AB$39)*1</f>
        <v>230.58259134858577</v>
      </c>
      <c r="AB875" s="6">
        <f>$K$875*$V$875</f>
        <v>0</v>
      </c>
      <c r="AC875" s="6">
        <f>$M$875*$W$875</f>
        <v>31798.404000000002</v>
      </c>
      <c r="AD875" s="6">
        <f>$O$875*$X$875</f>
        <v>25302.514319999998</v>
      </c>
      <c r="AE875" s="6">
        <f>$K$875*$Y$875</f>
        <v>0</v>
      </c>
      <c r="AF875" s="6">
        <f ca="1">$M$875*$Z$875</f>
        <v>32352.666021346246</v>
      </c>
      <c r="AG875" s="6">
        <f>$O$875*$AA$875</f>
        <v>22595.249291430617</v>
      </c>
    </row>
    <row r="876" spans="1:33" ht="11.25" customHeight="1" x14ac:dyDescent="0.25">
      <c r="A876" s="4" t="s">
        <v>55</v>
      </c>
      <c r="B876" s="4" t="s">
        <v>36</v>
      </c>
      <c r="C876" s="4" t="s">
        <v>23</v>
      </c>
      <c r="D876" s="4" t="s">
        <v>37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44652</v>
      </c>
      <c r="J876" s="6">
        <v>0</v>
      </c>
      <c r="K876" s="6">
        <v>0</v>
      </c>
      <c r="L876" s="6">
        <v>11.519</v>
      </c>
      <c r="M876" s="6">
        <v>11.519</v>
      </c>
      <c r="N876" s="6">
        <v>11.519</v>
      </c>
      <c r="O876" s="6">
        <v>11.519</v>
      </c>
      <c r="P876" s="6">
        <v>21</v>
      </c>
      <c r="Q876" s="4" t="s">
        <v>26</v>
      </c>
      <c r="R876" s="4">
        <v>0</v>
      </c>
      <c r="S876" s="6">
        <v>0</v>
      </c>
      <c r="T876" s="6">
        <v>34</v>
      </c>
      <c r="U876" s="6">
        <v>80</v>
      </c>
      <c r="V876" s="6">
        <f>IF(ISERROR(VLOOKUP($S$876,'TAR FIN'!$A$1:$O$86,15,0)),0,VLOOKUP($S$876,'TAR FIN'!$A$1:$O$86,15,0))</f>
        <v>0</v>
      </c>
      <c r="W876" s="6">
        <f>IF(ISERROR(VLOOKUP($T$876,'TAR FIN'!$A$1:$O$86,15,0)),0,VLOOKUP($T$876,'TAR FIN'!$A$1:$O$86,15,0))</f>
        <v>324.5</v>
      </c>
      <c r="X876" s="6">
        <f>IF(ISERROR(VLOOKUP($U$876,'TAR FIN'!$A$1:$O$86,15,0)),0,VLOOKUP($U$876,'TAR FIN'!$A$1:$O$86,15,0))</f>
        <v>258.20999999999998</v>
      </c>
      <c r="Y876" s="6"/>
      <c r="Z876" s="6">
        <f ca="1">('TUSD BE'!$AM$49+'TUSD BF'!$AM$49+'TUSD CVA'!$AM$49)*1</f>
        <v>330.1561966420345</v>
      </c>
      <c r="AA876" s="6">
        <f>('TE BE'!$AB$39+'TE BF'!$AB$39+'TE CVA'!$AB$39)*1</f>
        <v>230.58259134858577</v>
      </c>
      <c r="AB876" s="6">
        <f>$K$876*$V$876</f>
        <v>0</v>
      </c>
      <c r="AC876" s="6">
        <f>$M$876*$W$876</f>
        <v>3737.9155000000001</v>
      </c>
      <c r="AD876" s="6">
        <f>$O$876*$X$876</f>
        <v>2974.3209899999997</v>
      </c>
      <c r="AE876" s="6">
        <f>$K$876*$Y$876</f>
        <v>0</v>
      </c>
      <c r="AF876" s="6">
        <f ca="1">$M$876*$Z$876</f>
        <v>3803.0692291195955</v>
      </c>
      <c r="AG876" s="6">
        <f>$O$876*$AA$876</f>
        <v>2656.0808697443595</v>
      </c>
    </row>
    <row r="877" spans="1:33" ht="11.25" customHeight="1" x14ac:dyDescent="0.25">
      <c r="A877" s="4" t="s">
        <v>21</v>
      </c>
      <c r="B877" s="4" t="s">
        <v>36</v>
      </c>
      <c r="C877" s="4" t="s">
        <v>23</v>
      </c>
      <c r="D877" s="4" t="s">
        <v>37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44682</v>
      </c>
      <c r="J877" s="6">
        <v>0</v>
      </c>
      <c r="K877" s="6">
        <v>0</v>
      </c>
      <c r="L877" s="6">
        <v>74.156000000000006</v>
      </c>
      <c r="M877" s="6">
        <v>74.156000000000006</v>
      </c>
      <c r="N877" s="6">
        <v>74.156000000000006</v>
      </c>
      <c r="O877" s="6">
        <v>74.156000000000006</v>
      </c>
      <c r="P877" s="6">
        <v>94</v>
      </c>
      <c r="Q877" s="4" t="s">
        <v>26</v>
      </c>
      <c r="R877" s="4">
        <v>0</v>
      </c>
      <c r="S877" s="6">
        <v>0</v>
      </c>
      <c r="T877" s="6">
        <v>34</v>
      </c>
      <c r="U877" s="6">
        <v>80</v>
      </c>
      <c r="V877" s="6">
        <f>IF(ISERROR(VLOOKUP($S$877,'TAR FIN'!$A$1:$O$86,15,0)),0,VLOOKUP($S$877,'TAR FIN'!$A$1:$O$86,15,0))</f>
        <v>0</v>
      </c>
      <c r="W877" s="6">
        <f>IF(ISERROR(VLOOKUP($T$877,'TAR FIN'!$A$1:$O$86,15,0)),0,VLOOKUP($T$877,'TAR FIN'!$A$1:$O$86,15,0))</f>
        <v>324.5</v>
      </c>
      <c r="X877" s="6">
        <f>IF(ISERROR(VLOOKUP($U$877,'TAR FIN'!$A$1:$O$86,15,0)),0,VLOOKUP($U$877,'TAR FIN'!$A$1:$O$86,15,0))</f>
        <v>258.20999999999998</v>
      </c>
      <c r="Y877" s="6"/>
      <c r="Z877" s="6">
        <f ca="1">('TUSD BE'!$AM$49+'TUSD BF'!$AM$49+'TUSD CVA'!$AM$49)*1</f>
        <v>330.1561966420345</v>
      </c>
      <c r="AA877" s="6">
        <f>('TE BE'!$AB$39+'TE BF'!$AB$39+'TE CVA'!$AB$39)*1</f>
        <v>230.58259134858577</v>
      </c>
      <c r="AB877" s="6">
        <f>$K$877*$V$877</f>
        <v>0</v>
      </c>
      <c r="AC877" s="6">
        <f>$M$877*$W$877</f>
        <v>24063.622000000003</v>
      </c>
      <c r="AD877" s="6">
        <f>$O$877*$X$877</f>
        <v>19147.820759999999</v>
      </c>
      <c r="AE877" s="6">
        <f>$K$877*$Y$877</f>
        <v>0</v>
      </c>
      <c r="AF877" s="6">
        <f ca="1">$M$877*$Z$877</f>
        <v>24483.062918186712</v>
      </c>
      <c r="AG877" s="6">
        <f>$O$877*$AA$877</f>
        <v>17099.082644045728</v>
      </c>
    </row>
    <row r="878" spans="1:33" ht="11.25" customHeight="1" x14ac:dyDescent="0.25">
      <c r="A878" s="4" t="s">
        <v>55</v>
      </c>
      <c r="B878" s="4" t="s">
        <v>36</v>
      </c>
      <c r="C878" s="4" t="s">
        <v>23</v>
      </c>
      <c r="D878" s="4" t="s">
        <v>37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44682</v>
      </c>
      <c r="J878" s="6">
        <v>0</v>
      </c>
      <c r="K878" s="6">
        <v>0</v>
      </c>
      <c r="L878" s="6">
        <v>9.9749999999999996</v>
      </c>
      <c r="M878" s="6">
        <v>9.9749999999999996</v>
      </c>
      <c r="N878" s="6">
        <v>9.9749999999999996</v>
      </c>
      <c r="O878" s="6">
        <v>9.9749999999999996</v>
      </c>
      <c r="P878" s="6">
        <v>24</v>
      </c>
      <c r="Q878" s="4" t="s">
        <v>26</v>
      </c>
      <c r="R878" s="4">
        <v>0</v>
      </c>
      <c r="S878" s="6">
        <v>0</v>
      </c>
      <c r="T878" s="6">
        <v>34</v>
      </c>
      <c r="U878" s="6">
        <v>80</v>
      </c>
      <c r="V878" s="6">
        <f>IF(ISERROR(VLOOKUP($S$878,'TAR FIN'!$A$1:$O$86,15,0)),0,VLOOKUP($S$878,'TAR FIN'!$A$1:$O$86,15,0))</f>
        <v>0</v>
      </c>
      <c r="W878" s="6">
        <f>IF(ISERROR(VLOOKUP($T$878,'TAR FIN'!$A$1:$O$86,15,0)),0,VLOOKUP($T$878,'TAR FIN'!$A$1:$O$86,15,0))</f>
        <v>324.5</v>
      </c>
      <c r="X878" s="6">
        <f>IF(ISERROR(VLOOKUP($U$878,'TAR FIN'!$A$1:$O$86,15,0)),0,VLOOKUP($U$878,'TAR FIN'!$A$1:$O$86,15,0))</f>
        <v>258.20999999999998</v>
      </c>
      <c r="Y878" s="6"/>
      <c r="Z878" s="6">
        <f ca="1">('TUSD BE'!$AM$49+'TUSD BF'!$AM$49+'TUSD CVA'!$AM$49)*1</f>
        <v>330.1561966420345</v>
      </c>
      <c r="AA878" s="6">
        <f>('TE BE'!$AB$39+'TE BF'!$AB$39+'TE CVA'!$AB$39)*1</f>
        <v>230.58259134858577</v>
      </c>
      <c r="AB878" s="6">
        <f>$K$878*$V$878</f>
        <v>0</v>
      </c>
      <c r="AC878" s="6">
        <f>$M$878*$W$878</f>
        <v>3236.8874999999998</v>
      </c>
      <c r="AD878" s="6">
        <f>$O$878*$X$878</f>
        <v>2575.6447499999999</v>
      </c>
      <c r="AE878" s="6">
        <f>$K$878*$Y$878</f>
        <v>0</v>
      </c>
      <c r="AF878" s="6">
        <f ca="1">$M$878*$Z$878</f>
        <v>3293.3080615042941</v>
      </c>
      <c r="AG878" s="6">
        <f>$O$878*$AA$878</f>
        <v>2300.0613487021428</v>
      </c>
    </row>
    <row r="879" spans="1:33" ht="11.25" customHeight="1" x14ac:dyDescent="0.25">
      <c r="A879" s="4" t="s">
        <v>56</v>
      </c>
      <c r="B879" s="4" t="s">
        <v>36</v>
      </c>
      <c r="C879" s="4" t="s">
        <v>23</v>
      </c>
      <c r="D879" s="4" t="s">
        <v>37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44713</v>
      </c>
      <c r="J879" s="6">
        <v>0</v>
      </c>
      <c r="K879" s="6">
        <v>0</v>
      </c>
      <c r="L879" s="6">
        <v>74.156000000000006</v>
      </c>
      <c r="M879" s="6">
        <v>74.156000000000006</v>
      </c>
      <c r="N879" s="6">
        <v>74.156000000000006</v>
      </c>
      <c r="O879" s="6">
        <v>74.156000000000006</v>
      </c>
      <c r="P879" s="6">
        <v>94</v>
      </c>
      <c r="Q879" s="4" t="s">
        <v>26</v>
      </c>
      <c r="R879" s="4">
        <v>0</v>
      </c>
      <c r="S879" s="6">
        <v>0</v>
      </c>
      <c r="T879" s="6">
        <v>34</v>
      </c>
      <c r="U879" s="6">
        <v>80</v>
      </c>
      <c r="V879" s="6">
        <f>IF(ISERROR(VLOOKUP($S$879,'TAR FIN'!$A$1:$O$86,15,0)),0,VLOOKUP($S$879,'TAR FIN'!$A$1:$O$86,15,0))</f>
        <v>0</v>
      </c>
      <c r="W879" s="6">
        <f>IF(ISERROR(VLOOKUP($T$879,'TAR FIN'!$A$1:$O$86,15,0)),0,VLOOKUP($T$879,'TAR FIN'!$A$1:$O$86,15,0))</f>
        <v>324.5</v>
      </c>
      <c r="X879" s="6">
        <f>IF(ISERROR(VLOOKUP($U$879,'TAR FIN'!$A$1:$O$86,15,0)),0,VLOOKUP($U$879,'TAR FIN'!$A$1:$O$86,15,0))</f>
        <v>258.20999999999998</v>
      </c>
      <c r="Y879" s="6"/>
      <c r="Z879" s="6">
        <f ca="1">('TUSD BE'!$AM$49+'TUSD BF'!$AM$49+'TUSD CVA'!$AM$49)*1</f>
        <v>330.1561966420345</v>
      </c>
      <c r="AA879" s="6">
        <f>('TE BE'!$AB$39+'TE BF'!$AB$39+'TE CVA'!$AB$39)*1</f>
        <v>230.58259134858577</v>
      </c>
      <c r="AB879" s="6">
        <f>$K$879*$V$879</f>
        <v>0</v>
      </c>
      <c r="AC879" s="6">
        <f>$M$879*$W$879</f>
        <v>24063.622000000003</v>
      </c>
      <c r="AD879" s="6">
        <f>$O$879*$X$879</f>
        <v>19147.820759999999</v>
      </c>
      <c r="AE879" s="6">
        <f>$K$879*$Y$879</f>
        <v>0</v>
      </c>
      <c r="AF879" s="6">
        <f ca="1">$M$879*$Z$879</f>
        <v>24483.062918186712</v>
      </c>
      <c r="AG879" s="6">
        <f>$O$879*$AA$879</f>
        <v>17099.082644045728</v>
      </c>
    </row>
    <row r="880" spans="1:33" ht="11.25" customHeight="1" x14ac:dyDescent="0.25">
      <c r="A880" s="4" t="s">
        <v>56</v>
      </c>
      <c r="B880" s="4" t="s">
        <v>36</v>
      </c>
      <c r="C880" s="4" t="s">
        <v>23</v>
      </c>
      <c r="D880" s="4" t="s">
        <v>37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44713</v>
      </c>
      <c r="J880" s="6">
        <v>0</v>
      </c>
      <c r="K880" s="6">
        <v>0</v>
      </c>
      <c r="L880" s="6">
        <v>9.9749999999999996</v>
      </c>
      <c r="M880" s="6">
        <v>9.9749999999999996</v>
      </c>
      <c r="N880" s="6">
        <v>9.9749999999999996</v>
      </c>
      <c r="O880" s="6">
        <v>9.9749999999999996</v>
      </c>
      <c r="P880" s="6">
        <v>24</v>
      </c>
      <c r="Q880" s="4" t="s">
        <v>26</v>
      </c>
      <c r="R880" s="4">
        <v>0</v>
      </c>
      <c r="S880" s="6">
        <v>0</v>
      </c>
      <c r="T880" s="6">
        <v>34</v>
      </c>
      <c r="U880" s="6">
        <v>80</v>
      </c>
      <c r="V880" s="6">
        <f>IF(ISERROR(VLOOKUP($S$880,'TAR FIN'!$A$1:$O$86,15,0)),0,VLOOKUP($S$880,'TAR FIN'!$A$1:$O$86,15,0))</f>
        <v>0</v>
      </c>
      <c r="W880" s="6">
        <f>IF(ISERROR(VLOOKUP($T$880,'TAR FIN'!$A$1:$O$86,15,0)),0,VLOOKUP($T$880,'TAR FIN'!$A$1:$O$86,15,0))</f>
        <v>324.5</v>
      </c>
      <c r="X880" s="6">
        <f>IF(ISERROR(VLOOKUP($U$880,'TAR FIN'!$A$1:$O$86,15,0)),0,VLOOKUP($U$880,'TAR FIN'!$A$1:$O$86,15,0))</f>
        <v>258.20999999999998</v>
      </c>
      <c r="Y880" s="6"/>
      <c r="Z880" s="6">
        <f ca="1">('TUSD BE'!$AM$49+'TUSD BF'!$AM$49+'TUSD CVA'!$AM$49)*1</f>
        <v>330.1561966420345</v>
      </c>
      <c r="AA880" s="6">
        <f>('TE BE'!$AB$39+'TE BF'!$AB$39+'TE CVA'!$AB$39)*1</f>
        <v>230.58259134858577</v>
      </c>
      <c r="AB880" s="6">
        <f>$K$880*$V$880</f>
        <v>0</v>
      </c>
      <c r="AC880" s="6">
        <f>$M$880*$W$880</f>
        <v>3236.8874999999998</v>
      </c>
      <c r="AD880" s="6">
        <f>$O$880*$X$880</f>
        <v>2575.6447499999999</v>
      </c>
      <c r="AE880" s="6">
        <f>$K$880*$Y$880</f>
        <v>0</v>
      </c>
      <c r="AF880" s="6">
        <f ca="1">$M$880*$Z$880</f>
        <v>3293.3080615042941</v>
      </c>
      <c r="AG880" s="6">
        <f>$O$880*$AA$880</f>
        <v>2300.0613487021428</v>
      </c>
    </row>
    <row r="881" spans="1:33" ht="11.25" customHeight="1" x14ac:dyDescent="0.25">
      <c r="A881" s="4" t="s">
        <v>21</v>
      </c>
      <c r="B881" s="4" t="s">
        <v>36</v>
      </c>
      <c r="C881" s="4" t="s">
        <v>23</v>
      </c>
      <c r="D881" s="4" t="s">
        <v>44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44378</v>
      </c>
      <c r="J881" s="6">
        <v>0</v>
      </c>
      <c r="K881" s="6">
        <v>0</v>
      </c>
      <c r="L881" s="6">
        <v>295.88299999999998</v>
      </c>
      <c r="M881" s="6">
        <v>295.88299999999998</v>
      </c>
      <c r="N881" s="6">
        <v>295.88299999999998</v>
      </c>
      <c r="O881" s="6">
        <v>295.88299999999998</v>
      </c>
      <c r="P881" s="6">
        <v>419</v>
      </c>
      <c r="Q881" s="4" t="s">
        <v>26</v>
      </c>
      <c r="R881" s="4">
        <v>0</v>
      </c>
      <c r="S881" s="6">
        <v>0</v>
      </c>
      <c r="T881" s="6">
        <v>34</v>
      </c>
      <c r="U881" s="6">
        <v>80</v>
      </c>
      <c r="V881" s="6">
        <f>IF(ISERROR(VLOOKUP($S$881,'TAR FIN'!$A$1:$O$86,15,0)),0,VLOOKUP($S$881,'TAR FIN'!$A$1:$O$86,15,0))</f>
        <v>0</v>
      </c>
      <c r="W881" s="6">
        <f>IF(ISERROR(VLOOKUP($T$881,'TAR FIN'!$A$1:$O$86,15,0)),0,VLOOKUP($T$881,'TAR FIN'!$A$1:$O$86,15,0))</f>
        <v>324.5</v>
      </c>
      <c r="X881" s="6">
        <f>IF(ISERROR(VLOOKUP($U$881,'TAR FIN'!$A$1:$O$86,15,0)),0,VLOOKUP($U$881,'TAR FIN'!$A$1:$O$86,15,0))</f>
        <v>258.20999999999998</v>
      </c>
      <c r="Y881" s="6"/>
      <c r="Z881" s="6">
        <f ca="1">('TUSD BE'!$AM$49+'TUSD BF'!$AM$49+'TUSD CVA'!$AM$49)*1</f>
        <v>330.1561966420345</v>
      </c>
      <c r="AA881" s="6">
        <f>('TE BE'!$AB$39+'TE BF'!$AB$39+'TE CVA'!$AB$39)*1</f>
        <v>230.58259134858577</v>
      </c>
      <c r="AB881" s="6">
        <f>$K$881*$V$881</f>
        <v>0</v>
      </c>
      <c r="AC881" s="6">
        <f>$M$881*$W$881</f>
        <v>96014.03349999999</v>
      </c>
      <c r="AD881" s="6">
        <f>$O$881*$X$881</f>
        <v>76399.949429999993</v>
      </c>
      <c r="AE881" s="6">
        <f>$K$881*$Y$881</f>
        <v>0</v>
      </c>
      <c r="AF881" s="6">
        <f ca="1">$M$881*$Z$881</f>
        <v>97687.605931035083</v>
      </c>
      <c r="AG881" s="6">
        <f>$O$881*$AA$881</f>
        <v>68225.468875993596</v>
      </c>
    </row>
    <row r="882" spans="1:33" ht="11.25" customHeight="1" x14ac:dyDescent="0.25">
      <c r="A882" s="4" t="s">
        <v>21</v>
      </c>
      <c r="B882" s="4" t="s">
        <v>36</v>
      </c>
      <c r="C882" s="4" t="s">
        <v>23</v>
      </c>
      <c r="D882" s="4" t="s">
        <v>44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44409</v>
      </c>
      <c r="J882" s="6">
        <v>0</v>
      </c>
      <c r="K882" s="6">
        <v>0</v>
      </c>
      <c r="L882" s="6">
        <v>287.26499999999999</v>
      </c>
      <c r="M882" s="6">
        <v>287.26499999999999</v>
      </c>
      <c r="N882" s="6">
        <v>287.26499999999999</v>
      </c>
      <c r="O882" s="6">
        <v>287.26499999999999</v>
      </c>
      <c r="P882" s="6">
        <v>420</v>
      </c>
      <c r="Q882" s="4" t="s">
        <v>26</v>
      </c>
      <c r="R882" s="4">
        <v>0</v>
      </c>
      <c r="S882" s="6">
        <v>0</v>
      </c>
      <c r="T882" s="6">
        <v>34</v>
      </c>
      <c r="U882" s="6">
        <v>80</v>
      </c>
      <c r="V882" s="6">
        <f>IF(ISERROR(VLOOKUP($S$882,'TAR FIN'!$A$1:$O$86,15,0)),0,VLOOKUP($S$882,'TAR FIN'!$A$1:$O$86,15,0))</f>
        <v>0</v>
      </c>
      <c r="W882" s="6">
        <f>IF(ISERROR(VLOOKUP($T$882,'TAR FIN'!$A$1:$O$86,15,0)),0,VLOOKUP($T$882,'TAR FIN'!$A$1:$O$86,15,0))</f>
        <v>324.5</v>
      </c>
      <c r="X882" s="6">
        <f>IF(ISERROR(VLOOKUP($U$882,'TAR FIN'!$A$1:$O$86,15,0)),0,VLOOKUP($U$882,'TAR FIN'!$A$1:$O$86,15,0))</f>
        <v>258.20999999999998</v>
      </c>
      <c r="Y882" s="6"/>
      <c r="Z882" s="6">
        <f ca="1">('TUSD BE'!$AM$49+'TUSD BF'!$AM$49+'TUSD CVA'!$AM$49)*1</f>
        <v>330.1561966420345</v>
      </c>
      <c r="AA882" s="6">
        <f>('TE BE'!$AB$39+'TE BF'!$AB$39+'TE CVA'!$AB$39)*1</f>
        <v>230.58259134858577</v>
      </c>
      <c r="AB882" s="6">
        <f>$K$882*$V$882</f>
        <v>0</v>
      </c>
      <c r="AC882" s="6">
        <f>$M$882*$W$882</f>
        <v>93217.492499999993</v>
      </c>
      <c r="AD882" s="6">
        <f>$O$882*$X$882</f>
        <v>74174.695649999994</v>
      </c>
      <c r="AE882" s="6">
        <f>$K$882*$Y$882</f>
        <v>0</v>
      </c>
      <c r="AF882" s="6">
        <f ca="1">$M$882*$Z$882</f>
        <v>94842.319828374035</v>
      </c>
      <c r="AG882" s="6">
        <f>$O$882*$AA$882</f>
        <v>66238.308103751493</v>
      </c>
    </row>
    <row r="883" spans="1:33" ht="11.25" customHeight="1" x14ac:dyDescent="0.25">
      <c r="A883" s="4" t="s">
        <v>21</v>
      </c>
      <c r="B883" s="4" t="s">
        <v>36</v>
      </c>
      <c r="C883" s="4" t="s">
        <v>23</v>
      </c>
      <c r="D883" s="4" t="s">
        <v>44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44440</v>
      </c>
      <c r="J883" s="6">
        <v>0</v>
      </c>
      <c r="K883" s="6">
        <v>0</v>
      </c>
      <c r="L883" s="6">
        <v>255.31399999999999</v>
      </c>
      <c r="M883" s="6">
        <v>255.31399999999999</v>
      </c>
      <c r="N883" s="6">
        <v>255.31399999999999</v>
      </c>
      <c r="O883" s="6">
        <v>255.31399999999999</v>
      </c>
      <c r="P883" s="6">
        <v>418</v>
      </c>
      <c r="Q883" s="4" t="s">
        <v>26</v>
      </c>
      <c r="R883" s="4">
        <v>0</v>
      </c>
      <c r="S883" s="6">
        <v>0</v>
      </c>
      <c r="T883" s="6">
        <v>34</v>
      </c>
      <c r="U883" s="6">
        <v>80</v>
      </c>
      <c r="V883" s="6">
        <f>IF(ISERROR(VLOOKUP($S$883,'TAR FIN'!$A$1:$O$86,15,0)),0,VLOOKUP($S$883,'TAR FIN'!$A$1:$O$86,15,0))</f>
        <v>0</v>
      </c>
      <c r="W883" s="6">
        <f>IF(ISERROR(VLOOKUP($T$883,'TAR FIN'!$A$1:$O$86,15,0)),0,VLOOKUP($T$883,'TAR FIN'!$A$1:$O$86,15,0))</f>
        <v>324.5</v>
      </c>
      <c r="X883" s="6">
        <f>IF(ISERROR(VLOOKUP($U$883,'TAR FIN'!$A$1:$O$86,15,0)),0,VLOOKUP($U$883,'TAR FIN'!$A$1:$O$86,15,0))</f>
        <v>258.20999999999998</v>
      </c>
      <c r="Y883" s="6"/>
      <c r="Z883" s="6">
        <f ca="1">('TUSD BE'!$AM$49+'TUSD BF'!$AM$49+'TUSD CVA'!$AM$49)*1</f>
        <v>330.1561966420345</v>
      </c>
      <c r="AA883" s="6">
        <f>('TE BE'!$AB$39+'TE BF'!$AB$39+'TE CVA'!$AB$39)*1</f>
        <v>230.58259134858577</v>
      </c>
      <c r="AB883" s="6">
        <f>$K$883*$V$883</f>
        <v>0</v>
      </c>
      <c r="AC883" s="6">
        <f>$M$883*$W$883</f>
        <v>82849.392999999996</v>
      </c>
      <c r="AD883" s="6">
        <f>$O$883*$X$883</f>
        <v>65924.627939999991</v>
      </c>
      <c r="AE883" s="6">
        <f>$K$883*$Y$883</f>
        <v>0</v>
      </c>
      <c r="AF883" s="6">
        <f ca="1">$M$883*$Z$883</f>
        <v>84293.49918946439</v>
      </c>
      <c r="AG883" s="6">
        <f>$O$883*$AA$883</f>
        <v>58870.963727572824</v>
      </c>
    </row>
    <row r="884" spans="1:33" ht="11.25" customHeight="1" x14ac:dyDescent="0.25">
      <c r="A884" s="4" t="s">
        <v>21</v>
      </c>
      <c r="B884" s="4" t="s">
        <v>36</v>
      </c>
      <c r="C884" s="4" t="s">
        <v>23</v>
      </c>
      <c r="D884" s="4" t="s">
        <v>44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44470</v>
      </c>
      <c r="J884" s="6">
        <v>0</v>
      </c>
      <c r="K884" s="6">
        <v>0</v>
      </c>
      <c r="L884" s="6">
        <v>241.05600000000001</v>
      </c>
      <c r="M884" s="6">
        <v>241.05600000000001</v>
      </c>
      <c r="N884" s="6">
        <v>241.05600000000001</v>
      </c>
      <c r="O884" s="6">
        <v>241.05600000000001</v>
      </c>
      <c r="P884" s="6">
        <v>421</v>
      </c>
      <c r="Q884" s="4" t="s">
        <v>26</v>
      </c>
      <c r="R884" s="4">
        <v>0</v>
      </c>
      <c r="S884" s="6">
        <v>0</v>
      </c>
      <c r="T884" s="6">
        <v>34</v>
      </c>
      <c r="U884" s="6">
        <v>80</v>
      </c>
      <c r="V884" s="6">
        <f>IF(ISERROR(VLOOKUP($S$884,'TAR FIN'!$A$1:$O$86,15,0)),0,VLOOKUP($S$884,'TAR FIN'!$A$1:$O$86,15,0))</f>
        <v>0</v>
      </c>
      <c r="W884" s="6">
        <f>IF(ISERROR(VLOOKUP($T$884,'TAR FIN'!$A$1:$O$86,15,0)),0,VLOOKUP($T$884,'TAR FIN'!$A$1:$O$86,15,0))</f>
        <v>324.5</v>
      </c>
      <c r="X884" s="6">
        <f>IF(ISERROR(VLOOKUP($U$884,'TAR FIN'!$A$1:$O$86,15,0)),0,VLOOKUP($U$884,'TAR FIN'!$A$1:$O$86,15,0))</f>
        <v>258.20999999999998</v>
      </c>
      <c r="Y884" s="6"/>
      <c r="Z884" s="6">
        <f ca="1">('TUSD BE'!$AM$49+'TUSD BF'!$AM$49+'TUSD CVA'!$AM$49)*1</f>
        <v>330.1561966420345</v>
      </c>
      <c r="AA884" s="6">
        <f>('TE BE'!$AB$39+'TE BF'!$AB$39+'TE CVA'!$AB$39)*1</f>
        <v>230.58259134858577</v>
      </c>
      <c r="AB884" s="6">
        <f>$K$884*$V$884</f>
        <v>0</v>
      </c>
      <c r="AC884" s="6">
        <f>$M$884*$W$884</f>
        <v>78222.672000000006</v>
      </c>
      <c r="AD884" s="6">
        <f>$O$884*$X$884</f>
        <v>62243.069759999998</v>
      </c>
      <c r="AE884" s="6">
        <f>$K$884*$Y$884</f>
        <v>0</v>
      </c>
      <c r="AF884" s="6">
        <f ca="1">$M$884*$Z$884</f>
        <v>79586.132137742272</v>
      </c>
      <c r="AG884" s="6">
        <f>$O$884*$AA$884</f>
        <v>55583.317140124695</v>
      </c>
    </row>
    <row r="885" spans="1:33" ht="11.25" customHeight="1" x14ac:dyDescent="0.25">
      <c r="A885" s="4" t="s">
        <v>27</v>
      </c>
      <c r="B885" s="4" t="s">
        <v>36</v>
      </c>
      <c r="C885" s="4" t="s">
        <v>23</v>
      </c>
      <c r="D885" s="4" t="s">
        <v>44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44470</v>
      </c>
      <c r="J885" s="6">
        <v>0</v>
      </c>
      <c r="K885" s="6">
        <v>0</v>
      </c>
      <c r="L885" s="6">
        <v>0.16500000000000001</v>
      </c>
      <c r="M885" s="6">
        <v>0.16500000000000001</v>
      </c>
      <c r="N885" s="6">
        <v>0.16500000000000001</v>
      </c>
      <c r="O885" s="6">
        <v>0.16500000000000001</v>
      </c>
      <c r="P885" s="6">
        <v>0</v>
      </c>
      <c r="Q885" s="4" t="s">
        <v>26</v>
      </c>
      <c r="R885" s="4">
        <v>0</v>
      </c>
      <c r="S885" s="6">
        <v>0</v>
      </c>
      <c r="T885" s="6">
        <v>34</v>
      </c>
      <c r="U885" s="6">
        <v>80</v>
      </c>
      <c r="V885" s="6">
        <f>IF(ISERROR(VLOOKUP($S$885,'TAR FIN'!$A$1:$O$86,15,0)),0,VLOOKUP($S$885,'TAR FIN'!$A$1:$O$86,15,0))</f>
        <v>0</v>
      </c>
      <c r="W885" s="6">
        <f>IF(ISERROR(VLOOKUP($T$885,'TAR FIN'!$A$1:$O$86,15,0)),0,VLOOKUP($T$885,'TAR FIN'!$A$1:$O$86,15,0))</f>
        <v>324.5</v>
      </c>
      <c r="X885" s="6">
        <f>IF(ISERROR(VLOOKUP($U$885,'TAR FIN'!$A$1:$O$86,15,0)),0,VLOOKUP($U$885,'TAR FIN'!$A$1:$O$86,15,0))</f>
        <v>258.20999999999998</v>
      </c>
      <c r="Y885" s="6"/>
      <c r="Z885" s="6">
        <f ca="1">('TUSD BE'!$AM$49+'TUSD BF'!$AM$49+'TUSD CVA'!$AM$49)*1</f>
        <v>330.1561966420345</v>
      </c>
      <c r="AA885" s="6">
        <f>('TE BE'!$AB$39+'TE BF'!$AB$39+'TE CVA'!$AB$39)*1</f>
        <v>230.58259134858577</v>
      </c>
      <c r="AB885" s="6">
        <f>$K$885*$V$885</f>
        <v>0</v>
      </c>
      <c r="AC885" s="6">
        <f>$M$885*$W$885</f>
        <v>53.542500000000004</v>
      </c>
      <c r="AD885" s="6">
        <f>$O$885*$X$885</f>
        <v>42.604649999999999</v>
      </c>
      <c r="AE885" s="6">
        <f>$K$885*$Y$885</f>
        <v>0</v>
      </c>
      <c r="AF885" s="6">
        <f ca="1">$M$885*$Z$885</f>
        <v>54.475772445935696</v>
      </c>
      <c r="AG885" s="6">
        <f>$O$885*$AA$885</f>
        <v>38.046127572516653</v>
      </c>
    </row>
    <row r="886" spans="1:33" ht="11.25" customHeight="1" x14ac:dyDescent="0.25">
      <c r="A886" s="4" t="s">
        <v>21</v>
      </c>
      <c r="B886" s="4" t="s">
        <v>36</v>
      </c>
      <c r="C886" s="4" t="s">
        <v>23</v>
      </c>
      <c r="D886" s="4" t="s">
        <v>44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44501</v>
      </c>
      <c r="J886" s="6">
        <v>0</v>
      </c>
      <c r="K886" s="6">
        <v>0</v>
      </c>
      <c r="L886" s="6">
        <v>248.298</v>
      </c>
      <c r="M886" s="6">
        <v>248.298</v>
      </c>
      <c r="N886" s="6">
        <v>248.298</v>
      </c>
      <c r="O886" s="6">
        <v>248.298</v>
      </c>
      <c r="P886" s="6">
        <v>419</v>
      </c>
      <c r="Q886" s="4" t="s">
        <v>26</v>
      </c>
      <c r="R886" s="4">
        <v>0</v>
      </c>
      <c r="S886" s="6">
        <v>0</v>
      </c>
      <c r="T886" s="6">
        <v>34</v>
      </c>
      <c r="U886" s="6">
        <v>80</v>
      </c>
      <c r="V886" s="6">
        <f>IF(ISERROR(VLOOKUP($S$886,'TAR FIN'!$A$1:$O$86,15,0)),0,VLOOKUP($S$886,'TAR FIN'!$A$1:$O$86,15,0))</f>
        <v>0</v>
      </c>
      <c r="W886" s="6">
        <f>IF(ISERROR(VLOOKUP($T$886,'TAR FIN'!$A$1:$O$86,15,0)),0,VLOOKUP($T$886,'TAR FIN'!$A$1:$O$86,15,0))</f>
        <v>324.5</v>
      </c>
      <c r="X886" s="6">
        <f>IF(ISERROR(VLOOKUP($U$886,'TAR FIN'!$A$1:$O$86,15,0)),0,VLOOKUP($U$886,'TAR FIN'!$A$1:$O$86,15,0))</f>
        <v>258.20999999999998</v>
      </c>
      <c r="Y886" s="6"/>
      <c r="Z886" s="6">
        <f ca="1">('TUSD BE'!$AM$49+'TUSD BF'!$AM$49+'TUSD CVA'!$AM$49)*1</f>
        <v>330.1561966420345</v>
      </c>
      <c r="AA886" s="6">
        <f>('TE BE'!$AB$39+'TE BF'!$AB$39+'TE CVA'!$AB$39)*1</f>
        <v>230.58259134858577</v>
      </c>
      <c r="AB886" s="6">
        <f>$K$886*$V$886</f>
        <v>0</v>
      </c>
      <c r="AC886" s="6">
        <f>$M$886*$W$886</f>
        <v>80572.701000000001</v>
      </c>
      <c r="AD886" s="6">
        <f>$O$886*$X$886</f>
        <v>64113.026579999998</v>
      </c>
      <c r="AE886" s="6">
        <f>$K$886*$Y$886</f>
        <v>0</v>
      </c>
      <c r="AF886" s="6">
        <f ca="1">$M$886*$Z$886</f>
        <v>81977.123313823889</v>
      </c>
      <c r="AG886" s="6">
        <f>$O$886*$AA$886</f>
        <v>57253.196266671148</v>
      </c>
    </row>
    <row r="887" spans="1:33" ht="11.25" customHeight="1" x14ac:dyDescent="0.25">
      <c r="A887" s="4" t="s">
        <v>21</v>
      </c>
      <c r="B887" s="4" t="s">
        <v>36</v>
      </c>
      <c r="C887" s="4" t="s">
        <v>23</v>
      </c>
      <c r="D887" s="4" t="s">
        <v>44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44531</v>
      </c>
      <c r="J887" s="6">
        <v>0</v>
      </c>
      <c r="K887" s="6">
        <v>0</v>
      </c>
      <c r="L887" s="6">
        <v>343.28899999999999</v>
      </c>
      <c r="M887" s="6">
        <v>343.28899999999999</v>
      </c>
      <c r="N887" s="6">
        <v>343.28899999999999</v>
      </c>
      <c r="O887" s="6">
        <v>343.28899999999999</v>
      </c>
      <c r="P887" s="6">
        <v>421</v>
      </c>
      <c r="Q887" s="4" t="s">
        <v>26</v>
      </c>
      <c r="R887" s="4">
        <v>0</v>
      </c>
      <c r="S887" s="6">
        <v>0</v>
      </c>
      <c r="T887" s="6">
        <v>34</v>
      </c>
      <c r="U887" s="6">
        <v>80</v>
      </c>
      <c r="V887" s="6">
        <f>IF(ISERROR(VLOOKUP($S$887,'TAR FIN'!$A$1:$O$86,15,0)),0,VLOOKUP($S$887,'TAR FIN'!$A$1:$O$86,15,0))</f>
        <v>0</v>
      </c>
      <c r="W887" s="6">
        <f>IF(ISERROR(VLOOKUP($T$887,'TAR FIN'!$A$1:$O$86,15,0)),0,VLOOKUP($T$887,'TAR FIN'!$A$1:$O$86,15,0))</f>
        <v>324.5</v>
      </c>
      <c r="X887" s="6">
        <f>IF(ISERROR(VLOOKUP($U$887,'TAR FIN'!$A$1:$O$86,15,0)),0,VLOOKUP($U$887,'TAR FIN'!$A$1:$O$86,15,0))</f>
        <v>258.20999999999998</v>
      </c>
      <c r="Y887" s="6"/>
      <c r="Z887" s="6">
        <f ca="1">('TUSD BE'!$AM$49+'TUSD BF'!$AM$49+'TUSD CVA'!$AM$49)*1</f>
        <v>330.1561966420345</v>
      </c>
      <c r="AA887" s="6">
        <f>('TE BE'!$AB$39+'TE BF'!$AB$39+'TE CVA'!$AB$39)*1</f>
        <v>230.58259134858577</v>
      </c>
      <c r="AB887" s="6">
        <f>$K$887*$V$887</f>
        <v>0</v>
      </c>
      <c r="AC887" s="6">
        <f>$M$887*$W$887</f>
        <v>111397.28049999999</v>
      </c>
      <c r="AD887" s="6">
        <f>$O$887*$X$887</f>
        <v>88640.652689999988</v>
      </c>
      <c r="AE887" s="6">
        <f>$K$887*$Y$887</f>
        <v>0</v>
      </c>
      <c r="AF887" s="6">
        <f ca="1">$M$887*$Z$887</f>
        <v>113338.99058904737</v>
      </c>
      <c r="AG887" s="6">
        <f>$O$887*$AA$887</f>
        <v>79156.467201464649</v>
      </c>
    </row>
    <row r="888" spans="1:33" ht="11.25" customHeight="1" x14ac:dyDescent="0.25">
      <c r="A888" s="4" t="s">
        <v>21</v>
      </c>
      <c r="B888" s="4" t="s">
        <v>36</v>
      </c>
      <c r="C888" s="4" t="s">
        <v>23</v>
      </c>
      <c r="D888" s="4" t="s">
        <v>44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44562</v>
      </c>
      <c r="J888" s="6">
        <v>0</v>
      </c>
      <c r="K888" s="6">
        <v>0</v>
      </c>
      <c r="L888" s="6">
        <v>303.61599999999999</v>
      </c>
      <c r="M888" s="6">
        <v>303.61599999999999</v>
      </c>
      <c r="N888" s="6">
        <v>303.61599999999999</v>
      </c>
      <c r="O888" s="6">
        <v>303.61599999999999</v>
      </c>
      <c r="P888" s="6">
        <v>428</v>
      </c>
      <c r="Q888" s="4" t="s">
        <v>26</v>
      </c>
      <c r="R888" s="4">
        <v>0</v>
      </c>
      <c r="S888" s="6">
        <v>0</v>
      </c>
      <c r="T888" s="6">
        <v>34</v>
      </c>
      <c r="U888" s="6">
        <v>80</v>
      </c>
      <c r="V888" s="6">
        <f>IF(ISERROR(VLOOKUP($S$888,'TAR FIN'!$A$1:$O$86,15,0)),0,VLOOKUP($S$888,'TAR FIN'!$A$1:$O$86,15,0))</f>
        <v>0</v>
      </c>
      <c r="W888" s="6">
        <f>IF(ISERROR(VLOOKUP($T$888,'TAR FIN'!$A$1:$O$86,15,0)),0,VLOOKUP($T$888,'TAR FIN'!$A$1:$O$86,15,0))</f>
        <v>324.5</v>
      </c>
      <c r="X888" s="6">
        <f>IF(ISERROR(VLOOKUP($U$888,'TAR FIN'!$A$1:$O$86,15,0)),0,VLOOKUP($U$888,'TAR FIN'!$A$1:$O$86,15,0))</f>
        <v>258.20999999999998</v>
      </c>
      <c r="Y888" s="6"/>
      <c r="Z888" s="6">
        <f ca="1">('TUSD BE'!$AM$49+'TUSD BF'!$AM$49+'TUSD CVA'!$AM$49)*1</f>
        <v>330.1561966420345</v>
      </c>
      <c r="AA888" s="6">
        <f>('TE BE'!$AB$39+'TE BF'!$AB$39+'TE CVA'!$AB$39)*1</f>
        <v>230.58259134858577</v>
      </c>
      <c r="AB888" s="6">
        <f>$K$888*$V$888</f>
        <v>0</v>
      </c>
      <c r="AC888" s="6">
        <f>$M$888*$W$888</f>
        <v>98523.391999999993</v>
      </c>
      <c r="AD888" s="6">
        <f>$O$888*$X$888</f>
        <v>78396.687359999996</v>
      </c>
      <c r="AE888" s="6">
        <f>$K$888*$Y$888</f>
        <v>0</v>
      </c>
      <c r="AF888" s="6">
        <f ca="1">$M$888*$Z$888</f>
        <v>100240.70379966794</v>
      </c>
      <c r="AG888" s="6">
        <f>$O$888*$AA$888</f>
        <v>70008.564054892209</v>
      </c>
    </row>
    <row r="889" spans="1:33" ht="11.25" customHeight="1" x14ac:dyDescent="0.25">
      <c r="A889" s="4" t="s">
        <v>21</v>
      </c>
      <c r="B889" s="4" t="s">
        <v>36</v>
      </c>
      <c r="C889" s="4" t="s">
        <v>23</v>
      </c>
      <c r="D889" s="4" t="s">
        <v>44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44593</v>
      </c>
      <c r="J889" s="6">
        <v>0</v>
      </c>
      <c r="K889" s="6">
        <v>0</v>
      </c>
      <c r="L889" s="6">
        <v>306.42200000000003</v>
      </c>
      <c r="M889" s="6">
        <v>306.42200000000003</v>
      </c>
      <c r="N889" s="6">
        <v>306.42200000000003</v>
      </c>
      <c r="O889" s="6">
        <v>306.42200000000003</v>
      </c>
      <c r="P889" s="6">
        <v>438</v>
      </c>
      <c r="Q889" s="4" t="s">
        <v>26</v>
      </c>
      <c r="R889" s="4">
        <v>0</v>
      </c>
      <c r="S889" s="6">
        <v>0</v>
      </c>
      <c r="T889" s="6">
        <v>34</v>
      </c>
      <c r="U889" s="6">
        <v>80</v>
      </c>
      <c r="V889" s="6">
        <f>IF(ISERROR(VLOOKUP($S$889,'TAR FIN'!$A$1:$O$86,15,0)),0,VLOOKUP($S$889,'TAR FIN'!$A$1:$O$86,15,0))</f>
        <v>0</v>
      </c>
      <c r="W889" s="6">
        <f>IF(ISERROR(VLOOKUP($T$889,'TAR FIN'!$A$1:$O$86,15,0)),0,VLOOKUP($T$889,'TAR FIN'!$A$1:$O$86,15,0))</f>
        <v>324.5</v>
      </c>
      <c r="X889" s="6">
        <f>IF(ISERROR(VLOOKUP($U$889,'TAR FIN'!$A$1:$O$86,15,0)),0,VLOOKUP($U$889,'TAR FIN'!$A$1:$O$86,15,0))</f>
        <v>258.20999999999998</v>
      </c>
      <c r="Y889" s="6"/>
      <c r="Z889" s="6">
        <f ca="1">('TUSD BE'!$AM$49+'TUSD BF'!$AM$49+'TUSD CVA'!$AM$49)*1</f>
        <v>330.1561966420345</v>
      </c>
      <c r="AA889" s="6">
        <f>('TE BE'!$AB$39+'TE BF'!$AB$39+'TE CVA'!$AB$39)*1</f>
        <v>230.58259134858577</v>
      </c>
      <c r="AB889" s="6">
        <f>$K$889*$V$889</f>
        <v>0</v>
      </c>
      <c r="AC889" s="6">
        <f>$M$889*$W$889</f>
        <v>99433.939000000013</v>
      </c>
      <c r="AD889" s="6">
        <f>$O$889*$X$889</f>
        <v>79121.224619999994</v>
      </c>
      <c r="AE889" s="6">
        <f>$K$889*$Y$889</f>
        <v>0</v>
      </c>
      <c r="AF889" s="6">
        <f ca="1">$M$889*$Z$889</f>
        <v>101167.1220874455</v>
      </c>
      <c r="AG889" s="6">
        <f>$O$889*$AA$889</f>
        <v>70655.578806216348</v>
      </c>
    </row>
    <row r="890" spans="1:33" ht="11.25" customHeight="1" x14ac:dyDescent="0.25">
      <c r="A890" s="4" t="s">
        <v>21</v>
      </c>
      <c r="B890" s="4" t="s">
        <v>36</v>
      </c>
      <c r="C890" s="4" t="s">
        <v>23</v>
      </c>
      <c r="D890" s="4" t="s">
        <v>44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44621</v>
      </c>
      <c r="J890" s="6">
        <v>0</v>
      </c>
      <c r="K890" s="6">
        <v>0</v>
      </c>
      <c r="L890" s="6">
        <v>406.154</v>
      </c>
      <c r="M890" s="6">
        <v>406.154</v>
      </c>
      <c r="N890" s="6">
        <v>406.154</v>
      </c>
      <c r="O890" s="6">
        <v>406.154</v>
      </c>
      <c r="P890" s="6">
        <v>445</v>
      </c>
      <c r="Q890" s="4" t="s">
        <v>26</v>
      </c>
      <c r="R890" s="4">
        <v>0</v>
      </c>
      <c r="S890" s="6">
        <v>0</v>
      </c>
      <c r="T890" s="6">
        <v>34</v>
      </c>
      <c r="U890" s="6">
        <v>80</v>
      </c>
      <c r="V890" s="6">
        <f>IF(ISERROR(VLOOKUP($S$890,'TAR FIN'!$A$1:$O$86,15,0)),0,VLOOKUP($S$890,'TAR FIN'!$A$1:$O$86,15,0))</f>
        <v>0</v>
      </c>
      <c r="W890" s="6">
        <f>IF(ISERROR(VLOOKUP($T$890,'TAR FIN'!$A$1:$O$86,15,0)),0,VLOOKUP($T$890,'TAR FIN'!$A$1:$O$86,15,0))</f>
        <v>324.5</v>
      </c>
      <c r="X890" s="6">
        <f>IF(ISERROR(VLOOKUP($U$890,'TAR FIN'!$A$1:$O$86,15,0)),0,VLOOKUP($U$890,'TAR FIN'!$A$1:$O$86,15,0))</f>
        <v>258.20999999999998</v>
      </c>
      <c r="Y890" s="6"/>
      <c r="Z890" s="6">
        <f ca="1">('TUSD BE'!$AM$49+'TUSD BF'!$AM$49+'TUSD CVA'!$AM$49)*1</f>
        <v>330.1561966420345</v>
      </c>
      <c r="AA890" s="6">
        <f>('TE BE'!$AB$39+'TE BF'!$AB$39+'TE CVA'!$AB$39)*1</f>
        <v>230.58259134858577</v>
      </c>
      <c r="AB890" s="6">
        <f>$K$890*$V$890</f>
        <v>0</v>
      </c>
      <c r="AC890" s="6">
        <f>$M$890*$W$890</f>
        <v>131796.973</v>
      </c>
      <c r="AD890" s="6">
        <f>$O$890*$X$890</f>
        <v>104873.02433999999</v>
      </c>
      <c r="AE890" s="6">
        <f>$K$890*$Y$890</f>
        <v>0</v>
      </c>
      <c r="AF890" s="6">
        <f ca="1">$M$890*$Z$890</f>
        <v>134094.25989094889</v>
      </c>
      <c r="AG890" s="6">
        <f>$O$890*$AA$890</f>
        <v>93652.041806593508</v>
      </c>
    </row>
    <row r="891" spans="1:33" ht="11.25" customHeight="1" x14ac:dyDescent="0.25">
      <c r="A891" s="4" t="s">
        <v>27</v>
      </c>
      <c r="B891" s="4" t="s">
        <v>36</v>
      </c>
      <c r="C891" s="4" t="s">
        <v>23</v>
      </c>
      <c r="D891" s="4" t="s">
        <v>44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44621</v>
      </c>
      <c r="J891" s="6">
        <v>0</v>
      </c>
      <c r="K891" s="6">
        <v>0</v>
      </c>
      <c r="L891" s="6">
        <v>-4.4390000000000001</v>
      </c>
      <c r="M891" s="6">
        <v>-4.4390000000000001</v>
      </c>
      <c r="N891" s="6">
        <v>-4.4390000000000001</v>
      </c>
      <c r="O891" s="6">
        <v>-4.4390000000000001</v>
      </c>
      <c r="P891" s="6">
        <v>0</v>
      </c>
      <c r="Q891" s="4" t="s">
        <v>26</v>
      </c>
      <c r="R891" s="4">
        <v>0</v>
      </c>
      <c r="S891" s="6">
        <v>0</v>
      </c>
      <c r="T891" s="6">
        <v>34</v>
      </c>
      <c r="U891" s="6">
        <v>80</v>
      </c>
      <c r="V891" s="6">
        <f>IF(ISERROR(VLOOKUP($S$891,'TAR FIN'!$A$1:$O$86,15,0)),0,VLOOKUP($S$891,'TAR FIN'!$A$1:$O$86,15,0))</f>
        <v>0</v>
      </c>
      <c r="W891" s="6">
        <f>IF(ISERROR(VLOOKUP($T$891,'TAR FIN'!$A$1:$O$86,15,0)),0,VLOOKUP($T$891,'TAR FIN'!$A$1:$O$86,15,0))</f>
        <v>324.5</v>
      </c>
      <c r="X891" s="6">
        <f>IF(ISERROR(VLOOKUP($U$891,'TAR FIN'!$A$1:$O$86,15,0)),0,VLOOKUP($U$891,'TAR FIN'!$A$1:$O$86,15,0))</f>
        <v>258.20999999999998</v>
      </c>
      <c r="Y891" s="6"/>
      <c r="Z891" s="6">
        <f ca="1">('TUSD BE'!$AM$49+'TUSD BF'!$AM$49+'TUSD CVA'!$AM$49)*1</f>
        <v>330.1561966420345</v>
      </c>
      <c r="AA891" s="6">
        <f>('TE BE'!$AB$39+'TE BF'!$AB$39+'TE CVA'!$AB$39)*1</f>
        <v>230.58259134858577</v>
      </c>
      <c r="AB891" s="6">
        <f>$K$891*$V$891</f>
        <v>0</v>
      </c>
      <c r="AC891" s="6">
        <f>$M$891*$W$891</f>
        <v>-1440.4555</v>
      </c>
      <c r="AD891" s="6">
        <f>$O$891*$X$891</f>
        <v>-1146.1941899999999</v>
      </c>
      <c r="AE891" s="6">
        <f>$K$891*$Y$891</f>
        <v>0</v>
      </c>
      <c r="AF891" s="6">
        <f ca="1">$M$891*$Z$891</f>
        <v>-1465.5633568939911</v>
      </c>
      <c r="AG891" s="6">
        <f>$O$891*$AA$891</f>
        <v>-1023.5561229963722</v>
      </c>
    </row>
    <row r="892" spans="1:33" ht="11.25" customHeight="1" x14ac:dyDescent="0.25">
      <c r="A892" s="4" t="s">
        <v>21</v>
      </c>
      <c r="B892" s="4" t="s">
        <v>36</v>
      </c>
      <c r="C892" s="4" t="s">
        <v>23</v>
      </c>
      <c r="D892" s="4" t="s">
        <v>44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44652</v>
      </c>
      <c r="J892" s="6">
        <v>0</v>
      </c>
      <c r="K892" s="6">
        <v>0</v>
      </c>
      <c r="L892" s="6">
        <v>292.38600000000002</v>
      </c>
      <c r="M892" s="6">
        <v>292.38600000000002</v>
      </c>
      <c r="N892" s="6">
        <v>292.38600000000002</v>
      </c>
      <c r="O892" s="6">
        <v>292.38600000000002</v>
      </c>
      <c r="P892" s="6">
        <v>446</v>
      </c>
      <c r="Q892" s="4" t="s">
        <v>26</v>
      </c>
      <c r="R892" s="4">
        <v>0</v>
      </c>
      <c r="S892" s="6">
        <v>0</v>
      </c>
      <c r="T892" s="6">
        <v>34</v>
      </c>
      <c r="U892" s="6">
        <v>80</v>
      </c>
      <c r="V892" s="6">
        <f>IF(ISERROR(VLOOKUP($S$892,'TAR FIN'!$A$1:$O$86,15,0)),0,VLOOKUP($S$892,'TAR FIN'!$A$1:$O$86,15,0))</f>
        <v>0</v>
      </c>
      <c r="W892" s="6">
        <f>IF(ISERROR(VLOOKUP($T$892,'TAR FIN'!$A$1:$O$86,15,0)),0,VLOOKUP($T$892,'TAR FIN'!$A$1:$O$86,15,0))</f>
        <v>324.5</v>
      </c>
      <c r="X892" s="6">
        <f>IF(ISERROR(VLOOKUP($U$892,'TAR FIN'!$A$1:$O$86,15,0)),0,VLOOKUP($U$892,'TAR FIN'!$A$1:$O$86,15,0))</f>
        <v>258.20999999999998</v>
      </c>
      <c r="Y892" s="6"/>
      <c r="Z892" s="6">
        <f ca="1">('TUSD BE'!$AM$49+'TUSD BF'!$AM$49+'TUSD CVA'!$AM$49)*1</f>
        <v>330.1561966420345</v>
      </c>
      <c r="AA892" s="6">
        <f>('TE BE'!$AB$39+'TE BF'!$AB$39+'TE CVA'!$AB$39)*1</f>
        <v>230.58259134858577</v>
      </c>
      <c r="AB892" s="6">
        <f>$K$892*$V$892</f>
        <v>0</v>
      </c>
      <c r="AC892" s="6">
        <f>$M$892*$W$892</f>
        <v>94879.257000000012</v>
      </c>
      <c r="AD892" s="6">
        <f>$O$892*$X$892</f>
        <v>75496.989060000007</v>
      </c>
      <c r="AE892" s="6">
        <f>$K$892*$Y$892</f>
        <v>0</v>
      </c>
      <c r="AF892" s="6">
        <f ca="1">$M$892*$Z$892</f>
        <v>96533.049711377913</v>
      </c>
      <c r="AG892" s="6">
        <f>$O$892*$AA$892</f>
        <v>67419.121554047597</v>
      </c>
    </row>
    <row r="893" spans="1:33" ht="11.25" customHeight="1" x14ac:dyDescent="0.25">
      <c r="A893" s="4" t="s">
        <v>27</v>
      </c>
      <c r="B893" s="4" t="s">
        <v>36</v>
      </c>
      <c r="C893" s="4" t="s">
        <v>23</v>
      </c>
      <c r="D893" s="4" t="s">
        <v>44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44652</v>
      </c>
      <c r="J893" s="6">
        <v>0</v>
      </c>
      <c r="K893" s="6">
        <v>0</v>
      </c>
      <c r="L893" s="6">
        <v>-1.4079999999999999</v>
      </c>
      <c r="M893" s="6">
        <v>-1.4079999999999999</v>
      </c>
      <c r="N893" s="6">
        <v>-1.4079999999999999</v>
      </c>
      <c r="O893" s="6">
        <v>-1.4079999999999999</v>
      </c>
      <c r="P893" s="6">
        <v>0</v>
      </c>
      <c r="Q893" s="4" t="s">
        <v>26</v>
      </c>
      <c r="R893" s="4">
        <v>0</v>
      </c>
      <c r="S893" s="6">
        <v>0</v>
      </c>
      <c r="T893" s="6">
        <v>34</v>
      </c>
      <c r="U893" s="6">
        <v>80</v>
      </c>
      <c r="V893" s="6">
        <f>IF(ISERROR(VLOOKUP($S$893,'TAR FIN'!$A$1:$O$86,15,0)),0,VLOOKUP($S$893,'TAR FIN'!$A$1:$O$86,15,0))</f>
        <v>0</v>
      </c>
      <c r="W893" s="6">
        <f>IF(ISERROR(VLOOKUP($T$893,'TAR FIN'!$A$1:$O$86,15,0)),0,VLOOKUP($T$893,'TAR FIN'!$A$1:$O$86,15,0))</f>
        <v>324.5</v>
      </c>
      <c r="X893" s="6">
        <f>IF(ISERROR(VLOOKUP($U$893,'TAR FIN'!$A$1:$O$86,15,0)),0,VLOOKUP($U$893,'TAR FIN'!$A$1:$O$86,15,0))</f>
        <v>258.20999999999998</v>
      </c>
      <c r="Y893" s="6"/>
      <c r="Z893" s="6">
        <f ca="1">('TUSD BE'!$AM$49+'TUSD BF'!$AM$49+'TUSD CVA'!$AM$49)*1</f>
        <v>330.1561966420345</v>
      </c>
      <c r="AA893" s="6">
        <f>('TE BE'!$AB$39+'TE BF'!$AB$39+'TE CVA'!$AB$39)*1</f>
        <v>230.58259134858577</v>
      </c>
      <c r="AB893" s="6">
        <f>$K$893*$V$893</f>
        <v>0</v>
      </c>
      <c r="AC893" s="6">
        <f>$M$893*$W$893</f>
        <v>-456.89599999999996</v>
      </c>
      <c r="AD893" s="6">
        <f>$O$893*$X$893</f>
        <v>-363.55967999999996</v>
      </c>
      <c r="AE893" s="6">
        <f>$K$893*$Y$893</f>
        <v>0</v>
      </c>
      <c r="AF893" s="6">
        <f ca="1">$M$893*$Z$893</f>
        <v>-464.85992487198456</v>
      </c>
      <c r="AG893" s="6">
        <f>$O$893*$AA$893</f>
        <v>-324.66028861880875</v>
      </c>
    </row>
    <row r="894" spans="1:33" ht="11.25" customHeight="1" x14ac:dyDescent="0.25">
      <c r="A894" s="4" t="s">
        <v>21</v>
      </c>
      <c r="B894" s="4" t="s">
        <v>36</v>
      </c>
      <c r="C894" s="4" t="s">
        <v>23</v>
      </c>
      <c r="D894" s="4" t="s">
        <v>44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44682</v>
      </c>
      <c r="J894" s="6">
        <v>0</v>
      </c>
      <c r="K894" s="6">
        <v>0</v>
      </c>
      <c r="L894" s="6">
        <v>247.535</v>
      </c>
      <c r="M894" s="6">
        <v>247.535</v>
      </c>
      <c r="N894" s="6">
        <v>247.535</v>
      </c>
      <c r="O894" s="6">
        <v>247.535</v>
      </c>
      <c r="P894" s="6">
        <v>447</v>
      </c>
      <c r="Q894" s="4" t="s">
        <v>26</v>
      </c>
      <c r="R894" s="4">
        <v>0</v>
      </c>
      <c r="S894" s="6">
        <v>0</v>
      </c>
      <c r="T894" s="6">
        <v>34</v>
      </c>
      <c r="U894" s="6">
        <v>80</v>
      </c>
      <c r="V894" s="6">
        <f>IF(ISERROR(VLOOKUP($S$894,'TAR FIN'!$A$1:$O$86,15,0)),0,VLOOKUP($S$894,'TAR FIN'!$A$1:$O$86,15,0))</f>
        <v>0</v>
      </c>
      <c r="W894" s="6">
        <f>IF(ISERROR(VLOOKUP($T$894,'TAR FIN'!$A$1:$O$86,15,0)),0,VLOOKUP($T$894,'TAR FIN'!$A$1:$O$86,15,0))</f>
        <v>324.5</v>
      </c>
      <c r="X894" s="6">
        <f>IF(ISERROR(VLOOKUP($U$894,'TAR FIN'!$A$1:$O$86,15,0)),0,VLOOKUP($U$894,'TAR FIN'!$A$1:$O$86,15,0))</f>
        <v>258.20999999999998</v>
      </c>
      <c r="Y894" s="6"/>
      <c r="Z894" s="6">
        <f ca="1">('TUSD BE'!$AM$49+'TUSD BF'!$AM$49+'TUSD CVA'!$AM$49)*1</f>
        <v>330.1561966420345</v>
      </c>
      <c r="AA894" s="6">
        <f>('TE BE'!$AB$39+'TE BF'!$AB$39+'TE CVA'!$AB$39)*1</f>
        <v>230.58259134858577</v>
      </c>
      <c r="AB894" s="6">
        <f>$K$894*$V$894</f>
        <v>0</v>
      </c>
      <c r="AC894" s="6">
        <f>$M$894*$W$894</f>
        <v>80325.107499999998</v>
      </c>
      <c r="AD894" s="6">
        <f>$O$894*$X$894</f>
        <v>63916.012349999997</v>
      </c>
      <c r="AE894" s="6">
        <f>$K$894*$Y$894</f>
        <v>0</v>
      </c>
      <c r="AF894" s="6">
        <f ca="1">$M$894*$Z$894</f>
        <v>81725.214135786009</v>
      </c>
      <c r="AG894" s="6">
        <f>$O$894*$AA$894</f>
        <v>57077.261749472178</v>
      </c>
    </row>
    <row r="895" spans="1:33" ht="11.25" customHeight="1" x14ac:dyDescent="0.25">
      <c r="A895" s="4" t="s">
        <v>27</v>
      </c>
      <c r="B895" s="4" t="s">
        <v>36</v>
      </c>
      <c r="C895" s="4" t="s">
        <v>23</v>
      </c>
      <c r="D895" s="4" t="s">
        <v>44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44682</v>
      </c>
      <c r="J895" s="6">
        <v>0</v>
      </c>
      <c r="K895" s="6">
        <v>0</v>
      </c>
      <c r="L895" s="6">
        <v>-4.4770000000000003</v>
      </c>
      <c r="M895" s="6">
        <v>-4.4770000000000003</v>
      </c>
      <c r="N895" s="6">
        <v>-4.4770000000000003</v>
      </c>
      <c r="O895" s="6">
        <v>-4.4770000000000003</v>
      </c>
      <c r="P895" s="6">
        <v>0</v>
      </c>
      <c r="Q895" s="4" t="s">
        <v>26</v>
      </c>
      <c r="R895" s="4">
        <v>0</v>
      </c>
      <c r="S895" s="6">
        <v>0</v>
      </c>
      <c r="T895" s="6">
        <v>34</v>
      </c>
      <c r="U895" s="6">
        <v>80</v>
      </c>
      <c r="V895" s="6">
        <f>IF(ISERROR(VLOOKUP($S$895,'TAR FIN'!$A$1:$O$86,15,0)),0,VLOOKUP($S$895,'TAR FIN'!$A$1:$O$86,15,0))</f>
        <v>0</v>
      </c>
      <c r="W895" s="6">
        <f>IF(ISERROR(VLOOKUP($T$895,'TAR FIN'!$A$1:$O$86,15,0)),0,VLOOKUP($T$895,'TAR FIN'!$A$1:$O$86,15,0))</f>
        <v>324.5</v>
      </c>
      <c r="X895" s="6">
        <f>IF(ISERROR(VLOOKUP($U$895,'TAR FIN'!$A$1:$O$86,15,0)),0,VLOOKUP($U$895,'TAR FIN'!$A$1:$O$86,15,0))</f>
        <v>258.20999999999998</v>
      </c>
      <c r="Y895" s="6"/>
      <c r="Z895" s="6">
        <f ca="1">('TUSD BE'!$AM$49+'TUSD BF'!$AM$49+'TUSD CVA'!$AM$49)*1</f>
        <v>330.1561966420345</v>
      </c>
      <c r="AA895" s="6">
        <f>('TE BE'!$AB$39+'TE BF'!$AB$39+'TE CVA'!$AB$39)*1</f>
        <v>230.58259134858577</v>
      </c>
      <c r="AB895" s="6">
        <f>$K$895*$V$895</f>
        <v>0</v>
      </c>
      <c r="AC895" s="6">
        <f>$M$895*$W$895</f>
        <v>-1452.7865000000002</v>
      </c>
      <c r="AD895" s="6">
        <f>$O$895*$X$895</f>
        <v>-1156.0061699999999</v>
      </c>
      <c r="AE895" s="6">
        <f>$K$895*$Y$895</f>
        <v>0</v>
      </c>
      <c r="AF895" s="6">
        <f ca="1">$M$895*$Z$895</f>
        <v>-1478.1092923663887</v>
      </c>
      <c r="AG895" s="6">
        <f>$O$895*$AA$895</f>
        <v>-1032.3182614676186</v>
      </c>
    </row>
    <row r="896" spans="1:33" ht="11.25" customHeight="1" x14ac:dyDescent="0.25">
      <c r="A896" s="4" t="s">
        <v>56</v>
      </c>
      <c r="B896" s="4" t="s">
        <v>36</v>
      </c>
      <c r="C896" s="4" t="s">
        <v>23</v>
      </c>
      <c r="D896" s="4" t="s">
        <v>44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44713</v>
      </c>
      <c r="J896" s="6">
        <v>0</v>
      </c>
      <c r="K896" s="6">
        <v>0</v>
      </c>
      <c r="L896" s="6">
        <v>247.535</v>
      </c>
      <c r="M896" s="6">
        <v>247.535</v>
      </c>
      <c r="N896" s="6">
        <v>247.535</v>
      </c>
      <c r="O896" s="6">
        <v>247.535</v>
      </c>
      <c r="P896" s="6">
        <v>447</v>
      </c>
      <c r="Q896" s="4" t="s">
        <v>26</v>
      </c>
      <c r="R896" s="4">
        <v>0</v>
      </c>
      <c r="S896" s="6">
        <v>0</v>
      </c>
      <c r="T896" s="6">
        <v>34</v>
      </c>
      <c r="U896" s="6">
        <v>80</v>
      </c>
      <c r="V896" s="6">
        <f>IF(ISERROR(VLOOKUP($S$896,'TAR FIN'!$A$1:$O$86,15,0)),0,VLOOKUP($S$896,'TAR FIN'!$A$1:$O$86,15,0))</f>
        <v>0</v>
      </c>
      <c r="W896" s="6">
        <f>IF(ISERROR(VLOOKUP($T$896,'TAR FIN'!$A$1:$O$86,15,0)),0,VLOOKUP($T$896,'TAR FIN'!$A$1:$O$86,15,0))</f>
        <v>324.5</v>
      </c>
      <c r="X896" s="6">
        <f>IF(ISERROR(VLOOKUP($U$896,'TAR FIN'!$A$1:$O$86,15,0)),0,VLOOKUP($U$896,'TAR FIN'!$A$1:$O$86,15,0))</f>
        <v>258.20999999999998</v>
      </c>
      <c r="Y896" s="6"/>
      <c r="Z896" s="6">
        <f ca="1">('TUSD BE'!$AM$49+'TUSD BF'!$AM$49+'TUSD CVA'!$AM$49)*1</f>
        <v>330.1561966420345</v>
      </c>
      <c r="AA896" s="6">
        <f>('TE BE'!$AB$39+'TE BF'!$AB$39+'TE CVA'!$AB$39)*1</f>
        <v>230.58259134858577</v>
      </c>
      <c r="AB896" s="6">
        <f>$K$896*$V$896</f>
        <v>0</v>
      </c>
      <c r="AC896" s="6">
        <f>$M$896*$W$896</f>
        <v>80325.107499999998</v>
      </c>
      <c r="AD896" s="6">
        <f>$O$896*$X$896</f>
        <v>63916.012349999997</v>
      </c>
      <c r="AE896" s="6">
        <f>$K$896*$Y$896</f>
        <v>0</v>
      </c>
      <c r="AF896" s="6">
        <f ca="1">$M$896*$Z$896</f>
        <v>81725.214135786009</v>
      </c>
      <c r="AG896" s="6">
        <f>$O$896*$AA$896</f>
        <v>57077.261749472178</v>
      </c>
    </row>
    <row r="897" spans="1:33" ht="11.25" customHeight="1" x14ac:dyDescent="0.25">
      <c r="A897" s="4" t="s">
        <v>56</v>
      </c>
      <c r="B897" s="4" t="s">
        <v>36</v>
      </c>
      <c r="C897" s="4" t="s">
        <v>23</v>
      </c>
      <c r="D897" s="4" t="s">
        <v>44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44713</v>
      </c>
      <c r="J897" s="6">
        <v>0</v>
      </c>
      <c r="K897" s="6">
        <v>0</v>
      </c>
      <c r="L897" s="6">
        <v>-4.4770000000000003</v>
      </c>
      <c r="M897" s="6">
        <v>-4.4770000000000003</v>
      </c>
      <c r="N897" s="6">
        <v>-4.4770000000000003</v>
      </c>
      <c r="O897" s="6">
        <v>-4.4770000000000003</v>
      </c>
      <c r="P897" s="6">
        <v>0</v>
      </c>
      <c r="Q897" s="4" t="s">
        <v>26</v>
      </c>
      <c r="R897" s="4">
        <v>0</v>
      </c>
      <c r="S897" s="6">
        <v>0</v>
      </c>
      <c r="T897" s="6">
        <v>34</v>
      </c>
      <c r="U897" s="6">
        <v>80</v>
      </c>
      <c r="V897" s="6">
        <f>IF(ISERROR(VLOOKUP($S$897,'TAR FIN'!$A$1:$O$86,15,0)),0,VLOOKUP($S$897,'TAR FIN'!$A$1:$O$86,15,0))</f>
        <v>0</v>
      </c>
      <c r="W897" s="6">
        <f>IF(ISERROR(VLOOKUP($T$897,'TAR FIN'!$A$1:$O$86,15,0)),0,VLOOKUP($T$897,'TAR FIN'!$A$1:$O$86,15,0))</f>
        <v>324.5</v>
      </c>
      <c r="X897" s="6">
        <f>IF(ISERROR(VLOOKUP($U$897,'TAR FIN'!$A$1:$O$86,15,0)),0,VLOOKUP($U$897,'TAR FIN'!$A$1:$O$86,15,0))</f>
        <v>258.20999999999998</v>
      </c>
      <c r="Y897" s="6"/>
      <c r="Z897" s="6">
        <f ca="1">('TUSD BE'!$AM$49+'TUSD BF'!$AM$49+'TUSD CVA'!$AM$49)*1</f>
        <v>330.1561966420345</v>
      </c>
      <c r="AA897" s="6">
        <f>('TE BE'!$AB$39+'TE BF'!$AB$39+'TE CVA'!$AB$39)*1</f>
        <v>230.58259134858577</v>
      </c>
      <c r="AB897" s="6">
        <f>$K$897*$V$897</f>
        <v>0</v>
      </c>
      <c r="AC897" s="6">
        <f>$M$897*$W$897</f>
        <v>-1452.7865000000002</v>
      </c>
      <c r="AD897" s="6">
        <f>$O$897*$X$897</f>
        <v>-1156.0061699999999</v>
      </c>
      <c r="AE897" s="6">
        <f>$K$897*$Y$897</f>
        <v>0</v>
      </c>
      <c r="AF897" s="6">
        <f ca="1">$M$897*$Z$897</f>
        <v>-1478.1092923663887</v>
      </c>
      <c r="AG897" s="6">
        <f>$O$897*$AA$897</f>
        <v>-1032.3182614676186</v>
      </c>
    </row>
    <row r="898" spans="1:33" ht="11.25" customHeight="1" x14ac:dyDescent="0.25">
      <c r="A898" s="4" t="s">
        <v>21</v>
      </c>
      <c r="B898" s="4" t="s">
        <v>36</v>
      </c>
      <c r="C898" s="4" t="s">
        <v>23</v>
      </c>
      <c r="D898" s="4" t="s">
        <v>48</v>
      </c>
      <c r="E898" s="4" t="s">
        <v>49</v>
      </c>
      <c r="F898" s="4" t="s">
        <v>25</v>
      </c>
      <c r="G898" s="4" t="s">
        <v>25</v>
      </c>
      <c r="H898" s="4" t="s">
        <v>25</v>
      </c>
      <c r="I898" s="5">
        <v>44378</v>
      </c>
      <c r="J898" s="6">
        <v>0</v>
      </c>
      <c r="K898" s="97">
        <v>0</v>
      </c>
      <c r="L898" s="6">
        <v>91.671000000000006</v>
      </c>
      <c r="M898" s="97">
        <v>91.671000000000006</v>
      </c>
      <c r="N898" s="6">
        <v>91.671000000000006</v>
      </c>
      <c r="O898" s="97">
        <v>91.671000000000006</v>
      </c>
      <c r="P898" s="6">
        <v>26</v>
      </c>
      <c r="Q898" s="4" t="s">
        <v>26</v>
      </c>
      <c r="R898" s="4">
        <v>0</v>
      </c>
      <c r="S898" s="6">
        <v>0</v>
      </c>
      <c r="T898" s="6">
        <v>34</v>
      </c>
      <c r="U898" s="6">
        <v>80</v>
      </c>
      <c r="V898" s="97">
        <f>IF(ISERROR(VLOOKUP($S$898,'TAR FIN'!$A$1:$O$86,15,0)),0,VLOOKUP($S$898,'TAR FIN'!$A$1:$O$86,15,0))</f>
        <v>0</v>
      </c>
      <c r="W898" s="97">
        <f>IF(ISERROR(VLOOKUP($T$898,'TAR FIN'!$A$1:$O$86,15,0)),0,VLOOKUP($T$898,'TAR FIN'!$A$1:$O$86,15,0))*(1-0.06)</f>
        <v>305.02999999999997</v>
      </c>
      <c r="X898" s="97">
        <f>IF(ISERROR(VLOOKUP($U$898,'TAR FIN'!$A$1:$O$86,15,0)),0,VLOOKUP($U$898,'TAR FIN'!$A$1:$O$86,15,0))*(1-0.06)</f>
        <v>242.71739999999997</v>
      </c>
      <c r="Y898" s="97"/>
      <c r="Z898" s="97">
        <f ca="1">('TUSD BE'!$AM$49+'TUSD BF'!$AM$49+'TUSD CVA'!$AM$49)*1*(1-0.03)</f>
        <v>320.25151074277346</v>
      </c>
      <c r="AA898" s="97">
        <f>('TE BE'!$AB$39+'TE BF'!$AB$39+'TE CVA'!$AB$39)*1*(1-0.03)</f>
        <v>223.66511360812819</v>
      </c>
      <c r="AB898" s="6">
        <f>$K$898*$V$898</f>
        <v>0</v>
      </c>
      <c r="AC898" s="6">
        <f>$M$898*$W$898</f>
        <v>27962.405129999999</v>
      </c>
      <c r="AD898" s="6">
        <f>$O$898*$X$898</f>
        <v>22250.1467754</v>
      </c>
      <c r="AE898" s="6">
        <f>$K$898*$Y$898</f>
        <v>0</v>
      </c>
      <c r="AF898" s="6">
        <f ca="1">$M$898*$Z$898</f>
        <v>29357.776241300788</v>
      </c>
      <c r="AG898" s="6">
        <f>$O$898*$AA$898</f>
        <v>20503.60462957072</v>
      </c>
    </row>
    <row r="899" spans="1:33" ht="11.25" customHeight="1" x14ac:dyDescent="0.25">
      <c r="A899" s="4" t="s">
        <v>21</v>
      </c>
      <c r="B899" s="4" t="s">
        <v>36</v>
      </c>
      <c r="C899" s="4" t="s">
        <v>23</v>
      </c>
      <c r="D899" s="4" t="s">
        <v>48</v>
      </c>
      <c r="E899" s="4" t="s">
        <v>49</v>
      </c>
      <c r="F899" s="4" t="s">
        <v>25</v>
      </c>
      <c r="G899" s="4" t="s">
        <v>25</v>
      </c>
      <c r="H899" s="4" t="s">
        <v>25</v>
      </c>
      <c r="I899" s="5">
        <v>44409</v>
      </c>
      <c r="J899" s="6">
        <v>0</v>
      </c>
      <c r="K899" s="97">
        <v>0</v>
      </c>
      <c r="L899" s="6">
        <v>94.36</v>
      </c>
      <c r="M899" s="97">
        <v>94.36</v>
      </c>
      <c r="N899" s="6">
        <v>94.36</v>
      </c>
      <c r="O899" s="97">
        <v>94.36</v>
      </c>
      <c r="P899" s="6">
        <v>26</v>
      </c>
      <c r="Q899" s="4" t="s">
        <v>26</v>
      </c>
      <c r="R899" s="4">
        <v>0</v>
      </c>
      <c r="S899" s="6">
        <v>0</v>
      </c>
      <c r="T899" s="6">
        <v>34</v>
      </c>
      <c r="U899" s="6">
        <v>80</v>
      </c>
      <c r="V899" s="97">
        <f>IF(ISERROR(VLOOKUP($S$899,'TAR FIN'!$A$1:$O$86,15,0)),0,VLOOKUP($S$899,'TAR FIN'!$A$1:$O$86,15,0))</f>
        <v>0</v>
      </c>
      <c r="W899" s="97">
        <f>IF(ISERROR(VLOOKUP($T$899,'TAR FIN'!$A$1:$O$86,15,0)),0,VLOOKUP($T$899,'TAR FIN'!$A$1:$O$86,15,0))*(1-0.06)</f>
        <v>305.02999999999997</v>
      </c>
      <c r="X899" s="97">
        <f>IF(ISERROR(VLOOKUP($U$899,'TAR FIN'!$A$1:$O$86,15,0)),0,VLOOKUP($U$899,'TAR FIN'!$A$1:$O$86,15,0))*(1-0.06)</f>
        <v>242.71739999999997</v>
      </c>
      <c r="Y899" s="97"/>
      <c r="Z899" s="97">
        <f ca="1">('TUSD BE'!$AM$49+'TUSD BF'!$AM$49+'TUSD CVA'!$AM$49)*1*(1-0.03)</f>
        <v>320.25151074277346</v>
      </c>
      <c r="AA899" s="97">
        <f>('TE BE'!$AB$39+'TE BF'!$AB$39+'TE CVA'!$AB$39)*1*(1-0.03)</f>
        <v>223.66511360812819</v>
      </c>
      <c r="AB899" s="6">
        <f>$K$899*$V$899</f>
        <v>0</v>
      </c>
      <c r="AC899" s="6">
        <f>$M$899*$W$899</f>
        <v>28782.630799999999</v>
      </c>
      <c r="AD899" s="6">
        <f>$O$899*$X$899</f>
        <v>22902.813863999996</v>
      </c>
      <c r="AE899" s="6">
        <f>$K$899*$Y$899</f>
        <v>0</v>
      </c>
      <c r="AF899" s="6">
        <f ca="1">$M$899*$Z$899</f>
        <v>30218.932553688104</v>
      </c>
      <c r="AG899" s="6">
        <f>$O$899*$AA$899</f>
        <v>21105.040120062975</v>
      </c>
    </row>
    <row r="900" spans="1:33" ht="11.25" customHeight="1" x14ac:dyDescent="0.25">
      <c r="A900" s="4" t="s">
        <v>21</v>
      </c>
      <c r="B900" s="4" t="s">
        <v>36</v>
      </c>
      <c r="C900" s="4" t="s">
        <v>23</v>
      </c>
      <c r="D900" s="4" t="s">
        <v>48</v>
      </c>
      <c r="E900" s="4" t="s">
        <v>49</v>
      </c>
      <c r="F900" s="4" t="s">
        <v>25</v>
      </c>
      <c r="G900" s="4" t="s">
        <v>25</v>
      </c>
      <c r="H900" s="4" t="s">
        <v>25</v>
      </c>
      <c r="I900" s="5">
        <v>44440</v>
      </c>
      <c r="J900" s="6">
        <v>0</v>
      </c>
      <c r="K900" s="97">
        <v>0</v>
      </c>
      <c r="L900" s="6">
        <v>98.474999999999994</v>
      </c>
      <c r="M900" s="97">
        <v>98.474999999999994</v>
      </c>
      <c r="N900" s="6">
        <v>98.474999999999994</v>
      </c>
      <c r="O900" s="97">
        <v>98.474999999999994</v>
      </c>
      <c r="P900" s="6">
        <v>26</v>
      </c>
      <c r="Q900" s="4" t="s">
        <v>26</v>
      </c>
      <c r="R900" s="4">
        <v>0</v>
      </c>
      <c r="S900" s="6">
        <v>0</v>
      </c>
      <c r="T900" s="6">
        <v>34</v>
      </c>
      <c r="U900" s="6">
        <v>80</v>
      </c>
      <c r="V900" s="97">
        <f>IF(ISERROR(VLOOKUP($S$900,'TAR FIN'!$A$1:$O$86,15,0)),0,VLOOKUP($S$900,'TAR FIN'!$A$1:$O$86,15,0))</f>
        <v>0</v>
      </c>
      <c r="W900" s="97">
        <f>IF(ISERROR(VLOOKUP($T$900,'TAR FIN'!$A$1:$O$86,15,0)),0,VLOOKUP($T$900,'TAR FIN'!$A$1:$O$86,15,0))*(1-0.06)</f>
        <v>305.02999999999997</v>
      </c>
      <c r="X900" s="97">
        <f>IF(ISERROR(VLOOKUP($U$900,'TAR FIN'!$A$1:$O$86,15,0)),0,VLOOKUP($U$900,'TAR FIN'!$A$1:$O$86,15,0))*(1-0.06)</f>
        <v>242.71739999999997</v>
      </c>
      <c r="Y900" s="97"/>
      <c r="Z900" s="97">
        <f ca="1">('TUSD BE'!$AM$49+'TUSD BF'!$AM$49+'TUSD CVA'!$AM$49)*1*(1-0.03)</f>
        <v>320.25151074277346</v>
      </c>
      <c r="AA900" s="97">
        <f>('TE BE'!$AB$39+'TE BF'!$AB$39+'TE CVA'!$AB$39)*1*(1-0.03)</f>
        <v>223.66511360812819</v>
      </c>
      <c r="AB900" s="6">
        <f>$K$900*$V$900</f>
        <v>0</v>
      </c>
      <c r="AC900" s="6">
        <f>$M$900*$W$900</f>
        <v>30037.829249999995</v>
      </c>
      <c r="AD900" s="6">
        <f>$O$900*$X$900</f>
        <v>23901.595964999997</v>
      </c>
      <c r="AE900" s="6">
        <f>$K$900*$Y$900</f>
        <v>0</v>
      </c>
      <c r="AF900" s="6">
        <f ca="1">$M$900*$Z$900</f>
        <v>31536.767520394616</v>
      </c>
      <c r="AG900" s="6">
        <f>$O$900*$AA$900</f>
        <v>22025.422062560421</v>
      </c>
    </row>
    <row r="901" spans="1:33" ht="11.25" customHeight="1" x14ac:dyDescent="0.25">
      <c r="A901" s="4" t="s">
        <v>21</v>
      </c>
      <c r="B901" s="4" t="s">
        <v>36</v>
      </c>
      <c r="C901" s="4" t="s">
        <v>23</v>
      </c>
      <c r="D901" s="4" t="s">
        <v>48</v>
      </c>
      <c r="E901" s="4" t="s">
        <v>49</v>
      </c>
      <c r="F901" s="4" t="s">
        <v>25</v>
      </c>
      <c r="G901" s="4" t="s">
        <v>25</v>
      </c>
      <c r="H901" s="4" t="s">
        <v>25</v>
      </c>
      <c r="I901" s="5">
        <v>44470</v>
      </c>
      <c r="J901" s="6">
        <v>0</v>
      </c>
      <c r="K901" s="97">
        <v>0</v>
      </c>
      <c r="L901" s="6">
        <v>105.744</v>
      </c>
      <c r="M901" s="97">
        <v>105.744</v>
      </c>
      <c r="N901" s="6">
        <v>105.744</v>
      </c>
      <c r="O901" s="97">
        <v>105.744</v>
      </c>
      <c r="P901" s="6">
        <v>26</v>
      </c>
      <c r="Q901" s="4" t="s">
        <v>26</v>
      </c>
      <c r="R901" s="4">
        <v>0</v>
      </c>
      <c r="S901" s="6">
        <v>0</v>
      </c>
      <c r="T901" s="6">
        <v>34</v>
      </c>
      <c r="U901" s="6">
        <v>80</v>
      </c>
      <c r="V901" s="97">
        <f>IF(ISERROR(VLOOKUP($S$901,'TAR FIN'!$A$1:$O$86,15,0)),0,VLOOKUP($S$901,'TAR FIN'!$A$1:$O$86,15,0))</f>
        <v>0</v>
      </c>
      <c r="W901" s="97">
        <f>IF(ISERROR(VLOOKUP($T$901,'TAR FIN'!$A$1:$O$86,15,0)),0,VLOOKUP($T$901,'TAR FIN'!$A$1:$O$86,15,0))*(1-0.06)</f>
        <v>305.02999999999997</v>
      </c>
      <c r="X901" s="97">
        <f>IF(ISERROR(VLOOKUP($U$901,'TAR FIN'!$A$1:$O$86,15,0)),0,VLOOKUP($U$901,'TAR FIN'!$A$1:$O$86,15,0))*(1-0.06)</f>
        <v>242.71739999999997</v>
      </c>
      <c r="Y901" s="97"/>
      <c r="Z901" s="97">
        <f ca="1">('TUSD BE'!$AM$49+'TUSD BF'!$AM$49+'TUSD CVA'!$AM$49)*1*(1-0.03)</f>
        <v>320.25151074277346</v>
      </c>
      <c r="AA901" s="97">
        <f>('TE BE'!$AB$39+'TE BF'!$AB$39+'TE CVA'!$AB$39)*1*(1-0.03)</f>
        <v>223.66511360812819</v>
      </c>
      <c r="AB901" s="6">
        <f>$K$901*$V$901</f>
        <v>0</v>
      </c>
      <c r="AC901" s="6">
        <f>$M$901*$W$901</f>
        <v>32255.092319999996</v>
      </c>
      <c r="AD901" s="6">
        <f>$O$901*$X$901</f>
        <v>25665.908745599998</v>
      </c>
      <c r="AE901" s="6">
        <f>$K$901*$Y$901</f>
        <v>0</v>
      </c>
      <c r="AF901" s="6">
        <f ca="1">$M$901*$Z$901</f>
        <v>33864.675751983836</v>
      </c>
      <c r="AG901" s="6">
        <f>$O$901*$AA$901</f>
        <v>23651.243773377908</v>
      </c>
    </row>
    <row r="902" spans="1:33" ht="11.25" customHeight="1" x14ac:dyDescent="0.25">
      <c r="A902" s="4" t="s">
        <v>21</v>
      </c>
      <c r="B902" s="4" t="s">
        <v>36</v>
      </c>
      <c r="C902" s="4" t="s">
        <v>23</v>
      </c>
      <c r="D902" s="4" t="s">
        <v>48</v>
      </c>
      <c r="E902" s="4" t="s">
        <v>49</v>
      </c>
      <c r="F902" s="4" t="s">
        <v>25</v>
      </c>
      <c r="G902" s="4" t="s">
        <v>25</v>
      </c>
      <c r="H902" s="4" t="s">
        <v>25</v>
      </c>
      <c r="I902" s="5">
        <v>44501</v>
      </c>
      <c r="J902" s="6">
        <v>0</v>
      </c>
      <c r="K902" s="97">
        <v>0</v>
      </c>
      <c r="L902" s="6">
        <v>77.584999999999994</v>
      </c>
      <c r="M902" s="97">
        <v>77.584999999999994</v>
      </c>
      <c r="N902" s="6">
        <v>77.584999999999994</v>
      </c>
      <c r="O902" s="97">
        <v>77.584999999999994</v>
      </c>
      <c r="P902" s="6">
        <v>26</v>
      </c>
      <c r="Q902" s="4" t="s">
        <v>26</v>
      </c>
      <c r="R902" s="4">
        <v>0</v>
      </c>
      <c r="S902" s="6">
        <v>0</v>
      </c>
      <c r="T902" s="6">
        <v>34</v>
      </c>
      <c r="U902" s="6">
        <v>80</v>
      </c>
      <c r="V902" s="97">
        <f>IF(ISERROR(VLOOKUP($S$902,'TAR FIN'!$A$1:$O$86,15,0)),0,VLOOKUP($S$902,'TAR FIN'!$A$1:$O$86,15,0))</f>
        <v>0</v>
      </c>
      <c r="W902" s="97">
        <f>IF(ISERROR(VLOOKUP($T$902,'TAR FIN'!$A$1:$O$86,15,0)),0,VLOOKUP($T$902,'TAR FIN'!$A$1:$O$86,15,0))*(1-0.06)</f>
        <v>305.02999999999997</v>
      </c>
      <c r="X902" s="97">
        <f>IF(ISERROR(VLOOKUP($U$902,'TAR FIN'!$A$1:$O$86,15,0)),0,VLOOKUP($U$902,'TAR FIN'!$A$1:$O$86,15,0))*(1-0.06)</f>
        <v>242.71739999999997</v>
      </c>
      <c r="Y902" s="97"/>
      <c r="Z902" s="97">
        <f ca="1">('TUSD BE'!$AM$49+'TUSD BF'!$AM$49+'TUSD CVA'!$AM$49)*1*(1-0.03)</f>
        <v>320.25151074277346</v>
      </c>
      <c r="AA902" s="97">
        <f>('TE BE'!$AB$39+'TE BF'!$AB$39+'TE CVA'!$AB$39)*1*(1-0.03)</f>
        <v>223.66511360812819</v>
      </c>
      <c r="AB902" s="6">
        <f>$K$902*$V$902</f>
        <v>0</v>
      </c>
      <c r="AC902" s="6">
        <f>$M$902*$W$902</f>
        <v>23665.752549999997</v>
      </c>
      <c r="AD902" s="6">
        <f>$O$902*$X$902</f>
        <v>18831.229478999998</v>
      </c>
      <c r="AE902" s="6">
        <f>$K$902*$Y$902</f>
        <v>0</v>
      </c>
      <c r="AF902" s="6">
        <f ca="1">$M$902*$Z$902</f>
        <v>24846.713460978077</v>
      </c>
      <c r="AG902" s="6">
        <f>$O$902*$AA$902</f>
        <v>17353.057839286626</v>
      </c>
    </row>
    <row r="903" spans="1:33" ht="11.25" customHeight="1" x14ac:dyDescent="0.25">
      <c r="A903" s="4" t="s">
        <v>21</v>
      </c>
      <c r="B903" s="4" t="s">
        <v>36</v>
      </c>
      <c r="C903" s="4" t="s">
        <v>23</v>
      </c>
      <c r="D903" s="4" t="s">
        <v>48</v>
      </c>
      <c r="E903" s="4" t="s">
        <v>49</v>
      </c>
      <c r="F903" s="4" t="s">
        <v>25</v>
      </c>
      <c r="G903" s="4" t="s">
        <v>25</v>
      </c>
      <c r="H903" s="4" t="s">
        <v>25</v>
      </c>
      <c r="I903" s="5">
        <v>44531</v>
      </c>
      <c r="J903" s="6">
        <v>0</v>
      </c>
      <c r="K903" s="97">
        <v>0</v>
      </c>
      <c r="L903" s="6">
        <v>94.201999999999998</v>
      </c>
      <c r="M903" s="97">
        <v>94.201999999999998</v>
      </c>
      <c r="N903" s="6">
        <v>94.201999999999998</v>
      </c>
      <c r="O903" s="97">
        <v>94.201999999999998</v>
      </c>
      <c r="P903" s="6">
        <v>26</v>
      </c>
      <c r="Q903" s="4" t="s">
        <v>26</v>
      </c>
      <c r="R903" s="4">
        <v>0</v>
      </c>
      <c r="S903" s="6">
        <v>0</v>
      </c>
      <c r="T903" s="6">
        <v>34</v>
      </c>
      <c r="U903" s="6">
        <v>80</v>
      </c>
      <c r="V903" s="97">
        <f>IF(ISERROR(VLOOKUP($S$903,'TAR FIN'!$A$1:$O$86,15,0)),0,VLOOKUP($S$903,'TAR FIN'!$A$1:$O$86,15,0))</f>
        <v>0</v>
      </c>
      <c r="W903" s="97">
        <f>IF(ISERROR(VLOOKUP($T$903,'TAR FIN'!$A$1:$O$86,15,0)),0,VLOOKUP($T$903,'TAR FIN'!$A$1:$O$86,15,0))*(1-0.06)</f>
        <v>305.02999999999997</v>
      </c>
      <c r="X903" s="97">
        <f>IF(ISERROR(VLOOKUP($U$903,'TAR FIN'!$A$1:$O$86,15,0)),0,VLOOKUP($U$903,'TAR FIN'!$A$1:$O$86,15,0))*(1-0.06)</f>
        <v>242.71739999999997</v>
      </c>
      <c r="Y903" s="97"/>
      <c r="Z903" s="97">
        <f ca="1">('TUSD BE'!$AM$49+'TUSD BF'!$AM$49+'TUSD CVA'!$AM$49)*1*(1-0.03)</f>
        <v>320.25151074277346</v>
      </c>
      <c r="AA903" s="97">
        <f>('TE BE'!$AB$39+'TE BF'!$AB$39+'TE CVA'!$AB$39)*1*(1-0.03)</f>
        <v>223.66511360812819</v>
      </c>
      <c r="AB903" s="6">
        <f>$K$903*$V$903</f>
        <v>0</v>
      </c>
      <c r="AC903" s="6">
        <f>$M$903*$W$903</f>
        <v>28734.436059999996</v>
      </c>
      <c r="AD903" s="6">
        <f>$O$903*$X$903</f>
        <v>22864.464514799998</v>
      </c>
      <c r="AE903" s="6">
        <f>$K$903*$Y$903</f>
        <v>0</v>
      </c>
      <c r="AF903" s="6">
        <f ca="1">$M$903*$Z$903</f>
        <v>30168.332814990747</v>
      </c>
      <c r="AG903" s="6">
        <f>$O$903*$AA$903</f>
        <v>21069.701032112891</v>
      </c>
    </row>
    <row r="904" spans="1:33" ht="11.25" customHeight="1" x14ac:dyDescent="0.25">
      <c r="A904" s="4" t="s">
        <v>21</v>
      </c>
      <c r="B904" s="4" t="s">
        <v>36</v>
      </c>
      <c r="C904" s="4" t="s">
        <v>23</v>
      </c>
      <c r="D904" s="4" t="s">
        <v>48</v>
      </c>
      <c r="E904" s="4" t="s">
        <v>49</v>
      </c>
      <c r="F904" s="4" t="s">
        <v>25</v>
      </c>
      <c r="G904" s="4" t="s">
        <v>25</v>
      </c>
      <c r="H904" s="4" t="s">
        <v>25</v>
      </c>
      <c r="I904" s="5">
        <v>44562</v>
      </c>
      <c r="J904" s="6">
        <v>0</v>
      </c>
      <c r="K904" s="97">
        <v>0</v>
      </c>
      <c r="L904" s="6">
        <v>94.076999999999998</v>
      </c>
      <c r="M904" s="97">
        <v>94.076999999999998</v>
      </c>
      <c r="N904" s="6">
        <v>94.076999999999998</v>
      </c>
      <c r="O904" s="97">
        <v>94.076999999999998</v>
      </c>
      <c r="P904" s="6">
        <v>26</v>
      </c>
      <c r="Q904" s="4" t="s">
        <v>26</v>
      </c>
      <c r="R904" s="4">
        <v>0</v>
      </c>
      <c r="S904" s="6">
        <v>0</v>
      </c>
      <c r="T904" s="6">
        <v>34</v>
      </c>
      <c r="U904" s="6">
        <v>80</v>
      </c>
      <c r="V904" s="97">
        <f>IF(ISERROR(VLOOKUP($S$904,'TAR FIN'!$A$1:$O$86,15,0)),0,VLOOKUP($S$904,'TAR FIN'!$A$1:$O$86,15,0))</f>
        <v>0</v>
      </c>
      <c r="W904" s="97">
        <f>IF(ISERROR(VLOOKUP($T$904,'TAR FIN'!$A$1:$O$86,15,0)),0,VLOOKUP($T$904,'TAR FIN'!$A$1:$O$86,15,0))*(1-0.06)</f>
        <v>305.02999999999997</v>
      </c>
      <c r="X904" s="97">
        <f>IF(ISERROR(VLOOKUP($U$904,'TAR FIN'!$A$1:$O$86,15,0)),0,VLOOKUP($U$904,'TAR FIN'!$A$1:$O$86,15,0))*(1-0.06)</f>
        <v>242.71739999999997</v>
      </c>
      <c r="Y904" s="97"/>
      <c r="Z904" s="97">
        <f ca="1">('TUSD BE'!$AM$49+'TUSD BF'!$AM$49+'TUSD CVA'!$AM$49)*1*(1-0.03)</f>
        <v>320.25151074277346</v>
      </c>
      <c r="AA904" s="97">
        <f>('TE BE'!$AB$39+'TE BF'!$AB$39+'TE CVA'!$AB$39)*1*(1-0.03)</f>
        <v>223.66511360812819</v>
      </c>
      <c r="AB904" s="6">
        <f>$K$904*$V$904</f>
        <v>0</v>
      </c>
      <c r="AC904" s="6">
        <f>$M$904*$W$904</f>
        <v>28696.307309999997</v>
      </c>
      <c r="AD904" s="6">
        <f>$O$904*$X$904</f>
        <v>22834.124839799995</v>
      </c>
      <c r="AE904" s="6">
        <f>$K$904*$Y$904</f>
        <v>0</v>
      </c>
      <c r="AF904" s="6">
        <f ca="1">$M$904*$Z$904</f>
        <v>30128.301376147898</v>
      </c>
      <c r="AG904" s="6">
        <f>$O$904*$AA$904</f>
        <v>21041.742892911876</v>
      </c>
    </row>
    <row r="905" spans="1:33" ht="11.25" customHeight="1" x14ac:dyDescent="0.25">
      <c r="A905" s="4" t="s">
        <v>21</v>
      </c>
      <c r="B905" s="4" t="s">
        <v>36</v>
      </c>
      <c r="C905" s="4" t="s">
        <v>23</v>
      </c>
      <c r="D905" s="4" t="s">
        <v>48</v>
      </c>
      <c r="E905" s="4" t="s">
        <v>49</v>
      </c>
      <c r="F905" s="4" t="s">
        <v>25</v>
      </c>
      <c r="G905" s="4" t="s">
        <v>25</v>
      </c>
      <c r="H905" s="4" t="s">
        <v>25</v>
      </c>
      <c r="I905" s="5">
        <v>44593</v>
      </c>
      <c r="J905" s="6">
        <v>0</v>
      </c>
      <c r="K905" s="97">
        <v>0</v>
      </c>
      <c r="L905" s="6">
        <v>94.504000000000005</v>
      </c>
      <c r="M905" s="97">
        <v>94.504000000000005</v>
      </c>
      <c r="N905" s="6">
        <v>94.504000000000005</v>
      </c>
      <c r="O905" s="97">
        <v>94.504000000000005</v>
      </c>
      <c r="P905" s="6">
        <v>26</v>
      </c>
      <c r="Q905" s="4" t="s">
        <v>26</v>
      </c>
      <c r="R905" s="4">
        <v>0</v>
      </c>
      <c r="S905" s="6">
        <v>0</v>
      </c>
      <c r="T905" s="6">
        <v>34</v>
      </c>
      <c r="U905" s="6">
        <v>80</v>
      </c>
      <c r="V905" s="97">
        <f>IF(ISERROR(VLOOKUP($S$905,'TAR FIN'!$A$1:$O$86,15,0)),0,VLOOKUP($S$905,'TAR FIN'!$A$1:$O$86,15,0))</f>
        <v>0</v>
      </c>
      <c r="W905" s="97">
        <f>IF(ISERROR(VLOOKUP($T$905,'TAR FIN'!$A$1:$O$86,15,0)),0,VLOOKUP($T$905,'TAR FIN'!$A$1:$O$86,15,0))*(1-0.06)</f>
        <v>305.02999999999997</v>
      </c>
      <c r="X905" s="97">
        <f>IF(ISERROR(VLOOKUP($U$905,'TAR FIN'!$A$1:$O$86,15,0)),0,VLOOKUP($U$905,'TAR FIN'!$A$1:$O$86,15,0))*(1-0.06)</f>
        <v>242.71739999999997</v>
      </c>
      <c r="Y905" s="97"/>
      <c r="Z905" s="97">
        <f ca="1">('TUSD BE'!$AM$49+'TUSD BF'!$AM$49+'TUSD CVA'!$AM$49)*1*(1-0.03)</f>
        <v>320.25151074277346</v>
      </c>
      <c r="AA905" s="97">
        <f>('TE BE'!$AB$39+'TE BF'!$AB$39+'TE CVA'!$AB$39)*1*(1-0.03)</f>
        <v>223.66511360812819</v>
      </c>
      <c r="AB905" s="6">
        <f>$K$905*$V$905</f>
        <v>0</v>
      </c>
      <c r="AC905" s="6">
        <f>$M$905*$W$905</f>
        <v>28826.555119999997</v>
      </c>
      <c r="AD905" s="6">
        <f>$O$905*$X$905</f>
        <v>22937.765169599999</v>
      </c>
      <c r="AE905" s="6">
        <f>$K$905*$Y$905</f>
        <v>0</v>
      </c>
      <c r="AF905" s="6">
        <f ca="1">$M$905*$Z$905</f>
        <v>30265.048771235066</v>
      </c>
      <c r="AG905" s="6">
        <f>$O$905*$AA$905</f>
        <v>21137.247896422548</v>
      </c>
    </row>
    <row r="906" spans="1:33" ht="11.25" customHeight="1" x14ac:dyDescent="0.25">
      <c r="A906" s="4" t="s">
        <v>21</v>
      </c>
      <c r="B906" s="4" t="s">
        <v>36</v>
      </c>
      <c r="C906" s="4" t="s">
        <v>23</v>
      </c>
      <c r="D906" s="4" t="s">
        <v>48</v>
      </c>
      <c r="E906" s="4" t="s">
        <v>49</v>
      </c>
      <c r="F906" s="4" t="s">
        <v>25</v>
      </c>
      <c r="G906" s="4" t="s">
        <v>25</v>
      </c>
      <c r="H906" s="4" t="s">
        <v>25</v>
      </c>
      <c r="I906" s="5">
        <v>44621</v>
      </c>
      <c r="J906" s="6">
        <v>0</v>
      </c>
      <c r="K906" s="97">
        <v>0</v>
      </c>
      <c r="L906" s="6">
        <v>94.319000000000003</v>
      </c>
      <c r="M906" s="97">
        <v>94.319000000000003</v>
      </c>
      <c r="N906" s="6">
        <v>94.319000000000003</v>
      </c>
      <c r="O906" s="97">
        <v>94.319000000000003</v>
      </c>
      <c r="P906" s="6">
        <v>26</v>
      </c>
      <c r="Q906" s="4" t="s">
        <v>26</v>
      </c>
      <c r="R906" s="4">
        <v>0</v>
      </c>
      <c r="S906" s="6">
        <v>0</v>
      </c>
      <c r="T906" s="6">
        <v>34</v>
      </c>
      <c r="U906" s="6">
        <v>80</v>
      </c>
      <c r="V906" s="97">
        <f>IF(ISERROR(VLOOKUP($S$906,'TAR FIN'!$A$1:$O$86,15,0)),0,VLOOKUP($S$906,'TAR FIN'!$A$1:$O$86,15,0))</f>
        <v>0</v>
      </c>
      <c r="W906" s="97">
        <f>IF(ISERROR(VLOOKUP($T$906,'TAR FIN'!$A$1:$O$86,15,0)),0,VLOOKUP($T$906,'TAR FIN'!$A$1:$O$86,15,0))*(1-0.06)</f>
        <v>305.02999999999997</v>
      </c>
      <c r="X906" s="97">
        <f>IF(ISERROR(VLOOKUP($U$906,'TAR FIN'!$A$1:$O$86,15,0)),0,VLOOKUP($U$906,'TAR FIN'!$A$1:$O$86,15,0))*(1-0.06)</f>
        <v>242.71739999999997</v>
      </c>
      <c r="Y906" s="97"/>
      <c r="Z906" s="97">
        <f ca="1">('TUSD BE'!$AM$49+'TUSD BF'!$AM$49+'TUSD CVA'!$AM$49)*1*(1-0.03)</f>
        <v>320.25151074277346</v>
      </c>
      <c r="AA906" s="97">
        <f>('TE BE'!$AB$39+'TE BF'!$AB$39+'TE CVA'!$AB$39)*1*(1-0.03)</f>
        <v>223.66511360812819</v>
      </c>
      <c r="AB906" s="6">
        <f>$K$906*$V$906</f>
        <v>0</v>
      </c>
      <c r="AC906" s="6">
        <f>$M$906*$W$906</f>
        <v>28770.12457</v>
      </c>
      <c r="AD906" s="6">
        <f>$O$906*$X$906</f>
        <v>22892.862450599998</v>
      </c>
      <c r="AE906" s="6">
        <f>$K$906*$Y$906</f>
        <v>0</v>
      </c>
      <c r="AF906" s="6">
        <f ca="1">$M$906*$Z$906</f>
        <v>30205.80224174765</v>
      </c>
      <c r="AG906" s="6">
        <f>$O$906*$AA$906</f>
        <v>21095.869850405044</v>
      </c>
    </row>
    <row r="907" spans="1:33" ht="11.25" customHeight="1" x14ac:dyDescent="0.25">
      <c r="A907" s="4" t="s">
        <v>21</v>
      </c>
      <c r="B907" s="4" t="s">
        <v>36</v>
      </c>
      <c r="C907" s="4" t="s">
        <v>23</v>
      </c>
      <c r="D907" s="4" t="s">
        <v>48</v>
      </c>
      <c r="E907" s="4" t="s">
        <v>49</v>
      </c>
      <c r="F907" s="4" t="s">
        <v>25</v>
      </c>
      <c r="G907" s="4" t="s">
        <v>25</v>
      </c>
      <c r="H907" s="4" t="s">
        <v>25</v>
      </c>
      <c r="I907" s="5">
        <v>44652</v>
      </c>
      <c r="J907" s="6">
        <v>0</v>
      </c>
      <c r="K907" s="97">
        <v>0</v>
      </c>
      <c r="L907" s="6">
        <v>108.834</v>
      </c>
      <c r="M907" s="97">
        <v>108.834</v>
      </c>
      <c r="N907" s="6">
        <v>108.834</v>
      </c>
      <c r="O907" s="97">
        <v>108.834</v>
      </c>
      <c r="P907" s="6">
        <v>26</v>
      </c>
      <c r="Q907" s="4" t="s">
        <v>26</v>
      </c>
      <c r="R907" s="4">
        <v>0</v>
      </c>
      <c r="S907" s="6">
        <v>0</v>
      </c>
      <c r="T907" s="6">
        <v>34</v>
      </c>
      <c r="U907" s="6">
        <v>80</v>
      </c>
      <c r="V907" s="97">
        <f>IF(ISERROR(VLOOKUP($S$907,'TAR FIN'!$A$1:$O$86,15,0)),0,VLOOKUP($S$907,'TAR FIN'!$A$1:$O$86,15,0))</f>
        <v>0</v>
      </c>
      <c r="W907" s="97">
        <f>IF(ISERROR(VLOOKUP($T$907,'TAR FIN'!$A$1:$O$86,15,0)),0,VLOOKUP($T$907,'TAR FIN'!$A$1:$O$86,15,0))*(1-0.06)</f>
        <v>305.02999999999997</v>
      </c>
      <c r="X907" s="97">
        <f>IF(ISERROR(VLOOKUP($U$907,'TAR FIN'!$A$1:$O$86,15,0)),0,VLOOKUP($U$907,'TAR FIN'!$A$1:$O$86,15,0))*(1-0.06)</f>
        <v>242.71739999999997</v>
      </c>
      <c r="Y907" s="97"/>
      <c r="Z907" s="97">
        <f ca="1">('TUSD BE'!$AM$49+'TUSD BF'!$AM$49+'TUSD CVA'!$AM$49)*1*(1-0.03)</f>
        <v>320.25151074277346</v>
      </c>
      <c r="AA907" s="97">
        <f>('TE BE'!$AB$39+'TE BF'!$AB$39+'TE CVA'!$AB$39)*1*(1-0.03)</f>
        <v>223.66511360812819</v>
      </c>
      <c r="AB907" s="6">
        <f>$K$907*$V$907</f>
        <v>0</v>
      </c>
      <c r="AC907" s="6">
        <f>$M$907*$W$907</f>
        <v>33197.635020000002</v>
      </c>
      <c r="AD907" s="6">
        <f>$O$907*$X$907</f>
        <v>26415.905511599998</v>
      </c>
      <c r="AE907" s="6">
        <f>$K$907*$Y$907</f>
        <v>0</v>
      </c>
      <c r="AF907" s="6">
        <f ca="1">$M$907*$Z$907</f>
        <v>34854.252920179009</v>
      </c>
      <c r="AG907" s="6">
        <f>$O$907*$AA$907</f>
        <v>24342.368974427023</v>
      </c>
    </row>
    <row r="908" spans="1:33" ht="11.25" customHeight="1" x14ac:dyDescent="0.25">
      <c r="A908" s="4" t="s">
        <v>21</v>
      </c>
      <c r="B908" s="4" t="s">
        <v>36</v>
      </c>
      <c r="C908" s="4" t="s">
        <v>23</v>
      </c>
      <c r="D908" s="4" t="s">
        <v>48</v>
      </c>
      <c r="E908" s="4" t="s">
        <v>49</v>
      </c>
      <c r="F908" s="4" t="s">
        <v>25</v>
      </c>
      <c r="G908" s="4" t="s">
        <v>25</v>
      </c>
      <c r="H908" s="4" t="s">
        <v>25</v>
      </c>
      <c r="I908" s="5">
        <v>44682</v>
      </c>
      <c r="J908" s="6">
        <v>0</v>
      </c>
      <c r="K908" s="97">
        <v>0</v>
      </c>
      <c r="L908" s="6">
        <v>92.935000000000002</v>
      </c>
      <c r="M908" s="97">
        <v>92.935000000000002</v>
      </c>
      <c r="N908" s="6">
        <v>92.935000000000002</v>
      </c>
      <c r="O908" s="97">
        <v>92.935000000000002</v>
      </c>
      <c r="P908" s="6">
        <v>26</v>
      </c>
      <c r="Q908" s="4" t="s">
        <v>26</v>
      </c>
      <c r="R908" s="4">
        <v>0</v>
      </c>
      <c r="S908" s="6">
        <v>0</v>
      </c>
      <c r="T908" s="6">
        <v>34</v>
      </c>
      <c r="U908" s="6">
        <v>80</v>
      </c>
      <c r="V908" s="97">
        <f>IF(ISERROR(VLOOKUP($S$908,'TAR FIN'!$A$1:$O$86,15,0)),0,VLOOKUP($S$908,'TAR FIN'!$A$1:$O$86,15,0))</f>
        <v>0</v>
      </c>
      <c r="W908" s="97">
        <f>IF(ISERROR(VLOOKUP($T$908,'TAR FIN'!$A$1:$O$86,15,0)),0,VLOOKUP($T$908,'TAR FIN'!$A$1:$O$86,15,0))*(1-0.06)</f>
        <v>305.02999999999997</v>
      </c>
      <c r="X908" s="97">
        <f>IF(ISERROR(VLOOKUP($U$908,'TAR FIN'!$A$1:$O$86,15,0)),0,VLOOKUP($U$908,'TAR FIN'!$A$1:$O$86,15,0))*(1-0.06)</f>
        <v>242.71739999999997</v>
      </c>
      <c r="Y908" s="97"/>
      <c r="Z908" s="97">
        <f ca="1">('TUSD BE'!$AM$49+'TUSD BF'!$AM$49+'TUSD CVA'!$AM$49)*1*(1-0.03)</f>
        <v>320.25151074277346</v>
      </c>
      <c r="AA908" s="97">
        <f>('TE BE'!$AB$39+'TE BF'!$AB$39+'TE CVA'!$AB$39)*1*(1-0.03)</f>
        <v>223.66511360812819</v>
      </c>
      <c r="AB908" s="6">
        <f>$K$908*$V$908</f>
        <v>0</v>
      </c>
      <c r="AC908" s="6">
        <f>$M$908*$W$908</f>
        <v>28347.963049999998</v>
      </c>
      <c r="AD908" s="6">
        <f>$O$908*$X$908</f>
        <v>22556.941568999999</v>
      </c>
      <c r="AE908" s="6">
        <f>$K$908*$Y$908</f>
        <v>0</v>
      </c>
      <c r="AF908" s="6">
        <f ca="1">$M$908*$Z$908</f>
        <v>29762.574150879653</v>
      </c>
      <c r="AG908" s="6">
        <f>$O$908*$AA$908</f>
        <v>20786.317333171395</v>
      </c>
    </row>
    <row r="909" spans="1:33" ht="11.25" customHeight="1" x14ac:dyDescent="0.25">
      <c r="A909" s="4" t="s">
        <v>56</v>
      </c>
      <c r="B909" s="4" t="s">
        <v>36</v>
      </c>
      <c r="C909" s="4" t="s">
        <v>23</v>
      </c>
      <c r="D909" s="4" t="s">
        <v>48</v>
      </c>
      <c r="E909" s="4" t="s">
        <v>49</v>
      </c>
      <c r="F909" s="4" t="s">
        <v>25</v>
      </c>
      <c r="G909" s="4" t="s">
        <v>25</v>
      </c>
      <c r="H909" s="4" t="s">
        <v>25</v>
      </c>
      <c r="I909" s="5">
        <v>44713</v>
      </c>
      <c r="J909" s="6">
        <v>0</v>
      </c>
      <c r="K909" s="97">
        <v>0</v>
      </c>
      <c r="L909" s="6">
        <v>92.935000000000002</v>
      </c>
      <c r="M909" s="97">
        <v>92.935000000000002</v>
      </c>
      <c r="N909" s="6">
        <v>92.935000000000002</v>
      </c>
      <c r="O909" s="97">
        <v>92.935000000000002</v>
      </c>
      <c r="P909" s="6">
        <v>26</v>
      </c>
      <c r="Q909" s="4" t="s">
        <v>26</v>
      </c>
      <c r="R909" s="4">
        <v>0</v>
      </c>
      <c r="S909" s="6">
        <v>0</v>
      </c>
      <c r="T909" s="6">
        <v>34</v>
      </c>
      <c r="U909" s="6">
        <v>80</v>
      </c>
      <c r="V909" s="97">
        <f>IF(ISERROR(VLOOKUP($S$909,'TAR FIN'!$A$1:$O$86,15,0)),0,VLOOKUP($S$909,'TAR FIN'!$A$1:$O$86,15,0))</f>
        <v>0</v>
      </c>
      <c r="W909" s="97">
        <f>IF(ISERROR(VLOOKUP($T$909,'TAR FIN'!$A$1:$O$86,15,0)),0,VLOOKUP($T$909,'TAR FIN'!$A$1:$O$86,15,0))*(1-0.06)</f>
        <v>305.02999999999997</v>
      </c>
      <c r="X909" s="97">
        <f>IF(ISERROR(VLOOKUP($U$909,'TAR FIN'!$A$1:$O$86,15,0)),0,VLOOKUP($U$909,'TAR FIN'!$A$1:$O$86,15,0))*(1-0.06)</f>
        <v>242.71739999999997</v>
      </c>
      <c r="Y909" s="97"/>
      <c r="Z909" s="97">
        <f ca="1">('TUSD BE'!$AM$49+'TUSD BF'!$AM$49+'TUSD CVA'!$AM$49)*1*(1-0.03)</f>
        <v>320.25151074277346</v>
      </c>
      <c r="AA909" s="97">
        <f>('TE BE'!$AB$39+'TE BF'!$AB$39+'TE CVA'!$AB$39)*1*(1-0.03)</f>
        <v>223.66511360812819</v>
      </c>
      <c r="AB909" s="6">
        <f>$K$909*$V$909</f>
        <v>0</v>
      </c>
      <c r="AC909" s="6">
        <f>$M$909*$W$909</f>
        <v>28347.963049999998</v>
      </c>
      <c r="AD909" s="6">
        <f>$O$909*$X$909</f>
        <v>22556.941568999999</v>
      </c>
      <c r="AE909" s="6">
        <f>$K$909*$Y$909</f>
        <v>0</v>
      </c>
      <c r="AF909" s="6">
        <f ca="1">$M$909*$Z$909</f>
        <v>29762.574150879653</v>
      </c>
      <c r="AG909" s="6">
        <f>$O$909*$AA$909</f>
        <v>20786.317333171395</v>
      </c>
    </row>
    <row r="910" spans="1:33" ht="11.25" customHeight="1" x14ac:dyDescent="0.25">
      <c r="A910" s="4" t="s">
        <v>21</v>
      </c>
      <c r="B910" s="4" t="s">
        <v>45</v>
      </c>
      <c r="C910" s="4" t="s">
        <v>23</v>
      </c>
      <c r="D910" s="4" t="s">
        <v>46</v>
      </c>
      <c r="E910" s="4" t="s">
        <v>47</v>
      </c>
      <c r="F910" s="4" t="s">
        <v>25</v>
      </c>
      <c r="G910" s="4" t="s">
        <v>25</v>
      </c>
      <c r="H910" s="4" t="s">
        <v>25</v>
      </c>
      <c r="I910" s="5">
        <v>44378</v>
      </c>
      <c r="J910" s="6">
        <v>0</v>
      </c>
      <c r="K910" s="6">
        <v>0</v>
      </c>
      <c r="L910" s="6">
        <v>471.03500000000003</v>
      </c>
      <c r="M910" s="6">
        <v>471.03500000000003</v>
      </c>
      <c r="N910" s="6">
        <v>471.03500000000003</v>
      </c>
      <c r="O910" s="6">
        <v>471.03500000000003</v>
      </c>
      <c r="P910" s="6">
        <v>9</v>
      </c>
      <c r="Q910" s="4" t="s">
        <v>26</v>
      </c>
      <c r="R910" s="4">
        <v>0</v>
      </c>
      <c r="S910" s="6">
        <v>0</v>
      </c>
      <c r="T910" s="6">
        <v>65</v>
      </c>
      <c r="U910" s="6">
        <v>82</v>
      </c>
      <c r="V910" s="6">
        <f>IF(ISERROR(VLOOKUP($S$910,'TAR FIN'!$A$1:$O$86,15,0)),0,VLOOKUP($S$910,'TAR FIN'!$A$1:$O$86,15,0))</f>
        <v>0</v>
      </c>
      <c r="W910" s="6">
        <f>IF(ISERROR(VLOOKUP($T$910,'TAR FIN'!$A$1:$O$86,15,0)),0,VLOOKUP($T$910,'TAR FIN'!$A$1:$O$86,15,0))</f>
        <v>178.47</v>
      </c>
      <c r="X910" s="6">
        <f>IF(ISERROR(VLOOKUP($U$910,'TAR FIN'!$A$1:$O$86,15,0)),0,VLOOKUP($U$910,'TAR FIN'!$A$1:$O$86,15,0))</f>
        <v>142.02000000000001</v>
      </c>
      <c r="Y910" s="6"/>
      <c r="Z910" s="6">
        <f ca="1">('TUSD BE'!$AM$51+'TUSD BF'!$AM$51+'TUSD CVA'!$AM$51)*1</f>
        <v>181.58590815311899</v>
      </c>
      <c r="AA910" s="6">
        <f>('TE BE'!$AB$41+'TE BF'!$AB$41+'TE CVA'!$AB$41)*1</f>
        <v>126.82042524172216</v>
      </c>
      <c r="AB910" s="6">
        <f>$K$910*$V$910</f>
        <v>0</v>
      </c>
      <c r="AC910" s="6">
        <f>$M$910*$W$910</f>
        <v>84065.616450000001</v>
      </c>
      <c r="AD910" s="6">
        <f>$O$910*$X$910</f>
        <v>66896.390700000004</v>
      </c>
      <c r="AE910" s="6">
        <f>$K$910*$Y$910</f>
        <v>0</v>
      </c>
      <c r="AF910" s="6">
        <f ca="1">$M$910*$Z$910</f>
        <v>85533.318246904411</v>
      </c>
      <c r="AG910" s="6">
        <f>$O$910*$AA$910</f>
        <v>59736.8590037346</v>
      </c>
    </row>
    <row r="911" spans="1:33" ht="11.25" customHeight="1" x14ac:dyDescent="0.25">
      <c r="A911" s="4" t="s">
        <v>21</v>
      </c>
      <c r="B911" s="4" t="s">
        <v>45</v>
      </c>
      <c r="C911" s="4" t="s">
        <v>23</v>
      </c>
      <c r="D911" s="4" t="s">
        <v>46</v>
      </c>
      <c r="E911" s="4" t="s">
        <v>47</v>
      </c>
      <c r="F911" s="4" t="s">
        <v>25</v>
      </c>
      <c r="G911" s="4" t="s">
        <v>25</v>
      </c>
      <c r="H911" s="4" t="s">
        <v>25</v>
      </c>
      <c r="I911" s="5">
        <v>44409</v>
      </c>
      <c r="J911" s="6">
        <v>0</v>
      </c>
      <c r="K911" s="6">
        <v>0</v>
      </c>
      <c r="L911" s="6">
        <v>462.63900000000001</v>
      </c>
      <c r="M911" s="6">
        <v>462.63900000000001</v>
      </c>
      <c r="N911" s="6">
        <v>462.63900000000001</v>
      </c>
      <c r="O911" s="6">
        <v>462.63900000000001</v>
      </c>
      <c r="P911" s="6">
        <v>9</v>
      </c>
      <c r="Q911" s="4" t="s">
        <v>26</v>
      </c>
      <c r="R911" s="4">
        <v>0</v>
      </c>
      <c r="S911" s="6">
        <v>0</v>
      </c>
      <c r="T911" s="6">
        <v>65</v>
      </c>
      <c r="U911" s="6">
        <v>82</v>
      </c>
      <c r="V911" s="6">
        <f>IF(ISERROR(VLOOKUP($S$911,'TAR FIN'!$A$1:$O$86,15,0)),0,VLOOKUP($S$911,'TAR FIN'!$A$1:$O$86,15,0))</f>
        <v>0</v>
      </c>
      <c r="W911" s="6">
        <f>IF(ISERROR(VLOOKUP($T$911,'TAR FIN'!$A$1:$O$86,15,0)),0,VLOOKUP($T$911,'TAR FIN'!$A$1:$O$86,15,0))</f>
        <v>178.47</v>
      </c>
      <c r="X911" s="6">
        <f>IF(ISERROR(VLOOKUP($U$911,'TAR FIN'!$A$1:$O$86,15,0)),0,VLOOKUP($U$911,'TAR FIN'!$A$1:$O$86,15,0))</f>
        <v>142.02000000000001</v>
      </c>
      <c r="Y911" s="6"/>
      <c r="Z911" s="6">
        <f ca="1">('TUSD BE'!$AM$51+'TUSD BF'!$AM$51+'TUSD CVA'!$AM$51)*1</f>
        <v>181.58590815311899</v>
      </c>
      <c r="AA911" s="6">
        <f>('TE BE'!$AB$41+'TE BF'!$AB$41+'TE CVA'!$AB$41)*1</f>
        <v>126.82042524172216</v>
      </c>
      <c r="AB911" s="6">
        <f>$K$911*$V$911</f>
        <v>0</v>
      </c>
      <c r="AC911" s="6">
        <f>$M$911*$W$911</f>
        <v>82567.182329999996</v>
      </c>
      <c r="AD911" s="6">
        <f>$O$911*$X$911</f>
        <v>65703.990780000007</v>
      </c>
      <c r="AE911" s="6">
        <f>$K$911*$Y$911</f>
        <v>0</v>
      </c>
      <c r="AF911" s="6">
        <f ca="1">$M$911*$Z$911</f>
        <v>84008.722962050815</v>
      </c>
      <c r="AG911" s="6">
        <f>$O$911*$AA$911</f>
        <v>58672.074713405098</v>
      </c>
    </row>
    <row r="912" spans="1:33" ht="11.25" customHeight="1" x14ac:dyDescent="0.25">
      <c r="A912" s="4" t="s">
        <v>21</v>
      </c>
      <c r="B912" s="4" t="s">
        <v>45</v>
      </c>
      <c r="C912" s="4" t="s">
        <v>23</v>
      </c>
      <c r="D912" s="4" t="s">
        <v>46</v>
      </c>
      <c r="E912" s="4" t="s">
        <v>47</v>
      </c>
      <c r="F912" s="4" t="s">
        <v>25</v>
      </c>
      <c r="G912" s="4" t="s">
        <v>25</v>
      </c>
      <c r="H912" s="4" t="s">
        <v>25</v>
      </c>
      <c r="I912" s="5">
        <v>44440</v>
      </c>
      <c r="J912" s="6">
        <v>0</v>
      </c>
      <c r="K912" s="6">
        <v>0</v>
      </c>
      <c r="L912" s="6">
        <v>447.71600000000001</v>
      </c>
      <c r="M912" s="6">
        <v>447.71600000000001</v>
      </c>
      <c r="N912" s="6">
        <v>447.71600000000001</v>
      </c>
      <c r="O912" s="6">
        <v>447.71600000000001</v>
      </c>
      <c r="P912" s="6">
        <v>9</v>
      </c>
      <c r="Q912" s="4" t="s">
        <v>26</v>
      </c>
      <c r="R912" s="4">
        <v>0</v>
      </c>
      <c r="S912" s="6">
        <v>0</v>
      </c>
      <c r="T912" s="6">
        <v>65</v>
      </c>
      <c r="U912" s="6">
        <v>82</v>
      </c>
      <c r="V912" s="6">
        <f>IF(ISERROR(VLOOKUP($S$912,'TAR FIN'!$A$1:$O$86,15,0)),0,VLOOKUP($S$912,'TAR FIN'!$A$1:$O$86,15,0))</f>
        <v>0</v>
      </c>
      <c r="W912" s="6">
        <f>IF(ISERROR(VLOOKUP($T$912,'TAR FIN'!$A$1:$O$86,15,0)),0,VLOOKUP($T$912,'TAR FIN'!$A$1:$O$86,15,0))</f>
        <v>178.47</v>
      </c>
      <c r="X912" s="6">
        <f>IF(ISERROR(VLOOKUP($U$912,'TAR FIN'!$A$1:$O$86,15,0)),0,VLOOKUP($U$912,'TAR FIN'!$A$1:$O$86,15,0))</f>
        <v>142.02000000000001</v>
      </c>
      <c r="Y912" s="6"/>
      <c r="Z912" s="6">
        <f ca="1">('TUSD BE'!$AM$51+'TUSD BF'!$AM$51+'TUSD CVA'!$AM$51)*1</f>
        <v>181.58590815311899</v>
      </c>
      <c r="AA912" s="6">
        <f>('TE BE'!$AB$41+'TE BF'!$AB$41+'TE CVA'!$AB$41)*1</f>
        <v>126.82042524172216</v>
      </c>
      <c r="AB912" s="6">
        <f>$K$912*$V$912</f>
        <v>0</v>
      </c>
      <c r="AC912" s="6">
        <f>$M$912*$W$912</f>
        <v>79903.874519999998</v>
      </c>
      <c r="AD912" s="6">
        <f>$O$912*$X$912</f>
        <v>63584.626320000003</v>
      </c>
      <c r="AE912" s="6">
        <f>$K$912*$Y$912</f>
        <v>0</v>
      </c>
      <c r="AF912" s="6">
        <f ca="1">$M$912*$Z$912</f>
        <v>81298.916454681821</v>
      </c>
      <c r="AG912" s="6">
        <f>$O$912*$AA$912</f>
        <v>56779.53350752288</v>
      </c>
    </row>
    <row r="913" spans="1:33" ht="11.25" customHeight="1" x14ac:dyDescent="0.25">
      <c r="A913" s="4" t="s">
        <v>21</v>
      </c>
      <c r="B913" s="4" t="s">
        <v>45</v>
      </c>
      <c r="C913" s="4" t="s">
        <v>23</v>
      </c>
      <c r="D913" s="4" t="s">
        <v>46</v>
      </c>
      <c r="E913" s="4" t="s">
        <v>47</v>
      </c>
      <c r="F913" s="4" t="s">
        <v>25</v>
      </c>
      <c r="G913" s="4" t="s">
        <v>25</v>
      </c>
      <c r="H913" s="4" t="s">
        <v>25</v>
      </c>
      <c r="I913" s="5">
        <v>44470</v>
      </c>
      <c r="J913" s="6">
        <v>0</v>
      </c>
      <c r="K913" s="6">
        <v>0</v>
      </c>
      <c r="L913" s="6">
        <v>462.63900000000001</v>
      </c>
      <c r="M913" s="6">
        <v>462.63900000000001</v>
      </c>
      <c r="N913" s="6">
        <v>462.63900000000001</v>
      </c>
      <c r="O913" s="6">
        <v>462.63900000000001</v>
      </c>
      <c r="P913" s="6">
        <v>9</v>
      </c>
      <c r="Q913" s="4" t="s">
        <v>26</v>
      </c>
      <c r="R913" s="4">
        <v>0</v>
      </c>
      <c r="S913" s="6">
        <v>0</v>
      </c>
      <c r="T913" s="6">
        <v>65</v>
      </c>
      <c r="U913" s="6">
        <v>82</v>
      </c>
      <c r="V913" s="6">
        <f>IF(ISERROR(VLOOKUP($S$913,'TAR FIN'!$A$1:$O$86,15,0)),0,VLOOKUP($S$913,'TAR FIN'!$A$1:$O$86,15,0))</f>
        <v>0</v>
      </c>
      <c r="W913" s="6">
        <f>IF(ISERROR(VLOOKUP($T$913,'TAR FIN'!$A$1:$O$86,15,0)),0,VLOOKUP($T$913,'TAR FIN'!$A$1:$O$86,15,0))</f>
        <v>178.47</v>
      </c>
      <c r="X913" s="6">
        <f>IF(ISERROR(VLOOKUP($U$913,'TAR FIN'!$A$1:$O$86,15,0)),0,VLOOKUP($U$913,'TAR FIN'!$A$1:$O$86,15,0))</f>
        <v>142.02000000000001</v>
      </c>
      <c r="Y913" s="6"/>
      <c r="Z913" s="6">
        <f ca="1">('TUSD BE'!$AM$51+'TUSD BF'!$AM$51+'TUSD CVA'!$AM$51)*1</f>
        <v>181.58590815311899</v>
      </c>
      <c r="AA913" s="6">
        <f>('TE BE'!$AB$41+'TE BF'!$AB$41+'TE CVA'!$AB$41)*1</f>
        <v>126.82042524172216</v>
      </c>
      <c r="AB913" s="6">
        <f>$K$913*$V$913</f>
        <v>0</v>
      </c>
      <c r="AC913" s="6">
        <f>$M$913*$W$913</f>
        <v>82567.182329999996</v>
      </c>
      <c r="AD913" s="6">
        <f>$O$913*$X$913</f>
        <v>65703.990780000007</v>
      </c>
      <c r="AE913" s="6">
        <f>$K$913*$Y$913</f>
        <v>0</v>
      </c>
      <c r="AF913" s="6">
        <f ca="1">$M$913*$Z$913</f>
        <v>84008.722962050815</v>
      </c>
      <c r="AG913" s="6">
        <f>$O$913*$AA$913</f>
        <v>58672.074713405098</v>
      </c>
    </row>
    <row r="914" spans="1:33" ht="11.25" customHeight="1" x14ac:dyDescent="0.25">
      <c r="A914" s="4" t="s">
        <v>21</v>
      </c>
      <c r="B914" s="4" t="s">
        <v>45</v>
      </c>
      <c r="C914" s="4" t="s">
        <v>23</v>
      </c>
      <c r="D914" s="4" t="s">
        <v>46</v>
      </c>
      <c r="E914" s="4" t="s">
        <v>47</v>
      </c>
      <c r="F914" s="4" t="s">
        <v>25</v>
      </c>
      <c r="G914" s="4" t="s">
        <v>25</v>
      </c>
      <c r="H914" s="4" t="s">
        <v>25</v>
      </c>
      <c r="I914" s="5">
        <v>44501</v>
      </c>
      <c r="J914" s="6">
        <v>0</v>
      </c>
      <c r="K914" s="6">
        <v>0</v>
      </c>
      <c r="L914" s="6">
        <v>448.31</v>
      </c>
      <c r="M914" s="6">
        <v>448.31</v>
      </c>
      <c r="N914" s="6">
        <v>448.31</v>
      </c>
      <c r="O914" s="6">
        <v>448.31</v>
      </c>
      <c r="P914" s="6">
        <v>10</v>
      </c>
      <c r="Q914" s="4" t="s">
        <v>26</v>
      </c>
      <c r="R914" s="4">
        <v>0</v>
      </c>
      <c r="S914" s="6">
        <v>0</v>
      </c>
      <c r="T914" s="6">
        <v>65</v>
      </c>
      <c r="U914" s="6">
        <v>82</v>
      </c>
      <c r="V914" s="6">
        <f>IF(ISERROR(VLOOKUP($S$914,'TAR FIN'!$A$1:$O$86,15,0)),0,VLOOKUP($S$914,'TAR FIN'!$A$1:$O$86,15,0))</f>
        <v>0</v>
      </c>
      <c r="W914" s="6">
        <f>IF(ISERROR(VLOOKUP($T$914,'TAR FIN'!$A$1:$O$86,15,0)),0,VLOOKUP($T$914,'TAR FIN'!$A$1:$O$86,15,0))</f>
        <v>178.47</v>
      </c>
      <c r="X914" s="6">
        <f>IF(ISERROR(VLOOKUP($U$914,'TAR FIN'!$A$1:$O$86,15,0)),0,VLOOKUP($U$914,'TAR FIN'!$A$1:$O$86,15,0))</f>
        <v>142.02000000000001</v>
      </c>
      <c r="Y914" s="6"/>
      <c r="Z914" s="6">
        <f ca="1">('TUSD BE'!$AM$51+'TUSD BF'!$AM$51+'TUSD CVA'!$AM$51)*1</f>
        <v>181.58590815311899</v>
      </c>
      <c r="AA914" s="6">
        <f>('TE BE'!$AB$41+'TE BF'!$AB$41+'TE CVA'!$AB$41)*1</f>
        <v>126.82042524172216</v>
      </c>
      <c r="AB914" s="6">
        <f>$K$914*$V$914</f>
        <v>0</v>
      </c>
      <c r="AC914" s="6">
        <f>$M$914*$W$914</f>
        <v>80009.885699999999</v>
      </c>
      <c r="AD914" s="6">
        <f>$O$914*$X$914</f>
        <v>63668.986200000007</v>
      </c>
      <c r="AE914" s="6">
        <f>$K$914*$Y$914</f>
        <v>0</v>
      </c>
      <c r="AF914" s="6">
        <f ca="1">$M$914*$Z$914</f>
        <v>81406.778484124778</v>
      </c>
      <c r="AG914" s="6">
        <f>$O$914*$AA$914</f>
        <v>56854.864840116461</v>
      </c>
    </row>
    <row r="915" spans="1:33" ht="11.25" customHeight="1" x14ac:dyDescent="0.25">
      <c r="A915" s="4" t="s">
        <v>21</v>
      </c>
      <c r="B915" s="4" t="s">
        <v>45</v>
      </c>
      <c r="C915" s="4" t="s">
        <v>23</v>
      </c>
      <c r="D915" s="4" t="s">
        <v>46</v>
      </c>
      <c r="E915" s="4" t="s">
        <v>47</v>
      </c>
      <c r="F915" s="4" t="s">
        <v>25</v>
      </c>
      <c r="G915" s="4" t="s">
        <v>25</v>
      </c>
      <c r="H915" s="4" t="s">
        <v>25</v>
      </c>
      <c r="I915" s="5">
        <v>44531</v>
      </c>
      <c r="J915" s="6">
        <v>0</v>
      </c>
      <c r="K915" s="6">
        <v>0</v>
      </c>
      <c r="L915" s="6">
        <v>463.16500000000002</v>
      </c>
      <c r="M915" s="6">
        <v>463.16500000000002</v>
      </c>
      <c r="N915" s="6">
        <v>463.16500000000002</v>
      </c>
      <c r="O915" s="6">
        <v>463.16500000000002</v>
      </c>
      <c r="P915" s="6">
        <v>10</v>
      </c>
      <c r="Q915" s="4" t="s">
        <v>26</v>
      </c>
      <c r="R915" s="4">
        <v>0</v>
      </c>
      <c r="S915" s="6">
        <v>0</v>
      </c>
      <c r="T915" s="6">
        <v>65</v>
      </c>
      <c r="U915" s="6">
        <v>82</v>
      </c>
      <c r="V915" s="6">
        <f>IF(ISERROR(VLOOKUP($S$915,'TAR FIN'!$A$1:$O$86,15,0)),0,VLOOKUP($S$915,'TAR FIN'!$A$1:$O$86,15,0))</f>
        <v>0</v>
      </c>
      <c r="W915" s="6">
        <f>IF(ISERROR(VLOOKUP($T$915,'TAR FIN'!$A$1:$O$86,15,0)),0,VLOOKUP($T$915,'TAR FIN'!$A$1:$O$86,15,0))</f>
        <v>178.47</v>
      </c>
      <c r="X915" s="6">
        <f>IF(ISERROR(VLOOKUP($U$915,'TAR FIN'!$A$1:$O$86,15,0)),0,VLOOKUP($U$915,'TAR FIN'!$A$1:$O$86,15,0))</f>
        <v>142.02000000000001</v>
      </c>
      <c r="Y915" s="6"/>
      <c r="Z915" s="6">
        <f ca="1">('TUSD BE'!$AM$51+'TUSD BF'!$AM$51+'TUSD CVA'!$AM$51)*1</f>
        <v>181.58590815311899</v>
      </c>
      <c r="AA915" s="6">
        <f>('TE BE'!$AB$41+'TE BF'!$AB$41+'TE CVA'!$AB$41)*1</f>
        <v>126.82042524172216</v>
      </c>
      <c r="AB915" s="6">
        <f>$K$915*$V$915</f>
        <v>0</v>
      </c>
      <c r="AC915" s="6">
        <f>$M$915*$W$915</f>
        <v>82661.057549999998</v>
      </c>
      <c r="AD915" s="6">
        <f>$O$915*$X$915</f>
        <v>65778.693300000014</v>
      </c>
      <c r="AE915" s="6">
        <f>$K$915*$Y$915</f>
        <v>0</v>
      </c>
      <c r="AF915" s="6">
        <f ca="1">$M$915*$Z$915</f>
        <v>84104.237149739361</v>
      </c>
      <c r="AG915" s="6">
        <f>$O$915*$AA$915</f>
        <v>58738.782257082246</v>
      </c>
    </row>
    <row r="916" spans="1:33" ht="11.25" customHeight="1" x14ac:dyDescent="0.25">
      <c r="A916" s="4" t="s">
        <v>21</v>
      </c>
      <c r="B916" s="4" t="s">
        <v>45</v>
      </c>
      <c r="C916" s="4" t="s">
        <v>23</v>
      </c>
      <c r="D916" s="4" t="s">
        <v>46</v>
      </c>
      <c r="E916" s="4" t="s">
        <v>47</v>
      </c>
      <c r="F916" s="4" t="s">
        <v>25</v>
      </c>
      <c r="G916" s="4" t="s">
        <v>25</v>
      </c>
      <c r="H916" s="4" t="s">
        <v>25</v>
      </c>
      <c r="I916" s="5">
        <v>44562</v>
      </c>
      <c r="J916" s="6">
        <v>0</v>
      </c>
      <c r="K916" s="6">
        <v>0</v>
      </c>
      <c r="L916" s="6">
        <v>463.16500000000002</v>
      </c>
      <c r="M916" s="6">
        <v>463.16500000000002</v>
      </c>
      <c r="N916" s="6">
        <v>463.16500000000002</v>
      </c>
      <c r="O916" s="6">
        <v>463.16500000000002</v>
      </c>
      <c r="P916" s="6">
        <v>10</v>
      </c>
      <c r="Q916" s="4" t="s">
        <v>26</v>
      </c>
      <c r="R916" s="4">
        <v>0</v>
      </c>
      <c r="S916" s="6">
        <v>0</v>
      </c>
      <c r="T916" s="6">
        <v>65</v>
      </c>
      <c r="U916" s="6">
        <v>82</v>
      </c>
      <c r="V916" s="6">
        <f>IF(ISERROR(VLOOKUP($S$916,'TAR FIN'!$A$1:$O$86,15,0)),0,VLOOKUP($S$916,'TAR FIN'!$A$1:$O$86,15,0))</f>
        <v>0</v>
      </c>
      <c r="W916" s="6">
        <f>IF(ISERROR(VLOOKUP($T$916,'TAR FIN'!$A$1:$O$86,15,0)),0,VLOOKUP($T$916,'TAR FIN'!$A$1:$O$86,15,0))</f>
        <v>178.47</v>
      </c>
      <c r="X916" s="6">
        <f>IF(ISERROR(VLOOKUP($U$916,'TAR FIN'!$A$1:$O$86,15,0)),0,VLOOKUP($U$916,'TAR FIN'!$A$1:$O$86,15,0))</f>
        <v>142.02000000000001</v>
      </c>
      <c r="Y916" s="6"/>
      <c r="Z916" s="6">
        <f ca="1">('TUSD BE'!$AM$51+'TUSD BF'!$AM$51+'TUSD CVA'!$AM$51)*1</f>
        <v>181.58590815311899</v>
      </c>
      <c r="AA916" s="6">
        <f>('TE BE'!$AB$41+'TE BF'!$AB$41+'TE CVA'!$AB$41)*1</f>
        <v>126.82042524172216</v>
      </c>
      <c r="AB916" s="6">
        <f>$K$916*$V$916</f>
        <v>0</v>
      </c>
      <c r="AC916" s="6">
        <f>$M$916*$W$916</f>
        <v>82661.057549999998</v>
      </c>
      <c r="AD916" s="6">
        <f>$O$916*$X$916</f>
        <v>65778.693300000014</v>
      </c>
      <c r="AE916" s="6">
        <f>$K$916*$Y$916</f>
        <v>0</v>
      </c>
      <c r="AF916" s="6">
        <f ca="1">$M$916*$Z$916</f>
        <v>84104.237149739361</v>
      </c>
      <c r="AG916" s="6">
        <f>$O$916*$AA$916</f>
        <v>58738.782257082246</v>
      </c>
    </row>
    <row r="917" spans="1:33" ht="11.25" customHeight="1" x14ac:dyDescent="0.25">
      <c r="A917" s="4" t="s">
        <v>21</v>
      </c>
      <c r="B917" s="4" t="s">
        <v>45</v>
      </c>
      <c r="C917" s="4" t="s">
        <v>23</v>
      </c>
      <c r="D917" s="4" t="s">
        <v>46</v>
      </c>
      <c r="E917" s="4" t="s">
        <v>47</v>
      </c>
      <c r="F917" s="4" t="s">
        <v>25</v>
      </c>
      <c r="G917" s="4" t="s">
        <v>25</v>
      </c>
      <c r="H917" s="4" t="s">
        <v>25</v>
      </c>
      <c r="I917" s="5">
        <v>44593</v>
      </c>
      <c r="J917" s="6">
        <v>0</v>
      </c>
      <c r="K917" s="6">
        <v>0</v>
      </c>
      <c r="L917" s="6">
        <v>418.34300000000002</v>
      </c>
      <c r="M917" s="6">
        <v>418.34300000000002</v>
      </c>
      <c r="N917" s="6">
        <v>418.34300000000002</v>
      </c>
      <c r="O917" s="6">
        <v>418.34300000000002</v>
      </c>
      <c r="P917" s="6">
        <v>10</v>
      </c>
      <c r="Q917" s="4" t="s">
        <v>26</v>
      </c>
      <c r="R917" s="4">
        <v>0</v>
      </c>
      <c r="S917" s="6">
        <v>0</v>
      </c>
      <c r="T917" s="6">
        <v>65</v>
      </c>
      <c r="U917" s="6">
        <v>82</v>
      </c>
      <c r="V917" s="6">
        <f>IF(ISERROR(VLOOKUP($S$917,'TAR FIN'!$A$1:$O$86,15,0)),0,VLOOKUP($S$917,'TAR FIN'!$A$1:$O$86,15,0))</f>
        <v>0</v>
      </c>
      <c r="W917" s="6">
        <f>IF(ISERROR(VLOOKUP($T$917,'TAR FIN'!$A$1:$O$86,15,0)),0,VLOOKUP($T$917,'TAR FIN'!$A$1:$O$86,15,0))</f>
        <v>178.47</v>
      </c>
      <c r="X917" s="6">
        <f>IF(ISERROR(VLOOKUP($U$917,'TAR FIN'!$A$1:$O$86,15,0)),0,VLOOKUP($U$917,'TAR FIN'!$A$1:$O$86,15,0))</f>
        <v>142.02000000000001</v>
      </c>
      <c r="Y917" s="6"/>
      <c r="Z917" s="6">
        <f ca="1">('TUSD BE'!$AM$51+'TUSD BF'!$AM$51+'TUSD CVA'!$AM$51)*1</f>
        <v>181.58590815311899</v>
      </c>
      <c r="AA917" s="6">
        <f>('TE BE'!$AB$41+'TE BF'!$AB$41+'TE CVA'!$AB$41)*1</f>
        <v>126.82042524172216</v>
      </c>
      <c r="AB917" s="6">
        <f>$K$917*$V$917</f>
        <v>0</v>
      </c>
      <c r="AC917" s="6">
        <f>$M$917*$W$917</f>
        <v>74661.675210000001</v>
      </c>
      <c r="AD917" s="6">
        <f>$O$917*$X$917</f>
        <v>59413.072860000007</v>
      </c>
      <c r="AE917" s="6">
        <f>$K$917*$Y$917</f>
        <v>0</v>
      </c>
      <c r="AF917" s="6">
        <f ca="1">$M$917*$Z$917</f>
        <v>75965.193574500256</v>
      </c>
      <c r="AG917" s="6">
        <f>$O$917*$AA$917</f>
        <v>53054.43715689778</v>
      </c>
    </row>
    <row r="918" spans="1:33" ht="11.25" customHeight="1" x14ac:dyDescent="0.25">
      <c r="A918" s="4" t="s">
        <v>21</v>
      </c>
      <c r="B918" s="4" t="s">
        <v>45</v>
      </c>
      <c r="C918" s="4" t="s">
        <v>23</v>
      </c>
      <c r="D918" s="4" t="s">
        <v>46</v>
      </c>
      <c r="E918" s="4" t="s">
        <v>47</v>
      </c>
      <c r="F918" s="4" t="s">
        <v>25</v>
      </c>
      <c r="G918" s="4" t="s">
        <v>25</v>
      </c>
      <c r="H918" s="4" t="s">
        <v>25</v>
      </c>
      <c r="I918" s="5">
        <v>44621</v>
      </c>
      <c r="J918" s="6">
        <v>0</v>
      </c>
      <c r="K918" s="6">
        <v>0</v>
      </c>
      <c r="L918" s="6">
        <v>463.16500000000002</v>
      </c>
      <c r="M918" s="6">
        <v>463.16500000000002</v>
      </c>
      <c r="N918" s="6">
        <v>463.16500000000002</v>
      </c>
      <c r="O918" s="6">
        <v>463.16500000000002</v>
      </c>
      <c r="P918" s="6">
        <v>10</v>
      </c>
      <c r="Q918" s="4" t="s">
        <v>26</v>
      </c>
      <c r="R918" s="4">
        <v>0</v>
      </c>
      <c r="S918" s="6">
        <v>0</v>
      </c>
      <c r="T918" s="6">
        <v>65</v>
      </c>
      <c r="U918" s="6">
        <v>82</v>
      </c>
      <c r="V918" s="6">
        <f>IF(ISERROR(VLOOKUP($S$918,'TAR FIN'!$A$1:$O$86,15,0)),0,VLOOKUP($S$918,'TAR FIN'!$A$1:$O$86,15,0))</f>
        <v>0</v>
      </c>
      <c r="W918" s="6">
        <f>IF(ISERROR(VLOOKUP($T$918,'TAR FIN'!$A$1:$O$86,15,0)),0,VLOOKUP($T$918,'TAR FIN'!$A$1:$O$86,15,0))</f>
        <v>178.47</v>
      </c>
      <c r="X918" s="6">
        <f>IF(ISERROR(VLOOKUP($U$918,'TAR FIN'!$A$1:$O$86,15,0)),0,VLOOKUP($U$918,'TAR FIN'!$A$1:$O$86,15,0))</f>
        <v>142.02000000000001</v>
      </c>
      <c r="Y918" s="6"/>
      <c r="Z918" s="6">
        <f ca="1">('TUSD BE'!$AM$51+'TUSD BF'!$AM$51+'TUSD CVA'!$AM$51)*1</f>
        <v>181.58590815311899</v>
      </c>
      <c r="AA918" s="6">
        <f>('TE BE'!$AB$41+'TE BF'!$AB$41+'TE CVA'!$AB$41)*1</f>
        <v>126.82042524172216</v>
      </c>
      <c r="AB918" s="6">
        <f>$K$918*$V$918</f>
        <v>0</v>
      </c>
      <c r="AC918" s="6">
        <f>$M$918*$W$918</f>
        <v>82661.057549999998</v>
      </c>
      <c r="AD918" s="6">
        <f>$O$918*$X$918</f>
        <v>65778.693300000014</v>
      </c>
      <c r="AE918" s="6">
        <f>$K$918*$Y$918</f>
        <v>0</v>
      </c>
      <c r="AF918" s="6">
        <f ca="1">$M$918*$Z$918</f>
        <v>84104.237149739361</v>
      </c>
      <c r="AG918" s="6">
        <f>$O$918*$AA$918</f>
        <v>58738.782257082246</v>
      </c>
    </row>
    <row r="919" spans="1:33" ht="11.25" customHeight="1" x14ac:dyDescent="0.25">
      <c r="A919" s="4" t="s">
        <v>21</v>
      </c>
      <c r="B919" s="4" t="s">
        <v>45</v>
      </c>
      <c r="C919" s="4" t="s">
        <v>23</v>
      </c>
      <c r="D919" s="4" t="s">
        <v>46</v>
      </c>
      <c r="E919" s="4" t="s">
        <v>47</v>
      </c>
      <c r="F919" s="4" t="s">
        <v>25</v>
      </c>
      <c r="G919" s="4" t="s">
        <v>25</v>
      </c>
      <c r="H919" s="4" t="s">
        <v>25</v>
      </c>
      <c r="I919" s="5">
        <v>44652</v>
      </c>
      <c r="J919" s="6">
        <v>0</v>
      </c>
      <c r="K919" s="6">
        <v>0</v>
      </c>
      <c r="L919" s="6">
        <v>448.22500000000002</v>
      </c>
      <c r="M919" s="6">
        <v>448.22500000000002</v>
      </c>
      <c r="N919" s="6">
        <v>448.22500000000002</v>
      </c>
      <c r="O919" s="6">
        <v>448.22500000000002</v>
      </c>
      <c r="P919" s="6">
        <v>10</v>
      </c>
      <c r="Q919" s="4" t="s">
        <v>26</v>
      </c>
      <c r="R919" s="4">
        <v>0</v>
      </c>
      <c r="S919" s="6">
        <v>0</v>
      </c>
      <c r="T919" s="6">
        <v>65</v>
      </c>
      <c r="U919" s="6">
        <v>82</v>
      </c>
      <c r="V919" s="6">
        <f>IF(ISERROR(VLOOKUP($S$919,'TAR FIN'!$A$1:$O$86,15,0)),0,VLOOKUP($S$919,'TAR FIN'!$A$1:$O$86,15,0))</f>
        <v>0</v>
      </c>
      <c r="W919" s="6">
        <f>IF(ISERROR(VLOOKUP($T$919,'TAR FIN'!$A$1:$O$86,15,0)),0,VLOOKUP($T$919,'TAR FIN'!$A$1:$O$86,15,0))</f>
        <v>178.47</v>
      </c>
      <c r="X919" s="6">
        <f>IF(ISERROR(VLOOKUP($U$919,'TAR FIN'!$A$1:$O$86,15,0)),0,VLOOKUP($U$919,'TAR FIN'!$A$1:$O$86,15,0))</f>
        <v>142.02000000000001</v>
      </c>
      <c r="Y919" s="6"/>
      <c r="Z919" s="6">
        <f ca="1">('TUSD BE'!$AM$51+'TUSD BF'!$AM$51+'TUSD CVA'!$AM$51)*1</f>
        <v>181.58590815311899</v>
      </c>
      <c r="AA919" s="6">
        <f>('TE BE'!$AB$41+'TE BF'!$AB$41+'TE CVA'!$AB$41)*1</f>
        <v>126.82042524172216</v>
      </c>
      <c r="AB919" s="6">
        <f>$K$919*$V$919</f>
        <v>0</v>
      </c>
      <c r="AC919" s="6">
        <f>$M$919*$W$919</f>
        <v>79994.715750000003</v>
      </c>
      <c r="AD919" s="6">
        <f>$O$919*$X$919</f>
        <v>63656.914500000006</v>
      </c>
      <c r="AE919" s="6">
        <f>$K$919*$Y$919</f>
        <v>0</v>
      </c>
      <c r="AF919" s="6">
        <f ca="1">$M$919*$Z$919</f>
        <v>81391.343681931758</v>
      </c>
      <c r="AG919" s="6">
        <f>$O$919*$AA$919</f>
        <v>56844.085103970916</v>
      </c>
    </row>
    <row r="920" spans="1:33" ht="11.25" customHeight="1" x14ac:dyDescent="0.25">
      <c r="A920" s="4" t="s">
        <v>21</v>
      </c>
      <c r="B920" s="4" t="s">
        <v>45</v>
      </c>
      <c r="C920" s="4" t="s">
        <v>23</v>
      </c>
      <c r="D920" s="4" t="s">
        <v>46</v>
      </c>
      <c r="E920" s="4" t="s">
        <v>47</v>
      </c>
      <c r="F920" s="4" t="s">
        <v>25</v>
      </c>
      <c r="G920" s="4" t="s">
        <v>25</v>
      </c>
      <c r="H920" s="4" t="s">
        <v>25</v>
      </c>
      <c r="I920" s="5">
        <v>44682</v>
      </c>
      <c r="J920" s="6">
        <v>0</v>
      </c>
      <c r="K920" s="6">
        <v>0</v>
      </c>
      <c r="L920" s="6">
        <v>463.16500000000002</v>
      </c>
      <c r="M920" s="6">
        <v>463.16500000000002</v>
      </c>
      <c r="N920" s="6">
        <v>463.16500000000002</v>
      </c>
      <c r="O920" s="6">
        <v>463.16500000000002</v>
      </c>
      <c r="P920" s="6">
        <v>10</v>
      </c>
      <c r="Q920" s="4" t="s">
        <v>26</v>
      </c>
      <c r="R920" s="4">
        <v>0</v>
      </c>
      <c r="S920" s="6">
        <v>0</v>
      </c>
      <c r="T920" s="6">
        <v>65</v>
      </c>
      <c r="U920" s="6">
        <v>82</v>
      </c>
      <c r="V920" s="6">
        <f>IF(ISERROR(VLOOKUP($S$920,'TAR FIN'!$A$1:$O$86,15,0)),0,VLOOKUP($S$920,'TAR FIN'!$A$1:$O$86,15,0))</f>
        <v>0</v>
      </c>
      <c r="W920" s="6">
        <f>IF(ISERROR(VLOOKUP($T$920,'TAR FIN'!$A$1:$O$86,15,0)),0,VLOOKUP($T$920,'TAR FIN'!$A$1:$O$86,15,0))</f>
        <v>178.47</v>
      </c>
      <c r="X920" s="6">
        <f>IF(ISERROR(VLOOKUP($U$920,'TAR FIN'!$A$1:$O$86,15,0)),0,VLOOKUP($U$920,'TAR FIN'!$A$1:$O$86,15,0))</f>
        <v>142.02000000000001</v>
      </c>
      <c r="Y920" s="6"/>
      <c r="Z920" s="6">
        <f ca="1">('TUSD BE'!$AM$51+'TUSD BF'!$AM$51+'TUSD CVA'!$AM$51)*1</f>
        <v>181.58590815311899</v>
      </c>
      <c r="AA920" s="6">
        <f>('TE BE'!$AB$41+'TE BF'!$AB$41+'TE CVA'!$AB$41)*1</f>
        <v>126.82042524172216</v>
      </c>
      <c r="AB920" s="6">
        <f>$K$920*$V$920</f>
        <v>0</v>
      </c>
      <c r="AC920" s="6">
        <f>$M$920*$W$920</f>
        <v>82661.057549999998</v>
      </c>
      <c r="AD920" s="6">
        <f>$O$920*$X$920</f>
        <v>65778.693300000014</v>
      </c>
      <c r="AE920" s="6">
        <f>$K$920*$Y$920</f>
        <v>0</v>
      </c>
      <c r="AF920" s="6">
        <f ca="1">$M$920*$Z$920</f>
        <v>84104.237149739361</v>
      </c>
      <c r="AG920" s="6">
        <f>$O$920*$AA$920</f>
        <v>58738.782257082246</v>
      </c>
    </row>
    <row r="921" spans="1:33" ht="11.25" customHeight="1" x14ac:dyDescent="0.25">
      <c r="A921" s="4" t="s">
        <v>56</v>
      </c>
      <c r="B921" s="4" t="s">
        <v>45</v>
      </c>
      <c r="C921" s="4" t="s">
        <v>23</v>
      </c>
      <c r="D921" s="4" t="s">
        <v>46</v>
      </c>
      <c r="E921" s="4" t="s">
        <v>47</v>
      </c>
      <c r="F921" s="4" t="s">
        <v>25</v>
      </c>
      <c r="G921" s="4" t="s">
        <v>25</v>
      </c>
      <c r="H921" s="4" t="s">
        <v>25</v>
      </c>
      <c r="I921" s="5">
        <v>44713</v>
      </c>
      <c r="J921" s="6">
        <v>0</v>
      </c>
      <c r="K921" s="6">
        <v>0</v>
      </c>
      <c r="L921" s="6">
        <v>463.16500000000002</v>
      </c>
      <c r="M921" s="6">
        <v>463.16500000000002</v>
      </c>
      <c r="N921" s="6">
        <v>463.16500000000002</v>
      </c>
      <c r="O921" s="6">
        <v>463.16500000000002</v>
      </c>
      <c r="P921" s="6">
        <v>10</v>
      </c>
      <c r="Q921" s="4" t="s">
        <v>26</v>
      </c>
      <c r="R921" s="4">
        <v>0</v>
      </c>
      <c r="S921" s="6">
        <v>0</v>
      </c>
      <c r="T921" s="6">
        <v>65</v>
      </c>
      <c r="U921" s="6">
        <v>82</v>
      </c>
      <c r="V921" s="6">
        <f>IF(ISERROR(VLOOKUP($S$921,'TAR FIN'!$A$1:$O$86,15,0)),0,VLOOKUP($S$921,'TAR FIN'!$A$1:$O$86,15,0))</f>
        <v>0</v>
      </c>
      <c r="W921" s="6">
        <f>IF(ISERROR(VLOOKUP($T$921,'TAR FIN'!$A$1:$O$86,15,0)),0,VLOOKUP($T$921,'TAR FIN'!$A$1:$O$86,15,0))</f>
        <v>178.47</v>
      </c>
      <c r="X921" s="6">
        <f>IF(ISERROR(VLOOKUP($U$921,'TAR FIN'!$A$1:$O$86,15,0)),0,VLOOKUP($U$921,'TAR FIN'!$A$1:$O$86,15,0))</f>
        <v>142.02000000000001</v>
      </c>
      <c r="Y921" s="6"/>
      <c r="Z921" s="6">
        <f ca="1">('TUSD BE'!$AM$51+'TUSD BF'!$AM$51+'TUSD CVA'!$AM$51)*1</f>
        <v>181.58590815311899</v>
      </c>
      <c r="AA921" s="6">
        <f>('TE BE'!$AB$41+'TE BF'!$AB$41+'TE CVA'!$AB$41)*1</f>
        <v>126.82042524172216</v>
      </c>
      <c r="AB921" s="6">
        <f>$K$921*$V$921</f>
        <v>0</v>
      </c>
      <c r="AC921" s="6">
        <f>$M$921*$W$921</f>
        <v>82661.057549999998</v>
      </c>
      <c r="AD921" s="6">
        <f>$O$921*$X$921</f>
        <v>65778.693300000014</v>
      </c>
      <c r="AE921" s="6">
        <f>$K$921*$Y$921</f>
        <v>0</v>
      </c>
      <c r="AF921" s="6">
        <f ca="1">$M$921*$Z$921</f>
        <v>84104.237149739361</v>
      </c>
      <c r="AG921" s="6">
        <f>$O$921*$AA$921</f>
        <v>58738.782257082246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9C481-53A6-47CB-8E21-8A01B5F5CC7C}">
  <dimension ref="A1:AJ922"/>
  <sheetViews>
    <sheetView showGridLines="0" workbookViewId="0">
      <selection sqref="A1:AF457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8.710937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688</v>
      </c>
      <c r="W1" s="1" t="s">
        <v>689</v>
      </c>
      <c r="X1" s="1" t="s">
        <v>690</v>
      </c>
      <c r="Y1" s="1" t="s">
        <v>691</v>
      </c>
      <c r="Z1" s="1" t="s">
        <v>692</v>
      </c>
      <c r="AA1" s="1" t="s">
        <v>693</v>
      </c>
      <c r="AB1" s="1" t="s">
        <v>719</v>
      </c>
      <c r="AC1" s="1" t="s">
        <v>720</v>
      </c>
      <c r="AD1" s="1" t="s">
        <v>721</v>
      </c>
      <c r="AE1" s="1" t="s">
        <v>722</v>
      </c>
      <c r="AF1" s="1" t="s">
        <v>723</v>
      </c>
      <c r="AH1" s="90" t="s">
        <v>723</v>
      </c>
      <c r="AI1" s="90" t="s">
        <v>730</v>
      </c>
      <c r="AJ1" s="90" t="s">
        <v>731</v>
      </c>
    </row>
    <row r="2" spans="1:36" ht="11.25" customHeight="1" x14ac:dyDescent="0.25">
      <c r="A2" s="4" t="s">
        <v>21</v>
      </c>
      <c r="B2" s="4" t="s">
        <v>62</v>
      </c>
      <c r="C2" s="4" t="s">
        <v>59</v>
      </c>
      <c r="D2" s="4" t="s">
        <v>25</v>
      </c>
      <c r="E2" s="4" t="s">
        <v>25</v>
      </c>
      <c r="F2" s="4" t="s">
        <v>25</v>
      </c>
      <c r="G2" s="4" t="s">
        <v>63</v>
      </c>
      <c r="H2" s="4" t="s">
        <v>25</v>
      </c>
      <c r="I2" s="5">
        <v>44378</v>
      </c>
      <c r="J2" s="6">
        <v>2300</v>
      </c>
      <c r="K2" s="6">
        <v>1150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61</v>
      </c>
      <c r="R2" s="4">
        <v>1433</v>
      </c>
      <c r="S2" s="4">
        <v>29</v>
      </c>
      <c r="T2" s="4">
        <v>0</v>
      </c>
      <c r="U2" s="4">
        <v>0</v>
      </c>
      <c r="V2" s="6">
        <f>IF(ISERROR(VLOOKUP($S$2,'TAR FIN'!$A$1:$O$86,15,0)),0,VLOOKUP($S$2,'TAR FIN'!$A$1:$O$86,15,0))</f>
        <v>13.17</v>
      </c>
      <c r="W2" s="6">
        <f>IF(ISERROR(VLOOKUP($T$2,'TAR FIN'!$A$1:$O$86,15,0)),0,VLOOKUP($T$2,'TAR FIN'!$A$1:$O$86,15,0))</f>
        <v>0</v>
      </c>
      <c r="X2" s="6">
        <f>IF(ISERROR(VLOOKUP($U$2,'TAR FIN'!$A$1:$O$86,15,0)),0,VLOOKUP($U$2,'TAR FIN'!$A$1:$O$86,15,0))</f>
        <v>0</v>
      </c>
      <c r="Y2" s="6">
        <f ca="1">('TUSD BE'!$AM$5+'TUSD BF'!$AM$5+'TUSD CVA'!$AM$5)*1</f>
        <v>11.740652626592427</v>
      </c>
      <c r="Z2" s="6"/>
      <c r="AA2" s="6"/>
      <c r="AB2" s="6">
        <f t="shared" ref="AB2:AB49" si="0">(J2-K2)*V2</f>
        <v>15145.5</v>
      </c>
      <c r="AC2" s="6">
        <f t="shared" ref="AC2:AC49" si="1">(L2-M2)*W2+(N2-O2)*X2</f>
        <v>0</v>
      </c>
      <c r="AD2" s="6">
        <f t="shared" ref="AD2:AD49" ca="1" si="2">(J2-K2)*Y2</f>
        <v>13501.75052058129</v>
      </c>
      <c r="AE2" s="6">
        <f t="shared" ref="AE2:AE49" si="3">(L2-M2)*Z2+(N2-O2)*AA2</f>
        <v>0</v>
      </c>
      <c r="AF2" s="4" t="s">
        <v>724</v>
      </c>
      <c r="AH2" s="91" t="s">
        <v>725</v>
      </c>
      <c r="AI2" s="92">
        <f t="shared" ref="AI2:AI9" si="4">SUMIF($AF$2:$AF$922,AH2,$AB$2:$AB$922)+SUMIF($AF$2:$AF$922,AH2,$AC$2:$AC$922)</f>
        <v>7605083.6720266491</v>
      </c>
      <c r="AJ2" s="92">
        <f t="shared" ref="AJ2:AJ9" ca="1" si="5">SUMIF($AF$2:$AF$922,AH2,$AD$2:$AD$922)+SUMIF($AF$2:$AF$922,AH2,$AE$2:$AE$922)</f>
        <v>7130871.3508459385</v>
      </c>
    </row>
    <row r="3" spans="1:36" ht="11.25" customHeight="1" x14ac:dyDescent="0.25">
      <c r="A3" s="4" t="s">
        <v>21</v>
      </c>
      <c r="B3" s="4" t="s">
        <v>62</v>
      </c>
      <c r="C3" s="4" t="s">
        <v>59</v>
      </c>
      <c r="D3" s="4" t="s">
        <v>25</v>
      </c>
      <c r="E3" s="4" t="s">
        <v>25</v>
      </c>
      <c r="F3" s="4" t="s">
        <v>25</v>
      </c>
      <c r="G3" s="4" t="s">
        <v>63</v>
      </c>
      <c r="H3" s="4" t="s">
        <v>25</v>
      </c>
      <c r="I3" s="5">
        <v>44409</v>
      </c>
      <c r="J3" s="6">
        <v>2300</v>
      </c>
      <c r="K3" s="6">
        <v>1150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61</v>
      </c>
      <c r="R3" s="4">
        <v>1433</v>
      </c>
      <c r="S3" s="4">
        <v>29</v>
      </c>
      <c r="T3" s="4">
        <v>0</v>
      </c>
      <c r="U3" s="4">
        <v>0</v>
      </c>
      <c r="V3" s="6">
        <f>IF(ISERROR(VLOOKUP($S$3,'TAR FIN'!$A$1:$O$86,15,0)),0,VLOOKUP($S$3,'TAR FIN'!$A$1:$O$86,15,0))</f>
        <v>13.17</v>
      </c>
      <c r="W3" s="6">
        <f>IF(ISERROR(VLOOKUP($T$3,'TAR FIN'!$A$1:$O$86,15,0)),0,VLOOKUP($T$3,'TAR FIN'!$A$1:$O$86,15,0))</f>
        <v>0</v>
      </c>
      <c r="X3" s="6">
        <f>IF(ISERROR(VLOOKUP($U$3,'TAR FIN'!$A$1:$O$86,15,0)),0,VLOOKUP($U$3,'TAR FIN'!$A$1:$O$86,15,0))</f>
        <v>0</v>
      </c>
      <c r="Y3" s="6">
        <f ca="1">('TUSD BE'!$AM$5+'TUSD BF'!$AM$5+'TUSD CVA'!$AM$5)*1</f>
        <v>11.740652626592427</v>
      </c>
      <c r="Z3" s="6"/>
      <c r="AA3" s="6"/>
      <c r="AB3" s="6">
        <f t="shared" si="0"/>
        <v>15145.5</v>
      </c>
      <c r="AC3" s="6">
        <f t="shared" si="1"/>
        <v>0</v>
      </c>
      <c r="AD3" s="6">
        <f t="shared" ca="1" si="2"/>
        <v>13501.75052058129</v>
      </c>
      <c r="AE3" s="6">
        <f t="shared" si="3"/>
        <v>0</v>
      </c>
      <c r="AF3" s="4" t="s">
        <v>724</v>
      </c>
      <c r="AH3" s="91" t="s">
        <v>724</v>
      </c>
      <c r="AI3" s="92">
        <f t="shared" si="4"/>
        <v>244261.20000000007</v>
      </c>
      <c r="AJ3" s="92">
        <f t="shared" ca="1" si="5"/>
        <v>203884.02378909403</v>
      </c>
    </row>
    <row r="4" spans="1:36" ht="11.25" customHeight="1" x14ac:dyDescent="0.25">
      <c r="A4" s="4" t="s">
        <v>21</v>
      </c>
      <c r="B4" s="4" t="s">
        <v>62</v>
      </c>
      <c r="C4" s="4" t="s">
        <v>59</v>
      </c>
      <c r="D4" s="4" t="s">
        <v>25</v>
      </c>
      <c r="E4" s="4" t="s">
        <v>25</v>
      </c>
      <c r="F4" s="4" t="s">
        <v>25</v>
      </c>
      <c r="G4" s="4" t="s">
        <v>63</v>
      </c>
      <c r="H4" s="4" t="s">
        <v>25</v>
      </c>
      <c r="I4" s="5">
        <v>44440</v>
      </c>
      <c r="J4" s="6">
        <v>2300</v>
      </c>
      <c r="K4" s="6">
        <v>1150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61</v>
      </c>
      <c r="R4" s="4">
        <v>1433</v>
      </c>
      <c r="S4" s="4">
        <v>29</v>
      </c>
      <c r="T4" s="4">
        <v>0</v>
      </c>
      <c r="U4" s="4">
        <v>0</v>
      </c>
      <c r="V4" s="6">
        <f>IF(ISERROR(VLOOKUP($S$4,'TAR FIN'!$A$1:$O$86,15,0)),0,VLOOKUP($S$4,'TAR FIN'!$A$1:$O$86,15,0))</f>
        <v>13.17</v>
      </c>
      <c r="W4" s="6">
        <f>IF(ISERROR(VLOOKUP($T$4,'TAR FIN'!$A$1:$O$86,15,0)),0,VLOOKUP($T$4,'TAR FIN'!$A$1:$O$86,15,0))</f>
        <v>0</v>
      </c>
      <c r="X4" s="6">
        <f>IF(ISERROR(VLOOKUP($U$4,'TAR FIN'!$A$1:$O$86,15,0)),0,VLOOKUP($U$4,'TAR FIN'!$A$1:$O$86,15,0))</f>
        <v>0</v>
      </c>
      <c r="Y4" s="6">
        <f ca="1">('TUSD BE'!$AM$5+'TUSD BF'!$AM$5+'TUSD CVA'!$AM$5)*1</f>
        <v>11.740652626592427</v>
      </c>
      <c r="Z4" s="6"/>
      <c r="AA4" s="6"/>
      <c r="AB4" s="6">
        <f t="shared" si="0"/>
        <v>15145.5</v>
      </c>
      <c r="AC4" s="6">
        <f t="shared" si="1"/>
        <v>0</v>
      </c>
      <c r="AD4" s="6">
        <f t="shared" ca="1" si="2"/>
        <v>13501.75052058129</v>
      </c>
      <c r="AE4" s="6">
        <f t="shared" si="3"/>
        <v>0</v>
      </c>
      <c r="AF4" s="4" t="s">
        <v>724</v>
      </c>
      <c r="AH4" s="91" t="s">
        <v>732</v>
      </c>
      <c r="AI4" s="92">
        <f t="shared" si="4"/>
        <v>0</v>
      </c>
      <c r="AJ4" s="92">
        <f t="shared" si="5"/>
        <v>0</v>
      </c>
    </row>
    <row r="5" spans="1:36" ht="11.25" customHeight="1" x14ac:dyDescent="0.25">
      <c r="A5" s="4" t="s">
        <v>21</v>
      </c>
      <c r="B5" s="4" t="s">
        <v>62</v>
      </c>
      <c r="C5" s="4" t="s">
        <v>59</v>
      </c>
      <c r="D5" s="4" t="s">
        <v>25</v>
      </c>
      <c r="E5" s="4" t="s">
        <v>25</v>
      </c>
      <c r="F5" s="4" t="s">
        <v>25</v>
      </c>
      <c r="G5" s="4" t="s">
        <v>63</v>
      </c>
      <c r="H5" s="4" t="s">
        <v>25</v>
      </c>
      <c r="I5" s="5">
        <v>44470</v>
      </c>
      <c r="J5" s="6">
        <v>2300</v>
      </c>
      <c r="K5" s="6">
        <v>1150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61</v>
      </c>
      <c r="R5" s="4">
        <v>1433</v>
      </c>
      <c r="S5" s="4">
        <v>29</v>
      </c>
      <c r="T5" s="4">
        <v>0</v>
      </c>
      <c r="U5" s="4">
        <v>0</v>
      </c>
      <c r="V5" s="6">
        <f>IF(ISERROR(VLOOKUP($S$5,'TAR FIN'!$A$1:$O$86,15,0)),0,VLOOKUP($S$5,'TAR FIN'!$A$1:$O$86,15,0))</f>
        <v>13.17</v>
      </c>
      <c r="W5" s="6">
        <f>IF(ISERROR(VLOOKUP($T$5,'TAR FIN'!$A$1:$O$86,15,0)),0,VLOOKUP($T$5,'TAR FIN'!$A$1:$O$86,15,0))</f>
        <v>0</v>
      </c>
      <c r="X5" s="6">
        <f>IF(ISERROR(VLOOKUP($U$5,'TAR FIN'!$A$1:$O$86,15,0)),0,VLOOKUP($U$5,'TAR FIN'!$A$1:$O$86,15,0))</f>
        <v>0</v>
      </c>
      <c r="Y5" s="6">
        <f ca="1">('TUSD BE'!$AM$5+'TUSD BF'!$AM$5+'TUSD CVA'!$AM$5)*1</f>
        <v>11.740652626592427</v>
      </c>
      <c r="Z5" s="6"/>
      <c r="AA5" s="6"/>
      <c r="AB5" s="6">
        <f t="shared" si="0"/>
        <v>15145.5</v>
      </c>
      <c r="AC5" s="6">
        <f t="shared" si="1"/>
        <v>0</v>
      </c>
      <c r="AD5" s="6">
        <f t="shared" ca="1" si="2"/>
        <v>13501.75052058129</v>
      </c>
      <c r="AE5" s="6">
        <f t="shared" si="3"/>
        <v>0</v>
      </c>
      <c r="AF5" s="4" t="s">
        <v>724</v>
      </c>
      <c r="AH5" s="91" t="s">
        <v>726</v>
      </c>
      <c r="AI5" s="92">
        <f t="shared" si="4"/>
        <v>173715.34280279998</v>
      </c>
      <c r="AJ5" s="92">
        <f t="shared" ca="1" si="5"/>
        <v>81583.556146024217</v>
      </c>
    </row>
    <row r="6" spans="1:36" ht="11.25" customHeight="1" x14ac:dyDescent="0.25">
      <c r="A6" s="4" t="s">
        <v>21</v>
      </c>
      <c r="B6" s="4" t="s">
        <v>62</v>
      </c>
      <c r="C6" s="4" t="s">
        <v>59</v>
      </c>
      <c r="D6" s="4" t="s">
        <v>25</v>
      </c>
      <c r="E6" s="4" t="s">
        <v>25</v>
      </c>
      <c r="F6" s="4" t="s">
        <v>25</v>
      </c>
      <c r="G6" s="4" t="s">
        <v>63</v>
      </c>
      <c r="H6" s="4" t="s">
        <v>25</v>
      </c>
      <c r="I6" s="5">
        <v>44501</v>
      </c>
      <c r="J6" s="6">
        <v>2300</v>
      </c>
      <c r="K6" s="6">
        <v>1150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61</v>
      </c>
      <c r="R6" s="4">
        <v>1433</v>
      </c>
      <c r="S6" s="4">
        <v>29</v>
      </c>
      <c r="T6" s="4">
        <v>0</v>
      </c>
      <c r="U6" s="4">
        <v>0</v>
      </c>
      <c r="V6" s="6">
        <f>IF(ISERROR(VLOOKUP($S$6,'TAR FIN'!$A$1:$O$86,15,0)),0,VLOOKUP($S$6,'TAR FIN'!$A$1:$O$86,15,0))</f>
        <v>13.17</v>
      </c>
      <c r="W6" s="6">
        <f>IF(ISERROR(VLOOKUP($T$6,'TAR FIN'!$A$1:$O$86,15,0)),0,VLOOKUP($T$6,'TAR FIN'!$A$1:$O$86,15,0))</f>
        <v>0</v>
      </c>
      <c r="X6" s="6">
        <f>IF(ISERROR(VLOOKUP($U$6,'TAR FIN'!$A$1:$O$86,15,0)),0,VLOOKUP($U$6,'TAR FIN'!$A$1:$O$86,15,0))</f>
        <v>0</v>
      </c>
      <c r="Y6" s="6">
        <f ca="1">('TUSD BE'!$AM$5+'TUSD BF'!$AM$5+'TUSD CVA'!$AM$5)*1</f>
        <v>11.740652626592427</v>
      </c>
      <c r="Z6" s="6"/>
      <c r="AA6" s="6"/>
      <c r="AB6" s="6">
        <f t="shared" si="0"/>
        <v>15145.5</v>
      </c>
      <c r="AC6" s="6">
        <f t="shared" si="1"/>
        <v>0</v>
      </c>
      <c r="AD6" s="6">
        <f t="shared" ca="1" si="2"/>
        <v>13501.75052058129</v>
      </c>
      <c r="AE6" s="6">
        <f t="shared" si="3"/>
        <v>0</v>
      </c>
      <c r="AF6" s="4" t="s">
        <v>724</v>
      </c>
      <c r="AH6" s="91" t="s">
        <v>727</v>
      </c>
      <c r="AI6" s="92">
        <f t="shared" si="4"/>
        <v>1353898.5646088009</v>
      </c>
      <c r="AJ6" s="92">
        <f t="shared" ca="1" si="5"/>
        <v>649149.11654297053</v>
      </c>
    </row>
    <row r="7" spans="1:36" ht="11.25" customHeight="1" x14ac:dyDescent="0.25">
      <c r="A7" s="4" t="s">
        <v>21</v>
      </c>
      <c r="B7" s="4" t="s">
        <v>62</v>
      </c>
      <c r="C7" s="4" t="s">
        <v>59</v>
      </c>
      <c r="D7" s="4" t="s">
        <v>25</v>
      </c>
      <c r="E7" s="4" t="s">
        <v>25</v>
      </c>
      <c r="F7" s="4" t="s">
        <v>25</v>
      </c>
      <c r="G7" s="4" t="s">
        <v>63</v>
      </c>
      <c r="H7" s="4" t="s">
        <v>25</v>
      </c>
      <c r="I7" s="5">
        <v>44531</v>
      </c>
      <c r="J7" s="6">
        <v>2300</v>
      </c>
      <c r="K7" s="6">
        <v>1150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61</v>
      </c>
      <c r="R7" s="4">
        <v>1433</v>
      </c>
      <c r="S7" s="4">
        <v>29</v>
      </c>
      <c r="T7" s="4">
        <v>0</v>
      </c>
      <c r="U7" s="4">
        <v>0</v>
      </c>
      <c r="V7" s="6">
        <f>IF(ISERROR(VLOOKUP($S$7,'TAR FIN'!$A$1:$O$86,15,0)),0,VLOOKUP($S$7,'TAR FIN'!$A$1:$O$86,15,0))</f>
        <v>13.17</v>
      </c>
      <c r="W7" s="6">
        <f>IF(ISERROR(VLOOKUP($T$7,'TAR FIN'!$A$1:$O$86,15,0)),0,VLOOKUP($T$7,'TAR FIN'!$A$1:$O$86,15,0))</f>
        <v>0</v>
      </c>
      <c r="X7" s="6">
        <f>IF(ISERROR(VLOOKUP($U$7,'TAR FIN'!$A$1:$O$86,15,0)),0,VLOOKUP($U$7,'TAR FIN'!$A$1:$O$86,15,0))</f>
        <v>0</v>
      </c>
      <c r="Y7" s="6">
        <f ca="1">('TUSD BE'!$AM$5+'TUSD BF'!$AM$5+'TUSD CVA'!$AM$5)*1</f>
        <v>11.740652626592427</v>
      </c>
      <c r="Z7" s="6"/>
      <c r="AA7" s="6"/>
      <c r="AB7" s="6">
        <f t="shared" si="0"/>
        <v>15145.5</v>
      </c>
      <c r="AC7" s="6">
        <f t="shared" si="1"/>
        <v>0</v>
      </c>
      <c r="AD7" s="6">
        <f t="shared" ca="1" si="2"/>
        <v>13501.75052058129</v>
      </c>
      <c r="AE7" s="6">
        <f t="shared" si="3"/>
        <v>0</v>
      </c>
      <c r="AF7" s="4" t="s">
        <v>724</v>
      </c>
      <c r="AH7" s="91" t="s">
        <v>728</v>
      </c>
      <c r="AI7" s="92">
        <f t="shared" si="4"/>
        <v>376274.43435400003</v>
      </c>
      <c r="AJ7" s="92">
        <f t="shared" ca="1" si="5"/>
        <v>364906.71398804052</v>
      </c>
    </row>
    <row r="8" spans="1:36" ht="11.25" customHeight="1" x14ac:dyDescent="0.25">
      <c r="A8" s="4" t="s">
        <v>21</v>
      </c>
      <c r="B8" s="4" t="s">
        <v>62</v>
      </c>
      <c r="C8" s="4" t="s">
        <v>59</v>
      </c>
      <c r="D8" s="4" t="s">
        <v>25</v>
      </c>
      <c r="E8" s="4" t="s">
        <v>25</v>
      </c>
      <c r="F8" s="4" t="s">
        <v>25</v>
      </c>
      <c r="G8" s="4" t="s">
        <v>63</v>
      </c>
      <c r="H8" s="4" t="s">
        <v>25</v>
      </c>
      <c r="I8" s="5">
        <v>44562</v>
      </c>
      <c r="J8" s="6">
        <v>2300</v>
      </c>
      <c r="K8" s="6">
        <v>1150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61</v>
      </c>
      <c r="R8" s="4">
        <v>1433</v>
      </c>
      <c r="S8" s="4">
        <v>29</v>
      </c>
      <c r="T8" s="4">
        <v>0</v>
      </c>
      <c r="U8" s="4">
        <v>0</v>
      </c>
      <c r="V8" s="6">
        <f>IF(ISERROR(VLOOKUP($S$8,'TAR FIN'!$A$1:$O$86,15,0)),0,VLOOKUP($S$8,'TAR FIN'!$A$1:$O$86,15,0))</f>
        <v>13.17</v>
      </c>
      <c r="W8" s="6">
        <f>IF(ISERROR(VLOOKUP($T$8,'TAR FIN'!$A$1:$O$86,15,0)),0,VLOOKUP($T$8,'TAR FIN'!$A$1:$O$86,15,0))</f>
        <v>0</v>
      </c>
      <c r="X8" s="6">
        <f>IF(ISERROR(VLOOKUP($U$8,'TAR FIN'!$A$1:$O$86,15,0)),0,VLOOKUP($U$8,'TAR FIN'!$A$1:$O$86,15,0))</f>
        <v>0</v>
      </c>
      <c r="Y8" s="6">
        <f ca="1">('TUSD BE'!$AM$5+'TUSD BF'!$AM$5+'TUSD CVA'!$AM$5)*1</f>
        <v>11.740652626592427</v>
      </c>
      <c r="Z8" s="6"/>
      <c r="AA8" s="6"/>
      <c r="AB8" s="6">
        <f t="shared" si="0"/>
        <v>15145.5</v>
      </c>
      <c r="AC8" s="6">
        <f t="shared" si="1"/>
        <v>0</v>
      </c>
      <c r="AD8" s="6">
        <f t="shared" ca="1" si="2"/>
        <v>13501.75052058129</v>
      </c>
      <c r="AE8" s="6">
        <f t="shared" si="3"/>
        <v>0</v>
      </c>
      <c r="AF8" s="4" t="s">
        <v>724</v>
      </c>
      <c r="AH8" s="91" t="s">
        <v>729</v>
      </c>
      <c r="AI8" s="92">
        <f t="shared" si="4"/>
        <v>223282.49683499994</v>
      </c>
      <c r="AJ8" s="92">
        <f t="shared" ca="1" si="5"/>
        <v>200091.79488610744</v>
      </c>
    </row>
    <row r="9" spans="1:36" ht="11.25" customHeight="1" x14ac:dyDescent="0.25">
      <c r="A9" s="4" t="s">
        <v>21</v>
      </c>
      <c r="B9" s="4" t="s">
        <v>62</v>
      </c>
      <c r="C9" s="4" t="s">
        <v>59</v>
      </c>
      <c r="D9" s="4" t="s">
        <v>25</v>
      </c>
      <c r="E9" s="4" t="s">
        <v>25</v>
      </c>
      <c r="F9" s="4" t="s">
        <v>25</v>
      </c>
      <c r="G9" s="4" t="s">
        <v>63</v>
      </c>
      <c r="H9" s="4" t="s">
        <v>25</v>
      </c>
      <c r="I9" s="5">
        <v>44593</v>
      </c>
      <c r="J9" s="6">
        <v>2300</v>
      </c>
      <c r="K9" s="6">
        <v>1150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61</v>
      </c>
      <c r="R9" s="4">
        <v>1433</v>
      </c>
      <c r="S9" s="4">
        <v>29</v>
      </c>
      <c r="T9" s="4">
        <v>0</v>
      </c>
      <c r="U9" s="4">
        <v>0</v>
      </c>
      <c r="V9" s="6">
        <f>IF(ISERROR(VLOOKUP($S$9,'TAR FIN'!$A$1:$O$86,15,0)),0,VLOOKUP($S$9,'TAR FIN'!$A$1:$O$86,15,0))</f>
        <v>13.17</v>
      </c>
      <c r="W9" s="6">
        <f>IF(ISERROR(VLOOKUP($T$9,'TAR FIN'!$A$1:$O$86,15,0)),0,VLOOKUP($T$9,'TAR FIN'!$A$1:$O$86,15,0))</f>
        <v>0</v>
      </c>
      <c r="X9" s="6">
        <f>IF(ISERROR(VLOOKUP($U$9,'TAR FIN'!$A$1:$O$86,15,0)),0,VLOOKUP($U$9,'TAR FIN'!$A$1:$O$86,15,0))</f>
        <v>0</v>
      </c>
      <c r="Y9" s="6">
        <f ca="1">('TUSD BE'!$AM$5+'TUSD BF'!$AM$5+'TUSD CVA'!$AM$5)*1</f>
        <v>11.740652626592427</v>
      </c>
      <c r="Z9" s="6"/>
      <c r="AA9" s="6"/>
      <c r="AB9" s="6">
        <f t="shared" si="0"/>
        <v>15145.5</v>
      </c>
      <c r="AC9" s="6">
        <f t="shared" si="1"/>
        <v>0</v>
      </c>
      <c r="AD9" s="6">
        <f t="shared" ca="1" si="2"/>
        <v>13501.75052058129</v>
      </c>
      <c r="AE9" s="6">
        <f t="shared" si="3"/>
        <v>0</v>
      </c>
      <c r="AF9" s="4" t="s">
        <v>724</v>
      </c>
      <c r="AH9" s="91" t="s">
        <v>733</v>
      </c>
      <c r="AI9" s="92">
        <f t="shared" si="4"/>
        <v>0</v>
      </c>
      <c r="AJ9" s="92">
        <f t="shared" si="5"/>
        <v>0</v>
      </c>
    </row>
    <row r="10" spans="1:36" ht="11.25" customHeight="1" x14ac:dyDescent="0.25">
      <c r="A10" s="4" t="s">
        <v>21</v>
      </c>
      <c r="B10" s="4" t="s">
        <v>62</v>
      </c>
      <c r="C10" s="4" t="s">
        <v>59</v>
      </c>
      <c r="D10" s="4" t="s">
        <v>25</v>
      </c>
      <c r="E10" s="4" t="s">
        <v>25</v>
      </c>
      <c r="F10" s="4" t="s">
        <v>25</v>
      </c>
      <c r="G10" s="4" t="s">
        <v>63</v>
      </c>
      <c r="H10" s="4" t="s">
        <v>25</v>
      </c>
      <c r="I10" s="5">
        <v>44621</v>
      </c>
      <c r="J10" s="6">
        <v>2300</v>
      </c>
      <c r="K10" s="6">
        <v>1150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61</v>
      </c>
      <c r="R10" s="4">
        <v>1433</v>
      </c>
      <c r="S10" s="4">
        <v>29</v>
      </c>
      <c r="T10" s="4">
        <v>0</v>
      </c>
      <c r="U10" s="4">
        <v>0</v>
      </c>
      <c r="V10" s="6">
        <f>IF(ISERROR(VLOOKUP($S$10,'TAR FIN'!$A$1:$O$86,15,0)),0,VLOOKUP($S$10,'TAR FIN'!$A$1:$O$86,15,0))</f>
        <v>13.17</v>
      </c>
      <c r="W10" s="6">
        <f>IF(ISERROR(VLOOKUP($T$10,'TAR FIN'!$A$1:$O$86,15,0)),0,VLOOKUP($T$10,'TAR FIN'!$A$1:$O$86,15,0))</f>
        <v>0</v>
      </c>
      <c r="X10" s="6">
        <f>IF(ISERROR(VLOOKUP($U$10,'TAR FIN'!$A$1:$O$86,15,0)),0,VLOOKUP($U$10,'TAR FIN'!$A$1:$O$86,15,0))</f>
        <v>0</v>
      </c>
      <c r="Y10" s="6">
        <f ca="1">('TUSD BE'!$AM$5+'TUSD BF'!$AM$5+'TUSD CVA'!$AM$5)*1</f>
        <v>11.740652626592427</v>
      </c>
      <c r="Z10" s="6"/>
      <c r="AA10" s="6"/>
      <c r="AB10" s="6">
        <f t="shared" si="0"/>
        <v>15145.5</v>
      </c>
      <c r="AC10" s="6">
        <f t="shared" si="1"/>
        <v>0</v>
      </c>
      <c r="AD10" s="6">
        <f t="shared" ca="1" si="2"/>
        <v>13501.75052058129</v>
      </c>
      <c r="AE10" s="6">
        <f t="shared" si="3"/>
        <v>0</v>
      </c>
      <c r="AF10" s="4" t="s">
        <v>724</v>
      </c>
    </row>
    <row r="11" spans="1:36" ht="11.25" customHeight="1" x14ac:dyDescent="0.25">
      <c r="A11" s="4" t="s">
        <v>21</v>
      </c>
      <c r="B11" s="4" t="s">
        <v>62</v>
      </c>
      <c r="C11" s="4" t="s">
        <v>59</v>
      </c>
      <c r="D11" s="4" t="s">
        <v>25</v>
      </c>
      <c r="E11" s="4" t="s">
        <v>25</v>
      </c>
      <c r="F11" s="4" t="s">
        <v>25</v>
      </c>
      <c r="G11" s="4" t="s">
        <v>63</v>
      </c>
      <c r="H11" s="4" t="s">
        <v>25</v>
      </c>
      <c r="I11" s="5">
        <v>44652</v>
      </c>
      <c r="J11" s="6">
        <v>2300</v>
      </c>
      <c r="K11" s="6">
        <v>1150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61</v>
      </c>
      <c r="R11" s="4">
        <v>1433</v>
      </c>
      <c r="S11" s="4">
        <v>29</v>
      </c>
      <c r="T11" s="4">
        <v>0</v>
      </c>
      <c r="U11" s="4">
        <v>0</v>
      </c>
      <c r="V11" s="6">
        <f>IF(ISERROR(VLOOKUP($S$11,'TAR FIN'!$A$1:$O$86,15,0)),0,VLOOKUP($S$11,'TAR FIN'!$A$1:$O$86,15,0))</f>
        <v>13.17</v>
      </c>
      <c r="W11" s="6">
        <f>IF(ISERROR(VLOOKUP($T$11,'TAR FIN'!$A$1:$O$86,15,0)),0,VLOOKUP($T$11,'TAR FIN'!$A$1:$O$86,15,0))</f>
        <v>0</v>
      </c>
      <c r="X11" s="6">
        <f>IF(ISERROR(VLOOKUP($U$11,'TAR FIN'!$A$1:$O$86,15,0)),0,VLOOKUP($U$11,'TAR FIN'!$A$1:$O$86,15,0))</f>
        <v>0</v>
      </c>
      <c r="Y11" s="6">
        <f ca="1">('TUSD BE'!$AM$5+'TUSD BF'!$AM$5+'TUSD CVA'!$AM$5)*1</f>
        <v>11.740652626592427</v>
      </c>
      <c r="Z11" s="6"/>
      <c r="AA11" s="6"/>
      <c r="AB11" s="6">
        <f t="shared" si="0"/>
        <v>15145.5</v>
      </c>
      <c r="AC11" s="6">
        <f t="shared" si="1"/>
        <v>0</v>
      </c>
      <c r="AD11" s="6">
        <f t="shared" ca="1" si="2"/>
        <v>13501.75052058129</v>
      </c>
      <c r="AE11" s="6">
        <f t="shared" si="3"/>
        <v>0</v>
      </c>
      <c r="AF11" s="4" t="s">
        <v>724</v>
      </c>
    </row>
    <row r="12" spans="1:36" ht="11.25" customHeight="1" x14ac:dyDescent="0.25">
      <c r="A12" s="4" t="s">
        <v>21</v>
      </c>
      <c r="B12" s="4" t="s">
        <v>62</v>
      </c>
      <c r="C12" s="4" t="s">
        <v>59</v>
      </c>
      <c r="D12" s="4" t="s">
        <v>25</v>
      </c>
      <c r="E12" s="4" t="s">
        <v>25</v>
      </c>
      <c r="F12" s="4" t="s">
        <v>25</v>
      </c>
      <c r="G12" s="4" t="s">
        <v>63</v>
      </c>
      <c r="H12" s="4" t="s">
        <v>25</v>
      </c>
      <c r="I12" s="5">
        <v>44682</v>
      </c>
      <c r="J12" s="6">
        <v>2300</v>
      </c>
      <c r="K12" s="6">
        <v>1150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61</v>
      </c>
      <c r="R12" s="4">
        <v>1433</v>
      </c>
      <c r="S12" s="4">
        <v>29</v>
      </c>
      <c r="T12" s="4">
        <v>0</v>
      </c>
      <c r="U12" s="4">
        <v>0</v>
      </c>
      <c r="V12" s="6">
        <f>IF(ISERROR(VLOOKUP($S$12,'TAR FIN'!$A$1:$O$86,15,0)),0,VLOOKUP($S$12,'TAR FIN'!$A$1:$O$86,15,0))</f>
        <v>13.17</v>
      </c>
      <c r="W12" s="6">
        <f>IF(ISERROR(VLOOKUP($T$12,'TAR FIN'!$A$1:$O$86,15,0)),0,VLOOKUP($T$12,'TAR FIN'!$A$1:$O$86,15,0))</f>
        <v>0</v>
      </c>
      <c r="X12" s="6">
        <f>IF(ISERROR(VLOOKUP($U$12,'TAR FIN'!$A$1:$O$86,15,0)),0,VLOOKUP($U$12,'TAR FIN'!$A$1:$O$86,15,0))</f>
        <v>0</v>
      </c>
      <c r="Y12" s="6">
        <f ca="1">('TUSD BE'!$AM$5+'TUSD BF'!$AM$5+'TUSD CVA'!$AM$5)*1</f>
        <v>11.740652626592427</v>
      </c>
      <c r="Z12" s="6"/>
      <c r="AA12" s="6"/>
      <c r="AB12" s="6">
        <f t="shared" si="0"/>
        <v>15145.5</v>
      </c>
      <c r="AC12" s="6">
        <f t="shared" si="1"/>
        <v>0</v>
      </c>
      <c r="AD12" s="6">
        <f t="shared" ca="1" si="2"/>
        <v>13501.75052058129</v>
      </c>
      <c r="AE12" s="6">
        <f t="shared" si="3"/>
        <v>0</v>
      </c>
      <c r="AF12" s="4" t="s">
        <v>724</v>
      </c>
    </row>
    <row r="13" spans="1:36" ht="11.25" customHeight="1" x14ac:dyDescent="0.25">
      <c r="A13" s="4" t="s">
        <v>56</v>
      </c>
      <c r="B13" s="4" t="s">
        <v>62</v>
      </c>
      <c r="C13" s="4" t="s">
        <v>59</v>
      </c>
      <c r="D13" s="4" t="s">
        <v>25</v>
      </c>
      <c r="E13" s="4" t="s">
        <v>25</v>
      </c>
      <c r="F13" s="4" t="s">
        <v>25</v>
      </c>
      <c r="G13" s="4" t="s">
        <v>63</v>
      </c>
      <c r="H13" s="4" t="s">
        <v>25</v>
      </c>
      <c r="I13" s="5">
        <v>44713</v>
      </c>
      <c r="J13" s="6">
        <v>2300</v>
      </c>
      <c r="K13" s="6">
        <v>1150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61</v>
      </c>
      <c r="R13" s="4">
        <v>1433</v>
      </c>
      <c r="S13" s="4">
        <v>29</v>
      </c>
      <c r="T13" s="4">
        <v>0</v>
      </c>
      <c r="U13" s="4">
        <v>0</v>
      </c>
      <c r="V13" s="6">
        <f>IF(ISERROR(VLOOKUP($S$13,'TAR FIN'!$A$1:$O$86,15,0)),0,VLOOKUP($S$13,'TAR FIN'!$A$1:$O$86,15,0))</f>
        <v>13.17</v>
      </c>
      <c r="W13" s="6">
        <f>IF(ISERROR(VLOOKUP($T$13,'TAR FIN'!$A$1:$O$86,15,0)),0,VLOOKUP($T$13,'TAR FIN'!$A$1:$O$86,15,0))</f>
        <v>0</v>
      </c>
      <c r="X13" s="6">
        <f>IF(ISERROR(VLOOKUP($U$13,'TAR FIN'!$A$1:$O$86,15,0)),0,VLOOKUP($U$13,'TAR FIN'!$A$1:$O$86,15,0))</f>
        <v>0</v>
      </c>
      <c r="Y13" s="6">
        <f ca="1">('TUSD BE'!$AM$5+'TUSD BF'!$AM$5+'TUSD CVA'!$AM$5)*1</f>
        <v>11.740652626592427</v>
      </c>
      <c r="Z13" s="6"/>
      <c r="AA13" s="6"/>
      <c r="AB13" s="6">
        <f t="shared" si="0"/>
        <v>15145.5</v>
      </c>
      <c r="AC13" s="6">
        <f t="shared" si="1"/>
        <v>0</v>
      </c>
      <c r="AD13" s="6">
        <f t="shared" ca="1" si="2"/>
        <v>13501.75052058129</v>
      </c>
      <c r="AE13" s="6">
        <f t="shared" si="3"/>
        <v>0</v>
      </c>
      <c r="AF13" s="4" t="s">
        <v>724</v>
      </c>
    </row>
    <row r="14" spans="1:36" ht="11.25" customHeight="1" x14ac:dyDescent="0.25">
      <c r="A14" s="4" t="s">
        <v>21</v>
      </c>
      <c r="B14" s="4" t="s">
        <v>38</v>
      </c>
      <c r="C14" s="4" t="s">
        <v>39</v>
      </c>
      <c r="D14" s="4" t="s">
        <v>37</v>
      </c>
      <c r="E14" s="4" t="s">
        <v>25</v>
      </c>
      <c r="F14" s="4" t="s">
        <v>57</v>
      </c>
      <c r="G14" s="4" t="s">
        <v>25</v>
      </c>
      <c r="H14" s="4" t="s">
        <v>34</v>
      </c>
      <c r="I14" s="5">
        <v>44378</v>
      </c>
      <c r="J14" s="6">
        <v>5515</v>
      </c>
      <c r="K14" s="6">
        <v>2757.5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58</v>
      </c>
      <c r="R14" s="4">
        <v>0</v>
      </c>
      <c r="S14" s="4">
        <v>22</v>
      </c>
      <c r="T14" s="4">
        <v>0</v>
      </c>
      <c r="U14" s="4">
        <v>0</v>
      </c>
      <c r="V14" s="6">
        <f>IF(ISERROR(VLOOKUP($S$14,'TAR FIN'!$A$1:$O$86,15,0)),0,VLOOKUP($S$14,'TAR FIN'!$A$1:$O$86,15,0))</f>
        <v>19.239999999999998</v>
      </c>
      <c r="W14" s="6">
        <f>IF(ISERROR(VLOOKUP($T$14,'TAR FIN'!$A$1:$O$86,15,0)),0,VLOOKUP($T$14,'TAR FIN'!$A$1:$O$86,15,0))</f>
        <v>0</v>
      </c>
      <c r="X14" s="6">
        <f>IF(ISERROR(VLOOKUP($U$14,'TAR FIN'!$A$1:$O$86,15,0)),0,VLOOKUP($U$14,'TAR FIN'!$A$1:$O$86,15,0))</f>
        <v>0</v>
      </c>
      <c r="Y14" s="6">
        <f ca="1">('TUSD BE'!$AM$7+'TUSD BF'!$AM$7+'TUSD CVA'!$AM$7)*1</f>
        <v>15.19295792072058</v>
      </c>
      <c r="Z14" s="6">
        <f ca="1">('TUSD BE'!$AM$8+'TUSD BF'!$AM$8+'TUSD CVA'!$AM$8)*1</f>
        <v>100.23755694003805</v>
      </c>
      <c r="AA14" s="6"/>
      <c r="AB14" s="6">
        <f t="shared" si="0"/>
        <v>53054.299999999996</v>
      </c>
      <c r="AC14" s="6">
        <f t="shared" si="1"/>
        <v>0</v>
      </c>
      <c r="AD14" s="6">
        <f t="shared" ca="1" si="2"/>
        <v>41894.581466387004</v>
      </c>
      <c r="AE14" s="6">
        <f t="shared" ca="1" si="3"/>
        <v>0</v>
      </c>
      <c r="AF14" s="4" t="s">
        <v>725</v>
      </c>
    </row>
    <row r="15" spans="1:36" ht="11.25" customHeight="1" x14ac:dyDescent="0.25">
      <c r="A15" s="4" t="s">
        <v>21</v>
      </c>
      <c r="B15" s="4" t="s">
        <v>38</v>
      </c>
      <c r="C15" s="4" t="s">
        <v>39</v>
      </c>
      <c r="D15" s="4" t="s">
        <v>37</v>
      </c>
      <c r="E15" s="4" t="s">
        <v>25</v>
      </c>
      <c r="F15" s="4" t="s">
        <v>57</v>
      </c>
      <c r="G15" s="4" t="s">
        <v>25</v>
      </c>
      <c r="H15" s="4" t="s">
        <v>34</v>
      </c>
      <c r="I15" s="5">
        <v>44409</v>
      </c>
      <c r="J15" s="6">
        <v>5578</v>
      </c>
      <c r="K15" s="6">
        <v>2789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58</v>
      </c>
      <c r="R15" s="4">
        <v>0</v>
      </c>
      <c r="S15" s="4">
        <v>22</v>
      </c>
      <c r="T15" s="4">
        <v>0</v>
      </c>
      <c r="U15" s="4">
        <v>0</v>
      </c>
      <c r="V15" s="6">
        <f>IF(ISERROR(VLOOKUP($S$15,'TAR FIN'!$A$1:$O$86,15,0)),0,VLOOKUP($S$15,'TAR FIN'!$A$1:$O$86,15,0))</f>
        <v>19.239999999999998</v>
      </c>
      <c r="W15" s="6">
        <f>IF(ISERROR(VLOOKUP($T$15,'TAR FIN'!$A$1:$O$86,15,0)),0,VLOOKUP($T$15,'TAR FIN'!$A$1:$O$86,15,0))</f>
        <v>0</v>
      </c>
      <c r="X15" s="6">
        <f>IF(ISERROR(VLOOKUP($U$15,'TAR FIN'!$A$1:$O$86,15,0)),0,VLOOKUP($U$15,'TAR FIN'!$A$1:$O$86,15,0))</f>
        <v>0</v>
      </c>
      <c r="Y15" s="6">
        <f ca="1">('TUSD BE'!$AM$7+'TUSD BF'!$AM$7+'TUSD CVA'!$AM$7)*1</f>
        <v>15.19295792072058</v>
      </c>
      <c r="Z15" s="6">
        <f ca="1">('TUSD BE'!$AM$8+'TUSD BF'!$AM$8+'TUSD CVA'!$AM$8)*1</f>
        <v>100.23755694003805</v>
      </c>
      <c r="AA15" s="6"/>
      <c r="AB15" s="6">
        <f t="shared" si="0"/>
        <v>53660.359999999993</v>
      </c>
      <c r="AC15" s="6">
        <f t="shared" si="1"/>
        <v>0</v>
      </c>
      <c r="AD15" s="6">
        <f t="shared" ca="1" si="2"/>
        <v>42373.159640889702</v>
      </c>
      <c r="AE15" s="6">
        <f t="shared" ca="1" si="3"/>
        <v>0</v>
      </c>
      <c r="AF15" s="4" t="s">
        <v>725</v>
      </c>
    </row>
    <row r="16" spans="1:36" ht="11.25" customHeight="1" x14ac:dyDescent="0.25">
      <c r="A16" s="4" t="s">
        <v>21</v>
      </c>
      <c r="B16" s="4" t="s">
        <v>38</v>
      </c>
      <c r="C16" s="4" t="s">
        <v>39</v>
      </c>
      <c r="D16" s="4" t="s">
        <v>37</v>
      </c>
      <c r="E16" s="4" t="s">
        <v>25</v>
      </c>
      <c r="F16" s="4" t="s">
        <v>57</v>
      </c>
      <c r="G16" s="4" t="s">
        <v>25</v>
      </c>
      <c r="H16" s="4" t="s">
        <v>34</v>
      </c>
      <c r="I16" s="5">
        <v>44440</v>
      </c>
      <c r="J16" s="6">
        <v>5550</v>
      </c>
      <c r="K16" s="6">
        <v>2775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58</v>
      </c>
      <c r="R16" s="4">
        <v>0</v>
      </c>
      <c r="S16" s="4">
        <v>22</v>
      </c>
      <c r="T16" s="4">
        <v>0</v>
      </c>
      <c r="U16" s="4">
        <v>0</v>
      </c>
      <c r="V16" s="6">
        <f>IF(ISERROR(VLOOKUP($S$16,'TAR FIN'!$A$1:$O$86,15,0)),0,VLOOKUP($S$16,'TAR FIN'!$A$1:$O$86,15,0))</f>
        <v>19.239999999999998</v>
      </c>
      <c r="W16" s="6">
        <f>IF(ISERROR(VLOOKUP($T$16,'TAR FIN'!$A$1:$O$86,15,0)),0,VLOOKUP($T$16,'TAR FIN'!$A$1:$O$86,15,0))</f>
        <v>0</v>
      </c>
      <c r="X16" s="6">
        <f>IF(ISERROR(VLOOKUP($U$16,'TAR FIN'!$A$1:$O$86,15,0)),0,VLOOKUP($U$16,'TAR FIN'!$A$1:$O$86,15,0))</f>
        <v>0</v>
      </c>
      <c r="Y16" s="6">
        <f ca="1">('TUSD BE'!$AM$7+'TUSD BF'!$AM$7+'TUSD CVA'!$AM$7)*1</f>
        <v>15.19295792072058</v>
      </c>
      <c r="Z16" s="6">
        <f ca="1">('TUSD BE'!$AM$8+'TUSD BF'!$AM$8+'TUSD CVA'!$AM$8)*1</f>
        <v>100.23755694003805</v>
      </c>
      <c r="AA16" s="6"/>
      <c r="AB16" s="6">
        <f t="shared" si="0"/>
        <v>53390.999999999993</v>
      </c>
      <c r="AC16" s="6">
        <f t="shared" si="1"/>
        <v>0</v>
      </c>
      <c r="AD16" s="6">
        <f t="shared" ca="1" si="2"/>
        <v>42160.458229999611</v>
      </c>
      <c r="AE16" s="6">
        <f t="shared" ca="1" si="3"/>
        <v>0</v>
      </c>
      <c r="AF16" s="4" t="s">
        <v>725</v>
      </c>
    </row>
    <row r="17" spans="1:32" ht="11.25" customHeight="1" x14ac:dyDescent="0.25">
      <c r="A17" s="4" t="s">
        <v>21</v>
      </c>
      <c r="B17" s="4" t="s">
        <v>38</v>
      </c>
      <c r="C17" s="4" t="s">
        <v>39</v>
      </c>
      <c r="D17" s="4" t="s">
        <v>37</v>
      </c>
      <c r="E17" s="4" t="s">
        <v>25</v>
      </c>
      <c r="F17" s="4" t="s">
        <v>57</v>
      </c>
      <c r="G17" s="4" t="s">
        <v>25</v>
      </c>
      <c r="H17" s="4" t="s">
        <v>34</v>
      </c>
      <c r="I17" s="5">
        <v>44470</v>
      </c>
      <c r="J17" s="6">
        <v>5570</v>
      </c>
      <c r="K17" s="6">
        <v>2785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58</v>
      </c>
      <c r="R17" s="4">
        <v>0</v>
      </c>
      <c r="S17" s="4">
        <v>22</v>
      </c>
      <c r="T17" s="4">
        <v>0</v>
      </c>
      <c r="U17" s="4">
        <v>0</v>
      </c>
      <c r="V17" s="6">
        <f>IF(ISERROR(VLOOKUP($S$17,'TAR FIN'!$A$1:$O$86,15,0)),0,VLOOKUP($S$17,'TAR FIN'!$A$1:$O$86,15,0))</f>
        <v>19.239999999999998</v>
      </c>
      <c r="W17" s="6">
        <f>IF(ISERROR(VLOOKUP($T$17,'TAR FIN'!$A$1:$O$86,15,0)),0,VLOOKUP($T$17,'TAR FIN'!$A$1:$O$86,15,0))</f>
        <v>0</v>
      </c>
      <c r="X17" s="6">
        <f>IF(ISERROR(VLOOKUP($U$17,'TAR FIN'!$A$1:$O$86,15,0)),0,VLOOKUP($U$17,'TAR FIN'!$A$1:$O$86,15,0))</f>
        <v>0</v>
      </c>
      <c r="Y17" s="6">
        <f ca="1">('TUSD BE'!$AM$7+'TUSD BF'!$AM$7+'TUSD CVA'!$AM$7)*1</f>
        <v>15.19295792072058</v>
      </c>
      <c r="Z17" s="6">
        <f ca="1">('TUSD BE'!$AM$8+'TUSD BF'!$AM$8+'TUSD CVA'!$AM$8)*1</f>
        <v>100.23755694003805</v>
      </c>
      <c r="AA17" s="6"/>
      <c r="AB17" s="6">
        <f t="shared" si="0"/>
        <v>53583.399999999994</v>
      </c>
      <c r="AC17" s="6">
        <f t="shared" si="1"/>
        <v>0</v>
      </c>
      <c r="AD17" s="6">
        <f t="shared" ca="1" si="2"/>
        <v>42312.387809206819</v>
      </c>
      <c r="AE17" s="6">
        <f t="shared" ca="1" si="3"/>
        <v>0</v>
      </c>
      <c r="AF17" s="4" t="s">
        <v>725</v>
      </c>
    </row>
    <row r="18" spans="1:32" ht="11.25" customHeight="1" x14ac:dyDescent="0.25">
      <c r="A18" s="4" t="s">
        <v>21</v>
      </c>
      <c r="B18" s="4" t="s">
        <v>38</v>
      </c>
      <c r="C18" s="4" t="s">
        <v>39</v>
      </c>
      <c r="D18" s="4" t="s">
        <v>37</v>
      </c>
      <c r="E18" s="4" t="s">
        <v>25</v>
      </c>
      <c r="F18" s="4" t="s">
        <v>57</v>
      </c>
      <c r="G18" s="4" t="s">
        <v>25</v>
      </c>
      <c r="H18" s="4" t="s">
        <v>34</v>
      </c>
      <c r="I18" s="5">
        <v>44501</v>
      </c>
      <c r="J18" s="6">
        <v>5615</v>
      </c>
      <c r="K18" s="6">
        <v>2807.5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58</v>
      </c>
      <c r="R18" s="4">
        <v>0</v>
      </c>
      <c r="S18" s="4">
        <v>22</v>
      </c>
      <c r="T18" s="4">
        <v>0</v>
      </c>
      <c r="U18" s="4">
        <v>0</v>
      </c>
      <c r="V18" s="6">
        <f>IF(ISERROR(VLOOKUP($S$18,'TAR FIN'!$A$1:$O$86,15,0)),0,VLOOKUP($S$18,'TAR FIN'!$A$1:$O$86,15,0))</f>
        <v>19.239999999999998</v>
      </c>
      <c r="W18" s="6">
        <f>IF(ISERROR(VLOOKUP($T$18,'TAR FIN'!$A$1:$O$86,15,0)),0,VLOOKUP($T$18,'TAR FIN'!$A$1:$O$86,15,0))</f>
        <v>0</v>
      </c>
      <c r="X18" s="6">
        <f>IF(ISERROR(VLOOKUP($U$18,'TAR FIN'!$A$1:$O$86,15,0)),0,VLOOKUP($U$18,'TAR FIN'!$A$1:$O$86,15,0))</f>
        <v>0</v>
      </c>
      <c r="Y18" s="6">
        <f ca="1">('TUSD BE'!$AM$7+'TUSD BF'!$AM$7+'TUSD CVA'!$AM$7)*1</f>
        <v>15.19295792072058</v>
      </c>
      <c r="Z18" s="6">
        <f ca="1">('TUSD BE'!$AM$8+'TUSD BF'!$AM$8+'TUSD CVA'!$AM$8)*1</f>
        <v>100.23755694003805</v>
      </c>
      <c r="AA18" s="6"/>
      <c r="AB18" s="6">
        <f t="shared" si="0"/>
        <v>54016.299999999996</v>
      </c>
      <c r="AC18" s="6">
        <f t="shared" si="1"/>
        <v>0</v>
      </c>
      <c r="AD18" s="6">
        <f t="shared" ca="1" si="2"/>
        <v>42654.22936242303</v>
      </c>
      <c r="AE18" s="6">
        <f t="shared" ca="1" si="3"/>
        <v>0</v>
      </c>
      <c r="AF18" s="4" t="s">
        <v>725</v>
      </c>
    </row>
    <row r="19" spans="1:32" ht="11.25" customHeight="1" x14ac:dyDescent="0.25">
      <c r="A19" s="4" t="s">
        <v>21</v>
      </c>
      <c r="B19" s="4" t="s">
        <v>38</v>
      </c>
      <c r="C19" s="4" t="s">
        <v>39</v>
      </c>
      <c r="D19" s="4" t="s">
        <v>37</v>
      </c>
      <c r="E19" s="4" t="s">
        <v>25</v>
      </c>
      <c r="F19" s="4" t="s">
        <v>57</v>
      </c>
      <c r="G19" s="4" t="s">
        <v>25</v>
      </c>
      <c r="H19" s="4" t="s">
        <v>34</v>
      </c>
      <c r="I19" s="5">
        <v>44531</v>
      </c>
      <c r="J19" s="6">
        <v>5648</v>
      </c>
      <c r="K19" s="6">
        <v>2824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58</v>
      </c>
      <c r="R19" s="4">
        <v>0</v>
      </c>
      <c r="S19" s="4">
        <v>22</v>
      </c>
      <c r="T19" s="4">
        <v>0</v>
      </c>
      <c r="U19" s="4">
        <v>0</v>
      </c>
      <c r="V19" s="6">
        <f>IF(ISERROR(VLOOKUP($S$19,'TAR FIN'!$A$1:$O$86,15,0)),0,VLOOKUP($S$19,'TAR FIN'!$A$1:$O$86,15,0))</f>
        <v>19.239999999999998</v>
      </c>
      <c r="W19" s="6">
        <f>IF(ISERROR(VLOOKUP($T$19,'TAR FIN'!$A$1:$O$86,15,0)),0,VLOOKUP($T$19,'TAR FIN'!$A$1:$O$86,15,0))</f>
        <v>0</v>
      </c>
      <c r="X19" s="6">
        <f>IF(ISERROR(VLOOKUP($U$19,'TAR FIN'!$A$1:$O$86,15,0)),0,VLOOKUP($U$19,'TAR FIN'!$A$1:$O$86,15,0))</f>
        <v>0</v>
      </c>
      <c r="Y19" s="6">
        <f ca="1">('TUSD BE'!$AM$7+'TUSD BF'!$AM$7+'TUSD CVA'!$AM$7)*1</f>
        <v>15.19295792072058</v>
      </c>
      <c r="Z19" s="6">
        <f ca="1">('TUSD BE'!$AM$8+'TUSD BF'!$AM$8+'TUSD CVA'!$AM$8)*1</f>
        <v>100.23755694003805</v>
      </c>
      <c r="AA19" s="6"/>
      <c r="AB19" s="6">
        <f t="shared" si="0"/>
        <v>54333.759999999995</v>
      </c>
      <c r="AC19" s="6">
        <f t="shared" si="1"/>
        <v>0</v>
      </c>
      <c r="AD19" s="6">
        <f t="shared" ca="1" si="2"/>
        <v>42904.913168114923</v>
      </c>
      <c r="AE19" s="6">
        <f t="shared" ca="1" si="3"/>
        <v>0</v>
      </c>
      <c r="AF19" s="4" t="s">
        <v>725</v>
      </c>
    </row>
    <row r="20" spans="1:32" ht="11.25" customHeight="1" x14ac:dyDescent="0.25">
      <c r="A20" s="4" t="s">
        <v>21</v>
      </c>
      <c r="B20" s="4" t="s">
        <v>38</v>
      </c>
      <c r="C20" s="4" t="s">
        <v>39</v>
      </c>
      <c r="D20" s="4" t="s">
        <v>37</v>
      </c>
      <c r="E20" s="4" t="s">
        <v>25</v>
      </c>
      <c r="F20" s="4" t="s">
        <v>57</v>
      </c>
      <c r="G20" s="4" t="s">
        <v>25</v>
      </c>
      <c r="H20" s="4" t="s">
        <v>34</v>
      </c>
      <c r="I20" s="5">
        <v>44562</v>
      </c>
      <c r="J20" s="6">
        <v>5716</v>
      </c>
      <c r="K20" s="6">
        <v>2858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58</v>
      </c>
      <c r="R20" s="4">
        <v>0</v>
      </c>
      <c r="S20" s="4">
        <v>22</v>
      </c>
      <c r="T20" s="4">
        <v>0</v>
      </c>
      <c r="U20" s="4">
        <v>0</v>
      </c>
      <c r="V20" s="6">
        <f>IF(ISERROR(VLOOKUP($S$20,'TAR FIN'!$A$1:$O$86,15,0)),0,VLOOKUP($S$20,'TAR FIN'!$A$1:$O$86,15,0))</f>
        <v>19.239999999999998</v>
      </c>
      <c r="W20" s="6">
        <f>IF(ISERROR(VLOOKUP($T$20,'TAR FIN'!$A$1:$O$86,15,0)),0,VLOOKUP($T$20,'TAR FIN'!$A$1:$O$86,15,0))</f>
        <v>0</v>
      </c>
      <c r="X20" s="6">
        <f>IF(ISERROR(VLOOKUP($U$20,'TAR FIN'!$A$1:$O$86,15,0)),0,VLOOKUP($U$20,'TAR FIN'!$A$1:$O$86,15,0))</f>
        <v>0</v>
      </c>
      <c r="Y20" s="6">
        <f ca="1">('TUSD BE'!$AM$7+'TUSD BF'!$AM$7+'TUSD CVA'!$AM$7)*1</f>
        <v>15.19295792072058</v>
      </c>
      <c r="Z20" s="6">
        <f ca="1">('TUSD BE'!$AM$8+'TUSD BF'!$AM$8+'TUSD CVA'!$AM$8)*1</f>
        <v>100.23755694003805</v>
      </c>
      <c r="AA20" s="6"/>
      <c r="AB20" s="6">
        <f t="shared" si="0"/>
        <v>54987.92</v>
      </c>
      <c r="AC20" s="6">
        <f t="shared" si="1"/>
        <v>0</v>
      </c>
      <c r="AD20" s="6">
        <f t="shared" ca="1" si="2"/>
        <v>43421.473737419416</v>
      </c>
      <c r="AE20" s="6">
        <f t="shared" ca="1" si="3"/>
        <v>0</v>
      </c>
      <c r="AF20" s="4" t="s">
        <v>725</v>
      </c>
    </row>
    <row r="21" spans="1:32" ht="11.25" customHeight="1" x14ac:dyDescent="0.25">
      <c r="A21" s="4" t="s">
        <v>21</v>
      </c>
      <c r="B21" s="4" t="s">
        <v>38</v>
      </c>
      <c r="C21" s="4" t="s">
        <v>39</v>
      </c>
      <c r="D21" s="4" t="s">
        <v>37</v>
      </c>
      <c r="E21" s="4" t="s">
        <v>25</v>
      </c>
      <c r="F21" s="4" t="s">
        <v>57</v>
      </c>
      <c r="G21" s="4" t="s">
        <v>25</v>
      </c>
      <c r="H21" s="4" t="s">
        <v>34</v>
      </c>
      <c r="I21" s="5">
        <v>44593</v>
      </c>
      <c r="J21" s="6">
        <v>5640</v>
      </c>
      <c r="K21" s="6">
        <v>2820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58</v>
      </c>
      <c r="R21" s="4">
        <v>0</v>
      </c>
      <c r="S21" s="4">
        <v>22</v>
      </c>
      <c r="T21" s="4">
        <v>0</v>
      </c>
      <c r="U21" s="4">
        <v>0</v>
      </c>
      <c r="V21" s="6">
        <f>IF(ISERROR(VLOOKUP($S$21,'TAR FIN'!$A$1:$O$86,15,0)),0,VLOOKUP($S$21,'TAR FIN'!$A$1:$O$86,15,0))</f>
        <v>19.239999999999998</v>
      </c>
      <c r="W21" s="6">
        <f>IF(ISERROR(VLOOKUP($T$21,'TAR FIN'!$A$1:$O$86,15,0)),0,VLOOKUP($T$21,'TAR FIN'!$A$1:$O$86,15,0))</f>
        <v>0</v>
      </c>
      <c r="X21" s="6">
        <f>IF(ISERROR(VLOOKUP($U$21,'TAR FIN'!$A$1:$O$86,15,0)),0,VLOOKUP($U$21,'TAR FIN'!$A$1:$O$86,15,0))</f>
        <v>0</v>
      </c>
      <c r="Y21" s="6">
        <f ca="1">('TUSD BE'!$AM$7+'TUSD BF'!$AM$7+'TUSD CVA'!$AM$7)*1</f>
        <v>15.19295792072058</v>
      </c>
      <c r="Z21" s="6">
        <f ca="1">('TUSD BE'!$AM$8+'TUSD BF'!$AM$8+'TUSD CVA'!$AM$8)*1</f>
        <v>100.23755694003805</v>
      </c>
      <c r="AA21" s="6"/>
      <c r="AB21" s="6">
        <f t="shared" si="0"/>
        <v>54256.799999999996</v>
      </c>
      <c r="AC21" s="6">
        <f t="shared" si="1"/>
        <v>0</v>
      </c>
      <c r="AD21" s="6">
        <f t="shared" ca="1" si="2"/>
        <v>42844.14133643204</v>
      </c>
      <c r="AE21" s="6">
        <f t="shared" ca="1" si="3"/>
        <v>0</v>
      </c>
      <c r="AF21" s="4" t="s">
        <v>725</v>
      </c>
    </row>
    <row r="22" spans="1:32" ht="11.25" customHeight="1" x14ac:dyDescent="0.25">
      <c r="A22" s="4" t="s">
        <v>21</v>
      </c>
      <c r="B22" s="4" t="s">
        <v>38</v>
      </c>
      <c r="C22" s="4" t="s">
        <v>39</v>
      </c>
      <c r="D22" s="4" t="s">
        <v>37</v>
      </c>
      <c r="E22" s="4" t="s">
        <v>25</v>
      </c>
      <c r="F22" s="4" t="s">
        <v>57</v>
      </c>
      <c r="G22" s="4" t="s">
        <v>25</v>
      </c>
      <c r="H22" s="4" t="s">
        <v>34</v>
      </c>
      <c r="I22" s="5">
        <v>44621</v>
      </c>
      <c r="J22" s="6">
        <v>5643</v>
      </c>
      <c r="K22" s="6">
        <v>2821.5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58</v>
      </c>
      <c r="R22" s="4">
        <v>0</v>
      </c>
      <c r="S22" s="4">
        <v>22</v>
      </c>
      <c r="T22" s="4">
        <v>0</v>
      </c>
      <c r="U22" s="4">
        <v>0</v>
      </c>
      <c r="V22" s="6">
        <f>IF(ISERROR(VLOOKUP($S$22,'TAR FIN'!$A$1:$O$86,15,0)),0,VLOOKUP($S$22,'TAR FIN'!$A$1:$O$86,15,0))</f>
        <v>19.239999999999998</v>
      </c>
      <c r="W22" s="6">
        <f>IF(ISERROR(VLOOKUP($T$22,'TAR FIN'!$A$1:$O$86,15,0)),0,VLOOKUP($T$22,'TAR FIN'!$A$1:$O$86,15,0))</f>
        <v>0</v>
      </c>
      <c r="X22" s="6">
        <f>IF(ISERROR(VLOOKUP($U$22,'TAR FIN'!$A$1:$O$86,15,0)),0,VLOOKUP($U$22,'TAR FIN'!$A$1:$O$86,15,0))</f>
        <v>0</v>
      </c>
      <c r="Y22" s="6">
        <f ca="1">('TUSD BE'!$AM$7+'TUSD BF'!$AM$7+'TUSD CVA'!$AM$7)*1</f>
        <v>15.19295792072058</v>
      </c>
      <c r="Z22" s="6">
        <f ca="1">('TUSD BE'!$AM$8+'TUSD BF'!$AM$8+'TUSD CVA'!$AM$8)*1</f>
        <v>100.23755694003805</v>
      </c>
      <c r="AA22" s="6"/>
      <c r="AB22" s="6">
        <f t="shared" si="0"/>
        <v>54285.659999999996</v>
      </c>
      <c r="AC22" s="6">
        <f t="shared" si="1"/>
        <v>0</v>
      </c>
      <c r="AD22" s="6">
        <f t="shared" ca="1" si="2"/>
        <v>42866.930773313121</v>
      </c>
      <c r="AE22" s="6">
        <f t="shared" ca="1" si="3"/>
        <v>0</v>
      </c>
      <c r="AF22" s="4" t="s">
        <v>725</v>
      </c>
    </row>
    <row r="23" spans="1:32" ht="11.25" customHeight="1" x14ac:dyDescent="0.25">
      <c r="A23" s="4" t="s">
        <v>21</v>
      </c>
      <c r="B23" s="4" t="s">
        <v>38</v>
      </c>
      <c r="C23" s="4" t="s">
        <v>39</v>
      </c>
      <c r="D23" s="4" t="s">
        <v>37</v>
      </c>
      <c r="E23" s="4" t="s">
        <v>25</v>
      </c>
      <c r="F23" s="4" t="s">
        <v>57</v>
      </c>
      <c r="G23" s="4" t="s">
        <v>25</v>
      </c>
      <c r="H23" s="4" t="s">
        <v>34</v>
      </c>
      <c r="I23" s="5">
        <v>44652</v>
      </c>
      <c r="J23" s="6">
        <v>5618</v>
      </c>
      <c r="K23" s="6">
        <v>2809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58</v>
      </c>
      <c r="R23" s="4">
        <v>0</v>
      </c>
      <c r="S23" s="4">
        <v>22</v>
      </c>
      <c r="T23" s="4">
        <v>0</v>
      </c>
      <c r="U23" s="4">
        <v>0</v>
      </c>
      <c r="V23" s="6">
        <f>IF(ISERROR(VLOOKUP($S$23,'TAR FIN'!$A$1:$O$86,15,0)),0,VLOOKUP($S$23,'TAR FIN'!$A$1:$O$86,15,0))</f>
        <v>19.239999999999998</v>
      </c>
      <c r="W23" s="6">
        <f>IF(ISERROR(VLOOKUP($T$23,'TAR FIN'!$A$1:$O$86,15,0)),0,VLOOKUP($T$23,'TAR FIN'!$A$1:$O$86,15,0))</f>
        <v>0</v>
      </c>
      <c r="X23" s="6">
        <f>IF(ISERROR(VLOOKUP($U$23,'TAR FIN'!$A$1:$O$86,15,0)),0,VLOOKUP($U$23,'TAR FIN'!$A$1:$O$86,15,0))</f>
        <v>0</v>
      </c>
      <c r="Y23" s="6">
        <f ca="1">('TUSD BE'!$AM$7+'TUSD BF'!$AM$7+'TUSD CVA'!$AM$7)*1</f>
        <v>15.19295792072058</v>
      </c>
      <c r="Z23" s="6">
        <f ca="1">('TUSD BE'!$AM$8+'TUSD BF'!$AM$8+'TUSD CVA'!$AM$8)*1</f>
        <v>100.23755694003805</v>
      </c>
      <c r="AA23" s="6"/>
      <c r="AB23" s="6">
        <f t="shared" si="0"/>
        <v>54045.159999999996</v>
      </c>
      <c r="AC23" s="6">
        <f t="shared" si="1"/>
        <v>0</v>
      </c>
      <c r="AD23" s="6">
        <f t="shared" ca="1" si="2"/>
        <v>42677.018799304111</v>
      </c>
      <c r="AE23" s="6">
        <f t="shared" ca="1" si="3"/>
        <v>0</v>
      </c>
      <c r="AF23" s="4" t="s">
        <v>725</v>
      </c>
    </row>
    <row r="24" spans="1:32" ht="11.25" customHeight="1" x14ac:dyDescent="0.25">
      <c r="A24" s="4" t="s">
        <v>21</v>
      </c>
      <c r="B24" s="4" t="s">
        <v>38</v>
      </c>
      <c r="C24" s="4" t="s">
        <v>39</v>
      </c>
      <c r="D24" s="4" t="s">
        <v>37</v>
      </c>
      <c r="E24" s="4" t="s">
        <v>25</v>
      </c>
      <c r="F24" s="4" t="s">
        <v>57</v>
      </c>
      <c r="G24" s="4" t="s">
        <v>25</v>
      </c>
      <c r="H24" s="4" t="s">
        <v>34</v>
      </c>
      <c r="I24" s="5">
        <v>44682</v>
      </c>
      <c r="J24" s="6">
        <v>5674</v>
      </c>
      <c r="K24" s="6">
        <v>2837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58</v>
      </c>
      <c r="R24" s="4">
        <v>0</v>
      </c>
      <c r="S24" s="4">
        <v>22</v>
      </c>
      <c r="T24" s="4">
        <v>0</v>
      </c>
      <c r="U24" s="4">
        <v>0</v>
      </c>
      <c r="V24" s="6">
        <f>IF(ISERROR(VLOOKUP($S$24,'TAR FIN'!$A$1:$O$86,15,0)),0,VLOOKUP($S$24,'TAR FIN'!$A$1:$O$86,15,0))</f>
        <v>19.239999999999998</v>
      </c>
      <c r="W24" s="6">
        <f>IF(ISERROR(VLOOKUP($T$24,'TAR FIN'!$A$1:$O$86,15,0)),0,VLOOKUP($T$24,'TAR FIN'!$A$1:$O$86,15,0))</f>
        <v>0</v>
      </c>
      <c r="X24" s="6">
        <f>IF(ISERROR(VLOOKUP($U$24,'TAR FIN'!$A$1:$O$86,15,0)),0,VLOOKUP($U$24,'TAR FIN'!$A$1:$O$86,15,0))</f>
        <v>0</v>
      </c>
      <c r="Y24" s="6">
        <f ca="1">('TUSD BE'!$AM$7+'TUSD BF'!$AM$7+'TUSD CVA'!$AM$7)*1</f>
        <v>15.19295792072058</v>
      </c>
      <c r="Z24" s="6">
        <f ca="1">('TUSD BE'!$AM$8+'TUSD BF'!$AM$8+'TUSD CVA'!$AM$8)*1</f>
        <v>100.23755694003805</v>
      </c>
      <c r="AA24" s="6"/>
      <c r="AB24" s="6">
        <f t="shared" si="0"/>
        <v>54583.88</v>
      </c>
      <c r="AC24" s="6">
        <f t="shared" si="1"/>
        <v>0</v>
      </c>
      <c r="AD24" s="6">
        <f t="shared" ca="1" si="2"/>
        <v>43102.421621084286</v>
      </c>
      <c r="AE24" s="6">
        <f t="shared" ca="1" si="3"/>
        <v>0</v>
      </c>
      <c r="AF24" s="4" t="s">
        <v>725</v>
      </c>
    </row>
    <row r="25" spans="1:32" ht="11.25" customHeight="1" x14ac:dyDescent="0.25">
      <c r="A25" s="4" t="s">
        <v>56</v>
      </c>
      <c r="B25" s="4" t="s">
        <v>38</v>
      </c>
      <c r="C25" s="4" t="s">
        <v>39</v>
      </c>
      <c r="D25" s="4" t="s">
        <v>37</v>
      </c>
      <c r="E25" s="4" t="s">
        <v>25</v>
      </c>
      <c r="F25" s="4" t="s">
        <v>57</v>
      </c>
      <c r="G25" s="4" t="s">
        <v>25</v>
      </c>
      <c r="H25" s="4" t="s">
        <v>34</v>
      </c>
      <c r="I25" s="5">
        <v>44713</v>
      </c>
      <c r="J25" s="6">
        <v>5674</v>
      </c>
      <c r="K25" s="6">
        <v>2837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58</v>
      </c>
      <c r="R25" s="4">
        <v>0</v>
      </c>
      <c r="S25" s="4">
        <v>22</v>
      </c>
      <c r="T25" s="4">
        <v>0</v>
      </c>
      <c r="U25" s="4">
        <v>0</v>
      </c>
      <c r="V25" s="6">
        <f>IF(ISERROR(VLOOKUP($S$25,'TAR FIN'!$A$1:$O$86,15,0)),0,VLOOKUP($S$25,'TAR FIN'!$A$1:$O$86,15,0))</f>
        <v>19.239999999999998</v>
      </c>
      <c r="W25" s="6">
        <f>IF(ISERROR(VLOOKUP($T$25,'TAR FIN'!$A$1:$O$86,15,0)),0,VLOOKUP($T$25,'TAR FIN'!$A$1:$O$86,15,0))</f>
        <v>0</v>
      </c>
      <c r="X25" s="6">
        <f>IF(ISERROR(VLOOKUP($U$25,'TAR FIN'!$A$1:$O$86,15,0)),0,VLOOKUP($U$25,'TAR FIN'!$A$1:$O$86,15,0))</f>
        <v>0</v>
      </c>
      <c r="Y25" s="6">
        <f ca="1">('TUSD BE'!$AM$7+'TUSD BF'!$AM$7+'TUSD CVA'!$AM$7)*1</f>
        <v>15.19295792072058</v>
      </c>
      <c r="Z25" s="6">
        <f ca="1">('TUSD BE'!$AM$8+'TUSD BF'!$AM$8+'TUSD CVA'!$AM$8)*1</f>
        <v>100.23755694003805</v>
      </c>
      <c r="AA25" s="6"/>
      <c r="AB25" s="6">
        <f t="shared" si="0"/>
        <v>54583.88</v>
      </c>
      <c r="AC25" s="6">
        <f t="shared" si="1"/>
        <v>0</v>
      </c>
      <c r="AD25" s="6">
        <f t="shared" ca="1" si="2"/>
        <v>43102.421621084286</v>
      </c>
      <c r="AE25" s="6">
        <f t="shared" ca="1" si="3"/>
        <v>0</v>
      </c>
      <c r="AF25" s="4" t="s">
        <v>725</v>
      </c>
    </row>
    <row r="26" spans="1:32" ht="11.25" customHeight="1" x14ac:dyDescent="0.25">
      <c r="A26" s="4" t="s">
        <v>21</v>
      </c>
      <c r="B26" s="4" t="s">
        <v>38</v>
      </c>
      <c r="C26" s="4" t="s">
        <v>39</v>
      </c>
      <c r="D26" s="4" t="s">
        <v>37</v>
      </c>
      <c r="E26" s="4" t="s">
        <v>25</v>
      </c>
      <c r="F26" s="4" t="s">
        <v>57</v>
      </c>
      <c r="G26" s="4" t="s">
        <v>25</v>
      </c>
      <c r="H26" s="4" t="s">
        <v>25</v>
      </c>
      <c r="I26" s="5">
        <v>44378</v>
      </c>
      <c r="J26" s="6">
        <v>0</v>
      </c>
      <c r="K26" s="6">
        <v>0</v>
      </c>
      <c r="L26" s="6">
        <v>2527.2869999999998</v>
      </c>
      <c r="M26" s="6">
        <v>1263.6434999999999</v>
      </c>
      <c r="N26" s="6">
        <v>0</v>
      </c>
      <c r="O26" s="6">
        <v>0</v>
      </c>
      <c r="P26" s="6">
        <v>4</v>
      </c>
      <c r="Q26" s="4" t="s">
        <v>58</v>
      </c>
      <c r="R26" s="4">
        <v>0</v>
      </c>
      <c r="S26" s="4">
        <v>0</v>
      </c>
      <c r="T26" s="4">
        <v>7</v>
      </c>
      <c r="U26" s="4">
        <v>0</v>
      </c>
      <c r="V26" s="6">
        <f>IF(ISERROR(VLOOKUP($S$26,'TAR FIN'!$A$1:$O$86,15,0)),0,VLOOKUP($S$26,'TAR FIN'!$A$1:$O$86,15,0))</f>
        <v>0</v>
      </c>
      <c r="W26" s="6">
        <f>IF(ISERROR(VLOOKUP($T$26,'TAR FIN'!$A$1:$O$86,15,0)),0,VLOOKUP($T$26,'TAR FIN'!$A$1:$O$86,15,0))</f>
        <v>78.680000000000007</v>
      </c>
      <c r="X26" s="6">
        <f>IF(ISERROR(VLOOKUP($U$26,'TAR FIN'!$A$1:$O$86,15,0)),0,VLOOKUP($U$26,'TAR FIN'!$A$1:$O$86,15,0))</f>
        <v>0</v>
      </c>
      <c r="Y26" s="6"/>
      <c r="Z26" s="6">
        <f ca="1">('TUSD BE'!$AM$8+'TUSD BF'!$AM$8+'TUSD CVA'!$AM$8)*1</f>
        <v>100.23755694003805</v>
      </c>
      <c r="AA26" s="6"/>
      <c r="AB26" s="6">
        <f t="shared" si="0"/>
        <v>0</v>
      </c>
      <c r="AC26" s="6">
        <f t="shared" si="1"/>
        <v>99423.470579999994</v>
      </c>
      <c r="AD26" s="6">
        <f t="shared" si="2"/>
        <v>0</v>
      </c>
      <c r="AE26" s="6">
        <f t="shared" ca="1" si="3"/>
        <v>126664.53728315896</v>
      </c>
      <c r="AF26" s="4" t="s">
        <v>725</v>
      </c>
    </row>
    <row r="27" spans="1:32" ht="11.25" customHeight="1" x14ac:dyDescent="0.25">
      <c r="A27" s="4" t="s">
        <v>21</v>
      </c>
      <c r="B27" s="4" t="s">
        <v>38</v>
      </c>
      <c r="C27" s="4" t="s">
        <v>39</v>
      </c>
      <c r="D27" s="4" t="s">
        <v>37</v>
      </c>
      <c r="E27" s="4" t="s">
        <v>25</v>
      </c>
      <c r="F27" s="4" t="s">
        <v>57</v>
      </c>
      <c r="G27" s="4" t="s">
        <v>25</v>
      </c>
      <c r="H27" s="4" t="s">
        <v>25</v>
      </c>
      <c r="I27" s="5">
        <v>44409</v>
      </c>
      <c r="J27" s="6">
        <v>0</v>
      </c>
      <c r="K27" s="6">
        <v>0</v>
      </c>
      <c r="L27" s="6">
        <v>2597.9349999999999</v>
      </c>
      <c r="M27" s="6">
        <v>1298.9675</v>
      </c>
      <c r="N27" s="6">
        <v>0</v>
      </c>
      <c r="O27" s="6">
        <v>0</v>
      </c>
      <c r="P27" s="6">
        <v>4</v>
      </c>
      <c r="Q27" s="4" t="s">
        <v>58</v>
      </c>
      <c r="R27" s="4">
        <v>0</v>
      </c>
      <c r="S27" s="4">
        <v>0</v>
      </c>
      <c r="T27" s="4">
        <v>7</v>
      </c>
      <c r="U27" s="4">
        <v>0</v>
      </c>
      <c r="V27" s="6">
        <f>IF(ISERROR(VLOOKUP($S$27,'TAR FIN'!$A$1:$O$86,15,0)),0,VLOOKUP($S$27,'TAR FIN'!$A$1:$O$86,15,0))</f>
        <v>0</v>
      </c>
      <c r="W27" s="6">
        <f>IF(ISERROR(VLOOKUP($T$27,'TAR FIN'!$A$1:$O$86,15,0)),0,VLOOKUP($T$27,'TAR FIN'!$A$1:$O$86,15,0))</f>
        <v>78.680000000000007</v>
      </c>
      <c r="X27" s="6">
        <f>IF(ISERROR(VLOOKUP($U$27,'TAR FIN'!$A$1:$O$86,15,0)),0,VLOOKUP($U$27,'TAR FIN'!$A$1:$O$86,15,0))</f>
        <v>0</v>
      </c>
      <c r="Y27" s="6"/>
      <c r="Z27" s="6">
        <f ca="1">('TUSD BE'!$AM$8+'TUSD BF'!$AM$8+'TUSD CVA'!$AM$8)*1</f>
        <v>100.23755694003805</v>
      </c>
      <c r="AA27" s="6"/>
      <c r="AB27" s="6">
        <f t="shared" si="0"/>
        <v>0</v>
      </c>
      <c r="AC27" s="6">
        <f t="shared" si="1"/>
        <v>102202.7629</v>
      </c>
      <c r="AD27" s="6">
        <f t="shared" si="2"/>
        <v>0</v>
      </c>
      <c r="AE27" s="6">
        <f t="shared" ca="1" si="3"/>
        <v>130205.32874450886</v>
      </c>
      <c r="AF27" s="4" t="s">
        <v>725</v>
      </c>
    </row>
    <row r="28" spans="1:32" ht="11.25" customHeight="1" x14ac:dyDescent="0.25">
      <c r="A28" s="4" t="s">
        <v>21</v>
      </c>
      <c r="B28" s="4" t="s">
        <v>38</v>
      </c>
      <c r="C28" s="4" t="s">
        <v>39</v>
      </c>
      <c r="D28" s="4" t="s">
        <v>37</v>
      </c>
      <c r="E28" s="4" t="s">
        <v>25</v>
      </c>
      <c r="F28" s="4" t="s">
        <v>57</v>
      </c>
      <c r="G28" s="4" t="s">
        <v>25</v>
      </c>
      <c r="H28" s="4" t="s">
        <v>25</v>
      </c>
      <c r="I28" s="5">
        <v>44440</v>
      </c>
      <c r="J28" s="6">
        <v>0</v>
      </c>
      <c r="K28" s="6">
        <v>0</v>
      </c>
      <c r="L28" s="6">
        <v>2547.232</v>
      </c>
      <c r="M28" s="6">
        <v>1273.616</v>
      </c>
      <c r="N28" s="6">
        <v>0</v>
      </c>
      <c r="O28" s="6">
        <v>0</v>
      </c>
      <c r="P28" s="6">
        <v>4</v>
      </c>
      <c r="Q28" s="4" t="s">
        <v>58</v>
      </c>
      <c r="R28" s="4">
        <v>0</v>
      </c>
      <c r="S28" s="4">
        <v>0</v>
      </c>
      <c r="T28" s="4">
        <v>7</v>
      </c>
      <c r="U28" s="4">
        <v>0</v>
      </c>
      <c r="V28" s="6">
        <f>IF(ISERROR(VLOOKUP($S$28,'TAR FIN'!$A$1:$O$86,15,0)),0,VLOOKUP($S$28,'TAR FIN'!$A$1:$O$86,15,0))</f>
        <v>0</v>
      </c>
      <c r="W28" s="6">
        <f>IF(ISERROR(VLOOKUP($T$28,'TAR FIN'!$A$1:$O$86,15,0)),0,VLOOKUP($T$28,'TAR FIN'!$A$1:$O$86,15,0))</f>
        <v>78.680000000000007</v>
      </c>
      <c r="X28" s="6">
        <f>IF(ISERROR(VLOOKUP($U$28,'TAR FIN'!$A$1:$O$86,15,0)),0,VLOOKUP($U$28,'TAR FIN'!$A$1:$O$86,15,0))</f>
        <v>0</v>
      </c>
      <c r="Y28" s="6"/>
      <c r="Z28" s="6">
        <f ca="1">('TUSD BE'!$AM$8+'TUSD BF'!$AM$8+'TUSD CVA'!$AM$8)*1</f>
        <v>100.23755694003805</v>
      </c>
      <c r="AA28" s="6"/>
      <c r="AB28" s="6">
        <f t="shared" si="0"/>
        <v>0</v>
      </c>
      <c r="AC28" s="6">
        <f t="shared" si="1"/>
        <v>100208.10688000001</v>
      </c>
      <c r="AD28" s="6">
        <f t="shared" si="2"/>
        <v>0</v>
      </c>
      <c r="AE28" s="6">
        <f t="shared" ca="1" si="3"/>
        <v>127664.1563197435</v>
      </c>
      <c r="AF28" s="4" t="s">
        <v>725</v>
      </c>
    </row>
    <row r="29" spans="1:32" ht="11.25" customHeight="1" x14ac:dyDescent="0.25">
      <c r="A29" s="4" t="s">
        <v>21</v>
      </c>
      <c r="B29" s="4" t="s">
        <v>38</v>
      </c>
      <c r="C29" s="4" t="s">
        <v>39</v>
      </c>
      <c r="D29" s="4" t="s">
        <v>37</v>
      </c>
      <c r="E29" s="4" t="s">
        <v>25</v>
      </c>
      <c r="F29" s="4" t="s">
        <v>57</v>
      </c>
      <c r="G29" s="4" t="s">
        <v>25</v>
      </c>
      <c r="H29" s="4" t="s">
        <v>25</v>
      </c>
      <c r="I29" s="5">
        <v>44470</v>
      </c>
      <c r="J29" s="6">
        <v>0</v>
      </c>
      <c r="K29" s="6">
        <v>0</v>
      </c>
      <c r="L29" s="6">
        <v>2494.2710000000002</v>
      </c>
      <c r="M29" s="6">
        <v>1247.1355000000001</v>
      </c>
      <c r="N29" s="6">
        <v>0</v>
      </c>
      <c r="O29" s="6">
        <v>0</v>
      </c>
      <c r="P29" s="6">
        <v>4</v>
      </c>
      <c r="Q29" s="4" t="s">
        <v>58</v>
      </c>
      <c r="R29" s="4">
        <v>0</v>
      </c>
      <c r="S29" s="4">
        <v>0</v>
      </c>
      <c r="T29" s="4">
        <v>7</v>
      </c>
      <c r="U29" s="4">
        <v>0</v>
      </c>
      <c r="V29" s="6">
        <f>IF(ISERROR(VLOOKUP($S$29,'TAR FIN'!$A$1:$O$86,15,0)),0,VLOOKUP($S$29,'TAR FIN'!$A$1:$O$86,15,0))</f>
        <v>0</v>
      </c>
      <c r="W29" s="6">
        <f>IF(ISERROR(VLOOKUP($T$29,'TAR FIN'!$A$1:$O$86,15,0)),0,VLOOKUP($T$29,'TAR FIN'!$A$1:$O$86,15,0))</f>
        <v>78.680000000000007</v>
      </c>
      <c r="X29" s="6">
        <f>IF(ISERROR(VLOOKUP($U$29,'TAR FIN'!$A$1:$O$86,15,0)),0,VLOOKUP($U$29,'TAR FIN'!$A$1:$O$86,15,0))</f>
        <v>0</v>
      </c>
      <c r="Y29" s="6"/>
      <c r="Z29" s="6">
        <f ca="1">('TUSD BE'!$AM$8+'TUSD BF'!$AM$8+'TUSD CVA'!$AM$8)*1</f>
        <v>100.23755694003805</v>
      </c>
      <c r="AA29" s="6"/>
      <c r="AB29" s="6">
        <f t="shared" si="0"/>
        <v>0</v>
      </c>
      <c r="AC29" s="6">
        <f t="shared" si="1"/>
        <v>98124.621140000017</v>
      </c>
      <c r="AD29" s="6">
        <f t="shared" si="2"/>
        <v>0</v>
      </c>
      <c r="AE29" s="6">
        <f t="shared" ca="1" si="3"/>
        <v>125009.81569319282</v>
      </c>
      <c r="AF29" s="4" t="s">
        <v>725</v>
      </c>
    </row>
    <row r="30" spans="1:32" ht="11.25" customHeight="1" x14ac:dyDescent="0.25">
      <c r="A30" s="4" t="s">
        <v>21</v>
      </c>
      <c r="B30" s="4" t="s">
        <v>38</v>
      </c>
      <c r="C30" s="4" t="s">
        <v>39</v>
      </c>
      <c r="D30" s="4" t="s">
        <v>37</v>
      </c>
      <c r="E30" s="4" t="s">
        <v>25</v>
      </c>
      <c r="F30" s="4" t="s">
        <v>57</v>
      </c>
      <c r="G30" s="4" t="s">
        <v>25</v>
      </c>
      <c r="H30" s="4" t="s">
        <v>25</v>
      </c>
      <c r="I30" s="5">
        <v>44501</v>
      </c>
      <c r="J30" s="6">
        <v>0</v>
      </c>
      <c r="K30" s="6">
        <v>0</v>
      </c>
      <c r="L30" s="6">
        <v>2493.67</v>
      </c>
      <c r="M30" s="6">
        <v>1246.835</v>
      </c>
      <c r="N30" s="6">
        <v>0</v>
      </c>
      <c r="O30" s="6">
        <v>0</v>
      </c>
      <c r="P30" s="6">
        <v>4</v>
      </c>
      <c r="Q30" s="4" t="s">
        <v>58</v>
      </c>
      <c r="R30" s="4">
        <v>0</v>
      </c>
      <c r="S30" s="4">
        <v>0</v>
      </c>
      <c r="T30" s="4">
        <v>7</v>
      </c>
      <c r="U30" s="4">
        <v>0</v>
      </c>
      <c r="V30" s="6">
        <f>IF(ISERROR(VLOOKUP($S$30,'TAR FIN'!$A$1:$O$86,15,0)),0,VLOOKUP($S$30,'TAR FIN'!$A$1:$O$86,15,0))</f>
        <v>0</v>
      </c>
      <c r="W30" s="6">
        <f>IF(ISERROR(VLOOKUP($T$30,'TAR FIN'!$A$1:$O$86,15,0)),0,VLOOKUP($T$30,'TAR FIN'!$A$1:$O$86,15,0))</f>
        <v>78.680000000000007</v>
      </c>
      <c r="X30" s="6">
        <f>IF(ISERROR(VLOOKUP($U$30,'TAR FIN'!$A$1:$O$86,15,0)),0,VLOOKUP($U$30,'TAR FIN'!$A$1:$O$86,15,0))</f>
        <v>0</v>
      </c>
      <c r="Y30" s="6"/>
      <c r="Z30" s="6">
        <f ca="1">('TUSD BE'!$AM$8+'TUSD BF'!$AM$8+'TUSD CVA'!$AM$8)*1</f>
        <v>100.23755694003805</v>
      </c>
      <c r="AA30" s="6"/>
      <c r="AB30" s="6">
        <f t="shared" si="0"/>
        <v>0</v>
      </c>
      <c r="AC30" s="6">
        <f t="shared" si="1"/>
        <v>98100.977800000008</v>
      </c>
      <c r="AD30" s="6">
        <f t="shared" si="2"/>
        <v>0</v>
      </c>
      <c r="AE30" s="6">
        <f t="shared" ca="1" si="3"/>
        <v>124979.69430733235</v>
      </c>
      <c r="AF30" s="4" t="s">
        <v>725</v>
      </c>
    </row>
    <row r="31" spans="1:32" ht="11.25" customHeight="1" x14ac:dyDescent="0.25">
      <c r="A31" s="4" t="s">
        <v>21</v>
      </c>
      <c r="B31" s="4" t="s">
        <v>38</v>
      </c>
      <c r="C31" s="4" t="s">
        <v>39</v>
      </c>
      <c r="D31" s="4" t="s">
        <v>37</v>
      </c>
      <c r="E31" s="4" t="s">
        <v>25</v>
      </c>
      <c r="F31" s="4" t="s">
        <v>57</v>
      </c>
      <c r="G31" s="4" t="s">
        <v>25</v>
      </c>
      <c r="H31" s="4" t="s">
        <v>25</v>
      </c>
      <c r="I31" s="5">
        <v>44531</v>
      </c>
      <c r="J31" s="6">
        <v>0</v>
      </c>
      <c r="K31" s="6">
        <v>0</v>
      </c>
      <c r="L31" s="6">
        <v>2788.4180000000001</v>
      </c>
      <c r="M31" s="6">
        <v>1394.2090000000001</v>
      </c>
      <c r="N31" s="6">
        <v>0</v>
      </c>
      <c r="O31" s="6">
        <v>0</v>
      </c>
      <c r="P31" s="6">
        <v>4</v>
      </c>
      <c r="Q31" s="4" t="s">
        <v>58</v>
      </c>
      <c r="R31" s="4">
        <v>0</v>
      </c>
      <c r="S31" s="4">
        <v>0</v>
      </c>
      <c r="T31" s="4">
        <v>7</v>
      </c>
      <c r="U31" s="4">
        <v>0</v>
      </c>
      <c r="V31" s="6">
        <f>IF(ISERROR(VLOOKUP($S$31,'TAR FIN'!$A$1:$O$86,15,0)),0,VLOOKUP($S$31,'TAR FIN'!$A$1:$O$86,15,0))</f>
        <v>0</v>
      </c>
      <c r="W31" s="6">
        <f>IF(ISERROR(VLOOKUP($T$31,'TAR FIN'!$A$1:$O$86,15,0)),0,VLOOKUP($T$31,'TAR FIN'!$A$1:$O$86,15,0))</f>
        <v>78.680000000000007</v>
      </c>
      <c r="X31" s="6">
        <f>IF(ISERROR(VLOOKUP($U$31,'TAR FIN'!$A$1:$O$86,15,0)),0,VLOOKUP($U$31,'TAR FIN'!$A$1:$O$86,15,0))</f>
        <v>0</v>
      </c>
      <c r="Y31" s="6"/>
      <c r="Z31" s="6">
        <f ca="1">('TUSD BE'!$AM$8+'TUSD BF'!$AM$8+'TUSD CVA'!$AM$8)*1</f>
        <v>100.23755694003805</v>
      </c>
      <c r="AA31" s="6"/>
      <c r="AB31" s="6">
        <f t="shared" si="0"/>
        <v>0</v>
      </c>
      <c r="AC31" s="6">
        <f t="shared" si="1"/>
        <v>109696.36412000001</v>
      </c>
      <c r="AD31" s="6">
        <f t="shared" si="2"/>
        <v>0</v>
      </c>
      <c r="AE31" s="6">
        <f t="shared" ca="1" si="3"/>
        <v>139752.1040238135</v>
      </c>
      <c r="AF31" s="4" t="s">
        <v>725</v>
      </c>
    </row>
    <row r="32" spans="1:32" ht="11.25" customHeight="1" x14ac:dyDescent="0.25">
      <c r="A32" s="4" t="s">
        <v>21</v>
      </c>
      <c r="B32" s="4" t="s">
        <v>38</v>
      </c>
      <c r="C32" s="4" t="s">
        <v>39</v>
      </c>
      <c r="D32" s="4" t="s">
        <v>37</v>
      </c>
      <c r="E32" s="4" t="s">
        <v>25</v>
      </c>
      <c r="F32" s="4" t="s">
        <v>57</v>
      </c>
      <c r="G32" s="4" t="s">
        <v>25</v>
      </c>
      <c r="H32" s="4" t="s">
        <v>25</v>
      </c>
      <c r="I32" s="5">
        <v>44562</v>
      </c>
      <c r="J32" s="6">
        <v>0</v>
      </c>
      <c r="K32" s="6">
        <v>0</v>
      </c>
      <c r="L32" s="6">
        <v>2800.7049999999999</v>
      </c>
      <c r="M32" s="6">
        <v>1400.3525</v>
      </c>
      <c r="N32" s="6">
        <v>0</v>
      </c>
      <c r="O32" s="6">
        <v>0</v>
      </c>
      <c r="P32" s="6">
        <v>4</v>
      </c>
      <c r="Q32" s="4" t="s">
        <v>58</v>
      </c>
      <c r="R32" s="4">
        <v>0</v>
      </c>
      <c r="S32" s="4">
        <v>0</v>
      </c>
      <c r="T32" s="4">
        <v>7</v>
      </c>
      <c r="U32" s="4">
        <v>0</v>
      </c>
      <c r="V32" s="6">
        <f>IF(ISERROR(VLOOKUP($S$32,'TAR FIN'!$A$1:$O$86,15,0)),0,VLOOKUP($S$32,'TAR FIN'!$A$1:$O$86,15,0))</f>
        <v>0</v>
      </c>
      <c r="W32" s="6">
        <f>IF(ISERROR(VLOOKUP($T$32,'TAR FIN'!$A$1:$O$86,15,0)),0,VLOOKUP($T$32,'TAR FIN'!$A$1:$O$86,15,0))</f>
        <v>78.680000000000007</v>
      </c>
      <c r="X32" s="6">
        <f>IF(ISERROR(VLOOKUP($U$32,'TAR FIN'!$A$1:$O$86,15,0)),0,VLOOKUP($U$32,'TAR FIN'!$A$1:$O$86,15,0))</f>
        <v>0</v>
      </c>
      <c r="Y32" s="6"/>
      <c r="Z32" s="6">
        <f ca="1">('TUSD BE'!$AM$8+'TUSD BF'!$AM$8+'TUSD CVA'!$AM$8)*1</f>
        <v>100.23755694003805</v>
      </c>
      <c r="AA32" s="6"/>
      <c r="AB32" s="6">
        <f t="shared" si="0"/>
        <v>0</v>
      </c>
      <c r="AC32" s="6">
        <f t="shared" si="1"/>
        <v>110179.7347</v>
      </c>
      <c r="AD32" s="6">
        <f t="shared" si="2"/>
        <v>0</v>
      </c>
      <c r="AE32" s="6">
        <f t="shared" ca="1" si="3"/>
        <v>140367.91345487462</v>
      </c>
      <c r="AF32" s="4" t="s">
        <v>725</v>
      </c>
    </row>
    <row r="33" spans="1:32" ht="11.25" customHeight="1" x14ac:dyDescent="0.25">
      <c r="A33" s="4" t="s">
        <v>21</v>
      </c>
      <c r="B33" s="4" t="s">
        <v>38</v>
      </c>
      <c r="C33" s="4" t="s">
        <v>39</v>
      </c>
      <c r="D33" s="4" t="s">
        <v>37</v>
      </c>
      <c r="E33" s="4" t="s">
        <v>25</v>
      </c>
      <c r="F33" s="4" t="s">
        <v>57</v>
      </c>
      <c r="G33" s="4" t="s">
        <v>25</v>
      </c>
      <c r="H33" s="4" t="s">
        <v>25</v>
      </c>
      <c r="I33" s="5">
        <v>44593</v>
      </c>
      <c r="J33" s="6">
        <v>0</v>
      </c>
      <c r="K33" s="6">
        <v>0</v>
      </c>
      <c r="L33" s="6">
        <v>2477.1469999999999</v>
      </c>
      <c r="M33" s="6">
        <v>1238.5735</v>
      </c>
      <c r="N33" s="6">
        <v>0</v>
      </c>
      <c r="O33" s="6">
        <v>0</v>
      </c>
      <c r="P33" s="6">
        <v>4</v>
      </c>
      <c r="Q33" s="4" t="s">
        <v>58</v>
      </c>
      <c r="R33" s="4">
        <v>0</v>
      </c>
      <c r="S33" s="4">
        <v>0</v>
      </c>
      <c r="T33" s="4">
        <v>7</v>
      </c>
      <c r="U33" s="4">
        <v>0</v>
      </c>
      <c r="V33" s="6">
        <f>IF(ISERROR(VLOOKUP($S$33,'TAR FIN'!$A$1:$O$86,15,0)),0,VLOOKUP($S$33,'TAR FIN'!$A$1:$O$86,15,0))</f>
        <v>0</v>
      </c>
      <c r="W33" s="6">
        <f>IF(ISERROR(VLOOKUP($T$33,'TAR FIN'!$A$1:$O$86,15,0)),0,VLOOKUP($T$33,'TAR FIN'!$A$1:$O$86,15,0))</f>
        <v>78.680000000000007</v>
      </c>
      <c r="X33" s="6">
        <f>IF(ISERROR(VLOOKUP($U$33,'TAR FIN'!$A$1:$O$86,15,0)),0,VLOOKUP($U$33,'TAR FIN'!$A$1:$O$86,15,0))</f>
        <v>0</v>
      </c>
      <c r="Y33" s="6"/>
      <c r="Z33" s="6">
        <f ca="1">('TUSD BE'!$AM$8+'TUSD BF'!$AM$8+'TUSD CVA'!$AM$8)*1</f>
        <v>100.23755694003805</v>
      </c>
      <c r="AA33" s="6"/>
      <c r="AB33" s="6">
        <f t="shared" si="0"/>
        <v>0</v>
      </c>
      <c r="AC33" s="6">
        <f t="shared" si="1"/>
        <v>97450.962980000011</v>
      </c>
      <c r="AD33" s="6">
        <f t="shared" si="2"/>
        <v>0</v>
      </c>
      <c r="AE33" s="6">
        <f t="shared" ca="1" si="3"/>
        <v>124151.58173067222</v>
      </c>
      <c r="AF33" s="4" t="s">
        <v>725</v>
      </c>
    </row>
    <row r="34" spans="1:32" ht="11.25" customHeight="1" x14ac:dyDescent="0.25">
      <c r="A34" s="4" t="s">
        <v>21</v>
      </c>
      <c r="B34" s="4" t="s">
        <v>38</v>
      </c>
      <c r="C34" s="4" t="s">
        <v>39</v>
      </c>
      <c r="D34" s="4" t="s">
        <v>37</v>
      </c>
      <c r="E34" s="4" t="s">
        <v>25</v>
      </c>
      <c r="F34" s="4" t="s">
        <v>57</v>
      </c>
      <c r="G34" s="4" t="s">
        <v>25</v>
      </c>
      <c r="H34" s="4" t="s">
        <v>25</v>
      </c>
      <c r="I34" s="5">
        <v>44621</v>
      </c>
      <c r="J34" s="6">
        <v>0</v>
      </c>
      <c r="K34" s="6">
        <v>0</v>
      </c>
      <c r="L34" s="6">
        <v>2716.36</v>
      </c>
      <c r="M34" s="6">
        <v>1358.18</v>
      </c>
      <c r="N34" s="6">
        <v>0</v>
      </c>
      <c r="O34" s="6">
        <v>0</v>
      </c>
      <c r="P34" s="6">
        <v>4</v>
      </c>
      <c r="Q34" s="4" t="s">
        <v>58</v>
      </c>
      <c r="R34" s="4">
        <v>0</v>
      </c>
      <c r="S34" s="4">
        <v>0</v>
      </c>
      <c r="T34" s="4">
        <v>7</v>
      </c>
      <c r="U34" s="4">
        <v>0</v>
      </c>
      <c r="V34" s="6">
        <f>IF(ISERROR(VLOOKUP($S$34,'TAR FIN'!$A$1:$O$86,15,0)),0,VLOOKUP($S$34,'TAR FIN'!$A$1:$O$86,15,0))</f>
        <v>0</v>
      </c>
      <c r="W34" s="6">
        <f>IF(ISERROR(VLOOKUP($T$34,'TAR FIN'!$A$1:$O$86,15,0)),0,VLOOKUP($T$34,'TAR FIN'!$A$1:$O$86,15,0))</f>
        <v>78.680000000000007</v>
      </c>
      <c r="X34" s="6">
        <f>IF(ISERROR(VLOOKUP($U$34,'TAR FIN'!$A$1:$O$86,15,0)),0,VLOOKUP($U$34,'TAR FIN'!$A$1:$O$86,15,0))</f>
        <v>0</v>
      </c>
      <c r="Y34" s="6"/>
      <c r="Z34" s="6">
        <f ca="1">('TUSD BE'!$AM$8+'TUSD BF'!$AM$8+'TUSD CVA'!$AM$8)*1</f>
        <v>100.23755694003805</v>
      </c>
      <c r="AA34" s="6"/>
      <c r="AB34" s="6">
        <f t="shared" si="0"/>
        <v>0</v>
      </c>
      <c r="AC34" s="6">
        <f t="shared" si="1"/>
        <v>106861.60240000002</v>
      </c>
      <c r="AD34" s="6">
        <f t="shared" si="2"/>
        <v>0</v>
      </c>
      <c r="AE34" s="6">
        <f t="shared" ca="1" si="3"/>
        <v>136140.64508482089</v>
      </c>
      <c r="AF34" s="4" t="s">
        <v>725</v>
      </c>
    </row>
    <row r="35" spans="1:32" ht="11.25" customHeight="1" x14ac:dyDescent="0.25">
      <c r="A35" s="4" t="s">
        <v>21</v>
      </c>
      <c r="B35" s="4" t="s">
        <v>38</v>
      </c>
      <c r="C35" s="4" t="s">
        <v>39</v>
      </c>
      <c r="D35" s="4" t="s">
        <v>37</v>
      </c>
      <c r="E35" s="4" t="s">
        <v>25</v>
      </c>
      <c r="F35" s="4" t="s">
        <v>57</v>
      </c>
      <c r="G35" s="4" t="s">
        <v>25</v>
      </c>
      <c r="H35" s="4" t="s">
        <v>25</v>
      </c>
      <c r="I35" s="5">
        <v>44652</v>
      </c>
      <c r="J35" s="6">
        <v>0</v>
      </c>
      <c r="K35" s="6">
        <v>0</v>
      </c>
      <c r="L35" s="6">
        <v>2357.3380000000002</v>
      </c>
      <c r="M35" s="6">
        <v>1178.6690000000001</v>
      </c>
      <c r="N35" s="6">
        <v>0</v>
      </c>
      <c r="O35" s="6">
        <v>0</v>
      </c>
      <c r="P35" s="6">
        <v>4</v>
      </c>
      <c r="Q35" s="4" t="s">
        <v>58</v>
      </c>
      <c r="R35" s="4">
        <v>0</v>
      </c>
      <c r="S35" s="4">
        <v>0</v>
      </c>
      <c r="T35" s="4">
        <v>7</v>
      </c>
      <c r="U35" s="4">
        <v>0</v>
      </c>
      <c r="V35" s="6">
        <f>IF(ISERROR(VLOOKUP($S$35,'TAR FIN'!$A$1:$O$86,15,0)),0,VLOOKUP($S$35,'TAR FIN'!$A$1:$O$86,15,0))</f>
        <v>0</v>
      </c>
      <c r="W35" s="6">
        <f>IF(ISERROR(VLOOKUP($T$35,'TAR FIN'!$A$1:$O$86,15,0)),0,VLOOKUP($T$35,'TAR FIN'!$A$1:$O$86,15,0))</f>
        <v>78.680000000000007</v>
      </c>
      <c r="X35" s="6">
        <f>IF(ISERROR(VLOOKUP($U$35,'TAR FIN'!$A$1:$O$86,15,0)),0,VLOOKUP($U$35,'TAR FIN'!$A$1:$O$86,15,0))</f>
        <v>0</v>
      </c>
      <c r="Y35" s="6"/>
      <c r="Z35" s="6">
        <f ca="1">('TUSD BE'!$AM$8+'TUSD BF'!$AM$8+'TUSD CVA'!$AM$8)*1</f>
        <v>100.23755694003805</v>
      </c>
      <c r="AA35" s="6"/>
      <c r="AB35" s="6">
        <f t="shared" si="0"/>
        <v>0</v>
      </c>
      <c r="AC35" s="6">
        <f t="shared" si="1"/>
        <v>92737.676920000013</v>
      </c>
      <c r="AD35" s="6">
        <f t="shared" si="2"/>
        <v>0</v>
      </c>
      <c r="AE35" s="6">
        <f t="shared" ca="1" si="3"/>
        <v>118146.90100095772</v>
      </c>
      <c r="AF35" s="4" t="s">
        <v>725</v>
      </c>
    </row>
    <row r="36" spans="1:32" ht="11.25" customHeight="1" x14ac:dyDescent="0.25">
      <c r="A36" s="4" t="s">
        <v>21</v>
      </c>
      <c r="B36" s="4" t="s">
        <v>38</v>
      </c>
      <c r="C36" s="4" t="s">
        <v>39</v>
      </c>
      <c r="D36" s="4" t="s">
        <v>37</v>
      </c>
      <c r="E36" s="4" t="s">
        <v>25</v>
      </c>
      <c r="F36" s="4" t="s">
        <v>57</v>
      </c>
      <c r="G36" s="4" t="s">
        <v>25</v>
      </c>
      <c r="H36" s="4" t="s">
        <v>25</v>
      </c>
      <c r="I36" s="5">
        <v>44682</v>
      </c>
      <c r="J36" s="6">
        <v>0</v>
      </c>
      <c r="K36" s="6">
        <v>0</v>
      </c>
      <c r="L36" s="6">
        <v>2365.0210000000002</v>
      </c>
      <c r="M36" s="6">
        <v>1182.5105000000001</v>
      </c>
      <c r="N36" s="6">
        <v>0</v>
      </c>
      <c r="O36" s="6">
        <v>0</v>
      </c>
      <c r="P36" s="6">
        <v>4</v>
      </c>
      <c r="Q36" s="4" t="s">
        <v>58</v>
      </c>
      <c r="R36" s="4">
        <v>0</v>
      </c>
      <c r="S36" s="4">
        <v>0</v>
      </c>
      <c r="T36" s="4">
        <v>7</v>
      </c>
      <c r="U36" s="4">
        <v>0</v>
      </c>
      <c r="V36" s="6">
        <f>IF(ISERROR(VLOOKUP($S$36,'TAR FIN'!$A$1:$O$86,15,0)),0,VLOOKUP($S$36,'TAR FIN'!$A$1:$O$86,15,0))</f>
        <v>0</v>
      </c>
      <c r="W36" s="6">
        <f>IF(ISERROR(VLOOKUP($T$36,'TAR FIN'!$A$1:$O$86,15,0)),0,VLOOKUP($T$36,'TAR FIN'!$A$1:$O$86,15,0))</f>
        <v>78.680000000000007</v>
      </c>
      <c r="X36" s="6">
        <f>IF(ISERROR(VLOOKUP($U$36,'TAR FIN'!$A$1:$O$86,15,0)),0,VLOOKUP($U$36,'TAR FIN'!$A$1:$O$86,15,0))</f>
        <v>0</v>
      </c>
      <c r="Y36" s="6"/>
      <c r="Z36" s="6">
        <f ca="1">('TUSD BE'!$AM$8+'TUSD BF'!$AM$8+'TUSD CVA'!$AM$8)*1</f>
        <v>100.23755694003805</v>
      </c>
      <c r="AA36" s="6"/>
      <c r="AB36" s="6">
        <f t="shared" si="0"/>
        <v>0</v>
      </c>
      <c r="AC36" s="6">
        <f t="shared" si="1"/>
        <v>93039.92614000001</v>
      </c>
      <c r="AD36" s="6">
        <f t="shared" si="2"/>
        <v>0</v>
      </c>
      <c r="AE36" s="6">
        <f t="shared" ca="1" si="3"/>
        <v>118531.96357594286</v>
      </c>
      <c r="AF36" s="4" t="s">
        <v>725</v>
      </c>
    </row>
    <row r="37" spans="1:32" ht="11.25" customHeight="1" x14ac:dyDescent="0.25">
      <c r="A37" s="4" t="s">
        <v>56</v>
      </c>
      <c r="B37" s="4" t="s">
        <v>38</v>
      </c>
      <c r="C37" s="4" t="s">
        <v>39</v>
      </c>
      <c r="D37" s="4" t="s">
        <v>37</v>
      </c>
      <c r="E37" s="4" t="s">
        <v>25</v>
      </c>
      <c r="F37" s="4" t="s">
        <v>57</v>
      </c>
      <c r="G37" s="4" t="s">
        <v>25</v>
      </c>
      <c r="H37" s="4" t="s">
        <v>25</v>
      </c>
      <c r="I37" s="5">
        <v>44713</v>
      </c>
      <c r="J37" s="6">
        <v>0</v>
      </c>
      <c r="K37" s="6">
        <v>0</v>
      </c>
      <c r="L37" s="6">
        <v>2365.0210000000002</v>
      </c>
      <c r="M37" s="6">
        <v>1182.5105000000001</v>
      </c>
      <c r="N37" s="6">
        <v>0</v>
      </c>
      <c r="O37" s="6">
        <v>0</v>
      </c>
      <c r="P37" s="6">
        <v>4</v>
      </c>
      <c r="Q37" s="4" t="s">
        <v>58</v>
      </c>
      <c r="R37" s="4">
        <v>0</v>
      </c>
      <c r="S37" s="4">
        <v>0</v>
      </c>
      <c r="T37" s="4">
        <v>7</v>
      </c>
      <c r="U37" s="4">
        <v>0</v>
      </c>
      <c r="V37" s="6">
        <f>IF(ISERROR(VLOOKUP($S$37,'TAR FIN'!$A$1:$O$86,15,0)),0,VLOOKUP($S$37,'TAR FIN'!$A$1:$O$86,15,0))</f>
        <v>0</v>
      </c>
      <c r="W37" s="6">
        <f>IF(ISERROR(VLOOKUP($T$37,'TAR FIN'!$A$1:$O$86,15,0)),0,VLOOKUP($T$37,'TAR FIN'!$A$1:$O$86,15,0))</f>
        <v>78.680000000000007</v>
      </c>
      <c r="X37" s="6">
        <f>IF(ISERROR(VLOOKUP($U$37,'TAR FIN'!$A$1:$O$86,15,0)),0,VLOOKUP($U$37,'TAR FIN'!$A$1:$O$86,15,0))</f>
        <v>0</v>
      </c>
      <c r="Y37" s="6"/>
      <c r="Z37" s="6">
        <f ca="1">('TUSD BE'!$AM$8+'TUSD BF'!$AM$8+'TUSD CVA'!$AM$8)*1</f>
        <v>100.23755694003805</v>
      </c>
      <c r="AA37" s="6"/>
      <c r="AB37" s="6">
        <f t="shared" si="0"/>
        <v>0</v>
      </c>
      <c r="AC37" s="6">
        <f t="shared" si="1"/>
        <v>93039.92614000001</v>
      </c>
      <c r="AD37" s="6">
        <f t="shared" si="2"/>
        <v>0</v>
      </c>
      <c r="AE37" s="6">
        <f t="shared" ca="1" si="3"/>
        <v>118531.96357594286</v>
      </c>
      <c r="AF37" s="4" t="s">
        <v>725</v>
      </c>
    </row>
    <row r="38" spans="1:32" ht="11.25" customHeight="1" x14ac:dyDescent="0.25">
      <c r="A38" s="4" t="s">
        <v>21</v>
      </c>
      <c r="B38" s="4" t="s">
        <v>38</v>
      </c>
      <c r="C38" s="4" t="s">
        <v>39</v>
      </c>
      <c r="D38" s="4" t="s">
        <v>37</v>
      </c>
      <c r="E38" s="4" t="s">
        <v>25</v>
      </c>
      <c r="F38" s="4" t="s">
        <v>57</v>
      </c>
      <c r="G38" s="4" t="s">
        <v>25</v>
      </c>
      <c r="H38" s="4" t="s">
        <v>33</v>
      </c>
      <c r="I38" s="5">
        <v>44378</v>
      </c>
      <c r="J38" s="6">
        <v>5232</v>
      </c>
      <c r="K38" s="6">
        <v>2616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58</v>
      </c>
      <c r="R38" s="4">
        <v>0</v>
      </c>
      <c r="S38" s="4">
        <v>3</v>
      </c>
      <c r="T38" s="4">
        <v>0</v>
      </c>
      <c r="U38" s="4">
        <v>0</v>
      </c>
      <c r="V38" s="6">
        <f>IF(ISERROR(VLOOKUP($S$38,'TAR FIN'!$A$1:$O$86,15,0)),0,VLOOKUP($S$38,'TAR FIN'!$A$1:$O$86,15,0))</f>
        <v>51.41</v>
      </c>
      <c r="W38" s="6">
        <f>IF(ISERROR(VLOOKUP($T$38,'TAR FIN'!$A$1:$O$86,15,0)),0,VLOOKUP($T$38,'TAR FIN'!$A$1:$O$86,15,0))</f>
        <v>0</v>
      </c>
      <c r="X38" s="6">
        <f>IF(ISERROR(VLOOKUP($U$38,'TAR FIN'!$A$1:$O$86,15,0)),0,VLOOKUP($U$38,'TAR FIN'!$A$1:$O$86,15,0))</f>
        <v>0</v>
      </c>
      <c r="Y38" s="6">
        <f ca="1">('TUSD BE'!$AM$6+'TUSD BF'!$AM$6+'TUSD CVA'!$AM$6)*1</f>
        <v>40.182791243128264</v>
      </c>
      <c r="Z38" s="6">
        <f ca="1">('TUSD BE'!$AM$8+'TUSD BF'!$AM$8+'TUSD CVA'!$AM$8)*1</f>
        <v>100.23755694003805</v>
      </c>
      <c r="AA38" s="6"/>
      <c r="AB38" s="6">
        <f t="shared" si="0"/>
        <v>134488.56</v>
      </c>
      <c r="AC38" s="6">
        <f t="shared" si="1"/>
        <v>0</v>
      </c>
      <c r="AD38" s="6">
        <f t="shared" ca="1" si="2"/>
        <v>105118.18189202354</v>
      </c>
      <c r="AE38" s="6">
        <f t="shared" ca="1" si="3"/>
        <v>0</v>
      </c>
      <c r="AF38" s="4" t="s">
        <v>725</v>
      </c>
    </row>
    <row r="39" spans="1:32" ht="11.25" customHeight="1" x14ac:dyDescent="0.25">
      <c r="A39" s="4" t="s">
        <v>21</v>
      </c>
      <c r="B39" s="4" t="s">
        <v>38</v>
      </c>
      <c r="C39" s="4" t="s">
        <v>39</v>
      </c>
      <c r="D39" s="4" t="s">
        <v>37</v>
      </c>
      <c r="E39" s="4" t="s">
        <v>25</v>
      </c>
      <c r="F39" s="4" t="s">
        <v>57</v>
      </c>
      <c r="G39" s="4" t="s">
        <v>25</v>
      </c>
      <c r="H39" s="4" t="s">
        <v>33</v>
      </c>
      <c r="I39" s="5">
        <v>44409</v>
      </c>
      <c r="J39" s="6">
        <v>5286</v>
      </c>
      <c r="K39" s="6">
        <v>2643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58</v>
      </c>
      <c r="R39" s="4">
        <v>0</v>
      </c>
      <c r="S39" s="4">
        <v>3</v>
      </c>
      <c r="T39" s="4">
        <v>0</v>
      </c>
      <c r="U39" s="4">
        <v>0</v>
      </c>
      <c r="V39" s="6">
        <f>IF(ISERROR(VLOOKUP($S$39,'TAR FIN'!$A$1:$O$86,15,0)),0,VLOOKUP($S$39,'TAR FIN'!$A$1:$O$86,15,0))</f>
        <v>51.41</v>
      </c>
      <c r="W39" s="6">
        <f>IF(ISERROR(VLOOKUP($T$39,'TAR FIN'!$A$1:$O$86,15,0)),0,VLOOKUP($T$39,'TAR FIN'!$A$1:$O$86,15,0))</f>
        <v>0</v>
      </c>
      <c r="X39" s="6">
        <f>IF(ISERROR(VLOOKUP($U$39,'TAR FIN'!$A$1:$O$86,15,0)),0,VLOOKUP($U$39,'TAR FIN'!$A$1:$O$86,15,0))</f>
        <v>0</v>
      </c>
      <c r="Y39" s="6">
        <f ca="1">('TUSD BE'!$AM$6+'TUSD BF'!$AM$6+'TUSD CVA'!$AM$6)*1</f>
        <v>40.182791243128264</v>
      </c>
      <c r="Z39" s="6">
        <f ca="1">('TUSD BE'!$AM$8+'TUSD BF'!$AM$8+'TUSD CVA'!$AM$8)*1</f>
        <v>100.23755694003805</v>
      </c>
      <c r="AA39" s="6"/>
      <c r="AB39" s="6">
        <f t="shared" si="0"/>
        <v>135876.63</v>
      </c>
      <c r="AC39" s="6">
        <f t="shared" si="1"/>
        <v>0</v>
      </c>
      <c r="AD39" s="6">
        <f t="shared" ca="1" si="2"/>
        <v>106203.117255588</v>
      </c>
      <c r="AE39" s="6">
        <f t="shared" ca="1" si="3"/>
        <v>0</v>
      </c>
      <c r="AF39" s="4" t="s">
        <v>725</v>
      </c>
    </row>
    <row r="40" spans="1:32" ht="11.25" customHeight="1" x14ac:dyDescent="0.25">
      <c r="A40" s="4" t="s">
        <v>21</v>
      </c>
      <c r="B40" s="4" t="s">
        <v>38</v>
      </c>
      <c r="C40" s="4" t="s">
        <v>39</v>
      </c>
      <c r="D40" s="4" t="s">
        <v>37</v>
      </c>
      <c r="E40" s="4" t="s">
        <v>25</v>
      </c>
      <c r="F40" s="4" t="s">
        <v>57</v>
      </c>
      <c r="G40" s="4" t="s">
        <v>25</v>
      </c>
      <c r="H40" s="4" t="s">
        <v>33</v>
      </c>
      <c r="I40" s="5">
        <v>44440</v>
      </c>
      <c r="J40" s="6">
        <v>5291</v>
      </c>
      <c r="K40" s="6">
        <v>2645.5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58</v>
      </c>
      <c r="R40" s="4">
        <v>0</v>
      </c>
      <c r="S40" s="4">
        <v>3</v>
      </c>
      <c r="T40" s="4">
        <v>0</v>
      </c>
      <c r="U40" s="4">
        <v>0</v>
      </c>
      <c r="V40" s="6">
        <f>IF(ISERROR(VLOOKUP($S$40,'TAR FIN'!$A$1:$O$86,15,0)),0,VLOOKUP($S$40,'TAR FIN'!$A$1:$O$86,15,0))</f>
        <v>51.41</v>
      </c>
      <c r="W40" s="6">
        <f>IF(ISERROR(VLOOKUP($T$40,'TAR FIN'!$A$1:$O$86,15,0)),0,VLOOKUP($T$40,'TAR FIN'!$A$1:$O$86,15,0))</f>
        <v>0</v>
      </c>
      <c r="X40" s="6">
        <f>IF(ISERROR(VLOOKUP($U$40,'TAR FIN'!$A$1:$O$86,15,0)),0,VLOOKUP($U$40,'TAR FIN'!$A$1:$O$86,15,0))</f>
        <v>0</v>
      </c>
      <c r="Y40" s="6">
        <f ca="1">('TUSD BE'!$AM$6+'TUSD BF'!$AM$6+'TUSD CVA'!$AM$6)*1</f>
        <v>40.182791243128264</v>
      </c>
      <c r="Z40" s="6">
        <f ca="1">('TUSD BE'!$AM$8+'TUSD BF'!$AM$8+'TUSD CVA'!$AM$8)*1</f>
        <v>100.23755694003805</v>
      </c>
      <c r="AA40" s="6"/>
      <c r="AB40" s="6">
        <f t="shared" si="0"/>
        <v>136005.155</v>
      </c>
      <c r="AC40" s="6">
        <f t="shared" si="1"/>
        <v>0</v>
      </c>
      <c r="AD40" s="6">
        <f t="shared" ca="1" si="2"/>
        <v>106303.57423369582</v>
      </c>
      <c r="AE40" s="6">
        <f t="shared" ca="1" si="3"/>
        <v>0</v>
      </c>
      <c r="AF40" s="4" t="s">
        <v>725</v>
      </c>
    </row>
    <row r="41" spans="1:32" ht="11.25" customHeight="1" x14ac:dyDescent="0.25">
      <c r="A41" s="4" t="s">
        <v>21</v>
      </c>
      <c r="B41" s="4" t="s">
        <v>38</v>
      </c>
      <c r="C41" s="4" t="s">
        <v>39</v>
      </c>
      <c r="D41" s="4" t="s">
        <v>37</v>
      </c>
      <c r="E41" s="4" t="s">
        <v>25</v>
      </c>
      <c r="F41" s="4" t="s">
        <v>57</v>
      </c>
      <c r="G41" s="4" t="s">
        <v>25</v>
      </c>
      <c r="H41" s="4" t="s">
        <v>33</v>
      </c>
      <c r="I41" s="5">
        <v>44470</v>
      </c>
      <c r="J41" s="6">
        <v>5310</v>
      </c>
      <c r="K41" s="6">
        <v>2655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58</v>
      </c>
      <c r="R41" s="4">
        <v>0</v>
      </c>
      <c r="S41" s="4">
        <v>3</v>
      </c>
      <c r="T41" s="4">
        <v>0</v>
      </c>
      <c r="U41" s="4">
        <v>0</v>
      </c>
      <c r="V41" s="6">
        <f>IF(ISERROR(VLOOKUP($S$41,'TAR FIN'!$A$1:$O$86,15,0)),0,VLOOKUP($S$41,'TAR FIN'!$A$1:$O$86,15,0))</f>
        <v>51.41</v>
      </c>
      <c r="W41" s="6">
        <f>IF(ISERROR(VLOOKUP($T$41,'TAR FIN'!$A$1:$O$86,15,0)),0,VLOOKUP($T$41,'TAR FIN'!$A$1:$O$86,15,0))</f>
        <v>0</v>
      </c>
      <c r="X41" s="6">
        <f>IF(ISERROR(VLOOKUP($U$41,'TAR FIN'!$A$1:$O$86,15,0)),0,VLOOKUP($U$41,'TAR FIN'!$A$1:$O$86,15,0))</f>
        <v>0</v>
      </c>
      <c r="Y41" s="6">
        <f ca="1">('TUSD BE'!$AM$6+'TUSD BF'!$AM$6+'TUSD CVA'!$AM$6)*1</f>
        <v>40.182791243128264</v>
      </c>
      <c r="Z41" s="6">
        <f ca="1">('TUSD BE'!$AM$8+'TUSD BF'!$AM$8+'TUSD CVA'!$AM$8)*1</f>
        <v>100.23755694003805</v>
      </c>
      <c r="AA41" s="6"/>
      <c r="AB41" s="6">
        <f t="shared" si="0"/>
        <v>136493.54999999999</v>
      </c>
      <c r="AC41" s="6">
        <f t="shared" si="1"/>
        <v>0</v>
      </c>
      <c r="AD41" s="6">
        <f t="shared" ca="1" si="2"/>
        <v>106685.31075050554</v>
      </c>
      <c r="AE41" s="6">
        <f t="shared" ca="1" si="3"/>
        <v>0</v>
      </c>
      <c r="AF41" s="4" t="s">
        <v>725</v>
      </c>
    </row>
    <row r="42" spans="1:32" ht="11.25" customHeight="1" x14ac:dyDescent="0.25">
      <c r="A42" s="4" t="s">
        <v>21</v>
      </c>
      <c r="B42" s="4" t="s">
        <v>38</v>
      </c>
      <c r="C42" s="4" t="s">
        <v>39</v>
      </c>
      <c r="D42" s="4" t="s">
        <v>37</v>
      </c>
      <c r="E42" s="4" t="s">
        <v>25</v>
      </c>
      <c r="F42" s="4" t="s">
        <v>57</v>
      </c>
      <c r="G42" s="4" t="s">
        <v>25</v>
      </c>
      <c r="H42" s="4" t="s">
        <v>33</v>
      </c>
      <c r="I42" s="5">
        <v>44501</v>
      </c>
      <c r="J42" s="6">
        <v>5312</v>
      </c>
      <c r="K42" s="6">
        <v>2656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58</v>
      </c>
      <c r="R42" s="4">
        <v>0</v>
      </c>
      <c r="S42" s="4">
        <v>3</v>
      </c>
      <c r="T42" s="4">
        <v>0</v>
      </c>
      <c r="U42" s="4">
        <v>0</v>
      </c>
      <c r="V42" s="6">
        <f>IF(ISERROR(VLOOKUP($S$42,'TAR FIN'!$A$1:$O$86,15,0)),0,VLOOKUP($S$42,'TAR FIN'!$A$1:$O$86,15,0))</f>
        <v>51.41</v>
      </c>
      <c r="W42" s="6">
        <f>IF(ISERROR(VLOOKUP($T$42,'TAR FIN'!$A$1:$O$86,15,0)),0,VLOOKUP($T$42,'TAR FIN'!$A$1:$O$86,15,0))</f>
        <v>0</v>
      </c>
      <c r="X42" s="6">
        <f>IF(ISERROR(VLOOKUP($U$42,'TAR FIN'!$A$1:$O$86,15,0)),0,VLOOKUP($U$42,'TAR FIN'!$A$1:$O$86,15,0))</f>
        <v>0</v>
      </c>
      <c r="Y42" s="6">
        <f ca="1">('TUSD BE'!$AM$6+'TUSD BF'!$AM$6+'TUSD CVA'!$AM$6)*1</f>
        <v>40.182791243128264</v>
      </c>
      <c r="Z42" s="6">
        <f ca="1">('TUSD BE'!$AM$8+'TUSD BF'!$AM$8+'TUSD CVA'!$AM$8)*1</f>
        <v>100.23755694003805</v>
      </c>
      <c r="AA42" s="6"/>
      <c r="AB42" s="6">
        <f t="shared" si="0"/>
        <v>136544.95999999999</v>
      </c>
      <c r="AC42" s="6">
        <f t="shared" si="1"/>
        <v>0</v>
      </c>
      <c r="AD42" s="6">
        <f t="shared" ca="1" si="2"/>
        <v>106725.49354174867</v>
      </c>
      <c r="AE42" s="6">
        <f t="shared" ca="1" si="3"/>
        <v>0</v>
      </c>
      <c r="AF42" s="4" t="s">
        <v>725</v>
      </c>
    </row>
    <row r="43" spans="1:32" ht="11.25" customHeight="1" x14ac:dyDescent="0.25">
      <c r="A43" s="4" t="s">
        <v>21</v>
      </c>
      <c r="B43" s="4" t="s">
        <v>38</v>
      </c>
      <c r="C43" s="4" t="s">
        <v>39</v>
      </c>
      <c r="D43" s="4" t="s">
        <v>37</v>
      </c>
      <c r="E43" s="4" t="s">
        <v>25</v>
      </c>
      <c r="F43" s="4" t="s">
        <v>57</v>
      </c>
      <c r="G43" s="4" t="s">
        <v>25</v>
      </c>
      <c r="H43" s="4" t="s">
        <v>33</v>
      </c>
      <c r="I43" s="5">
        <v>44531</v>
      </c>
      <c r="J43" s="6">
        <v>5357</v>
      </c>
      <c r="K43" s="6">
        <v>2678.5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58</v>
      </c>
      <c r="R43" s="4">
        <v>0</v>
      </c>
      <c r="S43" s="4">
        <v>3</v>
      </c>
      <c r="T43" s="4">
        <v>0</v>
      </c>
      <c r="U43" s="4">
        <v>0</v>
      </c>
      <c r="V43" s="6">
        <f>IF(ISERROR(VLOOKUP($S$43,'TAR FIN'!$A$1:$O$86,15,0)),0,VLOOKUP($S$43,'TAR FIN'!$A$1:$O$86,15,0))</f>
        <v>51.41</v>
      </c>
      <c r="W43" s="6">
        <f>IF(ISERROR(VLOOKUP($T$43,'TAR FIN'!$A$1:$O$86,15,0)),0,VLOOKUP($T$43,'TAR FIN'!$A$1:$O$86,15,0))</f>
        <v>0</v>
      </c>
      <c r="X43" s="6">
        <f>IF(ISERROR(VLOOKUP($U$43,'TAR FIN'!$A$1:$O$86,15,0)),0,VLOOKUP($U$43,'TAR FIN'!$A$1:$O$86,15,0))</f>
        <v>0</v>
      </c>
      <c r="Y43" s="6">
        <f ca="1">('TUSD BE'!$AM$6+'TUSD BF'!$AM$6+'TUSD CVA'!$AM$6)*1</f>
        <v>40.182791243128264</v>
      </c>
      <c r="Z43" s="6">
        <f ca="1">('TUSD BE'!$AM$8+'TUSD BF'!$AM$8+'TUSD CVA'!$AM$8)*1</f>
        <v>100.23755694003805</v>
      </c>
      <c r="AA43" s="6"/>
      <c r="AB43" s="6">
        <f t="shared" si="0"/>
        <v>137701.685</v>
      </c>
      <c r="AC43" s="6">
        <f t="shared" si="1"/>
        <v>0</v>
      </c>
      <c r="AD43" s="6">
        <f t="shared" ca="1" si="2"/>
        <v>107629.60634471905</v>
      </c>
      <c r="AE43" s="6">
        <f t="shared" ca="1" si="3"/>
        <v>0</v>
      </c>
      <c r="AF43" s="4" t="s">
        <v>725</v>
      </c>
    </row>
    <row r="44" spans="1:32" ht="11.25" customHeight="1" x14ac:dyDescent="0.25">
      <c r="A44" s="4" t="s">
        <v>21</v>
      </c>
      <c r="B44" s="4" t="s">
        <v>38</v>
      </c>
      <c r="C44" s="4" t="s">
        <v>39</v>
      </c>
      <c r="D44" s="4" t="s">
        <v>37</v>
      </c>
      <c r="E44" s="4" t="s">
        <v>25</v>
      </c>
      <c r="F44" s="4" t="s">
        <v>57</v>
      </c>
      <c r="G44" s="4" t="s">
        <v>25</v>
      </c>
      <c r="H44" s="4" t="s">
        <v>33</v>
      </c>
      <c r="I44" s="5">
        <v>44562</v>
      </c>
      <c r="J44" s="6">
        <v>5406</v>
      </c>
      <c r="K44" s="6">
        <v>2703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58</v>
      </c>
      <c r="R44" s="4">
        <v>0</v>
      </c>
      <c r="S44" s="4">
        <v>3</v>
      </c>
      <c r="T44" s="4">
        <v>0</v>
      </c>
      <c r="U44" s="4">
        <v>0</v>
      </c>
      <c r="V44" s="6">
        <f>IF(ISERROR(VLOOKUP($S$44,'TAR FIN'!$A$1:$O$86,15,0)),0,VLOOKUP($S$44,'TAR FIN'!$A$1:$O$86,15,0))</f>
        <v>51.41</v>
      </c>
      <c r="W44" s="6">
        <f>IF(ISERROR(VLOOKUP($T$44,'TAR FIN'!$A$1:$O$86,15,0)),0,VLOOKUP($T$44,'TAR FIN'!$A$1:$O$86,15,0))</f>
        <v>0</v>
      </c>
      <c r="X44" s="6">
        <f>IF(ISERROR(VLOOKUP($U$44,'TAR FIN'!$A$1:$O$86,15,0)),0,VLOOKUP($U$44,'TAR FIN'!$A$1:$O$86,15,0))</f>
        <v>0</v>
      </c>
      <c r="Y44" s="6">
        <f ca="1">('TUSD BE'!$AM$6+'TUSD BF'!$AM$6+'TUSD CVA'!$AM$6)*1</f>
        <v>40.182791243128264</v>
      </c>
      <c r="Z44" s="6">
        <f ca="1">('TUSD BE'!$AM$8+'TUSD BF'!$AM$8+'TUSD CVA'!$AM$8)*1</f>
        <v>100.23755694003805</v>
      </c>
      <c r="AA44" s="6"/>
      <c r="AB44" s="6">
        <f t="shared" si="0"/>
        <v>138961.22999999998</v>
      </c>
      <c r="AC44" s="6">
        <f t="shared" si="1"/>
        <v>0</v>
      </c>
      <c r="AD44" s="6">
        <f t="shared" ca="1" si="2"/>
        <v>108614.0847301757</v>
      </c>
      <c r="AE44" s="6">
        <f t="shared" ca="1" si="3"/>
        <v>0</v>
      </c>
      <c r="AF44" s="4" t="s">
        <v>725</v>
      </c>
    </row>
    <row r="45" spans="1:32" ht="11.25" customHeight="1" x14ac:dyDescent="0.25">
      <c r="A45" s="4" t="s">
        <v>21</v>
      </c>
      <c r="B45" s="4" t="s">
        <v>38</v>
      </c>
      <c r="C45" s="4" t="s">
        <v>39</v>
      </c>
      <c r="D45" s="4" t="s">
        <v>37</v>
      </c>
      <c r="E45" s="4" t="s">
        <v>25</v>
      </c>
      <c r="F45" s="4" t="s">
        <v>57</v>
      </c>
      <c r="G45" s="4" t="s">
        <v>25</v>
      </c>
      <c r="H45" s="4" t="s">
        <v>33</v>
      </c>
      <c r="I45" s="5">
        <v>44593</v>
      </c>
      <c r="J45" s="6">
        <v>5387</v>
      </c>
      <c r="K45" s="6">
        <v>2693.5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58</v>
      </c>
      <c r="R45" s="4">
        <v>0</v>
      </c>
      <c r="S45" s="4">
        <v>3</v>
      </c>
      <c r="T45" s="4">
        <v>0</v>
      </c>
      <c r="U45" s="4">
        <v>0</v>
      </c>
      <c r="V45" s="6">
        <f>IF(ISERROR(VLOOKUP($S$45,'TAR FIN'!$A$1:$O$86,15,0)),0,VLOOKUP($S$45,'TAR FIN'!$A$1:$O$86,15,0))</f>
        <v>51.41</v>
      </c>
      <c r="W45" s="6">
        <f>IF(ISERROR(VLOOKUP($T$45,'TAR FIN'!$A$1:$O$86,15,0)),0,VLOOKUP($T$45,'TAR FIN'!$A$1:$O$86,15,0))</f>
        <v>0</v>
      </c>
      <c r="X45" s="6">
        <f>IF(ISERROR(VLOOKUP($U$45,'TAR FIN'!$A$1:$O$86,15,0)),0,VLOOKUP($U$45,'TAR FIN'!$A$1:$O$86,15,0))</f>
        <v>0</v>
      </c>
      <c r="Y45" s="6">
        <f ca="1">('TUSD BE'!$AM$6+'TUSD BF'!$AM$6+'TUSD CVA'!$AM$6)*1</f>
        <v>40.182791243128264</v>
      </c>
      <c r="Z45" s="6">
        <f ca="1">('TUSD BE'!$AM$8+'TUSD BF'!$AM$8+'TUSD CVA'!$AM$8)*1</f>
        <v>100.23755694003805</v>
      </c>
      <c r="AA45" s="6"/>
      <c r="AB45" s="6">
        <f t="shared" si="0"/>
        <v>138472.83499999999</v>
      </c>
      <c r="AC45" s="6">
        <f t="shared" si="1"/>
        <v>0</v>
      </c>
      <c r="AD45" s="6">
        <f t="shared" ca="1" si="2"/>
        <v>108232.34821336599</v>
      </c>
      <c r="AE45" s="6">
        <f t="shared" ca="1" si="3"/>
        <v>0</v>
      </c>
      <c r="AF45" s="4" t="s">
        <v>725</v>
      </c>
    </row>
    <row r="46" spans="1:32" ht="11.25" customHeight="1" x14ac:dyDescent="0.25">
      <c r="A46" s="4" t="s">
        <v>21</v>
      </c>
      <c r="B46" s="4" t="s">
        <v>38</v>
      </c>
      <c r="C46" s="4" t="s">
        <v>39</v>
      </c>
      <c r="D46" s="4" t="s">
        <v>37</v>
      </c>
      <c r="E46" s="4" t="s">
        <v>25</v>
      </c>
      <c r="F46" s="4" t="s">
        <v>57</v>
      </c>
      <c r="G46" s="4" t="s">
        <v>25</v>
      </c>
      <c r="H46" s="4" t="s">
        <v>33</v>
      </c>
      <c r="I46" s="5">
        <v>44621</v>
      </c>
      <c r="J46" s="6">
        <v>5395</v>
      </c>
      <c r="K46" s="6">
        <v>2697.5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58</v>
      </c>
      <c r="R46" s="4">
        <v>0</v>
      </c>
      <c r="S46" s="4">
        <v>3</v>
      </c>
      <c r="T46" s="4">
        <v>0</v>
      </c>
      <c r="U46" s="4">
        <v>0</v>
      </c>
      <c r="V46" s="6">
        <f>IF(ISERROR(VLOOKUP($S$46,'TAR FIN'!$A$1:$O$86,15,0)),0,VLOOKUP($S$46,'TAR FIN'!$A$1:$O$86,15,0))</f>
        <v>51.41</v>
      </c>
      <c r="W46" s="6">
        <f>IF(ISERROR(VLOOKUP($T$46,'TAR FIN'!$A$1:$O$86,15,0)),0,VLOOKUP($T$46,'TAR FIN'!$A$1:$O$86,15,0))</f>
        <v>0</v>
      </c>
      <c r="X46" s="6">
        <f>IF(ISERROR(VLOOKUP($U$46,'TAR FIN'!$A$1:$O$86,15,0)),0,VLOOKUP($U$46,'TAR FIN'!$A$1:$O$86,15,0))</f>
        <v>0</v>
      </c>
      <c r="Y46" s="6">
        <f ca="1">('TUSD BE'!$AM$6+'TUSD BF'!$AM$6+'TUSD CVA'!$AM$6)*1</f>
        <v>40.182791243128264</v>
      </c>
      <c r="Z46" s="6">
        <f ca="1">('TUSD BE'!$AM$8+'TUSD BF'!$AM$8+'TUSD CVA'!$AM$8)*1</f>
        <v>100.23755694003805</v>
      </c>
      <c r="AA46" s="6"/>
      <c r="AB46" s="6">
        <f t="shared" si="0"/>
        <v>138678.47499999998</v>
      </c>
      <c r="AC46" s="6">
        <f t="shared" si="1"/>
        <v>0</v>
      </c>
      <c r="AD46" s="6">
        <f t="shared" ca="1" si="2"/>
        <v>108393.07937833849</v>
      </c>
      <c r="AE46" s="6">
        <f t="shared" ca="1" si="3"/>
        <v>0</v>
      </c>
      <c r="AF46" s="4" t="s">
        <v>725</v>
      </c>
    </row>
    <row r="47" spans="1:32" ht="11.25" customHeight="1" x14ac:dyDescent="0.25">
      <c r="A47" s="4" t="s">
        <v>21</v>
      </c>
      <c r="B47" s="4" t="s">
        <v>38</v>
      </c>
      <c r="C47" s="4" t="s">
        <v>39</v>
      </c>
      <c r="D47" s="4" t="s">
        <v>37</v>
      </c>
      <c r="E47" s="4" t="s">
        <v>25</v>
      </c>
      <c r="F47" s="4" t="s">
        <v>57</v>
      </c>
      <c r="G47" s="4" t="s">
        <v>25</v>
      </c>
      <c r="H47" s="4" t="s">
        <v>33</v>
      </c>
      <c r="I47" s="5">
        <v>44652</v>
      </c>
      <c r="J47" s="6">
        <v>5332</v>
      </c>
      <c r="K47" s="6">
        <v>2666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58</v>
      </c>
      <c r="R47" s="4">
        <v>0</v>
      </c>
      <c r="S47" s="4">
        <v>3</v>
      </c>
      <c r="T47" s="4">
        <v>0</v>
      </c>
      <c r="U47" s="4">
        <v>0</v>
      </c>
      <c r="V47" s="6">
        <f>IF(ISERROR(VLOOKUP($S$47,'TAR FIN'!$A$1:$O$86,15,0)),0,VLOOKUP($S$47,'TAR FIN'!$A$1:$O$86,15,0))</f>
        <v>51.41</v>
      </c>
      <c r="W47" s="6">
        <f>IF(ISERROR(VLOOKUP($T$47,'TAR FIN'!$A$1:$O$86,15,0)),0,VLOOKUP($T$47,'TAR FIN'!$A$1:$O$86,15,0))</f>
        <v>0</v>
      </c>
      <c r="X47" s="6">
        <f>IF(ISERROR(VLOOKUP($U$47,'TAR FIN'!$A$1:$O$86,15,0)),0,VLOOKUP($U$47,'TAR FIN'!$A$1:$O$86,15,0))</f>
        <v>0</v>
      </c>
      <c r="Y47" s="6">
        <f ca="1">('TUSD BE'!$AM$6+'TUSD BF'!$AM$6+'TUSD CVA'!$AM$6)*1</f>
        <v>40.182791243128264</v>
      </c>
      <c r="Z47" s="6">
        <f ca="1">('TUSD BE'!$AM$8+'TUSD BF'!$AM$8+'TUSD CVA'!$AM$8)*1</f>
        <v>100.23755694003805</v>
      </c>
      <c r="AA47" s="6"/>
      <c r="AB47" s="6">
        <f t="shared" si="0"/>
        <v>137059.06</v>
      </c>
      <c r="AC47" s="6">
        <f t="shared" si="1"/>
        <v>0</v>
      </c>
      <c r="AD47" s="6">
        <f t="shared" ca="1" si="2"/>
        <v>107127.32145417995</v>
      </c>
      <c r="AE47" s="6">
        <f t="shared" ca="1" si="3"/>
        <v>0</v>
      </c>
      <c r="AF47" s="4" t="s">
        <v>725</v>
      </c>
    </row>
    <row r="48" spans="1:32" ht="11.25" customHeight="1" x14ac:dyDescent="0.25">
      <c r="A48" s="4" t="s">
        <v>21</v>
      </c>
      <c r="B48" s="4" t="s">
        <v>38</v>
      </c>
      <c r="C48" s="4" t="s">
        <v>39</v>
      </c>
      <c r="D48" s="4" t="s">
        <v>37</v>
      </c>
      <c r="E48" s="4" t="s">
        <v>25</v>
      </c>
      <c r="F48" s="4" t="s">
        <v>57</v>
      </c>
      <c r="G48" s="4" t="s">
        <v>25</v>
      </c>
      <c r="H48" s="4" t="s">
        <v>33</v>
      </c>
      <c r="I48" s="5">
        <v>44682</v>
      </c>
      <c r="J48" s="6">
        <v>5385</v>
      </c>
      <c r="K48" s="6">
        <v>2692.5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58</v>
      </c>
      <c r="R48" s="4">
        <v>0</v>
      </c>
      <c r="S48" s="4">
        <v>3</v>
      </c>
      <c r="T48" s="4">
        <v>0</v>
      </c>
      <c r="U48" s="4">
        <v>0</v>
      </c>
      <c r="V48" s="6">
        <f>IF(ISERROR(VLOOKUP($S$48,'TAR FIN'!$A$1:$O$86,15,0)),0,VLOOKUP($S$48,'TAR FIN'!$A$1:$O$86,15,0))</f>
        <v>51.41</v>
      </c>
      <c r="W48" s="6">
        <f>IF(ISERROR(VLOOKUP($T$48,'TAR FIN'!$A$1:$O$86,15,0)),0,VLOOKUP($T$48,'TAR FIN'!$A$1:$O$86,15,0))</f>
        <v>0</v>
      </c>
      <c r="X48" s="6">
        <f>IF(ISERROR(VLOOKUP($U$48,'TAR FIN'!$A$1:$O$86,15,0)),0,VLOOKUP($U$48,'TAR FIN'!$A$1:$O$86,15,0))</f>
        <v>0</v>
      </c>
      <c r="Y48" s="6">
        <f ca="1">('TUSD BE'!$AM$6+'TUSD BF'!$AM$6+'TUSD CVA'!$AM$6)*1</f>
        <v>40.182791243128264</v>
      </c>
      <c r="Z48" s="6">
        <f ca="1">('TUSD BE'!$AM$8+'TUSD BF'!$AM$8+'TUSD CVA'!$AM$8)*1</f>
        <v>100.23755694003805</v>
      </c>
      <c r="AA48" s="6"/>
      <c r="AB48" s="6">
        <f t="shared" si="0"/>
        <v>138421.42499999999</v>
      </c>
      <c r="AC48" s="6">
        <f t="shared" si="1"/>
        <v>0</v>
      </c>
      <c r="AD48" s="6">
        <f t="shared" ca="1" si="2"/>
        <v>108192.16542212285</v>
      </c>
      <c r="AE48" s="6">
        <f t="shared" ca="1" si="3"/>
        <v>0</v>
      </c>
      <c r="AF48" s="4" t="s">
        <v>725</v>
      </c>
    </row>
    <row r="49" spans="1:32" ht="11.25" customHeight="1" x14ac:dyDescent="0.25">
      <c r="A49" s="4" t="s">
        <v>56</v>
      </c>
      <c r="B49" s="4" t="s">
        <v>38</v>
      </c>
      <c r="C49" s="4" t="s">
        <v>39</v>
      </c>
      <c r="D49" s="4" t="s">
        <v>37</v>
      </c>
      <c r="E49" s="4" t="s">
        <v>25</v>
      </c>
      <c r="F49" s="4" t="s">
        <v>57</v>
      </c>
      <c r="G49" s="4" t="s">
        <v>25</v>
      </c>
      <c r="H49" s="4" t="s">
        <v>33</v>
      </c>
      <c r="I49" s="5">
        <v>44713</v>
      </c>
      <c r="J49" s="6">
        <v>5385</v>
      </c>
      <c r="K49" s="6">
        <v>2692.5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58</v>
      </c>
      <c r="R49" s="4">
        <v>0</v>
      </c>
      <c r="S49" s="4">
        <v>3</v>
      </c>
      <c r="T49" s="4">
        <v>0</v>
      </c>
      <c r="U49" s="4">
        <v>0</v>
      </c>
      <c r="V49" s="6">
        <f>IF(ISERROR(VLOOKUP($S$49,'TAR FIN'!$A$1:$O$86,15,0)),0,VLOOKUP($S$49,'TAR FIN'!$A$1:$O$86,15,0))</f>
        <v>51.41</v>
      </c>
      <c r="W49" s="6">
        <f>IF(ISERROR(VLOOKUP($T$49,'TAR FIN'!$A$1:$O$86,15,0)),0,VLOOKUP($T$49,'TAR FIN'!$A$1:$O$86,15,0))</f>
        <v>0</v>
      </c>
      <c r="X49" s="6">
        <f>IF(ISERROR(VLOOKUP($U$49,'TAR FIN'!$A$1:$O$86,15,0)),0,VLOOKUP($U$49,'TAR FIN'!$A$1:$O$86,15,0))</f>
        <v>0</v>
      </c>
      <c r="Y49" s="6">
        <f ca="1">('TUSD BE'!$AM$6+'TUSD BF'!$AM$6+'TUSD CVA'!$AM$6)*1</f>
        <v>40.182791243128264</v>
      </c>
      <c r="Z49" s="6">
        <f ca="1">('TUSD BE'!$AM$8+'TUSD BF'!$AM$8+'TUSD CVA'!$AM$8)*1</f>
        <v>100.23755694003805</v>
      </c>
      <c r="AA49" s="6"/>
      <c r="AB49" s="6">
        <f t="shared" si="0"/>
        <v>138421.42499999999</v>
      </c>
      <c r="AC49" s="6">
        <f t="shared" si="1"/>
        <v>0</v>
      </c>
      <c r="AD49" s="6">
        <f t="shared" ca="1" si="2"/>
        <v>108192.16542212285</v>
      </c>
      <c r="AE49" s="6">
        <f t="shared" ca="1" si="3"/>
        <v>0</v>
      </c>
      <c r="AF49" s="4" t="s">
        <v>725</v>
      </c>
    </row>
    <row r="50" spans="1:32" ht="11.25" customHeight="1" x14ac:dyDescent="0.25">
      <c r="A50" s="4" t="s">
        <v>21</v>
      </c>
      <c r="B50" s="4" t="s">
        <v>38</v>
      </c>
      <c r="C50" s="4" t="s">
        <v>39</v>
      </c>
      <c r="D50" s="4" t="s">
        <v>48</v>
      </c>
      <c r="E50" s="4" t="s">
        <v>49</v>
      </c>
      <c r="F50" s="4" t="s">
        <v>25</v>
      </c>
      <c r="G50" s="4" t="s">
        <v>25</v>
      </c>
      <c r="H50" s="4" t="s">
        <v>34</v>
      </c>
      <c r="I50" s="5">
        <v>44378</v>
      </c>
      <c r="J50" s="6">
        <v>677</v>
      </c>
      <c r="K50" s="96">
        <v>677</v>
      </c>
      <c r="L50" s="6">
        <v>362.75799999999998</v>
      </c>
      <c r="M50" s="97">
        <v>362.75799999999998</v>
      </c>
      <c r="N50" s="6">
        <v>362.75799999999998</v>
      </c>
      <c r="O50" s="97">
        <v>362.75799999999998</v>
      </c>
      <c r="P50" s="6">
        <v>0</v>
      </c>
      <c r="Q50" s="4" t="s">
        <v>26</v>
      </c>
      <c r="R50" s="4">
        <v>0</v>
      </c>
      <c r="S50" s="4">
        <v>22</v>
      </c>
      <c r="T50" s="4">
        <v>7</v>
      </c>
      <c r="U50" s="4">
        <v>42</v>
      </c>
      <c r="V50" s="97">
        <f>IF(ISERROR(VLOOKUP($S$50,'TAR FIN'!$A$1:$O$86,15,0)),0,VLOOKUP($S$50,'TAR FIN'!$A$1:$O$86,15,0))*(1-0.06)</f>
        <v>18.085599999999996</v>
      </c>
      <c r="W50" s="97">
        <f>IF(ISERROR(VLOOKUP($T$50,'TAR FIN'!$A$1:$O$86,15,0)),0,VLOOKUP($T$50,'TAR FIN'!$A$1:$O$86,15,0))*(1-0.06)</f>
        <v>73.959199999999996</v>
      </c>
      <c r="X50" s="97">
        <f>IF(ISERROR(VLOOKUP($U$50,'TAR FIN'!$A$1:$O$86,15,0)),0,VLOOKUP($U$50,'TAR FIN'!$A$1:$O$86,15,0))*(1-0.06)</f>
        <v>231.52199999999999</v>
      </c>
      <c r="Y50" s="97">
        <f ca="1">('TUSD BE'!$AM$7+'TUSD BF'!$AM$7+'TUSD CVA'!$AM$7)*1*(1-0.03)</f>
        <v>14.737169183098963</v>
      </c>
      <c r="Z50" s="97">
        <f ca="1">('TUSD BE'!$AM$8+'TUSD BF'!$AM$8+'TUSD CVA'!$AM$8)*1*(1-0.03)</f>
        <v>97.230430231836905</v>
      </c>
      <c r="AA50" s="97">
        <f>('TE BE'!$AB$6+'TE BF'!$AB$6+'TE CVA'!$AB$6)*1*(1-0.03)</f>
        <v>212.82153574530136</v>
      </c>
      <c r="AB50" s="97">
        <f>(SUBSIDIO!$J$50*SUBSIDIO!$V$50)*(0.06)/(1-0.06)</f>
        <v>781.52879999999993</v>
      </c>
      <c r="AC50" s="97">
        <f>((SUBSIDIO!$L$50*SUBSIDIO!$W$50)+(SUBSIDIO!$N$50*SUBSIDIO!$X$50))*(0.06)/(1-0.06)</f>
        <v>7073.3456903999995</v>
      </c>
      <c r="AD50" s="97">
        <f ca="1">(SUBSIDIO!$J$50*SUBSIDIO!$Y$50)*(0.03)/(1-0.03)</f>
        <v>308.56897536983502</v>
      </c>
      <c r="AE50" s="97">
        <f ca="1">((SUBSIDIO!$L$50*SUBSIDIO!$Z$50)+(SUBSIDIO!$N$50*SUBSIDIO!$AA$50))*(0.03)/(1-0.03)</f>
        <v>3478.5720950701461</v>
      </c>
      <c r="AF50" s="4" t="s">
        <v>726</v>
      </c>
    </row>
    <row r="51" spans="1:32" ht="11.25" customHeight="1" x14ac:dyDescent="0.25">
      <c r="A51" s="4" t="s">
        <v>21</v>
      </c>
      <c r="B51" s="4" t="s">
        <v>38</v>
      </c>
      <c r="C51" s="4" t="s">
        <v>39</v>
      </c>
      <c r="D51" s="4" t="s">
        <v>48</v>
      </c>
      <c r="E51" s="4" t="s">
        <v>49</v>
      </c>
      <c r="F51" s="4" t="s">
        <v>25</v>
      </c>
      <c r="G51" s="4" t="s">
        <v>25</v>
      </c>
      <c r="H51" s="4" t="s">
        <v>34</v>
      </c>
      <c r="I51" s="5">
        <v>44409</v>
      </c>
      <c r="J51" s="6">
        <v>642</v>
      </c>
      <c r="K51" s="96">
        <v>642</v>
      </c>
      <c r="L51" s="6">
        <v>360.85899999999998</v>
      </c>
      <c r="M51" s="97">
        <v>360.85899999999998</v>
      </c>
      <c r="N51" s="6">
        <v>360.85899999999998</v>
      </c>
      <c r="O51" s="97">
        <v>360.85899999999998</v>
      </c>
      <c r="P51" s="6">
        <v>0</v>
      </c>
      <c r="Q51" s="4" t="s">
        <v>26</v>
      </c>
      <c r="R51" s="4">
        <v>0</v>
      </c>
      <c r="S51" s="4">
        <v>22</v>
      </c>
      <c r="T51" s="4">
        <v>7</v>
      </c>
      <c r="U51" s="4">
        <v>42</v>
      </c>
      <c r="V51" s="97">
        <f>IF(ISERROR(VLOOKUP($S$51,'TAR FIN'!$A$1:$O$86,15,0)),0,VLOOKUP($S$51,'TAR FIN'!$A$1:$O$86,15,0))*(1-0.06)</f>
        <v>18.085599999999996</v>
      </c>
      <c r="W51" s="97">
        <f>IF(ISERROR(VLOOKUP($T$51,'TAR FIN'!$A$1:$O$86,15,0)),0,VLOOKUP($T$51,'TAR FIN'!$A$1:$O$86,15,0))*(1-0.06)</f>
        <v>73.959199999999996</v>
      </c>
      <c r="X51" s="97">
        <f>IF(ISERROR(VLOOKUP($U$51,'TAR FIN'!$A$1:$O$86,15,0)),0,VLOOKUP($U$51,'TAR FIN'!$A$1:$O$86,15,0))*(1-0.06)</f>
        <v>231.52199999999999</v>
      </c>
      <c r="Y51" s="97">
        <f ca="1">('TUSD BE'!$AM$7+'TUSD BF'!$AM$7+'TUSD CVA'!$AM$7)*1*(1-0.03)</f>
        <v>14.737169183098963</v>
      </c>
      <c r="Z51" s="97">
        <f ca="1">('TUSD BE'!$AM$8+'TUSD BF'!$AM$8+'TUSD CVA'!$AM$8)*1*(1-0.03)</f>
        <v>97.230430231836905</v>
      </c>
      <c r="AA51" s="97">
        <f>('TE BE'!$AB$6+'TE BF'!$AB$6+'TE CVA'!$AB$6)*1*(1-0.03)</f>
        <v>212.82153574530136</v>
      </c>
      <c r="AB51" s="97">
        <f>(SUBSIDIO!$J$51*SUBSIDIO!$V$51)*(0.06)/(1-0.06)</f>
        <v>741.12479999999982</v>
      </c>
      <c r="AC51" s="97">
        <f>((SUBSIDIO!$L$51*SUBSIDIO!$W$51)+(SUBSIDIO!$N$51*SUBSIDIO!$X$51))*(0.06)/(1-0.06)</f>
        <v>7036.3174691999993</v>
      </c>
      <c r="AD51" s="97">
        <f ca="1">(SUBSIDIO!$J$51*SUBSIDIO!$Y$51)*(0.03)/(1-0.03)</f>
        <v>292.61636955307836</v>
      </c>
      <c r="AE51" s="97">
        <f ca="1">((SUBSIDIO!$L$51*SUBSIDIO!$Z$51)+(SUBSIDIO!$N$51*SUBSIDIO!$AA$51))*(0.03)/(1-0.03)</f>
        <v>3460.3621357900247</v>
      </c>
      <c r="AF51" s="4" t="s">
        <v>726</v>
      </c>
    </row>
    <row r="52" spans="1:32" ht="11.25" customHeight="1" x14ac:dyDescent="0.25">
      <c r="A52" s="4" t="s">
        <v>21</v>
      </c>
      <c r="B52" s="4" t="s">
        <v>38</v>
      </c>
      <c r="C52" s="4" t="s">
        <v>39</v>
      </c>
      <c r="D52" s="4" t="s">
        <v>48</v>
      </c>
      <c r="E52" s="4" t="s">
        <v>49</v>
      </c>
      <c r="F52" s="4" t="s">
        <v>25</v>
      </c>
      <c r="G52" s="4" t="s">
        <v>25</v>
      </c>
      <c r="H52" s="4" t="s">
        <v>34</v>
      </c>
      <c r="I52" s="5">
        <v>44440</v>
      </c>
      <c r="J52" s="6">
        <v>642</v>
      </c>
      <c r="K52" s="96">
        <v>642</v>
      </c>
      <c r="L52" s="6">
        <v>350.08800000000002</v>
      </c>
      <c r="M52" s="97">
        <v>350.08800000000002</v>
      </c>
      <c r="N52" s="6">
        <v>350.08800000000002</v>
      </c>
      <c r="O52" s="97">
        <v>350.08800000000002</v>
      </c>
      <c r="P52" s="6">
        <v>0</v>
      </c>
      <c r="Q52" s="4" t="s">
        <v>26</v>
      </c>
      <c r="R52" s="4">
        <v>0</v>
      </c>
      <c r="S52" s="4">
        <v>22</v>
      </c>
      <c r="T52" s="4">
        <v>7</v>
      </c>
      <c r="U52" s="4">
        <v>42</v>
      </c>
      <c r="V52" s="97">
        <f>IF(ISERROR(VLOOKUP($S$52,'TAR FIN'!$A$1:$O$86,15,0)),0,VLOOKUP($S$52,'TAR FIN'!$A$1:$O$86,15,0))*(1-0.06)</f>
        <v>18.085599999999996</v>
      </c>
      <c r="W52" s="97">
        <f>IF(ISERROR(VLOOKUP($T$52,'TAR FIN'!$A$1:$O$86,15,0)),0,VLOOKUP($T$52,'TAR FIN'!$A$1:$O$86,15,0))*(1-0.06)</f>
        <v>73.959199999999996</v>
      </c>
      <c r="X52" s="97">
        <f>IF(ISERROR(VLOOKUP($U$52,'TAR FIN'!$A$1:$O$86,15,0)),0,VLOOKUP($U$52,'TAR FIN'!$A$1:$O$86,15,0))*(1-0.06)</f>
        <v>231.52199999999999</v>
      </c>
      <c r="Y52" s="97">
        <f ca="1">('TUSD BE'!$AM$7+'TUSD BF'!$AM$7+'TUSD CVA'!$AM$7)*1*(1-0.03)</f>
        <v>14.737169183098963</v>
      </c>
      <c r="Z52" s="97">
        <f ca="1">('TUSD BE'!$AM$8+'TUSD BF'!$AM$8+'TUSD CVA'!$AM$8)*1*(1-0.03)</f>
        <v>97.230430231836905</v>
      </c>
      <c r="AA52" s="97">
        <f>('TE BE'!$AB$6+'TE BF'!$AB$6+'TE CVA'!$AB$6)*1*(1-0.03)</f>
        <v>212.82153574530136</v>
      </c>
      <c r="AB52" s="97">
        <f>(SUBSIDIO!$J$52*SUBSIDIO!$V$52)*(0.06)/(1-0.06)</f>
        <v>741.12479999999982</v>
      </c>
      <c r="AC52" s="97">
        <f>((SUBSIDIO!$L$52*SUBSIDIO!$W$52)+(SUBSIDIO!$N$52*SUBSIDIO!$X$52))*(0.06)/(1-0.06)</f>
        <v>6826.2958944000011</v>
      </c>
      <c r="AD52" s="97">
        <f ca="1">(SUBSIDIO!$J$52*SUBSIDIO!$Y$52)*(0.03)/(1-0.03)</f>
        <v>292.61636955307836</v>
      </c>
      <c r="AE52" s="97">
        <f ca="1">((SUBSIDIO!$L$52*SUBSIDIO!$Z$52)+(SUBSIDIO!$N$52*SUBSIDIO!$AA$52))*(0.03)/(1-0.03)</f>
        <v>3357.0764741753937</v>
      </c>
      <c r="AF52" s="4" t="s">
        <v>726</v>
      </c>
    </row>
    <row r="53" spans="1:32" ht="11.25" customHeight="1" x14ac:dyDescent="0.25">
      <c r="A53" s="4" t="s">
        <v>21</v>
      </c>
      <c r="B53" s="4" t="s">
        <v>38</v>
      </c>
      <c r="C53" s="4" t="s">
        <v>39</v>
      </c>
      <c r="D53" s="4" t="s">
        <v>48</v>
      </c>
      <c r="E53" s="4" t="s">
        <v>49</v>
      </c>
      <c r="F53" s="4" t="s">
        <v>25</v>
      </c>
      <c r="G53" s="4" t="s">
        <v>25</v>
      </c>
      <c r="H53" s="4" t="s">
        <v>34</v>
      </c>
      <c r="I53" s="5">
        <v>44470</v>
      </c>
      <c r="J53" s="6">
        <v>640</v>
      </c>
      <c r="K53" s="96">
        <v>640</v>
      </c>
      <c r="L53" s="6">
        <v>362.85399999999998</v>
      </c>
      <c r="M53" s="97">
        <v>362.85399999999998</v>
      </c>
      <c r="N53" s="6">
        <v>362.85399999999998</v>
      </c>
      <c r="O53" s="97">
        <v>362.85399999999998</v>
      </c>
      <c r="P53" s="6">
        <v>0</v>
      </c>
      <c r="Q53" s="4" t="s">
        <v>26</v>
      </c>
      <c r="R53" s="4">
        <v>0</v>
      </c>
      <c r="S53" s="4">
        <v>22</v>
      </c>
      <c r="T53" s="4">
        <v>7</v>
      </c>
      <c r="U53" s="4">
        <v>42</v>
      </c>
      <c r="V53" s="97">
        <f>IF(ISERROR(VLOOKUP($S$53,'TAR FIN'!$A$1:$O$86,15,0)),0,VLOOKUP($S$53,'TAR FIN'!$A$1:$O$86,15,0))*(1-0.06)</f>
        <v>18.085599999999996</v>
      </c>
      <c r="W53" s="97">
        <f>IF(ISERROR(VLOOKUP($T$53,'TAR FIN'!$A$1:$O$86,15,0)),0,VLOOKUP($T$53,'TAR FIN'!$A$1:$O$86,15,0))*(1-0.06)</f>
        <v>73.959199999999996</v>
      </c>
      <c r="X53" s="97">
        <f>IF(ISERROR(VLOOKUP($U$53,'TAR FIN'!$A$1:$O$86,15,0)),0,VLOOKUP($U$53,'TAR FIN'!$A$1:$O$86,15,0))*(1-0.06)</f>
        <v>231.52199999999999</v>
      </c>
      <c r="Y53" s="97">
        <f ca="1">('TUSD BE'!$AM$7+'TUSD BF'!$AM$7+'TUSD CVA'!$AM$7)*1*(1-0.03)</f>
        <v>14.737169183098963</v>
      </c>
      <c r="Z53" s="97">
        <f ca="1">('TUSD BE'!$AM$8+'TUSD BF'!$AM$8+'TUSD CVA'!$AM$8)*1*(1-0.03)</f>
        <v>97.230430231836905</v>
      </c>
      <c r="AA53" s="97">
        <f>('TE BE'!$AB$6+'TE BF'!$AB$6+'TE CVA'!$AB$6)*1*(1-0.03)</f>
        <v>212.82153574530136</v>
      </c>
      <c r="AB53" s="97">
        <f>(SUBSIDIO!$J$53*SUBSIDIO!$V$53)*(0.06)/(1-0.06)</f>
        <v>738.81599999999992</v>
      </c>
      <c r="AC53" s="97">
        <f>((SUBSIDIO!$L$53*SUBSIDIO!$W$53)+(SUBSIDIO!$N$53*SUBSIDIO!$X$53))*(0.06)/(1-0.06)</f>
        <v>7075.2175751999994</v>
      </c>
      <c r="AD53" s="97">
        <f ca="1">(SUBSIDIO!$J$53*SUBSIDIO!$Y$53)*(0.03)/(1-0.03)</f>
        <v>291.70479207783512</v>
      </c>
      <c r="AE53" s="97">
        <f ca="1">((SUBSIDIO!$L$53*SUBSIDIO!$Z$53)+(SUBSIDIO!$N$53*SUBSIDIO!$AA$53))*(0.03)/(1-0.03)</f>
        <v>3479.4926617320157</v>
      </c>
      <c r="AF53" s="4" t="s">
        <v>726</v>
      </c>
    </row>
    <row r="54" spans="1:32" ht="11.25" customHeight="1" x14ac:dyDescent="0.25">
      <c r="A54" s="4" t="s">
        <v>21</v>
      </c>
      <c r="B54" s="4" t="s">
        <v>38</v>
      </c>
      <c r="C54" s="4" t="s">
        <v>39</v>
      </c>
      <c r="D54" s="4" t="s">
        <v>48</v>
      </c>
      <c r="E54" s="4" t="s">
        <v>49</v>
      </c>
      <c r="F54" s="4" t="s">
        <v>25</v>
      </c>
      <c r="G54" s="4" t="s">
        <v>25</v>
      </c>
      <c r="H54" s="4" t="s">
        <v>34</v>
      </c>
      <c r="I54" s="5">
        <v>44501</v>
      </c>
      <c r="J54" s="6">
        <v>652</v>
      </c>
      <c r="K54" s="96">
        <v>652</v>
      </c>
      <c r="L54" s="6">
        <v>367.28899999999999</v>
      </c>
      <c r="M54" s="97">
        <v>367.28899999999999</v>
      </c>
      <c r="N54" s="6">
        <v>367.28899999999999</v>
      </c>
      <c r="O54" s="97">
        <v>367.28899999999999</v>
      </c>
      <c r="P54" s="6">
        <v>0</v>
      </c>
      <c r="Q54" s="4" t="s">
        <v>26</v>
      </c>
      <c r="R54" s="4">
        <v>0</v>
      </c>
      <c r="S54" s="4">
        <v>22</v>
      </c>
      <c r="T54" s="4">
        <v>7</v>
      </c>
      <c r="U54" s="4">
        <v>42</v>
      </c>
      <c r="V54" s="97">
        <f>IF(ISERROR(VLOOKUP($S$54,'TAR FIN'!$A$1:$O$86,15,0)),0,VLOOKUP($S$54,'TAR FIN'!$A$1:$O$86,15,0))*(1-0.06)</f>
        <v>18.085599999999996</v>
      </c>
      <c r="W54" s="97">
        <f>IF(ISERROR(VLOOKUP($T$54,'TAR FIN'!$A$1:$O$86,15,0)),0,VLOOKUP($T$54,'TAR FIN'!$A$1:$O$86,15,0))*(1-0.06)</f>
        <v>73.959199999999996</v>
      </c>
      <c r="X54" s="97">
        <f>IF(ISERROR(VLOOKUP($U$54,'TAR FIN'!$A$1:$O$86,15,0)),0,VLOOKUP($U$54,'TAR FIN'!$A$1:$O$86,15,0))*(1-0.06)</f>
        <v>231.52199999999999</v>
      </c>
      <c r="Y54" s="97">
        <f ca="1">('TUSD BE'!$AM$7+'TUSD BF'!$AM$7+'TUSD CVA'!$AM$7)*1*(1-0.03)</f>
        <v>14.737169183098963</v>
      </c>
      <c r="Z54" s="97">
        <f ca="1">('TUSD BE'!$AM$8+'TUSD BF'!$AM$8+'TUSD CVA'!$AM$8)*1*(1-0.03)</f>
        <v>97.230430231836905</v>
      </c>
      <c r="AA54" s="97">
        <f>('TE BE'!$AB$6+'TE BF'!$AB$6+'TE CVA'!$AB$6)*1*(1-0.03)</f>
        <v>212.82153574530136</v>
      </c>
      <c r="AB54" s="97">
        <f>(SUBSIDIO!$J$54*SUBSIDIO!$V$54)*(0.06)/(1-0.06)</f>
        <v>752.66879999999969</v>
      </c>
      <c r="AC54" s="97">
        <f>((SUBSIDIO!$L$54*SUBSIDIO!$W$54)+(SUBSIDIO!$N$54*SUBSIDIO!$X$54))*(0.06)/(1-0.06)</f>
        <v>7161.6947532000004</v>
      </c>
      <c r="AD54" s="97">
        <f ca="1">(SUBSIDIO!$J$54*SUBSIDIO!$Y$54)*(0.03)/(1-0.03)</f>
        <v>297.17425692929453</v>
      </c>
      <c r="AE54" s="97">
        <f ca="1">((SUBSIDIO!$L$54*SUBSIDIO!$Z$54)+(SUBSIDIO!$N$54*SUBSIDIO!$AA$54))*(0.03)/(1-0.03)</f>
        <v>3522.0209236632104</v>
      </c>
      <c r="AF54" s="4" t="s">
        <v>726</v>
      </c>
    </row>
    <row r="55" spans="1:32" ht="11.25" customHeight="1" x14ac:dyDescent="0.25">
      <c r="A55" s="4" t="s">
        <v>21</v>
      </c>
      <c r="B55" s="4" t="s">
        <v>38</v>
      </c>
      <c r="C55" s="4" t="s">
        <v>39</v>
      </c>
      <c r="D55" s="4" t="s">
        <v>48</v>
      </c>
      <c r="E55" s="4" t="s">
        <v>49</v>
      </c>
      <c r="F55" s="4" t="s">
        <v>25</v>
      </c>
      <c r="G55" s="4" t="s">
        <v>25</v>
      </c>
      <c r="H55" s="4" t="s">
        <v>34</v>
      </c>
      <c r="I55" s="5">
        <v>44531</v>
      </c>
      <c r="J55" s="6">
        <v>654</v>
      </c>
      <c r="K55" s="96">
        <v>654</v>
      </c>
      <c r="L55" s="6">
        <v>390.88799999999998</v>
      </c>
      <c r="M55" s="97">
        <v>390.88799999999998</v>
      </c>
      <c r="N55" s="6">
        <v>390.88799999999998</v>
      </c>
      <c r="O55" s="97">
        <v>390.88799999999998</v>
      </c>
      <c r="P55" s="6">
        <v>0</v>
      </c>
      <c r="Q55" s="4" t="s">
        <v>26</v>
      </c>
      <c r="R55" s="4">
        <v>0</v>
      </c>
      <c r="S55" s="4">
        <v>22</v>
      </c>
      <c r="T55" s="4">
        <v>7</v>
      </c>
      <c r="U55" s="4">
        <v>42</v>
      </c>
      <c r="V55" s="97">
        <f>IF(ISERROR(VLOOKUP($S$55,'TAR FIN'!$A$1:$O$86,15,0)),0,VLOOKUP($S$55,'TAR FIN'!$A$1:$O$86,15,0))*(1-0.06)</f>
        <v>18.085599999999996</v>
      </c>
      <c r="W55" s="97">
        <f>IF(ISERROR(VLOOKUP($T$55,'TAR FIN'!$A$1:$O$86,15,0)),0,VLOOKUP($T$55,'TAR FIN'!$A$1:$O$86,15,0))*(1-0.06)</f>
        <v>73.959199999999996</v>
      </c>
      <c r="X55" s="97">
        <f>IF(ISERROR(VLOOKUP($U$55,'TAR FIN'!$A$1:$O$86,15,0)),0,VLOOKUP($U$55,'TAR FIN'!$A$1:$O$86,15,0))*(1-0.06)</f>
        <v>231.52199999999999</v>
      </c>
      <c r="Y55" s="97">
        <f ca="1">('TUSD BE'!$AM$7+'TUSD BF'!$AM$7+'TUSD CVA'!$AM$7)*1*(1-0.03)</f>
        <v>14.737169183098963</v>
      </c>
      <c r="Z55" s="97">
        <f ca="1">('TUSD BE'!$AM$8+'TUSD BF'!$AM$8+'TUSD CVA'!$AM$8)*1*(1-0.03)</f>
        <v>97.230430231836905</v>
      </c>
      <c r="AA55" s="97">
        <f>('TE BE'!$AB$6+'TE BF'!$AB$6+'TE CVA'!$AB$6)*1*(1-0.03)</f>
        <v>212.82153574530136</v>
      </c>
      <c r="AB55" s="97">
        <f>(SUBSIDIO!$J$55*SUBSIDIO!$V$55)*(0.06)/(1-0.06)</f>
        <v>754.97759999999982</v>
      </c>
      <c r="AC55" s="97">
        <f>((SUBSIDIO!$L$55*SUBSIDIO!$W$55)+(SUBSIDIO!$N$55*SUBSIDIO!$X$55))*(0.06)/(1-0.06)</f>
        <v>7621.8469343999996</v>
      </c>
      <c r="AD55" s="97">
        <f ca="1">(SUBSIDIO!$J$55*SUBSIDIO!$Y$55)*(0.03)/(1-0.03)</f>
        <v>298.08583440453776</v>
      </c>
      <c r="AE55" s="97">
        <f ca="1">((SUBSIDIO!$L$55*SUBSIDIO!$Z$55)+(SUBSIDIO!$N$55*SUBSIDIO!$AA$55))*(0.03)/(1-0.03)</f>
        <v>3748.3173054702556</v>
      </c>
      <c r="AF55" s="4" t="s">
        <v>726</v>
      </c>
    </row>
    <row r="56" spans="1:32" ht="11.25" customHeight="1" x14ac:dyDescent="0.25">
      <c r="A56" s="4" t="s">
        <v>21</v>
      </c>
      <c r="B56" s="4" t="s">
        <v>38</v>
      </c>
      <c r="C56" s="4" t="s">
        <v>39</v>
      </c>
      <c r="D56" s="4" t="s">
        <v>48</v>
      </c>
      <c r="E56" s="4" t="s">
        <v>49</v>
      </c>
      <c r="F56" s="4" t="s">
        <v>25</v>
      </c>
      <c r="G56" s="4" t="s">
        <v>25</v>
      </c>
      <c r="H56" s="4" t="s">
        <v>34</v>
      </c>
      <c r="I56" s="5">
        <v>44562</v>
      </c>
      <c r="J56" s="6">
        <v>669</v>
      </c>
      <c r="K56" s="96">
        <v>669</v>
      </c>
      <c r="L56" s="6">
        <v>398.32</v>
      </c>
      <c r="M56" s="97">
        <v>398.32</v>
      </c>
      <c r="N56" s="6">
        <v>398.32</v>
      </c>
      <c r="O56" s="97">
        <v>398.32</v>
      </c>
      <c r="P56" s="6">
        <v>0</v>
      </c>
      <c r="Q56" s="4" t="s">
        <v>26</v>
      </c>
      <c r="R56" s="4">
        <v>0</v>
      </c>
      <c r="S56" s="4">
        <v>22</v>
      </c>
      <c r="T56" s="4">
        <v>7</v>
      </c>
      <c r="U56" s="4">
        <v>42</v>
      </c>
      <c r="V56" s="97">
        <f>IF(ISERROR(VLOOKUP($S$56,'TAR FIN'!$A$1:$O$86,15,0)),0,VLOOKUP($S$56,'TAR FIN'!$A$1:$O$86,15,0))*(1-0.06)</f>
        <v>18.085599999999996</v>
      </c>
      <c r="W56" s="97">
        <f>IF(ISERROR(VLOOKUP($T$56,'TAR FIN'!$A$1:$O$86,15,0)),0,VLOOKUP($T$56,'TAR FIN'!$A$1:$O$86,15,0))*(1-0.06)</f>
        <v>73.959199999999996</v>
      </c>
      <c r="X56" s="97">
        <f>IF(ISERROR(VLOOKUP($U$56,'TAR FIN'!$A$1:$O$86,15,0)),0,VLOOKUP($U$56,'TAR FIN'!$A$1:$O$86,15,0))*(1-0.06)</f>
        <v>231.52199999999999</v>
      </c>
      <c r="Y56" s="97">
        <f ca="1">('TUSD BE'!$AM$7+'TUSD BF'!$AM$7+'TUSD CVA'!$AM$7)*1*(1-0.03)</f>
        <v>14.737169183098963</v>
      </c>
      <c r="Z56" s="97">
        <f ca="1">('TUSD BE'!$AM$8+'TUSD BF'!$AM$8+'TUSD CVA'!$AM$8)*1*(1-0.03)</f>
        <v>97.230430231836905</v>
      </c>
      <c r="AA56" s="97">
        <f>('TE BE'!$AB$6+'TE BF'!$AB$6+'TE CVA'!$AB$6)*1*(1-0.03)</f>
        <v>212.82153574530136</v>
      </c>
      <c r="AB56" s="97">
        <f>(SUBSIDIO!$J$56*SUBSIDIO!$V$56)*(0.06)/(1-0.06)</f>
        <v>772.29359999999986</v>
      </c>
      <c r="AC56" s="97">
        <f>((SUBSIDIO!$L$56*SUBSIDIO!$W$56)+(SUBSIDIO!$N$56*SUBSIDIO!$X$56))*(0.06)/(1-0.06)</f>
        <v>7766.7620159999988</v>
      </c>
      <c r="AD56" s="97">
        <f ca="1">(SUBSIDIO!$J$56*SUBSIDIO!$Y$56)*(0.03)/(1-0.03)</f>
        <v>304.92266546886202</v>
      </c>
      <c r="AE56" s="97">
        <f ca="1">((SUBSIDIO!$L$56*SUBSIDIO!$Z$56)+(SUBSIDIO!$N$56*SUBSIDIO!$AA$56))*(0.03)/(1-0.03)</f>
        <v>3819.5845078767125</v>
      </c>
      <c r="AF56" s="4" t="s">
        <v>726</v>
      </c>
    </row>
    <row r="57" spans="1:32" ht="11.25" customHeight="1" x14ac:dyDescent="0.25">
      <c r="A57" s="4" t="s">
        <v>21</v>
      </c>
      <c r="B57" s="4" t="s">
        <v>38</v>
      </c>
      <c r="C57" s="4" t="s">
        <v>39</v>
      </c>
      <c r="D57" s="4" t="s">
        <v>48</v>
      </c>
      <c r="E57" s="4" t="s">
        <v>49</v>
      </c>
      <c r="F57" s="4" t="s">
        <v>25</v>
      </c>
      <c r="G57" s="4" t="s">
        <v>25</v>
      </c>
      <c r="H57" s="4" t="s">
        <v>34</v>
      </c>
      <c r="I57" s="5">
        <v>44593</v>
      </c>
      <c r="J57" s="6">
        <v>684</v>
      </c>
      <c r="K57" s="96">
        <v>684</v>
      </c>
      <c r="L57" s="6">
        <v>360.32400000000001</v>
      </c>
      <c r="M57" s="97">
        <v>360.32400000000001</v>
      </c>
      <c r="N57" s="6">
        <v>360.32400000000001</v>
      </c>
      <c r="O57" s="97">
        <v>360.32400000000001</v>
      </c>
      <c r="P57" s="6">
        <v>0</v>
      </c>
      <c r="Q57" s="4" t="s">
        <v>26</v>
      </c>
      <c r="R57" s="4">
        <v>0</v>
      </c>
      <c r="S57" s="4">
        <v>22</v>
      </c>
      <c r="T57" s="4">
        <v>7</v>
      </c>
      <c r="U57" s="4">
        <v>42</v>
      </c>
      <c r="V57" s="97">
        <f>IF(ISERROR(VLOOKUP($S$57,'TAR FIN'!$A$1:$O$86,15,0)),0,VLOOKUP($S$57,'TAR FIN'!$A$1:$O$86,15,0))*(1-0.06)</f>
        <v>18.085599999999996</v>
      </c>
      <c r="W57" s="97">
        <f>IF(ISERROR(VLOOKUP($T$57,'TAR FIN'!$A$1:$O$86,15,0)),0,VLOOKUP($T$57,'TAR FIN'!$A$1:$O$86,15,0))*(1-0.06)</f>
        <v>73.959199999999996</v>
      </c>
      <c r="X57" s="97">
        <f>IF(ISERROR(VLOOKUP($U$57,'TAR FIN'!$A$1:$O$86,15,0)),0,VLOOKUP($U$57,'TAR FIN'!$A$1:$O$86,15,0))*(1-0.06)</f>
        <v>231.52199999999999</v>
      </c>
      <c r="Y57" s="97">
        <f ca="1">('TUSD BE'!$AM$7+'TUSD BF'!$AM$7+'TUSD CVA'!$AM$7)*1*(1-0.03)</f>
        <v>14.737169183098963</v>
      </c>
      <c r="Z57" s="97">
        <f ca="1">('TUSD BE'!$AM$8+'TUSD BF'!$AM$8+'TUSD CVA'!$AM$8)*1*(1-0.03)</f>
        <v>97.230430231836905</v>
      </c>
      <c r="AA57" s="97">
        <f>('TE BE'!$AB$6+'TE BF'!$AB$6+'TE CVA'!$AB$6)*1*(1-0.03)</f>
        <v>212.82153574530136</v>
      </c>
      <c r="AB57" s="97">
        <f>(SUBSIDIO!$J$57*SUBSIDIO!$V$57)*(0.06)/(1-0.06)</f>
        <v>789.60959999999977</v>
      </c>
      <c r="AC57" s="97">
        <f>((SUBSIDIO!$L$57*SUBSIDIO!$W$57)+(SUBSIDIO!$N$57*SUBSIDIO!$X$57))*(0.06)/(1-0.06)</f>
        <v>7025.8856112000003</v>
      </c>
      <c r="AD57" s="97">
        <f ca="1">(SUBSIDIO!$J$57*SUBSIDIO!$Y$57)*(0.03)/(1-0.03)</f>
        <v>311.75949653318634</v>
      </c>
      <c r="AE57" s="97">
        <f ca="1">((SUBSIDIO!$L$57*SUBSIDIO!$Z$57)+(SUBSIDIO!$N$57*SUBSIDIO!$AA$57))*(0.03)/(1-0.03)</f>
        <v>3455.2318944973108</v>
      </c>
      <c r="AF57" s="4" t="s">
        <v>726</v>
      </c>
    </row>
    <row r="58" spans="1:32" ht="11.25" customHeight="1" x14ac:dyDescent="0.25">
      <c r="A58" s="4" t="s">
        <v>21</v>
      </c>
      <c r="B58" s="4" t="s">
        <v>38</v>
      </c>
      <c r="C58" s="4" t="s">
        <v>39</v>
      </c>
      <c r="D58" s="4" t="s">
        <v>48</v>
      </c>
      <c r="E58" s="4" t="s">
        <v>49</v>
      </c>
      <c r="F58" s="4" t="s">
        <v>25</v>
      </c>
      <c r="G58" s="4" t="s">
        <v>25</v>
      </c>
      <c r="H58" s="4" t="s">
        <v>34</v>
      </c>
      <c r="I58" s="5">
        <v>44621</v>
      </c>
      <c r="J58" s="6">
        <v>709</v>
      </c>
      <c r="K58" s="96">
        <v>709</v>
      </c>
      <c r="L58" s="6">
        <v>396.178</v>
      </c>
      <c r="M58" s="97">
        <v>396.178</v>
      </c>
      <c r="N58" s="6">
        <v>396.178</v>
      </c>
      <c r="O58" s="97">
        <v>396.178</v>
      </c>
      <c r="P58" s="6">
        <v>0</v>
      </c>
      <c r="Q58" s="4" t="s">
        <v>26</v>
      </c>
      <c r="R58" s="4">
        <v>0</v>
      </c>
      <c r="S58" s="4">
        <v>22</v>
      </c>
      <c r="T58" s="4">
        <v>7</v>
      </c>
      <c r="U58" s="4">
        <v>42</v>
      </c>
      <c r="V58" s="97">
        <f>IF(ISERROR(VLOOKUP($S$58,'TAR FIN'!$A$1:$O$86,15,0)),0,VLOOKUP($S$58,'TAR FIN'!$A$1:$O$86,15,0))*(1-0.06)</f>
        <v>18.085599999999996</v>
      </c>
      <c r="W58" s="97">
        <f>IF(ISERROR(VLOOKUP($T$58,'TAR FIN'!$A$1:$O$86,15,0)),0,VLOOKUP($T$58,'TAR FIN'!$A$1:$O$86,15,0))*(1-0.06)</f>
        <v>73.959199999999996</v>
      </c>
      <c r="X58" s="97">
        <f>IF(ISERROR(VLOOKUP($U$58,'TAR FIN'!$A$1:$O$86,15,0)),0,VLOOKUP($U$58,'TAR FIN'!$A$1:$O$86,15,0))*(1-0.06)</f>
        <v>231.52199999999999</v>
      </c>
      <c r="Y58" s="97">
        <f ca="1">('TUSD BE'!$AM$7+'TUSD BF'!$AM$7+'TUSD CVA'!$AM$7)*1*(1-0.03)</f>
        <v>14.737169183098963</v>
      </c>
      <c r="Z58" s="97">
        <f ca="1">('TUSD BE'!$AM$8+'TUSD BF'!$AM$8+'TUSD CVA'!$AM$8)*1*(1-0.03)</f>
        <v>97.230430231836905</v>
      </c>
      <c r="AA58" s="97">
        <f>('TE BE'!$AB$6+'TE BF'!$AB$6+'TE CVA'!$AB$6)*1*(1-0.03)</f>
        <v>212.82153574530136</v>
      </c>
      <c r="AB58" s="97">
        <f>(SUBSIDIO!$J$58*SUBSIDIO!$V$58)*(0.06)/(1-0.06)</f>
        <v>818.4695999999999</v>
      </c>
      <c r="AC58" s="97">
        <f>((SUBSIDIO!$L$58*SUBSIDIO!$W$58)+(SUBSIDIO!$N$58*SUBSIDIO!$X$58))*(0.06)/(1-0.06)</f>
        <v>7724.9955864000003</v>
      </c>
      <c r="AD58" s="97">
        <f ca="1">(SUBSIDIO!$J$58*SUBSIDIO!$Y$58)*(0.03)/(1-0.03)</f>
        <v>323.15421497372671</v>
      </c>
      <c r="AE58" s="97">
        <f ca="1">((SUBSIDIO!$L$58*SUBSIDIO!$Z$58)+(SUBSIDIO!$N$58*SUBSIDIO!$AA$58))*(0.03)/(1-0.03)</f>
        <v>3799.0443642337323</v>
      </c>
      <c r="AF58" s="4" t="s">
        <v>726</v>
      </c>
    </row>
    <row r="59" spans="1:32" ht="11.25" customHeight="1" x14ac:dyDescent="0.25">
      <c r="A59" s="4" t="s">
        <v>21</v>
      </c>
      <c r="B59" s="4" t="s">
        <v>38</v>
      </c>
      <c r="C59" s="4" t="s">
        <v>39</v>
      </c>
      <c r="D59" s="4" t="s">
        <v>48</v>
      </c>
      <c r="E59" s="4" t="s">
        <v>49</v>
      </c>
      <c r="F59" s="4" t="s">
        <v>25</v>
      </c>
      <c r="G59" s="4" t="s">
        <v>25</v>
      </c>
      <c r="H59" s="4" t="s">
        <v>34</v>
      </c>
      <c r="I59" s="5">
        <v>44652</v>
      </c>
      <c r="J59" s="6">
        <v>669</v>
      </c>
      <c r="K59" s="96">
        <v>669</v>
      </c>
      <c r="L59" s="6">
        <v>384.61700000000002</v>
      </c>
      <c r="M59" s="97">
        <v>384.61700000000002</v>
      </c>
      <c r="N59" s="6">
        <v>384.61700000000002</v>
      </c>
      <c r="O59" s="97">
        <v>384.61700000000002</v>
      </c>
      <c r="P59" s="6">
        <v>0</v>
      </c>
      <c r="Q59" s="4" t="s">
        <v>26</v>
      </c>
      <c r="R59" s="4">
        <v>0</v>
      </c>
      <c r="S59" s="4">
        <v>22</v>
      </c>
      <c r="T59" s="4">
        <v>7</v>
      </c>
      <c r="U59" s="4">
        <v>42</v>
      </c>
      <c r="V59" s="97">
        <f>IF(ISERROR(VLOOKUP($S$59,'TAR FIN'!$A$1:$O$86,15,0)),0,VLOOKUP($S$59,'TAR FIN'!$A$1:$O$86,15,0))*(1-0.06)</f>
        <v>18.085599999999996</v>
      </c>
      <c r="W59" s="97">
        <f>IF(ISERROR(VLOOKUP($T$59,'TAR FIN'!$A$1:$O$86,15,0)),0,VLOOKUP($T$59,'TAR FIN'!$A$1:$O$86,15,0))*(1-0.06)</f>
        <v>73.959199999999996</v>
      </c>
      <c r="X59" s="97">
        <f>IF(ISERROR(VLOOKUP($U$59,'TAR FIN'!$A$1:$O$86,15,0)),0,VLOOKUP($U$59,'TAR FIN'!$A$1:$O$86,15,0))*(1-0.06)</f>
        <v>231.52199999999999</v>
      </c>
      <c r="Y59" s="97">
        <f ca="1">('TUSD BE'!$AM$7+'TUSD BF'!$AM$7+'TUSD CVA'!$AM$7)*1*(1-0.03)</f>
        <v>14.737169183098963</v>
      </c>
      <c r="Z59" s="97">
        <f ca="1">('TUSD BE'!$AM$8+'TUSD BF'!$AM$8+'TUSD CVA'!$AM$8)*1*(1-0.03)</f>
        <v>97.230430231836905</v>
      </c>
      <c r="AA59" s="97">
        <f>('TE BE'!$AB$6+'TE BF'!$AB$6+'TE CVA'!$AB$6)*1*(1-0.03)</f>
        <v>212.82153574530136</v>
      </c>
      <c r="AB59" s="97">
        <f>(SUBSIDIO!$J$59*SUBSIDIO!$V$59)*(0.06)/(1-0.06)</f>
        <v>772.29359999999986</v>
      </c>
      <c r="AC59" s="97">
        <f>((SUBSIDIO!$L$59*SUBSIDIO!$W$59)+(SUBSIDIO!$N$59*SUBSIDIO!$X$59))*(0.06)/(1-0.06)</f>
        <v>7499.5699596000004</v>
      </c>
      <c r="AD59" s="97">
        <f ca="1">(SUBSIDIO!$J$59*SUBSIDIO!$Y$59)*(0.03)/(1-0.03)</f>
        <v>304.92266546886202</v>
      </c>
      <c r="AE59" s="97">
        <f ca="1">((SUBSIDIO!$L$59*SUBSIDIO!$Z$59)+(SUBSIDIO!$N$59*SUBSIDIO!$AA$59))*(0.03)/(1-0.03)</f>
        <v>3688.1832061307941</v>
      </c>
      <c r="AF59" s="4" t="s">
        <v>726</v>
      </c>
    </row>
    <row r="60" spans="1:32" ht="11.25" customHeight="1" x14ac:dyDescent="0.25">
      <c r="A60" s="4" t="s">
        <v>21</v>
      </c>
      <c r="B60" s="4" t="s">
        <v>38</v>
      </c>
      <c r="C60" s="4" t="s">
        <v>39</v>
      </c>
      <c r="D60" s="4" t="s">
        <v>48</v>
      </c>
      <c r="E60" s="4" t="s">
        <v>49</v>
      </c>
      <c r="F60" s="4" t="s">
        <v>25</v>
      </c>
      <c r="G60" s="4" t="s">
        <v>25</v>
      </c>
      <c r="H60" s="4" t="s">
        <v>34</v>
      </c>
      <c r="I60" s="5">
        <v>44682</v>
      </c>
      <c r="J60" s="6">
        <v>683</v>
      </c>
      <c r="K60" s="96">
        <v>683</v>
      </c>
      <c r="L60" s="6">
        <v>384.69600000000003</v>
      </c>
      <c r="M60" s="97">
        <v>384.69600000000003</v>
      </c>
      <c r="N60" s="6">
        <v>384.69600000000003</v>
      </c>
      <c r="O60" s="97">
        <v>384.69600000000003</v>
      </c>
      <c r="P60" s="6">
        <v>0</v>
      </c>
      <c r="Q60" s="4" t="s">
        <v>26</v>
      </c>
      <c r="R60" s="4">
        <v>0</v>
      </c>
      <c r="S60" s="4">
        <v>22</v>
      </c>
      <c r="T60" s="4">
        <v>7</v>
      </c>
      <c r="U60" s="4">
        <v>42</v>
      </c>
      <c r="V60" s="97">
        <f>IF(ISERROR(VLOOKUP($S$60,'TAR FIN'!$A$1:$O$86,15,0)),0,VLOOKUP($S$60,'TAR FIN'!$A$1:$O$86,15,0))*(1-0.06)</f>
        <v>18.085599999999996</v>
      </c>
      <c r="W60" s="97">
        <f>IF(ISERROR(VLOOKUP($T$60,'TAR FIN'!$A$1:$O$86,15,0)),0,VLOOKUP($T$60,'TAR FIN'!$A$1:$O$86,15,0))*(1-0.06)</f>
        <v>73.959199999999996</v>
      </c>
      <c r="X60" s="97">
        <f>IF(ISERROR(VLOOKUP($U$60,'TAR FIN'!$A$1:$O$86,15,0)),0,VLOOKUP($U$60,'TAR FIN'!$A$1:$O$86,15,0))*(1-0.06)</f>
        <v>231.52199999999999</v>
      </c>
      <c r="Y60" s="97">
        <f ca="1">('TUSD BE'!$AM$7+'TUSD BF'!$AM$7+'TUSD CVA'!$AM$7)*1*(1-0.03)</f>
        <v>14.737169183098963</v>
      </c>
      <c r="Z60" s="97">
        <f ca="1">('TUSD BE'!$AM$8+'TUSD BF'!$AM$8+'TUSD CVA'!$AM$8)*1*(1-0.03)</f>
        <v>97.230430231836905</v>
      </c>
      <c r="AA60" s="97">
        <f>('TE BE'!$AB$6+'TE BF'!$AB$6+'TE CVA'!$AB$6)*1*(1-0.03)</f>
        <v>212.82153574530136</v>
      </c>
      <c r="AB60" s="97">
        <f>(SUBSIDIO!$J$60*SUBSIDIO!$V$60)*(0.06)/(1-0.06)</f>
        <v>788.45519999999988</v>
      </c>
      <c r="AC60" s="97">
        <f>((SUBSIDIO!$L$60*SUBSIDIO!$W$60)+(SUBSIDIO!$N$60*SUBSIDIO!$X$60))*(0.06)/(1-0.06)</f>
        <v>7501.1103648000008</v>
      </c>
      <c r="AD60" s="97">
        <f ca="1">(SUBSIDIO!$J$60*SUBSIDIO!$Y$60)*(0.03)/(1-0.03)</f>
        <v>311.30370779556472</v>
      </c>
      <c r="AE60" s="97">
        <f ca="1">((SUBSIDIO!$L$60*SUBSIDIO!$Z$60)+(SUBSIDIO!$N$60*SUBSIDIO!$AA$60))*(0.03)/(1-0.03)</f>
        <v>3688.9407557796249</v>
      </c>
      <c r="AF60" s="4" t="s">
        <v>726</v>
      </c>
    </row>
    <row r="61" spans="1:32" ht="11.25" customHeight="1" x14ac:dyDescent="0.25">
      <c r="A61" s="4" t="s">
        <v>56</v>
      </c>
      <c r="B61" s="4" t="s">
        <v>38</v>
      </c>
      <c r="C61" s="4" t="s">
        <v>39</v>
      </c>
      <c r="D61" s="4" t="s">
        <v>48</v>
      </c>
      <c r="E61" s="4" t="s">
        <v>49</v>
      </c>
      <c r="F61" s="4" t="s">
        <v>25</v>
      </c>
      <c r="G61" s="4" t="s">
        <v>25</v>
      </c>
      <c r="H61" s="4" t="s">
        <v>34</v>
      </c>
      <c r="I61" s="5">
        <v>44713</v>
      </c>
      <c r="J61" s="6">
        <v>683</v>
      </c>
      <c r="K61" s="96">
        <v>683</v>
      </c>
      <c r="L61" s="6">
        <v>384.69600000000003</v>
      </c>
      <c r="M61" s="97">
        <v>384.69600000000003</v>
      </c>
      <c r="N61" s="6">
        <v>384.69600000000003</v>
      </c>
      <c r="O61" s="97">
        <v>384.69600000000003</v>
      </c>
      <c r="P61" s="6">
        <v>0</v>
      </c>
      <c r="Q61" s="4" t="s">
        <v>26</v>
      </c>
      <c r="R61" s="4">
        <v>0</v>
      </c>
      <c r="S61" s="4">
        <v>22</v>
      </c>
      <c r="T61" s="4">
        <v>7</v>
      </c>
      <c r="U61" s="4">
        <v>42</v>
      </c>
      <c r="V61" s="97">
        <f>IF(ISERROR(VLOOKUP($S$61,'TAR FIN'!$A$1:$O$86,15,0)),0,VLOOKUP($S$61,'TAR FIN'!$A$1:$O$86,15,0))*(1-0.06)</f>
        <v>18.085599999999996</v>
      </c>
      <c r="W61" s="97">
        <f>IF(ISERROR(VLOOKUP($T$61,'TAR FIN'!$A$1:$O$86,15,0)),0,VLOOKUP($T$61,'TAR FIN'!$A$1:$O$86,15,0))*(1-0.06)</f>
        <v>73.959199999999996</v>
      </c>
      <c r="X61" s="97">
        <f>IF(ISERROR(VLOOKUP($U$61,'TAR FIN'!$A$1:$O$86,15,0)),0,VLOOKUP($U$61,'TAR FIN'!$A$1:$O$86,15,0))*(1-0.06)</f>
        <v>231.52199999999999</v>
      </c>
      <c r="Y61" s="97">
        <f ca="1">('TUSD BE'!$AM$7+'TUSD BF'!$AM$7+'TUSD CVA'!$AM$7)*1*(1-0.03)</f>
        <v>14.737169183098963</v>
      </c>
      <c r="Z61" s="97">
        <f ca="1">('TUSD BE'!$AM$8+'TUSD BF'!$AM$8+'TUSD CVA'!$AM$8)*1*(1-0.03)</f>
        <v>97.230430231836905</v>
      </c>
      <c r="AA61" s="97">
        <f>('TE BE'!$AB$6+'TE BF'!$AB$6+'TE CVA'!$AB$6)*1*(1-0.03)</f>
        <v>212.82153574530136</v>
      </c>
      <c r="AB61" s="97">
        <f>(SUBSIDIO!$J$61*SUBSIDIO!$V$61)*(0.06)/(1-0.06)</f>
        <v>788.45519999999988</v>
      </c>
      <c r="AC61" s="97">
        <f>((SUBSIDIO!$L$61*SUBSIDIO!$W$61)+(SUBSIDIO!$N$61*SUBSIDIO!$X$61))*(0.06)/(1-0.06)</f>
        <v>7501.1103648000008</v>
      </c>
      <c r="AD61" s="97">
        <f ca="1">(SUBSIDIO!$J$61*SUBSIDIO!$Y$61)*(0.03)/(1-0.03)</f>
        <v>311.30370779556472</v>
      </c>
      <c r="AE61" s="97">
        <f ca="1">((SUBSIDIO!$L$61*SUBSIDIO!$Z$61)+(SUBSIDIO!$N$61*SUBSIDIO!$AA$61))*(0.03)/(1-0.03)</f>
        <v>3688.9407557796249</v>
      </c>
      <c r="AF61" s="4" t="s">
        <v>726</v>
      </c>
    </row>
    <row r="62" spans="1:32" ht="11.25" customHeight="1" x14ac:dyDescent="0.25">
      <c r="A62" s="4" t="s">
        <v>21</v>
      </c>
      <c r="B62" s="4" t="s">
        <v>38</v>
      </c>
      <c r="C62" s="4" t="s">
        <v>39</v>
      </c>
      <c r="D62" s="4" t="s">
        <v>48</v>
      </c>
      <c r="E62" s="4" t="s">
        <v>49</v>
      </c>
      <c r="F62" s="4" t="s">
        <v>25</v>
      </c>
      <c r="G62" s="4" t="s">
        <v>25</v>
      </c>
      <c r="H62" s="4" t="s">
        <v>33</v>
      </c>
      <c r="I62" s="5">
        <v>44378</v>
      </c>
      <c r="J62" s="6">
        <v>640</v>
      </c>
      <c r="K62" s="96">
        <v>640</v>
      </c>
      <c r="L62" s="6">
        <v>37.576999999999998</v>
      </c>
      <c r="M62" s="97">
        <v>37.576999999999998</v>
      </c>
      <c r="N62" s="6">
        <v>37.576999999999998</v>
      </c>
      <c r="O62" s="97">
        <v>37.576999999999998</v>
      </c>
      <c r="P62" s="6">
        <v>0</v>
      </c>
      <c r="Q62" s="4" t="s">
        <v>26</v>
      </c>
      <c r="R62" s="4">
        <v>0</v>
      </c>
      <c r="S62" s="4">
        <v>3</v>
      </c>
      <c r="T62" s="4">
        <v>7</v>
      </c>
      <c r="U62" s="4">
        <v>47</v>
      </c>
      <c r="V62" s="97">
        <f>IF(ISERROR(VLOOKUP($S$62,'TAR FIN'!$A$1:$O$86,15,0)),0,VLOOKUP($S$62,'TAR FIN'!$A$1:$O$86,15,0))*(1-0.06)</f>
        <v>48.325399999999995</v>
      </c>
      <c r="W62" s="97">
        <f>IF(ISERROR(VLOOKUP($T$62,'TAR FIN'!$A$1:$O$86,15,0)),0,VLOOKUP($T$62,'TAR FIN'!$A$1:$O$86,15,0))*(1-0.06)</f>
        <v>73.959199999999996</v>
      </c>
      <c r="X62" s="97">
        <f>IF(ISERROR(VLOOKUP($U$62,'TAR FIN'!$A$1:$O$86,15,0)),0,VLOOKUP($U$62,'TAR FIN'!$A$1:$O$86,15,0))*(1-0.06)</f>
        <v>365.85739999999998</v>
      </c>
      <c r="Y62" s="97">
        <f ca="1">('TUSD BE'!$AM$6+'TUSD BF'!$AM$6+'TUSD CVA'!$AM$6)*1*(1-0.03)</f>
        <v>38.977307505834418</v>
      </c>
      <c r="Z62" s="97">
        <f ca="1">('TUSD BE'!$AM$8+'TUSD BF'!$AM$8+'TUSD CVA'!$AM$8)*1*(1-0.03)</f>
        <v>97.230430231836905</v>
      </c>
      <c r="AA62" s="97">
        <f>('TE BE'!$AB$5+'TE BF'!$AB$5+'TE CVA'!$AB$5)*1*(1-0.03)</f>
        <v>342.94447009922271</v>
      </c>
      <c r="AB62" s="97">
        <f>(SUBSIDIO!$J$62*SUBSIDIO!$V$62)*(0.06)/(1-0.06)</f>
        <v>1974.1439999999998</v>
      </c>
      <c r="AC62" s="97">
        <f>((SUBSIDIO!$L$62*SUBSIDIO!$W$62)+(SUBSIDIO!$N$62*SUBSIDIO!$X$62))*(0.06)/(1-0.06)</f>
        <v>1054.9141517999997</v>
      </c>
      <c r="AD62" s="97">
        <f ca="1">(SUBSIDIO!$J$62*SUBSIDIO!$Y$62)*(0.03)/(1-0.03)</f>
        <v>771.50959186806256</v>
      </c>
      <c r="AE62" s="97">
        <f ca="1">((SUBSIDIO!$L$62*SUBSIDIO!$Z$62)+(SUBSIDIO!$N$62*SUBSIDIO!$AA$62))*(0.03)/(1-0.03)</f>
        <v>511.5603782393884</v>
      </c>
      <c r="AF62" s="4" t="s">
        <v>726</v>
      </c>
    </row>
    <row r="63" spans="1:32" ht="11.25" customHeight="1" x14ac:dyDescent="0.25">
      <c r="A63" s="4" t="s">
        <v>21</v>
      </c>
      <c r="B63" s="4" t="s">
        <v>38</v>
      </c>
      <c r="C63" s="4" t="s">
        <v>39</v>
      </c>
      <c r="D63" s="4" t="s">
        <v>48</v>
      </c>
      <c r="E63" s="4" t="s">
        <v>49</v>
      </c>
      <c r="F63" s="4" t="s">
        <v>25</v>
      </c>
      <c r="G63" s="4" t="s">
        <v>25</v>
      </c>
      <c r="H63" s="4" t="s">
        <v>33</v>
      </c>
      <c r="I63" s="5">
        <v>44409</v>
      </c>
      <c r="J63" s="6">
        <v>640</v>
      </c>
      <c r="K63" s="96">
        <v>640</v>
      </c>
      <c r="L63" s="6">
        <v>37.415999999999997</v>
      </c>
      <c r="M63" s="97">
        <v>37.415999999999997</v>
      </c>
      <c r="N63" s="6">
        <v>37.415999999999997</v>
      </c>
      <c r="O63" s="97">
        <v>37.415999999999997</v>
      </c>
      <c r="P63" s="6">
        <v>0</v>
      </c>
      <c r="Q63" s="4" t="s">
        <v>26</v>
      </c>
      <c r="R63" s="4">
        <v>0</v>
      </c>
      <c r="S63" s="4">
        <v>3</v>
      </c>
      <c r="T63" s="4">
        <v>7</v>
      </c>
      <c r="U63" s="4">
        <v>47</v>
      </c>
      <c r="V63" s="97">
        <f>IF(ISERROR(VLOOKUP($S$63,'TAR FIN'!$A$1:$O$86,15,0)),0,VLOOKUP($S$63,'TAR FIN'!$A$1:$O$86,15,0))*(1-0.06)</f>
        <v>48.325399999999995</v>
      </c>
      <c r="W63" s="97">
        <f>IF(ISERROR(VLOOKUP($T$63,'TAR FIN'!$A$1:$O$86,15,0)),0,VLOOKUP($T$63,'TAR FIN'!$A$1:$O$86,15,0))*(1-0.06)</f>
        <v>73.959199999999996</v>
      </c>
      <c r="X63" s="97">
        <f>IF(ISERROR(VLOOKUP($U$63,'TAR FIN'!$A$1:$O$86,15,0)),0,VLOOKUP($U$63,'TAR FIN'!$A$1:$O$86,15,0))*(1-0.06)</f>
        <v>365.85739999999998</v>
      </c>
      <c r="Y63" s="97">
        <f ca="1">('TUSD BE'!$AM$6+'TUSD BF'!$AM$6+'TUSD CVA'!$AM$6)*1*(1-0.03)</f>
        <v>38.977307505834418</v>
      </c>
      <c r="Z63" s="97">
        <f ca="1">('TUSD BE'!$AM$8+'TUSD BF'!$AM$8+'TUSD CVA'!$AM$8)*1*(1-0.03)</f>
        <v>97.230430231836905</v>
      </c>
      <c r="AA63" s="97">
        <f>('TE BE'!$AB$5+'TE BF'!$AB$5+'TE CVA'!$AB$5)*1*(1-0.03)</f>
        <v>342.94447009922271</v>
      </c>
      <c r="AB63" s="97">
        <f>(SUBSIDIO!$J$63*SUBSIDIO!$V$63)*(0.06)/(1-0.06)</f>
        <v>1974.1439999999998</v>
      </c>
      <c r="AC63" s="97">
        <f>((SUBSIDIO!$L$63*SUBSIDIO!$W$63)+(SUBSIDIO!$N$63*SUBSIDIO!$X$63))*(0.06)/(1-0.06)</f>
        <v>1050.3943343999999</v>
      </c>
      <c r="AD63" s="97">
        <f ca="1">(SUBSIDIO!$J$63*SUBSIDIO!$Y$63)*(0.03)/(1-0.03)</f>
        <v>771.50959186806256</v>
      </c>
      <c r="AE63" s="97">
        <f ca="1">((SUBSIDIO!$L$63*SUBSIDIO!$Z$63)+(SUBSIDIO!$N$63*SUBSIDIO!$AA$63))*(0.03)/(1-0.03)</f>
        <v>509.36857950887395</v>
      </c>
      <c r="AF63" s="4" t="s">
        <v>726</v>
      </c>
    </row>
    <row r="64" spans="1:32" ht="11.25" customHeight="1" x14ac:dyDescent="0.25">
      <c r="A64" s="4" t="s">
        <v>21</v>
      </c>
      <c r="B64" s="4" t="s">
        <v>38</v>
      </c>
      <c r="C64" s="4" t="s">
        <v>39</v>
      </c>
      <c r="D64" s="4" t="s">
        <v>48</v>
      </c>
      <c r="E64" s="4" t="s">
        <v>49</v>
      </c>
      <c r="F64" s="4" t="s">
        <v>25</v>
      </c>
      <c r="G64" s="4" t="s">
        <v>25</v>
      </c>
      <c r="H64" s="4" t="s">
        <v>33</v>
      </c>
      <c r="I64" s="5">
        <v>44440</v>
      </c>
      <c r="J64" s="6">
        <v>640</v>
      </c>
      <c r="K64" s="96">
        <v>640</v>
      </c>
      <c r="L64" s="6">
        <v>36.036999999999999</v>
      </c>
      <c r="M64" s="97">
        <v>36.036999999999999</v>
      </c>
      <c r="N64" s="6">
        <v>36.036999999999999</v>
      </c>
      <c r="O64" s="97">
        <v>36.036999999999999</v>
      </c>
      <c r="P64" s="6">
        <v>0</v>
      </c>
      <c r="Q64" s="4" t="s">
        <v>26</v>
      </c>
      <c r="R64" s="4">
        <v>0</v>
      </c>
      <c r="S64" s="4">
        <v>3</v>
      </c>
      <c r="T64" s="4">
        <v>7</v>
      </c>
      <c r="U64" s="4">
        <v>47</v>
      </c>
      <c r="V64" s="97">
        <f>IF(ISERROR(VLOOKUP($S$64,'TAR FIN'!$A$1:$O$86,15,0)),0,VLOOKUP($S$64,'TAR FIN'!$A$1:$O$86,15,0))*(1-0.06)</f>
        <v>48.325399999999995</v>
      </c>
      <c r="W64" s="97">
        <f>IF(ISERROR(VLOOKUP($T$64,'TAR FIN'!$A$1:$O$86,15,0)),0,VLOOKUP($T$64,'TAR FIN'!$A$1:$O$86,15,0))*(1-0.06)</f>
        <v>73.959199999999996</v>
      </c>
      <c r="X64" s="97">
        <f>IF(ISERROR(VLOOKUP($U$64,'TAR FIN'!$A$1:$O$86,15,0)),0,VLOOKUP($U$64,'TAR FIN'!$A$1:$O$86,15,0))*(1-0.06)</f>
        <v>365.85739999999998</v>
      </c>
      <c r="Y64" s="97">
        <f ca="1">('TUSD BE'!$AM$6+'TUSD BF'!$AM$6+'TUSD CVA'!$AM$6)*1*(1-0.03)</f>
        <v>38.977307505834418</v>
      </c>
      <c r="Z64" s="97">
        <f ca="1">('TUSD BE'!$AM$8+'TUSD BF'!$AM$8+'TUSD CVA'!$AM$8)*1*(1-0.03)</f>
        <v>97.230430231836905</v>
      </c>
      <c r="AA64" s="97">
        <f>('TE BE'!$AB$5+'TE BF'!$AB$5+'TE CVA'!$AB$5)*1*(1-0.03)</f>
        <v>342.94447009922271</v>
      </c>
      <c r="AB64" s="97">
        <f>(SUBSIDIO!$J$64*SUBSIDIO!$V$64)*(0.06)/(1-0.06)</f>
        <v>1974.1439999999998</v>
      </c>
      <c r="AC64" s="97">
        <f>((SUBSIDIO!$L$64*SUBSIDIO!$W$64)+(SUBSIDIO!$N$64*SUBSIDIO!$X$64))*(0.06)/(1-0.06)</f>
        <v>1011.6811157999999</v>
      </c>
      <c r="AD64" s="97">
        <f ca="1">(SUBSIDIO!$J$64*SUBSIDIO!$Y$64)*(0.03)/(1-0.03)</f>
        <v>771.50959186806256</v>
      </c>
      <c r="AE64" s="97">
        <f ca="1">((SUBSIDIO!$L$64*SUBSIDIO!$Z$64)+(SUBSIDIO!$N$64*SUBSIDIO!$AA$64))*(0.03)/(1-0.03)</f>
        <v>490.59534690403279</v>
      </c>
      <c r="AF64" s="4" t="s">
        <v>726</v>
      </c>
    </row>
    <row r="65" spans="1:32" ht="11.25" customHeight="1" x14ac:dyDescent="0.25">
      <c r="A65" s="4" t="s">
        <v>21</v>
      </c>
      <c r="B65" s="4" t="s">
        <v>38</v>
      </c>
      <c r="C65" s="4" t="s">
        <v>39</v>
      </c>
      <c r="D65" s="4" t="s">
        <v>48</v>
      </c>
      <c r="E65" s="4" t="s">
        <v>49</v>
      </c>
      <c r="F65" s="4" t="s">
        <v>25</v>
      </c>
      <c r="G65" s="4" t="s">
        <v>25</v>
      </c>
      <c r="H65" s="4" t="s">
        <v>33</v>
      </c>
      <c r="I65" s="5">
        <v>44470</v>
      </c>
      <c r="J65" s="6">
        <v>640</v>
      </c>
      <c r="K65" s="96">
        <v>640</v>
      </c>
      <c r="L65" s="6">
        <v>33.704999999999998</v>
      </c>
      <c r="M65" s="97">
        <v>33.704999999999998</v>
      </c>
      <c r="N65" s="6">
        <v>33.704999999999998</v>
      </c>
      <c r="O65" s="97">
        <v>33.704999999999998</v>
      </c>
      <c r="P65" s="6">
        <v>0</v>
      </c>
      <c r="Q65" s="4" t="s">
        <v>26</v>
      </c>
      <c r="R65" s="4">
        <v>0</v>
      </c>
      <c r="S65" s="4">
        <v>3</v>
      </c>
      <c r="T65" s="4">
        <v>7</v>
      </c>
      <c r="U65" s="4">
        <v>47</v>
      </c>
      <c r="V65" s="97">
        <f>IF(ISERROR(VLOOKUP($S$65,'TAR FIN'!$A$1:$O$86,15,0)),0,VLOOKUP($S$65,'TAR FIN'!$A$1:$O$86,15,0))*(1-0.06)</f>
        <v>48.325399999999995</v>
      </c>
      <c r="W65" s="97">
        <f>IF(ISERROR(VLOOKUP($T$65,'TAR FIN'!$A$1:$O$86,15,0)),0,VLOOKUP($T$65,'TAR FIN'!$A$1:$O$86,15,0))*(1-0.06)</f>
        <v>73.959199999999996</v>
      </c>
      <c r="X65" s="97">
        <f>IF(ISERROR(VLOOKUP($U$65,'TAR FIN'!$A$1:$O$86,15,0)),0,VLOOKUP($U$65,'TAR FIN'!$A$1:$O$86,15,0))*(1-0.06)</f>
        <v>365.85739999999998</v>
      </c>
      <c r="Y65" s="97">
        <f ca="1">('TUSD BE'!$AM$6+'TUSD BF'!$AM$6+'TUSD CVA'!$AM$6)*1*(1-0.03)</f>
        <v>38.977307505834418</v>
      </c>
      <c r="Z65" s="97">
        <f ca="1">('TUSD BE'!$AM$8+'TUSD BF'!$AM$8+'TUSD CVA'!$AM$8)*1*(1-0.03)</f>
        <v>97.230430231836905</v>
      </c>
      <c r="AA65" s="97">
        <f>('TE BE'!$AB$5+'TE BF'!$AB$5+'TE CVA'!$AB$5)*1*(1-0.03)</f>
        <v>342.94447009922271</v>
      </c>
      <c r="AB65" s="97">
        <f>(SUBSIDIO!$J$65*SUBSIDIO!$V$65)*(0.06)/(1-0.06)</f>
        <v>1974.1439999999998</v>
      </c>
      <c r="AC65" s="97">
        <f>((SUBSIDIO!$L$65*SUBSIDIO!$W$65)+(SUBSIDIO!$N$65*SUBSIDIO!$X$65))*(0.06)/(1-0.06)</f>
        <v>946.21394699999985</v>
      </c>
      <c r="AD65" s="97">
        <f ca="1">(SUBSIDIO!$J$65*SUBSIDIO!$Y$65)*(0.03)/(1-0.03)</f>
        <v>771.50959186806256</v>
      </c>
      <c r="AE65" s="97">
        <f ca="1">((SUBSIDIO!$L$65*SUBSIDIO!$Z$65)+(SUBSIDIO!$N$65*SUBSIDIO!$AA$65))*(0.03)/(1-0.03)</f>
        <v>458.84829945335144</v>
      </c>
      <c r="AF65" s="4" t="s">
        <v>726</v>
      </c>
    </row>
    <row r="66" spans="1:32" ht="11.25" customHeight="1" x14ac:dyDescent="0.25">
      <c r="A66" s="4" t="s">
        <v>21</v>
      </c>
      <c r="B66" s="4" t="s">
        <v>38</v>
      </c>
      <c r="C66" s="4" t="s">
        <v>39</v>
      </c>
      <c r="D66" s="4" t="s">
        <v>48</v>
      </c>
      <c r="E66" s="4" t="s">
        <v>49</v>
      </c>
      <c r="F66" s="4" t="s">
        <v>25</v>
      </c>
      <c r="G66" s="4" t="s">
        <v>25</v>
      </c>
      <c r="H66" s="4" t="s">
        <v>33</v>
      </c>
      <c r="I66" s="5">
        <v>44501</v>
      </c>
      <c r="J66" s="6">
        <v>648</v>
      </c>
      <c r="K66" s="96">
        <v>648</v>
      </c>
      <c r="L66" s="6">
        <v>35.029000000000003</v>
      </c>
      <c r="M66" s="97">
        <v>35.029000000000003</v>
      </c>
      <c r="N66" s="6">
        <v>35.029000000000003</v>
      </c>
      <c r="O66" s="97">
        <v>35.029000000000003</v>
      </c>
      <c r="P66" s="6">
        <v>0</v>
      </c>
      <c r="Q66" s="4" t="s">
        <v>26</v>
      </c>
      <c r="R66" s="4">
        <v>0</v>
      </c>
      <c r="S66" s="4">
        <v>3</v>
      </c>
      <c r="T66" s="4">
        <v>7</v>
      </c>
      <c r="U66" s="4">
        <v>47</v>
      </c>
      <c r="V66" s="97">
        <f>IF(ISERROR(VLOOKUP($S$66,'TAR FIN'!$A$1:$O$86,15,0)),0,VLOOKUP($S$66,'TAR FIN'!$A$1:$O$86,15,0))*(1-0.06)</f>
        <v>48.325399999999995</v>
      </c>
      <c r="W66" s="97">
        <f>IF(ISERROR(VLOOKUP($T$66,'TAR FIN'!$A$1:$O$86,15,0)),0,VLOOKUP($T$66,'TAR FIN'!$A$1:$O$86,15,0))*(1-0.06)</f>
        <v>73.959199999999996</v>
      </c>
      <c r="X66" s="97">
        <f>IF(ISERROR(VLOOKUP($U$66,'TAR FIN'!$A$1:$O$86,15,0)),0,VLOOKUP($U$66,'TAR FIN'!$A$1:$O$86,15,0))*(1-0.06)</f>
        <v>365.85739999999998</v>
      </c>
      <c r="Y66" s="97">
        <f ca="1">('TUSD BE'!$AM$6+'TUSD BF'!$AM$6+'TUSD CVA'!$AM$6)*1*(1-0.03)</f>
        <v>38.977307505834418</v>
      </c>
      <c r="Z66" s="97">
        <f ca="1">('TUSD BE'!$AM$8+'TUSD BF'!$AM$8+'TUSD CVA'!$AM$8)*1*(1-0.03)</f>
        <v>97.230430231836905</v>
      </c>
      <c r="AA66" s="97">
        <f>('TE BE'!$AB$5+'TE BF'!$AB$5+'TE CVA'!$AB$5)*1*(1-0.03)</f>
        <v>342.94447009922271</v>
      </c>
      <c r="AB66" s="97">
        <f>(SUBSIDIO!$J$66*SUBSIDIO!$V$66)*(0.06)/(1-0.06)</f>
        <v>1998.8207999999997</v>
      </c>
      <c r="AC66" s="97">
        <f>((SUBSIDIO!$L$66*SUBSIDIO!$W$66)+(SUBSIDIO!$N$66*SUBSIDIO!$X$66))*(0.06)/(1-0.06)</f>
        <v>983.38312860000008</v>
      </c>
      <c r="AD66" s="97">
        <f ca="1">(SUBSIDIO!$J$66*SUBSIDIO!$Y$66)*(0.03)/(1-0.03)</f>
        <v>781.15346176641344</v>
      </c>
      <c r="AE66" s="97">
        <f ca="1">((SUBSIDIO!$L$66*SUBSIDIO!$Z$66)+(SUBSIDIO!$N$66*SUBSIDIO!$AA$66))*(0.03)/(1-0.03)</f>
        <v>476.87278093907281</v>
      </c>
      <c r="AF66" s="4" t="s">
        <v>726</v>
      </c>
    </row>
    <row r="67" spans="1:32" ht="11.25" customHeight="1" x14ac:dyDescent="0.25">
      <c r="A67" s="4" t="s">
        <v>21</v>
      </c>
      <c r="B67" s="4" t="s">
        <v>38</v>
      </c>
      <c r="C67" s="4" t="s">
        <v>39</v>
      </c>
      <c r="D67" s="4" t="s">
        <v>48</v>
      </c>
      <c r="E67" s="4" t="s">
        <v>49</v>
      </c>
      <c r="F67" s="4" t="s">
        <v>25</v>
      </c>
      <c r="G67" s="4" t="s">
        <v>25</v>
      </c>
      <c r="H67" s="4" t="s">
        <v>33</v>
      </c>
      <c r="I67" s="5">
        <v>44531</v>
      </c>
      <c r="J67" s="6">
        <v>651</v>
      </c>
      <c r="K67" s="96">
        <v>651</v>
      </c>
      <c r="L67" s="6">
        <v>41.866</v>
      </c>
      <c r="M67" s="97">
        <v>41.866</v>
      </c>
      <c r="N67" s="6">
        <v>41.866</v>
      </c>
      <c r="O67" s="97">
        <v>41.866</v>
      </c>
      <c r="P67" s="6">
        <v>0</v>
      </c>
      <c r="Q67" s="4" t="s">
        <v>26</v>
      </c>
      <c r="R67" s="4">
        <v>0</v>
      </c>
      <c r="S67" s="4">
        <v>3</v>
      </c>
      <c r="T67" s="4">
        <v>7</v>
      </c>
      <c r="U67" s="4">
        <v>47</v>
      </c>
      <c r="V67" s="97">
        <f>IF(ISERROR(VLOOKUP($S$67,'TAR FIN'!$A$1:$O$86,15,0)),0,VLOOKUP($S$67,'TAR FIN'!$A$1:$O$86,15,0))*(1-0.06)</f>
        <v>48.325399999999995</v>
      </c>
      <c r="W67" s="97">
        <f>IF(ISERROR(VLOOKUP($T$67,'TAR FIN'!$A$1:$O$86,15,0)),0,VLOOKUP($T$67,'TAR FIN'!$A$1:$O$86,15,0))*(1-0.06)</f>
        <v>73.959199999999996</v>
      </c>
      <c r="X67" s="97">
        <f>IF(ISERROR(VLOOKUP($U$67,'TAR FIN'!$A$1:$O$86,15,0)),0,VLOOKUP($U$67,'TAR FIN'!$A$1:$O$86,15,0))*(1-0.06)</f>
        <v>365.85739999999998</v>
      </c>
      <c r="Y67" s="97">
        <f ca="1">('TUSD BE'!$AM$6+'TUSD BF'!$AM$6+'TUSD CVA'!$AM$6)*1*(1-0.03)</f>
        <v>38.977307505834418</v>
      </c>
      <c r="Z67" s="97">
        <f ca="1">('TUSD BE'!$AM$8+'TUSD BF'!$AM$8+'TUSD CVA'!$AM$8)*1*(1-0.03)</f>
        <v>97.230430231836905</v>
      </c>
      <c r="AA67" s="97">
        <f>('TE BE'!$AB$5+'TE BF'!$AB$5+'TE CVA'!$AB$5)*1*(1-0.03)</f>
        <v>342.94447009922271</v>
      </c>
      <c r="AB67" s="97">
        <f>(SUBSIDIO!$J$67*SUBSIDIO!$V$67)*(0.06)/(1-0.06)</f>
        <v>2008.0745999999997</v>
      </c>
      <c r="AC67" s="97">
        <f>((SUBSIDIO!$L$67*SUBSIDIO!$W$67)+(SUBSIDIO!$N$67*SUBSIDIO!$X$67))*(0.06)/(1-0.06)</f>
        <v>1175.3209644000001</v>
      </c>
      <c r="AD67" s="97">
        <f ca="1">(SUBSIDIO!$J$67*SUBSIDIO!$Y$67)*(0.03)/(1-0.03)</f>
        <v>784.769912978295</v>
      </c>
      <c r="AE67" s="97">
        <f ca="1">((SUBSIDIO!$L$67*SUBSIDIO!$Z$67)+(SUBSIDIO!$N$67*SUBSIDIO!$AA$67))*(0.03)/(1-0.03)</f>
        <v>569.94935187402507</v>
      </c>
      <c r="AF67" s="4" t="s">
        <v>726</v>
      </c>
    </row>
    <row r="68" spans="1:32" ht="11.25" customHeight="1" x14ac:dyDescent="0.25">
      <c r="A68" s="4" t="s">
        <v>21</v>
      </c>
      <c r="B68" s="4" t="s">
        <v>38</v>
      </c>
      <c r="C68" s="4" t="s">
        <v>39</v>
      </c>
      <c r="D68" s="4" t="s">
        <v>48</v>
      </c>
      <c r="E68" s="4" t="s">
        <v>49</v>
      </c>
      <c r="F68" s="4" t="s">
        <v>25</v>
      </c>
      <c r="G68" s="4" t="s">
        <v>25</v>
      </c>
      <c r="H68" s="4" t="s">
        <v>33</v>
      </c>
      <c r="I68" s="5">
        <v>44562</v>
      </c>
      <c r="J68" s="6">
        <v>655</v>
      </c>
      <c r="K68" s="96">
        <v>655</v>
      </c>
      <c r="L68" s="6">
        <v>38.148000000000003</v>
      </c>
      <c r="M68" s="97">
        <v>38.148000000000003</v>
      </c>
      <c r="N68" s="6">
        <v>38.148000000000003</v>
      </c>
      <c r="O68" s="97">
        <v>38.148000000000003</v>
      </c>
      <c r="P68" s="6">
        <v>0</v>
      </c>
      <c r="Q68" s="4" t="s">
        <v>26</v>
      </c>
      <c r="R68" s="4">
        <v>0</v>
      </c>
      <c r="S68" s="4">
        <v>3</v>
      </c>
      <c r="T68" s="4">
        <v>7</v>
      </c>
      <c r="U68" s="4">
        <v>47</v>
      </c>
      <c r="V68" s="97">
        <f>IF(ISERROR(VLOOKUP($S$68,'TAR FIN'!$A$1:$O$86,15,0)),0,VLOOKUP($S$68,'TAR FIN'!$A$1:$O$86,15,0))*(1-0.06)</f>
        <v>48.325399999999995</v>
      </c>
      <c r="W68" s="97">
        <f>IF(ISERROR(VLOOKUP($T$68,'TAR FIN'!$A$1:$O$86,15,0)),0,VLOOKUP($T$68,'TAR FIN'!$A$1:$O$86,15,0))*(1-0.06)</f>
        <v>73.959199999999996</v>
      </c>
      <c r="X68" s="97">
        <f>IF(ISERROR(VLOOKUP($U$68,'TAR FIN'!$A$1:$O$86,15,0)),0,VLOOKUP($U$68,'TAR FIN'!$A$1:$O$86,15,0))*(1-0.06)</f>
        <v>365.85739999999998</v>
      </c>
      <c r="Y68" s="97">
        <f ca="1">('TUSD BE'!$AM$6+'TUSD BF'!$AM$6+'TUSD CVA'!$AM$6)*1*(1-0.03)</f>
        <v>38.977307505834418</v>
      </c>
      <c r="Z68" s="97">
        <f ca="1">('TUSD BE'!$AM$8+'TUSD BF'!$AM$8+'TUSD CVA'!$AM$8)*1*(1-0.03)</f>
        <v>97.230430231836905</v>
      </c>
      <c r="AA68" s="97">
        <f>('TE BE'!$AB$5+'TE BF'!$AB$5+'TE CVA'!$AB$5)*1*(1-0.03)</f>
        <v>342.94447009922271</v>
      </c>
      <c r="AB68" s="97">
        <f>(SUBSIDIO!$J$68*SUBSIDIO!$V$68)*(0.06)/(1-0.06)</f>
        <v>2020.4129999999996</v>
      </c>
      <c r="AC68" s="97">
        <f>((SUBSIDIO!$L$68*SUBSIDIO!$W$68)+(SUBSIDIO!$N$68*SUBSIDIO!$X$68))*(0.06)/(1-0.06)</f>
        <v>1070.9440632000001</v>
      </c>
      <c r="AD68" s="97">
        <f ca="1">(SUBSIDIO!$J$68*SUBSIDIO!$Y$68)*(0.03)/(1-0.03)</f>
        <v>789.59184792747033</v>
      </c>
      <c r="AE68" s="97">
        <f ca="1">((SUBSIDIO!$L$68*SUBSIDIO!$Z$68)+(SUBSIDIO!$N$68*SUBSIDIO!$AA$68))*(0.03)/(1-0.03)</f>
        <v>519.33377622152364</v>
      </c>
      <c r="AF68" s="4" t="s">
        <v>726</v>
      </c>
    </row>
    <row r="69" spans="1:32" ht="11.25" customHeight="1" x14ac:dyDescent="0.25">
      <c r="A69" s="4" t="s">
        <v>21</v>
      </c>
      <c r="B69" s="4" t="s">
        <v>38</v>
      </c>
      <c r="C69" s="4" t="s">
        <v>39</v>
      </c>
      <c r="D69" s="4" t="s">
        <v>48</v>
      </c>
      <c r="E69" s="4" t="s">
        <v>49</v>
      </c>
      <c r="F69" s="4" t="s">
        <v>25</v>
      </c>
      <c r="G69" s="4" t="s">
        <v>25</v>
      </c>
      <c r="H69" s="4" t="s">
        <v>33</v>
      </c>
      <c r="I69" s="5">
        <v>44593</v>
      </c>
      <c r="J69" s="6">
        <v>683</v>
      </c>
      <c r="K69" s="96">
        <v>683</v>
      </c>
      <c r="L69" s="6">
        <v>36.609000000000002</v>
      </c>
      <c r="M69" s="97">
        <v>36.609000000000002</v>
      </c>
      <c r="N69" s="6">
        <v>36.609000000000002</v>
      </c>
      <c r="O69" s="97">
        <v>36.609000000000002</v>
      </c>
      <c r="P69" s="6">
        <v>0</v>
      </c>
      <c r="Q69" s="4" t="s">
        <v>26</v>
      </c>
      <c r="R69" s="4">
        <v>0</v>
      </c>
      <c r="S69" s="4">
        <v>3</v>
      </c>
      <c r="T69" s="4">
        <v>7</v>
      </c>
      <c r="U69" s="4">
        <v>47</v>
      </c>
      <c r="V69" s="97">
        <f>IF(ISERROR(VLOOKUP($S$69,'TAR FIN'!$A$1:$O$86,15,0)),0,VLOOKUP($S$69,'TAR FIN'!$A$1:$O$86,15,0))*(1-0.06)</f>
        <v>48.325399999999995</v>
      </c>
      <c r="W69" s="97">
        <f>IF(ISERROR(VLOOKUP($T$69,'TAR FIN'!$A$1:$O$86,15,0)),0,VLOOKUP($T$69,'TAR FIN'!$A$1:$O$86,15,0))*(1-0.06)</f>
        <v>73.959199999999996</v>
      </c>
      <c r="X69" s="97">
        <f>IF(ISERROR(VLOOKUP($U$69,'TAR FIN'!$A$1:$O$86,15,0)),0,VLOOKUP($U$69,'TAR FIN'!$A$1:$O$86,15,0))*(1-0.06)</f>
        <v>365.85739999999998</v>
      </c>
      <c r="Y69" s="97">
        <f ca="1">('TUSD BE'!$AM$6+'TUSD BF'!$AM$6+'TUSD CVA'!$AM$6)*1*(1-0.03)</f>
        <v>38.977307505834418</v>
      </c>
      <c r="Z69" s="97">
        <f ca="1">('TUSD BE'!$AM$8+'TUSD BF'!$AM$8+'TUSD CVA'!$AM$8)*1*(1-0.03)</f>
        <v>97.230430231836905</v>
      </c>
      <c r="AA69" s="97">
        <f>('TE BE'!$AB$5+'TE BF'!$AB$5+'TE CVA'!$AB$5)*1*(1-0.03)</f>
        <v>342.94447009922271</v>
      </c>
      <c r="AB69" s="97">
        <f>(SUBSIDIO!$J$69*SUBSIDIO!$V$69)*(0.06)/(1-0.06)</f>
        <v>2106.7817999999997</v>
      </c>
      <c r="AC69" s="97">
        <f>((SUBSIDIO!$L$69*SUBSIDIO!$W$69)+(SUBSIDIO!$N$69*SUBSIDIO!$X$69))*(0.06)/(1-0.06)</f>
        <v>1027.7391006</v>
      </c>
      <c r="AD69" s="97">
        <f ca="1">(SUBSIDIO!$J$69*SUBSIDIO!$Y$69)*(0.03)/(1-0.03)</f>
        <v>823.3453925716982</v>
      </c>
      <c r="AE69" s="97">
        <f ca="1">((SUBSIDIO!$L$69*SUBSIDIO!$Z$69)+(SUBSIDIO!$N$69*SUBSIDIO!$AA$69))*(0.03)/(1-0.03)</f>
        <v>498.38235854287922</v>
      </c>
      <c r="AF69" s="4" t="s">
        <v>726</v>
      </c>
    </row>
    <row r="70" spans="1:32" ht="11.25" customHeight="1" x14ac:dyDescent="0.25">
      <c r="A70" s="4" t="s">
        <v>21</v>
      </c>
      <c r="B70" s="4" t="s">
        <v>38</v>
      </c>
      <c r="C70" s="4" t="s">
        <v>39</v>
      </c>
      <c r="D70" s="4" t="s">
        <v>48</v>
      </c>
      <c r="E70" s="4" t="s">
        <v>49</v>
      </c>
      <c r="F70" s="4" t="s">
        <v>25</v>
      </c>
      <c r="G70" s="4" t="s">
        <v>25</v>
      </c>
      <c r="H70" s="4" t="s">
        <v>33</v>
      </c>
      <c r="I70" s="5">
        <v>44621</v>
      </c>
      <c r="J70" s="6">
        <v>651</v>
      </c>
      <c r="K70" s="96">
        <v>651</v>
      </c>
      <c r="L70" s="6">
        <v>39.953000000000003</v>
      </c>
      <c r="M70" s="97">
        <v>39.953000000000003</v>
      </c>
      <c r="N70" s="6">
        <v>39.953000000000003</v>
      </c>
      <c r="O70" s="97">
        <v>39.953000000000003</v>
      </c>
      <c r="P70" s="6">
        <v>0</v>
      </c>
      <c r="Q70" s="4" t="s">
        <v>26</v>
      </c>
      <c r="R70" s="4">
        <v>0</v>
      </c>
      <c r="S70" s="4">
        <v>3</v>
      </c>
      <c r="T70" s="4">
        <v>7</v>
      </c>
      <c r="U70" s="4">
        <v>47</v>
      </c>
      <c r="V70" s="97">
        <f>IF(ISERROR(VLOOKUP($S$70,'TAR FIN'!$A$1:$O$86,15,0)),0,VLOOKUP($S$70,'TAR FIN'!$A$1:$O$86,15,0))*(1-0.06)</f>
        <v>48.325399999999995</v>
      </c>
      <c r="W70" s="97">
        <f>IF(ISERROR(VLOOKUP($T$70,'TAR FIN'!$A$1:$O$86,15,0)),0,VLOOKUP($T$70,'TAR FIN'!$A$1:$O$86,15,0))*(1-0.06)</f>
        <v>73.959199999999996</v>
      </c>
      <c r="X70" s="97">
        <f>IF(ISERROR(VLOOKUP($U$70,'TAR FIN'!$A$1:$O$86,15,0)),0,VLOOKUP($U$70,'TAR FIN'!$A$1:$O$86,15,0))*(1-0.06)</f>
        <v>365.85739999999998</v>
      </c>
      <c r="Y70" s="97">
        <f ca="1">('TUSD BE'!$AM$6+'TUSD BF'!$AM$6+'TUSD CVA'!$AM$6)*1*(1-0.03)</f>
        <v>38.977307505834418</v>
      </c>
      <c r="Z70" s="97">
        <f ca="1">('TUSD BE'!$AM$8+'TUSD BF'!$AM$8+'TUSD CVA'!$AM$8)*1*(1-0.03)</f>
        <v>97.230430231836905</v>
      </c>
      <c r="AA70" s="97">
        <f>('TE BE'!$AB$5+'TE BF'!$AB$5+'TE CVA'!$AB$5)*1*(1-0.03)</f>
        <v>342.94447009922271</v>
      </c>
      <c r="AB70" s="97">
        <f>(SUBSIDIO!$J$70*SUBSIDIO!$V$70)*(0.06)/(1-0.06)</f>
        <v>2008.0745999999997</v>
      </c>
      <c r="AC70" s="97">
        <f>((SUBSIDIO!$L$70*SUBSIDIO!$W$70)+(SUBSIDIO!$N$70*SUBSIDIO!$X$70))*(0.06)/(1-0.06)</f>
        <v>1121.6165502000001</v>
      </c>
      <c r="AD70" s="97">
        <f ca="1">(SUBSIDIO!$J$70*SUBSIDIO!$Y$70)*(0.03)/(1-0.03)</f>
        <v>784.769912978295</v>
      </c>
      <c r="AE70" s="97">
        <f ca="1">((SUBSIDIO!$L$70*SUBSIDIO!$Z$70)+(SUBSIDIO!$N$70*SUBSIDIO!$AA$70))*(0.03)/(1-0.03)</f>
        <v>543.90642658536581</v>
      </c>
      <c r="AF70" s="4" t="s">
        <v>726</v>
      </c>
    </row>
    <row r="71" spans="1:32" ht="11.25" customHeight="1" x14ac:dyDescent="0.25">
      <c r="A71" s="4" t="s">
        <v>21</v>
      </c>
      <c r="B71" s="4" t="s">
        <v>38</v>
      </c>
      <c r="C71" s="4" t="s">
        <v>39</v>
      </c>
      <c r="D71" s="4" t="s">
        <v>48</v>
      </c>
      <c r="E71" s="4" t="s">
        <v>49</v>
      </c>
      <c r="F71" s="4" t="s">
        <v>25</v>
      </c>
      <c r="G71" s="4" t="s">
        <v>25</v>
      </c>
      <c r="H71" s="4" t="s">
        <v>33</v>
      </c>
      <c r="I71" s="5">
        <v>44652</v>
      </c>
      <c r="J71" s="6">
        <v>650</v>
      </c>
      <c r="K71" s="96">
        <v>650</v>
      </c>
      <c r="L71" s="6">
        <v>34.774999999999999</v>
      </c>
      <c r="M71" s="97">
        <v>34.774999999999999</v>
      </c>
      <c r="N71" s="6">
        <v>34.774999999999999</v>
      </c>
      <c r="O71" s="97">
        <v>34.774999999999999</v>
      </c>
      <c r="P71" s="6">
        <v>0</v>
      </c>
      <c r="Q71" s="4" t="s">
        <v>26</v>
      </c>
      <c r="R71" s="4">
        <v>0</v>
      </c>
      <c r="S71" s="4">
        <v>3</v>
      </c>
      <c r="T71" s="4">
        <v>7</v>
      </c>
      <c r="U71" s="4">
        <v>47</v>
      </c>
      <c r="V71" s="97">
        <f>IF(ISERROR(VLOOKUP($S$71,'TAR FIN'!$A$1:$O$86,15,0)),0,VLOOKUP($S$71,'TAR FIN'!$A$1:$O$86,15,0))*(1-0.06)</f>
        <v>48.325399999999995</v>
      </c>
      <c r="W71" s="97">
        <f>IF(ISERROR(VLOOKUP($T$71,'TAR FIN'!$A$1:$O$86,15,0)),0,VLOOKUP($T$71,'TAR FIN'!$A$1:$O$86,15,0))*(1-0.06)</f>
        <v>73.959199999999996</v>
      </c>
      <c r="X71" s="97">
        <f>IF(ISERROR(VLOOKUP($U$71,'TAR FIN'!$A$1:$O$86,15,0)),0,VLOOKUP($U$71,'TAR FIN'!$A$1:$O$86,15,0))*(1-0.06)</f>
        <v>365.85739999999998</v>
      </c>
      <c r="Y71" s="97">
        <f ca="1">('TUSD BE'!$AM$6+'TUSD BF'!$AM$6+'TUSD CVA'!$AM$6)*1*(1-0.03)</f>
        <v>38.977307505834418</v>
      </c>
      <c r="Z71" s="97">
        <f ca="1">('TUSD BE'!$AM$8+'TUSD BF'!$AM$8+'TUSD CVA'!$AM$8)*1*(1-0.03)</f>
        <v>97.230430231836905</v>
      </c>
      <c r="AA71" s="97">
        <f>('TE BE'!$AB$5+'TE BF'!$AB$5+'TE CVA'!$AB$5)*1*(1-0.03)</f>
        <v>342.94447009922271</v>
      </c>
      <c r="AB71" s="97">
        <f>(SUBSIDIO!$J$71*SUBSIDIO!$V$71)*(0.06)/(1-0.06)</f>
        <v>2004.99</v>
      </c>
      <c r="AC71" s="97">
        <f>((SUBSIDIO!$L$71*SUBSIDIO!$W$71)+(SUBSIDIO!$N$71*SUBSIDIO!$X$71))*(0.06)/(1-0.06)</f>
        <v>976.25248499999998</v>
      </c>
      <c r="AD71" s="97">
        <f ca="1">(SUBSIDIO!$J$71*SUBSIDIO!$Y$71)*(0.03)/(1-0.03)</f>
        <v>783.56442924100122</v>
      </c>
      <c r="AE71" s="97">
        <f ca="1">((SUBSIDIO!$L$71*SUBSIDIO!$Z$71)+(SUBSIDIO!$N$71*SUBSIDIO!$AA$71))*(0.03)/(1-0.03)</f>
        <v>473.41491213441026</v>
      </c>
      <c r="AF71" s="4" t="s">
        <v>726</v>
      </c>
    </row>
    <row r="72" spans="1:32" ht="11.25" customHeight="1" x14ac:dyDescent="0.25">
      <c r="A72" s="4" t="s">
        <v>21</v>
      </c>
      <c r="B72" s="4" t="s">
        <v>38</v>
      </c>
      <c r="C72" s="4" t="s">
        <v>39</v>
      </c>
      <c r="D72" s="4" t="s">
        <v>48</v>
      </c>
      <c r="E72" s="4" t="s">
        <v>49</v>
      </c>
      <c r="F72" s="4" t="s">
        <v>25</v>
      </c>
      <c r="G72" s="4" t="s">
        <v>25</v>
      </c>
      <c r="H72" s="4" t="s">
        <v>33</v>
      </c>
      <c r="I72" s="5">
        <v>44682</v>
      </c>
      <c r="J72" s="6">
        <v>669</v>
      </c>
      <c r="K72" s="96">
        <v>669</v>
      </c>
      <c r="L72" s="6">
        <v>39.667000000000002</v>
      </c>
      <c r="M72" s="97">
        <v>39.667000000000002</v>
      </c>
      <c r="N72" s="6">
        <v>39.667000000000002</v>
      </c>
      <c r="O72" s="97">
        <v>39.667000000000002</v>
      </c>
      <c r="P72" s="6">
        <v>0</v>
      </c>
      <c r="Q72" s="4" t="s">
        <v>26</v>
      </c>
      <c r="R72" s="4">
        <v>0</v>
      </c>
      <c r="S72" s="4">
        <v>3</v>
      </c>
      <c r="T72" s="4">
        <v>7</v>
      </c>
      <c r="U72" s="4">
        <v>47</v>
      </c>
      <c r="V72" s="97">
        <f>IF(ISERROR(VLOOKUP($S$72,'TAR FIN'!$A$1:$O$86,15,0)),0,VLOOKUP($S$72,'TAR FIN'!$A$1:$O$86,15,0))*(1-0.06)</f>
        <v>48.325399999999995</v>
      </c>
      <c r="W72" s="97">
        <f>IF(ISERROR(VLOOKUP($T$72,'TAR FIN'!$A$1:$O$86,15,0)),0,VLOOKUP($T$72,'TAR FIN'!$A$1:$O$86,15,0))*(1-0.06)</f>
        <v>73.959199999999996</v>
      </c>
      <c r="X72" s="97">
        <f>IF(ISERROR(VLOOKUP($U$72,'TAR FIN'!$A$1:$O$86,15,0)),0,VLOOKUP($U$72,'TAR FIN'!$A$1:$O$86,15,0))*(1-0.06)</f>
        <v>365.85739999999998</v>
      </c>
      <c r="Y72" s="97">
        <f ca="1">('TUSD BE'!$AM$6+'TUSD BF'!$AM$6+'TUSD CVA'!$AM$6)*1*(1-0.03)</f>
        <v>38.977307505834418</v>
      </c>
      <c r="Z72" s="97">
        <f ca="1">('TUSD BE'!$AM$8+'TUSD BF'!$AM$8+'TUSD CVA'!$AM$8)*1*(1-0.03)</f>
        <v>97.230430231836905</v>
      </c>
      <c r="AA72" s="97">
        <f>('TE BE'!$AB$5+'TE BF'!$AB$5+'TE CVA'!$AB$5)*1*(1-0.03)</f>
        <v>342.94447009922271</v>
      </c>
      <c r="AB72" s="97">
        <f>(SUBSIDIO!$J$72*SUBSIDIO!$V$72)*(0.06)/(1-0.06)</f>
        <v>2063.5973999999997</v>
      </c>
      <c r="AC72" s="97">
        <f>((SUBSIDIO!$L$72*SUBSIDIO!$W$72)+(SUBSIDIO!$N$72*SUBSIDIO!$X$72))*(0.06)/(1-0.06)</f>
        <v>1113.5875578</v>
      </c>
      <c r="AD72" s="97">
        <f ca="1">(SUBSIDIO!$J$72*SUBSIDIO!$Y$72)*(0.03)/(1-0.03)</f>
        <v>806.46862024958432</v>
      </c>
      <c r="AE72" s="97">
        <f ca="1">((SUBSIDIO!$L$72*SUBSIDIO!$Z$72)+(SUBSIDIO!$N$72*SUBSIDIO!$AA$72))*(0.03)/(1-0.03)</f>
        <v>540.01292076594245</v>
      </c>
      <c r="AF72" s="4" t="s">
        <v>726</v>
      </c>
    </row>
    <row r="73" spans="1:32" ht="11.25" customHeight="1" x14ac:dyDescent="0.25">
      <c r="A73" s="4" t="s">
        <v>56</v>
      </c>
      <c r="B73" s="4" t="s">
        <v>38</v>
      </c>
      <c r="C73" s="4" t="s">
        <v>39</v>
      </c>
      <c r="D73" s="4" t="s">
        <v>48</v>
      </c>
      <c r="E73" s="4" t="s">
        <v>49</v>
      </c>
      <c r="F73" s="4" t="s">
        <v>25</v>
      </c>
      <c r="G73" s="4" t="s">
        <v>25</v>
      </c>
      <c r="H73" s="4" t="s">
        <v>33</v>
      </c>
      <c r="I73" s="5">
        <v>44713</v>
      </c>
      <c r="J73" s="6">
        <v>669</v>
      </c>
      <c r="K73" s="96">
        <v>669</v>
      </c>
      <c r="L73" s="6">
        <v>39.667000000000002</v>
      </c>
      <c r="M73" s="97">
        <v>39.667000000000002</v>
      </c>
      <c r="N73" s="6">
        <v>39.667000000000002</v>
      </c>
      <c r="O73" s="97">
        <v>39.667000000000002</v>
      </c>
      <c r="P73" s="6">
        <v>0</v>
      </c>
      <c r="Q73" s="4" t="s">
        <v>26</v>
      </c>
      <c r="R73" s="4">
        <v>0</v>
      </c>
      <c r="S73" s="4">
        <v>3</v>
      </c>
      <c r="T73" s="4">
        <v>7</v>
      </c>
      <c r="U73" s="4">
        <v>47</v>
      </c>
      <c r="V73" s="97">
        <f>IF(ISERROR(VLOOKUP($S$73,'TAR FIN'!$A$1:$O$86,15,0)),0,VLOOKUP($S$73,'TAR FIN'!$A$1:$O$86,15,0))*(1-0.06)</f>
        <v>48.325399999999995</v>
      </c>
      <c r="W73" s="97">
        <f>IF(ISERROR(VLOOKUP($T$73,'TAR FIN'!$A$1:$O$86,15,0)),0,VLOOKUP($T$73,'TAR FIN'!$A$1:$O$86,15,0))*(1-0.06)</f>
        <v>73.959199999999996</v>
      </c>
      <c r="X73" s="97">
        <f>IF(ISERROR(VLOOKUP($U$73,'TAR FIN'!$A$1:$O$86,15,0)),0,VLOOKUP($U$73,'TAR FIN'!$A$1:$O$86,15,0))*(1-0.06)</f>
        <v>365.85739999999998</v>
      </c>
      <c r="Y73" s="97">
        <f ca="1">('TUSD BE'!$AM$6+'TUSD BF'!$AM$6+'TUSD CVA'!$AM$6)*1*(1-0.03)</f>
        <v>38.977307505834418</v>
      </c>
      <c r="Z73" s="97">
        <f ca="1">('TUSD BE'!$AM$8+'TUSD BF'!$AM$8+'TUSD CVA'!$AM$8)*1*(1-0.03)</f>
        <v>97.230430231836905</v>
      </c>
      <c r="AA73" s="97">
        <f>('TE BE'!$AB$5+'TE BF'!$AB$5+'TE CVA'!$AB$5)*1*(1-0.03)</f>
        <v>342.94447009922271</v>
      </c>
      <c r="AB73" s="97">
        <f>(SUBSIDIO!$J$73*SUBSIDIO!$V$73)*(0.06)/(1-0.06)</f>
        <v>2063.5973999999997</v>
      </c>
      <c r="AC73" s="97">
        <f>((SUBSIDIO!$L$73*SUBSIDIO!$W$73)+(SUBSIDIO!$N$73*SUBSIDIO!$X$73))*(0.06)/(1-0.06)</f>
        <v>1113.5875578</v>
      </c>
      <c r="AD73" s="97">
        <f ca="1">(SUBSIDIO!$J$73*SUBSIDIO!$Y$73)*(0.03)/(1-0.03)</f>
        <v>806.46862024958432</v>
      </c>
      <c r="AE73" s="97">
        <f ca="1">((SUBSIDIO!$L$73*SUBSIDIO!$Z$73)+(SUBSIDIO!$N$73*SUBSIDIO!$AA$73))*(0.03)/(1-0.03)</f>
        <v>540.01292076594245</v>
      </c>
      <c r="AF73" s="4" t="s">
        <v>726</v>
      </c>
    </row>
    <row r="74" spans="1:32" ht="11.25" customHeight="1" x14ac:dyDescent="0.25">
      <c r="A74" s="4" t="s">
        <v>21</v>
      </c>
      <c r="B74" s="4" t="s">
        <v>38</v>
      </c>
      <c r="C74" s="4" t="s">
        <v>59</v>
      </c>
      <c r="D74" s="4" t="s">
        <v>25</v>
      </c>
      <c r="E74" s="4" t="s">
        <v>25</v>
      </c>
      <c r="F74" s="4" t="s">
        <v>25</v>
      </c>
      <c r="G74" s="4" t="s">
        <v>60</v>
      </c>
      <c r="H74" s="4" t="s">
        <v>25</v>
      </c>
      <c r="I74" s="5">
        <v>44378</v>
      </c>
      <c r="J74" s="6">
        <v>1000</v>
      </c>
      <c r="K74" s="6">
        <v>500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61</v>
      </c>
      <c r="R74" s="4">
        <v>797</v>
      </c>
      <c r="S74" s="4">
        <v>12</v>
      </c>
      <c r="T74" s="4">
        <v>0</v>
      </c>
      <c r="U74" s="4">
        <v>0</v>
      </c>
      <c r="V74" s="6">
        <f>IF(ISERROR(VLOOKUP($S$74,'TAR FIN'!$A$1:$O$86,15,0)),0,VLOOKUP($S$74,'TAR FIN'!$A$1:$O$86,15,0))</f>
        <v>8.14</v>
      </c>
      <c r="W74" s="6">
        <f>IF(ISERROR(VLOOKUP($T$74,'TAR FIN'!$A$1:$O$86,15,0)),0,VLOOKUP($T$74,'TAR FIN'!$A$1:$O$86,15,0))</f>
        <v>0</v>
      </c>
      <c r="X74" s="6">
        <f>IF(ISERROR(VLOOKUP($U$74,'TAR FIN'!$A$1:$O$86,15,0)),0,VLOOKUP($U$74,'TAR FIN'!$A$1:$O$86,15,0))</f>
        <v>0</v>
      </c>
      <c r="Y74" s="6">
        <f ca="1">('TUSD BE'!$AM$10+'TUSD BF'!$AM$10+'TUSD CVA'!$AM$10)*1</f>
        <v>5.4509137424633414</v>
      </c>
      <c r="Z74" s="6"/>
      <c r="AA74" s="6"/>
      <c r="AB74" s="6">
        <f t="shared" ref="AB74:AB129" si="6">(J74-K74)*V74</f>
        <v>4070.0000000000005</v>
      </c>
      <c r="AC74" s="6">
        <f t="shared" ref="AC74:AC129" si="7">(L74-M74)*W74+(N74-O74)*X74</f>
        <v>0</v>
      </c>
      <c r="AD74" s="6">
        <f t="shared" ref="AD74:AD129" ca="1" si="8">(J74-K74)*Y74</f>
        <v>2725.4568712316709</v>
      </c>
      <c r="AE74" s="6">
        <f t="shared" ref="AE74:AE129" si="9">(L74-M74)*Z74+(N74-O74)*AA74</f>
        <v>0</v>
      </c>
      <c r="AF74" s="4" t="s">
        <v>724</v>
      </c>
    </row>
    <row r="75" spans="1:32" ht="11.25" customHeight="1" x14ac:dyDescent="0.25">
      <c r="A75" s="4" t="s">
        <v>21</v>
      </c>
      <c r="B75" s="4" t="s">
        <v>38</v>
      </c>
      <c r="C75" s="4" t="s">
        <v>59</v>
      </c>
      <c r="D75" s="4" t="s">
        <v>25</v>
      </c>
      <c r="E75" s="4" t="s">
        <v>25</v>
      </c>
      <c r="F75" s="4" t="s">
        <v>25</v>
      </c>
      <c r="G75" s="4" t="s">
        <v>64</v>
      </c>
      <c r="H75" s="4" t="s">
        <v>25</v>
      </c>
      <c r="I75" s="5">
        <v>44378</v>
      </c>
      <c r="J75" s="6">
        <v>280</v>
      </c>
      <c r="K75" s="6">
        <v>140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61</v>
      </c>
      <c r="S75" s="4">
        <v>12</v>
      </c>
      <c r="T75" s="4">
        <v>0</v>
      </c>
      <c r="U75" s="4">
        <v>0</v>
      </c>
      <c r="V75" s="6">
        <f>IF(ISERROR(VLOOKUP($S$75,'TAR FIN'!$A$1:$O$86,15,0)),0,VLOOKUP($S$75,'TAR FIN'!$A$1:$O$86,15,0))</f>
        <v>8.14</v>
      </c>
      <c r="W75" s="6">
        <f>IF(ISERROR(VLOOKUP($T$75,'TAR FIN'!$A$1:$O$86,15,0)),0,VLOOKUP($T$75,'TAR FIN'!$A$1:$O$86,15,0))</f>
        <v>0</v>
      </c>
      <c r="X75" s="6">
        <f>IF(ISERROR(VLOOKUP($U$75,'TAR FIN'!$A$1:$O$86,15,0)),0,VLOOKUP($U$75,'TAR FIN'!$A$1:$O$86,15,0))</f>
        <v>0</v>
      </c>
      <c r="Y75" s="6">
        <f ca="1">('TUSD BE'!$AM$10+'TUSD BF'!$AM$10+'TUSD CVA'!$AM$10)*1</f>
        <v>5.4509137424633414</v>
      </c>
      <c r="Z75" s="6"/>
      <c r="AA75" s="6"/>
      <c r="AB75" s="6">
        <f t="shared" si="6"/>
        <v>1139.6000000000001</v>
      </c>
      <c r="AC75" s="6">
        <f t="shared" si="7"/>
        <v>0</v>
      </c>
      <c r="AD75" s="6">
        <f t="shared" ca="1" si="8"/>
        <v>763.1279239448678</v>
      </c>
      <c r="AE75" s="6">
        <f t="shared" si="9"/>
        <v>0</v>
      </c>
      <c r="AF75" s="4" t="s">
        <v>724</v>
      </c>
    </row>
    <row r="76" spans="1:32" ht="11.25" customHeight="1" x14ac:dyDescent="0.25">
      <c r="A76" s="4" t="s">
        <v>21</v>
      </c>
      <c r="B76" s="4" t="s">
        <v>38</v>
      </c>
      <c r="C76" s="4" t="s">
        <v>59</v>
      </c>
      <c r="D76" s="4" t="s">
        <v>25</v>
      </c>
      <c r="E76" s="4" t="s">
        <v>25</v>
      </c>
      <c r="F76" s="4" t="s">
        <v>25</v>
      </c>
      <c r="G76" s="4" t="s">
        <v>60</v>
      </c>
      <c r="H76" s="4" t="s">
        <v>25</v>
      </c>
      <c r="I76" s="5">
        <v>44409</v>
      </c>
      <c r="J76" s="6">
        <v>1000</v>
      </c>
      <c r="K76" s="6">
        <v>500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61</v>
      </c>
      <c r="R76" s="4">
        <v>797</v>
      </c>
      <c r="S76" s="4">
        <v>12</v>
      </c>
      <c r="T76" s="4">
        <v>0</v>
      </c>
      <c r="U76" s="4">
        <v>0</v>
      </c>
      <c r="V76" s="6">
        <f>IF(ISERROR(VLOOKUP($S$76,'TAR FIN'!$A$1:$O$86,15,0)),0,VLOOKUP($S$76,'TAR FIN'!$A$1:$O$86,15,0))</f>
        <v>8.14</v>
      </c>
      <c r="W76" s="6">
        <f>IF(ISERROR(VLOOKUP($T$76,'TAR FIN'!$A$1:$O$86,15,0)),0,VLOOKUP($T$76,'TAR FIN'!$A$1:$O$86,15,0))</f>
        <v>0</v>
      </c>
      <c r="X76" s="6">
        <f>IF(ISERROR(VLOOKUP($U$76,'TAR FIN'!$A$1:$O$86,15,0)),0,VLOOKUP($U$76,'TAR FIN'!$A$1:$O$86,15,0))</f>
        <v>0</v>
      </c>
      <c r="Y76" s="6">
        <f ca="1">('TUSD BE'!$AM$10+'TUSD BF'!$AM$10+'TUSD CVA'!$AM$10)*1</f>
        <v>5.4509137424633414</v>
      </c>
      <c r="Z76" s="6"/>
      <c r="AA76" s="6"/>
      <c r="AB76" s="6">
        <f t="shared" si="6"/>
        <v>4070.0000000000005</v>
      </c>
      <c r="AC76" s="6">
        <f t="shared" si="7"/>
        <v>0</v>
      </c>
      <c r="AD76" s="6">
        <f t="shared" ca="1" si="8"/>
        <v>2725.4568712316709</v>
      </c>
      <c r="AE76" s="6">
        <f t="shared" si="9"/>
        <v>0</v>
      </c>
      <c r="AF76" s="4" t="s">
        <v>724</v>
      </c>
    </row>
    <row r="77" spans="1:32" ht="11.25" customHeight="1" x14ac:dyDescent="0.25">
      <c r="A77" s="4" t="s">
        <v>21</v>
      </c>
      <c r="B77" s="4" t="s">
        <v>38</v>
      </c>
      <c r="C77" s="4" t="s">
        <v>59</v>
      </c>
      <c r="D77" s="4" t="s">
        <v>25</v>
      </c>
      <c r="E77" s="4" t="s">
        <v>25</v>
      </c>
      <c r="F77" s="4" t="s">
        <v>25</v>
      </c>
      <c r="G77" s="4" t="s">
        <v>64</v>
      </c>
      <c r="H77" s="4" t="s">
        <v>25</v>
      </c>
      <c r="I77" s="5">
        <v>44409</v>
      </c>
      <c r="J77" s="6">
        <v>280</v>
      </c>
      <c r="K77" s="6">
        <v>140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61</v>
      </c>
      <c r="S77" s="4">
        <v>12</v>
      </c>
      <c r="T77" s="4">
        <v>0</v>
      </c>
      <c r="U77" s="4">
        <v>0</v>
      </c>
      <c r="V77" s="6">
        <f>IF(ISERROR(VLOOKUP($S$77,'TAR FIN'!$A$1:$O$86,15,0)),0,VLOOKUP($S$77,'TAR FIN'!$A$1:$O$86,15,0))</f>
        <v>8.14</v>
      </c>
      <c r="W77" s="6">
        <f>IF(ISERROR(VLOOKUP($T$77,'TAR FIN'!$A$1:$O$86,15,0)),0,VLOOKUP($T$77,'TAR FIN'!$A$1:$O$86,15,0))</f>
        <v>0</v>
      </c>
      <c r="X77" s="6">
        <f>IF(ISERROR(VLOOKUP($U$77,'TAR FIN'!$A$1:$O$86,15,0)),0,VLOOKUP($U$77,'TAR FIN'!$A$1:$O$86,15,0))</f>
        <v>0</v>
      </c>
      <c r="Y77" s="6">
        <f ca="1">('TUSD BE'!$AM$10+'TUSD BF'!$AM$10+'TUSD CVA'!$AM$10)*1</f>
        <v>5.4509137424633414</v>
      </c>
      <c r="Z77" s="6"/>
      <c r="AA77" s="6"/>
      <c r="AB77" s="6">
        <f t="shared" si="6"/>
        <v>1139.6000000000001</v>
      </c>
      <c r="AC77" s="6">
        <f t="shared" si="7"/>
        <v>0</v>
      </c>
      <c r="AD77" s="6">
        <f t="shared" ca="1" si="8"/>
        <v>763.1279239448678</v>
      </c>
      <c r="AE77" s="6">
        <f t="shared" si="9"/>
        <v>0</v>
      </c>
      <c r="AF77" s="4" t="s">
        <v>724</v>
      </c>
    </row>
    <row r="78" spans="1:32" ht="11.25" customHeight="1" x14ac:dyDescent="0.25">
      <c r="A78" s="4" t="s">
        <v>21</v>
      </c>
      <c r="B78" s="4" t="s">
        <v>38</v>
      </c>
      <c r="C78" s="4" t="s">
        <v>59</v>
      </c>
      <c r="D78" s="4" t="s">
        <v>25</v>
      </c>
      <c r="E78" s="4" t="s">
        <v>25</v>
      </c>
      <c r="F78" s="4" t="s">
        <v>25</v>
      </c>
      <c r="G78" s="4" t="s">
        <v>60</v>
      </c>
      <c r="H78" s="4" t="s">
        <v>25</v>
      </c>
      <c r="I78" s="5">
        <v>44440</v>
      </c>
      <c r="J78" s="6">
        <v>1000</v>
      </c>
      <c r="K78" s="6">
        <v>500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61</v>
      </c>
      <c r="R78" s="4">
        <v>797</v>
      </c>
      <c r="S78" s="4">
        <v>12</v>
      </c>
      <c r="T78" s="4">
        <v>0</v>
      </c>
      <c r="U78" s="4">
        <v>0</v>
      </c>
      <c r="V78" s="6">
        <f>IF(ISERROR(VLOOKUP($S$78,'TAR FIN'!$A$1:$O$86,15,0)),0,VLOOKUP($S$78,'TAR FIN'!$A$1:$O$86,15,0))</f>
        <v>8.14</v>
      </c>
      <c r="W78" s="6">
        <f>IF(ISERROR(VLOOKUP($T$78,'TAR FIN'!$A$1:$O$86,15,0)),0,VLOOKUP($T$78,'TAR FIN'!$A$1:$O$86,15,0))</f>
        <v>0</v>
      </c>
      <c r="X78" s="6">
        <f>IF(ISERROR(VLOOKUP($U$78,'TAR FIN'!$A$1:$O$86,15,0)),0,VLOOKUP($U$78,'TAR FIN'!$A$1:$O$86,15,0))</f>
        <v>0</v>
      </c>
      <c r="Y78" s="6">
        <f ca="1">('TUSD BE'!$AM$10+'TUSD BF'!$AM$10+'TUSD CVA'!$AM$10)*1</f>
        <v>5.4509137424633414</v>
      </c>
      <c r="Z78" s="6"/>
      <c r="AA78" s="6"/>
      <c r="AB78" s="6">
        <f t="shared" si="6"/>
        <v>4070.0000000000005</v>
      </c>
      <c r="AC78" s="6">
        <f t="shared" si="7"/>
        <v>0</v>
      </c>
      <c r="AD78" s="6">
        <f t="shared" ca="1" si="8"/>
        <v>2725.4568712316709</v>
      </c>
      <c r="AE78" s="6">
        <f t="shared" si="9"/>
        <v>0</v>
      </c>
      <c r="AF78" s="4" t="s">
        <v>724</v>
      </c>
    </row>
    <row r="79" spans="1:32" ht="11.25" customHeight="1" x14ac:dyDescent="0.25">
      <c r="A79" s="4" t="s">
        <v>21</v>
      </c>
      <c r="B79" s="4" t="s">
        <v>38</v>
      </c>
      <c r="C79" s="4" t="s">
        <v>59</v>
      </c>
      <c r="D79" s="4" t="s">
        <v>25</v>
      </c>
      <c r="E79" s="4" t="s">
        <v>25</v>
      </c>
      <c r="F79" s="4" t="s">
        <v>25</v>
      </c>
      <c r="G79" s="4" t="s">
        <v>64</v>
      </c>
      <c r="H79" s="4" t="s">
        <v>25</v>
      </c>
      <c r="I79" s="5">
        <v>44440</v>
      </c>
      <c r="J79" s="6">
        <v>280</v>
      </c>
      <c r="K79" s="6">
        <v>140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61</v>
      </c>
      <c r="S79" s="4">
        <v>12</v>
      </c>
      <c r="T79" s="4">
        <v>0</v>
      </c>
      <c r="U79" s="4">
        <v>0</v>
      </c>
      <c r="V79" s="6">
        <f>IF(ISERROR(VLOOKUP($S$79,'TAR FIN'!$A$1:$O$86,15,0)),0,VLOOKUP($S$79,'TAR FIN'!$A$1:$O$86,15,0))</f>
        <v>8.14</v>
      </c>
      <c r="W79" s="6">
        <f>IF(ISERROR(VLOOKUP($T$79,'TAR FIN'!$A$1:$O$86,15,0)),0,VLOOKUP($T$79,'TAR FIN'!$A$1:$O$86,15,0))</f>
        <v>0</v>
      </c>
      <c r="X79" s="6">
        <f>IF(ISERROR(VLOOKUP($U$79,'TAR FIN'!$A$1:$O$86,15,0)),0,VLOOKUP($U$79,'TAR FIN'!$A$1:$O$86,15,0))</f>
        <v>0</v>
      </c>
      <c r="Y79" s="6">
        <f ca="1">('TUSD BE'!$AM$10+'TUSD BF'!$AM$10+'TUSD CVA'!$AM$10)*1</f>
        <v>5.4509137424633414</v>
      </c>
      <c r="Z79" s="6"/>
      <c r="AA79" s="6"/>
      <c r="AB79" s="6">
        <f t="shared" si="6"/>
        <v>1139.6000000000001</v>
      </c>
      <c r="AC79" s="6">
        <f t="shared" si="7"/>
        <v>0</v>
      </c>
      <c r="AD79" s="6">
        <f t="shared" ca="1" si="8"/>
        <v>763.1279239448678</v>
      </c>
      <c r="AE79" s="6">
        <f t="shared" si="9"/>
        <v>0</v>
      </c>
      <c r="AF79" s="4" t="s">
        <v>724</v>
      </c>
    </row>
    <row r="80" spans="1:32" ht="11.25" customHeight="1" x14ac:dyDescent="0.25">
      <c r="A80" s="4" t="s">
        <v>21</v>
      </c>
      <c r="B80" s="4" t="s">
        <v>38</v>
      </c>
      <c r="C80" s="4" t="s">
        <v>59</v>
      </c>
      <c r="D80" s="4" t="s">
        <v>25</v>
      </c>
      <c r="E80" s="4" t="s">
        <v>25</v>
      </c>
      <c r="F80" s="4" t="s">
        <v>25</v>
      </c>
      <c r="G80" s="4" t="s">
        <v>60</v>
      </c>
      <c r="H80" s="4" t="s">
        <v>25</v>
      </c>
      <c r="I80" s="5">
        <v>44470</v>
      </c>
      <c r="J80" s="6">
        <v>1000</v>
      </c>
      <c r="K80" s="6">
        <v>500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61</v>
      </c>
      <c r="R80" s="4">
        <v>797</v>
      </c>
      <c r="S80" s="4">
        <v>12</v>
      </c>
      <c r="T80" s="4">
        <v>0</v>
      </c>
      <c r="U80" s="4">
        <v>0</v>
      </c>
      <c r="V80" s="6">
        <f>IF(ISERROR(VLOOKUP($S$80,'TAR FIN'!$A$1:$O$86,15,0)),0,VLOOKUP($S$80,'TAR FIN'!$A$1:$O$86,15,0))</f>
        <v>8.14</v>
      </c>
      <c r="W80" s="6">
        <f>IF(ISERROR(VLOOKUP($T$80,'TAR FIN'!$A$1:$O$86,15,0)),0,VLOOKUP($T$80,'TAR FIN'!$A$1:$O$86,15,0))</f>
        <v>0</v>
      </c>
      <c r="X80" s="6">
        <f>IF(ISERROR(VLOOKUP($U$80,'TAR FIN'!$A$1:$O$86,15,0)),0,VLOOKUP($U$80,'TAR FIN'!$A$1:$O$86,15,0))</f>
        <v>0</v>
      </c>
      <c r="Y80" s="6">
        <f ca="1">('TUSD BE'!$AM$10+'TUSD BF'!$AM$10+'TUSD CVA'!$AM$10)*1</f>
        <v>5.4509137424633414</v>
      </c>
      <c r="Z80" s="6"/>
      <c r="AA80" s="6"/>
      <c r="AB80" s="6">
        <f t="shared" si="6"/>
        <v>4070.0000000000005</v>
      </c>
      <c r="AC80" s="6">
        <f t="shared" si="7"/>
        <v>0</v>
      </c>
      <c r="AD80" s="6">
        <f t="shared" ca="1" si="8"/>
        <v>2725.4568712316709</v>
      </c>
      <c r="AE80" s="6">
        <f t="shared" si="9"/>
        <v>0</v>
      </c>
      <c r="AF80" s="4" t="s">
        <v>724</v>
      </c>
    </row>
    <row r="81" spans="1:32" ht="11.25" customHeight="1" x14ac:dyDescent="0.25">
      <c r="A81" s="4" t="s">
        <v>21</v>
      </c>
      <c r="B81" s="4" t="s">
        <v>38</v>
      </c>
      <c r="C81" s="4" t="s">
        <v>59</v>
      </c>
      <c r="D81" s="4" t="s">
        <v>25</v>
      </c>
      <c r="E81" s="4" t="s">
        <v>25</v>
      </c>
      <c r="F81" s="4" t="s">
        <v>25</v>
      </c>
      <c r="G81" s="4" t="s">
        <v>64</v>
      </c>
      <c r="H81" s="4" t="s">
        <v>25</v>
      </c>
      <c r="I81" s="5">
        <v>44470</v>
      </c>
      <c r="J81" s="6">
        <v>280</v>
      </c>
      <c r="K81" s="6">
        <v>140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61</v>
      </c>
      <c r="S81" s="4">
        <v>12</v>
      </c>
      <c r="T81" s="4">
        <v>0</v>
      </c>
      <c r="U81" s="4">
        <v>0</v>
      </c>
      <c r="V81" s="6">
        <f>IF(ISERROR(VLOOKUP($S$81,'TAR FIN'!$A$1:$O$86,15,0)),0,VLOOKUP($S$81,'TAR FIN'!$A$1:$O$86,15,0))</f>
        <v>8.14</v>
      </c>
      <c r="W81" s="6">
        <f>IF(ISERROR(VLOOKUP($T$81,'TAR FIN'!$A$1:$O$86,15,0)),0,VLOOKUP($T$81,'TAR FIN'!$A$1:$O$86,15,0))</f>
        <v>0</v>
      </c>
      <c r="X81" s="6">
        <f>IF(ISERROR(VLOOKUP($U$81,'TAR FIN'!$A$1:$O$86,15,0)),0,VLOOKUP($U$81,'TAR FIN'!$A$1:$O$86,15,0))</f>
        <v>0</v>
      </c>
      <c r="Y81" s="6">
        <f ca="1">('TUSD BE'!$AM$10+'TUSD BF'!$AM$10+'TUSD CVA'!$AM$10)*1</f>
        <v>5.4509137424633414</v>
      </c>
      <c r="Z81" s="6"/>
      <c r="AA81" s="6"/>
      <c r="AB81" s="6">
        <f t="shared" si="6"/>
        <v>1139.6000000000001</v>
      </c>
      <c r="AC81" s="6">
        <f t="shared" si="7"/>
        <v>0</v>
      </c>
      <c r="AD81" s="6">
        <f t="shared" ca="1" si="8"/>
        <v>763.1279239448678</v>
      </c>
      <c r="AE81" s="6">
        <f t="shared" si="9"/>
        <v>0</v>
      </c>
      <c r="AF81" s="4" t="s">
        <v>724</v>
      </c>
    </row>
    <row r="82" spans="1:32" ht="11.25" customHeight="1" x14ac:dyDescent="0.25">
      <c r="A82" s="4" t="s">
        <v>21</v>
      </c>
      <c r="B82" s="4" t="s">
        <v>38</v>
      </c>
      <c r="C82" s="4" t="s">
        <v>59</v>
      </c>
      <c r="D82" s="4" t="s">
        <v>25</v>
      </c>
      <c r="E82" s="4" t="s">
        <v>25</v>
      </c>
      <c r="F82" s="4" t="s">
        <v>25</v>
      </c>
      <c r="G82" s="4" t="s">
        <v>60</v>
      </c>
      <c r="H82" s="4" t="s">
        <v>25</v>
      </c>
      <c r="I82" s="5">
        <v>44501</v>
      </c>
      <c r="J82" s="6">
        <v>1000</v>
      </c>
      <c r="K82" s="6">
        <v>500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61</v>
      </c>
      <c r="R82" s="4">
        <v>797</v>
      </c>
      <c r="S82" s="4">
        <v>12</v>
      </c>
      <c r="T82" s="4">
        <v>0</v>
      </c>
      <c r="U82" s="4">
        <v>0</v>
      </c>
      <c r="V82" s="6">
        <f>IF(ISERROR(VLOOKUP($S$82,'TAR FIN'!$A$1:$O$86,15,0)),0,VLOOKUP($S$82,'TAR FIN'!$A$1:$O$86,15,0))</f>
        <v>8.14</v>
      </c>
      <c r="W82" s="6">
        <f>IF(ISERROR(VLOOKUP($T$82,'TAR FIN'!$A$1:$O$86,15,0)),0,VLOOKUP($T$82,'TAR FIN'!$A$1:$O$86,15,0))</f>
        <v>0</v>
      </c>
      <c r="X82" s="6">
        <f>IF(ISERROR(VLOOKUP($U$82,'TAR FIN'!$A$1:$O$86,15,0)),0,VLOOKUP($U$82,'TAR FIN'!$A$1:$O$86,15,0))</f>
        <v>0</v>
      </c>
      <c r="Y82" s="6">
        <f ca="1">('TUSD BE'!$AM$10+'TUSD BF'!$AM$10+'TUSD CVA'!$AM$10)*1</f>
        <v>5.4509137424633414</v>
      </c>
      <c r="Z82" s="6"/>
      <c r="AA82" s="6"/>
      <c r="AB82" s="6">
        <f t="shared" si="6"/>
        <v>4070.0000000000005</v>
      </c>
      <c r="AC82" s="6">
        <f t="shared" si="7"/>
        <v>0</v>
      </c>
      <c r="AD82" s="6">
        <f t="shared" ca="1" si="8"/>
        <v>2725.4568712316709</v>
      </c>
      <c r="AE82" s="6">
        <f t="shared" si="9"/>
        <v>0</v>
      </c>
      <c r="AF82" s="4" t="s">
        <v>724</v>
      </c>
    </row>
    <row r="83" spans="1:32" ht="11.25" customHeight="1" x14ac:dyDescent="0.25">
      <c r="A83" s="4" t="s">
        <v>21</v>
      </c>
      <c r="B83" s="4" t="s">
        <v>38</v>
      </c>
      <c r="C83" s="4" t="s">
        <v>59</v>
      </c>
      <c r="D83" s="4" t="s">
        <v>25</v>
      </c>
      <c r="E83" s="4" t="s">
        <v>25</v>
      </c>
      <c r="F83" s="4" t="s">
        <v>25</v>
      </c>
      <c r="G83" s="4" t="s">
        <v>64</v>
      </c>
      <c r="H83" s="4" t="s">
        <v>25</v>
      </c>
      <c r="I83" s="5">
        <v>44501</v>
      </c>
      <c r="J83" s="6">
        <v>280</v>
      </c>
      <c r="K83" s="6">
        <v>140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61</v>
      </c>
      <c r="S83" s="4">
        <v>12</v>
      </c>
      <c r="T83" s="4">
        <v>0</v>
      </c>
      <c r="U83" s="4">
        <v>0</v>
      </c>
      <c r="V83" s="6">
        <f>IF(ISERROR(VLOOKUP($S$83,'TAR FIN'!$A$1:$O$86,15,0)),0,VLOOKUP($S$83,'TAR FIN'!$A$1:$O$86,15,0))</f>
        <v>8.14</v>
      </c>
      <c r="W83" s="6">
        <f>IF(ISERROR(VLOOKUP($T$83,'TAR FIN'!$A$1:$O$86,15,0)),0,VLOOKUP($T$83,'TAR FIN'!$A$1:$O$86,15,0))</f>
        <v>0</v>
      </c>
      <c r="X83" s="6">
        <f>IF(ISERROR(VLOOKUP($U$83,'TAR FIN'!$A$1:$O$86,15,0)),0,VLOOKUP($U$83,'TAR FIN'!$A$1:$O$86,15,0))</f>
        <v>0</v>
      </c>
      <c r="Y83" s="6">
        <f ca="1">('TUSD BE'!$AM$10+'TUSD BF'!$AM$10+'TUSD CVA'!$AM$10)*1</f>
        <v>5.4509137424633414</v>
      </c>
      <c r="Z83" s="6"/>
      <c r="AA83" s="6"/>
      <c r="AB83" s="6">
        <f t="shared" si="6"/>
        <v>1139.6000000000001</v>
      </c>
      <c r="AC83" s="6">
        <f t="shared" si="7"/>
        <v>0</v>
      </c>
      <c r="AD83" s="6">
        <f t="shared" ca="1" si="8"/>
        <v>763.1279239448678</v>
      </c>
      <c r="AE83" s="6">
        <f t="shared" si="9"/>
        <v>0</v>
      </c>
      <c r="AF83" s="4" t="s">
        <v>724</v>
      </c>
    </row>
    <row r="84" spans="1:32" ht="11.25" customHeight="1" x14ac:dyDescent="0.25">
      <c r="A84" s="4" t="s">
        <v>21</v>
      </c>
      <c r="B84" s="4" t="s">
        <v>38</v>
      </c>
      <c r="C84" s="4" t="s">
        <v>59</v>
      </c>
      <c r="D84" s="4" t="s">
        <v>25</v>
      </c>
      <c r="E84" s="4" t="s">
        <v>25</v>
      </c>
      <c r="F84" s="4" t="s">
        <v>25</v>
      </c>
      <c r="G84" s="4" t="s">
        <v>60</v>
      </c>
      <c r="H84" s="4" t="s">
        <v>25</v>
      </c>
      <c r="I84" s="5">
        <v>44531</v>
      </c>
      <c r="J84" s="6">
        <v>1000</v>
      </c>
      <c r="K84" s="6">
        <v>500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61</v>
      </c>
      <c r="R84" s="4">
        <v>797</v>
      </c>
      <c r="S84" s="4">
        <v>12</v>
      </c>
      <c r="T84" s="4">
        <v>0</v>
      </c>
      <c r="U84" s="4">
        <v>0</v>
      </c>
      <c r="V84" s="6">
        <f>IF(ISERROR(VLOOKUP($S$84,'TAR FIN'!$A$1:$O$86,15,0)),0,VLOOKUP($S$84,'TAR FIN'!$A$1:$O$86,15,0))</f>
        <v>8.14</v>
      </c>
      <c r="W84" s="6">
        <f>IF(ISERROR(VLOOKUP($T$84,'TAR FIN'!$A$1:$O$86,15,0)),0,VLOOKUP($T$84,'TAR FIN'!$A$1:$O$86,15,0))</f>
        <v>0</v>
      </c>
      <c r="X84" s="6">
        <f>IF(ISERROR(VLOOKUP($U$84,'TAR FIN'!$A$1:$O$86,15,0)),0,VLOOKUP($U$84,'TAR FIN'!$A$1:$O$86,15,0))</f>
        <v>0</v>
      </c>
      <c r="Y84" s="6">
        <f ca="1">('TUSD BE'!$AM$10+'TUSD BF'!$AM$10+'TUSD CVA'!$AM$10)*1</f>
        <v>5.4509137424633414</v>
      </c>
      <c r="Z84" s="6"/>
      <c r="AA84" s="6"/>
      <c r="AB84" s="6">
        <f t="shared" si="6"/>
        <v>4070.0000000000005</v>
      </c>
      <c r="AC84" s="6">
        <f t="shared" si="7"/>
        <v>0</v>
      </c>
      <c r="AD84" s="6">
        <f t="shared" ca="1" si="8"/>
        <v>2725.4568712316709</v>
      </c>
      <c r="AE84" s="6">
        <f t="shared" si="9"/>
        <v>0</v>
      </c>
      <c r="AF84" s="4" t="s">
        <v>724</v>
      </c>
    </row>
    <row r="85" spans="1:32" ht="11.25" customHeight="1" x14ac:dyDescent="0.25">
      <c r="A85" s="4" t="s">
        <v>21</v>
      </c>
      <c r="B85" s="4" t="s">
        <v>38</v>
      </c>
      <c r="C85" s="4" t="s">
        <v>59</v>
      </c>
      <c r="D85" s="4" t="s">
        <v>25</v>
      </c>
      <c r="E85" s="4" t="s">
        <v>25</v>
      </c>
      <c r="F85" s="4" t="s">
        <v>25</v>
      </c>
      <c r="G85" s="4" t="s">
        <v>64</v>
      </c>
      <c r="H85" s="4" t="s">
        <v>25</v>
      </c>
      <c r="I85" s="5">
        <v>44531</v>
      </c>
      <c r="J85" s="6">
        <v>280</v>
      </c>
      <c r="K85" s="6">
        <v>140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61</v>
      </c>
      <c r="S85" s="4">
        <v>12</v>
      </c>
      <c r="T85" s="4">
        <v>0</v>
      </c>
      <c r="U85" s="4">
        <v>0</v>
      </c>
      <c r="V85" s="6">
        <f>IF(ISERROR(VLOOKUP($S$85,'TAR FIN'!$A$1:$O$86,15,0)),0,VLOOKUP($S$85,'TAR FIN'!$A$1:$O$86,15,0))</f>
        <v>8.14</v>
      </c>
      <c r="W85" s="6">
        <f>IF(ISERROR(VLOOKUP($T$85,'TAR FIN'!$A$1:$O$86,15,0)),0,VLOOKUP($T$85,'TAR FIN'!$A$1:$O$86,15,0))</f>
        <v>0</v>
      </c>
      <c r="X85" s="6">
        <f>IF(ISERROR(VLOOKUP($U$85,'TAR FIN'!$A$1:$O$86,15,0)),0,VLOOKUP($U$85,'TAR FIN'!$A$1:$O$86,15,0))</f>
        <v>0</v>
      </c>
      <c r="Y85" s="6">
        <f ca="1">('TUSD BE'!$AM$10+'TUSD BF'!$AM$10+'TUSD CVA'!$AM$10)*1</f>
        <v>5.4509137424633414</v>
      </c>
      <c r="Z85" s="6"/>
      <c r="AA85" s="6"/>
      <c r="AB85" s="6">
        <f t="shared" si="6"/>
        <v>1139.6000000000001</v>
      </c>
      <c r="AC85" s="6">
        <f t="shared" si="7"/>
        <v>0</v>
      </c>
      <c r="AD85" s="6">
        <f t="shared" ca="1" si="8"/>
        <v>763.1279239448678</v>
      </c>
      <c r="AE85" s="6">
        <f t="shared" si="9"/>
        <v>0</v>
      </c>
      <c r="AF85" s="4" t="s">
        <v>724</v>
      </c>
    </row>
    <row r="86" spans="1:32" ht="11.25" customHeight="1" x14ac:dyDescent="0.25">
      <c r="A86" s="4" t="s">
        <v>21</v>
      </c>
      <c r="B86" s="4" t="s">
        <v>38</v>
      </c>
      <c r="C86" s="4" t="s">
        <v>59</v>
      </c>
      <c r="D86" s="4" t="s">
        <v>25</v>
      </c>
      <c r="E86" s="4" t="s">
        <v>25</v>
      </c>
      <c r="F86" s="4" t="s">
        <v>25</v>
      </c>
      <c r="G86" s="4" t="s">
        <v>60</v>
      </c>
      <c r="H86" s="4" t="s">
        <v>25</v>
      </c>
      <c r="I86" s="5">
        <v>44562</v>
      </c>
      <c r="J86" s="6">
        <v>1000</v>
      </c>
      <c r="K86" s="6">
        <v>500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61</v>
      </c>
      <c r="R86" s="4">
        <v>797</v>
      </c>
      <c r="S86" s="4">
        <v>12</v>
      </c>
      <c r="T86" s="4">
        <v>0</v>
      </c>
      <c r="U86" s="4">
        <v>0</v>
      </c>
      <c r="V86" s="6">
        <f>IF(ISERROR(VLOOKUP($S$86,'TAR FIN'!$A$1:$O$86,15,0)),0,VLOOKUP($S$86,'TAR FIN'!$A$1:$O$86,15,0))</f>
        <v>8.14</v>
      </c>
      <c r="W86" s="6">
        <f>IF(ISERROR(VLOOKUP($T$86,'TAR FIN'!$A$1:$O$86,15,0)),0,VLOOKUP($T$86,'TAR FIN'!$A$1:$O$86,15,0))</f>
        <v>0</v>
      </c>
      <c r="X86" s="6">
        <f>IF(ISERROR(VLOOKUP($U$86,'TAR FIN'!$A$1:$O$86,15,0)),0,VLOOKUP($U$86,'TAR FIN'!$A$1:$O$86,15,0))</f>
        <v>0</v>
      </c>
      <c r="Y86" s="6">
        <f ca="1">('TUSD BE'!$AM$10+'TUSD BF'!$AM$10+'TUSD CVA'!$AM$10)*1</f>
        <v>5.4509137424633414</v>
      </c>
      <c r="Z86" s="6"/>
      <c r="AA86" s="6"/>
      <c r="AB86" s="6">
        <f t="shared" si="6"/>
        <v>4070.0000000000005</v>
      </c>
      <c r="AC86" s="6">
        <f t="shared" si="7"/>
        <v>0</v>
      </c>
      <c r="AD86" s="6">
        <f t="shared" ca="1" si="8"/>
        <v>2725.4568712316709</v>
      </c>
      <c r="AE86" s="6">
        <f t="shared" si="9"/>
        <v>0</v>
      </c>
      <c r="AF86" s="4" t="s">
        <v>724</v>
      </c>
    </row>
    <row r="87" spans="1:32" ht="11.25" customHeight="1" x14ac:dyDescent="0.25">
      <c r="A87" s="4" t="s">
        <v>21</v>
      </c>
      <c r="B87" s="4" t="s">
        <v>38</v>
      </c>
      <c r="C87" s="4" t="s">
        <v>59</v>
      </c>
      <c r="D87" s="4" t="s">
        <v>25</v>
      </c>
      <c r="E87" s="4" t="s">
        <v>25</v>
      </c>
      <c r="F87" s="4" t="s">
        <v>25</v>
      </c>
      <c r="G87" s="4" t="s">
        <v>64</v>
      </c>
      <c r="H87" s="4" t="s">
        <v>25</v>
      </c>
      <c r="I87" s="5">
        <v>44562</v>
      </c>
      <c r="J87" s="6">
        <v>280</v>
      </c>
      <c r="K87" s="6">
        <v>140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61</v>
      </c>
      <c r="S87" s="4">
        <v>12</v>
      </c>
      <c r="T87" s="4">
        <v>0</v>
      </c>
      <c r="U87" s="4">
        <v>0</v>
      </c>
      <c r="V87" s="6">
        <f>IF(ISERROR(VLOOKUP($S$87,'TAR FIN'!$A$1:$O$86,15,0)),0,VLOOKUP($S$87,'TAR FIN'!$A$1:$O$86,15,0))</f>
        <v>8.14</v>
      </c>
      <c r="W87" s="6">
        <f>IF(ISERROR(VLOOKUP($T$87,'TAR FIN'!$A$1:$O$86,15,0)),0,VLOOKUP($T$87,'TAR FIN'!$A$1:$O$86,15,0))</f>
        <v>0</v>
      </c>
      <c r="X87" s="6">
        <f>IF(ISERROR(VLOOKUP($U$87,'TAR FIN'!$A$1:$O$86,15,0)),0,VLOOKUP($U$87,'TAR FIN'!$A$1:$O$86,15,0))</f>
        <v>0</v>
      </c>
      <c r="Y87" s="6">
        <f ca="1">('TUSD BE'!$AM$10+'TUSD BF'!$AM$10+'TUSD CVA'!$AM$10)*1</f>
        <v>5.4509137424633414</v>
      </c>
      <c r="Z87" s="6"/>
      <c r="AA87" s="6"/>
      <c r="AB87" s="6">
        <f t="shared" si="6"/>
        <v>1139.6000000000001</v>
      </c>
      <c r="AC87" s="6">
        <f t="shared" si="7"/>
        <v>0</v>
      </c>
      <c r="AD87" s="6">
        <f t="shared" ca="1" si="8"/>
        <v>763.1279239448678</v>
      </c>
      <c r="AE87" s="6">
        <f t="shared" si="9"/>
        <v>0</v>
      </c>
      <c r="AF87" s="4" t="s">
        <v>724</v>
      </c>
    </row>
    <row r="88" spans="1:32" ht="11.25" customHeight="1" x14ac:dyDescent="0.25">
      <c r="A88" s="4" t="s">
        <v>21</v>
      </c>
      <c r="B88" s="4" t="s">
        <v>38</v>
      </c>
      <c r="C88" s="4" t="s">
        <v>59</v>
      </c>
      <c r="D88" s="4" t="s">
        <v>25</v>
      </c>
      <c r="E88" s="4" t="s">
        <v>25</v>
      </c>
      <c r="F88" s="4" t="s">
        <v>25</v>
      </c>
      <c r="G88" s="4" t="s">
        <v>60</v>
      </c>
      <c r="H88" s="4" t="s">
        <v>25</v>
      </c>
      <c r="I88" s="5">
        <v>44593</v>
      </c>
      <c r="J88" s="6">
        <v>1000</v>
      </c>
      <c r="K88" s="6">
        <v>500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61</v>
      </c>
      <c r="R88" s="4">
        <v>797</v>
      </c>
      <c r="S88" s="4">
        <v>12</v>
      </c>
      <c r="T88" s="4">
        <v>0</v>
      </c>
      <c r="U88" s="4">
        <v>0</v>
      </c>
      <c r="V88" s="6">
        <f>IF(ISERROR(VLOOKUP($S$88,'TAR FIN'!$A$1:$O$86,15,0)),0,VLOOKUP($S$88,'TAR FIN'!$A$1:$O$86,15,0))</f>
        <v>8.14</v>
      </c>
      <c r="W88" s="6">
        <f>IF(ISERROR(VLOOKUP($T$88,'TAR FIN'!$A$1:$O$86,15,0)),0,VLOOKUP($T$88,'TAR FIN'!$A$1:$O$86,15,0))</f>
        <v>0</v>
      </c>
      <c r="X88" s="6">
        <f>IF(ISERROR(VLOOKUP($U$88,'TAR FIN'!$A$1:$O$86,15,0)),0,VLOOKUP($U$88,'TAR FIN'!$A$1:$O$86,15,0))</f>
        <v>0</v>
      </c>
      <c r="Y88" s="6">
        <f ca="1">('TUSD BE'!$AM$10+'TUSD BF'!$AM$10+'TUSD CVA'!$AM$10)*1</f>
        <v>5.4509137424633414</v>
      </c>
      <c r="Z88" s="6"/>
      <c r="AA88" s="6"/>
      <c r="AB88" s="6">
        <f t="shared" si="6"/>
        <v>4070.0000000000005</v>
      </c>
      <c r="AC88" s="6">
        <f t="shared" si="7"/>
        <v>0</v>
      </c>
      <c r="AD88" s="6">
        <f t="shared" ca="1" si="8"/>
        <v>2725.4568712316709</v>
      </c>
      <c r="AE88" s="6">
        <f t="shared" si="9"/>
        <v>0</v>
      </c>
      <c r="AF88" s="4" t="s">
        <v>724</v>
      </c>
    </row>
    <row r="89" spans="1:32" ht="11.25" customHeight="1" x14ac:dyDescent="0.25">
      <c r="A89" s="4" t="s">
        <v>21</v>
      </c>
      <c r="B89" s="4" t="s">
        <v>38</v>
      </c>
      <c r="C89" s="4" t="s">
        <v>59</v>
      </c>
      <c r="D89" s="4" t="s">
        <v>25</v>
      </c>
      <c r="E89" s="4" t="s">
        <v>25</v>
      </c>
      <c r="F89" s="4" t="s">
        <v>25</v>
      </c>
      <c r="G89" s="4" t="s">
        <v>64</v>
      </c>
      <c r="H89" s="4" t="s">
        <v>25</v>
      </c>
      <c r="I89" s="5">
        <v>44593</v>
      </c>
      <c r="J89" s="6">
        <v>280</v>
      </c>
      <c r="K89" s="6">
        <v>140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61</v>
      </c>
      <c r="S89" s="4">
        <v>12</v>
      </c>
      <c r="T89" s="4">
        <v>0</v>
      </c>
      <c r="U89" s="4">
        <v>0</v>
      </c>
      <c r="V89" s="6">
        <f>IF(ISERROR(VLOOKUP($S$89,'TAR FIN'!$A$1:$O$86,15,0)),0,VLOOKUP($S$89,'TAR FIN'!$A$1:$O$86,15,0))</f>
        <v>8.14</v>
      </c>
      <c r="W89" s="6">
        <f>IF(ISERROR(VLOOKUP($T$89,'TAR FIN'!$A$1:$O$86,15,0)),0,VLOOKUP($T$89,'TAR FIN'!$A$1:$O$86,15,0))</f>
        <v>0</v>
      </c>
      <c r="X89" s="6">
        <f>IF(ISERROR(VLOOKUP($U$89,'TAR FIN'!$A$1:$O$86,15,0)),0,VLOOKUP($U$89,'TAR FIN'!$A$1:$O$86,15,0))</f>
        <v>0</v>
      </c>
      <c r="Y89" s="6">
        <f ca="1">('TUSD BE'!$AM$10+'TUSD BF'!$AM$10+'TUSD CVA'!$AM$10)*1</f>
        <v>5.4509137424633414</v>
      </c>
      <c r="Z89" s="6"/>
      <c r="AA89" s="6"/>
      <c r="AB89" s="6">
        <f t="shared" si="6"/>
        <v>1139.6000000000001</v>
      </c>
      <c r="AC89" s="6">
        <f t="shared" si="7"/>
        <v>0</v>
      </c>
      <c r="AD89" s="6">
        <f t="shared" ca="1" si="8"/>
        <v>763.1279239448678</v>
      </c>
      <c r="AE89" s="6">
        <f t="shared" si="9"/>
        <v>0</v>
      </c>
      <c r="AF89" s="4" t="s">
        <v>724</v>
      </c>
    </row>
    <row r="90" spans="1:32" ht="11.25" customHeight="1" x14ac:dyDescent="0.25">
      <c r="A90" s="4" t="s">
        <v>21</v>
      </c>
      <c r="B90" s="4" t="s">
        <v>38</v>
      </c>
      <c r="C90" s="4" t="s">
        <v>59</v>
      </c>
      <c r="D90" s="4" t="s">
        <v>25</v>
      </c>
      <c r="E90" s="4" t="s">
        <v>25</v>
      </c>
      <c r="F90" s="4" t="s">
        <v>25</v>
      </c>
      <c r="G90" s="4" t="s">
        <v>60</v>
      </c>
      <c r="H90" s="4" t="s">
        <v>25</v>
      </c>
      <c r="I90" s="5">
        <v>44621</v>
      </c>
      <c r="J90" s="6">
        <v>1000</v>
      </c>
      <c r="K90" s="6">
        <v>500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61</v>
      </c>
      <c r="R90" s="4">
        <v>797</v>
      </c>
      <c r="S90" s="4">
        <v>12</v>
      </c>
      <c r="T90" s="4">
        <v>0</v>
      </c>
      <c r="U90" s="4">
        <v>0</v>
      </c>
      <c r="V90" s="6">
        <f>IF(ISERROR(VLOOKUP($S$90,'TAR FIN'!$A$1:$O$86,15,0)),0,VLOOKUP($S$90,'TAR FIN'!$A$1:$O$86,15,0))</f>
        <v>8.14</v>
      </c>
      <c r="W90" s="6">
        <f>IF(ISERROR(VLOOKUP($T$90,'TAR FIN'!$A$1:$O$86,15,0)),0,VLOOKUP($T$90,'TAR FIN'!$A$1:$O$86,15,0))</f>
        <v>0</v>
      </c>
      <c r="X90" s="6">
        <f>IF(ISERROR(VLOOKUP($U$90,'TAR FIN'!$A$1:$O$86,15,0)),0,VLOOKUP($U$90,'TAR FIN'!$A$1:$O$86,15,0))</f>
        <v>0</v>
      </c>
      <c r="Y90" s="6">
        <f ca="1">('TUSD BE'!$AM$10+'TUSD BF'!$AM$10+'TUSD CVA'!$AM$10)*1</f>
        <v>5.4509137424633414</v>
      </c>
      <c r="Z90" s="6"/>
      <c r="AA90" s="6"/>
      <c r="AB90" s="6">
        <f t="shared" si="6"/>
        <v>4070.0000000000005</v>
      </c>
      <c r="AC90" s="6">
        <f t="shared" si="7"/>
        <v>0</v>
      </c>
      <c r="AD90" s="6">
        <f t="shared" ca="1" si="8"/>
        <v>2725.4568712316709</v>
      </c>
      <c r="AE90" s="6">
        <f t="shared" si="9"/>
        <v>0</v>
      </c>
      <c r="AF90" s="4" t="s">
        <v>724</v>
      </c>
    </row>
    <row r="91" spans="1:32" ht="11.25" customHeight="1" x14ac:dyDescent="0.25">
      <c r="A91" s="4" t="s">
        <v>21</v>
      </c>
      <c r="B91" s="4" t="s">
        <v>38</v>
      </c>
      <c r="C91" s="4" t="s">
        <v>59</v>
      </c>
      <c r="D91" s="4" t="s">
        <v>25</v>
      </c>
      <c r="E91" s="4" t="s">
        <v>25</v>
      </c>
      <c r="F91" s="4" t="s">
        <v>25</v>
      </c>
      <c r="G91" s="4" t="s">
        <v>64</v>
      </c>
      <c r="H91" s="4" t="s">
        <v>25</v>
      </c>
      <c r="I91" s="5">
        <v>44621</v>
      </c>
      <c r="J91" s="6">
        <v>280</v>
      </c>
      <c r="K91" s="6">
        <v>140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61</v>
      </c>
      <c r="S91" s="4">
        <v>12</v>
      </c>
      <c r="T91" s="4">
        <v>0</v>
      </c>
      <c r="U91" s="4">
        <v>0</v>
      </c>
      <c r="V91" s="6">
        <f>IF(ISERROR(VLOOKUP($S$91,'TAR FIN'!$A$1:$O$86,15,0)),0,VLOOKUP($S$91,'TAR FIN'!$A$1:$O$86,15,0))</f>
        <v>8.14</v>
      </c>
      <c r="W91" s="6">
        <f>IF(ISERROR(VLOOKUP($T$91,'TAR FIN'!$A$1:$O$86,15,0)),0,VLOOKUP($T$91,'TAR FIN'!$A$1:$O$86,15,0))</f>
        <v>0</v>
      </c>
      <c r="X91" s="6">
        <f>IF(ISERROR(VLOOKUP($U$91,'TAR FIN'!$A$1:$O$86,15,0)),0,VLOOKUP($U$91,'TAR FIN'!$A$1:$O$86,15,0))</f>
        <v>0</v>
      </c>
      <c r="Y91" s="6">
        <f ca="1">('TUSD BE'!$AM$10+'TUSD BF'!$AM$10+'TUSD CVA'!$AM$10)*1</f>
        <v>5.4509137424633414</v>
      </c>
      <c r="Z91" s="6"/>
      <c r="AA91" s="6"/>
      <c r="AB91" s="6">
        <f t="shared" si="6"/>
        <v>1139.6000000000001</v>
      </c>
      <c r="AC91" s="6">
        <f t="shared" si="7"/>
        <v>0</v>
      </c>
      <c r="AD91" s="6">
        <f t="shared" ca="1" si="8"/>
        <v>763.1279239448678</v>
      </c>
      <c r="AE91" s="6">
        <f t="shared" si="9"/>
        <v>0</v>
      </c>
      <c r="AF91" s="4" t="s">
        <v>724</v>
      </c>
    </row>
    <row r="92" spans="1:32" ht="11.25" customHeight="1" x14ac:dyDescent="0.25">
      <c r="A92" s="4" t="s">
        <v>21</v>
      </c>
      <c r="B92" s="4" t="s">
        <v>38</v>
      </c>
      <c r="C92" s="4" t="s">
        <v>59</v>
      </c>
      <c r="D92" s="4" t="s">
        <v>25</v>
      </c>
      <c r="E92" s="4" t="s">
        <v>25</v>
      </c>
      <c r="F92" s="4" t="s">
        <v>25</v>
      </c>
      <c r="G92" s="4" t="s">
        <v>60</v>
      </c>
      <c r="H92" s="4" t="s">
        <v>25</v>
      </c>
      <c r="I92" s="5">
        <v>44652</v>
      </c>
      <c r="J92" s="6">
        <v>1000</v>
      </c>
      <c r="K92" s="6">
        <v>500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61</v>
      </c>
      <c r="R92" s="4">
        <v>797</v>
      </c>
      <c r="S92" s="4">
        <v>12</v>
      </c>
      <c r="T92" s="4">
        <v>0</v>
      </c>
      <c r="U92" s="4">
        <v>0</v>
      </c>
      <c r="V92" s="6">
        <f>IF(ISERROR(VLOOKUP($S$92,'TAR FIN'!$A$1:$O$86,15,0)),0,VLOOKUP($S$92,'TAR FIN'!$A$1:$O$86,15,0))</f>
        <v>8.14</v>
      </c>
      <c r="W92" s="6">
        <f>IF(ISERROR(VLOOKUP($T$92,'TAR FIN'!$A$1:$O$86,15,0)),0,VLOOKUP($T$92,'TAR FIN'!$A$1:$O$86,15,0))</f>
        <v>0</v>
      </c>
      <c r="X92" s="6">
        <f>IF(ISERROR(VLOOKUP($U$92,'TAR FIN'!$A$1:$O$86,15,0)),0,VLOOKUP($U$92,'TAR FIN'!$A$1:$O$86,15,0))</f>
        <v>0</v>
      </c>
      <c r="Y92" s="6">
        <f ca="1">('TUSD BE'!$AM$10+'TUSD BF'!$AM$10+'TUSD CVA'!$AM$10)*1</f>
        <v>5.4509137424633414</v>
      </c>
      <c r="Z92" s="6"/>
      <c r="AA92" s="6"/>
      <c r="AB92" s="6">
        <f t="shared" si="6"/>
        <v>4070.0000000000005</v>
      </c>
      <c r="AC92" s="6">
        <f t="shared" si="7"/>
        <v>0</v>
      </c>
      <c r="AD92" s="6">
        <f t="shared" ca="1" si="8"/>
        <v>2725.4568712316709</v>
      </c>
      <c r="AE92" s="6">
        <f t="shared" si="9"/>
        <v>0</v>
      </c>
      <c r="AF92" s="4" t="s">
        <v>724</v>
      </c>
    </row>
    <row r="93" spans="1:32" ht="11.25" customHeight="1" x14ac:dyDescent="0.25">
      <c r="A93" s="4" t="s">
        <v>21</v>
      </c>
      <c r="B93" s="4" t="s">
        <v>38</v>
      </c>
      <c r="C93" s="4" t="s">
        <v>59</v>
      </c>
      <c r="D93" s="4" t="s">
        <v>25</v>
      </c>
      <c r="E93" s="4" t="s">
        <v>25</v>
      </c>
      <c r="F93" s="4" t="s">
        <v>25</v>
      </c>
      <c r="G93" s="4" t="s">
        <v>64</v>
      </c>
      <c r="H93" s="4" t="s">
        <v>25</v>
      </c>
      <c r="I93" s="5">
        <v>44652</v>
      </c>
      <c r="J93" s="6">
        <v>280</v>
      </c>
      <c r="K93" s="6">
        <v>140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61</v>
      </c>
      <c r="S93" s="4">
        <v>12</v>
      </c>
      <c r="T93" s="4">
        <v>0</v>
      </c>
      <c r="U93" s="4">
        <v>0</v>
      </c>
      <c r="V93" s="6">
        <f>IF(ISERROR(VLOOKUP($S$93,'TAR FIN'!$A$1:$O$86,15,0)),0,VLOOKUP($S$93,'TAR FIN'!$A$1:$O$86,15,0))</f>
        <v>8.14</v>
      </c>
      <c r="W93" s="6">
        <f>IF(ISERROR(VLOOKUP($T$93,'TAR FIN'!$A$1:$O$86,15,0)),0,VLOOKUP($T$93,'TAR FIN'!$A$1:$O$86,15,0))</f>
        <v>0</v>
      </c>
      <c r="X93" s="6">
        <f>IF(ISERROR(VLOOKUP($U$93,'TAR FIN'!$A$1:$O$86,15,0)),0,VLOOKUP($U$93,'TAR FIN'!$A$1:$O$86,15,0))</f>
        <v>0</v>
      </c>
      <c r="Y93" s="6">
        <f ca="1">('TUSD BE'!$AM$10+'TUSD BF'!$AM$10+'TUSD CVA'!$AM$10)*1</f>
        <v>5.4509137424633414</v>
      </c>
      <c r="Z93" s="6"/>
      <c r="AA93" s="6"/>
      <c r="AB93" s="6">
        <f t="shared" si="6"/>
        <v>1139.6000000000001</v>
      </c>
      <c r="AC93" s="6">
        <f t="shared" si="7"/>
        <v>0</v>
      </c>
      <c r="AD93" s="6">
        <f t="shared" ca="1" si="8"/>
        <v>763.1279239448678</v>
      </c>
      <c r="AE93" s="6">
        <f t="shared" si="9"/>
        <v>0</v>
      </c>
      <c r="AF93" s="4" t="s">
        <v>724</v>
      </c>
    </row>
    <row r="94" spans="1:32" ht="11.25" customHeight="1" x14ac:dyDescent="0.25">
      <c r="A94" s="4" t="s">
        <v>21</v>
      </c>
      <c r="B94" s="4" t="s">
        <v>38</v>
      </c>
      <c r="C94" s="4" t="s">
        <v>59</v>
      </c>
      <c r="D94" s="4" t="s">
        <v>25</v>
      </c>
      <c r="E94" s="4" t="s">
        <v>25</v>
      </c>
      <c r="F94" s="4" t="s">
        <v>25</v>
      </c>
      <c r="G94" s="4" t="s">
        <v>60</v>
      </c>
      <c r="H94" s="4" t="s">
        <v>25</v>
      </c>
      <c r="I94" s="5">
        <v>44682</v>
      </c>
      <c r="J94" s="6">
        <v>1000</v>
      </c>
      <c r="K94" s="6">
        <v>500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61</v>
      </c>
      <c r="R94" s="4">
        <v>797</v>
      </c>
      <c r="S94" s="4">
        <v>12</v>
      </c>
      <c r="T94" s="4">
        <v>0</v>
      </c>
      <c r="U94" s="4">
        <v>0</v>
      </c>
      <c r="V94" s="6">
        <f>IF(ISERROR(VLOOKUP($S$94,'TAR FIN'!$A$1:$O$86,15,0)),0,VLOOKUP($S$94,'TAR FIN'!$A$1:$O$86,15,0))</f>
        <v>8.14</v>
      </c>
      <c r="W94" s="6">
        <f>IF(ISERROR(VLOOKUP($T$94,'TAR FIN'!$A$1:$O$86,15,0)),0,VLOOKUP($T$94,'TAR FIN'!$A$1:$O$86,15,0))</f>
        <v>0</v>
      </c>
      <c r="X94" s="6">
        <f>IF(ISERROR(VLOOKUP($U$94,'TAR FIN'!$A$1:$O$86,15,0)),0,VLOOKUP($U$94,'TAR FIN'!$A$1:$O$86,15,0))</f>
        <v>0</v>
      </c>
      <c r="Y94" s="6">
        <f ca="1">('TUSD BE'!$AM$10+'TUSD BF'!$AM$10+'TUSD CVA'!$AM$10)*1</f>
        <v>5.4509137424633414</v>
      </c>
      <c r="Z94" s="6"/>
      <c r="AA94" s="6"/>
      <c r="AB94" s="6">
        <f t="shared" si="6"/>
        <v>4070.0000000000005</v>
      </c>
      <c r="AC94" s="6">
        <f t="shared" si="7"/>
        <v>0</v>
      </c>
      <c r="AD94" s="6">
        <f t="shared" ca="1" si="8"/>
        <v>2725.4568712316709</v>
      </c>
      <c r="AE94" s="6">
        <f t="shared" si="9"/>
        <v>0</v>
      </c>
      <c r="AF94" s="4" t="s">
        <v>724</v>
      </c>
    </row>
    <row r="95" spans="1:32" ht="11.25" customHeight="1" x14ac:dyDescent="0.25">
      <c r="A95" s="4" t="s">
        <v>21</v>
      </c>
      <c r="B95" s="4" t="s">
        <v>38</v>
      </c>
      <c r="C95" s="4" t="s">
        <v>59</v>
      </c>
      <c r="D95" s="4" t="s">
        <v>25</v>
      </c>
      <c r="E95" s="4" t="s">
        <v>25</v>
      </c>
      <c r="F95" s="4" t="s">
        <v>25</v>
      </c>
      <c r="G95" s="4" t="s">
        <v>64</v>
      </c>
      <c r="H95" s="4" t="s">
        <v>25</v>
      </c>
      <c r="I95" s="5">
        <v>44682</v>
      </c>
      <c r="J95" s="6">
        <v>280</v>
      </c>
      <c r="K95" s="6">
        <v>140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61</v>
      </c>
      <c r="S95" s="4">
        <v>12</v>
      </c>
      <c r="T95" s="4">
        <v>0</v>
      </c>
      <c r="U95" s="4">
        <v>0</v>
      </c>
      <c r="V95" s="6">
        <f>IF(ISERROR(VLOOKUP($S$95,'TAR FIN'!$A$1:$O$86,15,0)),0,VLOOKUP($S$95,'TAR FIN'!$A$1:$O$86,15,0))</f>
        <v>8.14</v>
      </c>
      <c r="W95" s="6">
        <f>IF(ISERROR(VLOOKUP($T$95,'TAR FIN'!$A$1:$O$86,15,0)),0,VLOOKUP($T$95,'TAR FIN'!$A$1:$O$86,15,0))</f>
        <v>0</v>
      </c>
      <c r="X95" s="6">
        <f>IF(ISERROR(VLOOKUP($U$95,'TAR FIN'!$A$1:$O$86,15,0)),0,VLOOKUP($U$95,'TAR FIN'!$A$1:$O$86,15,0))</f>
        <v>0</v>
      </c>
      <c r="Y95" s="6">
        <f ca="1">('TUSD BE'!$AM$10+'TUSD BF'!$AM$10+'TUSD CVA'!$AM$10)*1</f>
        <v>5.4509137424633414</v>
      </c>
      <c r="Z95" s="6"/>
      <c r="AA95" s="6"/>
      <c r="AB95" s="6">
        <f t="shared" si="6"/>
        <v>1139.6000000000001</v>
      </c>
      <c r="AC95" s="6">
        <f t="shared" si="7"/>
        <v>0</v>
      </c>
      <c r="AD95" s="6">
        <f t="shared" ca="1" si="8"/>
        <v>763.1279239448678</v>
      </c>
      <c r="AE95" s="6">
        <f t="shared" si="9"/>
        <v>0</v>
      </c>
      <c r="AF95" s="4" t="s">
        <v>724</v>
      </c>
    </row>
    <row r="96" spans="1:32" ht="11.25" customHeight="1" x14ac:dyDescent="0.25">
      <c r="A96" s="4" t="s">
        <v>56</v>
      </c>
      <c r="B96" s="4" t="s">
        <v>38</v>
      </c>
      <c r="C96" s="4" t="s">
        <v>59</v>
      </c>
      <c r="D96" s="4" t="s">
        <v>25</v>
      </c>
      <c r="E96" s="4" t="s">
        <v>25</v>
      </c>
      <c r="F96" s="4" t="s">
        <v>25</v>
      </c>
      <c r="G96" s="4" t="s">
        <v>60</v>
      </c>
      <c r="H96" s="4" t="s">
        <v>25</v>
      </c>
      <c r="I96" s="5">
        <v>44713</v>
      </c>
      <c r="J96" s="6">
        <v>1000</v>
      </c>
      <c r="K96" s="6">
        <v>500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61</v>
      </c>
      <c r="R96" s="4">
        <v>797</v>
      </c>
      <c r="S96" s="4">
        <v>12</v>
      </c>
      <c r="T96" s="4">
        <v>0</v>
      </c>
      <c r="U96" s="4">
        <v>0</v>
      </c>
      <c r="V96" s="6">
        <f>IF(ISERROR(VLOOKUP($S$96,'TAR FIN'!$A$1:$O$86,15,0)),0,VLOOKUP($S$96,'TAR FIN'!$A$1:$O$86,15,0))</f>
        <v>8.14</v>
      </c>
      <c r="W96" s="6">
        <f>IF(ISERROR(VLOOKUP($T$96,'TAR FIN'!$A$1:$O$86,15,0)),0,VLOOKUP($T$96,'TAR FIN'!$A$1:$O$86,15,0))</f>
        <v>0</v>
      </c>
      <c r="X96" s="6">
        <f>IF(ISERROR(VLOOKUP($U$96,'TAR FIN'!$A$1:$O$86,15,0)),0,VLOOKUP($U$96,'TAR FIN'!$A$1:$O$86,15,0))</f>
        <v>0</v>
      </c>
      <c r="Y96" s="6">
        <f ca="1">('TUSD BE'!$AM$10+'TUSD BF'!$AM$10+'TUSD CVA'!$AM$10)*1</f>
        <v>5.4509137424633414</v>
      </c>
      <c r="Z96" s="6"/>
      <c r="AA96" s="6"/>
      <c r="AB96" s="6">
        <f t="shared" si="6"/>
        <v>4070.0000000000005</v>
      </c>
      <c r="AC96" s="6">
        <f t="shared" si="7"/>
        <v>0</v>
      </c>
      <c r="AD96" s="6">
        <f t="shared" ca="1" si="8"/>
        <v>2725.4568712316709</v>
      </c>
      <c r="AE96" s="6">
        <f t="shared" si="9"/>
        <v>0</v>
      </c>
      <c r="AF96" s="4" t="s">
        <v>724</v>
      </c>
    </row>
    <row r="97" spans="1:32" ht="11.25" customHeight="1" x14ac:dyDescent="0.25">
      <c r="A97" s="4" t="s">
        <v>56</v>
      </c>
      <c r="B97" s="4" t="s">
        <v>38</v>
      </c>
      <c r="C97" s="4" t="s">
        <v>59</v>
      </c>
      <c r="D97" s="4" t="s">
        <v>25</v>
      </c>
      <c r="E97" s="4" t="s">
        <v>25</v>
      </c>
      <c r="F97" s="4" t="s">
        <v>25</v>
      </c>
      <c r="G97" s="4" t="s">
        <v>64</v>
      </c>
      <c r="H97" s="4" t="s">
        <v>25</v>
      </c>
      <c r="I97" s="5">
        <v>44713</v>
      </c>
      <c r="J97" s="6">
        <v>280</v>
      </c>
      <c r="K97" s="6">
        <v>140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61</v>
      </c>
      <c r="S97" s="4">
        <v>12</v>
      </c>
      <c r="T97" s="4">
        <v>0</v>
      </c>
      <c r="U97" s="4">
        <v>0</v>
      </c>
      <c r="V97" s="6">
        <f>IF(ISERROR(VLOOKUP($S$97,'TAR FIN'!$A$1:$O$86,15,0)),0,VLOOKUP($S$97,'TAR FIN'!$A$1:$O$86,15,0))</f>
        <v>8.14</v>
      </c>
      <c r="W97" s="6">
        <f>IF(ISERROR(VLOOKUP($T$97,'TAR FIN'!$A$1:$O$86,15,0)),0,VLOOKUP($T$97,'TAR FIN'!$A$1:$O$86,15,0))</f>
        <v>0</v>
      </c>
      <c r="X97" s="6">
        <f>IF(ISERROR(VLOOKUP($U$97,'TAR FIN'!$A$1:$O$86,15,0)),0,VLOOKUP($U$97,'TAR FIN'!$A$1:$O$86,15,0))</f>
        <v>0</v>
      </c>
      <c r="Y97" s="6">
        <f ca="1">('TUSD BE'!$AM$10+'TUSD BF'!$AM$10+'TUSD CVA'!$AM$10)*1</f>
        <v>5.4509137424633414</v>
      </c>
      <c r="Z97" s="6"/>
      <c r="AA97" s="6"/>
      <c r="AB97" s="6">
        <f t="shared" si="6"/>
        <v>1139.6000000000001</v>
      </c>
      <c r="AC97" s="6">
        <f t="shared" si="7"/>
        <v>0</v>
      </c>
      <c r="AD97" s="6">
        <f t="shared" ca="1" si="8"/>
        <v>763.1279239448678</v>
      </c>
      <c r="AE97" s="6">
        <f t="shared" si="9"/>
        <v>0</v>
      </c>
      <c r="AF97" s="4" t="s">
        <v>724</v>
      </c>
    </row>
    <row r="98" spans="1:32" ht="11.25" customHeight="1" x14ac:dyDescent="0.25">
      <c r="A98" s="4" t="s">
        <v>21</v>
      </c>
      <c r="B98" s="4" t="s">
        <v>38</v>
      </c>
      <c r="C98" s="4" t="s">
        <v>40</v>
      </c>
      <c r="D98" s="4" t="s">
        <v>37</v>
      </c>
      <c r="E98" s="4" t="s">
        <v>25</v>
      </c>
      <c r="F98" s="4" t="s">
        <v>57</v>
      </c>
      <c r="G98" s="4" t="s">
        <v>25</v>
      </c>
      <c r="H98" s="4" t="s">
        <v>34</v>
      </c>
      <c r="I98" s="5">
        <v>44378</v>
      </c>
      <c r="J98" s="6">
        <v>0</v>
      </c>
      <c r="K98" s="6">
        <v>0</v>
      </c>
      <c r="L98" s="6">
        <v>1883.799</v>
      </c>
      <c r="M98" s="6">
        <v>784.97904329999994</v>
      </c>
      <c r="N98" s="6">
        <v>0</v>
      </c>
      <c r="O98" s="6">
        <v>0</v>
      </c>
      <c r="P98" s="6">
        <v>0</v>
      </c>
      <c r="Q98" s="4" t="s">
        <v>58</v>
      </c>
      <c r="R98" s="4">
        <v>0</v>
      </c>
      <c r="S98" s="4">
        <v>0</v>
      </c>
      <c r="T98" s="4">
        <v>14</v>
      </c>
      <c r="U98" s="4">
        <v>0</v>
      </c>
      <c r="V98" s="6">
        <f>IF(ISERROR(VLOOKUP($S$98,'TAR FIN'!$A$1:$O$86,15,0)),0,VLOOKUP($S$98,'TAR FIN'!$A$1:$O$86,15,0))</f>
        <v>0</v>
      </c>
      <c r="W98" s="6">
        <f>IF(ISERROR(VLOOKUP($T$98,'TAR FIN'!$A$1:$O$86,15,0)),0,VLOOKUP($T$98,'TAR FIN'!$A$1:$O$86,15,0))</f>
        <v>78.680000000000007</v>
      </c>
      <c r="X98" s="6">
        <f>IF(ISERROR(VLOOKUP($U$98,'TAR FIN'!$A$1:$O$86,15,0)),0,VLOOKUP($U$98,'TAR FIN'!$A$1:$O$86,15,0))</f>
        <v>0</v>
      </c>
      <c r="Y98" s="6"/>
      <c r="Z98" s="6">
        <f ca="1">('TUSD BE'!$AM$13+'TUSD BF'!$AM$13+'TUSD CVA'!$AM$13)*1</f>
        <v>100.23755694003805</v>
      </c>
      <c r="AA98" s="6"/>
      <c r="AB98" s="6">
        <f t="shared" si="6"/>
        <v>0</v>
      </c>
      <c r="AC98" s="6">
        <f t="shared" si="7"/>
        <v>86455.15419315602</v>
      </c>
      <c r="AD98" s="6">
        <f t="shared" si="8"/>
        <v>0</v>
      </c>
      <c r="AE98" s="6">
        <f t="shared" ca="1" si="9"/>
        <v>110143.0279765664</v>
      </c>
      <c r="AF98" s="4" t="s">
        <v>725</v>
      </c>
    </row>
    <row r="99" spans="1:32" ht="11.25" customHeight="1" x14ac:dyDescent="0.25">
      <c r="A99" s="4" t="s">
        <v>21</v>
      </c>
      <c r="B99" s="4" t="s">
        <v>38</v>
      </c>
      <c r="C99" s="4" t="s">
        <v>40</v>
      </c>
      <c r="D99" s="4" t="s">
        <v>37</v>
      </c>
      <c r="E99" s="4" t="s">
        <v>25</v>
      </c>
      <c r="F99" s="4" t="s">
        <v>57</v>
      </c>
      <c r="G99" s="4" t="s">
        <v>25</v>
      </c>
      <c r="H99" s="4" t="s">
        <v>34</v>
      </c>
      <c r="I99" s="5">
        <v>44409</v>
      </c>
      <c r="J99" s="6">
        <v>0</v>
      </c>
      <c r="K99" s="6">
        <v>0</v>
      </c>
      <c r="L99" s="6">
        <v>1935.373</v>
      </c>
      <c r="M99" s="6">
        <v>806.46992909999994</v>
      </c>
      <c r="N99" s="6">
        <v>0</v>
      </c>
      <c r="O99" s="6">
        <v>0</v>
      </c>
      <c r="P99" s="6">
        <v>0</v>
      </c>
      <c r="Q99" s="4" t="s">
        <v>58</v>
      </c>
      <c r="R99" s="4">
        <v>0</v>
      </c>
      <c r="S99" s="4">
        <v>0</v>
      </c>
      <c r="T99" s="4">
        <v>14</v>
      </c>
      <c r="U99" s="4">
        <v>0</v>
      </c>
      <c r="V99" s="6">
        <f>IF(ISERROR(VLOOKUP($S$99,'TAR FIN'!$A$1:$O$86,15,0)),0,VLOOKUP($S$99,'TAR FIN'!$A$1:$O$86,15,0))</f>
        <v>0</v>
      </c>
      <c r="W99" s="6">
        <f>IF(ISERROR(VLOOKUP($T$99,'TAR FIN'!$A$1:$O$86,15,0)),0,VLOOKUP($T$99,'TAR FIN'!$A$1:$O$86,15,0))</f>
        <v>78.680000000000007</v>
      </c>
      <c r="X99" s="6">
        <f>IF(ISERROR(VLOOKUP($U$99,'TAR FIN'!$A$1:$O$86,15,0)),0,VLOOKUP($U$99,'TAR FIN'!$A$1:$O$86,15,0))</f>
        <v>0</v>
      </c>
      <c r="Y99" s="6"/>
      <c r="Z99" s="6">
        <f ca="1">('TUSD BE'!$AM$13+'TUSD BF'!$AM$13+'TUSD CVA'!$AM$13)*1</f>
        <v>100.23755694003805</v>
      </c>
      <c r="AA99" s="6"/>
      <c r="AB99" s="6">
        <f t="shared" si="6"/>
        <v>0</v>
      </c>
      <c r="AC99" s="6">
        <f t="shared" si="7"/>
        <v>88822.093618412022</v>
      </c>
      <c r="AD99" s="6">
        <f t="shared" si="8"/>
        <v>0</v>
      </c>
      <c r="AE99" s="6">
        <f t="shared" ca="1" si="9"/>
        <v>113158.48584912258</v>
      </c>
      <c r="AF99" s="4" t="s">
        <v>725</v>
      </c>
    </row>
    <row r="100" spans="1:32" ht="11.25" customHeight="1" x14ac:dyDescent="0.25">
      <c r="A100" s="4" t="s">
        <v>21</v>
      </c>
      <c r="B100" s="4" t="s">
        <v>38</v>
      </c>
      <c r="C100" s="4" t="s">
        <v>40</v>
      </c>
      <c r="D100" s="4" t="s">
        <v>37</v>
      </c>
      <c r="E100" s="4" t="s">
        <v>25</v>
      </c>
      <c r="F100" s="4" t="s">
        <v>57</v>
      </c>
      <c r="G100" s="4" t="s">
        <v>25</v>
      </c>
      <c r="H100" s="4" t="s">
        <v>34</v>
      </c>
      <c r="I100" s="5">
        <v>44440</v>
      </c>
      <c r="J100" s="6">
        <v>0</v>
      </c>
      <c r="K100" s="6">
        <v>0</v>
      </c>
      <c r="L100" s="6">
        <v>1840.393</v>
      </c>
      <c r="M100" s="6">
        <v>766.89176310000005</v>
      </c>
      <c r="N100" s="6">
        <v>0</v>
      </c>
      <c r="O100" s="6">
        <v>0</v>
      </c>
      <c r="P100" s="6">
        <v>0</v>
      </c>
      <c r="Q100" s="4" t="s">
        <v>58</v>
      </c>
      <c r="R100" s="4">
        <v>0</v>
      </c>
      <c r="S100" s="4">
        <v>0</v>
      </c>
      <c r="T100" s="4">
        <v>14</v>
      </c>
      <c r="U100" s="4">
        <v>0</v>
      </c>
      <c r="V100" s="6">
        <f>IF(ISERROR(VLOOKUP($S$100,'TAR FIN'!$A$1:$O$86,15,0)),0,VLOOKUP($S$100,'TAR FIN'!$A$1:$O$86,15,0))</f>
        <v>0</v>
      </c>
      <c r="W100" s="6">
        <f>IF(ISERROR(VLOOKUP($T$100,'TAR FIN'!$A$1:$O$86,15,0)),0,VLOOKUP($T$100,'TAR FIN'!$A$1:$O$86,15,0))</f>
        <v>78.680000000000007</v>
      </c>
      <c r="X100" s="6">
        <f>IF(ISERROR(VLOOKUP($U$100,'TAR FIN'!$A$1:$O$86,15,0)),0,VLOOKUP($U$100,'TAR FIN'!$A$1:$O$86,15,0))</f>
        <v>0</v>
      </c>
      <c r="Y100" s="6"/>
      <c r="Z100" s="6">
        <f ca="1">('TUSD BE'!$AM$13+'TUSD BF'!$AM$13+'TUSD CVA'!$AM$13)*1</f>
        <v>100.23755694003805</v>
      </c>
      <c r="AA100" s="6"/>
      <c r="AB100" s="6">
        <f t="shared" si="6"/>
        <v>0</v>
      </c>
      <c r="AC100" s="6">
        <f t="shared" si="7"/>
        <v>84463.077319292017</v>
      </c>
      <c r="AD100" s="6">
        <f t="shared" si="8"/>
        <v>0</v>
      </c>
      <c r="AE100" s="6">
        <f t="shared" ca="1" si="9"/>
        <v>107605.14135896503</v>
      </c>
      <c r="AF100" s="4" t="s">
        <v>725</v>
      </c>
    </row>
    <row r="101" spans="1:32" ht="11.25" customHeight="1" x14ac:dyDescent="0.25">
      <c r="A101" s="4" t="s">
        <v>21</v>
      </c>
      <c r="B101" s="4" t="s">
        <v>38</v>
      </c>
      <c r="C101" s="4" t="s">
        <v>40</v>
      </c>
      <c r="D101" s="4" t="s">
        <v>37</v>
      </c>
      <c r="E101" s="4" t="s">
        <v>25</v>
      </c>
      <c r="F101" s="4" t="s">
        <v>57</v>
      </c>
      <c r="G101" s="4" t="s">
        <v>25</v>
      </c>
      <c r="H101" s="4" t="s">
        <v>34</v>
      </c>
      <c r="I101" s="5">
        <v>44470</v>
      </c>
      <c r="J101" s="6">
        <v>0</v>
      </c>
      <c r="K101" s="6">
        <v>0</v>
      </c>
      <c r="L101" s="6">
        <v>1864.7190000000001</v>
      </c>
      <c r="M101" s="6">
        <v>822.71402279999995</v>
      </c>
      <c r="N101" s="6">
        <v>0</v>
      </c>
      <c r="O101" s="6">
        <v>0</v>
      </c>
      <c r="P101" s="6">
        <v>0</v>
      </c>
      <c r="Q101" s="4" t="s">
        <v>58</v>
      </c>
      <c r="R101" s="4">
        <v>0</v>
      </c>
      <c r="S101" s="4">
        <v>0</v>
      </c>
      <c r="T101" s="4">
        <v>14</v>
      </c>
      <c r="U101" s="4">
        <v>0</v>
      </c>
      <c r="V101" s="6">
        <f>IF(ISERROR(VLOOKUP($S$101,'TAR FIN'!$A$1:$O$86,15,0)),0,VLOOKUP($S$101,'TAR FIN'!$A$1:$O$86,15,0))</f>
        <v>0</v>
      </c>
      <c r="W101" s="6">
        <f>IF(ISERROR(VLOOKUP($T$101,'TAR FIN'!$A$1:$O$86,15,0)),0,VLOOKUP($T$101,'TAR FIN'!$A$1:$O$86,15,0))</f>
        <v>78.680000000000007</v>
      </c>
      <c r="X101" s="6">
        <f>IF(ISERROR(VLOOKUP($U$101,'TAR FIN'!$A$1:$O$86,15,0)),0,VLOOKUP($U$101,'TAR FIN'!$A$1:$O$86,15,0))</f>
        <v>0</v>
      </c>
      <c r="Y101" s="6"/>
      <c r="Z101" s="6">
        <f ca="1">('TUSD BE'!$AM$13+'TUSD BF'!$AM$13+'TUSD CVA'!$AM$13)*1</f>
        <v>100.23755694003805</v>
      </c>
      <c r="AA101" s="6"/>
      <c r="AB101" s="6">
        <f t="shared" si="6"/>
        <v>0</v>
      </c>
      <c r="AC101" s="6">
        <f t="shared" si="7"/>
        <v>81984.95160609603</v>
      </c>
      <c r="AD101" s="6">
        <f t="shared" si="8"/>
        <v>0</v>
      </c>
      <c r="AE101" s="6">
        <f t="shared" ca="1" si="9"/>
        <v>104448.03323388807</v>
      </c>
      <c r="AF101" s="4" t="s">
        <v>725</v>
      </c>
    </row>
    <row r="102" spans="1:32" ht="11.25" customHeight="1" x14ac:dyDescent="0.25">
      <c r="A102" s="4" t="s">
        <v>21</v>
      </c>
      <c r="B102" s="4" t="s">
        <v>38</v>
      </c>
      <c r="C102" s="4" t="s">
        <v>40</v>
      </c>
      <c r="D102" s="4" t="s">
        <v>37</v>
      </c>
      <c r="E102" s="4" t="s">
        <v>25</v>
      </c>
      <c r="F102" s="4" t="s">
        <v>57</v>
      </c>
      <c r="G102" s="4" t="s">
        <v>25</v>
      </c>
      <c r="H102" s="4" t="s">
        <v>34</v>
      </c>
      <c r="I102" s="5">
        <v>44501</v>
      </c>
      <c r="J102" s="6">
        <v>0</v>
      </c>
      <c r="K102" s="6">
        <v>0</v>
      </c>
      <c r="L102" s="6">
        <v>1907.606</v>
      </c>
      <c r="M102" s="6">
        <v>715.35225000000003</v>
      </c>
      <c r="N102" s="6">
        <v>0</v>
      </c>
      <c r="O102" s="6">
        <v>0</v>
      </c>
      <c r="P102" s="6">
        <v>0</v>
      </c>
      <c r="Q102" s="4" t="s">
        <v>58</v>
      </c>
      <c r="R102" s="4">
        <v>0</v>
      </c>
      <c r="S102" s="4">
        <v>0</v>
      </c>
      <c r="T102" s="4">
        <v>14</v>
      </c>
      <c r="U102" s="4">
        <v>0</v>
      </c>
      <c r="V102" s="6">
        <f>IF(ISERROR(VLOOKUP($S$102,'TAR FIN'!$A$1:$O$86,15,0)),0,VLOOKUP($S$102,'TAR FIN'!$A$1:$O$86,15,0))</f>
        <v>0</v>
      </c>
      <c r="W102" s="6">
        <f>IF(ISERROR(VLOOKUP($T$102,'TAR FIN'!$A$1:$O$86,15,0)),0,VLOOKUP($T$102,'TAR FIN'!$A$1:$O$86,15,0))</f>
        <v>78.680000000000007</v>
      </c>
      <c r="X102" s="6">
        <f>IF(ISERROR(VLOOKUP($U$102,'TAR FIN'!$A$1:$O$86,15,0)),0,VLOOKUP($U$102,'TAR FIN'!$A$1:$O$86,15,0))</f>
        <v>0</v>
      </c>
      <c r="Y102" s="6"/>
      <c r="Z102" s="6">
        <f ca="1">('TUSD BE'!$AM$13+'TUSD BF'!$AM$13+'TUSD CVA'!$AM$13)*1</f>
        <v>100.23755694003805</v>
      </c>
      <c r="AA102" s="6"/>
      <c r="AB102" s="6">
        <f t="shared" si="6"/>
        <v>0</v>
      </c>
      <c r="AC102" s="6">
        <f t="shared" si="7"/>
        <v>93806.525049999997</v>
      </c>
      <c r="AD102" s="6">
        <f t="shared" si="8"/>
        <v>0</v>
      </c>
      <c r="AE102" s="6">
        <f t="shared" ca="1" si="9"/>
        <v>119508.60315259887</v>
      </c>
      <c r="AF102" s="4" t="s">
        <v>725</v>
      </c>
    </row>
    <row r="103" spans="1:32" ht="11.25" customHeight="1" x14ac:dyDescent="0.25">
      <c r="A103" s="4" t="s">
        <v>21</v>
      </c>
      <c r="B103" s="4" t="s">
        <v>38</v>
      </c>
      <c r="C103" s="4" t="s">
        <v>40</v>
      </c>
      <c r="D103" s="4" t="s">
        <v>37</v>
      </c>
      <c r="E103" s="4" t="s">
        <v>25</v>
      </c>
      <c r="F103" s="4" t="s">
        <v>57</v>
      </c>
      <c r="G103" s="4" t="s">
        <v>25</v>
      </c>
      <c r="H103" s="4" t="s">
        <v>34</v>
      </c>
      <c r="I103" s="5">
        <v>44531</v>
      </c>
      <c r="J103" s="6">
        <v>0</v>
      </c>
      <c r="K103" s="6">
        <v>0</v>
      </c>
      <c r="L103" s="6">
        <v>1807.9570000000001</v>
      </c>
      <c r="M103" s="6">
        <v>761.33069269999999</v>
      </c>
      <c r="N103" s="6">
        <v>0</v>
      </c>
      <c r="O103" s="6">
        <v>0</v>
      </c>
      <c r="P103" s="6">
        <v>0</v>
      </c>
      <c r="Q103" s="4" t="s">
        <v>58</v>
      </c>
      <c r="R103" s="4">
        <v>0</v>
      </c>
      <c r="S103" s="4">
        <v>0</v>
      </c>
      <c r="T103" s="4">
        <v>14</v>
      </c>
      <c r="U103" s="4">
        <v>0</v>
      </c>
      <c r="V103" s="6">
        <f>IF(ISERROR(VLOOKUP($S$103,'TAR FIN'!$A$1:$O$86,15,0)),0,VLOOKUP($S$103,'TAR FIN'!$A$1:$O$86,15,0))</f>
        <v>0</v>
      </c>
      <c r="W103" s="6">
        <f>IF(ISERROR(VLOOKUP($T$103,'TAR FIN'!$A$1:$O$86,15,0)),0,VLOOKUP($T$103,'TAR FIN'!$A$1:$O$86,15,0))</f>
        <v>78.680000000000007</v>
      </c>
      <c r="X103" s="6">
        <f>IF(ISERROR(VLOOKUP($U$103,'TAR FIN'!$A$1:$O$86,15,0)),0,VLOOKUP($U$103,'TAR FIN'!$A$1:$O$86,15,0))</f>
        <v>0</v>
      </c>
      <c r="Y103" s="6"/>
      <c r="Z103" s="6">
        <f ca="1">('TUSD BE'!$AM$13+'TUSD BF'!$AM$13+'TUSD CVA'!$AM$13)*1</f>
        <v>100.23755694003805</v>
      </c>
      <c r="AA103" s="6"/>
      <c r="AB103" s="6">
        <f t="shared" si="6"/>
        <v>0</v>
      </c>
      <c r="AC103" s="6">
        <f t="shared" si="7"/>
        <v>82348.557858364002</v>
      </c>
      <c r="AD103" s="6">
        <f t="shared" si="8"/>
        <v>0</v>
      </c>
      <c r="AE103" s="6">
        <f t="shared" ca="1" si="9"/>
        <v>104911.26407292551</v>
      </c>
      <c r="AF103" s="4" t="s">
        <v>725</v>
      </c>
    </row>
    <row r="104" spans="1:32" ht="11.25" customHeight="1" x14ac:dyDescent="0.25">
      <c r="A104" s="4" t="s">
        <v>21</v>
      </c>
      <c r="B104" s="4" t="s">
        <v>38</v>
      </c>
      <c r="C104" s="4" t="s">
        <v>40</v>
      </c>
      <c r="D104" s="4" t="s">
        <v>37</v>
      </c>
      <c r="E104" s="4" t="s">
        <v>25</v>
      </c>
      <c r="F104" s="4" t="s">
        <v>57</v>
      </c>
      <c r="G104" s="4" t="s">
        <v>25</v>
      </c>
      <c r="H104" s="4" t="s">
        <v>34</v>
      </c>
      <c r="I104" s="5">
        <v>44562</v>
      </c>
      <c r="J104" s="6">
        <v>0</v>
      </c>
      <c r="K104" s="6">
        <v>0</v>
      </c>
      <c r="L104" s="6">
        <v>1675.7439999999999</v>
      </c>
      <c r="M104" s="6">
        <v>680.6872128</v>
      </c>
      <c r="N104" s="6">
        <v>0</v>
      </c>
      <c r="O104" s="6">
        <v>0</v>
      </c>
      <c r="P104" s="6">
        <v>0</v>
      </c>
      <c r="Q104" s="4" t="s">
        <v>58</v>
      </c>
      <c r="R104" s="4">
        <v>0</v>
      </c>
      <c r="S104" s="4">
        <v>0</v>
      </c>
      <c r="T104" s="4">
        <v>14</v>
      </c>
      <c r="U104" s="4">
        <v>0</v>
      </c>
      <c r="V104" s="6">
        <f>IF(ISERROR(VLOOKUP($S$104,'TAR FIN'!$A$1:$O$86,15,0)),0,VLOOKUP($S$104,'TAR FIN'!$A$1:$O$86,15,0))</f>
        <v>0</v>
      </c>
      <c r="W104" s="6">
        <f>IF(ISERROR(VLOOKUP($T$104,'TAR FIN'!$A$1:$O$86,15,0)),0,VLOOKUP($T$104,'TAR FIN'!$A$1:$O$86,15,0))</f>
        <v>78.680000000000007</v>
      </c>
      <c r="X104" s="6">
        <f>IF(ISERROR(VLOOKUP($U$104,'TAR FIN'!$A$1:$O$86,15,0)),0,VLOOKUP($U$104,'TAR FIN'!$A$1:$O$86,15,0))</f>
        <v>0</v>
      </c>
      <c r="Y104" s="6"/>
      <c r="Z104" s="6">
        <f ca="1">('TUSD BE'!$AM$13+'TUSD BF'!$AM$13+'TUSD CVA'!$AM$13)*1</f>
        <v>100.23755694003805</v>
      </c>
      <c r="AA104" s="6"/>
      <c r="AB104" s="6">
        <f t="shared" si="6"/>
        <v>0</v>
      </c>
      <c r="AC104" s="6">
        <f t="shared" si="7"/>
        <v>78291.068016895995</v>
      </c>
      <c r="AD104" s="6">
        <f t="shared" si="8"/>
        <v>0</v>
      </c>
      <c r="AE104" s="6">
        <f t="shared" ca="1" si="9"/>
        <v>99742.061365531321</v>
      </c>
      <c r="AF104" s="4" t="s">
        <v>725</v>
      </c>
    </row>
    <row r="105" spans="1:32" ht="11.25" customHeight="1" x14ac:dyDescent="0.25">
      <c r="A105" s="4" t="s">
        <v>21</v>
      </c>
      <c r="B105" s="4" t="s">
        <v>38</v>
      </c>
      <c r="C105" s="4" t="s">
        <v>40</v>
      </c>
      <c r="D105" s="4" t="s">
        <v>37</v>
      </c>
      <c r="E105" s="4" t="s">
        <v>25</v>
      </c>
      <c r="F105" s="4" t="s">
        <v>57</v>
      </c>
      <c r="G105" s="4" t="s">
        <v>25</v>
      </c>
      <c r="H105" s="4" t="s">
        <v>34</v>
      </c>
      <c r="I105" s="5">
        <v>44593</v>
      </c>
      <c r="J105" s="6">
        <v>0</v>
      </c>
      <c r="K105" s="6">
        <v>0</v>
      </c>
      <c r="L105" s="6">
        <v>1959.9670000000001</v>
      </c>
      <c r="M105" s="6">
        <v>825.34210370000005</v>
      </c>
      <c r="N105" s="6">
        <v>0</v>
      </c>
      <c r="O105" s="6">
        <v>0</v>
      </c>
      <c r="P105" s="6">
        <v>0</v>
      </c>
      <c r="Q105" s="4" t="s">
        <v>58</v>
      </c>
      <c r="R105" s="4">
        <v>0</v>
      </c>
      <c r="S105" s="4">
        <v>0</v>
      </c>
      <c r="T105" s="4">
        <v>14</v>
      </c>
      <c r="U105" s="4">
        <v>0</v>
      </c>
      <c r="V105" s="6">
        <f>IF(ISERROR(VLOOKUP($S$105,'TAR FIN'!$A$1:$O$86,15,0)),0,VLOOKUP($S$105,'TAR FIN'!$A$1:$O$86,15,0))</f>
        <v>0</v>
      </c>
      <c r="W105" s="6">
        <f>IF(ISERROR(VLOOKUP($T$105,'TAR FIN'!$A$1:$O$86,15,0)),0,VLOOKUP($T$105,'TAR FIN'!$A$1:$O$86,15,0))</f>
        <v>78.680000000000007</v>
      </c>
      <c r="X105" s="6">
        <f>IF(ISERROR(VLOOKUP($U$105,'TAR FIN'!$A$1:$O$86,15,0)),0,VLOOKUP($U$105,'TAR FIN'!$A$1:$O$86,15,0))</f>
        <v>0</v>
      </c>
      <c r="Y105" s="6"/>
      <c r="Z105" s="6">
        <f ca="1">('TUSD BE'!$AM$13+'TUSD BF'!$AM$13+'TUSD CVA'!$AM$13)*1</f>
        <v>100.23755694003805</v>
      </c>
      <c r="AA105" s="6"/>
      <c r="AB105" s="6">
        <f t="shared" si="6"/>
        <v>0</v>
      </c>
      <c r="AC105" s="6">
        <f t="shared" si="7"/>
        <v>89272.286840884015</v>
      </c>
      <c r="AD105" s="6">
        <f t="shared" si="8"/>
        <v>0</v>
      </c>
      <c r="AE105" s="6">
        <f t="shared" ca="1" si="9"/>
        <v>113732.02764845602</v>
      </c>
      <c r="AF105" s="4" t="s">
        <v>725</v>
      </c>
    </row>
    <row r="106" spans="1:32" ht="11.25" customHeight="1" x14ac:dyDescent="0.25">
      <c r="A106" s="4" t="s">
        <v>21</v>
      </c>
      <c r="B106" s="4" t="s">
        <v>38</v>
      </c>
      <c r="C106" s="4" t="s">
        <v>40</v>
      </c>
      <c r="D106" s="4" t="s">
        <v>37</v>
      </c>
      <c r="E106" s="4" t="s">
        <v>25</v>
      </c>
      <c r="F106" s="4" t="s">
        <v>57</v>
      </c>
      <c r="G106" s="4" t="s">
        <v>25</v>
      </c>
      <c r="H106" s="4" t="s">
        <v>34</v>
      </c>
      <c r="I106" s="5">
        <v>44621</v>
      </c>
      <c r="J106" s="6">
        <v>0</v>
      </c>
      <c r="K106" s="6">
        <v>0</v>
      </c>
      <c r="L106" s="6">
        <v>2313.5279999999998</v>
      </c>
      <c r="M106" s="6">
        <v>964.04711759999998</v>
      </c>
      <c r="N106" s="6">
        <v>0</v>
      </c>
      <c r="O106" s="6">
        <v>0</v>
      </c>
      <c r="P106" s="6">
        <v>0</v>
      </c>
      <c r="Q106" s="4" t="s">
        <v>58</v>
      </c>
      <c r="R106" s="4">
        <v>0</v>
      </c>
      <c r="S106" s="4">
        <v>0</v>
      </c>
      <c r="T106" s="4">
        <v>14</v>
      </c>
      <c r="U106" s="4">
        <v>0</v>
      </c>
      <c r="V106" s="6">
        <f>IF(ISERROR(VLOOKUP($S$106,'TAR FIN'!$A$1:$O$86,15,0)),0,VLOOKUP($S$106,'TAR FIN'!$A$1:$O$86,15,0))</f>
        <v>0</v>
      </c>
      <c r="W106" s="6">
        <f>IF(ISERROR(VLOOKUP($T$106,'TAR FIN'!$A$1:$O$86,15,0)),0,VLOOKUP($T$106,'TAR FIN'!$A$1:$O$86,15,0))</f>
        <v>78.680000000000007</v>
      </c>
      <c r="X106" s="6">
        <f>IF(ISERROR(VLOOKUP($U$106,'TAR FIN'!$A$1:$O$86,15,0)),0,VLOOKUP($U$106,'TAR FIN'!$A$1:$O$86,15,0))</f>
        <v>0</v>
      </c>
      <c r="Y106" s="6"/>
      <c r="Z106" s="6">
        <f ca="1">('TUSD BE'!$AM$13+'TUSD BF'!$AM$13+'TUSD CVA'!$AM$13)*1</f>
        <v>100.23755694003805</v>
      </c>
      <c r="AA106" s="6"/>
      <c r="AB106" s="6">
        <f t="shared" si="6"/>
        <v>0</v>
      </c>
      <c r="AC106" s="6">
        <f t="shared" si="7"/>
        <v>106177.15582723198</v>
      </c>
      <c r="AD106" s="6">
        <f t="shared" si="8"/>
        <v>0</v>
      </c>
      <c r="AE106" s="6">
        <f t="shared" ca="1" si="9"/>
        <v>135268.66678906276</v>
      </c>
      <c r="AF106" s="4" t="s">
        <v>725</v>
      </c>
    </row>
    <row r="107" spans="1:32" ht="11.25" customHeight="1" x14ac:dyDescent="0.25">
      <c r="A107" s="4" t="s">
        <v>21</v>
      </c>
      <c r="B107" s="4" t="s">
        <v>38</v>
      </c>
      <c r="C107" s="4" t="s">
        <v>40</v>
      </c>
      <c r="D107" s="4" t="s">
        <v>37</v>
      </c>
      <c r="E107" s="4" t="s">
        <v>25</v>
      </c>
      <c r="F107" s="4" t="s">
        <v>57</v>
      </c>
      <c r="G107" s="4" t="s">
        <v>25</v>
      </c>
      <c r="H107" s="4" t="s">
        <v>34</v>
      </c>
      <c r="I107" s="5">
        <v>44652</v>
      </c>
      <c r="J107" s="6">
        <v>0</v>
      </c>
      <c r="K107" s="6">
        <v>0</v>
      </c>
      <c r="L107" s="6">
        <v>1907.172</v>
      </c>
      <c r="M107" s="6">
        <v>794.71857239999997</v>
      </c>
      <c r="N107" s="6">
        <v>0</v>
      </c>
      <c r="O107" s="6">
        <v>0</v>
      </c>
      <c r="P107" s="6">
        <v>0</v>
      </c>
      <c r="Q107" s="4" t="s">
        <v>58</v>
      </c>
      <c r="R107" s="4">
        <v>0</v>
      </c>
      <c r="S107" s="4">
        <v>0</v>
      </c>
      <c r="T107" s="4">
        <v>14</v>
      </c>
      <c r="U107" s="4">
        <v>0</v>
      </c>
      <c r="V107" s="6">
        <f>IF(ISERROR(VLOOKUP($S$107,'TAR FIN'!$A$1:$O$86,15,0)),0,VLOOKUP($S$107,'TAR FIN'!$A$1:$O$86,15,0))</f>
        <v>0</v>
      </c>
      <c r="W107" s="6">
        <f>IF(ISERROR(VLOOKUP($T$107,'TAR FIN'!$A$1:$O$86,15,0)),0,VLOOKUP($T$107,'TAR FIN'!$A$1:$O$86,15,0))</f>
        <v>78.680000000000007</v>
      </c>
      <c r="X107" s="6">
        <f>IF(ISERROR(VLOOKUP($U$107,'TAR FIN'!$A$1:$O$86,15,0)),0,VLOOKUP($U$107,'TAR FIN'!$A$1:$O$86,15,0))</f>
        <v>0</v>
      </c>
      <c r="Y107" s="6"/>
      <c r="Z107" s="6">
        <f ca="1">('TUSD BE'!$AM$13+'TUSD BF'!$AM$13+'TUSD CVA'!$AM$13)*1</f>
        <v>100.23755694003805</v>
      </c>
      <c r="AA107" s="6"/>
      <c r="AB107" s="6">
        <f t="shared" si="6"/>
        <v>0</v>
      </c>
      <c r="AC107" s="6">
        <f t="shared" si="7"/>
        <v>87527.835683568002</v>
      </c>
      <c r="AD107" s="6">
        <f t="shared" si="8"/>
        <v>0</v>
      </c>
      <c r="AE107" s="6">
        <f t="shared" ca="1" si="9"/>
        <v>111509.61379219549</v>
      </c>
      <c r="AF107" s="4" t="s">
        <v>725</v>
      </c>
    </row>
    <row r="108" spans="1:32" ht="11.25" customHeight="1" x14ac:dyDescent="0.25">
      <c r="A108" s="4" t="s">
        <v>21</v>
      </c>
      <c r="B108" s="4" t="s">
        <v>38</v>
      </c>
      <c r="C108" s="4" t="s">
        <v>40</v>
      </c>
      <c r="D108" s="4" t="s">
        <v>37</v>
      </c>
      <c r="E108" s="4" t="s">
        <v>25</v>
      </c>
      <c r="F108" s="4" t="s">
        <v>57</v>
      </c>
      <c r="G108" s="4" t="s">
        <v>25</v>
      </c>
      <c r="H108" s="4" t="s">
        <v>34</v>
      </c>
      <c r="I108" s="5">
        <v>44682</v>
      </c>
      <c r="J108" s="6">
        <v>0</v>
      </c>
      <c r="K108" s="6">
        <v>0</v>
      </c>
      <c r="L108" s="6">
        <v>2127.2240000000002</v>
      </c>
      <c r="M108" s="6">
        <v>886.41424080000002</v>
      </c>
      <c r="N108" s="6">
        <v>0</v>
      </c>
      <c r="O108" s="6">
        <v>0</v>
      </c>
      <c r="P108" s="6">
        <v>0</v>
      </c>
      <c r="Q108" s="4" t="s">
        <v>58</v>
      </c>
      <c r="R108" s="4">
        <v>0</v>
      </c>
      <c r="S108" s="4">
        <v>0</v>
      </c>
      <c r="T108" s="4">
        <v>14</v>
      </c>
      <c r="U108" s="4">
        <v>0</v>
      </c>
      <c r="V108" s="6">
        <f>IF(ISERROR(VLOOKUP($S$108,'TAR FIN'!$A$1:$O$86,15,0)),0,VLOOKUP($S$108,'TAR FIN'!$A$1:$O$86,15,0))</f>
        <v>0</v>
      </c>
      <c r="W108" s="6">
        <f>IF(ISERROR(VLOOKUP($T$108,'TAR FIN'!$A$1:$O$86,15,0)),0,VLOOKUP($T$108,'TAR FIN'!$A$1:$O$86,15,0))</f>
        <v>78.680000000000007</v>
      </c>
      <c r="X108" s="6">
        <f>IF(ISERROR(VLOOKUP($U$108,'TAR FIN'!$A$1:$O$86,15,0)),0,VLOOKUP($U$108,'TAR FIN'!$A$1:$O$86,15,0))</f>
        <v>0</v>
      </c>
      <c r="Y108" s="6"/>
      <c r="Z108" s="6">
        <f ca="1">('TUSD BE'!$AM$13+'TUSD BF'!$AM$13+'TUSD CVA'!$AM$13)*1</f>
        <v>100.23755694003805</v>
      </c>
      <c r="AA108" s="6"/>
      <c r="AB108" s="6">
        <f t="shared" si="6"/>
        <v>0</v>
      </c>
      <c r="AC108" s="6">
        <f t="shared" si="7"/>
        <v>97626.911853856014</v>
      </c>
      <c r="AD108" s="6">
        <f t="shared" si="8"/>
        <v>0</v>
      </c>
      <c r="AE108" s="6">
        <f t="shared" ca="1" si="9"/>
        <v>124375.73888956491</v>
      </c>
      <c r="AF108" s="4" t="s">
        <v>725</v>
      </c>
    </row>
    <row r="109" spans="1:32" ht="11.25" customHeight="1" x14ac:dyDescent="0.25">
      <c r="A109" s="4" t="s">
        <v>56</v>
      </c>
      <c r="B109" s="4" t="s">
        <v>38</v>
      </c>
      <c r="C109" s="4" t="s">
        <v>40</v>
      </c>
      <c r="D109" s="4" t="s">
        <v>37</v>
      </c>
      <c r="E109" s="4" t="s">
        <v>25</v>
      </c>
      <c r="F109" s="4" t="s">
        <v>57</v>
      </c>
      <c r="G109" s="4" t="s">
        <v>25</v>
      </c>
      <c r="H109" s="4" t="s">
        <v>34</v>
      </c>
      <c r="I109" s="5">
        <v>44713</v>
      </c>
      <c r="J109" s="6">
        <v>0</v>
      </c>
      <c r="K109" s="6">
        <v>0</v>
      </c>
      <c r="L109" s="6">
        <v>2127.2240000000002</v>
      </c>
      <c r="M109" s="6">
        <v>886.41424080000002</v>
      </c>
      <c r="N109" s="6">
        <v>0</v>
      </c>
      <c r="O109" s="6">
        <v>0</v>
      </c>
      <c r="P109" s="6">
        <v>0</v>
      </c>
      <c r="Q109" s="4" t="s">
        <v>58</v>
      </c>
      <c r="R109" s="4">
        <v>0</v>
      </c>
      <c r="S109" s="4">
        <v>0</v>
      </c>
      <c r="T109" s="4">
        <v>14</v>
      </c>
      <c r="U109" s="4">
        <v>0</v>
      </c>
      <c r="V109" s="6">
        <f>IF(ISERROR(VLOOKUP($S$109,'TAR FIN'!$A$1:$O$86,15,0)),0,VLOOKUP($S$109,'TAR FIN'!$A$1:$O$86,15,0))</f>
        <v>0</v>
      </c>
      <c r="W109" s="6">
        <f>IF(ISERROR(VLOOKUP($T$109,'TAR FIN'!$A$1:$O$86,15,0)),0,VLOOKUP($T$109,'TAR FIN'!$A$1:$O$86,15,0))</f>
        <v>78.680000000000007</v>
      </c>
      <c r="X109" s="6">
        <f>IF(ISERROR(VLOOKUP($U$109,'TAR FIN'!$A$1:$O$86,15,0)),0,VLOOKUP($U$109,'TAR FIN'!$A$1:$O$86,15,0))</f>
        <v>0</v>
      </c>
      <c r="Y109" s="6"/>
      <c r="Z109" s="6">
        <f ca="1">('TUSD BE'!$AM$13+'TUSD BF'!$AM$13+'TUSD CVA'!$AM$13)*1</f>
        <v>100.23755694003805</v>
      </c>
      <c r="AA109" s="6"/>
      <c r="AB109" s="6">
        <f t="shared" si="6"/>
        <v>0</v>
      </c>
      <c r="AC109" s="6">
        <f t="shared" si="7"/>
        <v>97626.911853856014</v>
      </c>
      <c r="AD109" s="6">
        <f t="shared" si="8"/>
        <v>0</v>
      </c>
      <c r="AE109" s="6">
        <f t="shared" ca="1" si="9"/>
        <v>124375.73888956491</v>
      </c>
      <c r="AF109" s="4" t="s">
        <v>725</v>
      </c>
    </row>
    <row r="110" spans="1:32" ht="11.25" customHeight="1" x14ac:dyDescent="0.25">
      <c r="A110" s="4" t="s">
        <v>21</v>
      </c>
      <c r="B110" s="4" t="s">
        <v>38</v>
      </c>
      <c r="C110" s="4" t="s">
        <v>40</v>
      </c>
      <c r="D110" s="4" t="s">
        <v>37</v>
      </c>
      <c r="E110" s="4" t="s">
        <v>25</v>
      </c>
      <c r="F110" s="4" t="s">
        <v>57</v>
      </c>
      <c r="G110" s="4" t="s">
        <v>25</v>
      </c>
      <c r="H110" s="4" t="s">
        <v>25</v>
      </c>
      <c r="I110" s="5">
        <v>44378</v>
      </c>
      <c r="J110" s="6">
        <v>7485</v>
      </c>
      <c r="K110" s="6">
        <v>3118.9994999999999</v>
      </c>
      <c r="L110" s="6">
        <v>0</v>
      </c>
      <c r="M110" s="6">
        <v>0</v>
      </c>
      <c r="N110" s="6">
        <v>0</v>
      </c>
      <c r="O110" s="6">
        <v>0</v>
      </c>
      <c r="P110" s="6">
        <v>18</v>
      </c>
      <c r="Q110" s="4" t="s">
        <v>58</v>
      </c>
      <c r="R110" s="4">
        <v>0</v>
      </c>
      <c r="S110" s="4">
        <v>18</v>
      </c>
      <c r="T110" s="4">
        <v>0</v>
      </c>
      <c r="U110" s="4">
        <v>0</v>
      </c>
      <c r="V110" s="6">
        <f>IF(ISERROR(VLOOKUP($S$110,'TAR FIN'!$A$1:$O$86,15,0)),0,VLOOKUP($S$110,'TAR FIN'!$A$1:$O$86,15,0))</f>
        <v>19.239999999999998</v>
      </c>
      <c r="W110" s="6">
        <f>IF(ISERROR(VLOOKUP($T$110,'TAR FIN'!$A$1:$O$86,15,0)),0,VLOOKUP($T$110,'TAR FIN'!$A$1:$O$86,15,0))</f>
        <v>0</v>
      </c>
      <c r="X110" s="6">
        <f>IF(ISERROR(VLOOKUP($U$110,'TAR FIN'!$A$1:$O$86,15,0)),0,VLOOKUP($U$110,'TAR FIN'!$A$1:$O$86,15,0))</f>
        <v>0</v>
      </c>
      <c r="Y110" s="6">
        <f ca="1">('TUSD BE'!$AM$11+'TUSD BF'!$AM$11+'TUSD CVA'!$AM$11)*1</f>
        <v>15.19295792072058</v>
      </c>
      <c r="Z110" s="6"/>
      <c r="AA110" s="6"/>
      <c r="AB110" s="6">
        <f t="shared" si="6"/>
        <v>84001.849619999994</v>
      </c>
      <c r="AC110" s="6">
        <f t="shared" si="7"/>
        <v>0</v>
      </c>
      <c r="AD110" s="6">
        <f t="shared" ca="1" si="8"/>
        <v>66332.461878345013</v>
      </c>
      <c r="AE110" s="6">
        <f t="shared" si="9"/>
        <v>0</v>
      </c>
      <c r="AF110" s="4" t="s">
        <v>725</v>
      </c>
    </row>
    <row r="111" spans="1:32" ht="11.25" customHeight="1" x14ac:dyDescent="0.25">
      <c r="A111" s="4" t="s">
        <v>21</v>
      </c>
      <c r="B111" s="4" t="s">
        <v>38</v>
      </c>
      <c r="C111" s="4" t="s">
        <v>40</v>
      </c>
      <c r="D111" s="4" t="s">
        <v>37</v>
      </c>
      <c r="E111" s="4" t="s">
        <v>25</v>
      </c>
      <c r="F111" s="4" t="s">
        <v>57</v>
      </c>
      <c r="G111" s="4" t="s">
        <v>25</v>
      </c>
      <c r="H111" s="4" t="s">
        <v>25</v>
      </c>
      <c r="I111" s="5">
        <v>44409</v>
      </c>
      <c r="J111" s="6">
        <v>7309</v>
      </c>
      <c r="K111" s="6">
        <v>3045.6603</v>
      </c>
      <c r="L111" s="6">
        <v>0</v>
      </c>
      <c r="M111" s="6">
        <v>0</v>
      </c>
      <c r="N111" s="6">
        <v>0</v>
      </c>
      <c r="O111" s="6">
        <v>0</v>
      </c>
      <c r="P111" s="6">
        <v>18</v>
      </c>
      <c r="Q111" s="4" t="s">
        <v>58</v>
      </c>
      <c r="R111" s="4">
        <v>0</v>
      </c>
      <c r="S111" s="4">
        <v>18</v>
      </c>
      <c r="T111" s="4">
        <v>0</v>
      </c>
      <c r="U111" s="4">
        <v>0</v>
      </c>
      <c r="V111" s="6">
        <f>IF(ISERROR(VLOOKUP($S$111,'TAR FIN'!$A$1:$O$86,15,0)),0,VLOOKUP($S$111,'TAR FIN'!$A$1:$O$86,15,0))</f>
        <v>19.239999999999998</v>
      </c>
      <c r="W111" s="6">
        <f>IF(ISERROR(VLOOKUP($T$111,'TAR FIN'!$A$1:$O$86,15,0)),0,VLOOKUP($T$111,'TAR FIN'!$A$1:$O$86,15,0))</f>
        <v>0</v>
      </c>
      <c r="X111" s="6">
        <f>IF(ISERROR(VLOOKUP($U$111,'TAR FIN'!$A$1:$O$86,15,0)),0,VLOOKUP($U$111,'TAR FIN'!$A$1:$O$86,15,0))</f>
        <v>0</v>
      </c>
      <c r="Y111" s="6">
        <f ca="1">('TUSD BE'!$AM$11+'TUSD BF'!$AM$11+'TUSD CVA'!$AM$11)*1</f>
        <v>15.19295792072058</v>
      </c>
      <c r="Z111" s="6"/>
      <c r="AA111" s="6"/>
      <c r="AB111" s="6">
        <f t="shared" si="6"/>
        <v>82026.655828000003</v>
      </c>
      <c r="AC111" s="6">
        <f t="shared" si="7"/>
        <v>0</v>
      </c>
      <c r="AD111" s="6">
        <f t="shared" ca="1" si="8"/>
        <v>64772.740663837511</v>
      </c>
      <c r="AE111" s="6">
        <f t="shared" si="9"/>
        <v>0</v>
      </c>
      <c r="AF111" s="4" t="s">
        <v>725</v>
      </c>
    </row>
    <row r="112" spans="1:32" ht="11.25" customHeight="1" x14ac:dyDescent="0.25">
      <c r="A112" s="4" t="s">
        <v>21</v>
      </c>
      <c r="B112" s="4" t="s">
        <v>38</v>
      </c>
      <c r="C112" s="4" t="s">
        <v>40</v>
      </c>
      <c r="D112" s="4" t="s">
        <v>37</v>
      </c>
      <c r="E112" s="4" t="s">
        <v>25</v>
      </c>
      <c r="F112" s="4" t="s">
        <v>57</v>
      </c>
      <c r="G112" s="4" t="s">
        <v>25</v>
      </c>
      <c r="H112" s="4" t="s">
        <v>25</v>
      </c>
      <c r="I112" s="5">
        <v>44440</v>
      </c>
      <c r="J112" s="6">
        <v>7360</v>
      </c>
      <c r="K112" s="6">
        <v>3066.9119999999998</v>
      </c>
      <c r="L112" s="6">
        <v>0</v>
      </c>
      <c r="M112" s="6">
        <v>0</v>
      </c>
      <c r="N112" s="6">
        <v>0</v>
      </c>
      <c r="O112" s="6">
        <v>0</v>
      </c>
      <c r="P112" s="6">
        <v>18</v>
      </c>
      <c r="Q112" s="4" t="s">
        <v>58</v>
      </c>
      <c r="R112" s="4">
        <v>0</v>
      </c>
      <c r="S112" s="4">
        <v>18</v>
      </c>
      <c r="T112" s="4">
        <v>0</v>
      </c>
      <c r="U112" s="4">
        <v>0</v>
      </c>
      <c r="V112" s="6">
        <f>IF(ISERROR(VLOOKUP($S$112,'TAR FIN'!$A$1:$O$86,15,0)),0,VLOOKUP($S$112,'TAR FIN'!$A$1:$O$86,15,0))</f>
        <v>19.239999999999998</v>
      </c>
      <c r="W112" s="6">
        <f>IF(ISERROR(VLOOKUP($T$112,'TAR FIN'!$A$1:$O$86,15,0)),0,VLOOKUP($T$112,'TAR FIN'!$A$1:$O$86,15,0))</f>
        <v>0</v>
      </c>
      <c r="X112" s="6">
        <f>IF(ISERROR(VLOOKUP($U$112,'TAR FIN'!$A$1:$O$86,15,0)),0,VLOOKUP($U$112,'TAR FIN'!$A$1:$O$86,15,0))</f>
        <v>0</v>
      </c>
      <c r="Y112" s="6">
        <f ca="1">('TUSD BE'!$AM$11+'TUSD BF'!$AM$11+'TUSD CVA'!$AM$11)*1</f>
        <v>15.19295792072058</v>
      </c>
      <c r="Z112" s="6"/>
      <c r="AA112" s="6"/>
      <c r="AB112" s="6">
        <f t="shared" si="6"/>
        <v>82599.013119999989</v>
      </c>
      <c r="AC112" s="6">
        <f t="shared" si="7"/>
        <v>0</v>
      </c>
      <c r="AD112" s="6">
        <f t="shared" ca="1" si="8"/>
        <v>65224.705333950471</v>
      </c>
      <c r="AE112" s="6">
        <f t="shared" si="9"/>
        <v>0</v>
      </c>
      <c r="AF112" s="4" t="s">
        <v>725</v>
      </c>
    </row>
    <row r="113" spans="1:32" ht="11.25" customHeight="1" x14ac:dyDescent="0.25">
      <c r="A113" s="4" t="s">
        <v>21</v>
      </c>
      <c r="B113" s="4" t="s">
        <v>38</v>
      </c>
      <c r="C113" s="4" t="s">
        <v>40</v>
      </c>
      <c r="D113" s="4" t="s">
        <v>37</v>
      </c>
      <c r="E113" s="4" t="s">
        <v>25</v>
      </c>
      <c r="F113" s="4" t="s">
        <v>57</v>
      </c>
      <c r="G113" s="4" t="s">
        <v>25</v>
      </c>
      <c r="H113" s="4" t="s">
        <v>25</v>
      </c>
      <c r="I113" s="5">
        <v>44470</v>
      </c>
      <c r="J113" s="6">
        <v>7363</v>
      </c>
      <c r="K113" s="6">
        <v>3068.1621</v>
      </c>
      <c r="L113" s="6">
        <v>0</v>
      </c>
      <c r="M113" s="6">
        <v>0</v>
      </c>
      <c r="N113" s="6">
        <v>0</v>
      </c>
      <c r="O113" s="6">
        <v>0</v>
      </c>
      <c r="P113" s="6">
        <v>18</v>
      </c>
      <c r="Q113" s="4" t="s">
        <v>58</v>
      </c>
      <c r="R113" s="4">
        <v>0</v>
      </c>
      <c r="S113" s="4">
        <v>18</v>
      </c>
      <c r="T113" s="4">
        <v>0</v>
      </c>
      <c r="U113" s="4">
        <v>0</v>
      </c>
      <c r="V113" s="6">
        <f>IF(ISERROR(VLOOKUP($S$113,'TAR FIN'!$A$1:$O$86,15,0)),0,VLOOKUP($S$113,'TAR FIN'!$A$1:$O$86,15,0))</f>
        <v>19.239999999999998</v>
      </c>
      <c r="W113" s="6">
        <f>IF(ISERROR(VLOOKUP($T$113,'TAR FIN'!$A$1:$O$86,15,0)),0,VLOOKUP($T$113,'TAR FIN'!$A$1:$O$86,15,0))</f>
        <v>0</v>
      </c>
      <c r="X113" s="6">
        <f>IF(ISERROR(VLOOKUP($U$113,'TAR FIN'!$A$1:$O$86,15,0)),0,VLOOKUP($U$113,'TAR FIN'!$A$1:$O$86,15,0))</f>
        <v>0</v>
      </c>
      <c r="Y113" s="6">
        <f ca="1">('TUSD BE'!$AM$11+'TUSD BF'!$AM$11+'TUSD CVA'!$AM$11)*1</f>
        <v>15.19295792072058</v>
      </c>
      <c r="Z113" s="6"/>
      <c r="AA113" s="6"/>
      <c r="AB113" s="6">
        <f t="shared" si="6"/>
        <v>82632.681196000005</v>
      </c>
      <c r="AC113" s="6">
        <f t="shared" si="7"/>
        <v>0</v>
      </c>
      <c r="AD113" s="6">
        <f t="shared" ca="1" si="8"/>
        <v>65251.291491015952</v>
      </c>
      <c r="AE113" s="6">
        <f t="shared" si="9"/>
        <v>0</v>
      </c>
      <c r="AF113" s="4" t="s">
        <v>725</v>
      </c>
    </row>
    <row r="114" spans="1:32" ht="11.25" customHeight="1" x14ac:dyDescent="0.25">
      <c r="A114" s="4" t="s">
        <v>21</v>
      </c>
      <c r="B114" s="4" t="s">
        <v>38</v>
      </c>
      <c r="C114" s="4" t="s">
        <v>40</v>
      </c>
      <c r="D114" s="4" t="s">
        <v>37</v>
      </c>
      <c r="E114" s="4" t="s">
        <v>25</v>
      </c>
      <c r="F114" s="4" t="s">
        <v>57</v>
      </c>
      <c r="G114" s="4" t="s">
        <v>25</v>
      </c>
      <c r="H114" s="4" t="s">
        <v>25</v>
      </c>
      <c r="I114" s="5">
        <v>44501</v>
      </c>
      <c r="J114" s="6">
        <v>7578</v>
      </c>
      <c r="K114" s="6">
        <v>2841.75</v>
      </c>
      <c r="L114" s="6">
        <v>0</v>
      </c>
      <c r="M114" s="6">
        <v>0</v>
      </c>
      <c r="N114" s="6">
        <v>0</v>
      </c>
      <c r="O114" s="6">
        <v>0</v>
      </c>
      <c r="P114" s="6">
        <v>18</v>
      </c>
      <c r="Q114" s="4" t="s">
        <v>58</v>
      </c>
      <c r="R114" s="4">
        <v>0</v>
      </c>
      <c r="S114" s="4">
        <v>18</v>
      </c>
      <c r="T114" s="4">
        <v>0</v>
      </c>
      <c r="U114" s="4">
        <v>0</v>
      </c>
      <c r="V114" s="6">
        <f>IF(ISERROR(VLOOKUP($S$114,'TAR FIN'!$A$1:$O$86,15,0)),0,VLOOKUP($S$114,'TAR FIN'!$A$1:$O$86,15,0))</f>
        <v>19.239999999999998</v>
      </c>
      <c r="W114" s="6">
        <f>IF(ISERROR(VLOOKUP($T$114,'TAR FIN'!$A$1:$O$86,15,0)),0,VLOOKUP($T$114,'TAR FIN'!$A$1:$O$86,15,0))</f>
        <v>0</v>
      </c>
      <c r="X114" s="6">
        <f>IF(ISERROR(VLOOKUP($U$114,'TAR FIN'!$A$1:$O$86,15,0)),0,VLOOKUP($U$114,'TAR FIN'!$A$1:$O$86,15,0))</f>
        <v>0</v>
      </c>
      <c r="Y114" s="6">
        <f ca="1">('TUSD BE'!$AM$11+'TUSD BF'!$AM$11+'TUSD CVA'!$AM$11)*1</f>
        <v>15.19295792072058</v>
      </c>
      <c r="Z114" s="6"/>
      <c r="AA114" s="6"/>
      <c r="AB114" s="6">
        <f t="shared" si="6"/>
        <v>91125.45</v>
      </c>
      <c r="AC114" s="6">
        <f t="shared" si="7"/>
        <v>0</v>
      </c>
      <c r="AD114" s="6">
        <f t="shared" ca="1" si="8"/>
        <v>71957.646952012845</v>
      </c>
      <c r="AE114" s="6">
        <f t="shared" si="9"/>
        <v>0</v>
      </c>
      <c r="AF114" s="4" t="s">
        <v>725</v>
      </c>
    </row>
    <row r="115" spans="1:32" ht="11.25" customHeight="1" x14ac:dyDescent="0.25">
      <c r="A115" s="4" t="s">
        <v>21</v>
      </c>
      <c r="B115" s="4" t="s">
        <v>38</v>
      </c>
      <c r="C115" s="4" t="s">
        <v>40</v>
      </c>
      <c r="D115" s="4" t="s">
        <v>37</v>
      </c>
      <c r="E115" s="4" t="s">
        <v>25</v>
      </c>
      <c r="F115" s="4" t="s">
        <v>57</v>
      </c>
      <c r="G115" s="4" t="s">
        <v>25</v>
      </c>
      <c r="H115" s="4" t="s">
        <v>25</v>
      </c>
      <c r="I115" s="5">
        <v>44531</v>
      </c>
      <c r="J115" s="6">
        <v>7655</v>
      </c>
      <c r="K115" s="6">
        <v>3223.5205000000001</v>
      </c>
      <c r="L115" s="6">
        <v>0</v>
      </c>
      <c r="M115" s="6">
        <v>0</v>
      </c>
      <c r="N115" s="6">
        <v>0</v>
      </c>
      <c r="O115" s="6">
        <v>0</v>
      </c>
      <c r="P115" s="6">
        <v>19</v>
      </c>
      <c r="Q115" s="4" t="s">
        <v>58</v>
      </c>
      <c r="R115" s="4">
        <v>0</v>
      </c>
      <c r="S115" s="4">
        <v>18</v>
      </c>
      <c r="T115" s="4">
        <v>0</v>
      </c>
      <c r="U115" s="4">
        <v>0</v>
      </c>
      <c r="V115" s="6">
        <f>IF(ISERROR(VLOOKUP($S$115,'TAR FIN'!$A$1:$O$86,15,0)),0,VLOOKUP($S$115,'TAR FIN'!$A$1:$O$86,15,0))</f>
        <v>19.239999999999998</v>
      </c>
      <c r="W115" s="6">
        <f>IF(ISERROR(VLOOKUP($T$115,'TAR FIN'!$A$1:$O$86,15,0)),0,VLOOKUP($T$115,'TAR FIN'!$A$1:$O$86,15,0))</f>
        <v>0</v>
      </c>
      <c r="X115" s="6">
        <f>IF(ISERROR(VLOOKUP($U$115,'TAR FIN'!$A$1:$O$86,15,0)),0,VLOOKUP($U$115,'TAR FIN'!$A$1:$O$86,15,0))</f>
        <v>0</v>
      </c>
      <c r="Y115" s="6">
        <f ca="1">('TUSD BE'!$AM$11+'TUSD BF'!$AM$11+'TUSD CVA'!$AM$11)*1</f>
        <v>15.19295792072058</v>
      </c>
      <c r="Z115" s="6"/>
      <c r="AA115" s="6"/>
      <c r="AB115" s="6">
        <f t="shared" si="6"/>
        <v>85261.665579999986</v>
      </c>
      <c r="AC115" s="6">
        <f t="shared" si="7"/>
        <v>0</v>
      </c>
      <c r="AD115" s="6">
        <f t="shared" ca="1" si="8"/>
        <v>67327.281570035862</v>
      </c>
      <c r="AE115" s="6">
        <f t="shared" si="9"/>
        <v>0</v>
      </c>
      <c r="AF115" s="4" t="s">
        <v>725</v>
      </c>
    </row>
    <row r="116" spans="1:32" ht="11.25" customHeight="1" x14ac:dyDescent="0.25">
      <c r="A116" s="4" t="s">
        <v>21</v>
      </c>
      <c r="B116" s="4" t="s">
        <v>38</v>
      </c>
      <c r="C116" s="4" t="s">
        <v>40</v>
      </c>
      <c r="D116" s="4" t="s">
        <v>37</v>
      </c>
      <c r="E116" s="4" t="s">
        <v>25</v>
      </c>
      <c r="F116" s="4" t="s">
        <v>57</v>
      </c>
      <c r="G116" s="4" t="s">
        <v>25</v>
      </c>
      <c r="H116" s="4" t="s">
        <v>25</v>
      </c>
      <c r="I116" s="5">
        <v>44562</v>
      </c>
      <c r="J116" s="6">
        <v>7910</v>
      </c>
      <c r="K116" s="6">
        <v>3213.0419999999999</v>
      </c>
      <c r="L116" s="6">
        <v>0</v>
      </c>
      <c r="M116" s="6">
        <v>0</v>
      </c>
      <c r="N116" s="6">
        <v>0</v>
      </c>
      <c r="O116" s="6">
        <v>0</v>
      </c>
      <c r="P116" s="6">
        <v>19</v>
      </c>
      <c r="Q116" s="4" t="s">
        <v>58</v>
      </c>
      <c r="R116" s="4">
        <v>0</v>
      </c>
      <c r="S116" s="4">
        <v>18</v>
      </c>
      <c r="T116" s="4">
        <v>0</v>
      </c>
      <c r="U116" s="4">
        <v>0</v>
      </c>
      <c r="V116" s="6">
        <f>IF(ISERROR(VLOOKUP($S$116,'TAR FIN'!$A$1:$O$86,15,0)),0,VLOOKUP($S$116,'TAR FIN'!$A$1:$O$86,15,0))</f>
        <v>19.239999999999998</v>
      </c>
      <c r="W116" s="6">
        <f>IF(ISERROR(VLOOKUP($T$116,'TAR FIN'!$A$1:$O$86,15,0)),0,VLOOKUP($T$116,'TAR FIN'!$A$1:$O$86,15,0))</f>
        <v>0</v>
      </c>
      <c r="X116" s="6">
        <f>IF(ISERROR(VLOOKUP($U$116,'TAR FIN'!$A$1:$O$86,15,0)),0,VLOOKUP($U$116,'TAR FIN'!$A$1:$O$86,15,0))</f>
        <v>0</v>
      </c>
      <c r="Y116" s="6">
        <f ca="1">('TUSD BE'!$AM$11+'TUSD BF'!$AM$11+'TUSD CVA'!$AM$11)*1</f>
        <v>15.19295792072058</v>
      </c>
      <c r="Z116" s="6"/>
      <c r="AA116" s="6"/>
      <c r="AB116" s="6">
        <f t="shared" si="6"/>
        <v>90369.471919999996</v>
      </c>
      <c r="AC116" s="6">
        <f t="shared" si="7"/>
        <v>0</v>
      </c>
      <c r="AD116" s="6">
        <f t="shared" ca="1" si="8"/>
        <v>71360.6852493919</v>
      </c>
      <c r="AE116" s="6">
        <f t="shared" si="9"/>
        <v>0</v>
      </c>
      <c r="AF116" s="4" t="s">
        <v>725</v>
      </c>
    </row>
    <row r="117" spans="1:32" ht="11.25" customHeight="1" x14ac:dyDescent="0.25">
      <c r="A117" s="4" t="s">
        <v>21</v>
      </c>
      <c r="B117" s="4" t="s">
        <v>38</v>
      </c>
      <c r="C117" s="4" t="s">
        <v>40</v>
      </c>
      <c r="D117" s="4" t="s">
        <v>37</v>
      </c>
      <c r="E117" s="4" t="s">
        <v>25</v>
      </c>
      <c r="F117" s="4" t="s">
        <v>57</v>
      </c>
      <c r="G117" s="4" t="s">
        <v>25</v>
      </c>
      <c r="H117" s="4" t="s">
        <v>25</v>
      </c>
      <c r="I117" s="5">
        <v>44593</v>
      </c>
      <c r="J117" s="6">
        <v>7814</v>
      </c>
      <c r="K117" s="6">
        <v>3290.4753999999998</v>
      </c>
      <c r="L117" s="6">
        <v>0</v>
      </c>
      <c r="M117" s="6">
        <v>0</v>
      </c>
      <c r="N117" s="6">
        <v>0</v>
      </c>
      <c r="O117" s="6">
        <v>0</v>
      </c>
      <c r="P117" s="6">
        <v>19</v>
      </c>
      <c r="Q117" s="4" t="s">
        <v>58</v>
      </c>
      <c r="R117" s="4">
        <v>0</v>
      </c>
      <c r="S117" s="4">
        <v>18</v>
      </c>
      <c r="T117" s="4">
        <v>0</v>
      </c>
      <c r="U117" s="4">
        <v>0</v>
      </c>
      <c r="V117" s="6">
        <f>IF(ISERROR(VLOOKUP($S$117,'TAR FIN'!$A$1:$O$86,15,0)),0,VLOOKUP($S$117,'TAR FIN'!$A$1:$O$86,15,0))</f>
        <v>19.239999999999998</v>
      </c>
      <c r="W117" s="6">
        <f>IF(ISERROR(VLOOKUP($T$117,'TAR FIN'!$A$1:$O$86,15,0)),0,VLOOKUP($T$117,'TAR FIN'!$A$1:$O$86,15,0))</f>
        <v>0</v>
      </c>
      <c r="X117" s="6">
        <f>IF(ISERROR(VLOOKUP($U$117,'TAR FIN'!$A$1:$O$86,15,0)),0,VLOOKUP($U$117,'TAR FIN'!$A$1:$O$86,15,0))</f>
        <v>0</v>
      </c>
      <c r="Y117" s="6">
        <f ca="1">('TUSD BE'!$AM$11+'TUSD BF'!$AM$11+'TUSD CVA'!$AM$11)*1</f>
        <v>15.19295792072058</v>
      </c>
      <c r="Z117" s="6"/>
      <c r="AA117" s="6"/>
      <c r="AB117" s="6">
        <f t="shared" si="6"/>
        <v>87032.613303999999</v>
      </c>
      <c r="AC117" s="6">
        <f t="shared" si="7"/>
        <v>0</v>
      </c>
      <c r="AD117" s="6">
        <f t="shared" ca="1" si="8"/>
        <v>68725.718901144399</v>
      </c>
      <c r="AE117" s="6">
        <f t="shared" si="9"/>
        <v>0</v>
      </c>
      <c r="AF117" s="4" t="s">
        <v>725</v>
      </c>
    </row>
    <row r="118" spans="1:32" ht="11.25" customHeight="1" x14ac:dyDescent="0.25">
      <c r="A118" s="4" t="s">
        <v>21</v>
      </c>
      <c r="B118" s="4" t="s">
        <v>38</v>
      </c>
      <c r="C118" s="4" t="s">
        <v>40</v>
      </c>
      <c r="D118" s="4" t="s">
        <v>37</v>
      </c>
      <c r="E118" s="4" t="s">
        <v>25</v>
      </c>
      <c r="F118" s="4" t="s">
        <v>57</v>
      </c>
      <c r="G118" s="4" t="s">
        <v>25</v>
      </c>
      <c r="H118" s="4" t="s">
        <v>25</v>
      </c>
      <c r="I118" s="5">
        <v>44621</v>
      </c>
      <c r="J118" s="6">
        <v>7899</v>
      </c>
      <c r="K118" s="6">
        <v>3291.5133000000001</v>
      </c>
      <c r="L118" s="6">
        <v>0</v>
      </c>
      <c r="M118" s="6">
        <v>0</v>
      </c>
      <c r="N118" s="6">
        <v>0</v>
      </c>
      <c r="O118" s="6">
        <v>0</v>
      </c>
      <c r="P118" s="6">
        <v>18</v>
      </c>
      <c r="Q118" s="4" t="s">
        <v>58</v>
      </c>
      <c r="R118" s="4">
        <v>0</v>
      </c>
      <c r="S118" s="4">
        <v>18</v>
      </c>
      <c r="T118" s="4">
        <v>0</v>
      </c>
      <c r="U118" s="4">
        <v>0</v>
      </c>
      <c r="V118" s="6">
        <f>IF(ISERROR(VLOOKUP($S$118,'TAR FIN'!$A$1:$O$86,15,0)),0,VLOOKUP($S$118,'TAR FIN'!$A$1:$O$86,15,0))</f>
        <v>19.239999999999998</v>
      </c>
      <c r="W118" s="6">
        <f>IF(ISERROR(VLOOKUP($T$118,'TAR FIN'!$A$1:$O$86,15,0)),0,VLOOKUP($T$118,'TAR FIN'!$A$1:$O$86,15,0))</f>
        <v>0</v>
      </c>
      <c r="X118" s="6">
        <f>IF(ISERROR(VLOOKUP($U$118,'TAR FIN'!$A$1:$O$86,15,0)),0,VLOOKUP($U$118,'TAR FIN'!$A$1:$O$86,15,0))</f>
        <v>0</v>
      </c>
      <c r="Y118" s="6">
        <f ca="1">('TUSD BE'!$AM$11+'TUSD BF'!$AM$11+'TUSD CVA'!$AM$11)*1</f>
        <v>15.19295792072058</v>
      </c>
      <c r="Z118" s="6"/>
      <c r="AA118" s="6"/>
      <c r="AB118" s="6">
        <f t="shared" si="6"/>
        <v>88648.044107999987</v>
      </c>
      <c r="AC118" s="6">
        <f t="shared" si="7"/>
        <v>0</v>
      </c>
      <c r="AD118" s="6">
        <f t="shared" ca="1" si="8"/>
        <v>70001.351553379718</v>
      </c>
      <c r="AE118" s="6">
        <f t="shared" si="9"/>
        <v>0</v>
      </c>
      <c r="AF118" s="4" t="s">
        <v>725</v>
      </c>
    </row>
    <row r="119" spans="1:32" ht="11.25" customHeight="1" x14ac:dyDescent="0.25">
      <c r="A119" s="4" t="s">
        <v>21</v>
      </c>
      <c r="B119" s="4" t="s">
        <v>38</v>
      </c>
      <c r="C119" s="4" t="s">
        <v>40</v>
      </c>
      <c r="D119" s="4" t="s">
        <v>37</v>
      </c>
      <c r="E119" s="4" t="s">
        <v>25</v>
      </c>
      <c r="F119" s="4" t="s">
        <v>57</v>
      </c>
      <c r="G119" s="4" t="s">
        <v>25</v>
      </c>
      <c r="H119" s="4" t="s">
        <v>25</v>
      </c>
      <c r="I119" s="5">
        <v>44652</v>
      </c>
      <c r="J119" s="6">
        <v>7918</v>
      </c>
      <c r="K119" s="6">
        <v>3299.4306000000001</v>
      </c>
      <c r="L119" s="6">
        <v>0</v>
      </c>
      <c r="M119" s="6">
        <v>0</v>
      </c>
      <c r="N119" s="6">
        <v>0</v>
      </c>
      <c r="O119" s="6">
        <v>0</v>
      </c>
      <c r="P119" s="6">
        <v>18</v>
      </c>
      <c r="Q119" s="4" t="s">
        <v>58</v>
      </c>
      <c r="R119" s="4">
        <v>0</v>
      </c>
      <c r="S119" s="4">
        <v>18</v>
      </c>
      <c r="T119" s="4">
        <v>0</v>
      </c>
      <c r="U119" s="4">
        <v>0</v>
      </c>
      <c r="V119" s="6">
        <f>IF(ISERROR(VLOOKUP($S$119,'TAR FIN'!$A$1:$O$86,15,0)),0,VLOOKUP($S$119,'TAR FIN'!$A$1:$O$86,15,0))</f>
        <v>19.239999999999998</v>
      </c>
      <c r="W119" s="6">
        <f>IF(ISERROR(VLOOKUP($T$119,'TAR FIN'!$A$1:$O$86,15,0)),0,VLOOKUP($T$119,'TAR FIN'!$A$1:$O$86,15,0))</f>
        <v>0</v>
      </c>
      <c r="X119" s="6">
        <f>IF(ISERROR(VLOOKUP($U$119,'TAR FIN'!$A$1:$O$86,15,0)),0,VLOOKUP($U$119,'TAR FIN'!$A$1:$O$86,15,0))</f>
        <v>0</v>
      </c>
      <c r="Y119" s="6">
        <f ca="1">('TUSD BE'!$AM$11+'TUSD BF'!$AM$11+'TUSD CVA'!$AM$11)*1</f>
        <v>15.19295792072058</v>
      </c>
      <c r="Z119" s="6"/>
      <c r="AA119" s="6"/>
      <c r="AB119" s="6">
        <f t="shared" si="6"/>
        <v>88861.275255999994</v>
      </c>
      <c r="AC119" s="6">
        <f t="shared" si="7"/>
        <v>0</v>
      </c>
      <c r="AD119" s="6">
        <f t="shared" ca="1" si="8"/>
        <v>70169.7305481277</v>
      </c>
      <c r="AE119" s="6">
        <f t="shared" si="9"/>
        <v>0</v>
      </c>
      <c r="AF119" s="4" t="s">
        <v>725</v>
      </c>
    </row>
    <row r="120" spans="1:32" ht="11.25" customHeight="1" x14ac:dyDescent="0.25">
      <c r="A120" s="4" t="s">
        <v>21</v>
      </c>
      <c r="B120" s="4" t="s">
        <v>38</v>
      </c>
      <c r="C120" s="4" t="s">
        <v>40</v>
      </c>
      <c r="D120" s="4" t="s">
        <v>37</v>
      </c>
      <c r="E120" s="4" t="s">
        <v>25</v>
      </c>
      <c r="F120" s="4" t="s">
        <v>57</v>
      </c>
      <c r="G120" s="4" t="s">
        <v>25</v>
      </c>
      <c r="H120" s="4" t="s">
        <v>25</v>
      </c>
      <c r="I120" s="5">
        <v>44682</v>
      </c>
      <c r="J120" s="6">
        <v>7718</v>
      </c>
      <c r="K120" s="6">
        <v>3216.0906</v>
      </c>
      <c r="L120" s="6">
        <v>0</v>
      </c>
      <c r="M120" s="6">
        <v>0</v>
      </c>
      <c r="N120" s="6">
        <v>0</v>
      </c>
      <c r="O120" s="6">
        <v>0</v>
      </c>
      <c r="P120" s="6">
        <v>18</v>
      </c>
      <c r="Q120" s="4" t="s">
        <v>58</v>
      </c>
      <c r="R120" s="4">
        <v>0</v>
      </c>
      <c r="S120" s="4">
        <v>18</v>
      </c>
      <c r="T120" s="4">
        <v>0</v>
      </c>
      <c r="U120" s="4">
        <v>0</v>
      </c>
      <c r="V120" s="6">
        <f>IF(ISERROR(VLOOKUP($S$120,'TAR FIN'!$A$1:$O$86,15,0)),0,VLOOKUP($S$120,'TAR FIN'!$A$1:$O$86,15,0))</f>
        <v>19.239999999999998</v>
      </c>
      <c r="W120" s="6">
        <f>IF(ISERROR(VLOOKUP($T$120,'TAR FIN'!$A$1:$O$86,15,0)),0,VLOOKUP($T$120,'TAR FIN'!$A$1:$O$86,15,0))</f>
        <v>0</v>
      </c>
      <c r="X120" s="6">
        <f>IF(ISERROR(VLOOKUP($U$120,'TAR FIN'!$A$1:$O$86,15,0)),0,VLOOKUP($U$120,'TAR FIN'!$A$1:$O$86,15,0))</f>
        <v>0</v>
      </c>
      <c r="Y120" s="6">
        <f ca="1">('TUSD BE'!$AM$11+'TUSD BF'!$AM$11+'TUSD CVA'!$AM$11)*1</f>
        <v>15.19295792072058</v>
      </c>
      <c r="Z120" s="6"/>
      <c r="AA120" s="6"/>
      <c r="AB120" s="6">
        <f t="shared" si="6"/>
        <v>86616.736856000003</v>
      </c>
      <c r="AC120" s="6">
        <f t="shared" si="7"/>
        <v>0</v>
      </c>
      <c r="AD120" s="6">
        <f t="shared" ca="1" si="8"/>
        <v>68397.320077096447</v>
      </c>
      <c r="AE120" s="6">
        <f t="shared" si="9"/>
        <v>0</v>
      </c>
      <c r="AF120" s="4" t="s">
        <v>725</v>
      </c>
    </row>
    <row r="121" spans="1:32" ht="11.25" customHeight="1" x14ac:dyDescent="0.25">
      <c r="A121" s="4" t="s">
        <v>56</v>
      </c>
      <c r="B121" s="4" t="s">
        <v>38</v>
      </c>
      <c r="C121" s="4" t="s">
        <v>40</v>
      </c>
      <c r="D121" s="4" t="s">
        <v>37</v>
      </c>
      <c r="E121" s="4" t="s">
        <v>25</v>
      </c>
      <c r="F121" s="4" t="s">
        <v>57</v>
      </c>
      <c r="G121" s="4" t="s">
        <v>25</v>
      </c>
      <c r="H121" s="4" t="s">
        <v>25</v>
      </c>
      <c r="I121" s="5">
        <v>44713</v>
      </c>
      <c r="J121" s="6">
        <v>7718</v>
      </c>
      <c r="K121" s="6">
        <v>3216.0906</v>
      </c>
      <c r="L121" s="6">
        <v>0</v>
      </c>
      <c r="M121" s="6">
        <v>0</v>
      </c>
      <c r="N121" s="6">
        <v>0</v>
      </c>
      <c r="O121" s="6">
        <v>0</v>
      </c>
      <c r="P121" s="6">
        <v>18</v>
      </c>
      <c r="Q121" s="4" t="s">
        <v>58</v>
      </c>
      <c r="R121" s="4">
        <v>0</v>
      </c>
      <c r="S121" s="4">
        <v>18</v>
      </c>
      <c r="T121" s="4">
        <v>0</v>
      </c>
      <c r="U121" s="4">
        <v>0</v>
      </c>
      <c r="V121" s="6">
        <f>IF(ISERROR(VLOOKUP($S$121,'TAR FIN'!$A$1:$O$86,15,0)),0,VLOOKUP($S$121,'TAR FIN'!$A$1:$O$86,15,0))</f>
        <v>19.239999999999998</v>
      </c>
      <c r="W121" s="6">
        <f>IF(ISERROR(VLOOKUP($T$121,'TAR FIN'!$A$1:$O$86,15,0)),0,VLOOKUP($T$121,'TAR FIN'!$A$1:$O$86,15,0))</f>
        <v>0</v>
      </c>
      <c r="X121" s="6">
        <f>IF(ISERROR(VLOOKUP($U$121,'TAR FIN'!$A$1:$O$86,15,0)),0,VLOOKUP($U$121,'TAR FIN'!$A$1:$O$86,15,0))</f>
        <v>0</v>
      </c>
      <c r="Y121" s="6">
        <f ca="1">('TUSD BE'!$AM$11+'TUSD BF'!$AM$11+'TUSD CVA'!$AM$11)*1</f>
        <v>15.19295792072058</v>
      </c>
      <c r="Z121" s="6"/>
      <c r="AA121" s="6"/>
      <c r="AB121" s="6">
        <f t="shared" si="6"/>
        <v>86616.736856000003</v>
      </c>
      <c r="AC121" s="6">
        <f t="shared" si="7"/>
        <v>0</v>
      </c>
      <c r="AD121" s="6">
        <f t="shared" ca="1" si="8"/>
        <v>68397.320077096447</v>
      </c>
      <c r="AE121" s="6">
        <f t="shared" si="9"/>
        <v>0</v>
      </c>
      <c r="AF121" s="4" t="s">
        <v>725</v>
      </c>
    </row>
    <row r="122" spans="1:32" ht="11.25" customHeight="1" x14ac:dyDescent="0.25">
      <c r="A122" s="4" t="s">
        <v>21</v>
      </c>
      <c r="B122" s="4" t="s">
        <v>38</v>
      </c>
      <c r="C122" s="4" t="s">
        <v>40</v>
      </c>
      <c r="D122" s="4" t="s">
        <v>37</v>
      </c>
      <c r="E122" s="4" t="s">
        <v>25</v>
      </c>
      <c r="F122" s="4" t="s">
        <v>57</v>
      </c>
      <c r="G122" s="4" t="s">
        <v>25</v>
      </c>
      <c r="H122" s="4" t="s">
        <v>33</v>
      </c>
      <c r="I122" s="5">
        <v>44378</v>
      </c>
      <c r="J122" s="6">
        <v>0</v>
      </c>
      <c r="K122" s="6">
        <v>0</v>
      </c>
      <c r="L122" s="6">
        <v>219.119</v>
      </c>
      <c r="M122" s="6">
        <v>91.3068873</v>
      </c>
      <c r="N122" s="6">
        <v>0</v>
      </c>
      <c r="O122" s="6">
        <v>0</v>
      </c>
      <c r="P122" s="6">
        <v>0</v>
      </c>
      <c r="Q122" s="4" t="s">
        <v>58</v>
      </c>
      <c r="R122" s="4">
        <v>0</v>
      </c>
      <c r="S122" s="4">
        <v>0</v>
      </c>
      <c r="T122" s="4">
        <v>16</v>
      </c>
      <c r="U122" s="4">
        <v>0</v>
      </c>
      <c r="V122" s="6">
        <f>IF(ISERROR(VLOOKUP($S$122,'TAR FIN'!$A$1:$O$86,15,0)),0,VLOOKUP($S$122,'TAR FIN'!$A$1:$O$86,15,0))</f>
        <v>0</v>
      </c>
      <c r="W122" s="6">
        <f>IF(ISERROR(VLOOKUP($T$122,'TAR FIN'!$A$1:$O$86,15,0)),0,VLOOKUP($T$122,'TAR FIN'!$A$1:$O$86,15,0))</f>
        <v>1329.67</v>
      </c>
      <c r="X122" s="6">
        <f>IF(ISERROR(VLOOKUP($U$122,'TAR FIN'!$A$1:$O$86,15,0)),0,VLOOKUP($U$122,'TAR FIN'!$A$1:$O$86,15,0))</f>
        <v>0</v>
      </c>
      <c r="Y122" s="6"/>
      <c r="Z122" s="6">
        <f ca="1">('TUSD BE'!$AM$12+'TUSD BF'!$AM$12+'TUSD CVA'!$AM$12)*1</f>
        <v>1074.3612836602365</v>
      </c>
      <c r="AA122" s="6"/>
      <c r="AB122" s="6">
        <f t="shared" si="6"/>
        <v>0</v>
      </c>
      <c r="AC122" s="6">
        <f t="shared" si="7"/>
        <v>169947.931893809</v>
      </c>
      <c r="AD122" s="6">
        <f t="shared" si="8"/>
        <v>0</v>
      </c>
      <c r="AE122" s="6">
        <f t="shared" ca="1" si="9"/>
        <v>137316.38546769883</v>
      </c>
      <c r="AF122" s="4" t="s">
        <v>725</v>
      </c>
    </row>
    <row r="123" spans="1:32" ht="11.25" customHeight="1" x14ac:dyDescent="0.25">
      <c r="A123" s="4" t="s">
        <v>21</v>
      </c>
      <c r="B123" s="4" t="s">
        <v>38</v>
      </c>
      <c r="C123" s="4" t="s">
        <v>40</v>
      </c>
      <c r="D123" s="4" t="s">
        <v>37</v>
      </c>
      <c r="E123" s="4" t="s">
        <v>25</v>
      </c>
      <c r="F123" s="4" t="s">
        <v>57</v>
      </c>
      <c r="G123" s="4" t="s">
        <v>25</v>
      </c>
      <c r="H123" s="4" t="s">
        <v>33</v>
      </c>
      <c r="I123" s="5">
        <v>44409</v>
      </c>
      <c r="J123" s="6">
        <v>0</v>
      </c>
      <c r="K123" s="6">
        <v>0</v>
      </c>
      <c r="L123" s="6">
        <v>221.024</v>
      </c>
      <c r="M123" s="6">
        <v>92.100700799999998</v>
      </c>
      <c r="N123" s="6">
        <v>0</v>
      </c>
      <c r="O123" s="6">
        <v>0</v>
      </c>
      <c r="P123" s="6">
        <v>0</v>
      </c>
      <c r="Q123" s="4" t="s">
        <v>58</v>
      </c>
      <c r="R123" s="4">
        <v>0</v>
      </c>
      <c r="S123" s="4">
        <v>0</v>
      </c>
      <c r="T123" s="4">
        <v>16</v>
      </c>
      <c r="U123" s="4">
        <v>0</v>
      </c>
      <c r="V123" s="6">
        <f>IF(ISERROR(VLOOKUP($S$123,'TAR FIN'!$A$1:$O$86,15,0)),0,VLOOKUP($S$123,'TAR FIN'!$A$1:$O$86,15,0))</f>
        <v>0</v>
      </c>
      <c r="W123" s="6">
        <f>IF(ISERROR(VLOOKUP($T$123,'TAR FIN'!$A$1:$O$86,15,0)),0,VLOOKUP($T$123,'TAR FIN'!$A$1:$O$86,15,0))</f>
        <v>1329.67</v>
      </c>
      <c r="X123" s="6">
        <f>IF(ISERROR(VLOOKUP($U$123,'TAR FIN'!$A$1:$O$86,15,0)),0,VLOOKUP($U$123,'TAR FIN'!$A$1:$O$86,15,0))</f>
        <v>0</v>
      </c>
      <c r="Y123" s="6"/>
      <c r="Z123" s="6">
        <f ca="1">('TUSD BE'!$AM$12+'TUSD BF'!$AM$12+'TUSD CVA'!$AM$12)*1</f>
        <v>1074.3612836602365</v>
      </c>
      <c r="AA123" s="6"/>
      <c r="AB123" s="6">
        <f t="shared" si="6"/>
        <v>0</v>
      </c>
      <c r="AC123" s="6">
        <f t="shared" si="7"/>
        <v>171425.44324726402</v>
      </c>
      <c r="AD123" s="6">
        <f t="shared" si="8"/>
        <v>0</v>
      </c>
      <c r="AE123" s="6">
        <f t="shared" ca="1" si="9"/>
        <v>138510.20122222474</v>
      </c>
      <c r="AF123" s="4" t="s">
        <v>725</v>
      </c>
    </row>
    <row r="124" spans="1:32" ht="11.25" customHeight="1" x14ac:dyDescent="0.25">
      <c r="A124" s="4" t="s">
        <v>21</v>
      </c>
      <c r="B124" s="4" t="s">
        <v>38</v>
      </c>
      <c r="C124" s="4" t="s">
        <v>40</v>
      </c>
      <c r="D124" s="4" t="s">
        <v>37</v>
      </c>
      <c r="E124" s="4" t="s">
        <v>25</v>
      </c>
      <c r="F124" s="4" t="s">
        <v>57</v>
      </c>
      <c r="G124" s="4" t="s">
        <v>25</v>
      </c>
      <c r="H124" s="4" t="s">
        <v>33</v>
      </c>
      <c r="I124" s="5">
        <v>44440</v>
      </c>
      <c r="J124" s="6">
        <v>0</v>
      </c>
      <c r="K124" s="6">
        <v>0</v>
      </c>
      <c r="L124" s="6">
        <v>206.77799999999999</v>
      </c>
      <c r="M124" s="6">
        <v>86.164392599999999</v>
      </c>
      <c r="N124" s="6">
        <v>0</v>
      </c>
      <c r="O124" s="6">
        <v>0</v>
      </c>
      <c r="P124" s="6">
        <v>0</v>
      </c>
      <c r="Q124" s="4" t="s">
        <v>58</v>
      </c>
      <c r="R124" s="4">
        <v>0</v>
      </c>
      <c r="S124" s="4">
        <v>0</v>
      </c>
      <c r="T124" s="4">
        <v>16</v>
      </c>
      <c r="U124" s="4">
        <v>0</v>
      </c>
      <c r="V124" s="6">
        <f>IF(ISERROR(VLOOKUP($S$124,'TAR FIN'!$A$1:$O$86,15,0)),0,VLOOKUP($S$124,'TAR FIN'!$A$1:$O$86,15,0))</f>
        <v>0</v>
      </c>
      <c r="W124" s="6">
        <f>IF(ISERROR(VLOOKUP($T$124,'TAR FIN'!$A$1:$O$86,15,0)),0,VLOOKUP($T$124,'TAR FIN'!$A$1:$O$86,15,0))</f>
        <v>1329.67</v>
      </c>
      <c r="X124" s="6">
        <f>IF(ISERROR(VLOOKUP($U$124,'TAR FIN'!$A$1:$O$86,15,0)),0,VLOOKUP($U$124,'TAR FIN'!$A$1:$O$86,15,0))</f>
        <v>0</v>
      </c>
      <c r="Y124" s="6"/>
      <c r="Z124" s="6">
        <f ca="1">('TUSD BE'!$AM$12+'TUSD BF'!$AM$12+'TUSD CVA'!$AM$12)*1</f>
        <v>1074.3612836602365</v>
      </c>
      <c r="AA124" s="6"/>
      <c r="AB124" s="6">
        <f t="shared" si="6"/>
        <v>0</v>
      </c>
      <c r="AC124" s="6">
        <f t="shared" si="7"/>
        <v>160376.29535155799</v>
      </c>
      <c r="AD124" s="6">
        <f t="shared" si="8"/>
        <v>0</v>
      </c>
      <c r="AE124" s="6">
        <f t="shared" ca="1" si="9"/>
        <v>129582.59007315579</v>
      </c>
      <c r="AF124" s="4" t="s">
        <v>725</v>
      </c>
    </row>
    <row r="125" spans="1:32" ht="11.25" customHeight="1" x14ac:dyDescent="0.25">
      <c r="A125" s="4" t="s">
        <v>21</v>
      </c>
      <c r="B125" s="4" t="s">
        <v>38</v>
      </c>
      <c r="C125" s="4" t="s">
        <v>40</v>
      </c>
      <c r="D125" s="4" t="s">
        <v>37</v>
      </c>
      <c r="E125" s="4" t="s">
        <v>25</v>
      </c>
      <c r="F125" s="4" t="s">
        <v>57</v>
      </c>
      <c r="G125" s="4" t="s">
        <v>25</v>
      </c>
      <c r="H125" s="4" t="s">
        <v>33</v>
      </c>
      <c r="I125" s="5">
        <v>44470</v>
      </c>
      <c r="J125" s="6">
        <v>0</v>
      </c>
      <c r="K125" s="6">
        <v>0</v>
      </c>
      <c r="L125" s="6">
        <v>183.97499999999999</v>
      </c>
      <c r="M125" s="6">
        <v>81.16977</v>
      </c>
      <c r="N125" s="6">
        <v>0</v>
      </c>
      <c r="O125" s="6">
        <v>0</v>
      </c>
      <c r="P125" s="6">
        <v>0</v>
      </c>
      <c r="Q125" s="4" t="s">
        <v>58</v>
      </c>
      <c r="R125" s="4">
        <v>0</v>
      </c>
      <c r="S125" s="4">
        <v>0</v>
      </c>
      <c r="T125" s="4">
        <v>16</v>
      </c>
      <c r="U125" s="4">
        <v>0</v>
      </c>
      <c r="V125" s="6">
        <f>IF(ISERROR(VLOOKUP($S$125,'TAR FIN'!$A$1:$O$86,15,0)),0,VLOOKUP($S$125,'TAR FIN'!$A$1:$O$86,15,0))</f>
        <v>0</v>
      </c>
      <c r="W125" s="6">
        <f>IF(ISERROR(VLOOKUP($T$125,'TAR FIN'!$A$1:$O$86,15,0)),0,VLOOKUP($T$125,'TAR FIN'!$A$1:$O$86,15,0))</f>
        <v>1329.67</v>
      </c>
      <c r="X125" s="6">
        <f>IF(ISERROR(VLOOKUP($U$125,'TAR FIN'!$A$1:$O$86,15,0)),0,VLOOKUP($U$125,'TAR FIN'!$A$1:$O$86,15,0))</f>
        <v>0</v>
      </c>
      <c r="Y125" s="6"/>
      <c r="Z125" s="6">
        <f ca="1">('TUSD BE'!$AM$12+'TUSD BF'!$AM$12+'TUSD CVA'!$AM$12)*1</f>
        <v>1074.3612836602365</v>
      </c>
      <c r="AA125" s="6"/>
      <c r="AB125" s="6">
        <f t="shared" si="6"/>
        <v>0</v>
      </c>
      <c r="AC125" s="6">
        <f t="shared" si="7"/>
        <v>136697.03017409999</v>
      </c>
      <c r="AD125" s="6">
        <f t="shared" si="8"/>
        <v>0</v>
      </c>
      <c r="AE125" s="6">
        <f t="shared" ca="1" si="9"/>
        <v>110449.95886978584</v>
      </c>
      <c r="AF125" s="4" t="s">
        <v>725</v>
      </c>
    </row>
    <row r="126" spans="1:32" ht="11.25" customHeight="1" x14ac:dyDescent="0.25">
      <c r="A126" s="4" t="s">
        <v>21</v>
      </c>
      <c r="B126" s="4" t="s">
        <v>38</v>
      </c>
      <c r="C126" s="4" t="s">
        <v>40</v>
      </c>
      <c r="D126" s="4" t="s">
        <v>37</v>
      </c>
      <c r="E126" s="4" t="s">
        <v>25</v>
      </c>
      <c r="F126" s="4" t="s">
        <v>57</v>
      </c>
      <c r="G126" s="4" t="s">
        <v>25</v>
      </c>
      <c r="H126" s="4" t="s">
        <v>33</v>
      </c>
      <c r="I126" s="5">
        <v>44501</v>
      </c>
      <c r="J126" s="6">
        <v>0</v>
      </c>
      <c r="K126" s="6">
        <v>0</v>
      </c>
      <c r="L126" s="6">
        <v>214.07900000000001</v>
      </c>
      <c r="M126" s="6">
        <v>80.279624999999996</v>
      </c>
      <c r="N126" s="6">
        <v>0</v>
      </c>
      <c r="O126" s="6">
        <v>0</v>
      </c>
      <c r="P126" s="6">
        <v>0</v>
      </c>
      <c r="Q126" s="4" t="s">
        <v>58</v>
      </c>
      <c r="R126" s="4">
        <v>0</v>
      </c>
      <c r="S126" s="4">
        <v>0</v>
      </c>
      <c r="T126" s="4">
        <v>16</v>
      </c>
      <c r="U126" s="4">
        <v>0</v>
      </c>
      <c r="V126" s="6">
        <f>IF(ISERROR(VLOOKUP($S$126,'TAR FIN'!$A$1:$O$86,15,0)),0,VLOOKUP($S$126,'TAR FIN'!$A$1:$O$86,15,0))</f>
        <v>0</v>
      </c>
      <c r="W126" s="6">
        <f>IF(ISERROR(VLOOKUP($T$126,'TAR FIN'!$A$1:$O$86,15,0)),0,VLOOKUP($T$126,'TAR FIN'!$A$1:$O$86,15,0))</f>
        <v>1329.67</v>
      </c>
      <c r="X126" s="6">
        <f>IF(ISERROR(VLOOKUP($U$126,'TAR FIN'!$A$1:$O$86,15,0)),0,VLOOKUP($U$126,'TAR FIN'!$A$1:$O$86,15,0))</f>
        <v>0</v>
      </c>
      <c r="Y126" s="6"/>
      <c r="Z126" s="6">
        <f ca="1">('TUSD BE'!$AM$12+'TUSD BF'!$AM$12+'TUSD CVA'!$AM$12)*1</f>
        <v>1074.3612836602365</v>
      </c>
      <c r="AA126" s="6"/>
      <c r="AB126" s="6">
        <f t="shared" si="6"/>
        <v>0</v>
      </c>
      <c r="AC126" s="6">
        <f t="shared" si="7"/>
        <v>177909.01495625</v>
      </c>
      <c r="AD126" s="6">
        <f t="shared" si="8"/>
        <v>0</v>
      </c>
      <c r="AE126" s="6">
        <f t="shared" ca="1" si="9"/>
        <v>143748.86827793735</v>
      </c>
      <c r="AF126" s="4" t="s">
        <v>725</v>
      </c>
    </row>
    <row r="127" spans="1:32" ht="11.25" customHeight="1" x14ac:dyDescent="0.25">
      <c r="A127" s="4" t="s">
        <v>21</v>
      </c>
      <c r="B127" s="4" t="s">
        <v>38</v>
      </c>
      <c r="C127" s="4" t="s">
        <v>40</v>
      </c>
      <c r="D127" s="4" t="s">
        <v>37</v>
      </c>
      <c r="E127" s="4" t="s">
        <v>25</v>
      </c>
      <c r="F127" s="4" t="s">
        <v>57</v>
      </c>
      <c r="G127" s="4" t="s">
        <v>25</v>
      </c>
      <c r="H127" s="4" t="s">
        <v>33</v>
      </c>
      <c r="I127" s="5">
        <v>44531</v>
      </c>
      <c r="J127" s="6">
        <v>0</v>
      </c>
      <c r="K127" s="6">
        <v>0</v>
      </c>
      <c r="L127" s="6">
        <v>213.55799999999999</v>
      </c>
      <c r="M127" s="6">
        <v>89.929273800000004</v>
      </c>
      <c r="N127" s="6">
        <v>0</v>
      </c>
      <c r="O127" s="6">
        <v>0</v>
      </c>
      <c r="P127" s="6">
        <v>0</v>
      </c>
      <c r="Q127" s="4" t="s">
        <v>58</v>
      </c>
      <c r="R127" s="4">
        <v>0</v>
      </c>
      <c r="S127" s="4">
        <v>0</v>
      </c>
      <c r="T127" s="4">
        <v>16</v>
      </c>
      <c r="U127" s="4">
        <v>0</v>
      </c>
      <c r="V127" s="6">
        <f>IF(ISERROR(VLOOKUP($S$127,'TAR FIN'!$A$1:$O$86,15,0)),0,VLOOKUP($S$127,'TAR FIN'!$A$1:$O$86,15,0))</f>
        <v>0</v>
      </c>
      <c r="W127" s="6">
        <f>IF(ISERROR(VLOOKUP($T$127,'TAR FIN'!$A$1:$O$86,15,0)),0,VLOOKUP($T$127,'TAR FIN'!$A$1:$O$86,15,0))</f>
        <v>1329.67</v>
      </c>
      <c r="X127" s="6">
        <f>IF(ISERROR(VLOOKUP($U$127,'TAR FIN'!$A$1:$O$86,15,0)),0,VLOOKUP($U$127,'TAR FIN'!$A$1:$O$86,15,0))</f>
        <v>0</v>
      </c>
      <c r="Y127" s="6"/>
      <c r="Z127" s="6">
        <f ca="1">('TUSD BE'!$AM$12+'TUSD BF'!$AM$12+'TUSD CVA'!$AM$12)*1</f>
        <v>1074.3612836602365</v>
      </c>
      <c r="AA127" s="6"/>
      <c r="AB127" s="6">
        <f t="shared" si="6"/>
        <v>0</v>
      </c>
      <c r="AC127" s="6">
        <f t="shared" si="7"/>
        <v>164385.40836635401</v>
      </c>
      <c r="AD127" s="6">
        <f t="shared" si="8"/>
        <v>0</v>
      </c>
      <c r="AE127" s="6">
        <f t="shared" ca="1" si="9"/>
        <v>132821.91697751189</v>
      </c>
      <c r="AF127" s="4" t="s">
        <v>725</v>
      </c>
    </row>
    <row r="128" spans="1:32" ht="11.25" customHeight="1" x14ac:dyDescent="0.25">
      <c r="A128" s="4" t="s">
        <v>21</v>
      </c>
      <c r="B128" s="4" t="s">
        <v>38</v>
      </c>
      <c r="C128" s="4" t="s">
        <v>40</v>
      </c>
      <c r="D128" s="4" t="s">
        <v>37</v>
      </c>
      <c r="E128" s="4" t="s">
        <v>25</v>
      </c>
      <c r="F128" s="4" t="s">
        <v>57</v>
      </c>
      <c r="G128" s="4" t="s">
        <v>25</v>
      </c>
      <c r="H128" s="4" t="s">
        <v>33</v>
      </c>
      <c r="I128" s="5">
        <v>44562</v>
      </c>
      <c r="J128" s="6">
        <v>0</v>
      </c>
      <c r="K128" s="6">
        <v>0</v>
      </c>
      <c r="L128" s="6">
        <v>159.66800000000001</v>
      </c>
      <c r="M128" s="6">
        <v>64.857141600000006</v>
      </c>
      <c r="N128" s="6">
        <v>0</v>
      </c>
      <c r="O128" s="6">
        <v>0</v>
      </c>
      <c r="P128" s="6">
        <v>0</v>
      </c>
      <c r="Q128" s="4" t="s">
        <v>58</v>
      </c>
      <c r="R128" s="4">
        <v>0</v>
      </c>
      <c r="S128" s="4">
        <v>0</v>
      </c>
      <c r="T128" s="4">
        <v>16</v>
      </c>
      <c r="U128" s="4">
        <v>0</v>
      </c>
      <c r="V128" s="6">
        <f>IF(ISERROR(VLOOKUP($S$128,'TAR FIN'!$A$1:$O$86,15,0)),0,VLOOKUP($S$128,'TAR FIN'!$A$1:$O$86,15,0))</f>
        <v>0</v>
      </c>
      <c r="W128" s="6">
        <f>IF(ISERROR(VLOOKUP($T$128,'TAR FIN'!$A$1:$O$86,15,0)),0,VLOOKUP($T$128,'TAR FIN'!$A$1:$O$86,15,0))</f>
        <v>1329.67</v>
      </c>
      <c r="X128" s="6">
        <f>IF(ISERROR(VLOOKUP($U$128,'TAR FIN'!$A$1:$O$86,15,0)),0,VLOOKUP($U$128,'TAR FIN'!$A$1:$O$86,15,0))</f>
        <v>0</v>
      </c>
      <c r="Y128" s="6"/>
      <c r="Z128" s="6">
        <f ca="1">('TUSD BE'!$AM$12+'TUSD BF'!$AM$12+'TUSD CVA'!$AM$12)*1</f>
        <v>1074.3612836602365</v>
      </c>
      <c r="AA128" s="6"/>
      <c r="AB128" s="6">
        <f t="shared" si="6"/>
        <v>0</v>
      </c>
      <c r="AC128" s="6">
        <f t="shared" si="7"/>
        <v>126067.15408872801</v>
      </c>
      <c r="AD128" s="6">
        <f t="shared" si="8"/>
        <v>0</v>
      </c>
      <c r="AE128" s="6">
        <f t="shared" ca="1" si="9"/>
        <v>101861.11553555292</v>
      </c>
      <c r="AF128" s="4" t="s">
        <v>725</v>
      </c>
    </row>
    <row r="129" spans="1:32" ht="11.25" customHeight="1" x14ac:dyDescent="0.25">
      <c r="A129" s="4" t="s">
        <v>21</v>
      </c>
      <c r="B129" s="4" t="s">
        <v>38</v>
      </c>
      <c r="C129" s="4" t="s">
        <v>40</v>
      </c>
      <c r="D129" s="4" t="s">
        <v>37</v>
      </c>
      <c r="E129" s="4" t="s">
        <v>25</v>
      </c>
      <c r="F129" s="4" t="s">
        <v>57</v>
      </c>
      <c r="G129" s="4" t="s">
        <v>25</v>
      </c>
      <c r="H129" s="4" t="s">
        <v>33</v>
      </c>
      <c r="I129" s="5">
        <v>44593</v>
      </c>
      <c r="J129" s="6">
        <v>0</v>
      </c>
      <c r="K129" s="6">
        <v>0</v>
      </c>
      <c r="L129" s="6">
        <v>223.99700000000001</v>
      </c>
      <c r="M129" s="6">
        <v>94.325136700000002</v>
      </c>
      <c r="N129" s="6">
        <v>0</v>
      </c>
      <c r="O129" s="6">
        <v>0</v>
      </c>
      <c r="P129" s="6">
        <v>0</v>
      </c>
      <c r="Q129" s="4" t="s">
        <v>58</v>
      </c>
      <c r="R129" s="4">
        <v>0</v>
      </c>
      <c r="S129" s="4">
        <v>0</v>
      </c>
      <c r="T129" s="4">
        <v>16</v>
      </c>
      <c r="U129" s="4">
        <v>0</v>
      </c>
      <c r="V129" s="6">
        <f>IF(ISERROR(VLOOKUP($S$129,'TAR FIN'!$A$1:$O$86,15,0)),0,VLOOKUP($S$129,'TAR FIN'!$A$1:$O$86,15,0))</f>
        <v>0</v>
      </c>
      <c r="W129" s="6">
        <f>IF(ISERROR(VLOOKUP($T$129,'TAR FIN'!$A$1:$O$86,15,0)),0,VLOOKUP($T$129,'TAR FIN'!$A$1:$O$86,15,0))</f>
        <v>1329.67</v>
      </c>
      <c r="X129" s="6">
        <f>IF(ISERROR(VLOOKUP($U$129,'TAR FIN'!$A$1:$O$86,15,0)),0,VLOOKUP($U$129,'TAR FIN'!$A$1:$O$86,15,0))</f>
        <v>0</v>
      </c>
      <c r="Y129" s="6"/>
      <c r="Z129" s="6">
        <f ca="1">('TUSD BE'!$AM$12+'TUSD BF'!$AM$12+'TUSD CVA'!$AM$12)*1</f>
        <v>1074.3612836602365</v>
      </c>
      <c r="AA129" s="6"/>
      <c r="AB129" s="6">
        <f t="shared" si="6"/>
        <v>0</v>
      </c>
      <c r="AC129" s="6">
        <f t="shared" si="7"/>
        <v>172420.78647411102</v>
      </c>
      <c r="AD129" s="6">
        <f t="shared" si="8"/>
        <v>0</v>
      </c>
      <c r="AE129" s="6">
        <f t="shared" ca="1" si="9"/>
        <v>139314.42950960272</v>
      </c>
      <c r="AF129" s="4" t="s">
        <v>725</v>
      </c>
    </row>
    <row r="130" spans="1:32" ht="11.25" customHeight="1" x14ac:dyDescent="0.25">
      <c r="A130" s="4" t="s">
        <v>21</v>
      </c>
      <c r="B130" s="4" t="s">
        <v>38</v>
      </c>
      <c r="C130" s="4" t="s">
        <v>40</v>
      </c>
      <c r="D130" s="4" t="s">
        <v>37</v>
      </c>
      <c r="E130" s="4" t="s">
        <v>25</v>
      </c>
      <c r="F130" s="4" t="s">
        <v>57</v>
      </c>
      <c r="G130" s="4" t="s">
        <v>25</v>
      </c>
      <c r="H130" s="4" t="s">
        <v>33</v>
      </c>
      <c r="I130" s="5">
        <v>44621</v>
      </c>
      <c r="J130" s="6">
        <v>0</v>
      </c>
      <c r="K130" s="6">
        <v>0</v>
      </c>
      <c r="L130" s="6">
        <v>263.34199999999998</v>
      </c>
      <c r="M130" s="6">
        <v>109.73461140000001</v>
      </c>
      <c r="N130" s="6">
        <v>0</v>
      </c>
      <c r="O130" s="6">
        <v>0</v>
      </c>
      <c r="P130" s="6">
        <v>0</v>
      </c>
      <c r="Q130" s="4" t="s">
        <v>58</v>
      </c>
      <c r="R130" s="4">
        <v>0</v>
      </c>
      <c r="S130" s="4">
        <v>0</v>
      </c>
      <c r="T130" s="4">
        <v>16</v>
      </c>
      <c r="U130" s="4">
        <v>0</v>
      </c>
      <c r="V130" s="6">
        <f>IF(ISERROR(VLOOKUP($S$130,'TAR FIN'!$A$1:$O$86,15,0)),0,VLOOKUP($S$130,'TAR FIN'!$A$1:$O$86,15,0))</f>
        <v>0</v>
      </c>
      <c r="W130" s="6">
        <f>IF(ISERROR(VLOOKUP($T$130,'TAR FIN'!$A$1:$O$86,15,0)),0,VLOOKUP($T$130,'TAR FIN'!$A$1:$O$86,15,0))</f>
        <v>1329.67</v>
      </c>
      <c r="X130" s="6">
        <f>IF(ISERROR(VLOOKUP($U$130,'TAR FIN'!$A$1:$O$86,15,0)),0,VLOOKUP($U$130,'TAR FIN'!$A$1:$O$86,15,0))</f>
        <v>0</v>
      </c>
      <c r="Y130" s="6"/>
      <c r="Z130" s="6">
        <f ca="1">('TUSD BE'!$AM$12+'TUSD BF'!$AM$12+'TUSD CVA'!$AM$12)*1</f>
        <v>1074.3612836602365</v>
      </c>
      <c r="AA130" s="6"/>
      <c r="AB130" s="6">
        <f t="shared" ref="AB130:AB145" si="10">(J130-K130)*V130</f>
        <v>0</v>
      </c>
      <c r="AC130" s="6">
        <f t="shared" ref="AC130:AC145" si="11">(L130-M130)*W130+(N130-O130)*X130</f>
        <v>204247.13639976198</v>
      </c>
      <c r="AD130" s="6">
        <f t="shared" ref="AD130:AD145" si="12">(J130-K130)*Y130</f>
        <v>0</v>
      </c>
      <c r="AE130" s="6">
        <f t="shared" ref="AE130:AE145" ca="1" si="13">(L130-M130)*Z130+(N130-O130)*AA130</f>
        <v>165029.83119599277</v>
      </c>
      <c r="AF130" s="4" t="s">
        <v>725</v>
      </c>
    </row>
    <row r="131" spans="1:32" ht="11.25" customHeight="1" x14ac:dyDescent="0.25">
      <c r="A131" s="4" t="s">
        <v>21</v>
      </c>
      <c r="B131" s="4" t="s">
        <v>38</v>
      </c>
      <c r="C131" s="4" t="s">
        <v>40</v>
      </c>
      <c r="D131" s="4" t="s">
        <v>37</v>
      </c>
      <c r="E131" s="4" t="s">
        <v>25</v>
      </c>
      <c r="F131" s="4" t="s">
        <v>57</v>
      </c>
      <c r="G131" s="4" t="s">
        <v>25</v>
      </c>
      <c r="H131" s="4" t="s">
        <v>33</v>
      </c>
      <c r="I131" s="5">
        <v>44652</v>
      </c>
      <c r="J131" s="6">
        <v>0</v>
      </c>
      <c r="K131" s="6">
        <v>0</v>
      </c>
      <c r="L131" s="6">
        <v>174.17400000000001</v>
      </c>
      <c r="M131" s="6">
        <v>72.578305799999995</v>
      </c>
      <c r="N131" s="6">
        <v>0</v>
      </c>
      <c r="O131" s="6">
        <v>0</v>
      </c>
      <c r="P131" s="6">
        <v>0</v>
      </c>
      <c r="Q131" s="4" t="s">
        <v>58</v>
      </c>
      <c r="R131" s="4">
        <v>0</v>
      </c>
      <c r="S131" s="4">
        <v>0</v>
      </c>
      <c r="T131" s="4">
        <v>16</v>
      </c>
      <c r="U131" s="4">
        <v>0</v>
      </c>
      <c r="V131" s="6">
        <f>IF(ISERROR(VLOOKUP($S$131,'TAR FIN'!$A$1:$O$86,15,0)),0,VLOOKUP($S$131,'TAR FIN'!$A$1:$O$86,15,0))</f>
        <v>0</v>
      </c>
      <c r="W131" s="6">
        <f>IF(ISERROR(VLOOKUP($T$131,'TAR FIN'!$A$1:$O$86,15,0)),0,VLOOKUP($T$131,'TAR FIN'!$A$1:$O$86,15,0))</f>
        <v>1329.67</v>
      </c>
      <c r="X131" s="6">
        <f>IF(ISERROR(VLOOKUP($U$131,'TAR FIN'!$A$1:$O$86,15,0)),0,VLOOKUP($U$131,'TAR FIN'!$A$1:$O$86,15,0))</f>
        <v>0</v>
      </c>
      <c r="Y131" s="6"/>
      <c r="Z131" s="6">
        <f ca="1">('TUSD BE'!$AM$12+'TUSD BF'!$AM$12+'TUSD CVA'!$AM$12)*1</f>
        <v>1074.3612836602365</v>
      </c>
      <c r="AA131" s="6"/>
      <c r="AB131" s="6">
        <f t="shared" si="10"/>
        <v>0</v>
      </c>
      <c r="AC131" s="6">
        <f t="shared" si="11"/>
        <v>135088.74670691401</v>
      </c>
      <c r="AD131" s="6">
        <f t="shared" si="12"/>
        <v>0</v>
      </c>
      <c r="AE131" s="6">
        <f t="shared" ca="1" si="13"/>
        <v>109150.48043506486</v>
      </c>
      <c r="AF131" s="4" t="s">
        <v>725</v>
      </c>
    </row>
    <row r="132" spans="1:32" ht="11.25" customHeight="1" x14ac:dyDescent="0.25">
      <c r="A132" s="4" t="s">
        <v>21</v>
      </c>
      <c r="B132" s="4" t="s">
        <v>38</v>
      </c>
      <c r="C132" s="4" t="s">
        <v>40</v>
      </c>
      <c r="D132" s="4" t="s">
        <v>37</v>
      </c>
      <c r="E132" s="4" t="s">
        <v>25</v>
      </c>
      <c r="F132" s="4" t="s">
        <v>57</v>
      </c>
      <c r="G132" s="4" t="s">
        <v>25</v>
      </c>
      <c r="H132" s="4" t="s">
        <v>33</v>
      </c>
      <c r="I132" s="5">
        <v>44682</v>
      </c>
      <c r="J132" s="6">
        <v>0</v>
      </c>
      <c r="K132" s="6">
        <v>0</v>
      </c>
      <c r="L132" s="6">
        <v>244.554</v>
      </c>
      <c r="M132" s="6">
        <v>101.9056518</v>
      </c>
      <c r="N132" s="6">
        <v>0</v>
      </c>
      <c r="O132" s="6">
        <v>0</v>
      </c>
      <c r="P132" s="6">
        <v>0</v>
      </c>
      <c r="Q132" s="4" t="s">
        <v>58</v>
      </c>
      <c r="R132" s="4">
        <v>0</v>
      </c>
      <c r="S132" s="4">
        <v>0</v>
      </c>
      <c r="T132" s="4">
        <v>16</v>
      </c>
      <c r="U132" s="4">
        <v>0</v>
      </c>
      <c r="V132" s="6">
        <f>IF(ISERROR(VLOOKUP($S$132,'TAR FIN'!$A$1:$O$86,15,0)),0,VLOOKUP($S$132,'TAR FIN'!$A$1:$O$86,15,0))</f>
        <v>0</v>
      </c>
      <c r="W132" s="6">
        <f>IF(ISERROR(VLOOKUP($T$132,'TAR FIN'!$A$1:$O$86,15,0)),0,VLOOKUP($T$132,'TAR FIN'!$A$1:$O$86,15,0))</f>
        <v>1329.67</v>
      </c>
      <c r="X132" s="6">
        <f>IF(ISERROR(VLOOKUP($U$132,'TAR FIN'!$A$1:$O$86,15,0)),0,VLOOKUP($U$132,'TAR FIN'!$A$1:$O$86,15,0))</f>
        <v>0</v>
      </c>
      <c r="Y132" s="6"/>
      <c r="Z132" s="6">
        <f ca="1">('TUSD BE'!$AM$12+'TUSD BF'!$AM$12+'TUSD CVA'!$AM$12)*1</f>
        <v>1074.3612836602365</v>
      </c>
      <c r="AA132" s="6"/>
      <c r="AB132" s="6">
        <f t="shared" si="10"/>
        <v>0</v>
      </c>
      <c r="AC132" s="6">
        <f t="shared" si="11"/>
        <v>189675.22915109398</v>
      </c>
      <c r="AD132" s="6">
        <f t="shared" si="12"/>
        <v>0</v>
      </c>
      <c r="AE132" s="6">
        <f t="shared" ca="1" si="13"/>
        <v>153255.86248416436</v>
      </c>
      <c r="AF132" s="4" t="s">
        <v>725</v>
      </c>
    </row>
    <row r="133" spans="1:32" ht="11.25" customHeight="1" x14ac:dyDescent="0.25">
      <c r="A133" s="4" t="s">
        <v>56</v>
      </c>
      <c r="B133" s="4" t="s">
        <v>38</v>
      </c>
      <c r="C133" s="4" t="s">
        <v>40</v>
      </c>
      <c r="D133" s="4" t="s">
        <v>37</v>
      </c>
      <c r="E133" s="4" t="s">
        <v>25</v>
      </c>
      <c r="F133" s="4" t="s">
        <v>57</v>
      </c>
      <c r="G133" s="4" t="s">
        <v>25</v>
      </c>
      <c r="H133" s="4" t="s">
        <v>33</v>
      </c>
      <c r="I133" s="5">
        <v>44713</v>
      </c>
      <c r="J133" s="6">
        <v>0</v>
      </c>
      <c r="K133" s="6">
        <v>0</v>
      </c>
      <c r="L133" s="6">
        <v>244.554</v>
      </c>
      <c r="M133" s="6">
        <v>101.9056518</v>
      </c>
      <c r="N133" s="6">
        <v>0</v>
      </c>
      <c r="O133" s="6">
        <v>0</v>
      </c>
      <c r="P133" s="6">
        <v>0</v>
      </c>
      <c r="Q133" s="4" t="s">
        <v>58</v>
      </c>
      <c r="R133" s="4">
        <v>0</v>
      </c>
      <c r="S133" s="4">
        <v>0</v>
      </c>
      <c r="T133" s="4">
        <v>16</v>
      </c>
      <c r="U133" s="4">
        <v>0</v>
      </c>
      <c r="V133" s="6">
        <f>IF(ISERROR(VLOOKUP($S$133,'TAR FIN'!$A$1:$O$86,15,0)),0,VLOOKUP($S$133,'TAR FIN'!$A$1:$O$86,15,0))</f>
        <v>0</v>
      </c>
      <c r="W133" s="6">
        <f>IF(ISERROR(VLOOKUP($T$133,'TAR FIN'!$A$1:$O$86,15,0)),0,VLOOKUP($T$133,'TAR FIN'!$A$1:$O$86,15,0))</f>
        <v>1329.67</v>
      </c>
      <c r="X133" s="6">
        <f>IF(ISERROR(VLOOKUP($U$133,'TAR FIN'!$A$1:$O$86,15,0)),0,VLOOKUP($U$133,'TAR FIN'!$A$1:$O$86,15,0))</f>
        <v>0</v>
      </c>
      <c r="Y133" s="6"/>
      <c r="Z133" s="6">
        <f ca="1">('TUSD BE'!$AM$12+'TUSD BF'!$AM$12+'TUSD CVA'!$AM$12)*1</f>
        <v>1074.3612836602365</v>
      </c>
      <c r="AA133" s="6"/>
      <c r="AB133" s="6">
        <f t="shared" si="10"/>
        <v>0</v>
      </c>
      <c r="AC133" s="6">
        <f t="shared" si="11"/>
        <v>189675.22915109398</v>
      </c>
      <c r="AD133" s="6">
        <f t="shared" si="12"/>
        <v>0</v>
      </c>
      <c r="AE133" s="6">
        <f t="shared" ca="1" si="13"/>
        <v>153255.86248416436</v>
      </c>
      <c r="AF133" s="4" t="s">
        <v>725</v>
      </c>
    </row>
    <row r="134" spans="1:32" ht="11.25" customHeight="1" x14ac:dyDescent="0.25">
      <c r="A134" s="4" t="s">
        <v>21</v>
      </c>
      <c r="B134" s="4" t="s">
        <v>38</v>
      </c>
      <c r="C134" s="4" t="s">
        <v>40</v>
      </c>
      <c r="D134" s="4" t="s">
        <v>43</v>
      </c>
      <c r="E134" s="4" t="s">
        <v>51</v>
      </c>
      <c r="F134" s="4" t="s">
        <v>53</v>
      </c>
      <c r="G134" s="4" t="s">
        <v>25</v>
      </c>
      <c r="H134" s="4" t="s">
        <v>34</v>
      </c>
      <c r="I134" s="5">
        <v>44378</v>
      </c>
      <c r="J134" s="6">
        <v>0</v>
      </c>
      <c r="K134" s="6">
        <v>0</v>
      </c>
      <c r="L134" s="6">
        <v>9.0150000000000006</v>
      </c>
      <c r="M134" s="6">
        <v>2.7044999999999999</v>
      </c>
      <c r="N134" s="6">
        <v>9.0150000000000006</v>
      </c>
      <c r="O134" s="6">
        <v>2.7044999999999999</v>
      </c>
      <c r="P134" s="6">
        <v>0</v>
      </c>
      <c r="Q134" s="4" t="s">
        <v>26</v>
      </c>
      <c r="R134" s="4">
        <v>0</v>
      </c>
      <c r="S134" s="4">
        <v>0</v>
      </c>
      <c r="T134" s="4">
        <v>14</v>
      </c>
      <c r="U134" s="4">
        <v>42</v>
      </c>
      <c r="V134" s="6">
        <f>IF(ISERROR(VLOOKUP($S$134,'TAR FIN'!$A$1:$O$86,15,0)),0,VLOOKUP($S$134,'TAR FIN'!$A$1:$O$86,15,0))</f>
        <v>0</v>
      </c>
      <c r="W134" s="6">
        <f>IF(ISERROR(VLOOKUP($T$134,'TAR FIN'!$A$1:$O$86,15,0)),0,VLOOKUP($T$134,'TAR FIN'!$A$1:$O$86,15,0))</f>
        <v>78.680000000000007</v>
      </c>
      <c r="X134" s="6">
        <f>IF(ISERROR(VLOOKUP($U$134,'TAR FIN'!$A$1:$O$86,15,0)),0,VLOOKUP($U$134,'TAR FIN'!$A$1:$O$86,15,0))</f>
        <v>246.3</v>
      </c>
      <c r="Y134" s="6"/>
      <c r="Z134" s="6">
        <f ca="1">('TUSD BE'!$AM$13+'TUSD BF'!$AM$13+'TUSD CVA'!$AM$13)*1</f>
        <v>100.23755694003805</v>
      </c>
      <c r="AA134" s="6">
        <f>('TE BE'!$AB$6+'TE BF'!$AB$6+'TE CVA'!$AB$6)*1</f>
        <v>219.40364509824883</v>
      </c>
      <c r="AB134" s="6">
        <f t="shared" si="10"/>
        <v>0</v>
      </c>
      <c r="AC134" s="6">
        <f t="shared" si="11"/>
        <v>2050.7862900000005</v>
      </c>
      <c r="AD134" s="6">
        <f t="shared" si="12"/>
        <v>0</v>
      </c>
      <c r="AE134" s="6">
        <f t="shared" ca="1" si="13"/>
        <v>2017.0958054626099</v>
      </c>
      <c r="AF134" s="4" t="s">
        <v>728</v>
      </c>
    </row>
    <row r="135" spans="1:32" ht="11.25" customHeight="1" x14ac:dyDescent="0.25">
      <c r="A135" s="4" t="s">
        <v>21</v>
      </c>
      <c r="B135" s="4" t="s">
        <v>38</v>
      </c>
      <c r="C135" s="4" t="s">
        <v>40</v>
      </c>
      <c r="D135" s="4" t="s">
        <v>43</v>
      </c>
      <c r="E135" s="4" t="s">
        <v>51</v>
      </c>
      <c r="F135" s="4" t="s">
        <v>53</v>
      </c>
      <c r="G135" s="4" t="s">
        <v>25</v>
      </c>
      <c r="H135" s="4" t="s">
        <v>34</v>
      </c>
      <c r="I135" s="5">
        <v>44409</v>
      </c>
      <c r="J135" s="6">
        <v>0</v>
      </c>
      <c r="K135" s="6">
        <v>0</v>
      </c>
      <c r="L135" s="6">
        <v>9.0830000000000002</v>
      </c>
      <c r="M135" s="6">
        <v>2.7248999999999999</v>
      </c>
      <c r="N135" s="6">
        <v>9.0830000000000002</v>
      </c>
      <c r="O135" s="6">
        <v>2.7248999999999999</v>
      </c>
      <c r="P135" s="6">
        <v>0</v>
      </c>
      <c r="Q135" s="4" t="s">
        <v>26</v>
      </c>
      <c r="R135" s="4">
        <v>0</v>
      </c>
      <c r="S135" s="4">
        <v>0</v>
      </c>
      <c r="T135" s="4">
        <v>14</v>
      </c>
      <c r="U135" s="4">
        <v>42</v>
      </c>
      <c r="V135" s="6">
        <f>IF(ISERROR(VLOOKUP($S$135,'TAR FIN'!$A$1:$O$86,15,0)),0,VLOOKUP($S$135,'TAR FIN'!$A$1:$O$86,15,0))</f>
        <v>0</v>
      </c>
      <c r="W135" s="6">
        <f>IF(ISERROR(VLOOKUP($T$135,'TAR FIN'!$A$1:$O$86,15,0)),0,VLOOKUP($T$135,'TAR FIN'!$A$1:$O$86,15,0))</f>
        <v>78.680000000000007</v>
      </c>
      <c r="X135" s="6">
        <f>IF(ISERROR(VLOOKUP($U$135,'TAR FIN'!$A$1:$O$86,15,0)),0,VLOOKUP($U$135,'TAR FIN'!$A$1:$O$86,15,0))</f>
        <v>246.3</v>
      </c>
      <c r="Y135" s="6"/>
      <c r="Z135" s="6">
        <f ca="1">('TUSD BE'!$AM$13+'TUSD BF'!$AM$13+'TUSD CVA'!$AM$13)*1</f>
        <v>100.23755694003805</v>
      </c>
      <c r="AA135" s="6">
        <f>('TE BE'!$AB$6+'TE BF'!$AB$6+'TE CVA'!$AB$6)*1</f>
        <v>219.40364509824883</v>
      </c>
      <c r="AB135" s="6">
        <f t="shared" si="10"/>
        <v>0</v>
      </c>
      <c r="AC135" s="6">
        <f t="shared" si="11"/>
        <v>2066.2553380000004</v>
      </c>
      <c r="AD135" s="6">
        <f t="shared" si="12"/>
        <v>0</v>
      </c>
      <c r="AE135" s="6">
        <f t="shared" ca="1" si="13"/>
        <v>2032.3107266796319</v>
      </c>
      <c r="AF135" s="4" t="s">
        <v>728</v>
      </c>
    </row>
    <row r="136" spans="1:32" ht="11.25" customHeight="1" x14ac:dyDescent="0.25">
      <c r="A136" s="4" t="s">
        <v>21</v>
      </c>
      <c r="B136" s="4" t="s">
        <v>38</v>
      </c>
      <c r="C136" s="4" t="s">
        <v>40</v>
      </c>
      <c r="D136" s="4" t="s">
        <v>43</v>
      </c>
      <c r="E136" s="4" t="s">
        <v>51</v>
      </c>
      <c r="F136" s="4" t="s">
        <v>53</v>
      </c>
      <c r="G136" s="4" t="s">
        <v>25</v>
      </c>
      <c r="H136" s="4" t="s">
        <v>34</v>
      </c>
      <c r="I136" s="5">
        <v>44440</v>
      </c>
      <c r="J136" s="6">
        <v>0</v>
      </c>
      <c r="K136" s="6">
        <v>0</v>
      </c>
      <c r="L136" s="6">
        <v>8.0559999999999992</v>
      </c>
      <c r="M136" s="6">
        <v>2.4167999999999998</v>
      </c>
      <c r="N136" s="6">
        <v>8.0559999999999992</v>
      </c>
      <c r="O136" s="6">
        <v>2.4167999999999998</v>
      </c>
      <c r="P136" s="6">
        <v>0</v>
      </c>
      <c r="Q136" s="4" t="s">
        <v>26</v>
      </c>
      <c r="R136" s="4">
        <v>0</v>
      </c>
      <c r="S136" s="4">
        <v>0</v>
      </c>
      <c r="T136" s="4">
        <v>14</v>
      </c>
      <c r="U136" s="4">
        <v>42</v>
      </c>
      <c r="V136" s="6">
        <f>IF(ISERROR(VLOOKUP($S$136,'TAR FIN'!$A$1:$O$86,15,0)),0,VLOOKUP($S$136,'TAR FIN'!$A$1:$O$86,15,0))</f>
        <v>0</v>
      </c>
      <c r="W136" s="6">
        <f>IF(ISERROR(VLOOKUP($T$136,'TAR FIN'!$A$1:$O$86,15,0)),0,VLOOKUP($T$136,'TAR FIN'!$A$1:$O$86,15,0))</f>
        <v>78.680000000000007</v>
      </c>
      <c r="X136" s="6">
        <f>IF(ISERROR(VLOOKUP($U$136,'TAR FIN'!$A$1:$O$86,15,0)),0,VLOOKUP($U$136,'TAR FIN'!$A$1:$O$86,15,0))</f>
        <v>246.3</v>
      </c>
      <c r="Y136" s="6"/>
      <c r="Z136" s="6">
        <f ca="1">('TUSD BE'!$AM$13+'TUSD BF'!$AM$13+'TUSD CVA'!$AM$13)*1</f>
        <v>100.23755694003805</v>
      </c>
      <c r="AA136" s="6">
        <f>('TE BE'!$AB$6+'TE BF'!$AB$6+'TE CVA'!$AB$6)*1</f>
        <v>219.40364509824883</v>
      </c>
      <c r="AB136" s="6">
        <f t="shared" si="10"/>
        <v>0</v>
      </c>
      <c r="AC136" s="6">
        <f t="shared" si="11"/>
        <v>1832.6272159999999</v>
      </c>
      <c r="AD136" s="6">
        <f t="shared" si="12"/>
        <v>0</v>
      </c>
      <c r="AE136" s="6">
        <f t="shared" ca="1" si="13"/>
        <v>1802.5206665343069</v>
      </c>
      <c r="AF136" s="4" t="s">
        <v>728</v>
      </c>
    </row>
    <row r="137" spans="1:32" ht="11.25" customHeight="1" x14ac:dyDescent="0.25">
      <c r="A137" s="4" t="s">
        <v>21</v>
      </c>
      <c r="B137" s="4" t="s">
        <v>38</v>
      </c>
      <c r="C137" s="4" t="s">
        <v>40</v>
      </c>
      <c r="D137" s="4" t="s">
        <v>43</v>
      </c>
      <c r="E137" s="4" t="s">
        <v>51</v>
      </c>
      <c r="F137" s="4" t="s">
        <v>53</v>
      </c>
      <c r="G137" s="4" t="s">
        <v>25</v>
      </c>
      <c r="H137" s="4" t="s">
        <v>34</v>
      </c>
      <c r="I137" s="5">
        <v>44470</v>
      </c>
      <c r="J137" s="6">
        <v>0</v>
      </c>
      <c r="K137" s="6">
        <v>0</v>
      </c>
      <c r="L137" s="6">
        <v>18.600999999999999</v>
      </c>
      <c r="M137" s="6">
        <v>5.5803000000000003</v>
      </c>
      <c r="N137" s="6">
        <v>18.600999999999999</v>
      </c>
      <c r="O137" s="6">
        <v>5.5803000000000003</v>
      </c>
      <c r="P137" s="6">
        <v>0</v>
      </c>
      <c r="Q137" s="4" t="s">
        <v>26</v>
      </c>
      <c r="R137" s="4">
        <v>0</v>
      </c>
      <c r="S137" s="4">
        <v>0</v>
      </c>
      <c r="T137" s="4">
        <v>14</v>
      </c>
      <c r="U137" s="4">
        <v>42</v>
      </c>
      <c r="V137" s="6">
        <f>IF(ISERROR(VLOOKUP($S$137,'TAR FIN'!$A$1:$O$86,15,0)),0,VLOOKUP($S$137,'TAR FIN'!$A$1:$O$86,15,0))</f>
        <v>0</v>
      </c>
      <c r="W137" s="6">
        <f>IF(ISERROR(VLOOKUP($T$137,'TAR FIN'!$A$1:$O$86,15,0)),0,VLOOKUP($T$137,'TAR FIN'!$A$1:$O$86,15,0))</f>
        <v>78.680000000000007</v>
      </c>
      <c r="X137" s="6">
        <f>IF(ISERROR(VLOOKUP($U$137,'TAR FIN'!$A$1:$O$86,15,0)),0,VLOOKUP($U$137,'TAR FIN'!$A$1:$O$86,15,0))</f>
        <v>246.3</v>
      </c>
      <c r="Y137" s="6"/>
      <c r="Z137" s="6">
        <f ca="1">('TUSD BE'!$AM$13+'TUSD BF'!$AM$13+'TUSD CVA'!$AM$13)*1</f>
        <v>100.23755694003805</v>
      </c>
      <c r="AA137" s="6">
        <f>('TE BE'!$AB$6+'TE BF'!$AB$6+'TE CVA'!$AB$6)*1</f>
        <v>219.40364509824883</v>
      </c>
      <c r="AB137" s="6">
        <f t="shared" si="10"/>
        <v>0</v>
      </c>
      <c r="AC137" s="6">
        <f t="shared" si="11"/>
        <v>4231.4670859999997</v>
      </c>
      <c r="AD137" s="6">
        <f t="shared" si="12"/>
        <v>0</v>
      </c>
      <c r="AE137" s="6">
        <f t="shared" ca="1" si="13"/>
        <v>4161.9521993799208</v>
      </c>
      <c r="AF137" s="4" t="s">
        <v>728</v>
      </c>
    </row>
    <row r="138" spans="1:32" ht="11.25" customHeight="1" x14ac:dyDescent="0.25">
      <c r="A138" s="4" t="s">
        <v>21</v>
      </c>
      <c r="B138" s="4" t="s">
        <v>38</v>
      </c>
      <c r="C138" s="4" t="s">
        <v>40</v>
      </c>
      <c r="D138" s="4" t="s">
        <v>43</v>
      </c>
      <c r="E138" s="4" t="s">
        <v>51</v>
      </c>
      <c r="F138" s="4" t="s">
        <v>53</v>
      </c>
      <c r="G138" s="4" t="s">
        <v>25</v>
      </c>
      <c r="H138" s="4" t="s">
        <v>34</v>
      </c>
      <c r="I138" s="5">
        <v>44501</v>
      </c>
      <c r="J138" s="6">
        <v>0</v>
      </c>
      <c r="K138" s="6">
        <v>0</v>
      </c>
      <c r="L138" s="6">
        <v>197.976</v>
      </c>
      <c r="M138" s="6">
        <v>59.392800000000001</v>
      </c>
      <c r="N138" s="6">
        <v>197.976</v>
      </c>
      <c r="O138" s="6">
        <v>59.392800000000001</v>
      </c>
      <c r="P138" s="6">
        <v>0</v>
      </c>
      <c r="Q138" s="4" t="s">
        <v>26</v>
      </c>
      <c r="R138" s="4">
        <v>0</v>
      </c>
      <c r="S138" s="4">
        <v>0</v>
      </c>
      <c r="T138" s="4">
        <v>14</v>
      </c>
      <c r="U138" s="4">
        <v>42</v>
      </c>
      <c r="V138" s="6">
        <f>IF(ISERROR(VLOOKUP($S$138,'TAR FIN'!$A$1:$O$86,15,0)),0,VLOOKUP($S$138,'TAR FIN'!$A$1:$O$86,15,0))</f>
        <v>0</v>
      </c>
      <c r="W138" s="6">
        <f>IF(ISERROR(VLOOKUP($T$138,'TAR FIN'!$A$1:$O$86,15,0)),0,VLOOKUP($T$138,'TAR FIN'!$A$1:$O$86,15,0))</f>
        <v>78.680000000000007</v>
      </c>
      <c r="X138" s="6">
        <f>IF(ISERROR(VLOOKUP($U$138,'TAR FIN'!$A$1:$O$86,15,0)),0,VLOOKUP($U$138,'TAR FIN'!$A$1:$O$86,15,0))</f>
        <v>246.3</v>
      </c>
      <c r="Y138" s="6"/>
      <c r="Z138" s="6">
        <f ca="1">('TUSD BE'!$AM$13+'TUSD BF'!$AM$13+'TUSD CVA'!$AM$13)*1</f>
        <v>100.23755694003805</v>
      </c>
      <c r="AA138" s="6">
        <f>('TE BE'!$AB$6+'TE BF'!$AB$6+'TE CVA'!$AB$6)*1</f>
        <v>219.40364509824883</v>
      </c>
      <c r="AB138" s="6">
        <f t="shared" si="10"/>
        <v>0</v>
      </c>
      <c r="AC138" s="6">
        <f t="shared" si="11"/>
        <v>45036.768336000008</v>
      </c>
      <c r="AD138" s="6">
        <f t="shared" si="12"/>
        <v>0</v>
      </c>
      <c r="AE138" s="6">
        <f t="shared" ca="1" si="13"/>
        <v>44296.900630312317</v>
      </c>
      <c r="AF138" s="4" t="s">
        <v>728</v>
      </c>
    </row>
    <row r="139" spans="1:32" ht="11.25" customHeight="1" x14ac:dyDescent="0.25">
      <c r="A139" s="4" t="s">
        <v>21</v>
      </c>
      <c r="B139" s="4" t="s">
        <v>38</v>
      </c>
      <c r="C139" s="4" t="s">
        <v>40</v>
      </c>
      <c r="D139" s="4" t="s">
        <v>43</v>
      </c>
      <c r="E139" s="4" t="s">
        <v>51</v>
      </c>
      <c r="F139" s="4" t="s">
        <v>53</v>
      </c>
      <c r="G139" s="4" t="s">
        <v>25</v>
      </c>
      <c r="H139" s="4" t="s">
        <v>34</v>
      </c>
      <c r="I139" s="5">
        <v>44531</v>
      </c>
      <c r="J139" s="6">
        <v>0</v>
      </c>
      <c r="K139" s="6">
        <v>0</v>
      </c>
      <c r="L139" s="6">
        <v>482.69099999999997</v>
      </c>
      <c r="M139" s="6">
        <v>144.8073</v>
      </c>
      <c r="N139" s="6">
        <v>482.69099999999997</v>
      </c>
      <c r="O139" s="6">
        <v>144.8073</v>
      </c>
      <c r="P139" s="6">
        <v>0</v>
      </c>
      <c r="Q139" s="4" t="s">
        <v>26</v>
      </c>
      <c r="R139" s="4">
        <v>0</v>
      </c>
      <c r="S139" s="4">
        <v>0</v>
      </c>
      <c r="T139" s="4">
        <v>14</v>
      </c>
      <c r="U139" s="4">
        <v>42</v>
      </c>
      <c r="V139" s="6">
        <f>IF(ISERROR(VLOOKUP($S$139,'TAR FIN'!$A$1:$O$86,15,0)),0,VLOOKUP($S$139,'TAR FIN'!$A$1:$O$86,15,0))</f>
        <v>0</v>
      </c>
      <c r="W139" s="6">
        <f>IF(ISERROR(VLOOKUP($T$139,'TAR FIN'!$A$1:$O$86,15,0)),0,VLOOKUP($T$139,'TAR FIN'!$A$1:$O$86,15,0))</f>
        <v>78.680000000000007</v>
      </c>
      <c r="X139" s="6">
        <f>IF(ISERROR(VLOOKUP($U$139,'TAR FIN'!$A$1:$O$86,15,0)),0,VLOOKUP($U$139,'TAR FIN'!$A$1:$O$86,15,0))</f>
        <v>246.3</v>
      </c>
      <c r="Y139" s="6"/>
      <c r="Z139" s="6">
        <f ca="1">('TUSD BE'!$AM$13+'TUSD BF'!$AM$13+'TUSD CVA'!$AM$13)*1</f>
        <v>100.23755694003805</v>
      </c>
      <c r="AA139" s="6">
        <f>('TE BE'!$AB$6+'TE BF'!$AB$6+'TE CVA'!$AB$6)*1</f>
        <v>219.40364509824883</v>
      </c>
      <c r="AB139" s="6">
        <f t="shared" si="10"/>
        <v>0</v>
      </c>
      <c r="AC139" s="6">
        <f t="shared" si="11"/>
        <v>109805.44482599999</v>
      </c>
      <c r="AD139" s="6">
        <f t="shared" si="12"/>
        <v>0</v>
      </c>
      <c r="AE139" s="6">
        <f t="shared" ca="1" si="13"/>
        <v>108001.5520171439</v>
      </c>
      <c r="AF139" s="4" t="s">
        <v>728</v>
      </c>
    </row>
    <row r="140" spans="1:32" ht="11.25" customHeight="1" x14ac:dyDescent="0.25">
      <c r="A140" s="4" t="s">
        <v>21</v>
      </c>
      <c r="B140" s="4" t="s">
        <v>38</v>
      </c>
      <c r="C140" s="4" t="s">
        <v>40</v>
      </c>
      <c r="D140" s="4" t="s">
        <v>43</v>
      </c>
      <c r="E140" s="4" t="s">
        <v>51</v>
      </c>
      <c r="F140" s="4" t="s">
        <v>53</v>
      </c>
      <c r="G140" s="4" t="s">
        <v>25</v>
      </c>
      <c r="H140" s="4" t="s">
        <v>34</v>
      </c>
      <c r="I140" s="5">
        <v>44562</v>
      </c>
      <c r="J140" s="6">
        <v>0</v>
      </c>
      <c r="K140" s="6">
        <v>0</v>
      </c>
      <c r="L140" s="6">
        <v>304.947</v>
      </c>
      <c r="M140" s="6">
        <v>91.484099999999998</v>
      </c>
      <c r="N140" s="6">
        <v>304.947</v>
      </c>
      <c r="O140" s="6">
        <v>91.484099999999998</v>
      </c>
      <c r="P140" s="6">
        <v>0</v>
      </c>
      <c r="Q140" s="4" t="s">
        <v>26</v>
      </c>
      <c r="R140" s="4">
        <v>0</v>
      </c>
      <c r="S140" s="4">
        <v>0</v>
      </c>
      <c r="T140" s="4">
        <v>14</v>
      </c>
      <c r="U140" s="4">
        <v>42</v>
      </c>
      <c r="V140" s="6">
        <f>IF(ISERROR(VLOOKUP($S$140,'TAR FIN'!$A$1:$O$86,15,0)),0,VLOOKUP($S$140,'TAR FIN'!$A$1:$O$86,15,0))</f>
        <v>0</v>
      </c>
      <c r="W140" s="6">
        <f>IF(ISERROR(VLOOKUP($T$140,'TAR FIN'!$A$1:$O$86,15,0)),0,VLOOKUP($T$140,'TAR FIN'!$A$1:$O$86,15,0))</f>
        <v>78.680000000000007</v>
      </c>
      <c r="X140" s="6">
        <f>IF(ISERROR(VLOOKUP($U$140,'TAR FIN'!$A$1:$O$86,15,0)),0,VLOOKUP($U$140,'TAR FIN'!$A$1:$O$86,15,0))</f>
        <v>246.3</v>
      </c>
      <c r="Y140" s="6"/>
      <c r="Z140" s="6">
        <f ca="1">('TUSD BE'!$AM$13+'TUSD BF'!$AM$13+'TUSD CVA'!$AM$13)*1</f>
        <v>100.23755694003805</v>
      </c>
      <c r="AA140" s="6">
        <f>('TE BE'!$AB$6+'TE BF'!$AB$6+'TE CVA'!$AB$6)*1</f>
        <v>219.40364509824883</v>
      </c>
      <c r="AB140" s="6">
        <f t="shared" si="10"/>
        <v>0</v>
      </c>
      <c r="AC140" s="6">
        <f t="shared" si="11"/>
        <v>69371.173242000004</v>
      </c>
      <c r="AD140" s="6">
        <f t="shared" si="12"/>
        <v>0</v>
      </c>
      <c r="AE140" s="6">
        <f t="shared" ca="1" si="13"/>
        <v>68231.537946578625</v>
      </c>
      <c r="AF140" s="4" t="s">
        <v>728</v>
      </c>
    </row>
    <row r="141" spans="1:32" ht="11.25" customHeight="1" x14ac:dyDescent="0.25">
      <c r="A141" s="4" t="s">
        <v>21</v>
      </c>
      <c r="B141" s="4" t="s">
        <v>38</v>
      </c>
      <c r="C141" s="4" t="s">
        <v>40</v>
      </c>
      <c r="D141" s="4" t="s">
        <v>43</v>
      </c>
      <c r="E141" s="4" t="s">
        <v>51</v>
      </c>
      <c r="F141" s="4" t="s">
        <v>53</v>
      </c>
      <c r="G141" s="4" t="s">
        <v>25</v>
      </c>
      <c r="H141" s="4" t="s">
        <v>34</v>
      </c>
      <c r="I141" s="5">
        <v>44593</v>
      </c>
      <c r="J141" s="6">
        <v>0</v>
      </c>
      <c r="K141" s="6">
        <v>0</v>
      </c>
      <c r="L141" s="6">
        <v>176.97200000000001</v>
      </c>
      <c r="M141" s="6">
        <v>53.0916</v>
      </c>
      <c r="N141" s="6">
        <v>176.97200000000001</v>
      </c>
      <c r="O141" s="6">
        <v>53.0916</v>
      </c>
      <c r="P141" s="6">
        <v>0</v>
      </c>
      <c r="Q141" s="4" t="s">
        <v>26</v>
      </c>
      <c r="R141" s="4">
        <v>0</v>
      </c>
      <c r="S141" s="4">
        <v>0</v>
      </c>
      <c r="T141" s="4">
        <v>14</v>
      </c>
      <c r="U141" s="4">
        <v>42</v>
      </c>
      <c r="V141" s="6">
        <f>IF(ISERROR(VLOOKUP($S$141,'TAR FIN'!$A$1:$O$86,15,0)),0,VLOOKUP($S$141,'TAR FIN'!$A$1:$O$86,15,0))</f>
        <v>0</v>
      </c>
      <c r="W141" s="6">
        <f>IF(ISERROR(VLOOKUP($T$141,'TAR FIN'!$A$1:$O$86,15,0)),0,VLOOKUP($T$141,'TAR FIN'!$A$1:$O$86,15,0))</f>
        <v>78.680000000000007</v>
      </c>
      <c r="X141" s="6">
        <f>IF(ISERROR(VLOOKUP($U$141,'TAR FIN'!$A$1:$O$86,15,0)),0,VLOOKUP($U$141,'TAR FIN'!$A$1:$O$86,15,0))</f>
        <v>246.3</v>
      </c>
      <c r="Y141" s="6"/>
      <c r="Z141" s="6">
        <f ca="1">('TUSD BE'!$AM$13+'TUSD BF'!$AM$13+'TUSD CVA'!$AM$13)*1</f>
        <v>100.23755694003805</v>
      </c>
      <c r="AA141" s="6">
        <f>('TE BE'!$AB$6+'TE BF'!$AB$6+'TE CVA'!$AB$6)*1</f>
        <v>219.40364509824883</v>
      </c>
      <c r="AB141" s="6">
        <f t="shared" si="10"/>
        <v>0</v>
      </c>
      <c r="AC141" s="6">
        <f t="shared" si="11"/>
        <v>40258.652392000004</v>
      </c>
      <c r="AD141" s="6">
        <f t="shared" si="12"/>
        <v>0</v>
      </c>
      <c r="AE141" s="6">
        <f t="shared" ca="1" si="13"/>
        <v>39597.279964983798</v>
      </c>
      <c r="AF141" s="4" t="s">
        <v>728</v>
      </c>
    </row>
    <row r="142" spans="1:32" ht="11.25" customHeight="1" x14ac:dyDescent="0.25">
      <c r="A142" s="4" t="s">
        <v>21</v>
      </c>
      <c r="B142" s="4" t="s">
        <v>38</v>
      </c>
      <c r="C142" s="4" t="s">
        <v>40</v>
      </c>
      <c r="D142" s="4" t="s">
        <v>43</v>
      </c>
      <c r="E142" s="4" t="s">
        <v>51</v>
      </c>
      <c r="F142" s="4" t="s">
        <v>53</v>
      </c>
      <c r="G142" s="4" t="s">
        <v>25</v>
      </c>
      <c r="H142" s="4" t="s">
        <v>34</v>
      </c>
      <c r="I142" s="5">
        <v>44621</v>
      </c>
      <c r="J142" s="6">
        <v>0</v>
      </c>
      <c r="K142" s="6">
        <v>0</v>
      </c>
      <c r="L142" s="6">
        <v>15.061999999999999</v>
      </c>
      <c r="M142" s="6">
        <v>4.5186000000000002</v>
      </c>
      <c r="N142" s="6">
        <v>15.061999999999999</v>
      </c>
      <c r="O142" s="6">
        <v>4.5186000000000002</v>
      </c>
      <c r="P142" s="6">
        <v>0</v>
      </c>
      <c r="Q142" s="4" t="s">
        <v>26</v>
      </c>
      <c r="R142" s="4">
        <v>0</v>
      </c>
      <c r="S142" s="4">
        <v>0</v>
      </c>
      <c r="T142" s="4">
        <v>14</v>
      </c>
      <c r="U142" s="4">
        <v>42</v>
      </c>
      <c r="V142" s="6">
        <f>IF(ISERROR(VLOOKUP($S$142,'TAR FIN'!$A$1:$O$86,15,0)),0,VLOOKUP($S$142,'TAR FIN'!$A$1:$O$86,15,0))</f>
        <v>0</v>
      </c>
      <c r="W142" s="6">
        <f>IF(ISERROR(VLOOKUP($T$142,'TAR FIN'!$A$1:$O$86,15,0)),0,VLOOKUP($T$142,'TAR FIN'!$A$1:$O$86,15,0))</f>
        <v>78.680000000000007</v>
      </c>
      <c r="X142" s="6">
        <f>IF(ISERROR(VLOOKUP($U$142,'TAR FIN'!$A$1:$O$86,15,0)),0,VLOOKUP($U$142,'TAR FIN'!$A$1:$O$86,15,0))</f>
        <v>246.3</v>
      </c>
      <c r="Y142" s="6"/>
      <c r="Z142" s="6">
        <f ca="1">('TUSD BE'!$AM$13+'TUSD BF'!$AM$13+'TUSD CVA'!$AM$13)*1</f>
        <v>100.23755694003805</v>
      </c>
      <c r="AA142" s="6">
        <f>('TE BE'!$AB$6+'TE BF'!$AB$6+'TE CVA'!$AB$6)*1</f>
        <v>219.40364509824883</v>
      </c>
      <c r="AB142" s="6">
        <f t="shared" si="10"/>
        <v>0</v>
      </c>
      <c r="AC142" s="6">
        <f t="shared" si="11"/>
        <v>3426.3941319999999</v>
      </c>
      <c r="AD142" s="6">
        <f t="shared" si="12"/>
        <v>0</v>
      </c>
      <c r="AE142" s="6">
        <f t="shared" ca="1" si="13"/>
        <v>3370.1050495704731</v>
      </c>
      <c r="AF142" s="4" t="s">
        <v>728</v>
      </c>
    </row>
    <row r="143" spans="1:32" ht="11.25" customHeight="1" x14ac:dyDescent="0.25">
      <c r="A143" s="4" t="s">
        <v>21</v>
      </c>
      <c r="B143" s="4" t="s">
        <v>38</v>
      </c>
      <c r="C143" s="4" t="s">
        <v>40</v>
      </c>
      <c r="D143" s="4" t="s">
        <v>43</v>
      </c>
      <c r="E143" s="4" t="s">
        <v>51</v>
      </c>
      <c r="F143" s="4" t="s">
        <v>53</v>
      </c>
      <c r="G143" s="4" t="s">
        <v>25</v>
      </c>
      <c r="H143" s="4" t="s">
        <v>34</v>
      </c>
      <c r="I143" s="5">
        <v>44652</v>
      </c>
      <c r="J143" s="6">
        <v>0</v>
      </c>
      <c r="K143" s="6">
        <v>0</v>
      </c>
      <c r="L143" s="6">
        <v>6.9829999999999997</v>
      </c>
      <c r="M143" s="6">
        <v>2.0949</v>
      </c>
      <c r="N143" s="6">
        <v>6.9829999999999997</v>
      </c>
      <c r="O143" s="6">
        <v>2.0949</v>
      </c>
      <c r="P143" s="6">
        <v>0</v>
      </c>
      <c r="Q143" s="4" t="s">
        <v>26</v>
      </c>
      <c r="R143" s="4">
        <v>0</v>
      </c>
      <c r="S143" s="4">
        <v>0</v>
      </c>
      <c r="T143" s="4">
        <v>14</v>
      </c>
      <c r="U143" s="4">
        <v>42</v>
      </c>
      <c r="V143" s="6">
        <f>IF(ISERROR(VLOOKUP($S$143,'TAR FIN'!$A$1:$O$86,15,0)),0,VLOOKUP($S$143,'TAR FIN'!$A$1:$O$86,15,0))</f>
        <v>0</v>
      </c>
      <c r="W143" s="6">
        <f>IF(ISERROR(VLOOKUP($T$143,'TAR FIN'!$A$1:$O$86,15,0)),0,VLOOKUP($T$143,'TAR FIN'!$A$1:$O$86,15,0))</f>
        <v>78.680000000000007</v>
      </c>
      <c r="X143" s="6">
        <f>IF(ISERROR(VLOOKUP($U$143,'TAR FIN'!$A$1:$O$86,15,0)),0,VLOOKUP($U$143,'TAR FIN'!$A$1:$O$86,15,0))</f>
        <v>246.3</v>
      </c>
      <c r="Y143" s="6"/>
      <c r="Z143" s="6">
        <f ca="1">('TUSD BE'!$AM$13+'TUSD BF'!$AM$13+'TUSD CVA'!$AM$13)*1</f>
        <v>100.23755694003805</v>
      </c>
      <c r="AA143" s="6">
        <f>('TE BE'!$AB$6+'TE BF'!$AB$6+'TE CVA'!$AB$6)*1</f>
        <v>219.40364509824883</v>
      </c>
      <c r="AB143" s="6">
        <f t="shared" si="10"/>
        <v>0</v>
      </c>
      <c r="AC143" s="6">
        <f t="shared" si="11"/>
        <v>1588.5347380000001</v>
      </c>
      <c r="AD143" s="6">
        <f t="shared" si="12"/>
        <v>0</v>
      </c>
      <c r="AE143" s="6">
        <f t="shared" ca="1" si="13"/>
        <v>1562.43815968335</v>
      </c>
      <c r="AF143" s="4" t="s">
        <v>728</v>
      </c>
    </row>
    <row r="144" spans="1:32" ht="11.25" customHeight="1" x14ac:dyDescent="0.25">
      <c r="A144" s="4" t="s">
        <v>21</v>
      </c>
      <c r="B144" s="4" t="s">
        <v>38</v>
      </c>
      <c r="C144" s="4" t="s">
        <v>40</v>
      </c>
      <c r="D144" s="4" t="s">
        <v>43</v>
      </c>
      <c r="E144" s="4" t="s">
        <v>51</v>
      </c>
      <c r="F144" s="4" t="s">
        <v>53</v>
      </c>
      <c r="G144" s="4" t="s">
        <v>25</v>
      </c>
      <c r="H144" s="4" t="s">
        <v>34</v>
      </c>
      <c r="I144" s="5">
        <v>44682</v>
      </c>
      <c r="J144" s="6">
        <v>0</v>
      </c>
      <c r="K144" s="6">
        <v>0</v>
      </c>
      <c r="L144" s="6">
        <v>12.044</v>
      </c>
      <c r="M144" s="6">
        <v>3.6132</v>
      </c>
      <c r="N144" s="6">
        <v>12.044</v>
      </c>
      <c r="O144" s="6">
        <v>3.6132</v>
      </c>
      <c r="P144" s="6">
        <v>0</v>
      </c>
      <c r="Q144" s="4" t="s">
        <v>26</v>
      </c>
      <c r="R144" s="4">
        <v>0</v>
      </c>
      <c r="S144" s="4">
        <v>0</v>
      </c>
      <c r="T144" s="4">
        <v>14</v>
      </c>
      <c r="U144" s="4">
        <v>42</v>
      </c>
      <c r="V144" s="6">
        <f>IF(ISERROR(VLOOKUP($S$144,'TAR FIN'!$A$1:$O$86,15,0)),0,VLOOKUP($S$144,'TAR FIN'!$A$1:$O$86,15,0))</f>
        <v>0</v>
      </c>
      <c r="W144" s="6">
        <f>IF(ISERROR(VLOOKUP($T$144,'TAR FIN'!$A$1:$O$86,15,0)),0,VLOOKUP($T$144,'TAR FIN'!$A$1:$O$86,15,0))</f>
        <v>78.680000000000007</v>
      </c>
      <c r="X144" s="6">
        <f>IF(ISERROR(VLOOKUP($U$144,'TAR FIN'!$A$1:$O$86,15,0)),0,VLOOKUP($U$144,'TAR FIN'!$A$1:$O$86,15,0))</f>
        <v>246.3</v>
      </c>
      <c r="Y144" s="6"/>
      <c r="Z144" s="6">
        <f ca="1">('TUSD BE'!$AM$13+'TUSD BF'!$AM$13+'TUSD CVA'!$AM$13)*1</f>
        <v>100.23755694003805</v>
      </c>
      <c r="AA144" s="6">
        <f>('TE BE'!$AB$6+'TE BF'!$AB$6+'TE CVA'!$AB$6)*1</f>
        <v>219.40364509824883</v>
      </c>
      <c r="AB144" s="6">
        <f t="shared" si="10"/>
        <v>0</v>
      </c>
      <c r="AC144" s="6">
        <f t="shared" si="11"/>
        <v>2739.8413840000007</v>
      </c>
      <c r="AD144" s="6">
        <f t="shared" si="12"/>
        <v>0</v>
      </c>
      <c r="AE144" s="6">
        <f t="shared" ca="1" si="13"/>
        <v>2694.8310461443898</v>
      </c>
      <c r="AF144" s="4" t="s">
        <v>728</v>
      </c>
    </row>
    <row r="145" spans="1:32" ht="11.25" customHeight="1" x14ac:dyDescent="0.25">
      <c r="A145" s="4" t="s">
        <v>56</v>
      </c>
      <c r="B145" s="4" t="s">
        <v>38</v>
      </c>
      <c r="C145" s="4" t="s">
        <v>40</v>
      </c>
      <c r="D145" s="4" t="s">
        <v>43</v>
      </c>
      <c r="E145" s="4" t="s">
        <v>51</v>
      </c>
      <c r="F145" s="4" t="s">
        <v>53</v>
      </c>
      <c r="G145" s="4" t="s">
        <v>25</v>
      </c>
      <c r="H145" s="4" t="s">
        <v>34</v>
      </c>
      <c r="I145" s="5">
        <v>44713</v>
      </c>
      <c r="J145" s="6">
        <v>0</v>
      </c>
      <c r="K145" s="6">
        <v>0</v>
      </c>
      <c r="L145" s="6">
        <v>12.044</v>
      </c>
      <c r="M145" s="6">
        <v>3.6132</v>
      </c>
      <c r="N145" s="6">
        <v>12.044</v>
      </c>
      <c r="O145" s="6">
        <v>3.6132</v>
      </c>
      <c r="P145" s="6">
        <v>0</v>
      </c>
      <c r="Q145" s="4" t="s">
        <v>26</v>
      </c>
      <c r="R145" s="4">
        <v>0</v>
      </c>
      <c r="S145" s="4">
        <v>0</v>
      </c>
      <c r="T145" s="4">
        <v>14</v>
      </c>
      <c r="U145" s="4">
        <v>42</v>
      </c>
      <c r="V145" s="6">
        <f>IF(ISERROR(VLOOKUP($S$145,'TAR FIN'!$A$1:$O$86,15,0)),0,VLOOKUP($S$145,'TAR FIN'!$A$1:$O$86,15,0))</f>
        <v>0</v>
      </c>
      <c r="W145" s="6">
        <f>IF(ISERROR(VLOOKUP($T$145,'TAR FIN'!$A$1:$O$86,15,0)),0,VLOOKUP($T$145,'TAR FIN'!$A$1:$O$86,15,0))</f>
        <v>78.680000000000007</v>
      </c>
      <c r="X145" s="6">
        <f>IF(ISERROR(VLOOKUP($U$145,'TAR FIN'!$A$1:$O$86,15,0)),0,VLOOKUP($U$145,'TAR FIN'!$A$1:$O$86,15,0))</f>
        <v>246.3</v>
      </c>
      <c r="Y145" s="6"/>
      <c r="Z145" s="6">
        <f ca="1">('TUSD BE'!$AM$13+'TUSD BF'!$AM$13+'TUSD CVA'!$AM$13)*1</f>
        <v>100.23755694003805</v>
      </c>
      <c r="AA145" s="6">
        <f>('TE BE'!$AB$6+'TE BF'!$AB$6+'TE CVA'!$AB$6)*1</f>
        <v>219.40364509824883</v>
      </c>
      <c r="AB145" s="6">
        <f t="shared" si="10"/>
        <v>0</v>
      </c>
      <c r="AC145" s="6">
        <f t="shared" si="11"/>
        <v>2739.8413840000007</v>
      </c>
      <c r="AD145" s="6">
        <f t="shared" si="12"/>
        <v>0</v>
      </c>
      <c r="AE145" s="6">
        <f t="shared" ca="1" si="13"/>
        <v>2694.8310461443898</v>
      </c>
      <c r="AF145" s="4" t="s">
        <v>728</v>
      </c>
    </row>
    <row r="146" spans="1:32" ht="11.25" customHeight="1" x14ac:dyDescent="0.25">
      <c r="A146" s="4" t="s">
        <v>21</v>
      </c>
      <c r="B146" s="4" t="s">
        <v>38</v>
      </c>
      <c r="C146" s="4" t="s">
        <v>40</v>
      </c>
      <c r="D146" s="4" t="s">
        <v>43</v>
      </c>
      <c r="E146" s="4" t="s">
        <v>51</v>
      </c>
      <c r="F146" s="4" t="s">
        <v>25</v>
      </c>
      <c r="G146" s="4" t="s">
        <v>25</v>
      </c>
      <c r="H146" s="4" t="s">
        <v>34</v>
      </c>
      <c r="I146" s="5">
        <v>44378</v>
      </c>
      <c r="J146" s="6">
        <v>0</v>
      </c>
      <c r="K146" s="97">
        <v>0</v>
      </c>
      <c r="L146" s="6">
        <v>12.837</v>
      </c>
      <c r="M146" s="97">
        <v>12.837</v>
      </c>
      <c r="N146" s="6">
        <v>12.837</v>
      </c>
      <c r="O146" s="97">
        <v>12.837</v>
      </c>
      <c r="P146" s="6">
        <v>0</v>
      </c>
      <c r="Q146" s="4" t="s">
        <v>26</v>
      </c>
      <c r="R146" s="4">
        <v>0</v>
      </c>
      <c r="S146" s="4">
        <v>0</v>
      </c>
      <c r="T146" s="4">
        <v>14</v>
      </c>
      <c r="U146" s="4">
        <v>42</v>
      </c>
      <c r="V146" s="97">
        <f>IF(ISERROR(VLOOKUP($S$146,'TAR FIN'!$A$1:$O$86,15,0)),0,VLOOKUP($S$146,'TAR FIN'!$A$1:$O$86,15,0))</f>
        <v>0</v>
      </c>
      <c r="W146" s="97">
        <f>IF(ISERROR(VLOOKUP($T$146,'TAR FIN'!$A$1:$O$86,15,0)),0,VLOOKUP($T$146,'TAR FIN'!$A$1:$O$86,15,0))*(1-0.04)</f>
        <v>75.532800000000009</v>
      </c>
      <c r="X146" s="97">
        <f>IF(ISERROR(VLOOKUP($U$146,'TAR FIN'!$A$1:$O$86,15,0)),0,VLOOKUP($U$146,'TAR FIN'!$A$1:$O$86,15,0))*(1-0.04)</f>
        <v>236.44800000000001</v>
      </c>
      <c r="Y146" s="97"/>
      <c r="Z146" s="97">
        <f ca="1">('TUSD BE'!$AM$13+'TUSD BF'!$AM$13+'TUSD CVA'!$AM$13)*1*(1-0.02)</f>
        <v>98.232805801237291</v>
      </c>
      <c r="AA146" s="97">
        <f>('TE BE'!$AB$6+'TE BF'!$AB$6+'TE CVA'!$AB$6)*1*(1-0.02)</f>
        <v>215.01557219628384</v>
      </c>
      <c r="AB146" s="97">
        <f>(SUBSIDIO!$J$146*SUBSIDIO!$V$146)*(0.04)/(1-0.04)</f>
        <v>0</v>
      </c>
      <c r="AC146" s="97">
        <f>((SUBSIDIO!$L$146*SUBSIDIO!$W$146)+(SUBSIDIO!$N$146*SUBSIDIO!$X$146))*(0.04)/(1-0.04)</f>
        <v>166.87073040000001</v>
      </c>
      <c r="AD146" s="97">
        <f>(SUBSIDIO!$J$146*SUBSIDIO!$Y$146)*(0.02)/(1-0.02)</f>
        <v>0</v>
      </c>
      <c r="AE146" s="97">
        <f ca="1">((SUBSIDIO!$L$146*SUBSIDIO!$Z$146)+(SUBSIDIO!$N$146*SUBSIDIO!$AA$146))*(0.02)/(1-0.02)</f>
        <v>82.064682211309758</v>
      </c>
      <c r="AF146" s="4" t="s">
        <v>727</v>
      </c>
    </row>
    <row r="147" spans="1:32" ht="11.25" customHeight="1" x14ac:dyDescent="0.25">
      <c r="A147" s="4" t="s">
        <v>21</v>
      </c>
      <c r="B147" s="4" t="s">
        <v>38</v>
      </c>
      <c r="C147" s="4" t="s">
        <v>40</v>
      </c>
      <c r="D147" s="4" t="s">
        <v>43</v>
      </c>
      <c r="E147" s="4" t="s">
        <v>51</v>
      </c>
      <c r="F147" s="4" t="s">
        <v>25</v>
      </c>
      <c r="G147" s="4" t="s">
        <v>25</v>
      </c>
      <c r="H147" s="4" t="s">
        <v>34</v>
      </c>
      <c r="I147" s="5">
        <v>44409</v>
      </c>
      <c r="J147" s="6">
        <v>0</v>
      </c>
      <c r="K147" s="97">
        <v>0</v>
      </c>
      <c r="L147" s="6">
        <v>16.324000000000002</v>
      </c>
      <c r="M147" s="97">
        <v>16.324000000000002</v>
      </c>
      <c r="N147" s="6">
        <v>16.324000000000002</v>
      </c>
      <c r="O147" s="97">
        <v>16.324000000000002</v>
      </c>
      <c r="P147" s="6">
        <v>0</v>
      </c>
      <c r="Q147" s="4" t="s">
        <v>26</v>
      </c>
      <c r="R147" s="4">
        <v>0</v>
      </c>
      <c r="S147" s="4">
        <v>0</v>
      </c>
      <c r="T147" s="4">
        <v>14</v>
      </c>
      <c r="U147" s="4">
        <v>42</v>
      </c>
      <c r="V147" s="97">
        <f>IF(ISERROR(VLOOKUP($S$147,'TAR FIN'!$A$1:$O$86,15,0)),0,VLOOKUP($S$147,'TAR FIN'!$A$1:$O$86,15,0))</f>
        <v>0</v>
      </c>
      <c r="W147" s="97">
        <f>IF(ISERROR(VLOOKUP($T$147,'TAR FIN'!$A$1:$O$86,15,0)),0,VLOOKUP($T$147,'TAR FIN'!$A$1:$O$86,15,0))*(1-0.04)</f>
        <v>75.532800000000009</v>
      </c>
      <c r="X147" s="97">
        <f>IF(ISERROR(VLOOKUP($U$147,'TAR FIN'!$A$1:$O$86,15,0)),0,VLOOKUP($U$147,'TAR FIN'!$A$1:$O$86,15,0))*(1-0.04)</f>
        <v>236.44800000000001</v>
      </c>
      <c r="Y147" s="97"/>
      <c r="Z147" s="97">
        <f ca="1">('TUSD BE'!$AM$13+'TUSD BF'!$AM$13+'TUSD CVA'!$AM$13)*1*(1-0.02)</f>
        <v>98.232805801237291</v>
      </c>
      <c r="AA147" s="97">
        <f>('TE BE'!$AB$6+'TE BF'!$AB$6+'TE CVA'!$AB$6)*1*(1-0.02)</f>
        <v>215.01557219628384</v>
      </c>
      <c r="AB147" s="97">
        <f>(SUBSIDIO!$J$147*SUBSIDIO!$V$147)*(0.04)/(1-0.04)</f>
        <v>0</v>
      </c>
      <c r="AC147" s="97">
        <f>((SUBSIDIO!$L$147*SUBSIDIO!$W$147)+(SUBSIDIO!$N$147*SUBSIDIO!$X$147))*(0.04)/(1-0.04)</f>
        <v>212.19894080000003</v>
      </c>
      <c r="AD147" s="97">
        <f>(SUBSIDIO!$J$147*SUBSIDIO!$Y$147)*(0.02)/(1-0.02)</f>
        <v>0</v>
      </c>
      <c r="AE147" s="97">
        <f ca="1">((SUBSIDIO!$L$147*SUBSIDIO!$Z$147)+(SUBSIDIO!$N$147*SUBSIDIO!$AA$147))*(0.02)/(1-0.02)</f>
        <v>104.35645964145992</v>
      </c>
      <c r="AF147" s="4" t="s">
        <v>727</v>
      </c>
    </row>
    <row r="148" spans="1:32" ht="11.25" customHeight="1" x14ac:dyDescent="0.25">
      <c r="A148" s="4" t="s">
        <v>55</v>
      </c>
      <c r="B148" s="4" t="s">
        <v>38</v>
      </c>
      <c r="C148" s="4" t="s">
        <v>40</v>
      </c>
      <c r="D148" s="4" t="s">
        <v>43</v>
      </c>
      <c r="E148" s="4" t="s">
        <v>51</v>
      </c>
      <c r="F148" s="4" t="s">
        <v>25</v>
      </c>
      <c r="G148" s="4" t="s">
        <v>25</v>
      </c>
      <c r="H148" s="4" t="s">
        <v>34</v>
      </c>
      <c r="I148" s="5">
        <v>44409</v>
      </c>
      <c r="J148" s="6">
        <v>0</v>
      </c>
      <c r="K148" s="97">
        <v>0</v>
      </c>
      <c r="L148" s="6">
        <v>0.70899999999999996</v>
      </c>
      <c r="M148" s="97">
        <v>0.70899999999999996</v>
      </c>
      <c r="N148" s="6">
        <v>0.70899999999999996</v>
      </c>
      <c r="O148" s="97">
        <v>0.70899999999999996</v>
      </c>
      <c r="P148" s="6">
        <v>0</v>
      </c>
      <c r="Q148" s="4" t="s">
        <v>26</v>
      </c>
      <c r="R148" s="4">
        <v>0</v>
      </c>
      <c r="S148" s="4">
        <v>0</v>
      </c>
      <c r="T148" s="4">
        <v>14</v>
      </c>
      <c r="U148" s="4">
        <v>42</v>
      </c>
      <c r="V148" s="97">
        <f>IF(ISERROR(VLOOKUP($S$148,'TAR FIN'!$A$1:$O$86,15,0)),0,VLOOKUP($S$148,'TAR FIN'!$A$1:$O$86,15,0))</f>
        <v>0</v>
      </c>
      <c r="W148" s="97">
        <f>IF(ISERROR(VLOOKUP($T$148,'TAR FIN'!$A$1:$O$86,15,0)),0,VLOOKUP($T$148,'TAR FIN'!$A$1:$O$86,15,0))*(1-0.04)</f>
        <v>75.532800000000009</v>
      </c>
      <c r="X148" s="97">
        <f>IF(ISERROR(VLOOKUP($U$148,'TAR FIN'!$A$1:$O$86,15,0)),0,VLOOKUP($U$148,'TAR FIN'!$A$1:$O$86,15,0))*(1-0.04)</f>
        <v>236.44800000000001</v>
      </c>
      <c r="Y148" s="97"/>
      <c r="Z148" s="97">
        <f ca="1">('TUSD BE'!$AM$13+'TUSD BF'!$AM$13+'TUSD CVA'!$AM$13)*1*(1-0.02)</f>
        <v>98.232805801237291</v>
      </c>
      <c r="AA148" s="97">
        <f>('TE BE'!$AB$6+'TE BF'!$AB$6+'TE CVA'!$AB$6)*1*(1-0.02)</f>
        <v>215.01557219628384</v>
      </c>
      <c r="AB148" s="97">
        <f>(SUBSIDIO!$J$148*SUBSIDIO!$V$148)*(0.04)/(1-0.04)</f>
        <v>0</v>
      </c>
      <c r="AC148" s="97">
        <f>((SUBSIDIO!$L$148*SUBSIDIO!$W$148)+(SUBSIDIO!$N$148*SUBSIDIO!$X$148))*(0.04)/(1-0.04)</f>
        <v>9.2164327999999998</v>
      </c>
      <c r="AD148" s="97">
        <f>(SUBSIDIO!$J$148*SUBSIDIO!$Y$148)*(0.02)/(1-0.02)</f>
        <v>0</v>
      </c>
      <c r="AE148" s="97">
        <f ca="1">((SUBSIDIO!$L$148*SUBSIDIO!$Z$148)+(SUBSIDIO!$N$148*SUBSIDIO!$AA$148))*(0.02)/(1-0.02)</f>
        <v>4.5325122449029083</v>
      </c>
      <c r="AF148" s="4" t="s">
        <v>727</v>
      </c>
    </row>
    <row r="149" spans="1:32" ht="11.25" customHeight="1" x14ac:dyDescent="0.25">
      <c r="A149" s="4" t="s">
        <v>21</v>
      </c>
      <c r="B149" s="4" t="s">
        <v>38</v>
      </c>
      <c r="C149" s="4" t="s">
        <v>40</v>
      </c>
      <c r="D149" s="4" t="s">
        <v>43</v>
      </c>
      <c r="E149" s="4" t="s">
        <v>51</v>
      </c>
      <c r="F149" s="4" t="s">
        <v>25</v>
      </c>
      <c r="G149" s="4" t="s">
        <v>25</v>
      </c>
      <c r="H149" s="4" t="s">
        <v>34</v>
      </c>
      <c r="I149" s="5">
        <v>44440</v>
      </c>
      <c r="J149" s="6">
        <v>0</v>
      </c>
      <c r="K149" s="97">
        <v>0</v>
      </c>
      <c r="L149" s="6">
        <v>13.708</v>
      </c>
      <c r="M149" s="97">
        <v>13.708</v>
      </c>
      <c r="N149" s="6">
        <v>13.708</v>
      </c>
      <c r="O149" s="97">
        <v>13.708</v>
      </c>
      <c r="P149" s="6">
        <v>0</v>
      </c>
      <c r="Q149" s="4" t="s">
        <v>26</v>
      </c>
      <c r="R149" s="4">
        <v>0</v>
      </c>
      <c r="S149" s="4">
        <v>0</v>
      </c>
      <c r="T149" s="4">
        <v>14</v>
      </c>
      <c r="U149" s="4">
        <v>42</v>
      </c>
      <c r="V149" s="97">
        <f>IF(ISERROR(VLOOKUP($S$149,'TAR FIN'!$A$1:$O$86,15,0)),0,VLOOKUP($S$149,'TAR FIN'!$A$1:$O$86,15,0))</f>
        <v>0</v>
      </c>
      <c r="W149" s="97">
        <f>IF(ISERROR(VLOOKUP($T$149,'TAR FIN'!$A$1:$O$86,15,0)),0,VLOOKUP($T$149,'TAR FIN'!$A$1:$O$86,15,0))*(1-0.04)</f>
        <v>75.532800000000009</v>
      </c>
      <c r="X149" s="97">
        <f>IF(ISERROR(VLOOKUP($U$149,'TAR FIN'!$A$1:$O$86,15,0)),0,VLOOKUP($U$149,'TAR FIN'!$A$1:$O$86,15,0))*(1-0.04)</f>
        <v>236.44800000000001</v>
      </c>
      <c r="Y149" s="97"/>
      <c r="Z149" s="97">
        <f ca="1">('TUSD BE'!$AM$13+'TUSD BF'!$AM$13+'TUSD CVA'!$AM$13)*1*(1-0.02)</f>
        <v>98.232805801237291</v>
      </c>
      <c r="AA149" s="97">
        <f>('TE BE'!$AB$6+'TE BF'!$AB$6+'TE CVA'!$AB$6)*1*(1-0.02)</f>
        <v>215.01557219628384</v>
      </c>
      <c r="AB149" s="97">
        <f>(SUBSIDIO!$J$149*SUBSIDIO!$V$149)*(0.04)/(1-0.04)</f>
        <v>0</v>
      </c>
      <c r="AC149" s="97">
        <f>((SUBSIDIO!$L$149*SUBSIDIO!$W$149)+(SUBSIDIO!$N$149*SUBSIDIO!$X$149))*(0.04)/(1-0.04)</f>
        <v>178.19303360000004</v>
      </c>
      <c r="AD149" s="97">
        <f>(SUBSIDIO!$J$149*SUBSIDIO!$Y$149)*(0.02)/(1-0.02)</f>
        <v>0</v>
      </c>
      <c r="AE149" s="97">
        <f ca="1">((SUBSIDIO!$L$149*SUBSIDIO!$Z$149)+(SUBSIDIO!$N$149*SUBSIDIO!$AA$149))*(0.02)/(1-0.02)</f>
        <v>87.632831950816737</v>
      </c>
      <c r="AF149" s="4" t="s">
        <v>727</v>
      </c>
    </row>
    <row r="150" spans="1:32" ht="11.25" customHeight="1" x14ac:dyDescent="0.25">
      <c r="A150" s="4" t="s">
        <v>55</v>
      </c>
      <c r="B150" s="4" t="s">
        <v>38</v>
      </c>
      <c r="C150" s="4" t="s">
        <v>40</v>
      </c>
      <c r="D150" s="4" t="s">
        <v>43</v>
      </c>
      <c r="E150" s="4" t="s">
        <v>51</v>
      </c>
      <c r="F150" s="4" t="s">
        <v>25</v>
      </c>
      <c r="G150" s="4" t="s">
        <v>25</v>
      </c>
      <c r="H150" s="4" t="s">
        <v>34</v>
      </c>
      <c r="I150" s="5">
        <v>44440</v>
      </c>
      <c r="J150" s="6">
        <v>0</v>
      </c>
      <c r="K150" s="97">
        <v>0</v>
      </c>
      <c r="L150" s="6">
        <v>2.2109999999999999</v>
      </c>
      <c r="M150" s="97">
        <v>2.2109999999999999</v>
      </c>
      <c r="N150" s="6">
        <v>2.2109999999999999</v>
      </c>
      <c r="O150" s="97">
        <v>2.2109999999999999</v>
      </c>
      <c r="P150" s="6">
        <v>0</v>
      </c>
      <c r="Q150" s="4" t="s">
        <v>26</v>
      </c>
      <c r="R150" s="4">
        <v>0</v>
      </c>
      <c r="S150" s="4">
        <v>0</v>
      </c>
      <c r="T150" s="4">
        <v>14</v>
      </c>
      <c r="U150" s="4">
        <v>42</v>
      </c>
      <c r="V150" s="97">
        <f>IF(ISERROR(VLOOKUP($S$150,'TAR FIN'!$A$1:$O$86,15,0)),0,VLOOKUP($S$150,'TAR FIN'!$A$1:$O$86,15,0))</f>
        <v>0</v>
      </c>
      <c r="W150" s="97">
        <f>IF(ISERROR(VLOOKUP($T$150,'TAR FIN'!$A$1:$O$86,15,0)),0,VLOOKUP($T$150,'TAR FIN'!$A$1:$O$86,15,0))*(1-0.04)</f>
        <v>75.532800000000009</v>
      </c>
      <c r="X150" s="97">
        <f>IF(ISERROR(VLOOKUP($U$150,'TAR FIN'!$A$1:$O$86,15,0)),0,VLOOKUP($U$150,'TAR FIN'!$A$1:$O$86,15,0))*(1-0.04)</f>
        <v>236.44800000000001</v>
      </c>
      <c r="Y150" s="97"/>
      <c r="Z150" s="97">
        <f ca="1">('TUSD BE'!$AM$13+'TUSD BF'!$AM$13+'TUSD CVA'!$AM$13)*1*(1-0.02)</f>
        <v>98.232805801237291</v>
      </c>
      <c r="AA150" s="97">
        <f>('TE BE'!$AB$6+'TE BF'!$AB$6+'TE CVA'!$AB$6)*1*(1-0.02)</f>
        <v>215.01557219628384</v>
      </c>
      <c r="AB150" s="97">
        <f>(SUBSIDIO!$J$150*SUBSIDIO!$V$150)*(0.04)/(1-0.04)</f>
        <v>0</v>
      </c>
      <c r="AC150" s="97">
        <f>((SUBSIDIO!$L$150*SUBSIDIO!$W$150)+(SUBSIDIO!$N$150*SUBSIDIO!$X$150))*(0.04)/(1-0.04)</f>
        <v>28.741231199999998</v>
      </c>
      <c r="AD150" s="97">
        <f>(SUBSIDIO!$J$150*SUBSIDIO!$Y$150)*(0.02)/(1-0.02)</f>
        <v>0</v>
      </c>
      <c r="AE150" s="97">
        <f ca="1">((SUBSIDIO!$L$150*SUBSIDIO!$Z$150)+(SUBSIDIO!$N$150*SUBSIDIO!$AA$150))*(0.02)/(1-0.02)</f>
        <v>14.134533954133044</v>
      </c>
      <c r="AF150" s="4" t="s">
        <v>727</v>
      </c>
    </row>
    <row r="151" spans="1:32" ht="11.25" customHeight="1" x14ac:dyDescent="0.25">
      <c r="A151" s="4" t="s">
        <v>21</v>
      </c>
      <c r="B151" s="4" t="s">
        <v>38</v>
      </c>
      <c r="C151" s="4" t="s">
        <v>40</v>
      </c>
      <c r="D151" s="4" t="s">
        <v>43</v>
      </c>
      <c r="E151" s="4" t="s">
        <v>51</v>
      </c>
      <c r="F151" s="4" t="s">
        <v>25</v>
      </c>
      <c r="G151" s="4" t="s">
        <v>25</v>
      </c>
      <c r="H151" s="4" t="s">
        <v>34</v>
      </c>
      <c r="I151" s="5">
        <v>44470</v>
      </c>
      <c r="J151" s="6">
        <v>0</v>
      </c>
      <c r="K151" s="97">
        <v>0</v>
      </c>
      <c r="L151" s="6">
        <v>23.190999999999999</v>
      </c>
      <c r="M151" s="97">
        <v>23.190999999999999</v>
      </c>
      <c r="N151" s="6">
        <v>23.190999999999999</v>
      </c>
      <c r="O151" s="97">
        <v>23.190999999999999</v>
      </c>
      <c r="P151" s="6">
        <v>0</v>
      </c>
      <c r="Q151" s="4" t="s">
        <v>26</v>
      </c>
      <c r="R151" s="4">
        <v>0</v>
      </c>
      <c r="S151" s="4">
        <v>0</v>
      </c>
      <c r="T151" s="4">
        <v>14</v>
      </c>
      <c r="U151" s="4">
        <v>42</v>
      </c>
      <c r="V151" s="97">
        <f>IF(ISERROR(VLOOKUP($S$151,'TAR FIN'!$A$1:$O$86,15,0)),0,VLOOKUP($S$151,'TAR FIN'!$A$1:$O$86,15,0))</f>
        <v>0</v>
      </c>
      <c r="W151" s="97">
        <f>IF(ISERROR(VLOOKUP($T$151,'TAR FIN'!$A$1:$O$86,15,0)),0,VLOOKUP($T$151,'TAR FIN'!$A$1:$O$86,15,0))*(1-0.04)</f>
        <v>75.532800000000009</v>
      </c>
      <c r="X151" s="97">
        <f>IF(ISERROR(VLOOKUP($U$151,'TAR FIN'!$A$1:$O$86,15,0)),0,VLOOKUP($U$151,'TAR FIN'!$A$1:$O$86,15,0))*(1-0.04)</f>
        <v>236.44800000000001</v>
      </c>
      <c r="Y151" s="97"/>
      <c r="Z151" s="97">
        <f ca="1">('TUSD BE'!$AM$13+'TUSD BF'!$AM$13+'TUSD CVA'!$AM$13)*1*(1-0.02)</f>
        <v>98.232805801237291</v>
      </c>
      <c r="AA151" s="97">
        <f>('TE BE'!$AB$6+'TE BF'!$AB$6+'TE CVA'!$AB$6)*1*(1-0.02)</f>
        <v>215.01557219628384</v>
      </c>
      <c r="AB151" s="97">
        <f>(SUBSIDIO!$J$151*SUBSIDIO!$V$151)*(0.04)/(1-0.04)</f>
        <v>0</v>
      </c>
      <c r="AC151" s="97">
        <f>((SUBSIDIO!$L$151*SUBSIDIO!$W$151)+(SUBSIDIO!$N$151*SUBSIDIO!$X$151))*(0.04)/(1-0.04)</f>
        <v>301.4644472</v>
      </c>
      <c r="AD151" s="97">
        <f>(SUBSIDIO!$J$151*SUBSIDIO!$Y$151)*(0.02)/(1-0.02)</f>
        <v>0</v>
      </c>
      <c r="AE151" s="97">
        <f ca="1">((SUBSIDIO!$L$151*SUBSIDIO!$Z$151)+(SUBSIDIO!$N$151*SUBSIDIO!$AA$151))*(0.02)/(1-0.02)</f>
        <v>148.25598232939819</v>
      </c>
      <c r="AF151" s="4" t="s">
        <v>727</v>
      </c>
    </row>
    <row r="152" spans="1:32" ht="11.25" customHeight="1" x14ac:dyDescent="0.25">
      <c r="A152" s="4" t="s">
        <v>55</v>
      </c>
      <c r="B152" s="4" t="s">
        <v>38</v>
      </c>
      <c r="C152" s="4" t="s">
        <v>40</v>
      </c>
      <c r="D152" s="4" t="s">
        <v>43</v>
      </c>
      <c r="E152" s="4" t="s">
        <v>51</v>
      </c>
      <c r="F152" s="4" t="s">
        <v>25</v>
      </c>
      <c r="G152" s="4" t="s">
        <v>25</v>
      </c>
      <c r="H152" s="4" t="s">
        <v>34</v>
      </c>
      <c r="I152" s="5">
        <v>44470</v>
      </c>
      <c r="J152" s="6">
        <v>0</v>
      </c>
      <c r="K152" s="97">
        <v>0</v>
      </c>
      <c r="L152" s="6">
        <v>3.04</v>
      </c>
      <c r="M152" s="97">
        <v>3.04</v>
      </c>
      <c r="N152" s="6">
        <v>3.04</v>
      </c>
      <c r="O152" s="97">
        <v>3.04</v>
      </c>
      <c r="P152" s="6">
        <v>0</v>
      </c>
      <c r="Q152" s="4" t="s">
        <v>26</v>
      </c>
      <c r="R152" s="4">
        <v>0</v>
      </c>
      <c r="S152" s="4">
        <v>0</v>
      </c>
      <c r="T152" s="4">
        <v>14</v>
      </c>
      <c r="U152" s="4">
        <v>42</v>
      </c>
      <c r="V152" s="97">
        <f>IF(ISERROR(VLOOKUP($S$152,'TAR FIN'!$A$1:$O$86,15,0)),0,VLOOKUP($S$152,'TAR FIN'!$A$1:$O$86,15,0))</f>
        <v>0</v>
      </c>
      <c r="W152" s="97">
        <f>IF(ISERROR(VLOOKUP($T$152,'TAR FIN'!$A$1:$O$86,15,0)),0,VLOOKUP($T$152,'TAR FIN'!$A$1:$O$86,15,0))*(1-0.04)</f>
        <v>75.532800000000009</v>
      </c>
      <c r="X152" s="97">
        <f>IF(ISERROR(VLOOKUP($U$152,'TAR FIN'!$A$1:$O$86,15,0)),0,VLOOKUP($U$152,'TAR FIN'!$A$1:$O$86,15,0))*(1-0.04)</f>
        <v>236.44800000000001</v>
      </c>
      <c r="Y152" s="97"/>
      <c r="Z152" s="97">
        <f ca="1">('TUSD BE'!$AM$13+'TUSD BF'!$AM$13+'TUSD CVA'!$AM$13)*1*(1-0.02)</f>
        <v>98.232805801237291</v>
      </c>
      <c r="AA152" s="97">
        <f>('TE BE'!$AB$6+'TE BF'!$AB$6+'TE CVA'!$AB$6)*1*(1-0.02)</f>
        <v>215.01557219628384</v>
      </c>
      <c r="AB152" s="97">
        <f>(SUBSIDIO!$J$152*SUBSIDIO!$V$152)*(0.04)/(1-0.04)</f>
        <v>0</v>
      </c>
      <c r="AC152" s="97">
        <f>((SUBSIDIO!$L$152*SUBSIDIO!$W$152)+(SUBSIDIO!$N$152*SUBSIDIO!$X$152))*(0.04)/(1-0.04)</f>
        <v>39.517567999999997</v>
      </c>
      <c r="AD152" s="97">
        <f>(SUBSIDIO!$J$152*SUBSIDIO!$Y$152)*(0.02)/(1-0.02)</f>
        <v>0</v>
      </c>
      <c r="AE152" s="97">
        <f ca="1">((SUBSIDIO!$L$152*SUBSIDIO!$Z$152)+(SUBSIDIO!$N$152*SUBSIDIO!$AA$152))*(0.02)/(1-0.02)</f>
        <v>19.43418508392784</v>
      </c>
      <c r="AF152" s="4" t="s">
        <v>727</v>
      </c>
    </row>
    <row r="153" spans="1:32" ht="11.25" customHeight="1" x14ac:dyDescent="0.25">
      <c r="A153" s="4" t="s">
        <v>21</v>
      </c>
      <c r="B153" s="4" t="s">
        <v>38</v>
      </c>
      <c r="C153" s="4" t="s">
        <v>40</v>
      </c>
      <c r="D153" s="4" t="s">
        <v>43</v>
      </c>
      <c r="E153" s="4" t="s">
        <v>51</v>
      </c>
      <c r="F153" s="4" t="s">
        <v>25</v>
      </c>
      <c r="G153" s="4" t="s">
        <v>25</v>
      </c>
      <c r="H153" s="4" t="s">
        <v>34</v>
      </c>
      <c r="I153" s="5">
        <v>44501</v>
      </c>
      <c r="J153" s="6">
        <v>0</v>
      </c>
      <c r="K153" s="97">
        <v>0</v>
      </c>
      <c r="L153" s="6">
        <v>177.87</v>
      </c>
      <c r="M153" s="97">
        <v>177.87</v>
      </c>
      <c r="N153" s="6">
        <v>177.87</v>
      </c>
      <c r="O153" s="97">
        <v>177.87</v>
      </c>
      <c r="P153" s="6">
        <v>0</v>
      </c>
      <c r="Q153" s="4" t="s">
        <v>26</v>
      </c>
      <c r="R153" s="4">
        <v>0</v>
      </c>
      <c r="S153" s="4">
        <v>0</v>
      </c>
      <c r="T153" s="4">
        <v>14</v>
      </c>
      <c r="U153" s="4">
        <v>42</v>
      </c>
      <c r="V153" s="97">
        <f>IF(ISERROR(VLOOKUP($S$153,'TAR FIN'!$A$1:$O$86,15,0)),0,VLOOKUP($S$153,'TAR FIN'!$A$1:$O$86,15,0))</f>
        <v>0</v>
      </c>
      <c r="W153" s="97">
        <f>IF(ISERROR(VLOOKUP($T$153,'TAR FIN'!$A$1:$O$86,15,0)),0,VLOOKUP($T$153,'TAR FIN'!$A$1:$O$86,15,0))*(1-0.04)</f>
        <v>75.532800000000009</v>
      </c>
      <c r="X153" s="97">
        <f>IF(ISERROR(VLOOKUP($U$153,'TAR FIN'!$A$1:$O$86,15,0)),0,VLOOKUP($U$153,'TAR FIN'!$A$1:$O$86,15,0))*(1-0.04)</f>
        <v>236.44800000000001</v>
      </c>
      <c r="Y153" s="97"/>
      <c r="Z153" s="97">
        <f ca="1">('TUSD BE'!$AM$13+'TUSD BF'!$AM$13+'TUSD CVA'!$AM$13)*1*(1-0.02)</f>
        <v>98.232805801237291</v>
      </c>
      <c r="AA153" s="97">
        <f>('TE BE'!$AB$6+'TE BF'!$AB$6+'TE CVA'!$AB$6)*1*(1-0.02)</f>
        <v>215.01557219628384</v>
      </c>
      <c r="AB153" s="97">
        <f>(SUBSIDIO!$J$153*SUBSIDIO!$V$153)*(0.04)/(1-0.04)</f>
        <v>0</v>
      </c>
      <c r="AC153" s="97">
        <f>((SUBSIDIO!$L$153*SUBSIDIO!$W$153)+(SUBSIDIO!$N$153*SUBSIDIO!$X$153))*(0.04)/(1-0.04)</f>
        <v>2312.1677040000004</v>
      </c>
      <c r="AD153" s="97">
        <f>(SUBSIDIO!$J$153*SUBSIDIO!$Y$153)*(0.02)/(1-0.02)</f>
        <v>0</v>
      </c>
      <c r="AE153" s="97">
        <f ca="1">((SUBSIDIO!$L$153*SUBSIDIO!$Z$153)+(SUBSIDIO!$N$153*SUBSIDIO!$AA$153))*(0.02)/(1-0.02)</f>
        <v>1137.091612131002</v>
      </c>
      <c r="AF153" s="4" t="s">
        <v>727</v>
      </c>
    </row>
    <row r="154" spans="1:32" ht="11.25" customHeight="1" x14ac:dyDescent="0.25">
      <c r="A154" s="4" t="s">
        <v>55</v>
      </c>
      <c r="B154" s="4" t="s">
        <v>38</v>
      </c>
      <c r="C154" s="4" t="s">
        <v>40</v>
      </c>
      <c r="D154" s="4" t="s">
        <v>43</v>
      </c>
      <c r="E154" s="4" t="s">
        <v>51</v>
      </c>
      <c r="F154" s="4" t="s">
        <v>25</v>
      </c>
      <c r="G154" s="4" t="s">
        <v>25</v>
      </c>
      <c r="H154" s="4" t="s">
        <v>34</v>
      </c>
      <c r="I154" s="5">
        <v>44501</v>
      </c>
      <c r="J154" s="6">
        <v>0</v>
      </c>
      <c r="K154" s="97">
        <v>0</v>
      </c>
      <c r="L154" s="6">
        <v>55.423000000000002</v>
      </c>
      <c r="M154" s="97">
        <v>55.423000000000002</v>
      </c>
      <c r="N154" s="6">
        <v>55.423000000000002</v>
      </c>
      <c r="O154" s="97">
        <v>55.423000000000002</v>
      </c>
      <c r="P154" s="6">
        <v>0</v>
      </c>
      <c r="Q154" s="4" t="s">
        <v>26</v>
      </c>
      <c r="R154" s="4">
        <v>0</v>
      </c>
      <c r="S154" s="4">
        <v>0</v>
      </c>
      <c r="T154" s="4">
        <v>14</v>
      </c>
      <c r="U154" s="4">
        <v>42</v>
      </c>
      <c r="V154" s="97">
        <f>IF(ISERROR(VLOOKUP($S$154,'TAR FIN'!$A$1:$O$86,15,0)),0,VLOOKUP($S$154,'TAR FIN'!$A$1:$O$86,15,0))</f>
        <v>0</v>
      </c>
      <c r="W154" s="97">
        <f>IF(ISERROR(VLOOKUP($T$154,'TAR FIN'!$A$1:$O$86,15,0)),0,VLOOKUP($T$154,'TAR FIN'!$A$1:$O$86,15,0))*(1-0.04)</f>
        <v>75.532800000000009</v>
      </c>
      <c r="X154" s="97">
        <f>IF(ISERROR(VLOOKUP($U$154,'TAR FIN'!$A$1:$O$86,15,0)),0,VLOOKUP($U$154,'TAR FIN'!$A$1:$O$86,15,0))*(1-0.04)</f>
        <v>236.44800000000001</v>
      </c>
      <c r="Y154" s="97"/>
      <c r="Z154" s="97">
        <f ca="1">('TUSD BE'!$AM$13+'TUSD BF'!$AM$13+'TUSD CVA'!$AM$13)*1*(1-0.02)</f>
        <v>98.232805801237291</v>
      </c>
      <c r="AA154" s="97">
        <f>('TE BE'!$AB$6+'TE BF'!$AB$6+'TE CVA'!$AB$6)*1*(1-0.02)</f>
        <v>215.01557219628384</v>
      </c>
      <c r="AB154" s="97">
        <f>(SUBSIDIO!$J$154*SUBSIDIO!$V$154)*(0.04)/(1-0.04)</f>
        <v>0</v>
      </c>
      <c r="AC154" s="97">
        <f>((SUBSIDIO!$L$154*SUBSIDIO!$W$154)+(SUBSIDIO!$N$154*SUBSIDIO!$X$154))*(0.04)/(1-0.04)</f>
        <v>720.45466160000012</v>
      </c>
      <c r="AD154" s="97">
        <f>(SUBSIDIO!$J$154*SUBSIDIO!$Y$154)*(0.02)/(1-0.02)</f>
        <v>0</v>
      </c>
      <c r="AE154" s="97">
        <f ca="1">((SUBSIDIO!$L$154*SUBSIDIO!$Z$154)+(SUBSIDIO!$N$154*SUBSIDIO!$AA$154))*(0.02)/(1-0.02)</f>
        <v>354.30948681135948</v>
      </c>
      <c r="AF154" s="4" t="s">
        <v>727</v>
      </c>
    </row>
    <row r="155" spans="1:32" ht="11.25" customHeight="1" x14ac:dyDescent="0.25">
      <c r="A155" s="4" t="s">
        <v>21</v>
      </c>
      <c r="B155" s="4" t="s">
        <v>38</v>
      </c>
      <c r="C155" s="4" t="s">
        <v>40</v>
      </c>
      <c r="D155" s="4" t="s">
        <v>43</v>
      </c>
      <c r="E155" s="4" t="s">
        <v>51</v>
      </c>
      <c r="F155" s="4" t="s">
        <v>25</v>
      </c>
      <c r="G155" s="4" t="s">
        <v>25</v>
      </c>
      <c r="H155" s="4" t="s">
        <v>34</v>
      </c>
      <c r="I155" s="5">
        <v>44531</v>
      </c>
      <c r="J155" s="6">
        <v>0</v>
      </c>
      <c r="K155" s="97">
        <v>0</v>
      </c>
      <c r="L155" s="6">
        <v>379.16300000000001</v>
      </c>
      <c r="M155" s="97">
        <v>379.16300000000001</v>
      </c>
      <c r="N155" s="6">
        <v>379.16300000000001</v>
      </c>
      <c r="O155" s="97">
        <v>379.16300000000001</v>
      </c>
      <c r="P155" s="6">
        <v>0</v>
      </c>
      <c r="Q155" s="4" t="s">
        <v>26</v>
      </c>
      <c r="R155" s="4">
        <v>0</v>
      </c>
      <c r="S155" s="4">
        <v>0</v>
      </c>
      <c r="T155" s="4">
        <v>14</v>
      </c>
      <c r="U155" s="4">
        <v>42</v>
      </c>
      <c r="V155" s="97">
        <f>IF(ISERROR(VLOOKUP($S$155,'TAR FIN'!$A$1:$O$86,15,0)),0,VLOOKUP($S$155,'TAR FIN'!$A$1:$O$86,15,0))</f>
        <v>0</v>
      </c>
      <c r="W155" s="97">
        <f>IF(ISERROR(VLOOKUP($T$155,'TAR FIN'!$A$1:$O$86,15,0)),0,VLOOKUP($T$155,'TAR FIN'!$A$1:$O$86,15,0))*(1-0.04)</f>
        <v>75.532800000000009</v>
      </c>
      <c r="X155" s="97">
        <f>IF(ISERROR(VLOOKUP($U$155,'TAR FIN'!$A$1:$O$86,15,0)),0,VLOOKUP($U$155,'TAR FIN'!$A$1:$O$86,15,0))*(1-0.04)</f>
        <v>236.44800000000001</v>
      </c>
      <c r="Y155" s="97"/>
      <c r="Z155" s="97">
        <f ca="1">('TUSD BE'!$AM$13+'TUSD BF'!$AM$13+'TUSD CVA'!$AM$13)*1*(1-0.02)</f>
        <v>98.232805801237291</v>
      </c>
      <c r="AA155" s="97">
        <f>('TE BE'!$AB$6+'TE BF'!$AB$6+'TE CVA'!$AB$6)*1*(1-0.02)</f>
        <v>215.01557219628384</v>
      </c>
      <c r="AB155" s="97">
        <f>(SUBSIDIO!$J$155*SUBSIDIO!$V$155)*(0.04)/(1-0.04)</f>
        <v>0</v>
      </c>
      <c r="AC155" s="97">
        <f>((SUBSIDIO!$L$155*SUBSIDIO!$W$155)+(SUBSIDIO!$N$155*SUBSIDIO!$X$155))*(0.04)/(1-0.04)</f>
        <v>4928.8156696000005</v>
      </c>
      <c r="AD155" s="97">
        <f>(SUBSIDIO!$J$155*SUBSIDIO!$Y$155)*(0.02)/(1-0.02)</f>
        <v>0</v>
      </c>
      <c r="AE155" s="97">
        <f ca="1">((SUBSIDIO!$L$155*SUBSIDIO!$Z$155)+(SUBSIDIO!$N$155*SUBSIDIO!$AA$155))*(0.02)/(1-0.02)</f>
        <v>2423.9223417688595</v>
      </c>
      <c r="AF155" s="4" t="s">
        <v>727</v>
      </c>
    </row>
    <row r="156" spans="1:32" ht="11.25" customHeight="1" x14ac:dyDescent="0.25">
      <c r="A156" s="4" t="s">
        <v>55</v>
      </c>
      <c r="B156" s="4" t="s">
        <v>38</v>
      </c>
      <c r="C156" s="4" t="s">
        <v>40</v>
      </c>
      <c r="D156" s="4" t="s">
        <v>43</v>
      </c>
      <c r="E156" s="4" t="s">
        <v>51</v>
      </c>
      <c r="F156" s="4" t="s">
        <v>25</v>
      </c>
      <c r="G156" s="4" t="s">
        <v>25</v>
      </c>
      <c r="H156" s="4" t="s">
        <v>34</v>
      </c>
      <c r="I156" s="5">
        <v>44531</v>
      </c>
      <c r="J156" s="6">
        <v>0</v>
      </c>
      <c r="K156" s="97">
        <v>0</v>
      </c>
      <c r="L156" s="6">
        <v>77.055999999999997</v>
      </c>
      <c r="M156" s="97">
        <v>77.055999999999997</v>
      </c>
      <c r="N156" s="6">
        <v>77.055999999999997</v>
      </c>
      <c r="O156" s="97">
        <v>77.055999999999997</v>
      </c>
      <c r="P156" s="6">
        <v>0</v>
      </c>
      <c r="Q156" s="4" t="s">
        <v>26</v>
      </c>
      <c r="R156" s="4">
        <v>0</v>
      </c>
      <c r="S156" s="4">
        <v>0</v>
      </c>
      <c r="T156" s="4">
        <v>14</v>
      </c>
      <c r="U156" s="4">
        <v>42</v>
      </c>
      <c r="V156" s="97">
        <f>IF(ISERROR(VLOOKUP($S$156,'TAR FIN'!$A$1:$O$86,15,0)),0,VLOOKUP($S$156,'TAR FIN'!$A$1:$O$86,15,0))</f>
        <v>0</v>
      </c>
      <c r="W156" s="97">
        <f>IF(ISERROR(VLOOKUP($T$156,'TAR FIN'!$A$1:$O$86,15,0)),0,VLOOKUP($T$156,'TAR FIN'!$A$1:$O$86,15,0))*(1-0.04)</f>
        <v>75.532800000000009</v>
      </c>
      <c r="X156" s="97">
        <f>IF(ISERROR(VLOOKUP($U$156,'TAR FIN'!$A$1:$O$86,15,0)),0,VLOOKUP($U$156,'TAR FIN'!$A$1:$O$86,15,0))*(1-0.04)</f>
        <v>236.44800000000001</v>
      </c>
      <c r="Y156" s="97"/>
      <c r="Z156" s="97">
        <f ca="1">('TUSD BE'!$AM$13+'TUSD BF'!$AM$13+'TUSD CVA'!$AM$13)*1*(1-0.02)</f>
        <v>98.232805801237291</v>
      </c>
      <c r="AA156" s="97">
        <f>('TE BE'!$AB$6+'TE BF'!$AB$6+'TE CVA'!$AB$6)*1*(1-0.02)</f>
        <v>215.01557219628384</v>
      </c>
      <c r="AB156" s="97">
        <f>(SUBSIDIO!$J$156*SUBSIDIO!$V$156)*(0.04)/(1-0.04)</f>
        <v>0</v>
      </c>
      <c r="AC156" s="97">
        <f>((SUBSIDIO!$L$156*SUBSIDIO!$W$156)+(SUBSIDIO!$N$156*SUBSIDIO!$X$156))*(0.04)/(1-0.04)</f>
        <v>1001.6663552000001</v>
      </c>
      <c r="AD156" s="97">
        <f>(SUBSIDIO!$J$156*SUBSIDIO!$Y$156)*(0.02)/(1-0.02)</f>
        <v>0</v>
      </c>
      <c r="AE156" s="97">
        <f ca="1">((SUBSIDIO!$L$156*SUBSIDIO!$Z$156)+(SUBSIDIO!$N$156*SUBSIDIO!$AA$156))*(0.02)/(1-0.02)</f>
        <v>492.60544928524467</v>
      </c>
      <c r="AF156" s="4" t="s">
        <v>727</v>
      </c>
    </row>
    <row r="157" spans="1:32" ht="11.25" customHeight="1" x14ac:dyDescent="0.25">
      <c r="A157" s="4" t="s">
        <v>21</v>
      </c>
      <c r="B157" s="4" t="s">
        <v>38</v>
      </c>
      <c r="C157" s="4" t="s">
        <v>40</v>
      </c>
      <c r="D157" s="4" t="s">
        <v>43</v>
      </c>
      <c r="E157" s="4" t="s">
        <v>51</v>
      </c>
      <c r="F157" s="4" t="s">
        <v>25</v>
      </c>
      <c r="G157" s="4" t="s">
        <v>25</v>
      </c>
      <c r="H157" s="4" t="s">
        <v>34</v>
      </c>
      <c r="I157" s="5">
        <v>44562</v>
      </c>
      <c r="J157" s="6">
        <v>0</v>
      </c>
      <c r="K157" s="97">
        <v>0</v>
      </c>
      <c r="L157" s="6">
        <v>248.77</v>
      </c>
      <c r="M157" s="97">
        <v>248.77</v>
      </c>
      <c r="N157" s="6">
        <v>248.77</v>
      </c>
      <c r="O157" s="97">
        <v>248.77</v>
      </c>
      <c r="P157" s="6">
        <v>0</v>
      </c>
      <c r="Q157" s="4" t="s">
        <v>26</v>
      </c>
      <c r="R157" s="4">
        <v>0</v>
      </c>
      <c r="S157" s="4">
        <v>0</v>
      </c>
      <c r="T157" s="4">
        <v>14</v>
      </c>
      <c r="U157" s="4">
        <v>42</v>
      </c>
      <c r="V157" s="97">
        <f>IF(ISERROR(VLOOKUP($S$157,'TAR FIN'!$A$1:$O$86,15,0)),0,VLOOKUP($S$157,'TAR FIN'!$A$1:$O$86,15,0))</f>
        <v>0</v>
      </c>
      <c r="W157" s="97">
        <f>IF(ISERROR(VLOOKUP($T$157,'TAR FIN'!$A$1:$O$86,15,0)),0,VLOOKUP($T$157,'TAR FIN'!$A$1:$O$86,15,0))*(1-0.04)</f>
        <v>75.532800000000009</v>
      </c>
      <c r="X157" s="97">
        <f>IF(ISERROR(VLOOKUP($U$157,'TAR FIN'!$A$1:$O$86,15,0)),0,VLOOKUP($U$157,'TAR FIN'!$A$1:$O$86,15,0))*(1-0.04)</f>
        <v>236.44800000000001</v>
      </c>
      <c r="Y157" s="97"/>
      <c r="Z157" s="97">
        <f ca="1">('TUSD BE'!$AM$13+'TUSD BF'!$AM$13+'TUSD CVA'!$AM$13)*1*(1-0.02)</f>
        <v>98.232805801237291</v>
      </c>
      <c r="AA157" s="97">
        <f>('TE BE'!$AB$6+'TE BF'!$AB$6+'TE CVA'!$AB$6)*1*(1-0.02)</f>
        <v>215.01557219628384</v>
      </c>
      <c r="AB157" s="97">
        <f>(SUBSIDIO!$J$157*SUBSIDIO!$V$157)*(0.04)/(1-0.04)</f>
        <v>0</v>
      </c>
      <c r="AC157" s="97">
        <f>((SUBSIDIO!$L$157*SUBSIDIO!$W$157)+(SUBSIDIO!$N$157*SUBSIDIO!$X$157))*(0.04)/(1-0.04)</f>
        <v>3233.8109840000006</v>
      </c>
      <c r="AD157" s="97">
        <f>(SUBSIDIO!$J$157*SUBSIDIO!$Y$157)*(0.02)/(1-0.02)</f>
        <v>0</v>
      </c>
      <c r="AE157" s="97">
        <f ca="1">((SUBSIDIO!$L$157*SUBSIDIO!$Z$157)+(SUBSIDIO!$N$157*SUBSIDIO!$AA$157))*(0.02)/(1-0.02)</f>
        <v>1590.3428366212925</v>
      </c>
      <c r="AF157" s="4" t="s">
        <v>727</v>
      </c>
    </row>
    <row r="158" spans="1:32" ht="11.25" customHeight="1" x14ac:dyDescent="0.25">
      <c r="A158" s="4" t="s">
        <v>55</v>
      </c>
      <c r="B158" s="4" t="s">
        <v>38</v>
      </c>
      <c r="C158" s="4" t="s">
        <v>40</v>
      </c>
      <c r="D158" s="4" t="s">
        <v>43</v>
      </c>
      <c r="E158" s="4" t="s">
        <v>51</v>
      </c>
      <c r="F158" s="4" t="s">
        <v>25</v>
      </c>
      <c r="G158" s="4" t="s">
        <v>25</v>
      </c>
      <c r="H158" s="4" t="s">
        <v>34</v>
      </c>
      <c r="I158" s="5">
        <v>44562</v>
      </c>
      <c r="J158" s="6">
        <v>0</v>
      </c>
      <c r="K158" s="97">
        <v>0</v>
      </c>
      <c r="L158" s="6">
        <v>9.4329999999999998</v>
      </c>
      <c r="M158" s="97">
        <v>9.4329999999999998</v>
      </c>
      <c r="N158" s="6">
        <v>9.4329999999999998</v>
      </c>
      <c r="O158" s="97">
        <v>9.4329999999999998</v>
      </c>
      <c r="P158" s="6">
        <v>0</v>
      </c>
      <c r="Q158" s="4" t="s">
        <v>26</v>
      </c>
      <c r="R158" s="4">
        <v>0</v>
      </c>
      <c r="S158" s="4">
        <v>0</v>
      </c>
      <c r="T158" s="4">
        <v>14</v>
      </c>
      <c r="U158" s="4">
        <v>42</v>
      </c>
      <c r="V158" s="97">
        <f>IF(ISERROR(VLOOKUP($S$158,'TAR FIN'!$A$1:$O$86,15,0)),0,VLOOKUP($S$158,'TAR FIN'!$A$1:$O$86,15,0))</f>
        <v>0</v>
      </c>
      <c r="W158" s="97">
        <f>IF(ISERROR(VLOOKUP($T$158,'TAR FIN'!$A$1:$O$86,15,0)),0,VLOOKUP($T$158,'TAR FIN'!$A$1:$O$86,15,0))*(1-0.04)</f>
        <v>75.532800000000009</v>
      </c>
      <c r="X158" s="97">
        <f>IF(ISERROR(VLOOKUP($U$158,'TAR FIN'!$A$1:$O$86,15,0)),0,VLOOKUP($U$158,'TAR FIN'!$A$1:$O$86,15,0))*(1-0.04)</f>
        <v>236.44800000000001</v>
      </c>
      <c r="Y158" s="97"/>
      <c r="Z158" s="97">
        <f ca="1">('TUSD BE'!$AM$13+'TUSD BF'!$AM$13+'TUSD CVA'!$AM$13)*1*(1-0.02)</f>
        <v>98.232805801237291</v>
      </c>
      <c r="AA158" s="97">
        <f>('TE BE'!$AB$6+'TE BF'!$AB$6+'TE CVA'!$AB$6)*1*(1-0.02)</f>
        <v>215.01557219628384</v>
      </c>
      <c r="AB158" s="97">
        <f>(SUBSIDIO!$J$158*SUBSIDIO!$V$158)*(0.04)/(1-0.04)</f>
        <v>0</v>
      </c>
      <c r="AC158" s="97">
        <f>((SUBSIDIO!$L$158*SUBSIDIO!$W$158)+(SUBSIDIO!$N$158*SUBSIDIO!$X$158))*(0.04)/(1-0.04)</f>
        <v>122.62145360000002</v>
      </c>
      <c r="AD158" s="97">
        <f>(SUBSIDIO!$J$158*SUBSIDIO!$Y$158)*(0.02)/(1-0.02)</f>
        <v>0</v>
      </c>
      <c r="AE158" s="97">
        <f ca="1">((SUBSIDIO!$L$158*SUBSIDIO!$Z$158)+(SUBSIDIO!$N$158*SUBSIDIO!$AA$158))*(0.02)/(1-0.02)</f>
        <v>60.303509176543194</v>
      </c>
      <c r="AF158" s="4" t="s">
        <v>727</v>
      </c>
    </row>
    <row r="159" spans="1:32" ht="11.25" customHeight="1" x14ac:dyDescent="0.25">
      <c r="A159" s="4" t="s">
        <v>21</v>
      </c>
      <c r="B159" s="4" t="s">
        <v>38</v>
      </c>
      <c r="C159" s="4" t="s">
        <v>40</v>
      </c>
      <c r="D159" s="4" t="s">
        <v>43</v>
      </c>
      <c r="E159" s="4" t="s">
        <v>51</v>
      </c>
      <c r="F159" s="4" t="s">
        <v>25</v>
      </c>
      <c r="G159" s="4" t="s">
        <v>25</v>
      </c>
      <c r="H159" s="4" t="s">
        <v>34</v>
      </c>
      <c r="I159" s="5">
        <v>44593</v>
      </c>
      <c r="J159" s="6">
        <v>0</v>
      </c>
      <c r="K159" s="97">
        <v>0</v>
      </c>
      <c r="L159" s="6">
        <v>125.352</v>
      </c>
      <c r="M159" s="97">
        <v>125.352</v>
      </c>
      <c r="N159" s="6">
        <v>125.352</v>
      </c>
      <c r="O159" s="97">
        <v>125.352</v>
      </c>
      <c r="P159" s="6">
        <v>0</v>
      </c>
      <c r="Q159" s="4" t="s">
        <v>26</v>
      </c>
      <c r="R159" s="4">
        <v>0</v>
      </c>
      <c r="S159" s="4">
        <v>0</v>
      </c>
      <c r="T159" s="4">
        <v>14</v>
      </c>
      <c r="U159" s="4">
        <v>42</v>
      </c>
      <c r="V159" s="97">
        <f>IF(ISERROR(VLOOKUP($S$159,'TAR FIN'!$A$1:$O$86,15,0)),0,VLOOKUP($S$159,'TAR FIN'!$A$1:$O$86,15,0))</f>
        <v>0</v>
      </c>
      <c r="W159" s="97">
        <f>IF(ISERROR(VLOOKUP($T$159,'TAR FIN'!$A$1:$O$86,15,0)),0,VLOOKUP($T$159,'TAR FIN'!$A$1:$O$86,15,0))*(1-0.04)</f>
        <v>75.532800000000009</v>
      </c>
      <c r="X159" s="97">
        <f>IF(ISERROR(VLOOKUP($U$159,'TAR FIN'!$A$1:$O$86,15,0)),0,VLOOKUP($U$159,'TAR FIN'!$A$1:$O$86,15,0))*(1-0.04)</f>
        <v>236.44800000000001</v>
      </c>
      <c r="Y159" s="97"/>
      <c r="Z159" s="97">
        <f ca="1">('TUSD BE'!$AM$13+'TUSD BF'!$AM$13+'TUSD CVA'!$AM$13)*1*(1-0.02)</f>
        <v>98.232805801237291</v>
      </c>
      <c r="AA159" s="97">
        <f>('TE BE'!$AB$6+'TE BF'!$AB$6+'TE CVA'!$AB$6)*1*(1-0.02)</f>
        <v>215.01557219628384</v>
      </c>
      <c r="AB159" s="97">
        <f>(SUBSIDIO!$J$159*SUBSIDIO!$V$159)*(0.04)/(1-0.04)</f>
        <v>0</v>
      </c>
      <c r="AC159" s="97">
        <f>((SUBSIDIO!$L$159*SUBSIDIO!$W$159)+(SUBSIDIO!$N$159*SUBSIDIO!$X$159))*(0.04)/(1-0.04)</f>
        <v>1629.4757184000002</v>
      </c>
      <c r="AD159" s="97">
        <f>(SUBSIDIO!$J$159*SUBSIDIO!$Y$159)*(0.02)/(1-0.02)</f>
        <v>0</v>
      </c>
      <c r="AE159" s="97">
        <f ca="1">((SUBSIDIO!$L$159*SUBSIDIO!$Z$159)+(SUBSIDIO!$N$159*SUBSIDIO!$AA$159))*(0.02)/(1-0.02)</f>
        <v>801.35327915806681</v>
      </c>
      <c r="AF159" s="4" t="s">
        <v>727</v>
      </c>
    </row>
    <row r="160" spans="1:32" ht="11.25" customHeight="1" x14ac:dyDescent="0.25">
      <c r="A160" s="4" t="s">
        <v>55</v>
      </c>
      <c r="B160" s="4" t="s">
        <v>38</v>
      </c>
      <c r="C160" s="4" t="s">
        <v>40</v>
      </c>
      <c r="D160" s="4" t="s">
        <v>43</v>
      </c>
      <c r="E160" s="4" t="s">
        <v>51</v>
      </c>
      <c r="F160" s="4" t="s">
        <v>25</v>
      </c>
      <c r="G160" s="4" t="s">
        <v>25</v>
      </c>
      <c r="H160" s="4" t="s">
        <v>34</v>
      </c>
      <c r="I160" s="5">
        <v>44593</v>
      </c>
      <c r="J160" s="6">
        <v>0</v>
      </c>
      <c r="K160" s="97">
        <v>0</v>
      </c>
      <c r="L160" s="6">
        <v>0.67400000000000004</v>
      </c>
      <c r="M160" s="97">
        <v>0.67400000000000004</v>
      </c>
      <c r="N160" s="6">
        <v>0.67400000000000004</v>
      </c>
      <c r="O160" s="97">
        <v>0.67400000000000004</v>
      </c>
      <c r="P160" s="6">
        <v>0</v>
      </c>
      <c r="Q160" s="4" t="s">
        <v>26</v>
      </c>
      <c r="R160" s="4">
        <v>0</v>
      </c>
      <c r="S160" s="4">
        <v>0</v>
      </c>
      <c r="T160" s="4">
        <v>14</v>
      </c>
      <c r="U160" s="4">
        <v>42</v>
      </c>
      <c r="V160" s="97">
        <f>IF(ISERROR(VLOOKUP($S$160,'TAR FIN'!$A$1:$O$86,15,0)),0,VLOOKUP($S$160,'TAR FIN'!$A$1:$O$86,15,0))</f>
        <v>0</v>
      </c>
      <c r="W160" s="97">
        <f>IF(ISERROR(VLOOKUP($T$160,'TAR FIN'!$A$1:$O$86,15,0)),0,VLOOKUP($T$160,'TAR FIN'!$A$1:$O$86,15,0))*(1-0.04)</f>
        <v>75.532800000000009</v>
      </c>
      <c r="X160" s="97">
        <f>IF(ISERROR(VLOOKUP($U$160,'TAR FIN'!$A$1:$O$86,15,0)),0,VLOOKUP($U$160,'TAR FIN'!$A$1:$O$86,15,0))*(1-0.04)</f>
        <v>236.44800000000001</v>
      </c>
      <c r="Y160" s="97"/>
      <c r="Z160" s="97">
        <f ca="1">('TUSD BE'!$AM$13+'TUSD BF'!$AM$13+'TUSD CVA'!$AM$13)*1*(1-0.02)</f>
        <v>98.232805801237291</v>
      </c>
      <c r="AA160" s="97">
        <f>('TE BE'!$AB$6+'TE BF'!$AB$6+'TE CVA'!$AB$6)*1*(1-0.02)</f>
        <v>215.01557219628384</v>
      </c>
      <c r="AB160" s="97">
        <f>(SUBSIDIO!$J$160*SUBSIDIO!$V$160)*(0.04)/(1-0.04)</f>
        <v>0</v>
      </c>
      <c r="AC160" s="97">
        <f>((SUBSIDIO!$L$160*SUBSIDIO!$W$160)+(SUBSIDIO!$N$160*SUBSIDIO!$X$160))*(0.04)/(1-0.04)</f>
        <v>8.7614608000000018</v>
      </c>
      <c r="AD160" s="97">
        <f>(SUBSIDIO!$J$160*SUBSIDIO!$Y$160)*(0.02)/(1-0.02)</f>
        <v>0</v>
      </c>
      <c r="AE160" s="97">
        <f ca="1">((SUBSIDIO!$L$160*SUBSIDIO!$Z$160)+(SUBSIDIO!$N$160*SUBSIDIO!$AA$160))*(0.02)/(1-0.02)</f>
        <v>4.3087634034761075</v>
      </c>
      <c r="AF160" s="4" t="s">
        <v>727</v>
      </c>
    </row>
    <row r="161" spans="1:32" ht="11.25" customHeight="1" x14ac:dyDescent="0.25">
      <c r="A161" s="4" t="s">
        <v>21</v>
      </c>
      <c r="B161" s="4" t="s">
        <v>38</v>
      </c>
      <c r="C161" s="4" t="s">
        <v>40</v>
      </c>
      <c r="D161" s="4" t="s">
        <v>43</v>
      </c>
      <c r="E161" s="4" t="s">
        <v>51</v>
      </c>
      <c r="F161" s="4" t="s">
        <v>25</v>
      </c>
      <c r="G161" s="4" t="s">
        <v>25</v>
      </c>
      <c r="H161" s="4" t="s">
        <v>34</v>
      </c>
      <c r="I161" s="5">
        <v>44621</v>
      </c>
      <c r="J161" s="6">
        <v>0</v>
      </c>
      <c r="K161" s="97">
        <v>0</v>
      </c>
      <c r="L161" s="6">
        <v>22.298999999999999</v>
      </c>
      <c r="M161" s="97">
        <v>22.298999999999999</v>
      </c>
      <c r="N161" s="6">
        <v>22.298999999999999</v>
      </c>
      <c r="O161" s="97">
        <v>22.298999999999999</v>
      </c>
      <c r="P161" s="6">
        <v>0</v>
      </c>
      <c r="Q161" s="4" t="s">
        <v>26</v>
      </c>
      <c r="R161" s="4">
        <v>0</v>
      </c>
      <c r="S161" s="4">
        <v>0</v>
      </c>
      <c r="T161" s="4">
        <v>14</v>
      </c>
      <c r="U161" s="4">
        <v>42</v>
      </c>
      <c r="V161" s="97">
        <f>IF(ISERROR(VLOOKUP($S$161,'TAR FIN'!$A$1:$O$86,15,0)),0,VLOOKUP($S$161,'TAR FIN'!$A$1:$O$86,15,0))</f>
        <v>0</v>
      </c>
      <c r="W161" s="97">
        <f>IF(ISERROR(VLOOKUP($T$161,'TAR FIN'!$A$1:$O$86,15,0)),0,VLOOKUP($T$161,'TAR FIN'!$A$1:$O$86,15,0))*(1-0.04)</f>
        <v>75.532800000000009</v>
      </c>
      <c r="X161" s="97">
        <f>IF(ISERROR(VLOOKUP($U$161,'TAR FIN'!$A$1:$O$86,15,0)),0,VLOOKUP($U$161,'TAR FIN'!$A$1:$O$86,15,0))*(1-0.04)</f>
        <v>236.44800000000001</v>
      </c>
      <c r="Y161" s="97"/>
      <c r="Z161" s="97">
        <f ca="1">('TUSD BE'!$AM$13+'TUSD BF'!$AM$13+'TUSD CVA'!$AM$13)*1*(1-0.02)</f>
        <v>98.232805801237291</v>
      </c>
      <c r="AA161" s="97">
        <f>('TE BE'!$AB$6+'TE BF'!$AB$6+'TE CVA'!$AB$6)*1*(1-0.02)</f>
        <v>215.01557219628384</v>
      </c>
      <c r="AB161" s="97">
        <f>(SUBSIDIO!$J$161*SUBSIDIO!$V$161)*(0.04)/(1-0.04)</f>
        <v>0</v>
      </c>
      <c r="AC161" s="97">
        <f>((SUBSIDIO!$L$161*SUBSIDIO!$W$161)+(SUBSIDIO!$N$161*SUBSIDIO!$X$161))*(0.04)/(1-0.04)</f>
        <v>289.86916080000003</v>
      </c>
      <c r="AD161" s="97">
        <f>(SUBSIDIO!$J$161*SUBSIDIO!$Y$161)*(0.02)/(1-0.02)</f>
        <v>0</v>
      </c>
      <c r="AE161" s="97">
        <f ca="1">((SUBSIDIO!$L$161*SUBSIDIO!$Z$161)+(SUBSIDIO!$N$161*SUBSIDIO!$AA$161))*(0.02)/(1-0.02)</f>
        <v>142.55358328503519</v>
      </c>
      <c r="AF161" s="4" t="s">
        <v>727</v>
      </c>
    </row>
    <row r="162" spans="1:32" ht="11.25" customHeight="1" x14ac:dyDescent="0.25">
      <c r="A162" s="4" t="s">
        <v>55</v>
      </c>
      <c r="B162" s="4" t="s">
        <v>38</v>
      </c>
      <c r="C162" s="4" t="s">
        <v>40</v>
      </c>
      <c r="D162" s="4" t="s">
        <v>43</v>
      </c>
      <c r="E162" s="4" t="s">
        <v>51</v>
      </c>
      <c r="F162" s="4" t="s">
        <v>25</v>
      </c>
      <c r="G162" s="4" t="s">
        <v>25</v>
      </c>
      <c r="H162" s="4" t="s">
        <v>34</v>
      </c>
      <c r="I162" s="5">
        <v>44621</v>
      </c>
      <c r="J162" s="6">
        <v>0</v>
      </c>
      <c r="K162" s="97">
        <v>0</v>
      </c>
      <c r="L162" s="6">
        <v>0.441</v>
      </c>
      <c r="M162" s="97">
        <v>0.441</v>
      </c>
      <c r="N162" s="6">
        <v>0.441</v>
      </c>
      <c r="O162" s="97">
        <v>0.441</v>
      </c>
      <c r="P162" s="6">
        <v>0</v>
      </c>
      <c r="Q162" s="4" t="s">
        <v>26</v>
      </c>
      <c r="R162" s="4">
        <v>0</v>
      </c>
      <c r="S162" s="4">
        <v>0</v>
      </c>
      <c r="T162" s="4">
        <v>14</v>
      </c>
      <c r="U162" s="4">
        <v>42</v>
      </c>
      <c r="V162" s="97">
        <f>IF(ISERROR(VLOOKUP($S$162,'TAR FIN'!$A$1:$O$86,15,0)),0,VLOOKUP($S$162,'TAR FIN'!$A$1:$O$86,15,0))</f>
        <v>0</v>
      </c>
      <c r="W162" s="97">
        <f>IF(ISERROR(VLOOKUP($T$162,'TAR FIN'!$A$1:$O$86,15,0)),0,VLOOKUP($T$162,'TAR FIN'!$A$1:$O$86,15,0))*(1-0.04)</f>
        <v>75.532800000000009</v>
      </c>
      <c r="X162" s="97">
        <f>IF(ISERROR(VLOOKUP($U$162,'TAR FIN'!$A$1:$O$86,15,0)),0,VLOOKUP($U$162,'TAR FIN'!$A$1:$O$86,15,0))*(1-0.04)</f>
        <v>236.44800000000001</v>
      </c>
      <c r="Y162" s="97"/>
      <c r="Z162" s="97">
        <f ca="1">('TUSD BE'!$AM$13+'TUSD BF'!$AM$13+'TUSD CVA'!$AM$13)*1*(1-0.02)</f>
        <v>98.232805801237291</v>
      </c>
      <c r="AA162" s="97">
        <f>('TE BE'!$AB$6+'TE BF'!$AB$6+'TE CVA'!$AB$6)*1*(1-0.02)</f>
        <v>215.01557219628384</v>
      </c>
      <c r="AB162" s="97">
        <f>(SUBSIDIO!$J$162*SUBSIDIO!$V$162)*(0.04)/(1-0.04)</f>
        <v>0</v>
      </c>
      <c r="AC162" s="97">
        <f>((SUBSIDIO!$L$162*SUBSIDIO!$W$162)+(SUBSIDIO!$N$162*SUBSIDIO!$X$162))*(0.04)/(1-0.04)</f>
        <v>5.7326471999999997</v>
      </c>
      <c r="AD162" s="97">
        <f>(SUBSIDIO!$J$162*SUBSIDIO!$Y$162)*(0.02)/(1-0.02)</f>
        <v>0</v>
      </c>
      <c r="AE162" s="97">
        <f ca="1">((SUBSIDIO!$L$162*SUBSIDIO!$Z$162)+(SUBSIDIO!$N$162*SUBSIDIO!$AA$162))*(0.02)/(1-0.02)</f>
        <v>2.8192354019776897</v>
      </c>
      <c r="AF162" s="4" t="s">
        <v>727</v>
      </c>
    </row>
    <row r="163" spans="1:32" ht="11.25" customHeight="1" x14ac:dyDescent="0.25">
      <c r="A163" s="4" t="s">
        <v>21</v>
      </c>
      <c r="B163" s="4" t="s">
        <v>38</v>
      </c>
      <c r="C163" s="4" t="s">
        <v>40</v>
      </c>
      <c r="D163" s="4" t="s">
        <v>43</v>
      </c>
      <c r="E163" s="4" t="s">
        <v>51</v>
      </c>
      <c r="F163" s="4" t="s">
        <v>25</v>
      </c>
      <c r="G163" s="4" t="s">
        <v>25</v>
      </c>
      <c r="H163" s="4" t="s">
        <v>34</v>
      </c>
      <c r="I163" s="5">
        <v>44652</v>
      </c>
      <c r="J163" s="6">
        <v>0</v>
      </c>
      <c r="K163" s="97">
        <v>0</v>
      </c>
      <c r="L163" s="6">
        <v>9.8059999999999992</v>
      </c>
      <c r="M163" s="97">
        <v>9.8059999999999992</v>
      </c>
      <c r="N163" s="6">
        <v>9.8059999999999992</v>
      </c>
      <c r="O163" s="97">
        <v>9.8059999999999992</v>
      </c>
      <c r="P163" s="6">
        <v>0</v>
      </c>
      <c r="Q163" s="4" t="s">
        <v>26</v>
      </c>
      <c r="R163" s="4">
        <v>0</v>
      </c>
      <c r="S163" s="4">
        <v>0</v>
      </c>
      <c r="T163" s="4">
        <v>14</v>
      </c>
      <c r="U163" s="4">
        <v>42</v>
      </c>
      <c r="V163" s="97">
        <f>IF(ISERROR(VLOOKUP($S$163,'TAR FIN'!$A$1:$O$86,15,0)),0,VLOOKUP($S$163,'TAR FIN'!$A$1:$O$86,15,0))</f>
        <v>0</v>
      </c>
      <c r="W163" s="97">
        <f>IF(ISERROR(VLOOKUP($T$163,'TAR FIN'!$A$1:$O$86,15,0)),0,VLOOKUP($T$163,'TAR FIN'!$A$1:$O$86,15,0))*(1-0.04)</f>
        <v>75.532800000000009</v>
      </c>
      <c r="X163" s="97">
        <f>IF(ISERROR(VLOOKUP($U$163,'TAR FIN'!$A$1:$O$86,15,0)),0,VLOOKUP($U$163,'TAR FIN'!$A$1:$O$86,15,0))*(1-0.04)</f>
        <v>236.44800000000001</v>
      </c>
      <c r="Y163" s="97"/>
      <c r="Z163" s="97">
        <f ca="1">('TUSD BE'!$AM$13+'TUSD BF'!$AM$13+'TUSD CVA'!$AM$13)*1*(1-0.02)</f>
        <v>98.232805801237291</v>
      </c>
      <c r="AA163" s="97">
        <f>('TE BE'!$AB$6+'TE BF'!$AB$6+'TE CVA'!$AB$6)*1*(1-0.02)</f>
        <v>215.01557219628384</v>
      </c>
      <c r="AB163" s="97">
        <f>(SUBSIDIO!$J$163*SUBSIDIO!$V$163)*(0.04)/(1-0.04)</f>
        <v>0</v>
      </c>
      <c r="AC163" s="97">
        <f>((SUBSIDIO!$L$163*SUBSIDIO!$W$163)+(SUBSIDIO!$N$163*SUBSIDIO!$X$163))*(0.04)/(1-0.04)</f>
        <v>127.47015519999998</v>
      </c>
      <c r="AD163" s="97">
        <f>(SUBSIDIO!$J$163*SUBSIDIO!$Y$163)*(0.02)/(1-0.02)</f>
        <v>0</v>
      </c>
      <c r="AE163" s="97">
        <f ca="1">((SUBSIDIO!$L$163*SUBSIDIO!$Z$163)+(SUBSIDIO!$N$163*SUBSIDIO!$AA$163))*(0.02)/(1-0.02)</f>
        <v>62.688032543748818</v>
      </c>
      <c r="AF163" s="4" t="s">
        <v>727</v>
      </c>
    </row>
    <row r="164" spans="1:32" ht="11.25" customHeight="1" x14ac:dyDescent="0.25">
      <c r="A164" s="4" t="s">
        <v>55</v>
      </c>
      <c r="B164" s="4" t="s">
        <v>38</v>
      </c>
      <c r="C164" s="4" t="s">
        <v>40</v>
      </c>
      <c r="D164" s="4" t="s">
        <v>43</v>
      </c>
      <c r="E164" s="4" t="s">
        <v>51</v>
      </c>
      <c r="F164" s="4" t="s">
        <v>25</v>
      </c>
      <c r="G164" s="4" t="s">
        <v>25</v>
      </c>
      <c r="H164" s="4" t="s">
        <v>34</v>
      </c>
      <c r="I164" s="5">
        <v>44652</v>
      </c>
      <c r="J164" s="6">
        <v>0</v>
      </c>
      <c r="K164" s="97">
        <v>0</v>
      </c>
      <c r="L164" s="6">
        <v>0.32100000000000001</v>
      </c>
      <c r="M164" s="97">
        <v>0.32100000000000001</v>
      </c>
      <c r="N164" s="6">
        <v>0.32100000000000001</v>
      </c>
      <c r="O164" s="97">
        <v>0.32100000000000001</v>
      </c>
      <c r="P164" s="6">
        <v>0</v>
      </c>
      <c r="Q164" s="4" t="s">
        <v>26</v>
      </c>
      <c r="R164" s="4">
        <v>0</v>
      </c>
      <c r="S164" s="4">
        <v>0</v>
      </c>
      <c r="T164" s="4">
        <v>14</v>
      </c>
      <c r="U164" s="4">
        <v>42</v>
      </c>
      <c r="V164" s="97">
        <f>IF(ISERROR(VLOOKUP($S$164,'TAR FIN'!$A$1:$O$86,15,0)),0,VLOOKUP($S$164,'TAR FIN'!$A$1:$O$86,15,0))</f>
        <v>0</v>
      </c>
      <c r="W164" s="97">
        <f>IF(ISERROR(VLOOKUP($T$164,'TAR FIN'!$A$1:$O$86,15,0)),0,VLOOKUP($T$164,'TAR FIN'!$A$1:$O$86,15,0))*(1-0.04)</f>
        <v>75.532800000000009</v>
      </c>
      <c r="X164" s="97">
        <f>IF(ISERROR(VLOOKUP($U$164,'TAR FIN'!$A$1:$O$86,15,0)),0,VLOOKUP($U$164,'TAR FIN'!$A$1:$O$86,15,0))*(1-0.04)</f>
        <v>236.44800000000001</v>
      </c>
      <c r="Y164" s="97"/>
      <c r="Z164" s="97">
        <f ca="1">('TUSD BE'!$AM$13+'TUSD BF'!$AM$13+'TUSD CVA'!$AM$13)*1*(1-0.02)</f>
        <v>98.232805801237291</v>
      </c>
      <c r="AA164" s="97">
        <f>('TE BE'!$AB$6+'TE BF'!$AB$6+'TE CVA'!$AB$6)*1*(1-0.02)</f>
        <v>215.01557219628384</v>
      </c>
      <c r="AB164" s="97">
        <f>(SUBSIDIO!$J$164*SUBSIDIO!$V$164)*(0.04)/(1-0.04)</f>
        <v>0</v>
      </c>
      <c r="AC164" s="97">
        <f>((SUBSIDIO!$L$164*SUBSIDIO!$W$164)+(SUBSIDIO!$N$164*SUBSIDIO!$X$164))*(0.04)/(1-0.04)</f>
        <v>4.1727432000000011</v>
      </c>
      <c r="AD164" s="97">
        <f>(SUBSIDIO!$J$164*SUBSIDIO!$Y$164)*(0.02)/(1-0.02)</f>
        <v>0</v>
      </c>
      <c r="AE164" s="97">
        <f ca="1">((SUBSIDIO!$L$164*SUBSIDIO!$Z$164)+(SUBSIDIO!$N$164*SUBSIDIO!$AA$164))*(0.02)/(1-0.02)</f>
        <v>2.0520965170858019</v>
      </c>
      <c r="AF164" s="4" t="s">
        <v>727</v>
      </c>
    </row>
    <row r="165" spans="1:32" ht="11.25" customHeight="1" x14ac:dyDescent="0.25">
      <c r="A165" s="4" t="s">
        <v>21</v>
      </c>
      <c r="B165" s="4" t="s">
        <v>38</v>
      </c>
      <c r="C165" s="4" t="s">
        <v>40</v>
      </c>
      <c r="D165" s="4" t="s">
        <v>43</v>
      </c>
      <c r="E165" s="4" t="s">
        <v>51</v>
      </c>
      <c r="F165" s="4" t="s">
        <v>25</v>
      </c>
      <c r="G165" s="4" t="s">
        <v>25</v>
      </c>
      <c r="H165" s="4" t="s">
        <v>34</v>
      </c>
      <c r="I165" s="5">
        <v>44682</v>
      </c>
      <c r="J165" s="6">
        <v>0</v>
      </c>
      <c r="K165" s="97">
        <v>0</v>
      </c>
      <c r="L165" s="6">
        <v>15.609</v>
      </c>
      <c r="M165" s="97">
        <v>15.609</v>
      </c>
      <c r="N165" s="6">
        <v>15.609</v>
      </c>
      <c r="O165" s="97">
        <v>15.609</v>
      </c>
      <c r="P165" s="6">
        <v>0</v>
      </c>
      <c r="Q165" s="4" t="s">
        <v>26</v>
      </c>
      <c r="R165" s="4">
        <v>0</v>
      </c>
      <c r="S165" s="4">
        <v>0</v>
      </c>
      <c r="T165" s="4">
        <v>14</v>
      </c>
      <c r="U165" s="4">
        <v>42</v>
      </c>
      <c r="V165" s="97">
        <f>IF(ISERROR(VLOOKUP($S$165,'TAR FIN'!$A$1:$O$86,15,0)),0,VLOOKUP($S$165,'TAR FIN'!$A$1:$O$86,15,0))</f>
        <v>0</v>
      </c>
      <c r="W165" s="97">
        <f>IF(ISERROR(VLOOKUP($T$165,'TAR FIN'!$A$1:$O$86,15,0)),0,VLOOKUP($T$165,'TAR FIN'!$A$1:$O$86,15,0))*(1-0.04)</f>
        <v>75.532800000000009</v>
      </c>
      <c r="X165" s="97">
        <f>IF(ISERROR(VLOOKUP($U$165,'TAR FIN'!$A$1:$O$86,15,0)),0,VLOOKUP($U$165,'TAR FIN'!$A$1:$O$86,15,0))*(1-0.04)</f>
        <v>236.44800000000001</v>
      </c>
      <c r="Y165" s="97"/>
      <c r="Z165" s="97">
        <f ca="1">('TUSD BE'!$AM$13+'TUSD BF'!$AM$13+'TUSD CVA'!$AM$13)*1*(1-0.02)</f>
        <v>98.232805801237291</v>
      </c>
      <c r="AA165" s="97">
        <f>('TE BE'!$AB$6+'TE BF'!$AB$6+'TE CVA'!$AB$6)*1*(1-0.02)</f>
        <v>215.01557219628384</v>
      </c>
      <c r="AB165" s="97">
        <f>(SUBSIDIO!$J$165*SUBSIDIO!$V$165)*(0.04)/(1-0.04)</f>
        <v>0</v>
      </c>
      <c r="AC165" s="97">
        <f>((SUBSIDIO!$L$165*SUBSIDIO!$W$165)+(SUBSIDIO!$N$165*SUBSIDIO!$X$165))*(0.04)/(1-0.04)</f>
        <v>202.90451280000002</v>
      </c>
      <c r="AD165" s="97">
        <f>(SUBSIDIO!$J$165*SUBSIDIO!$Y$165)*(0.02)/(1-0.02)</f>
        <v>0</v>
      </c>
      <c r="AE165" s="97">
        <f ca="1">((SUBSIDIO!$L$165*SUBSIDIO!$Z$165)+(SUBSIDIO!$N$165*SUBSIDIO!$AA$165))*(0.02)/(1-0.02)</f>
        <v>99.785590452312405</v>
      </c>
      <c r="AF165" s="4" t="s">
        <v>727</v>
      </c>
    </row>
    <row r="166" spans="1:32" ht="11.25" customHeight="1" x14ac:dyDescent="0.25">
      <c r="A166" s="4" t="s">
        <v>55</v>
      </c>
      <c r="B166" s="4" t="s">
        <v>38</v>
      </c>
      <c r="C166" s="4" t="s">
        <v>40</v>
      </c>
      <c r="D166" s="4" t="s">
        <v>43</v>
      </c>
      <c r="E166" s="4" t="s">
        <v>51</v>
      </c>
      <c r="F166" s="4" t="s">
        <v>25</v>
      </c>
      <c r="G166" s="4" t="s">
        <v>25</v>
      </c>
      <c r="H166" s="4" t="s">
        <v>34</v>
      </c>
      <c r="I166" s="5">
        <v>44682</v>
      </c>
      <c r="J166" s="6">
        <v>0</v>
      </c>
      <c r="K166" s="97">
        <v>0</v>
      </c>
      <c r="L166" s="6">
        <v>0.33300000000000002</v>
      </c>
      <c r="M166" s="97">
        <v>0.33300000000000002</v>
      </c>
      <c r="N166" s="6">
        <v>0.33300000000000002</v>
      </c>
      <c r="O166" s="97">
        <v>0.33300000000000002</v>
      </c>
      <c r="P166" s="6">
        <v>0</v>
      </c>
      <c r="Q166" s="4" t="s">
        <v>26</v>
      </c>
      <c r="R166" s="4">
        <v>0</v>
      </c>
      <c r="S166" s="4">
        <v>0</v>
      </c>
      <c r="T166" s="4">
        <v>14</v>
      </c>
      <c r="U166" s="4">
        <v>42</v>
      </c>
      <c r="V166" s="97">
        <f>IF(ISERROR(VLOOKUP($S$166,'TAR FIN'!$A$1:$O$86,15,0)),0,VLOOKUP($S$166,'TAR FIN'!$A$1:$O$86,15,0))</f>
        <v>0</v>
      </c>
      <c r="W166" s="97">
        <f>IF(ISERROR(VLOOKUP($T$166,'TAR FIN'!$A$1:$O$86,15,0)),0,VLOOKUP($T$166,'TAR FIN'!$A$1:$O$86,15,0))*(1-0.04)</f>
        <v>75.532800000000009</v>
      </c>
      <c r="X166" s="97">
        <f>IF(ISERROR(VLOOKUP($U$166,'TAR FIN'!$A$1:$O$86,15,0)),0,VLOOKUP($U$166,'TAR FIN'!$A$1:$O$86,15,0))*(1-0.04)</f>
        <v>236.44800000000001</v>
      </c>
      <c r="Y166" s="97"/>
      <c r="Z166" s="97">
        <f ca="1">('TUSD BE'!$AM$13+'TUSD BF'!$AM$13+'TUSD CVA'!$AM$13)*1*(1-0.02)</f>
        <v>98.232805801237291</v>
      </c>
      <c r="AA166" s="97">
        <f>('TE BE'!$AB$6+'TE BF'!$AB$6+'TE CVA'!$AB$6)*1*(1-0.02)</f>
        <v>215.01557219628384</v>
      </c>
      <c r="AB166" s="97">
        <f>(SUBSIDIO!$J$166*SUBSIDIO!$V$166)*(0.04)/(1-0.04)</f>
        <v>0</v>
      </c>
      <c r="AC166" s="97">
        <f>((SUBSIDIO!$L$166*SUBSIDIO!$W$166)+(SUBSIDIO!$N$166*SUBSIDIO!$X$166))*(0.04)/(1-0.04)</f>
        <v>4.3287336000000014</v>
      </c>
      <c r="AD166" s="97">
        <f>(SUBSIDIO!$J$166*SUBSIDIO!$Y$166)*(0.02)/(1-0.02)</f>
        <v>0</v>
      </c>
      <c r="AE166" s="97">
        <f ca="1">((SUBSIDIO!$L$166*SUBSIDIO!$Z$166)+(SUBSIDIO!$N$166*SUBSIDIO!$AA$166))*(0.02)/(1-0.02)</f>
        <v>2.128810405574991</v>
      </c>
      <c r="AF166" s="4" t="s">
        <v>727</v>
      </c>
    </row>
    <row r="167" spans="1:32" ht="11.25" customHeight="1" x14ac:dyDescent="0.25">
      <c r="A167" s="4" t="s">
        <v>56</v>
      </c>
      <c r="B167" s="4" t="s">
        <v>38</v>
      </c>
      <c r="C167" s="4" t="s">
        <v>40</v>
      </c>
      <c r="D167" s="4" t="s">
        <v>43</v>
      </c>
      <c r="E167" s="4" t="s">
        <v>51</v>
      </c>
      <c r="F167" s="4" t="s">
        <v>25</v>
      </c>
      <c r="G167" s="4" t="s">
        <v>25</v>
      </c>
      <c r="H167" s="4" t="s">
        <v>34</v>
      </c>
      <c r="I167" s="5">
        <v>44713</v>
      </c>
      <c r="J167" s="6">
        <v>0</v>
      </c>
      <c r="K167" s="97">
        <v>0</v>
      </c>
      <c r="L167" s="6">
        <v>15.609</v>
      </c>
      <c r="M167" s="97">
        <v>15.609</v>
      </c>
      <c r="N167" s="6">
        <v>15.609</v>
      </c>
      <c r="O167" s="97">
        <v>15.609</v>
      </c>
      <c r="P167" s="6">
        <v>0</v>
      </c>
      <c r="Q167" s="4" t="s">
        <v>26</v>
      </c>
      <c r="R167" s="4">
        <v>0</v>
      </c>
      <c r="S167" s="4">
        <v>0</v>
      </c>
      <c r="T167" s="4">
        <v>14</v>
      </c>
      <c r="U167" s="4">
        <v>42</v>
      </c>
      <c r="V167" s="97">
        <f>IF(ISERROR(VLOOKUP($S$167,'TAR FIN'!$A$1:$O$86,15,0)),0,VLOOKUP($S$167,'TAR FIN'!$A$1:$O$86,15,0))</f>
        <v>0</v>
      </c>
      <c r="W167" s="97">
        <f>IF(ISERROR(VLOOKUP($T$167,'TAR FIN'!$A$1:$O$86,15,0)),0,VLOOKUP($T$167,'TAR FIN'!$A$1:$O$86,15,0))*(1-0.04)</f>
        <v>75.532800000000009</v>
      </c>
      <c r="X167" s="97">
        <f>IF(ISERROR(VLOOKUP($U$167,'TAR FIN'!$A$1:$O$86,15,0)),0,VLOOKUP($U$167,'TAR FIN'!$A$1:$O$86,15,0))*(1-0.04)</f>
        <v>236.44800000000001</v>
      </c>
      <c r="Y167" s="97"/>
      <c r="Z167" s="97">
        <f ca="1">('TUSD BE'!$AM$13+'TUSD BF'!$AM$13+'TUSD CVA'!$AM$13)*1*(1-0.02)</f>
        <v>98.232805801237291</v>
      </c>
      <c r="AA167" s="97">
        <f>('TE BE'!$AB$6+'TE BF'!$AB$6+'TE CVA'!$AB$6)*1*(1-0.02)</f>
        <v>215.01557219628384</v>
      </c>
      <c r="AB167" s="97">
        <f>(SUBSIDIO!$J$167*SUBSIDIO!$V$167)*(0.04)/(1-0.04)</f>
        <v>0</v>
      </c>
      <c r="AC167" s="97">
        <f>((SUBSIDIO!$L$167*SUBSIDIO!$W$167)+(SUBSIDIO!$N$167*SUBSIDIO!$X$167))*(0.04)/(1-0.04)</f>
        <v>202.90451280000002</v>
      </c>
      <c r="AD167" s="97">
        <f>(SUBSIDIO!$J$167*SUBSIDIO!$Y$167)*(0.02)/(1-0.02)</f>
        <v>0</v>
      </c>
      <c r="AE167" s="97">
        <f ca="1">((SUBSIDIO!$L$167*SUBSIDIO!$Z$167)+(SUBSIDIO!$N$167*SUBSIDIO!$AA$167))*(0.02)/(1-0.02)</f>
        <v>99.785590452312405</v>
      </c>
      <c r="AF167" s="4" t="s">
        <v>727</v>
      </c>
    </row>
    <row r="168" spans="1:32" ht="11.25" customHeight="1" x14ac:dyDescent="0.25">
      <c r="A168" s="4" t="s">
        <v>56</v>
      </c>
      <c r="B168" s="4" t="s">
        <v>38</v>
      </c>
      <c r="C168" s="4" t="s">
        <v>40</v>
      </c>
      <c r="D168" s="4" t="s">
        <v>43</v>
      </c>
      <c r="E168" s="4" t="s">
        <v>51</v>
      </c>
      <c r="F168" s="4" t="s">
        <v>25</v>
      </c>
      <c r="G168" s="4" t="s">
        <v>25</v>
      </c>
      <c r="H168" s="4" t="s">
        <v>34</v>
      </c>
      <c r="I168" s="5">
        <v>44713</v>
      </c>
      <c r="J168" s="6">
        <v>0</v>
      </c>
      <c r="K168" s="97">
        <v>0</v>
      </c>
      <c r="L168" s="6">
        <v>0.33300000000000002</v>
      </c>
      <c r="M168" s="97">
        <v>0.33300000000000002</v>
      </c>
      <c r="N168" s="6">
        <v>0.33300000000000002</v>
      </c>
      <c r="O168" s="97">
        <v>0.33300000000000002</v>
      </c>
      <c r="P168" s="6">
        <v>0</v>
      </c>
      <c r="Q168" s="4" t="s">
        <v>26</v>
      </c>
      <c r="R168" s="4">
        <v>0</v>
      </c>
      <c r="S168" s="4">
        <v>0</v>
      </c>
      <c r="T168" s="4">
        <v>14</v>
      </c>
      <c r="U168" s="4">
        <v>42</v>
      </c>
      <c r="V168" s="97">
        <f>IF(ISERROR(VLOOKUP($S$168,'TAR FIN'!$A$1:$O$86,15,0)),0,VLOOKUP($S$168,'TAR FIN'!$A$1:$O$86,15,0))</f>
        <v>0</v>
      </c>
      <c r="W168" s="97">
        <f>IF(ISERROR(VLOOKUP($T$168,'TAR FIN'!$A$1:$O$86,15,0)),0,VLOOKUP($T$168,'TAR FIN'!$A$1:$O$86,15,0))*(1-0.04)</f>
        <v>75.532800000000009</v>
      </c>
      <c r="X168" s="97">
        <f>IF(ISERROR(VLOOKUP($U$168,'TAR FIN'!$A$1:$O$86,15,0)),0,VLOOKUP($U$168,'TAR FIN'!$A$1:$O$86,15,0))*(1-0.04)</f>
        <v>236.44800000000001</v>
      </c>
      <c r="Y168" s="97"/>
      <c r="Z168" s="97">
        <f ca="1">('TUSD BE'!$AM$13+'TUSD BF'!$AM$13+'TUSD CVA'!$AM$13)*1*(1-0.02)</f>
        <v>98.232805801237291</v>
      </c>
      <c r="AA168" s="97">
        <f>('TE BE'!$AB$6+'TE BF'!$AB$6+'TE CVA'!$AB$6)*1*(1-0.02)</f>
        <v>215.01557219628384</v>
      </c>
      <c r="AB168" s="97">
        <f>(SUBSIDIO!$J$168*SUBSIDIO!$V$168)*(0.04)/(1-0.04)</f>
        <v>0</v>
      </c>
      <c r="AC168" s="97">
        <f>((SUBSIDIO!$L$168*SUBSIDIO!$W$168)+(SUBSIDIO!$N$168*SUBSIDIO!$X$168))*(0.04)/(1-0.04)</f>
        <v>4.3287336000000014</v>
      </c>
      <c r="AD168" s="97">
        <f>(SUBSIDIO!$J$168*SUBSIDIO!$Y$168)*(0.02)/(1-0.02)</f>
        <v>0</v>
      </c>
      <c r="AE168" s="97">
        <f ca="1">((SUBSIDIO!$L$168*SUBSIDIO!$Z$168)+(SUBSIDIO!$N$168*SUBSIDIO!$AA$168))*(0.02)/(1-0.02)</f>
        <v>2.128810405574991</v>
      </c>
      <c r="AF168" s="4" t="s">
        <v>727</v>
      </c>
    </row>
    <row r="169" spans="1:32" ht="11.25" customHeight="1" x14ac:dyDescent="0.25">
      <c r="A169" s="4" t="s">
        <v>21</v>
      </c>
      <c r="B169" s="4" t="s">
        <v>38</v>
      </c>
      <c r="C169" s="4" t="s">
        <v>40</v>
      </c>
      <c r="D169" s="4" t="s">
        <v>43</v>
      </c>
      <c r="E169" s="4" t="s">
        <v>51</v>
      </c>
      <c r="F169" s="4" t="s">
        <v>25</v>
      </c>
      <c r="G169" s="4" t="s">
        <v>25</v>
      </c>
      <c r="H169" s="4" t="s">
        <v>25</v>
      </c>
      <c r="I169" s="5">
        <v>44378</v>
      </c>
      <c r="J169" s="6">
        <v>450</v>
      </c>
      <c r="K169" s="97">
        <v>450</v>
      </c>
      <c r="L169" s="6">
        <v>0</v>
      </c>
      <c r="M169" s="97">
        <v>0</v>
      </c>
      <c r="N169" s="6">
        <v>0</v>
      </c>
      <c r="O169" s="97">
        <v>0</v>
      </c>
      <c r="P169" s="6">
        <v>8</v>
      </c>
      <c r="Q169" s="4" t="s">
        <v>26</v>
      </c>
      <c r="R169" s="4">
        <v>0</v>
      </c>
      <c r="S169" s="4">
        <v>18</v>
      </c>
      <c r="T169" s="4">
        <v>0</v>
      </c>
      <c r="U169" s="4">
        <v>0</v>
      </c>
      <c r="V169" s="97">
        <f>IF(ISERROR(VLOOKUP($S$169,'TAR FIN'!$A$1:$O$86,15,0)),0,VLOOKUP($S$169,'TAR FIN'!$A$1:$O$86,15,0))*(1-0.04)</f>
        <v>18.470399999999998</v>
      </c>
      <c r="W169" s="97">
        <f>IF(ISERROR(VLOOKUP($T$169,'TAR FIN'!$A$1:$O$86,15,0)),0,VLOOKUP($T$169,'TAR FIN'!$A$1:$O$86,15,0))</f>
        <v>0</v>
      </c>
      <c r="X169" s="97">
        <f>IF(ISERROR(VLOOKUP($U$169,'TAR FIN'!$A$1:$O$86,15,0)),0,VLOOKUP($U$169,'TAR FIN'!$A$1:$O$86,15,0))</f>
        <v>0</v>
      </c>
      <c r="Y169" s="97">
        <f ca="1">('TUSD BE'!$AM$11+'TUSD BF'!$AM$11+'TUSD CVA'!$AM$11)*1*(1-0.02)</f>
        <v>14.889098762306169</v>
      </c>
      <c r="Z169" s="97"/>
      <c r="AA169" s="97"/>
      <c r="AB169" s="97">
        <f>(SUBSIDIO!$J$169*SUBSIDIO!$V$169)*(0.04)/(1-0.04)</f>
        <v>346.31999999999994</v>
      </c>
      <c r="AC169" s="97">
        <f>((SUBSIDIO!$L$169*SUBSIDIO!$W$169)+(SUBSIDIO!$N$169*SUBSIDIO!$X$169))*(0.04)/(1-0.04)</f>
        <v>0</v>
      </c>
      <c r="AD169" s="97">
        <f ca="1">(SUBSIDIO!$J$169*SUBSIDIO!$Y$169)*(0.02)/(1-0.02)</f>
        <v>136.73662128648522</v>
      </c>
      <c r="AE169" s="97">
        <f>((SUBSIDIO!$L$169*SUBSIDIO!$Z$169)+(SUBSIDIO!$N$169*SUBSIDIO!$AA$169))*(0.02)/(1-0.02)</f>
        <v>0</v>
      </c>
      <c r="AF169" s="4" t="s">
        <v>727</v>
      </c>
    </row>
    <row r="170" spans="1:32" ht="11.25" customHeight="1" x14ac:dyDescent="0.25">
      <c r="A170" s="4" t="s">
        <v>21</v>
      </c>
      <c r="B170" s="4" t="s">
        <v>38</v>
      </c>
      <c r="C170" s="4" t="s">
        <v>40</v>
      </c>
      <c r="D170" s="4" t="s">
        <v>43</v>
      </c>
      <c r="E170" s="4" t="s">
        <v>51</v>
      </c>
      <c r="F170" s="4" t="s">
        <v>25</v>
      </c>
      <c r="G170" s="4" t="s">
        <v>25</v>
      </c>
      <c r="H170" s="4" t="s">
        <v>25</v>
      </c>
      <c r="I170" s="5">
        <v>44409</v>
      </c>
      <c r="J170" s="6">
        <v>628</v>
      </c>
      <c r="K170" s="97">
        <v>628</v>
      </c>
      <c r="L170" s="6">
        <v>0</v>
      </c>
      <c r="M170" s="97">
        <v>0</v>
      </c>
      <c r="N170" s="6">
        <v>0</v>
      </c>
      <c r="O170" s="97">
        <v>0</v>
      </c>
      <c r="P170" s="6">
        <v>8</v>
      </c>
      <c r="Q170" s="4" t="s">
        <v>26</v>
      </c>
      <c r="R170" s="4">
        <v>0</v>
      </c>
      <c r="S170" s="4">
        <v>18</v>
      </c>
      <c r="T170" s="4">
        <v>0</v>
      </c>
      <c r="U170" s="4">
        <v>0</v>
      </c>
      <c r="V170" s="97">
        <f>IF(ISERROR(VLOOKUP($S$170,'TAR FIN'!$A$1:$O$86,15,0)),0,VLOOKUP($S$170,'TAR FIN'!$A$1:$O$86,15,0))*(1-0.04)</f>
        <v>18.470399999999998</v>
      </c>
      <c r="W170" s="97">
        <f>IF(ISERROR(VLOOKUP($T$170,'TAR FIN'!$A$1:$O$86,15,0)),0,VLOOKUP($T$170,'TAR FIN'!$A$1:$O$86,15,0))</f>
        <v>0</v>
      </c>
      <c r="X170" s="97">
        <f>IF(ISERROR(VLOOKUP($U$170,'TAR FIN'!$A$1:$O$86,15,0)),0,VLOOKUP($U$170,'TAR FIN'!$A$1:$O$86,15,0))</f>
        <v>0</v>
      </c>
      <c r="Y170" s="97">
        <f ca="1">('TUSD BE'!$AM$11+'TUSD BF'!$AM$11+'TUSD CVA'!$AM$11)*1*(1-0.02)</f>
        <v>14.889098762306169</v>
      </c>
      <c r="Z170" s="97"/>
      <c r="AA170" s="97"/>
      <c r="AB170" s="97">
        <f>(SUBSIDIO!$J$170*SUBSIDIO!$V$170)*(0.04)/(1-0.04)</f>
        <v>483.30879999999996</v>
      </c>
      <c r="AC170" s="97">
        <f>((SUBSIDIO!$L$170*SUBSIDIO!$W$170)+(SUBSIDIO!$N$170*SUBSIDIO!$X$170))*(0.04)/(1-0.04)</f>
        <v>0</v>
      </c>
      <c r="AD170" s="97">
        <f ca="1">(SUBSIDIO!$J$170*SUBSIDIO!$Y$170)*(0.02)/(1-0.02)</f>
        <v>190.82355148425049</v>
      </c>
      <c r="AE170" s="97">
        <f>((SUBSIDIO!$L$170*SUBSIDIO!$Z$170)+(SUBSIDIO!$N$170*SUBSIDIO!$AA$170))*(0.02)/(1-0.02)</f>
        <v>0</v>
      </c>
      <c r="AF170" s="4" t="s">
        <v>727</v>
      </c>
    </row>
    <row r="171" spans="1:32" ht="11.25" customHeight="1" x14ac:dyDescent="0.25">
      <c r="A171" s="4" t="s">
        <v>55</v>
      </c>
      <c r="B171" s="4" t="s">
        <v>38</v>
      </c>
      <c r="C171" s="4" t="s">
        <v>40</v>
      </c>
      <c r="D171" s="4" t="s">
        <v>43</v>
      </c>
      <c r="E171" s="4" t="s">
        <v>51</v>
      </c>
      <c r="F171" s="4" t="s">
        <v>25</v>
      </c>
      <c r="G171" s="4" t="s">
        <v>25</v>
      </c>
      <c r="H171" s="4" t="s">
        <v>25</v>
      </c>
      <c r="I171" s="5">
        <v>44409</v>
      </c>
      <c r="J171" s="6">
        <v>31</v>
      </c>
      <c r="K171" s="97">
        <v>31</v>
      </c>
      <c r="L171" s="6">
        <v>0</v>
      </c>
      <c r="M171" s="97">
        <v>0</v>
      </c>
      <c r="N171" s="6">
        <v>0</v>
      </c>
      <c r="O171" s="97">
        <v>0</v>
      </c>
      <c r="P171" s="6">
        <v>1</v>
      </c>
      <c r="Q171" s="4" t="s">
        <v>26</v>
      </c>
      <c r="R171" s="4">
        <v>0</v>
      </c>
      <c r="S171" s="4">
        <v>18</v>
      </c>
      <c r="T171" s="4">
        <v>0</v>
      </c>
      <c r="U171" s="4">
        <v>0</v>
      </c>
      <c r="V171" s="97">
        <f>IF(ISERROR(VLOOKUP($S$171,'TAR FIN'!$A$1:$O$86,15,0)),0,VLOOKUP($S$171,'TAR FIN'!$A$1:$O$86,15,0))*(1-0.04)</f>
        <v>18.470399999999998</v>
      </c>
      <c r="W171" s="97">
        <f>IF(ISERROR(VLOOKUP($T$171,'TAR FIN'!$A$1:$O$86,15,0)),0,VLOOKUP($T$171,'TAR FIN'!$A$1:$O$86,15,0))</f>
        <v>0</v>
      </c>
      <c r="X171" s="97">
        <f>IF(ISERROR(VLOOKUP($U$171,'TAR FIN'!$A$1:$O$86,15,0)),0,VLOOKUP($U$171,'TAR FIN'!$A$1:$O$86,15,0))</f>
        <v>0</v>
      </c>
      <c r="Y171" s="97">
        <f ca="1">('TUSD BE'!$AM$11+'TUSD BF'!$AM$11+'TUSD CVA'!$AM$11)*1*(1-0.02)</f>
        <v>14.889098762306169</v>
      </c>
      <c r="Z171" s="97"/>
      <c r="AA171" s="97"/>
      <c r="AB171" s="97">
        <f>(SUBSIDIO!$J$171*SUBSIDIO!$V$171)*(0.04)/(1-0.04)</f>
        <v>23.857599999999998</v>
      </c>
      <c r="AC171" s="97">
        <f>((SUBSIDIO!$L$171*SUBSIDIO!$W$171)+(SUBSIDIO!$N$171*SUBSIDIO!$X$171))*(0.04)/(1-0.04)</f>
        <v>0</v>
      </c>
      <c r="AD171" s="97">
        <f ca="1">(SUBSIDIO!$J$171*SUBSIDIO!$Y$171)*(0.02)/(1-0.02)</f>
        <v>9.4196339108467608</v>
      </c>
      <c r="AE171" s="97">
        <f>((SUBSIDIO!$L$171*SUBSIDIO!$Z$171)+(SUBSIDIO!$N$171*SUBSIDIO!$AA$171))*(0.02)/(1-0.02)</f>
        <v>0</v>
      </c>
      <c r="AF171" s="4" t="s">
        <v>727</v>
      </c>
    </row>
    <row r="172" spans="1:32" ht="11.25" customHeight="1" x14ac:dyDescent="0.25">
      <c r="A172" s="4" t="s">
        <v>21</v>
      </c>
      <c r="B172" s="4" t="s">
        <v>38</v>
      </c>
      <c r="C172" s="4" t="s">
        <v>40</v>
      </c>
      <c r="D172" s="4" t="s">
        <v>43</v>
      </c>
      <c r="E172" s="4" t="s">
        <v>51</v>
      </c>
      <c r="F172" s="4" t="s">
        <v>25</v>
      </c>
      <c r="G172" s="4" t="s">
        <v>25</v>
      </c>
      <c r="H172" s="4" t="s">
        <v>25</v>
      </c>
      <c r="I172" s="5">
        <v>44440</v>
      </c>
      <c r="J172" s="6">
        <v>759</v>
      </c>
      <c r="K172" s="97">
        <v>759</v>
      </c>
      <c r="L172" s="6">
        <v>0</v>
      </c>
      <c r="M172" s="97">
        <v>0</v>
      </c>
      <c r="N172" s="6">
        <v>0</v>
      </c>
      <c r="O172" s="97">
        <v>0</v>
      </c>
      <c r="P172" s="6">
        <v>8</v>
      </c>
      <c r="Q172" s="4" t="s">
        <v>26</v>
      </c>
      <c r="R172" s="4">
        <v>0</v>
      </c>
      <c r="S172" s="4">
        <v>18</v>
      </c>
      <c r="T172" s="4">
        <v>0</v>
      </c>
      <c r="U172" s="4">
        <v>0</v>
      </c>
      <c r="V172" s="97">
        <f>IF(ISERROR(VLOOKUP($S$172,'TAR FIN'!$A$1:$O$86,15,0)),0,VLOOKUP($S$172,'TAR FIN'!$A$1:$O$86,15,0))*(1-0.04)</f>
        <v>18.470399999999998</v>
      </c>
      <c r="W172" s="97">
        <f>IF(ISERROR(VLOOKUP($T$172,'TAR FIN'!$A$1:$O$86,15,0)),0,VLOOKUP($T$172,'TAR FIN'!$A$1:$O$86,15,0))</f>
        <v>0</v>
      </c>
      <c r="X172" s="97">
        <f>IF(ISERROR(VLOOKUP($U$172,'TAR FIN'!$A$1:$O$86,15,0)),0,VLOOKUP($U$172,'TAR FIN'!$A$1:$O$86,15,0))</f>
        <v>0</v>
      </c>
      <c r="Y172" s="97">
        <f ca="1">('TUSD BE'!$AM$11+'TUSD BF'!$AM$11+'TUSD CVA'!$AM$11)*1*(1-0.02)</f>
        <v>14.889098762306169</v>
      </c>
      <c r="Z172" s="97"/>
      <c r="AA172" s="97"/>
      <c r="AB172" s="97">
        <f>(SUBSIDIO!$J$172*SUBSIDIO!$V$172)*(0.04)/(1-0.04)</f>
        <v>584.12639999999999</v>
      </c>
      <c r="AC172" s="97">
        <f>((SUBSIDIO!$L$172*SUBSIDIO!$W$172)+(SUBSIDIO!$N$172*SUBSIDIO!$X$172))*(0.04)/(1-0.04)</f>
        <v>0</v>
      </c>
      <c r="AD172" s="97">
        <f ca="1">(SUBSIDIO!$J$172*SUBSIDIO!$Y$172)*(0.02)/(1-0.02)</f>
        <v>230.62910123653845</v>
      </c>
      <c r="AE172" s="97">
        <f>((SUBSIDIO!$L$172*SUBSIDIO!$Z$172)+(SUBSIDIO!$N$172*SUBSIDIO!$AA$172))*(0.02)/(1-0.02)</f>
        <v>0</v>
      </c>
      <c r="AF172" s="4" t="s">
        <v>727</v>
      </c>
    </row>
    <row r="173" spans="1:32" ht="11.25" customHeight="1" x14ac:dyDescent="0.25">
      <c r="A173" s="4" t="s">
        <v>55</v>
      </c>
      <c r="B173" s="4" t="s">
        <v>38</v>
      </c>
      <c r="C173" s="4" t="s">
        <v>40</v>
      </c>
      <c r="D173" s="4" t="s">
        <v>43</v>
      </c>
      <c r="E173" s="4" t="s">
        <v>51</v>
      </c>
      <c r="F173" s="4" t="s">
        <v>25</v>
      </c>
      <c r="G173" s="4" t="s">
        <v>25</v>
      </c>
      <c r="H173" s="4" t="s">
        <v>25</v>
      </c>
      <c r="I173" s="5">
        <v>44440</v>
      </c>
      <c r="J173" s="6">
        <v>131</v>
      </c>
      <c r="K173" s="97">
        <v>131</v>
      </c>
      <c r="L173" s="6">
        <v>0</v>
      </c>
      <c r="M173" s="97">
        <v>0</v>
      </c>
      <c r="N173" s="6">
        <v>0</v>
      </c>
      <c r="O173" s="97">
        <v>0</v>
      </c>
      <c r="P173" s="6">
        <v>1</v>
      </c>
      <c r="Q173" s="4" t="s">
        <v>26</v>
      </c>
      <c r="R173" s="4">
        <v>0</v>
      </c>
      <c r="S173" s="4">
        <v>18</v>
      </c>
      <c r="T173" s="4">
        <v>0</v>
      </c>
      <c r="U173" s="4">
        <v>0</v>
      </c>
      <c r="V173" s="97">
        <f>IF(ISERROR(VLOOKUP($S$173,'TAR FIN'!$A$1:$O$86,15,0)),0,VLOOKUP($S$173,'TAR FIN'!$A$1:$O$86,15,0))*(1-0.04)</f>
        <v>18.470399999999998</v>
      </c>
      <c r="W173" s="97">
        <f>IF(ISERROR(VLOOKUP($T$173,'TAR FIN'!$A$1:$O$86,15,0)),0,VLOOKUP($T$173,'TAR FIN'!$A$1:$O$86,15,0))</f>
        <v>0</v>
      </c>
      <c r="X173" s="97">
        <f>IF(ISERROR(VLOOKUP($U$173,'TAR FIN'!$A$1:$O$86,15,0)),0,VLOOKUP($U$173,'TAR FIN'!$A$1:$O$86,15,0))</f>
        <v>0</v>
      </c>
      <c r="Y173" s="97">
        <f ca="1">('TUSD BE'!$AM$11+'TUSD BF'!$AM$11+'TUSD CVA'!$AM$11)*1*(1-0.02)</f>
        <v>14.889098762306169</v>
      </c>
      <c r="Z173" s="97"/>
      <c r="AA173" s="97"/>
      <c r="AB173" s="97">
        <f>(SUBSIDIO!$J$173*SUBSIDIO!$V$173)*(0.04)/(1-0.04)</f>
        <v>100.8176</v>
      </c>
      <c r="AC173" s="97">
        <f>((SUBSIDIO!$L$173*SUBSIDIO!$W$173)+(SUBSIDIO!$N$173*SUBSIDIO!$X$173))*(0.04)/(1-0.04)</f>
        <v>0</v>
      </c>
      <c r="AD173" s="97">
        <f ca="1">(SUBSIDIO!$J$173*SUBSIDIO!$Y$173)*(0.02)/(1-0.02)</f>
        <v>39.805549752287924</v>
      </c>
      <c r="AE173" s="97">
        <f>((SUBSIDIO!$L$173*SUBSIDIO!$Z$173)+(SUBSIDIO!$N$173*SUBSIDIO!$AA$173))*(0.02)/(1-0.02)</f>
        <v>0</v>
      </c>
      <c r="AF173" s="4" t="s">
        <v>727</v>
      </c>
    </row>
    <row r="174" spans="1:32" ht="11.25" customHeight="1" x14ac:dyDescent="0.25">
      <c r="A174" s="4" t="s">
        <v>21</v>
      </c>
      <c r="B174" s="4" t="s">
        <v>38</v>
      </c>
      <c r="C174" s="4" t="s">
        <v>40</v>
      </c>
      <c r="D174" s="4" t="s">
        <v>43</v>
      </c>
      <c r="E174" s="4" t="s">
        <v>51</v>
      </c>
      <c r="F174" s="4" t="s">
        <v>25</v>
      </c>
      <c r="G174" s="4" t="s">
        <v>25</v>
      </c>
      <c r="H174" s="4" t="s">
        <v>25</v>
      </c>
      <c r="I174" s="5">
        <v>44470</v>
      </c>
      <c r="J174" s="6">
        <v>1132</v>
      </c>
      <c r="K174" s="97">
        <v>1132</v>
      </c>
      <c r="L174" s="6">
        <v>0</v>
      </c>
      <c r="M174" s="97">
        <v>0</v>
      </c>
      <c r="N174" s="6">
        <v>0</v>
      </c>
      <c r="O174" s="97">
        <v>0</v>
      </c>
      <c r="P174" s="6">
        <v>8</v>
      </c>
      <c r="Q174" s="4" t="s">
        <v>26</v>
      </c>
      <c r="R174" s="4">
        <v>0</v>
      </c>
      <c r="S174" s="4">
        <v>18</v>
      </c>
      <c r="T174" s="4">
        <v>0</v>
      </c>
      <c r="U174" s="4">
        <v>0</v>
      </c>
      <c r="V174" s="97">
        <f>IF(ISERROR(VLOOKUP($S$174,'TAR FIN'!$A$1:$O$86,15,0)),0,VLOOKUP($S$174,'TAR FIN'!$A$1:$O$86,15,0))*(1-0.04)</f>
        <v>18.470399999999998</v>
      </c>
      <c r="W174" s="97">
        <f>IF(ISERROR(VLOOKUP($T$174,'TAR FIN'!$A$1:$O$86,15,0)),0,VLOOKUP($T$174,'TAR FIN'!$A$1:$O$86,15,0))</f>
        <v>0</v>
      </c>
      <c r="X174" s="97">
        <f>IF(ISERROR(VLOOKUP($U$174,'TAR FIN'!$A$1:$O$86,15,0)),0,VLOOKUP($U$174,'TAR FIN'!$A$1:$O$86,15,0))</f>
        <v>0</v>
      </c>
      <c r="Y174" s="97">
        <f ca="1">('TUSD BE'!$AM$11+'TUSD BF'!$AM$11+'TUSD CVA'!$AM$11)*1*(1-0.02)</f>
        <v>14.889098762306169</v>
      </c>
      <c r="Z174" s="97"/>
      <c r="AA174" s="97"/>
      <c r="AB174" s="97">
        <f>(SUBSIDIO!$J$174*SUBSIDIO!$V$174)*(0.04)/(1-0.04)</f>
        <v>871.18719999999985</v>
      </c>
      <c r="AC174" s="97">
        <f>((SUBSIDIO!$L$174*SUBSIDIO!$W$174)+(SUBSIDIO!$N$174*SUBSIDIO!$X$174))*(0.04)/(1-0.04)</f>
        <v>0</v>
      </c>
      <c r="AD174" s="97">
        <f ca="1">(SUBSIDIO!$J$174*SUBSIDIO!$Y$174)*(0.02)/(1-0.02)</f>
        <v>343.96856732511401</v>
      </c>
      <c r="AE174" s="97">
        <f>((SUBSIDIO!$L$174*SUBSIDIO!$Z$174)+(SUBSIDIO!$N$174*SUBSIDIO!$AA$174))*(0.02)/(1-0.02)</f>
        <v>0</v>
      </c>
      <c r="AF174" s="4" t="s">
        <v>727</v>
      </c>
    </row>
    <row r="175" spans="1:32" ht="11.25" customHeight="1" x14ac:dyDescent="0.25">
      <c r="A175" s="4" t="s">
        <v>55</v>
      </c>
      <c r="B175" s="4" t="s">
        <v>38</v>
      </c>
      <c r="C175" s="4" t="s">
        <v>40</v>
      </c>
      <c r="D175" s="4" t="s">
        <v>43</v>
      </c>
      <c r="E175" s="4" t="s">
        <v>51</v>
      </c>
      <c r="F175" s="4" t="s">
        <v>25</v>
      </c>
      <c r="G175" s="4" t="s">
        <v>25</v>
      </c>
      <c r="H175" s="4" t="s">
        <v>25</v>
      </c>
      <c r="I175" s="5">
        <v>44470</v>
      </c>
      <c r="J175" s="6">
        <v>251</v>
      </c>
      <c r="K175" s="97">
        <v>251</v>
      </c>
      <c r="L175" s="6">
        <v>0</v>
      </c>
      <c r="M175" s="97">
        <v>0</v>
      </c>
      <c r="N175" s="6">
        <v>0</v>
      </c>
      <c r="O175" s="97">
        <v>0</v>
      </c>
      <c r="P175" s="6">
        <v>1</v>
      </c>
      <c r="Q175" s="4" t="s">
        <v>26</v>
      </c>
      <c r="R175" s="4">
        <v>0</v>
      </c>
      <c r="S175" s="4">
        <v>18</v>
      </c>
      <c r="T175" s="4">
        <v>0</v>
      </c>
      <c r="U175" s="4">
        <v>0</v>
      </c>
      <c r="V175" s="97">
        <f>IF(ISERROR(VLOOKUP($S$175,'TAR FIN'!$A$1:$O$86,15,0)),0,VLOOKUP($S$175,'TAR FIN'!$A$1:$O$86,15,0))*(1-0.04)</f>
        <v>18.470399999999998</v>
      </c>
      <c r="W175" s="97">
        <f>IF(ISERROR(VLOOKUP($T$175,'TAR FIN'!$A$1:$O$86,15,0)),0,VLOOKUP($T$175,'TAR FIN'!$A$1:$O$86,15,0))</f>
        <v>0</v>
      </c>
      <c r="X175" s="97">
        <f>IF(ISERROR(VLOOKUP($U$175,'TAR FIN'!$A$1:$O$86,15,0)),0,VLOOKUP($U$175,'TAR FIN'!$A$1:$O$86,15,0))</f>
        <v>0</v>
      </c>
      <c r="Y175" s="97">
        <f ca="1">('TUSD BE'!$AM$11+'TUSD BF'!$AM$11+'TUSD CVA'!$AM$11)*1*(1-0.02)</f>
        <v>14.889098762306169</v>
      </c>
      <c r="Z175" s="97"/>
      <c r="AA175" s="97"/>
      <c r="AB175" s="97">
        <f>(SUBSIDIO!$J$175*SUBSIDIO!$V$175)*(0.04)/(1-0.04)</f>
        <v>193.1696</v>
      </c>
      <c r="AC175" s="97">
        <f>((SUBSIDIO!$L$175*SUBSIDIO!$W$175)+(SUBSIDIO!$N$175*SUBSIDIO!$X$175))*(0.04)/(1-0.04)</f>
        <v>0</v>
      </c>
      <c r="AD175" s="97">
        <f ca="1">(SUBSIDIO!$J$175*SUBSIDIO!$Y$175)*(0.02)/(1-0.02)</f>
        <v>76.268648762017307</v>
      </c>
      <c r="AE175" s="97">
        <f>((SUBSIDIO!$L$175*SUBSIDIO!$Z$175)+(SUBSIDIO!$N$175*SUBSIDIO!$AA$175))*(0.02)/(1-0.02)</f>
        <v>0</v>
      </c>
      <c r="AF175" s="4" t="s">
        <v>727</v>
      </c>
    </row>
    <row r="176" spans="1:32" ht="11.25" customHeight="1" x14ac:dyDescent="0.25">
      <c r="A176" s="4" t="s">
        <v>21</v>
      </c>
      <c r="B176" s="4" t="s">
        <v>38</v>
      </c>
      <c r="C176" s="4" t="s">
        <v>40</v>
      </c>
      <c r="D176" s="4" t="s">
        <v>43</v>
      </c>
      <c r="E176" s="4" t="s">
        <v>51</v>
      </c>
      <c r="F176" s="4" t="s">
        <v>25</v>
      </c>
      <c r="G176" s="4" t="s">
        <v>25</v>
      </c>
      <c r="H176" s="4" t="s">
        <v>25</v>
      </c>
      <c r="I176" s="5">
        <v>44501</v>
      </c>
      <c r="J176" s="6">
        <v>2857</v>
      </c>
      <c r="K176" s="97">
        <v>2857</v>
      </c>
      <c r="L176" s="6">
        <v>0</v>
      </c>
      <c r="M176" s="97">
        <v>0</v>
      </c>
      <c r="N176" s="6">
        <v>0</v>
      </c>
      <c r="O176" s="97">
        <v>0</v>
      </c>
      <c r="P176" s="6">
        <v>8</v>
      </c>
      <c r="Q176" s="4" t="s">
        <v>26</v>
      </c>
      <c r="R176" s="4">
        <v>0</v>
      </c>
      <c r="S176" s="4">
        <v>18</v>
      </c>
      <c r="T176" s="4">
        <v>0</v>
      </c>
      <c r="U176" s="4">
        <v>0</v>
      </c>
      <c r="V176" s="97">
        <f>IF(ISERROR(VLOOKUP($S$176,'TAR FIN'!$A$1:$O$86,15,0)),0,VLOOKUP($S$176,'TAR FIN'!$A$1:$O$86,15,0))*(1-0.04)</f>
        <v>18.470399999999998</v>
      </c>
      <c r="W176" s="97">
        <f>IF(ISERROR(VLOOKUP($T$176,'TAR FIN'!$A$1:$O$86,15,0)),0,VLOOKUP($T$176,'TAR FIN'!$A$1:$O$86,15,0))</f>
        <v>0</v>
      </c>
      <c r="X176" s="97">
        <f>IF(ISERROR(VLOOKUP($U$176,'TAR FIN'!$A$1:$O$86,15,0)),0,VLOOKUP($U$176,'TAR FIN'!$A$1:$O$86,15,0))</f>
        <v>0</v>
      </c>
      <c r="Y176" s="97">
        <f ca="1">('TUSD BE'!$AM$11+'TUSD BF'!$AM$11+'TUSD CVA'!$AM$11)*1*(1-0.02)</f>
        <v>14.889098762306169</v>
      </c>
      <c r="Z176" s="97"/>
      <c r="AA176" s="97"/>
      <c r="AB176" s="97">
        <f>(SUBSIDIO!$J$176*SUBSIDIO!$V$176)*(0.04)/(1-0.04)</f>
        <v>2198.7471999999998</v>
      </c>
      <c r="AC176" s="97">
        <f>((SUBSIDIO!$L$176*SUBSIDIO!$W$176)+(SUBSIDIO!$N$176*SUBSIDIO!$X$176))*(0.04)/(1-0.04)</f>
        <v>0</v>
      </c>
      <c r="AD176" s="97">
        <f ca="1">(SUBSIDIO!$J$176*SUBSIDIO!$Y$176)*(0.02)/(1-0.02)</f>
        <v>868.12561558997402</v>
      </c>
      <c r="AE176" s="97">
        <f>((SUBSIDIO!$L$176*SUBSIDIO!$Z$176)+(SUBSIDIO!$N$176*SUBSIDIO!$AA$176))*(0.02)/(1-0.02)</f>
        <v>0</v>
      </c>
      <c r="AF176" s="4" t="s">
        <v>727</v>
      </c>
    </row>
    <row r="177" spans="1:32" ht="11.25" customHeight="1" x14ac:dyDescent="0.25">
      <c r="A177" s="4" t="s">
        <v>55</v>
      </c>
      <c r="B177" s="4" t="s">
        <v>38</v>
      </c>
      <c r="C177" s="4" t="s">
        <v>40</v>
      </c>
      <c r="D177" s="4" t="s">
        <v>43</v>
      </c>
      <c r="E177" s="4" t="s">
        <v>51</v>
      </c>
      <c r="F177" s="4" t="s">
        <v>25</v>
      </c>
      <c r="G177" s="4" t="s">
        <v>25</v>
      </c>
      <c r="H177" s="4" t="s">
        <v>25</v>
      </c>
      <c r="I177" s="5">
        <v>44501</v>
      </c>
      <c r="J177" s="6">
        <v>259</v>
      </c>
      <c r="K177" s="97">
        <v>259</v>
      </c>
      <c r="L177" s="6">
        <v>0</v>
      </c>
      <c r="M177" s="97">
        <v>0</v>
      </c>
      <c r="N177" s="6">
        <v>0</v>
      </c>
      <c r="O177" s="97">
        <v>0</v>
      </c>
      <c r="P177" s="6">
        <v>1</v>
      </c>
      <c r="Q177" s="4" t="s">
        <v>26</v>
      </c>
      <c r="R177" s="4">
        <v>0</v>
      </c>
      <c r="S177" s="4">
        <v>18</v>
      </c>
      <c r="T177" s="4">
        <v>0</v>
      </c>
      <c r="U177" s="4">
        <v>0</v>
      </c>
      <c r="V177" s="97">
        <f>IF(ISERROR(VLOOKUP($S$177,'TAR FIN'!$A$1:$O$86,15,0)),0,VLOOKUP($S$177,'TAR FIN'!$A$1:$O$86,15,0))*(1-0.04)</f>
        <v>18.470399999999998</v>
      </c>
      <c r="W177" s="97">
        <f>IF(ISERROR(VLOOKUP($T$177,'TAR FIN'!$A$1:$O$86,15,0)),0,VLOOKUP($T$177,'TAR FIN'!$A$1:$O$86,15,0))</f>
        <v>0</v>
      </c>
      <c r="X177" s="97">
        <f>IF(ISERROR(VLOOKUP($U$177,'TAR FIN'!$A$1:$O$86,15,0)),0,VLOOKUP($U$177,'TAR FIN'!$A$1:$O$86,15,0))</f>
        <v>0</v>
      </c>
      <c r="Y177" s="97">
        <f ca="1">('TUSD BE'!$AM$11+'TUSD BF'!$AM$11+'TUSD CVA'!$AM$11)*1*(1-0.02)</f>
        <v>14.889098762306169</v>
      </c>
      <c r="Z177" s="97"/>
      <c r="AA177" s="97"/>
      <c r="AB177" s="97">
        <f>(SUBSIDIO!$J$177*SUBSIDIO!$V$177)*(0.04)/(1-0.04)</f>
        <v>199.32639999999998</v>
      </c>
      <c r="AC177" s="97">
        <f>((SUBSIDIO!$L$177*SUBSIDIO!$W$177)+(SUBSIDIO!$N$177*SUBSIDIO!$X$177))*(0.04)/(1-0.04)</f>
        <v>0</v>
      </c>
      <c r="AD177" s="97">
        <f ca="1">(SUBSIDIO!$J$177*SUBSIDIO!$Y$177)*(0.02)/(1-0.02)</f>
        <v>78.699522029332613</v>
      </c>
      <c r="AE177" s="97">
        <f>((SUBSIDIO!$L$177*SUBSIDIO!$Z$177)+(SUBSIDIO!$N$177*SUBSIDIO!$AA$177))*(0.02)/(1-0.02)</f>
        <v>0</v>
      </c>
      <c r="AF177" s="4" t="s">
        <v>727</v>
      </c>
    </row>
    <row r="178" spans="1:32" ht="11.25" customHeight="1" x14ac:dyDescent="0.25">
      <c r="A178" s="4" t="s">
        <v>21</v>
      </c>
      <c r="B178" s="4" t="s">
        <v>38</v>
      </c>
      <c r="C178" s="4" t="s">
        <v>40</v>
      </c>
      <c r="D178" s="4" t="s">
        <v>43</v>
      </c>
      <c r="E178" s="4" t="s">
        <v>51</v>
      </c>
      <c r="F178" s="4" t="s">
        <v>25</v>
      </c>
      <c r="G178" s="4" t="s">
        <v>25</v>
      </c>
      <c r="H178" s="4" t="s">
        <v>25</v>
      </c>
      <c r="I178" s="5">
        <v>44531</v>
      </c>
      <c r="J178" s="6">
        <v>3618</v>
      </c>
      <c r="K178" s="97">
        <v>3618</v>
      </c>
      <c r="L178" s="6">
        <v>0</v>
      </c>
      <c r="M178" s="97">
        <v>0</v>
      </c>
      <c r="N178" s="6">
        <v>0</v>
      </c>
      <c r="O178" s="97">
        <v>0</v>
      </c>
      <c r="P178" s="6">
        <v>8</v>
      </c>
      <c r="Q178" s="4" t="s">
        <v>26</v>
      </c>
      <c r="R178" s="4">
        <v>0</v>
      </c>
      <c r="S178" s="4">
        <v>18</v>
      </c>
      <c r="T178" s="4">
        <v>0</v>
      </c>
      <c r="U178" s="4">
        <v>0</v>
      </c>
      <c r="V178" s="97">
        <f>IF(ISERROR(VLOOKUP($S$178,'TAR FIN'!$A$1:$O$86,15,0)),0,VLOOKUP($S$178,'TAR FIN'!$A$1:$O$86,15,0))*(1-0.04)</f>
        <v>18.470399999999998</v>
      </c>
      <c r="W178" s="97">
        <f>IF(ISERROR(VLOOKUP($T$178,'TAR FIN'!$A$1:$O$86,15,0)),0,VLOOKUP($T$178,'TAR FIN'!$A$1:$O$86,15,0))</f>
        <v>0</v>
      </c>
      <c r="X178" s="97">
        <f>IF(ISERROR(VLOOKUP($U$178,'TAR FIN'!$A$1:$O$86,15,0)),0,VLOOKUP($U$178,'TAR FIN'!$A$1:$O$86,15,0))</f>
        <v>0</v>
      </c>
      <c r="Y178" s="97">
        <f ca="1">('TUSD BE'!$AM$11+'TUSD BF'!$AM$11+'TUSD CVA'!$AM$11)*1*(1-0.02)</f>
        <v>14.889098762306169</v>
      </c>
      <c r="Z178" s="97"/>
      <c r="AA178" s="97"/>
      <c r="AB178" s="97">
        <f>(SUBSIDIO!$J$178*SUBSIDIO!$V$178)*(0.04)/(1-0.04)</f>
        <v>2784.4127999999996</v>
      </c>
      <c r="AC178" s="97">
        <f>((SUBSIDIO!$L$178*SUBSIDIO!$W$178)+(SUBSIDIO!$N$178*SUBSIDIO!$X$178))*(0.04)/(1-0.04)</f>
        <v>0</v>
      </c>
      <c r="AD178" s="97">
        <f ca="1">(SUBSIDIO!$J$178*SUBSIDIO!$Y$178)*(0.02)/(1-0.02)</f>
        <v>1099.3624351433411</v>
      </c>
      <c r="AE178" s="97">
        <f>((SUBSIDIO!$L$178*SUBSIDIO!$Z$178)+(SUBSIDIO!$N$178*SUBSIDIO!$AA$178))*(0.02)/(1-0.02)</f>
        <v>0</v>
      </c>
      <c r="AF178" s="4" t="s">
        <v>727</v>
      </c>
    </row>
    <row r="179" spans="1:32" ht="11.25" customHeight="1" x14ac:dyDescent="0.25">
      <c r="A179" s="4" t="s">
        <v>55</v>
      </c>
      <c r="B179" s="4" t="s">
        <v>38</v>
      </c>
      <c r="C179" s="4" t="s">
        <v>40</v>
      </c>
      <c r="D179" s="4" t="s">
        <v>43</v>
      </c>
      <c r="E179" s="4" t="s">
        <v>51</v>
      </c>
      <c r="F179" s="4" t="s">
        <v>25</v>
      </c>
      <c r="G179" s="4" t="s">
        <v>25</v>
      </c>
      <c r="H179" s="4" t="s">
        <v>25</v>
      </c>
      <c r="I179" s="5">
        <v>44531</v>
      </c>
      <c r="J179" s="6">
        <v>254</v>
      </c>
      <c r="K179" s="97">
        <v>254</v>
      </c>
      <c r="L179" s="6">
        <v>0</v>
      </c>
      <c r="M179" s="97">
        <v>0</v>
      </c>
      <c r="N179" s="6">
        <v>0</v>
      </c>
      <c r="O179" s="97">
        <v>0</v>
      </c>
      <c r="P179" s="6">
        <v>1</v>
      </c>
      <c r="Q179" s="4" t="s">
        <v>26</v>
      </c>
      <c r="R179" s="4">
        <v>0</v>
      </c>
      <c r="S179" s="4">
        <v>18</v>
      </c>
      <c r="T179" s="4">
        <v>0</v>
      </c>
      <c r="U179" s="4">
        <v>0</v>
      </c>
      <c r="V179" s="97">
        <f>IF(ISERROR(VLOOKUP($S$179,'TAR FIN'!$A$1:$O$86,15,0)),0,VLOOKUP($S$179,'TAR FIN'!$A$1:$O$86,15,0))*(1-0.04)</f>
        <v>18.470399999999998</v>
      </c>
      <c r="W179" s="97">
        <f>IF(ISERROR(VLOOKUP($T$179,'TAR FIN'!$A$1:$O$86,15,0)),0,VLOOKUP($T$179,'TAR FIN'!$A$1:$O$86,15,0))</f>
        <v>0</v>
      </c>
      <c r="X179" s="97">
        <f>IF(ISERROR(VLOOKUP($U$179,'TAR FIN'!$A$1:$O$86,15,0)),0,VLOOKUP($U$179,'TAR FIN'!$A$1:$O$86,15,0))</f>
        <v>0</v>
      </c>
      <c r="Y179" s="97">
        <f ca="1">('TUSD BE'!$AM$11+'TUSD BF'!$AM$11+'TUSD CVA'!$AM$11)*1*(1-0.02)</f>
        <v>14.889098762306169</v>
      </c>
      <c r="Z179" s="97"/>
      <c r="AA179" s="97"/>
      <c r="AB179" s="97">
        <f>(SUBSIDIO!$J$179*SUBSIDIO!$V$179)*(0.04)/(1-0.04)</f>
        <v>195.47839999999999</v>
      </c>
      <c r="AC179" s="97">
        <f>((SUBSIDIO!$L$179*SUBSIDIO!$W$179)+(SUBSIDIO!$N$179*SUBSIDIO!$X$179))*(0.04)/(1-0.04)</f>
        <v>0</v>
      </c>
      <c r="AD179" s="97">
        <f ca="1">(SUBSIDIO!$J$179*SUBSIDIO!$Y$179)*(0.02)/(1-0.02)</f>
        <v>77.180226237260541</v>
      </c>
      <c r="AE179" s="97">
        <f>((SUBSIDIO!$L$179*SUBSIDIO!$Z$179)+(SUBSIDIO!$N$179*SUBSIDIO!$AA$179))*(0.02)/(1-0.02)</f>
        <v>0</v>
      </c>
      <c r="AF179" s="4" t="s">
        <v>727</v>
      </c>
    </row>
    <row r="180" spans="1:32" ht="11.25" customHeight="1" x14ac:dyDescent="0.25">
      <c r="A180" s="4" t="s">
        <v>21</v>
      </c>
      <c r="B180" s="4" t="s">
        <v>38</v>
      </c>
      <c r="C180" s="4" t="s">
        <v>40</v>
      </c>
      <c r="D180" s="4" t="s">
        <v>43</v>
      </c>
      <c r="E180" s="4" t="s">
        <v>51</v>
      </c>
      <c r="F180" s="4" t="s">
        <v>25</v>
      </c>
      <c r="G180" s="4" t="s">
        <v>25</v>
      </c>
      <c r="H180" s="4" t="s">
        <v>25</v>
      </c>
      <c r="I180" s="5">
        <v>44562</v>
      </c>
      <c r="J180" s="6">
        <v>3650</v>
      </c>
      <c r="K180" s="97">
        <v>3650</v>
      </c>
      <c r="L180" s="6">
        <v>0</v>
      </c>
      <c r="M180" s="97">
        <v>0</v>
      </c>
      <c r="N180" s="6">
        <v>0</v>
      </c>
      <c r="O180" s="97">
        <v>0</v>
      </c>
      <c r="P180" s="6">
        <v>8</v>
      </c>
      <c r="Q180" s="4" t="s">
        <v>26</v>
      </c>
      <c r="R180" s="4">
        <v>0</v>
      </c>
      <c r="S180" s="4">
        <v>18</v>
      </c>
      <c r="T180" s="4">
        <v>0</v>
      </c>
      <c r="U180" s="4">
        <v>0</v>
      </c>
      <c r="V180" s="97">
        <f>IF(ISERROR(VLOOKUP($S$180,'TAR FIN'!$A$1:$O$86,15,0)),0,VLOOKUP($S$180,'TAR FIN'!$A$1:$O$86,15,0))*(1-0.04)</f>
        <v>18.470399999999998</v>
      </c>
      <c r="W180" s="97">
        <f>IF(ISERROR(VLOOKUP($T$180,'TAR FIN'!$A$1:$O$86,15,0)),0,VLOOKUP($T$180,'TAR FIN'!$A$1:$O$86,15,0))</f>
        <v>0</v>
      </c>
      <c r="X180" s="97">
        <f>IF(ISERROR(VLOOKUP($U$180,'TAR FIN'!$A$1:$O$86,15,0)),0,VLOOKUP($U$180,'TAR FIN'!$A$1:$O$86,15,0))</f>
        <v>0</v>
      </c>
      <c r="Y180" s="97">
        <f ca="1">('TUSD BE'!$AM$11+'TUSD BF'!$AM$11+'TUSD CVA'!$AM$11)*1*(1-0.02)</f>
        <v>14.889098762306169</v>
      </c>
      <c r="Z180" s="97"/>
      <c r="AA180" s="97"/>
      <c r="AB180" s="97">
        <f>(SUBSIDIO!$J$180*SUBSIDIO!$V$180)*(0.04)/(1-0.04)</f>
        <v>2809.04</v>
      </c>
      <c r="AC180" s="97">
        <f>((SUBSIDIO!$L$180*SUBSIDIO!$W$180)+(SUBSIDIO!$N$180*SUBSIDIO!$X$180))*(0.04)/(1-0.04)</f>
        <v>0</v>
      </c>
      <c r="AD180" s="97">
        <f ca="1">(SUBSIDIO!$J$180*SUBSIDIO!$Y$180)*(0.02)/(1-0.02)</f>
        <v>1109.0859282126025</v>
      </c>
      <c r="AE180" s="97">
        <f>((SUBSIDIO!$L$180*SUBSIDIO!$Z$180)+(SUBSIDIO!$N$180*SUBSIDIO!$AA$180))*(0.02)/(1-0.02)</f>
        <v>0</v>
      </c>
      <c r="AF180" s="4" t="s">
        <v>727</v>
      </c>
    </row>
    <row r="181" spans="1:32" ht="11.25" customHeight="1" x14ac:dyDescent="0.25">
      <c r="A181" s="4" t="s">
        <v>55</v>
      </c>
      <c r="B181" s="4" t="s">
        <v>38</v>
      </c>
      <c r="C181" s="4" t="s">
        <v>40</v>
      </c>
      <c r="D181" s="4" t="s">
        <v>43</v>
      </c>
      <c r="E181" s="4" t="s">
        <v>51</v>
      </c>
      <c r="F181" s="4" t="s">
        <v>25</v>
      </c>
      <c r="G181" s="4" t="s">
        <v>25</v>
      </c>
      <c r="H181" s="4" t="s">
        <v>25</v>
      </c>
      <c r="I181" s="5">
        <v>44562</v>
      </c>
      <c r="J181" s="6">
        <v>154</v>
      </c>
      <c r="K181" s="97">
        <v>154</v>
      </c>
      <c r="L181" s="6">
        <v>0</v>
      </c>
      <c r="M181" s="97">
        <v>0</v>
      </c>
      <c r="N181" s="6">
        <v>0</v>
      </c>
      <c r="O181" s="97">
        <v>0</v>
      </c>
      <c r="P181" s="6">
        <v>1</v>
      </c>
      <c r="Q181" s="4" t="s">
        <v>26</v>
      </c>
      <c r="R181" s="4">
        <v>0</v>
      </c>
      <c r="S181" s="4">
        <v>18</v>
      </c>
      <c r="T181" s="4">
        <v>0</v>
      </c>
      <c r="U181" s="4">
        <v>0</v>
      </c>
      <c r="V181" s="97">
        <f>IF(ISERROR(VLOOKUP($S$181,'TAR FIN'!$A$1:$O$86,15,0)),0,VLOOKUP($S$181,'TAR FIN'!$A$1:$O$86,15,0))*(1-0.04)</f>
        <v>18.470399999999998</v>
      </c>
      <c r="W181" s="97">
        <f>IF(ISERROR(VLOOKUP($T$181,'TAR FIN'!$A$1:$O$86,15,0)),0,VLOOKUP($T$181,'TAR FIN'!$A$1:$O$86,15,0))</f>
        <v>0</v>
      </c>
      <c r="X181" s="97">
        <f>IF(ISERROR(VLOOKUP($U$181,'TAR FIN'!$A$1:$O$86,15,0)),0,VLOOKUP($U$181,'TAR FIN'!$A$1:$O$86,15,0))</f>
        <v>0</v>
      </c>
      <c r="Y181" s="97">
        <f ca="1">('TUSD BE'!$AM$11+'TUSD BF'!$AM$11+'TUSD CVA'!$AM$11)*1*(1-0.02)</f>
        <v>14.889098762306169</v>
      </c>
      <c r="Z181" s="97"/>
      <c r="AA181" s="97"/>
      <c r="AB181" s="97">
        <f>(SUBSIDIO!$J$181*SUBSIDIO!$V$181)*(0.04)/(1-0.04)</f>
        <v>118.51839999999999</v>
      </c>
      <c r="AC181" s="97">
        <f>((SUBSIDIO!$L$181*SUBSIDIO!$W$181)+(SUBSIDIO!$N$181*SUBSIDIO!$X$181))*(0.04)/(1-0.04)</f>
        <v>0</v>
      </c>
      <c r="AD181" s="97">
        <f ca="1">(SUBSIDIO!$J$181*SUBSIDIO!$Y$181)*(0.02)/(1-0.02)</f>
        <v>46.794310395819394</v>
      </c>
      <c r="AE181" s="97">
        <f>((SUBSIDIO!$L$181*SUBSIDIO!$Z$181)+(SUBSIDIO!$N$181*SUBSIDIO!$AA$181))*(0.02)/(1-0.02)</f>
        <v>0</v>
      </c>
      <c r="AF181" s="4" t="s">
        <v>727</v>
      </c>
    </row>
    <row r="182" spans="1:32" ht="11.25" customHeight="1" x14ac:dyDescent="0.25">
      <c r="A182" s="4" t="s">
        <v>21</v>
      </c>
      <c r="B182" s="4" t="s">
        <v>38</v>
      </c>
      <c r="C182" s="4" t="s">
        <v>40</v>
      </c>
      <c r="D182" s="4" t="s">
        <v>43</v>
      </c>
      <c r="E182" s="4" t="s">
        <v>51</v>
      </c>
      <c r="F182" s="4" t="s">
        <v>25</v>
      </c>
      <c r="G182" s="4" t="s">
        <v>25</v>
      </c>
      <c r="H182" s="4" t="s">
        <v>25</v>
      </c>
      <c r="I182" s="5">
        <v>44593</v>
      </c>
      <c r="J182" s="6">
        <v>3033</v>
      </c>
      <c r="K182" s="97">
        <v>3033</v>
      </c>
      <c r="L182" s="6">
        <v>0</v>
      </c>
      <c r="M182" s="97">
        <v>0</v>
      </c>
      <c r="N182" s="6">
        <v>0</v>
      </c>
      <c r="O182" s="97">
        <v>0</v>
      </c>
      <c r="P182" s="6">
        <v>8</v>
      </c>
      <c r="Q182" s="4" t="s">
        <v>26</v>
      </c>
      <c r="R182" s="4">
        <v>0</v>
      </c>
      <c r="S182" s="4">
        <v>18</v>
      </c>
      <c r="T182" s="4">
        <v>0</v>
      </c>
      <c r="U182" s="4">
        <v>0</v>
      </c>
      <c r="V182" s="97">
        <f>IF(ISERROR(VLOOKUP($S$182,'TAR FIN'!$A$1:$O$86,15,0)),0,VLOOKUP($S$182,'TAR FIN'!$A$1:$O$86,15,0))*(1-0.04)</f>
        <v>18.470399999999998</v>
      </c>
      <c r="W182" s="97">
        <f>IF(ISERROR(VLOOKUP($T$182,'TAR FIN'!$A$1:$O$86,15,0)),0,VLOOKUP($T$182,'TAR FIN'!$A$1:$O$86,15,0))</f>
        <v>0</v>
      </c>
      <c r="X182" s="97">
        <f>IF(ISERROR(VLOOKUP($U$182,'TAR FIN'!$A$1:$O$86,15,0)),0,VLOOKUP($U$182,'TAR FIN'!$A$1:$O$86,15,0))</f>
        <v>0</v>
      </c>
      <c r="Y182" s="97">
        <f ca="1">('TUSD BE'!$AM$11+'TUSD BF'!$AM$11+'TUSD CVA'!$AM$11)*1*(1-0.02)</f>
        <v>14.889098762306169</v>
      </c>
      <c r="Z182" s="97"/>
      <c r="AA182" s="97"/>
      <c r="AB182" s="97">
        <f>(SUBSIDIO!$J$182*SUBSIDIO!$V$182)*(0.04)/(1-0.04)</f>
        <v>2334.1968000000002</v>
      </c>
      <c r="AC182" s="97">
        <f>((SUBSIDIO!$L$182*SUBSIDIO!$W$182)+(SUBSIDIO!$N$182*SUBSIDIO!$X$182))*(0.04)/(1-0.04)</f>
        <v>0</v>
      </c>
      <c r="AD182" s="97">
        <f ca="1">(SUBSIDIO!$J$182*SUBSIDIO!$Y$182)*(0.02)/(1-0.02)</f>
        <v>921.60482747091044</v>
      </c>
      <c r="AE182" s="97">
        <f>((SUBSIDIO!$L$182*SUBSIDIO!$Z$182)+(SUBSIDIO!$N$182*SUBSIDIO!$AA$182))*(0.02)/(1-0.02)</f>
        <v>0</v>
      </c>
      <c r="AF182" s="4" t="s">
        <v>727</v>
      </c>
    </row>
    <row r="183" spans="1:32" ht="11.25" customHeight="1" x14ac:dyDescent="0.25">
      <c r="A183" s="4" t="s">
        <v>55</v>
      </c>
      <c r="B183" s="4" t="s">
        <v>38</v>
      </c>
      <c r="C183" s="4" t="s">
        <v>40</v>
      </c>
      <c r="D183" s="4" t="s">
        <v>43</v>
      </c>
      <c r="E183" s="4" t="s">
        <v>51</v>
      </c>
      <c r="F183" s="4" t="s">
        <v>25</v>
      </c>
      <c r="G183" s="4" t="s">
        <v>25</v>
      </c>
      <c r="H183" s="4" t="s">
        <v>25</v>
      </c>
      <c r="I183" s="5">
        <v>44593</v>
      </c>
      <c r="J183" s="6">
        <v>149</v>
      </c>
      <c r="K183" s="97">
        <v>149</v>
      </c>
      <c r="L183" s="6">
        <v>0</v>
      </c>
      <c r="M183" s="97">
        <v>0</v>
      </c>
      <c r="N183" s="6">
        <v>0</v>
      </c>
      <c r="O183" s="97">
        <v>0</v>
      </c>
      <c r="P183" s="6">
        <v>1</v>
      </c>
      <c r="Q183" s="4" t="s">
        <v>26</v>
      </c>
      <c r="R183" s="4">
        <v>0</v>
      </c>
      <c r="S183" s="4">
        <v>18</v>
      </c>
      <c r="T183" s="4">
        <v>0</v>
      </c>
      <c r="U183" s="4">
        <v>0</v>
      </c>
      <c r="V183" s="97">
        <f>IF(ISERROR(VLOOKUP($S$183,'TAR FIN'!$A$1:$O$86,15,0)),0,VLOOKUP($S$183,'TAR FIN'!$A$1:$O$86,15,0))*(1-0.04)</f>
        <v>18.470399999999998</v>
      </c>
      <c r="W183" s="97">
        <f>IF(ISERROR(VLOOKUP($T$183,'TAR FIN'!$A$1:$O$86,15,0)),0,VLOOKUP($T$183,'TAR FIN'!$A$1:$O$86,15,0))</f>
        <v>0</v>
      </c>
      <c r="X183" s="97">
        <f>IF(ISERROR(VLOOKUP($U$183,'TAR FIN'!$A$1:$O$86,15,0)),0,VLOOKUP($U$183,'TAR FIN'!$A$1:$O$86,15,0))</f>
        <v>0</v>
      </c>
      <c r="Y183" s="97">
        <f ca="1">('TUSD BE'!$AM$11+'TUSD BF'!$AM$11+'TUSD CVA'!$AM$11)*1*(1-0.02)</f>
        <v>14.889098762306169</v>
      </c>
      <c r="Z183" s="97"/>
      <c r="AA183" s="97"/>
      <c r="AB183" s="97">
        <f>(SUBSIDIO!$J$183*SUBSIDIO!$V$183)*(0.04)/(1-0.04)</f>
        <v>114.67039999999999</v>
      </c>
      <c r="AC183" s="97">
        <f>((SUBSIDIO!$L$183*SUBSIDIO!$W$183)+(SUBSIDIO!$N$183*SUBSIDIO!$X$183))*(0.04)/(1-0.04)</f>
        <v>0</v>
      </c>
      <c r="AD183" s="97">
        <f ca="1">(SUBSIDIO!$J$183*SUBSIDIO!$Y$183)*(0.02)/(1-0.02)</f>
        <v>45.27501460374733</v>
      </c>
      <c r="AE183" s="97">
        <f>((SUBSIDIO!$L$183*SUBSIDIO!$Z$183)+(SUBSIDIO!$N$183*SUBSIDIO!$AA$183))*(0.02)/(1-0.02)</f>
        <v>0</v>
      </c>
      <c r="AF183" s="4" t="s">
        <v>727</v>
      </c>
    </row>
    <row r="184" spans="1:32" ht="11.25" customHeight="1" x14ac:dyDescent="0.25">
      <c r="A184" s="4" t="s">
        <v>21</v>
      </c>
      <c r="B184" s="4" t="s">
        <v>38</v>
      </c>
      <c r="C184" s="4" t="s">
        <v>40</v>
      </c>
      <c r="D184" s="4" t="s">
        <v>43</v>
      </c>
      <c r="E184" s="4" t="s">
        <v>51</v>
      </c>
      <c r="F184" s="4" t="s">
        <v>25</v>
      </c>
      <c r="G184" s="4" t="s">
        <v>25</v>
      </c>
      <c r="H184" s="4" t="s">
        <v>25</v>
      </c>
      <c r="I184" s="5">
        <v>44621</v>
      </c>
      <c r="J184" s="6">
        <v>1042</v>
      </c>
      <c r="K184" s="97">
        <v>1042</v>
      </c>
      <c r="L184" s="6">
        <v>0</v>
      </c>
      <c r="M184" s="97">
        <v>0</v>
      </c>
      <c r="N184" s="6">
        <v>0</v>
      </c>
      <c r="O184" s="97">
        <v>0</v>
      </c>
      <c r="P184" s="6">
        <v>8</v>
      </c>
      <c r="Q184" s="4" t="s">
        <v>26</v>
      </c>
      <c r="R184" s="4">
        <v>0</v>
      </c>
      <c r="S184" s="4">
        <v>18</v>
      </c>
      <c r="T184" s="4">
        <v>0</v>
      </c>
      <c r="U184" s="4">
        <v>0</v>
      </c>
      <c r="V184" s="97">
        <f>IF(ISERROR(VLOOKUP($S$184,'TAR FIN'!$A$1:$O$86,15,0)),0,VLOOKUP($S$184,'TAR FIN'!$A$1:$O$86,15,0))*(1-0.04)</f>
        <v>18.470399999999998</v>
      </c>
      <c r="W184" s="97">
        <f>IF(ISERROR(VLOOKUP($T$184,'TAR FIN'!$A$1:$O$86,15,0)),0,VLOOKUP($T$184,'TAR FIN'!$A$1:$O$86,15,0))</f>
        <v>0</v>
      </c>
      <c r="X184" s="97">
        <f>IF(ISERROR(VLOOKUP($U$184,'TAR FIN'!$A$1:$O$86,15,0)),0,VLOOKUP($U$184,'TAR FIN'!$A$1:$O$86,15,0))</f>
        <v>0</v>
      </c>
      <c r="Y184" s="97">
        <f ca="1">('TUSD BE'!$AM$11+'TUSD BF'!$AM$11+'TUSD CVA'!$AM$11)*1*(1-0.02)</f>
        <v>14.889098762306169</v>
      </c>
      <c r="Z184" s="97"/>
      <c r="AA184" s="97"/>
      <c r="AB184" s="97">
        <f>(SUBSIDIO!$J$184*SUBSIDIO!$V$184)*(0.04)/(1-0.04)</f>
        <v>801.92319999999995</v>
      </c>
      <c r="AC184" s="97">
        <f>((SUBSIDIO!$L$184*SUBSIDIO!$W$184)+(SUBSIDIO!$N$184*SUBSIDIO!$X$184))*(0.04)/(1-0.04)</f>
        <v>0</v>
      </c>
      <c r="AD184" s="97">
        <f ca="1">(SUBSIDIO!$J$184*SUBSIDIO!$Y$184)*(0.02)/(1-0.02)</f>
        <v>316.62124306781692</v>
      </c>
      <c r="AE184" s="97">
        <f>((SUBSIDIO!$L$184*SUBSIDIO!$Z$184)+(SUBSIDIO!$N$184*SUBSIDIO!$AA$184))*(0.02)/(1-0.02)</f>
        <v>0</v>
      </c>
      <c r="AF184" s="4" t="s">
        <v>727</v>
      </c>
    </row>
    <row r="185" spans="1:32" ht="11.25" customHeight="1" x14ac:dyDescent="0.25">
      <c r="A185" s="4" t="s">
        <v>55</v>
      </c>
      <c r="B185" s="4" t="s">
        <v>38</v>
      </c>
      <c r="C185" s="4" t="s">
        <v>40</v>
      </c>
      <c r="D185" s="4" t="s">
        <v>43</v>
      </c>
      <c r="E185" s="4" t="s">
        <v>51</v>
      </c>
      <c r="F185" s="4" t="s">
        <v>25</v>
      </c>
      <c r="G185" s="4" t="s">
        <v>25</v>
      </c>
      <c r="H185" s="4" t="s">
        <v>25</v>
      </c>
      <c r="I185" s="5">
        <v>44621</v>
      </c>
      <c r="J185" s="6">
        <v>31</v>
      </c>
      <c r="K185" s="97">
        <v>31</v>
      </c>
      <c r="L185" s="6">
        <v>0</v>
      </c>
      <c r="M185" s="97">
        <v>0</v>
      </c>
      <c r="N185" s="6">
        <v>0</v>
      </c>
      <c r="O185" s="97">
        <v>0</v>
      </c>
      <c r="P185" s="6">
        <v>1</v>
      </c>
      <c r="Q185" s="4" t="s">
        <v>26</v>
      </c>
      <c r="R185" s="4">
        <v>0</v>
      </c>
      <c r="S185" s="4">
        <v>18</v>
      </c>
      <c r="T185" s="4">
        <v>0</v>
      </c>
      <c r="U185" s="4">
        <v>0</v>
      </c>
      <c r="V185" s="97">
        <f>IF(ISERROR(VLOOKUP($S$185,'TAR FIN'!$A$1:$O$86,15,0)),0,VLOOKUP($S$185,'TAR FIN'!$A$1:$O$86,15,0))*(1-0.04)</f>
        <v>18.470399999999998</v>
      </c>
      <c r="W185" s="97">
        <f>IF(ISERROR(VLOOKUP($T$185,'TAR FIN'!$A$1:$O$86,15,0)),0,VLOOKUP($T$185,'TAR FIN'!$A$1:$O$86,15,0))</f>
        <v>0</v>
      </c>
      <c r="X185" s="97">
        <f>IF(ISERROR(VLOOKUP($U$185,'TAR FIN'!$A$1:$O$86,15,0)),0,VLOOKUP($U$185,'TAR FIN'!$A$1:$O$86,15,0))</f>
        <v>0</v>
      </c>
      <c r="Y185" s="97">
        <f ca="1">('TUSD BE'!$AM$11+'TUSD BF'!$AM$11+'TUSD CVA'!$AM$11)*1*(1-0.02)</f>
        <v>14.889098762306169</v>
      </c>
      <c r="Z185" s="97"/>
      <c r="AA185" s="97"/>
      <c r="AB185" s="97">
        <f>(SUBSIDIO!$J$185*SUBSIDIO!$V$185)*(0.04)/(1-0.04)</f>
        <v>23.857599999999998</v>
      </c>
      <c r="AC185" s="97">
        <f>((SUBSIDIO!$L$185*SUBSIDIO!$W$185)+(SUBSIDIO!$N$185*SUBSIDIO!$X$185))*(0.04)/(1-0.04)</f>
        <v>0</v>
      </c>
      <c r="AD185" s="97">
        <f ca="1">(SUBSIDIO!$J$185*SUBSIDIO!$Y$185)*(0.02)/(1-0.02)</f>
        <v>9.4196339108467608</v>
      </c>
      <c r="AE185" s="97">
        <f>((SUBSIDIO!$L$185*SUBSIDIO!$Z$185)+(SUBSIDIO!$N$185*SUBSIDIO!$AA$185))*(0.02)/(1-0.02)</f>
        <v>0</v>
      </c>
      <c r="AF185" s="4" t="s">
        <v>727</v>
      </c>
    </row>
    <row r="186" spans="1:32" ht="11.25" customHeight="1" x14ac:dyDescent="0.25">
      <c r="A186" s="4" t="s">
        <v>21</v>
      </c>
      <c r="B186" s="4" t="s">
        <v>38</v>
      </c>
      <c r="C186" s="4" t="s">
        <v>40</v>
      </c>
      <c r="D186" s="4" t="s">
        <v>43</v>
      </c>
      <c r="E186" s="4" t="s">
        <v>51</v>
      </c>
      <c r="F186" s="4" t="s">
        <v>25</v>
      </c>
      <c r="G186" s="4" t="s">
        <v>25</v>
      </c>
      <c r="H186" s="4" t="s">
        <v>25</v>
      </c>
      <c r="I186" s="5">
        <v>44652</v>
      </c>
      <c r="J186" s="6">
        <v>443</v>
      </c>
      <c r="K186" s="97">
        <v>443</v>
      </c>
      <c r="L186" s="6">
        <v>0</v>
      </c>
      <c r="M186" s="97">
        <v>0</v>
      </c>
      <c r="N186" s="6">
        <v>0</v>
      </c>
      <c r="O186" s="97">
        <v>0</v>
      </c>
      <c r="P186" s="6">
        <v>8</v>
      </c>
      <c r="Q186" s="4" t="s">
        <v>26</v>
      </c>
      <c r="R186" s="4">
        <v>0</v>
      </c>
      <c r="S186" s="4">
        <v>18</v>
      </c>
      <c r="T186" s="4">
        <v>0</v>
      </c>
      <c r="U186" s="4">
        <v>0</v>
      </c>
      <c r="V186" s="97">
        <f>IF(ISERROR(VLOOKUP($S$186,'TAR FIN'!$A$1:$O$86,15,0)),0,VLOOKUP($S$186,'TAR FIN'!$A$1:$O$86,15,0))*(1-0.04)</f>
        <v>18.470399999999998</v>
      </c>
      <c r="W186" s="97">
        <f>IF(ISERROR(VLOOKUP($T$186,'TAR FIN'!$A$1:$O$86,15,0)),0,VLOOKUP($T$186,'TAR FIN'!$A$1:$O$86,15,0))</f>
        <v>0</v>
      </c>
      <c r="X186" s="97">
        <f>IF(ISERROR(VLOOKUP($U$186,'TAR FIN'!$A$1:$O$86,15,0)),0,VLOOKUP($U$186,'TAR FIN'!$A$1:$O$86,15,0))</f>
        <v>0</v>
      </c>
      <c r="Y186" s="97">
        <f ca="1">('TUSD BE'!$AM$11+'TUSD BF'!$AM$11+'TUSD CVA'!$AM$11)*1*(1-0.02)</f>
        <v>14.889098762306169</v>
      </c>
      <c r="Z186" s="97"/>
      <c r="AA186" s="97"/>
      <c r="AB186" s="97">
        <f>(SUBSIDIO!$J$186*SUBSIDIO!$V$186)*(0.04)/(1-0.04)</f>
        <v>340.93279999999999</v>
      </c>
      <c r="AC186" s="97">
        <f>((SUBSIDIO!$L$186*SUBSIDIO!$W$186)+(SUBSIDIO!$N$186*SUBSIDIO!$X$186))*(0.04)/(1-0.04)</f>
        <v>0</v>
      </c>
      <c r="AD186" s="97">
        <f ca="1">(SUBSIDIO!$J$186*SUBSIDIO!$Y$186)*(0.02)/(1-0.02)</f>
        <v>134.60960717758437</v>
      </c>
      <c r="AE186" s="97">
        <f>((SUBSIDIO!$L$186*SUBSIDIO!$Z$186)+(SUBSIDIO!$N$186*SUBSIDIO!$AA$186))*(0.02)/(1-0.02)</f>
        <v>0</v>
      </c>
      <c r="AF186" s="4" t="s">
        <v>727</v>
      </c>
    </row>
    <row r="187" spans="1:32" ht="11.25" customHeight="1" x14ac:dyDescent="0.25">
      <c r="A187" s="4" t="s">
        <v>55</v>
      </c>
      <c r="B187" s="4" t="s">
        <v>38</v>
      </c>
      <c r="C187" s="4" t="s">
        <v>40</v>
      </c>
      <c r="D187" s="4" t="s">
        <v>43</v>
      </c>
      <c r="E187" s="4" t="s">
        <v>51</v>
      </c>
      <c r="F187" s="4" t="s">
        <v>25</v>
      </c>
      <c r="G187" s="4" t="s">
        <v>25</v>
      </c>
      <c r="H187" s="4" t="s">
        <v>25</v>
      </c>
      <c r="I187" s="5">
        <v>44652</v>
      </c>
      <c r="J187" s="6">
        <v>30</v>
      </c>
      <c r="K187" s="97">
        <v>30</v>
      </c>
      <c r="L187" s="6">
        <v>0</v>
      </c>
      <c r="M187" s="97">
        <v>0</v>
      </c>
      <c r="N187" s="6">
        <v>0</v>
      </c>
      <c r="O187" s="97">
        <v>0</v>
      </c>
      <c r="P187" s="6">
        <v>1</v>
      </c>
      <c r="Q187" s="4" t="s">
        <v>26</v>
      </c>
      <c r="R187" s="4">
        <v>0</v>
      </c>
      <c r="S187" s="4">
        <v>18</v>
      </c>
      <c r="T187" s="4">
        <v>0</v>
      </c>
      <c r="U187" s="4">
        <v>0</v>
      </c>
      <c r="V187" s="97">
        <f>IF(ISERROR(VLOOKUP($S$187,'TAR FIN'!$A$1:$O$86,15,0)),0,VLOOKUP($S$187,'TAR FIN'!$A$1:$O$86,15,0))*(1-0.04)</f>
        <v>18.470399999999998</v>
      </c>
      <c r="W187" s="97">
        <f>IF(ISERROR(VLOOKUP($T$187,'TAR FIN'!$A$1:$O$86,15,0)),0,VLOOKUP($T$187,'TAR FIN'!$A$1:$O$86,15,0))</f>
        <v>0</v>
      </c>
      <c r="X187" s="97">
        <f>IF(ISERROR(VLOOKUP($U$187,'TAR FIN'!$A$1:$O$86,15,0)),0,VLOOKUP($U$187,'TAR FIN'!$A$1:$O$86,15,0))</f>
        <v>0</v>
      </c>
      <c r="Y187" s="97">
        <f ca="1">('TUSD BE'!$AM$11+'TUSD BF'!$AM$11+'TUSD CVA'!$AM$11)*1*(1-0.02)</f>
        <v>14.889098762306169</v>
      </c>
      <c r="Z187" s="97"/>
      <c r="AA187" s="97"/>
      <c r="AB187" s="97">
        <f>(SUBSIDIO!$J$187*SUBSIDIO!$V$187)*(0.04)/(1-0.04)</f>
        <v>23.087999999999997</v>
      </c>
      <c r="AC187" s="97">
        <f>((SUBSIDIO!$L$187*SUBSIDIO!$W$187)+(SUBSIDIO!$N$187*SUBSIDIO!$X$187))*(0.04)/(1-0.04)</f>
        <v>0</v>
      </c>
      <c r="AD187" s="97">
        <f ca="1">(SUBSIDIO!$J$187*SUBSIDIO!$Y$187)*(0.02)/(1-0.02)</f>
        <v>9.1157747524323476</v>
      </c>
      <c r="AE187" s="97">
        <f>((SUBSIDIO!$L$187*SUBSIDIO!$Z$187)+(SUBSIDIO!$N$187*SUBSIDIO!$AA$187))*(0.02)/(1-0.02)</f>
        <v>0</v>
      </c>
      <c r="AF187" s="4" t="s">
        <v>727</v>
      </c>
    </row>
    <row r="188" spans="1:32" ht="11.25" customHeight="1" x14ac:dyDescent="0.25">
      <c r="A188" s="4" t="s">
        <v>21</v>
      </c>
      <c r="B188" s="4" t="s">
        <v>38</v>
      </c>
      <c r="C188" s="4" t="s">
        <v>40</v>
      </c>
      <c r="D188" s="4" t="s">
        <v>43</v>
      </c>
      <c r="E188" s="4" t="s">
        <v>51</v>
      </c>
      <c r="F188" s="4" t="s">
        <v>25</v>
      </c>
      <c r="G188" s="4" t="s">
        <v>25</v>
      </c>
      <c r="H188" s="4" t="s">
        <v>25</v>
      </c>
      <c r="I188" s="5">
        <v>44682</v>
      </c>
      <c r="J188" s="6">
        <v>642</v>
      </c>
      <c r="K188" s="97">
        <v>642</v>
      </c>
      <c r="L188" s="6">
        <v>0</v>
      </c>
      <c r="M188" s="97">
        <v>0</v>
      </c>
      <c r="N188" s="6">
        <v>0</v>
      </c>
      <c r="O188" s="97">
        <v>0</v>
      </c>
      <c r="P188" s="6">
        <v>8</v>
      </c>
      <c r="Q188" s="4" t="s">
        <v>26</v>
      </c>
      <c r="R188" s="4">
        <v>0</v>
      </c>
      <c r="S188" s="4">
        <v>18</v>
      </c>
      <c r="T188" s="4">
        <v>0</v>
      </c>
      <c r="U188" s="4">
        <v>0</v>
      </c>
      <c r="V188" s="97">
        <f>IF(ISERROR(VLOOKUP($S$188,'TAR FIN'!$A$1:$O$86,15,0)),0,VLOOKUP($S$188,'TAR FIN'!$A$1:$O$86,15,0))*(1-0.04)</f>
        <v>18.470399999999998</v>
      </c>
      <c r="W188" s="97">
        <f>IF(ISERROR(VLOOKUP($T$188,'TAR FIN'!$A$1:$O$86,15,0)),0,VLOOKUP($T$188,'TAR FIN'!$A$1:$O$86,15,0))</f>
        <v>0</v>
      </c>
      <c r="X188" s="97">
        <f>IF(ISERROR(VLOOKUP($U$188,'TAR FIN'!$A$1:$O$86,15,0)),0,VLOOKUP($U$188,'TAR FIN'!$A$1:$O$86,15,0))</f>
        <v>0</v>
      </c>
      <c r="Y188" s="97">
        <f ca="1">('TUSD BE'!$AM$11+'TUSD BF'!$AM$11+'TUSD CVA'!$AM$11)*1*(1-0.02)</f>
        <v>14.889098762306169</v>
      </c>
      <c r="Z188" s="97"/>
      <c r="AA188" s="97"/>
      <c r="AB188" s="97">
        <f>(SUBSIDIO!$J$188*SUBSIDIO!$V$188)*(0.04)/(1-0.04)</f>
        <v>494.08319999999998</v>
      </c>
      <c r="AC188" s="97">
        <f>((SUBSIDIO!$L$188*SUBSIDIO!$W$188)+(SUBSIDIO!$N$188*SUBSIDIO!$X$188))*(0.04)/(1-0.04)</f>
        <v>0</v>
      </c>
      <c r="AD188" s="97">
        <f ca="1">(SUBSIDIO!$J$188*SUBSIDIO!$Y$188)*(0.02)/(1-0.02)</f>
        <v>195.07757970205225</v>
      </c>
      <c r="AE188" s="97">
        <f>((SUBSIDIO!$L$188*SUBSIDIO!$Z$188)+(SUBSIDIO!$N$188*SUBSIDIO!$AA$188))*(0.02)/(1-0.02)</f>
        <v>0</v>
      </c>
      <c r="AF188" s="4" t="s">
        <v>727</v>
      </c>
    </row>
    <row r="189" spans="1:32" ht="11.25" customHeight="1" x14ac:dyDescent="0.25">
      <c r="A189" s="4" t="s">
        <v>55</v>
      </c>
      <c r="B189" s="4" t="s">
        <v>38</v>
      </c>
      <c r="C189" s="4" t="s">
        <v>40</v>
      </c>
      <c r="D189" s="4" t="s">
        <v>43</v>
      </c>
      <c r="E189" s="4" t="s">
        <v>51</v>
      </c>
      <c r="F189" s="4" t="s">
        <v>25</v>
      </c>
      <c r="G189" s="4" t="s">
        <v>25</v>
      </c>
      <c r="H189" s="4" t="s">
        <v>25</v>
      </c>
      <c r="I189" s="5">
        <v>44682</v>
      </c>
      <c r="J189" s="6">
        <v>26</v>
      </c>
      <c r="K189" s="97">
        <v>26</v>
      </c>
      <c r="L189" s="6">
        <v>0</v>
      </c>
      <c r="M189" s="97">
        <v>0</v>
      </c>
      <c r="N189" s="6">
        <v>0</v>
      </c>
      <c r="O189" s="97">
        <v>0</v>
      </c>
      <c r="P189" s="6">
        <v>1</v>
      </c>
      <c r="Q189" s="4" t="s">
        <v>26</v>
      </c>
      <c r="R189" s="4">
        <v>0</v>
      </c>
      <c r="S189" s="4">
        <v>18</v>
      </c>
      <c r="T189" s="4">
        <v>0</v>
      </c>
      <c r="U189" s="4">
        <v>0</v>
      </c>
      <c r="V189" s="97">
        <f>IF(ISERROR(VLOOKUP($S$189,'TAR FIN'!$A$1:$O$86,15,0)),0,VLOOKUP($S$189,'TAR FIN'!$A$1:$O$86,15,0))*(1-0.04)</f>
        <v>18.470399999999998</v>
      </c>
      <c r="W189" s="97">
        <f>IF(ISERROR(VLOOKUP($T$189,'TAR FIN'!$A$1:$O$86,15,0)),0,VLOOKUP($T$189,'TAR FIN'!$A$1:$O$86,15,0))</f>
        <v>0</v>
      </c>
      <c r="X189" s="97">
        <f>IF(ISERROR(VLOOKUP($U$189,'TAR FIN'!$A$1:$O$86,15,0)),0,VLOOKUP($U$189,'TAR FIN'!$A$1:$O$86,15,0))</f>
        <v>0</v>
      </c>
      <c r="Y189" s="97">
        <f ca="1">('TUSD BE'!$AM$11+'TUSD BF'!$AM$11+'TUSD CVA'!$AM$11)*1*(1-0.02)</f>
        <v>14.889098762306169</v>
      </c>
      <c r="Z189" s="97"/>
      <c r="AA189" s="97"/>
      <c r="AB189" s="97">
        <f>(SUBSIDIO!$J$189*SUBSIDIO!$V$189)*(0.04)/(1-0.04)</f>
        <v>20.009599999999999</v>
      </c>
      <c r="AC189" s="97">
        <f>((SUBSIDIO!$L$189*SUBSIDIO!$W$189)+(SUBSIDIO!$N$189*SUBSIDIO!$X$189))*(0.04)/(1-0.04)</f>
        <v>0</v>
      </c>
      <c r="AD189" s="97">
        <f ca="1">(SUBSIDIO!$J$189*SUBSIDIO!$Y$189)*(0.02)/(1-0.02)</f>
        <v>7.9003381187747026</v>
      </c>
      <c r="AE189" s="97">
        <f>((SUBSIDIO!$L$189*SUBSIDIO!$Z$189)+(SUBSIDIO!$N$189*SUBSIDIO!$AA$189))*(0.02)/(1-0.02)</f>
        <v>0</v>
      </c>
      <c r="AF189" s="4" t="s">
        <v>727</v>
      </c>
    </row>
    <row r="190" spans="1:32" ht="11.25" customHeight="1" x14ac:dyDescent="0.25">
      <c r="A190" s="4" t="s">
        <v>56</v>
      </c>
      <c r="B190" s="4" t="s">
        <v>38</v>
      </c>
      <c r="C190" s="4" t="s">
        <v>40</v>
      </c>
      <c r="D190" s="4" t="s">
        <v>43</v>
      </c>
      <c r="E190" s="4" t="s">
        <v>51</v>
      </c>
      <c r="F190" s="4" t="s">
        <v>25</v>
      </c>
      <c r="G190" s="4" t="s">
        <v>25</v>
      </c>
      <c r="H190" s="4" t="s">
        <v>25</v>
      </c>
      <c r="I190" s="5">
        <v>44713</v>
      </c>
      <c r="J190" s="6">
        <v>642</v>
      </c>
      <c r="K190" s="97">
        <v>642</v>
      </c>
      <c r="L190" s="6">
        <v>0</v>
      </c>
      <c r="M190" s="97">
        <v>0</v>
      </c>
      <c r="N190" s="6">
        <v>0</v>
      </c>
      <c r="O190" s="97">
        <v>0</v>
      </c>
      <c r="P190" s="6">
        <v>8</v>
      </c>
      <c r="Q190" s="4" t="s">
        <v>26</v>
      </c>
      <c r="R190" s="4">
        <v>0</v>
      </c>
      <c r="S190" s="4">
        <v>18</v>
      </c>
      <c r="T190" s="4">
        <v>0</v>
      </c>
      <c r="U190" s="4">
        <v>0</v>
      </c>
      <c r="V190" s="97">
        <f>IF(ISERROR(VLOOKUP($S$190,'TAR FIN'!$A$1:$O$86,15,0)),0,VLOOKUP($S$190,'TAR FIN'!$A$1:$O$86,15,0))*(1-0.04)</f>
        <v>18.470399999999998</v>
      </c>
      <c r="W190" s="97">
        <f>IF(ISERROR(VLOOKUP($T$190,'TAR FIN'!$A$1:$O$86,15,0)),0,VLOOKUP($T$190,'TAR FIN'!$A$1:$O$86,15,0))</f>
        <v>0</v>
      </c>
      <c r="X190" s="97">
        <f>IF(ISERROR(VLOOKUP($U$190,'TAR FIN'!$A$1:$O$86,15,0)),0,VLOOKUP($U$190,'TAR FIN'!$A$1:$O$86,15,0))</f>
        <v>0</v>
      </c>
      <c r="Y190" s="97">
        <f ca="1">('TUSD BE'!$AM$11+'TUSD BF'!$AM$11+'TUSD CVA'!$AM$11)*1*(1-0.02)</f>
        <v>14.889098762306169</v>
      </c>
      <c r="Z190" s="97"/>
      <c r="AA190" s="97"/>
      <c r="AB190" s="97">
        <f>(SUBSIDIO!$J$190*SUBSIDIO!$V$190)*(0.04)/(1-0.04)</f>
        <v>494.08319999999998</v>
      </c>
      <c r="AC190" s="97">
        <f>((SUBSIDIO!$L$190*SUBSIDIO!$W$190)+(SUBSIDIO!$N$190*SUBSIDIO!$X$190))*(0.04)/(1-0.04)</f>
        <v>0</v>
      </c>
      <c r="AD190" s="97">
        <f ca="1">(SUBSIDIO!$J$190*SUBSIDIO!$Y$190)*(0.02)/(1-0.02)</f>
        <v>195.07757970205225</v>
      </c>
      <c r="AE190" s="97">
        <f>((SUBSIDIO!$L$190*SUBSIDIO!$Z$190)+(SUBSIDIO!$N$190*SUBSIDIO!$AA$190))*(0.02)/(1-0.02)</f>
        <v>0</v>
      </c>
      <c r="AF190" s="4" t="s">
        <v>727</v>
      </c>
    </row>
    <row r="191" spans="1:32" ht="11.25" customHeight="1" x14ac:dyDescent="0.25">
      <c r="A191" s="4" t="s">
        <v>56</v>
      </c>
      <c r="B191" s="4" t="s">
        <v>38</v>
      </c>
      <c r="C191" s="4" t="s">
        <v>40</v>
      </c>
      <c r="D191" s="4" t="s">
        <v>43</v>
      </c>
      <c r="E191" s="4" t="s">
        <v>51</v>
      </c>
      <c r="F191" s="4" t="s">
        <v>25</v>
      </c>
      <c r="G191" s="4" t="s">
        <v>25</v>
      </c>
      <c r="H191" s="4" t="s">
        <v>25</v>
      </c>
      <c r="I191" s="5">
        <v>44713</v>
      </c>
      <c r="J191" s="6">
        <v>26</v>
      </c>
      <c r="K191" s="97">
        <v>26</v>
      </c>
      <c r="L191" s="6">
        <v>0</v>
      </c>
      <c r="M191" s="97">
        <v>0</v>
      </c>
      <c r="N191" s="6">
        <v>0</v>
      </c>
      <c r="O191" s="97">
        <v>0</v>
      </c>
      <c r="P191" s="6">
        <v>1</v>
      </c>
      <c r="Q191" s="4" t="s">
        <v>26</v>
      </c>
      <c r="R191" s="4">
        <v>0</v>
      </c>
      <c r="S191" s="4">
        <v>18</v>
      </c>
      <c r="T191" s="4">
        <v>0</v>
      </c>
      <c r="U191" s="4">
        <v>0</v>
      </c>
      <c r="V191" s="97">
        <f>IF(ISERROR(VLOOKUP($S$191,'TAR FIN'!$A$1:$O$86,15,0)),0,VLOOKUP($S$191,'TAR FIN'!$A$1:$O$86,15,0))*(1-0.04)</f>
        <v>18.470399999999998</v>
      </c>
      <c r="W191" s="97">
        <f>IF(ISERROR(VLOOKUP($T$191,'TAR FIN'!$A$1:$O$86,15,0)),0,VLOOKUP($T$191,'TAR FIN'!$A$1:$O$86,15,0))</f>
        <v>0</v>
      </c>
      <c r="X191" s="97">
        <f>IF(ISERROR(VLOOKUP($U$191,'TAR FIN'!$A$1:$O$86,15,0)),0,VLOOKUP($U$191,'TAR FIN'!$A$1:$O$86,15,0))</f>
        <v>0</v>
      </c>
      <c r="Y191" s="97">
        <f ca="1">('TUSD BE'!$AM$11+'TUSD BF'!$AM$11+'TUSD CVA'!$AM$11)*1*(1-0.02)</f>
        <v>14.889098762306169</v>
      </c>
      <c r="Z191" s="97"/>
      <c r="AA191" s="97"/>
      <c r="AB191" s="97">
        <f>(SUBSIDIO!$J$191*SUBSIDIO!$V$191)*(0.04)/(1-0.04)</f>
        <v>20.009599999999999</v>
      </c>
      <c r="AC191" s="97">
        <f>((SUBSIDIO!$L$191*SUBSIDIO!$W$191)+(SUBSIDIO!$N$191*SUBSIDIO!$X$191))*(0.04)/(1-0.04)</f>
        <v>0</v>
      </c>
      <c r="AD191" s="97">
        <f ca="1">(SUBSIDIO!$J$191*SUBSIDIO!$Y$191)*(0.02)/(1-0.02)</f>
        <v>7.9003381187747026</v>
      </c>
      <c r="AE191" s="97">
        <f>((SUBSIDIO!$L$191*SUBSIDIO!$Z$191)+(SUBSIDIO!$N$191*SUBSIDIO!$AA$191))*(0.02)/(1-0.02)</f>
        <v>0</v>
      </c>
      <c r="AF191" s="4" t="s">
        <v>727</v>
      </c>
    </row>
    <row r="192" spans="1:32" ht="11.25" customHeight="1" x14ac:dyDescent="0.25">
      <c r="A192" s="4" t="s">
        <v>21</v>
      </c>
      <c r="B192" s="4" t="s">
        <v>38</v>
      </c>
      <c r="C192" s="4" t="s">
        <v>40</v>
      </c>
      <c r="D192" s="4" t="s">
        <v>43</v>
      </c>
      <c r="E192" s="4" t="s">
        <v>51</v>
      </c>
      <c r="F192" s="4" t="s">
        <v>25</v>
      </c>
      <c r="G192" s="4" t="s">
        <v>25</v>
      </c>
      <c r="H192" s="4" t="s">
        <v>33</v>
      </c>
      <c r="I192" s="5">
        <v>44378</v>
      </c>
      <c r="J192" s="6">
        <v>0</v>
      </c>
      <c r="K192" s="97">
        <v>0</v>
      </c>
      <c r="L192" s="6">
        <v>1.4430000000000001</v>
      </c>
      <c r="M192" s="97">
        <v>1.4430000000000001</v>
      </c>
      <c r="N192" s="6">
        <v>1.4430000000000001</v>
      </c>
      <c r="O192" s="97">
        <v>1.4430000000000001</v>
      </c>
      <c r="P192" s="6">
        <v>0</v>
      </c>
      <c r="Q192" s="4" t="s">
        <v>26</v>
      </c>
      <c r="R192" s="4">
        <v>0</v>
      </c>
      <c r="S192" s="4">
        <v>0</v>
      </c>
      <c r="T192" s="4">
        <v>16</v>
      </c>
      <c r="U192" s="4">
        <v>47</v>
      </c>
      <c r="V192" s="97">
        <f>IF(ISERROR(VLOOKUP($S$192,'TAR FIN'!$A$1:$O$86,15,0)),0,VLOOKUP($S$192,'TAR FIN'!$A$1:$O$86,15,0))</f>
        <v>0</v>
      </c>
      <c r="W192" s="97">
        <f>IF(ISERROR(VLOOKUP($T$192,'TAR FIN'!$A$1:$O$86,15,0)),0,VLOOKUP($T$192,'TAR FIN'!$A$1:$O$86,15,0))*(1-0.04)</f>
        <v>1276.4832000000001</v>
      </c>
      <c r="X192" s="97">
        <f>IF(ISERROR(VLOOKUP($U$192,'TAR FIN'!$A$1:$O$86,15,0)),0,VLOOKUP($U$192,'TAR FIN'!$A$1:$O$86,15,0))*(1-0.04)</f>
        <v>373.64159999999998</v>
      </c>
      <c r="Y192" s="97"/>
      <c r="Z192" s="97">
        <f ca="1">('TUSD BE'!$AM$12+'TUSD BF'!$AM$12+'TUSD CVA'!$AM$12)*1*(1-0.02)</f>
        <v>1052.8740579870318</v>
      </c>
      <c r="AA192" s="97">
        <f>('TE BE'!$AB$5+'TE BF'!$AB$5+'TE CVA'!$AB$5)*1*(1-0.02)</f>
        <v>346.47998010024565</v>
      </c>
      <c r="AB192" s="97">
        <f>(SUBSIDIO!$J$192*SUBSIDIO!$V$192)*(0.04)/(1-0.04)</f>
        <v>0</v>
      </c>
      <c r="AC192" s="97">
        <f>((SUBSIDIO!$L$192*SUBSIDIO!$W$192)+(SUBSIDIO!$N$192*SUBSIDIO!$X$192))*(0.04)/(1-0.04)</f>
        <v>99.213753600000018</v>
      </c>
      <c r="AD192" s="97">
        <f>(SUBSIDIO!$J$192*SUBSIDIO!$Y$192)*(0.02)/(1-0.02)</f>
        <v>0</v>
      </c>
      <c r="AE192" s="97">
        <f ca="1">((SUBSIDIO!$L$192*SUBSIDIO!$Z$192)+(SUBSIDIO!$N$192*SUBSIDIO!$AA$192))*(0.02)/(1-0.02)</f>
        <v>41.209548509386558</v>
      </c>
      <c r="AF192" s="4" t="s">
        <v>727</v>
      </c>
    </row>
    <row r="193" spans="1:32" ht="11.25" customHeight="1" x14ac:dyDescent="0.25">
      <c r="A193" s="4" t="s">
        <v>21</v>
      </c>
      <c r="B193" s="4" t="s">
        <v>38</v>
      </c>
      <c r="C193" s="4" t="s">
        <v>40</v>
      </c>
      <c r="D193" s="4" t="s">
        <v>43</v>
      </c>
      <c r="E193" s="4" t="s">
        <v>51</v>
      </c>
      <c r="F193" s="4" t="s">
        <v>25</v>
      </c>
      <c r="G193" s="4" t="s">
        <v>25</v>
      </c>
      <c r="H193" s="4" t="s">
        <v>33</v>
      </c>
      <c r="I193" s="5">
        <v>44409</v>
      </c>
      <c r="J193" s="6">
        <v>0</v>
      </c>
      <c r="K193" s="97">
        <v>0</v>
      </c>
      <c r="L193" s="6">
        <v>1.7410000000000001</v>
      </c>
      <c r="M193" s="97">
        <v>1.7410000000000001</v>
      </c>
      <c r="N193" s="6">
        <v>1.7410000000000001</v>
      </c>
      <c r="O193" s="97">
        <v>1.7410000000000001</v>
      </c>
      <c r="P193" s="6">
        <v>0</v>
      </c>
      <c r="Q193" s="4" t="s">
        <v>26</v>
      </c>
      <c r="R193" s="4">
        <v>0</v>
      </c>
      <c r="S193" s="4">
        <v>0</v>
      </c>
      <c r="T193" s="4">
        <v>16</v>
      </c>
      <c r="U193" s="4">
        <v>47</v>
      </c>
      <c r="V193" s="97">
        <f>IF(ISERROR(VLOOKUP($S$193,'TAR FIN'!$A$1:$O$86,15,0)),0,VLOOKUP($S$193,'TAR FIN'!$A$1:$O$86,15,0))</f>
        <v>0</v>
      </c>
      <c r="W193" s="97">
        <f>IF(ISERROR(VLOOKUP($T$193,'TAR FIN'!$A$1:$O$86,15,0)),0,VLOOKUP($T$193,'TAR FIN'!$A$1:$O$86,15,0))*(1-0.04)</f>
        <v>1276.4832000000001</v>
      </c>
      <c r="X193" s="97">
        <f>IF(ISERROR(VLOOKUP($U$193,'TAR FIN'!$A$1:$O$86,15,0)),0,VLOOKUP($U$193,'TAR FIN'!$A$1:$O$86,15,0))*(1-0.04)</f>
        <v>373.64159999999998</v>
      </c>
      <c r="Y193" s="97"/>
      <c r="Z193" s="97">
        <f ca="1">('TUSD BE'!$AM$12+'TUSD BF'!$AM$12+'TUSD CVA'!$AM$12)*1*(1-0.02)</f>
        <v>1052.8740579870318</v>
      </c>
      <c r="AA193" s="97">
        <f>('TE BE'!$AB$5+'TE BF'!$AB$5+'TE CVA'!$AB$5)*1*(1-0.02)</f>
        <v>346.47998010024565</v>
      </c>
      <c r="AB193" s="97">
        <f>(SUBSIDIO!$J$193*SUBSIDIO!$V$193)*(0.04)/(1-0.04)</f>
        <v>0</v>
      </c>
      <c r="AC193" s="97">
        <f>((SUBSIDIO!$L$193*SUBSIDIO!$W$193)+(SUBSIDIO!$N$193*SUBSIDIO!$X$193))*(0.04)/(1-0.04)</f>
        <v>119.70280320000003</v>
      </c>
      <c r="AD193" s="97">
        <f>(SUBSIDIO!$J$193*SUBSIDIO!$Y$193)*(0.02)/(1-0.02)</f>
        <v>0</v>
      </c>
      <c r="AE193" s="97">
        <f ca="1">((SUBSIDIO!$L$193*SUBSIDIO!$Z$193)+(SUBSIDIO!$N$193*SUBSIDIO!$AA$193))*(0.02)/(1-0.02)</f>
        <v>49.719905720611237</v>
      </c>
      <c r="AF193" s="4" t="s">
        <v>727</v>
      </c>
    </row>
    <row r="194" spans="1:32" ht="11.25" customHeight="1" x14ac:dyDescent="0.25">
      <c r="A194" s="4" t="s">
        <v>55</v>
      </c>
      <c r="B194" s="4" t="s">
        <v>38</v>
      </c>
      <c r="C194" s="4" t="s">
        <v>40</v>
      </c>
      <c r="D194" s="4" t="s">
        <v>43</v>
      </c>
      <c r="E194" s="4" t="s">
        <v>51</v>
      </c>
      <c r="F194" s="4" t="s">
        <v>25</v>
      </c>
      <c r="G194" s="4" t="s">
        <v>25</v>
      </c>
      <c r="H194" s="4" t="s">
        <v>33</v>
      </c>
      <c r="I194" s="5">
        <v>44409</v>
      </c>
      <c r="J194" s="6">
        <v>0</v>
      </c>
      <c r="K194" s="97">
        <v>0</v>
      </c>
      <c r="L194" s="6">
        <v>7.6999999999999999E-2</v>
      </c>
      <c r="M194" s="97">
        <v>7.6999999999999999E-2</v>
      </c>
      <c r="N194" s="6">
        <v>7.6999999999999999E-2</v>
      </c>
      <c r="O194" s="97">
        <v>7.6999999999999999E-2</v>
      </c>
      <c r="P194" s="6">
        <v>0</v>
      </c>
      <c r="Q194" s="4" t="s">
        <v>26</v>
      </c>
      <c r="R194" s="4">
        <v>0</v>
      </c>
      <c r="S194" s="4">
        <v>0</v>
      </c>
      <c r="T194" s="4">
        <v>16</v>
      </c>
      <c r="U194" s="4">
        <v>47</v>
      </c>
      <c r="V194" s="97">
        <f>IF(ISERROR(VLOOKUP($S$194,'TAR FIN'!$A$1:$O$86,15,0)),0,VLOOKUP($S$194,'TAR FIN'!$A$1:$O$86,15,0))</f>
        <v>0</v>
      </c>
      <c r="W194" s="97">
        <f>IF(ISERROR(VLOOKUP($T$194,'TAR FIN'!$A$1:$O$86,15,0)),0,VLOOKUP($T$194,'TAR FIN'!$A$1:$O$86,15,0))*(1-0.04)</f>
        <v>1276.4832000000001</v>
      </c>
      <c r="X194" s="97">
        <f>IF(ISERROR(VLOOKUP($U$194,'TAR FIN'!$A$1:$O$86,15,0)),0,VLOOKUP($U$194,'TAR FIN'!$A$1:$O$86,15,0))*(1-0.04)</f>
        <v>373.64159999999998</v>
      </c>
      <c r="Y194" s="97"/>
      <c r="Z194" s="97">
        <f ca="1">('TUSD BE'!$AM$12+'TUSD BF'!$AM$12+'TUSD CVA'!$AM$12)*1*(1-0.02)</f>
        <v>1052.8740579870318</v>
      </c>
      <c r="AA194" s="97">
        <f>('TE BE'!$AB$5+'TE BF'!$AB$5+'TE CVA'!$AB$5)*1*(1-0.02)</f>
        <v>346.47998010024565</v>
      </c>
      <c r="AB194" s="97">
        <f>(SUBSIDIO!$J$194*SUBSIDIO!$V$194)*(0.04)/(1-0.04)</f>
        <v>0</v>
      </c>
      <c r="AC194" s="97">
        <f>((SUBSIDIO!$L$194*SUBSIDIO!$W$194)+(SUBSIDIO!$N$194*SUBSIDIO!$X$194))*(0.04)/(1-0.04)</f>
        <v>5.2941504000000013</v>
      </c>
      <c r="AD194" s="97">
        <f>(SUBSIDIO!$J$194*SUBSIDIO!$Y$194)*(0.02)/(1-0.02)</f>
        <v>0</v>
      </c>
      <c r="AE194" s="97">
        <f ca="1">((SUBSIDIO!$L$194*SUBSIDIO!$Z$194)+(SUBSIDIO!$N$194*SUBSIDIO!$AA$194))*(0.02)/(1-0.02)</f>
        <v>2.1989849169942932</v>
      </c>
      <c r="AF194" s="4" t="s">
        <v>727</v>
      </c>
    </row>
    <row r="195" spans="1:32" ht="11.25" customHeight="1" x14ac:dyDescent="0.25">
      <c r="A195" s="4" t="s">
        <v>21</v>
      </c>
      <c r="B195" s="4" t="s">
        <v>38</v>
      </c>
      <c r="C195" s="4" t="s">
        <v>40</v>
      </c>
      <c r="D195" s="4" t="s">
        <v>43</v>
      </c>
      <c r="E195" s="4" t="s">
        <v>51</v>
      </c>
      <c r="F195" s="4" t="s">
        <v>25</v>
      </c>
      <c r="G195" s="4" t="s">
        <v>25</v>
      </c>
      <c r="H195" s="4" t="s">
        <v>33</v>
      </c>
      <c r="I195" s="5">
        <v>44440</v>
      </c>
      <c r="J195" s="6">
        <v>0</v>
      </c>
      <c r="K195" s="97">
        <v>0</v>
      </c>
      <c r="L195" s="6">
        <v>1.625</v>
      </c>
      <c r="M195" s="97">
        <v>1.625</v>
      </c>
      <c r="N195" s="6">
        <v>1.625</v>
      </c>
      <c r="O195" s="97">
        <v>1.625</v>
      </c>
      <c r="P195" s="6">
        <v>0</v>
      </c>
      <c r="Q195" s="4" t="s">
        <v>26</v>
      </c>
      <c r="R195" s="4">
        <v>0</v>
      </c>
      <c r="S195" s="4">
        <v>0</v>
      </c>
      <c r="T195" s="4">
        <v>16</v>
      </c>
      <c r="U195" s="4">
        <v>47</v>
      </c>
      <c r="V195" s="97">
        <f>IF(ISERROR(VLOOKUP($S$195,'TAR FIN'!$A$1:$O$86,15,0)),0,VLOOKUP($S$195,'TAR FIN'!$A$1:$O$86,15,0))</f>
        <v>0</v>
      </c>
      <c r="W195" s="97">
        <f>IF(ISERROR(VLOOKUP($T$195,'TAR FIN'!$A$1:$O$86,15,0)),0,VLOOKUP($T$195,'TAR FIN'!$A$1:$O$86,15,0))*(1-0.04)</f>
        <v>1276.4832000000001</v>
      </c>
      <c r="X195" s="97">
        <f>IF(ISERROR(VLOOKUP($U$195,'TAR FIN'!$A$1:$O$86,15,0)),0,VLOOKUP($U$195,'TAR FIN'!$A$1:$O$86,15,0))*(1-0.04)</f>
        <v>373.64159999999998</v>
      </c>
      <c r="Y195" s="97"/>
      <c r="Z195" s="97">
        <f ca="1">('TUSD BE'!$AM$12+'TUSD BF'!$AM$12+'TUSD CVA'!$AM$12)*1*(1-0.02)</f>
        <v>1052.8740579870318</v>
      </c>
      <c r="AA195" s="97">
        <f>('TE BE'!$AB$5+'TE BF'!$AB$5+'TE CVA'!$AB$5)*1*(1-0.02)</f>
        <v>346.47998010024565</v>
      </c>
      <c r="AB195" s="97">
        <f>(SUBSIDIO!$J$195*SUBSIDIO!$V$195)*(0.04)/(1-0.04)</f>
        <v>0</v>
      </c>
      <c r="AC195" s="97">
        <f>((SUBSIDIO!$L$195*SUBSIDIO!$W$195)+(SUBSIDIO!$N$195*SUBSIDIO!$X$195))*(0.04)/(1-0.04)</f>
        <v>111.7272</v>
      </c>
      <c r="AD195" s="97">
        <f>(SUBSIDIO!$J$195*SUBSIDIO!$Y$195)*(0.02)/(1-0.02)</f>
        <v>0</v>
      </c>
      <c r="AE195" s="97">
        <f ca="1">((SUBSIDIO!$L$195*SUBSIDIO!$Z$195)+(SUBSIDIO!$N$195*SUBSIDIO!$AA$195))*(0.02)/(1-0.02)</f>
        <v>46.407149222282165</v>
      </c>
      <c r="AF195" s="4" t="s">
        <v>727</v>
      </c>
    </row>
    <row r="196" spans="1:32" ht="11.25" customHeight="1" x14ac:dyDescent="0.25">
      <c r="A196" s="4" t="s">
        <v>55</v>
      </c>
      <c r="B196" s="4" t="s">
        <v>38</v>
      </c>
      <c r="C196" s="4" t="s">
        <v>40</v>
      </c>
      <c r="D196" s="4" t="s">
        <v>43</v>
      </c>
      <c r="E196" s="4" t="s">
        <v>51</v>
      </c>
      <c r="F196" s="4" t="s">
        <v>25</v>
      </c>
      <c r="G196" s="4" t="s">
        <v>25</v>
      </c>
      <c r="H196" s="4" t="s">
        <v>33</v>
      </c>
      <c r="I196" s="5">
        <v>44440</v>
      </c>
      <c r="J196" s="6">
        <v>0</v>
      </c>
      <c r="K196" s="97">
        <v>0</v>
      </c>
      <c r="L196" s="6">
        <v>0.16700000000000001</v>
      </c>
      <c r="M196" s="97">
        <v>0.16700000000000001</v>
      </c>
      <c r="N196" s="6">
        <v>0.16700000000000001</v>
      </c>
      <c r="O196" s="97">
        <v>0.16700000000000001</v>
      </c>
      <c r="P196" s="6">
        <v>0</v>
      </c>
      <c r="Q196" s="4" t="s">
        <v>26</v>
      </c>
      <c r="R196" s="4">
        <v>0</v>
      </c>
      <c r="S196" s="4">
        <v>0</v>
      </c>
      <c r="T196" s="4">
        <v>16</v>
      </c>
      <c r="U196" s="4">
        <v>47</v>
      </c>
      <c r="V196" s="97">
        <f>IF(ISERROR(VLOOKUP($S$196,'TAR FIN'!$A$1:$O$86,15,0)),0,VLOOKUP($S$196,'TAR FIN'!$A$1:$O$86,15,0))</f>
        <v>0</v>
      </c>
      <c r="W196" s="97">
        <f>IF(ISERROR(VLOOKUP($T$196,'TAR FIN'!$A$1:$O$86,15,0)),0,VLOOKUP($T$196,'TAR FIN'!$A$1:$O$86,15,0))*(1-0.04)</f>
        <v>1276.4832000000001</v>
      </c>
      <c r="X196" s="97">
        <f>IF(ISERROR(VLOOKUP($U$196,'TAR FIN'!$A$1:$O$86,15,0)),0,VLOOKUP($U$196,'TAR FIN'!$A$1:$O$86,15,0))*(1-0.04)</f>
        <v>373.64159999999998</v>
      </c>
      <c r="Y196" s="97"/>
      <c r="Z196" s="97">
        <f ca="1">('TUSD BE'!$AM$12+'TUSD BF'!$AM$12+'TUSD CVA'!$AM$12)*1*(1-0.02)</f>
        <v>1052.8740579870318</v>
      </c>
      <c r="AA196" s="97">
        <f>('TE BE'!$AB$5+'TE BF'!$AB$5+'TE CVA'!$AB$5)*1*(1-0.02)</f>
        <v>346.47998010024565</v>
      </c>
      <c r="AB196" s="97">
        <f>(SUBSIDIO!$J$196*SUBSIDIO!$V$196)*(0.04)/(1-0.04)</f>
        <v>0</v>
      </c>
      <c r="AC196" s="97">
        <f>((SUBSIDIO!$L$196*SUBSIDIO!$W$196)+(SUBSIDIO!$N$196*SUBSIDIO!$X$196))*(0.04)/(1-0.04)</f>
        <v>11.482118400000003</v>
      </c>
      <c r="AD196" s="97">
        <f>(SUBSIDIO!$J$196*SUBSIDIO!$Y$196)*(0.02)/(1-0.02)</f>
        <v>0</v>
      </c>
      <c r="AE196" s="97">
        <f ca="1">((SUBSIDIO!$L$196*SUBSIDIO!$Z$196)+(SUBSIDIO!$N$196*SUBSIDIO!$AA$196))*(0.02)/(1-0.02)</f>
        <v>4.7692270277668438</v>
      </c>
      <c r="AF196" s="4" t="s">
        <v>727</v>
      </c>
    </row>
    <row r="197" spans="1:32" ht="11.25" customHeight="1" x14ac:dyDescent="0.25">
      <c r="A197" s="4" t="s">
        <v>21</v>
      </c>
      <c r="B197" s="4" t="s">
        <v>38</v>
      </c>
      <c r="C197" s="4" t="s">
        <v>40</v>
      </c>
      <c r="D197" s="4" t="s">
        <v>43</v>
      </c>
      <c r="E197" s="4" t="s">
        <v>51</v>
      </c>
      <c r="F197" s="4" t="s">
        <v>25</v>
      </c>
      <c r="G197" s="4" t="s">
        <v>25</v>
      </c>
      <c r="H197" s="4" t="s">
        <v>33</v>
      </c>
      <c r="I197" s="5">
        <v>44470</v>
      </c>
      <c r="J197" s="6">
        <v>0</v>
      </c>
      <c r="K197" s="97">
        <v>0</v>
      </c>
      <c r="L197" s="6">
        <v>1.6020000000000001</v>
      </c>
      <c r="M197" s="97">
        <v>1.6020000000000001</v>
      </c>
      <c r="N197" s="6">
        <v>1.6020000000000001</v>
      </c>
      <c r="O197" s="97">
        <v>1.6020000000000001</v>
      </c>
      <c r="P197" s="6">
        <v>0</v>
      </c>
      <c r="Q197" s="4" t="s">
        <v>26</v>
      </c>
      <c r="R197" s="4">
        <v>0</v>
      </c>
      <c r="S197" s="4">
        <v>0</v>
      </c>
      <c r="T197" s="4">
        <v>16</v>
      </c>
      <c r="U197" s="4">
        <v>47</v>
      </c>
      <c r="V197" s="97">
        <f>IF(ISERROR(VLOOKUP($S$197,'TAR FIN'!$A$1:$O$86,15,0)),0,VLOOKUP($S$197,'TAR FIN'!$A$1:$O$86,15,0))</f>
        <v>0</v>
      </c>
      <c r="W197" s="97">
        <f>IF(ISERROR(VLOOKUP($T$197,'TAR FIN'!$A$1:$O$86,15,0)),0,VLOOKUP($T$197,'TAR FIN'!$A$1:$O$86,15,0))*(1-0.04)</f>
        <v>1276.4832000000001</v>
      </c>
      <c r="X197" s="97">
        <f>IF(ISERROR(VLOOKUP($U$197,'TAR FIN'!$A$1:$O$86,15,0)),0,VLOOKUP($U$197,'TAR FIN'!$A$1:$O$86,15,0))*(1-0.04)</f>
        <v>373.64159999999998</v>
      </c>
      <c r="Y197" s="97"/>
      <c r="Z197" s="97">
        <f ca="1">('TUSD BE'!$AM$12+'TUSD BF'!$AM$12+'TUSD CVA'!$AM$12)*1*(1-0.02)</f>
        <v>1052.8740579870318</v>
      </c>
      <c r="AA197" s="97">
        <f>('TE BE'!$AB$5+'TE BF'!$AB$5+'TE CVA'!$AB$5)*1*(1-0.02)</f>
        <v>346.47998010024565</v>
      </c>
      <c r="AB197" s="97">
        <f>(SUBSIDIO!$J$197*SUBSIDIO!$V$197)*(0.04)/(1-0.04)</f>
        <v>0</v>
      </c>
      <c r="AC197" s="97">
        <f>((SUBSIDIO!$L$197*SUBSIDIO!$W$197)+(SUBSIDIO!$N$197*SUBSIDIO!$X$197))*(0.04)/(1-0.04)</f>
        <v>110.14583040000002</v>
      </c>
      <c r="AD197" s="97">
        <f>(SUBSIDIO!$J$197*SUBSIDIO!$Y$197)*(0.02)/(1-0.02)</f>
        <v>0</v>
      </c>
      <c r="AE197" s="97">
        <f ca="1">((SUBSIDIO!$L$197*SUBSIDIO!$Z$197)+(SUBSIDIO!$N$197*SUBSIDIO!$AA$197))*(0.02)/(1-0.02)</f>
        <v>45.750309571751401</v>
      </c>
      <c r="AF197" s="4" t="s">
        <v>727</v>
      </c>
    </row>
    <row r="198" spans="1:32" ht="11.25" customHeight="1" x14ac:dyDescent="0.25">
      <c r="A198" s="4" t="s">
        <v>55</v>
      </c>
      <c r="B198" s="4" t="s">
        <v>38</v>
      </c>
      <c r="C198" s="4" t="s">
        <v>40</v>
      </c>
      <c r="D198" s="4" t="s">
        <v>43</v>
      </c>
      <c r="E198" s="4" t="s">
        <v>51</v>
      </c>
      <c r="F198" s="4" t="s">
        <v>25</v>
      </c>
      <c r="G198" s="4" t="s">
        <v>25</v>
      </c>
      <c r="H198" s="4" t="s">
        <v>33</v>
      </c>
      <c r="I198" s="5">
        <v>44470</v>
      </c>
      <c r="J198" s="6">
        <v>0</v>
      </c>
      <c r="K198" s="97">
        <v>0</v>
      </c>
      <c r="L198" s="6">
        <v>0.17499999999999999</v>
      </c>
      <c r="M198" s="97">
        <v>0.17499999999999999</v>
      </c>
      <c r="N198" s="6">
        <v>0.17499999999999999</v>
      </c>
      <c r="O198" s="97">
        <v>0.17499999999999999</v>
      </c>
      <c r="P198" s="6">
        <v>0</v>
      </c>
      <c r="Q198" s="4" t="s">
        <v>26</v>
      </c>
      <c r="R198" s="4">
        <v>0</v>
      </c>
      <c r="S198" s="4">
        <v>0</v>
      </c>
      <c r="T198" s="4">
        <v>16</v>
      </c>
      <c r="U198" s="4">
        <v>47</v>
      </c>
      <c r="V198" s="97">
        <f>IF(ISERROR(VLOOKUP($S$198,'TAR FIN'!$A$1:$O$86,15,0)),0,VLOOKUP($S$198,'TAR FIN'!$A$1:$O$86,15,0))</f>
        <v>0</v>
      </c>
      <c r="W198" s="97">
        <f>IF(ISERROR(VLOOKUP($T$198,'TAR FIN'!$A$1:$O$86,15,0)),0,VLOOKUP($T$198,'TAR FIN'!$A$1:$O$86,15,0))*(1-0.04)</f>
        <v>1276.4832000000001</v>
      </c>
      <c r="X198" s="97">
        <f>IF(ISERROR(VLOOKUP($U$198,'TAR FIN'!$A$1:$O$86,15,0)),0,VLOOKUP($U$198,'TAR FIN'!$A$1:$O$86,15,0))*(1-0.04)</f>
        <v>373.64159999999998</v>
      </c>
      <c r="Y198" s="97"/>
      <c r="Z198" s="97">
        <f ca="1">('TUSD BE'!$AM$12+'TUSD BF'!$AM$12+'TUSD CVA'!$AM$12)*1*(1-0.02)</f>
        <v>1052.8740579870318</v>
      </c>
      <c r="AA198" s="97">
        <f>('TE BE'!$AB$5+'TE BF'!$AB$5+'TE CVA'!$AB$5)*1*(1-0.02)</f>
        <v>346.47998010024565</v>
      </c>
      <c r="AB198" s="97">
        <f>(SUBSIDIO!$J$198*SUBSIDIO!$V$198)*(0.04)/(1-0.04)</f>
        <v>0</v>
      </c>
      <c r="AC198" s="97">
        <f>((SUBSIDIO!$L$198*SUBSIDIO!$W$198)+(SUBSIDIO!$N$198*SUBSIDIO!$X$198))*(0.04)/(1-0.04)</f>
        <v>12.032160000000001</v>
      </c>
      <c r="AD198" s="97">
        <f>(SUBSIDIO!$J$198*SUBSIDIO!$Y$198)*(0.02)/(1-0.02)</f>
        <v>0</v>
      </c>
      <c r="AE198" s="97">
        <f ca="1">((SUBSIDIO!$L$198*SUBSIDIO!$Z$198)+(SUBSIDIO!$N$198*SUBSIDIO!$AA$198))*(0.02)/(1-0.02)</f>
        <v>4.9976929931688483</v>
      </c>
      <c r="AF198" s="4" t="s">
        <v>727</v>
      </c>
    </row>
    <row r="199" spans="1:32" ht="11.25" customHeight="1" x14ac:dyDescent="0.25">
      <c r="A199" s="4" t="s">
        <v>21</v>
      </c>
      <c r="B199" s="4" t="s">
        <v>38</v>
      </c>
      <c r="C199" s="4" t="s">
        <v>40</v>
      </c>
      <c r="D199" s="4" t="s">
        <v>43</v>
      </c>
      <c r="E199" s="4" t="s">
        <v>51</v>
      </c>
      <c r="F199" s="4" t="s">
        <v>25</v>
      </c>
      <c r="G199" s="4" t="s">
        <v>25</v>
      </c>
      <c r="H199" s="4" t="s">
        <v>33</v>
      </c>
      <c r="I199" s="5">
        <v>44501</v>
      </c>
      <c r="J199" s="6">
        <v>0</v>
      </c>
      <c r="K199" s="97">
        <v>0</v>
      </c>
      <c r="L199" s="6">
        <v>3.5369999999999999</v>
      </c>
      <c r="M199" s="97">
        <v>3.5369999999999999</v>
      </c>
      <c r="N199" s="6">
        <v>3.5369999999999999</v>
      </c>
      <c r="O199" s="97">
        <v>3.5369999999999999</v>
      </c>
      <c r="P199" s="6">
        <v>0</v>
      </c>
      <c r="Q199" s="4" t="s">
        <v>26</v>
      </c>
      <c r="R199" s="4">
        <v>0</v>
      </c>
      <c r="S199" s="4">
        <v>0</v>
      </c>
      <c r="T199" s="4">
        <v>16</v>
      </c>
      <c r="U199" s="4">
        <v>47</v>
      </c>
      <c r="V199" s="97">
        <f>IF(ISERROR(VLOOKUP($S$199,'TAR FIN'!$A$1:$O$86,15,0)),0,VLOOKUP($S$199,'TAR FIN'!$A$1:$O$86,15,0))</f>
        <v>0</v>
      </c>
      <c r="W199" s="97">
        <f>IF(ISERROR(VLOOKUP($T$199,'TAR FIN'!$A$1:$O$86,15,0)),0,VLOOKUP($T$199,'TAR FIN'!$A$1:$O$86,15,0))*(1-0.04)</f>
        <v>1276.4832000000001</v>
      </c>
      <c r="X199" s="97">
        <f>IF(ISERROR(VLOOKUP($U$199,'TAR FIN'!$A$1:$O$86,15,0)),0,VLOOKUP($U$199,'TAR FIN'!$A$1:$O$86,15,0))*(1-0.04)</f>
        <v>373.64159999999998</v>
      </c>
      <c r="Y199" s="97"/>
      <c r="Z199" s="97">
        <f ca="1">('TUSD BE'!$AM$12+'TUSD BF'!$AM$12+'TUSD CVA'!$AM$12)*1*(1-0.02)</f>
        <v>1052.8740579870318</v>
      </c>
      <c r="AA199" s="97">
        <f>('TE BE'!$AB$5+'TE BF'!$AB$5+'TE CVA'!$AB$5)*1*(1-0.02)</f>
        <v>346.47998010024565</v>
      </c>
      <c r="AB199" s="97">
        <f>(SUBSIDIO!$J$199*SUBSIDIO!$V$199)*(0.04)/(1-0.04)</f>
        <v>0</v>
      </c>
      <c r="AC199" s="97">
        <f>((SUBSIDIO!$L$199*SUBSIDIO!$W$199)+(SUBSIDIO!$N$199*SUBSIDIO!$X$199))*(0.04)/(1-0.04)</f>
        <v>243.18714240000003</v>
      </c>
      <c r="AD199" s="97">
        <f>(SUBSIDIO!$J$199*SUBSIDIO!$Y$199)*(0.02)/(1-0.02)</f>
        <v>0</v>
      </c>
      <c r="AE199" s="97">
        <f ca="1">((SUBSIDIO!$L$199*SUBSIDIO!$Z$199)+(SUBSIDIO!$N$199*SUBSIDIO!$AA$199))*(0.02)/(1-0.02)</f>
        <v>101.01051495336125</v>
      </c>
      <c r="AF199" s="4" t="s">
        <v>727</v>
      </c>
    </row>
    <row r="200" spans="1:32" ht="11.25" customHeight="1" x14ac:dyDescent="0.25">
      <c r="A200" s="4" t="s">
        <v>55</v>
      </c>
      <c r="B200" s="4" t="s">
        <v>38</v>
      </c>
      <c r="C200" s="4" t="s">
        <v>40</v>
      </c>
      <c r="D200" s="4" t="s">
        <v>43</v>
      </c>
      <c r="E200" s="4" t="s">
        <v>51</v>
      </c>
      <c r="F200" s="4" t="s">
        <v>25</v>
      </c>
      <c r="G200" s="4" t="s">
        <v>25</v>
      </c>
      <c r="H200" s="4" t="s">
        <v>33</v>
      </c>
      <c r="I200" s="5">
        <v>44501</v>
      </c>
      <c r="J200" s="6">
        <v>0</v>
      </c>
      <c r="K200" s="97">
        <v>0</v>
      </c>
      <c r="L200" s="6">
        <v>1.5620000000000001</v>
      </c>
      <c r="M200" s="97">
        <v>1.5620000000000001</v>
      </c>
      <c r="N200" s="6">
        <v>1.5620000000000001</v>
      </c>
      <c r="O200" s="97">
        <v>1.5620000000000001</v>
      </c>
      <c r="P200" s="6">
        <v>0</v>
      </c>
      <c r="Q200" s="4" t="s">
        <v>26</v>
      </c>
      <c r="R200" s="4">
        <v>0</v>
      </c>
      <c r="S200" s="4">
        <v>0</v>
      </c>
      <c r="T200" s="4">
        <v>16</v>
      </c>
      <c r="U200" s="4">
        <v>47</v>
      </c>
      <c r="V200" s="97">
        <f>IF(ISERROR(VLOOKUP($S$200,'TAR FIN'!$A$1:$O$86,15,0)),0,VLOOKUP($S$200,'TAR FIN'!$A$1:$O$86,15,0))</f>
        <v>0</v>
      </c>
      <c r="W200" s="97">
        <f>IF(ISERROR(VLOOKUP($T$200,'TAR FIN'!$A$1:$O$86,15,0)),0,VLOOKUP($T$200,'TAR FIN'!$A$1:$O$86,15,0))*(1-0.04)</f>
        <v>1276.4832000000001</v>
      </c>
      <c r="X200" s="97">
        <f>IF(ISERROR(VLOOKUP($U$200,'TAR FIN'!$A$1:$O$86,15,0)),0,VLOOKUP($U$200,'TAR FIN'!$A$1:$O$86,15,0))*(1-0.04)</f>
        <v>373.64159999999998</v>
      </c>
      <c r="Y200" s="97"/>
      <c r="Z200" s="97">
        <f ca="1">('TUSD BE'!$AM$12+'TUSD BF'!$AM$12+'TUSD CVA'!$AM$12)*1*(1-0.02)</f>
        <v>1052.8740579870318</v>
      </c>
      <c r="AA200" s="97">
        <f>('TE BE'!$AB$5+'TE BF'!$AB$5+'TE CVA'!$AB$5)*1*(1-0.02)</f>
        <v>346.47998010024565</v>
      </c>
      <c r="AB200" s="97">
        <f>(SUBSIDIO!$J$200*SUBSIDIO!$V$200)*(0.04)/(1-0.04)</f>
        <v>0</v>
      </c>
      <c r="AC200" s="97">
        <f>((SUBSIDIO!$L$200*SUBSIDIO!$W$200)+(SUBSIDIO!$N$200*SUBSIDIO!$X$200))*(0.04)/(1-0.04)</f>
        <v>107.39562240000002</v>
      </c>
      <c r="AD200" s="97">
        <f>(SUBSIDIO!$J$200*SUBSIDIO!$Y$200)*(0.02)/(1-0.02)</f>
        <v>0</v>
      </c>
      <c r="AE200" s="97">
        <f ca="1">((SUBSIDIO!$L$200*SUBSIDIO!$Z$200)+(SUBSIDIO!$N$200*SUBSIDIO!$AA$200))*(0.02)/(1-0.02)</f>
        <v>44.607979744741378</v>
      </c>
      <c r="AF200" s="4" t="s">
        <v>727</v>
      </c>
    </row>
    <row r="201" spans="1:32" ht="11.25" customHeight="1" x14ac:dyDescent="0.25">
      <c r="A201" s="4" t="s">
        <v>21</v>
      </c>
      <c r="B201" s="4" t="s">
        <v>38</v>
      </c>
      <c r="C201" s="4" t="s">
        <v>40</v>
      </c>
      <c r="D201" s="4" t="s">
        <v>43</v>
      </c>
      <c r="E201" s="4" t="s">
        <v>51</v>
      </c>
      <c r="F201" s="4" t="s">
        <v>25</v>
      </c>
      <c r="G201" s="4" t="s">
        <v>25</v>
      </c>
      <c r="H201" s="4" t="s">
        <v>33</v>
      </c>
      <c r="I201" s="5">
        <v>44531</v>
      </c>
      <c r="J201" s="6">
        <v>0</v>
      </c>
      <c r="K201" s="97">
        <v>0</v>
      </c>
      <c r="L201" s="6">
        <v>17.158000000000001</v>
      </c>
      <c r="M201" s="97">
        <v>17.158000000000001</v>
      </c>
      <c r="N201" s="6">
        <v>17.158000000000001</v>
      </c>
      <c r="O201" s="97">
        <v>17.158000000000001</v>
      </c>
      <c r="P201" s="6">
        <v>0</v>
      </c>
      <c r="Q201" s="4" t="s">
        <v>26</v>
      </c>
      <c r="R201" s="4">
        <v>0</v>
      </c>
      <c r="S201" s="4">
        <v>0</v>
      </c>
      <c r="T201" s="4">
        <v>16</v>
      </c>
      <c r="U201" s="4">
        <v>47</v>
      </c>
      <c r="V201" s="97">
        <f>IF(ISERROR(VLOOKUP($S$201,'TAR FIN'!$A$1:$O$86,15,0)),0,VLOOKUP($S$201,'TAR FIN'!$A$1:$O$86,15,0))</f>
        <v>0</v>
      </c>
      <c r="W201" s="97">
        <f>IF(ISERROR(VLOOKUP($T$201,'TAR FIN'!$A$1:$O$86,15,0)),0,VLOOKUP($T$201,'TAR FIN'!$A$1:$O$86,15,0))*(1-0.04)</f>
        <v>1276.4832000000001</v>
      </c>
      <c r="X201" s="97">
        <f>IF(ISERROR(VLOOKUP($U$201,'TAR FIN'!$A$1:$O$86,15,0)),0,VLOOKUP($U$201,'TAR FIN'!$A$1:$O$86,15,0))*(1-0.04)</f>
        <v>373.64159999999998</v>
      </c>
      <c r="Y201" s="97"/>
      <c r="Z201" s="97">
        <f ca="1">('TUSD BE'!$AM$12+'TUSD BF'!$AM$12+'TUSD CVA'!$AM$12)*1*(1-0.02)</f>
        <v>1052.8740579870318</v>
      </c>
      <c r="AA201" s="97">
        <f>('TE BE'!$AB$5+'TE BF'!$AB$5+'TE CVA'!$AB$5)*1*(1-0.02)</f>
        <v>346.47998010024565</v>
      </c>
      <c r="AB201" s="97">
        <f>(SUBSIDIO!$J$201*SUBSIDIO!$V$201)*(0.04)/(1-0.04)</f>
        <v>0</v>
      </c>
      <c r="AC201" s="97">
        <f>((SUBSIDIO!$L$201*SUBSIDIO!$W$201)+(SUBSIDIO!$N$201*SUBSIDIO!$X$201))*(0.04)/(1-0.04)</f>
        <v>1179.7017216000002</v>
      </c>
      <c r="AD201" s="97">
        <f>(SUBSIDIO!$J$201*SUBSIDIO!$Y$201)*(0.02)/(1-0.02)</f>
        <v>0</v>
      </c>
      <c r="AE201" s="97">
        <f ca="1">((SUBSIDIO!$L$201*SUBSIDIO!$Z$201)+(SUBSIDIO!$N$201*SUBSIDIO!$AA$201))*(0.02)/(1-0.02)</f>
        <v>490.0023792959492</v>
      </c>
      <c r="AF201" s="4" t="s">
        <v>727</v>
      </c>
    </row>
    <row r="202" spans="1:32" ht="11.25" customHeight="1" x14ac:dyDescent="0.25">
      <c r="A202" s="4" t="s">
        <v>55</v>
      </c>
      <c r="B202" s="4" t="s">
        <v>38</v>
      </c>
      <c r="C202" s="4" t="s">
        <v>40</v>
      </c>
      <c r="D202" s="4" t="s">
        <v>43</v>
      </c>
      <c r="E202" s="4" t="s">
        <v>51</v>
      </c>
      <c r="F202" s="4" t="s">
        <v>25</v>
      </c>
      <c r="G202" s="4" t="s">
        <v>25</v>
      </c>
      <c r="H202" s="4" t="s">
        <v>33</v>
      </c>
      <c r="I202" s="5">
        <v>44531</v>
      </c>
      <c r="J202" s="6">
        <v>0</v>
      </c>
      <c r="K202" s="97">
        <v>0</v>
      </c>
      <c r="L202" s="6">
        <v>1.4259999999999999</v>
      </c>
      <c r="M202" s="97">
        <v>1.4259999999999999</v>
      </c>
      <c r="N202" s="6">
        <v>1.4259999999999999</v>
      </c>
      <c r="O202" s="97">
        <v>1.4259999999999999</v>
      </c>
      <c r="P202" s="6">
        <v>0</v>
      </c>
      <c r="Q202" s="4" t="s">
        <v>26</v>
      </c>
      <c r="R202" s="4">
        <v>0</v>
      </c>
      <c r="S202" s="4">
        <v>0</v>
      </c>
      <c r="T202" s="4">
        <v>16</v>
      </c>
      <c r="U202" s="4">
        <v>47</v>
      </c>
      <c r="V202" s="97">
        <f>IF(ISERROR(VLOOKUP($S$202,'TAR FIN'!$A$1:$O$86,15,0)),0,VLOOKUP($S$202,'TAR FIN'!$A$1:$O$86,15,0))</f>
        <v>0</v>
      </c>
      <c r="W202" s="97">
        <f>IF(ISERROR(VLOOKUP($T$202,'TAR FIN'!$A$1:$O$86,15,0)),0,VLOOKUP($T$202,'TAR FIN'!$A$1:$O$86,15,0))*(1-0.04)</f>
        <v>1276.4832000000001</v>
      </c>
      <c r="X202" s="97">
        <f>IF(ISERROR(VLOOKUP($U$202,'TAR FIN'!$A$1:$O$86,15,0)),0,VLOOKUP($U$202,'TAR FIN'!$A$1:$O$86,15,0))*(1-0.04)</f>
        <v>373.64159999999998</v>
      </c>
      <c r="Y202" s="97"/>
      <c r="Z202" s="97">
        <f ca="1">('TUSD BE'!$AM$12+'TUSD BF'!$AM$12+'TUSD CVA'!$AM$12)*1*(1-0.02)</f>
        <v>1052.8740579870318</v>
      </c>
      <c r="AA202" s="97">
        <f>('TE BE'!$AB$5+'TE BF'!$AB$5+'TE CVA'!$AB$5)*1*(1-0.02)</f>
        <v>346.47998010024565</v>
      </c>
      <c r="AB202" s="97">
        <f>(SUBSIDIO!$J$202*SUBSIDIO!$V$202)*(0.04)/(1-0.04)</f>
        <v>0</v>
      </c>
      <c r="AC202" s="97">
        <f>((SUBSIDIO!$L$202*SUBSIDIO!$W$202)+(SUBSIDIO!$N$202*SUBSIDIO!$X$202))*(0.04)/(1-0.04)</f>
        <v>98.044915200000005</v>
      </c>
      <c r="AD202" s="97">
        <f>(SUBSIDIO!$J$202*SUBSIDIO!$Y$202)*(0.02)/(1-0.02)</f>
        <v>0</v>
      </c>
      <c r="AE202" s="97">
        <f ca="1">((SUBSIDIO!$L$202*SUBSIDIO!$Z$202)+(SUBSIDIO!$N$202*SUBSIDIO!$AA$202))*(0.02)/(1-0.02)</f>
        <v>40.724058332907298</v>
      </c>
      <c r="AF202" s="4" t="s">
        <v>727</v>
      </c>
    </row>
    <row r="203" spans="1:32" ht="11.25" customHeight="1" x14ac:dyDescent="0.25">
      <c r="A203" s="4" t="s">
        <v>21</v>
      </c>
      <c r="B203" s="4" t="s">
        <v>38</v>
      </c>
      <c r="C203" s="4" t="s">
        <v>40</v>
      </c>
      <c r="D203" s="4" t="s">
        <v>43</v>
      </c>
      <c r="E203" s="4" t="s">
        <v>51</v>
      </c>
      <c r="F203" s="4" t="s">
        <v>25</v>
      </c>
      <c r="G203" s="4" t="s">
        <v>25</v>
      </c>
      <c r="H203" s="4" t="s">
        <v>33</v>
      </c>
      <c r="I203" s="5">
        <v>44562</v>
      </c>
      <c r="J203" s="6">
        <v>0</v>
      </c>
      <c r="K203" s="97">
        <v>0</v>
      </c>
      <c r="L203" s="6">
        <v>10.287000000000001</v>
      </c>
      <c r="M203" s="97">
        <v>10.287000000000001</v>
      </c>
      <c r="N203" s="6">
        <v>10.287000000000001</v>
      </c>
      <c r="O203" s="97">
        <v>10.287000000000001</v>
      </c>
      <c r="P203" s="6">
        <v>0</v>
      </c>
      <c r="Q203" s="4" t="s">
        <v>26</v>
      </c>
      <c r="R203" s="4">
        <v>0</v>
      </c>
      <c r="S203" s="4">
        <v>0</v>
      </c>
      <c r="T203" s="4">
        <v>16</v>
      </c>
      <c r="U203" s="4">
        <v>47</v>
      </c>
      <c r="V203" s="97">
        <f>IF(ISERROR(VLOOKUP($S$203,'TAR FIN'!$A$1:$O$86,15,0)),0,VLOOKUP($S$203,'TAR FIN'!$A$1:$O$86,15,0))</f>
        <v>0</v>
      </c>
      <c r="W203" s="97">
        <f>IF(ISERROR(VLOOKUP($T$203,'TAR FIN'!$A$1:$O$86,15,0)),0,VLOOKUP($T$203,'TAR FIN'!$A$1:$O$86,15,0))*(1-0.04)</f>
        <v>1276.4832000000001</v>
      </c>
      <c r="X203" s="97">
        <f>IF(ISERROR(VLOOKUP($U$203,'TAR FIN'!$A$1:$O$86,15,0)),0,VLOOKUP($U$203,'TAR FIN'!$A$1:$O$86,15,0))*(1-0.04)</f>
        <v>373.64159999999998</v>
      </c>
      <c r="Y203" s="97"/>
      <c r="Z203" s="97">
        <f ca="1">('TUSD BE'!$AM$12+'TUSD BF'!$AM$12+'TUSD CVA'!$AM$12)*1*(1-0.02)</f>
        <v>1052.8740579870318</v>
      </c>
      <c r="AA203" s="97">
        <f>('TE BE'!$AB$5+'TE BF'!$AB$5+'TE CVA'!$AB$5)*1*(1-0.02)</f>
        <v>346.47998010024565</v>
      </c>
      <c r="AB203" s="97">
        <f>(SUBSIDIO!$J$203*SUBSIDIO!$V$203)*(0.04)/(1-0.04)</f>
        <v>0</v>
      </c>
      <c r="AC203" s="97">
        <f>((SUBSIDIO!$L$203*SUBSIDIO!$W$203)+(SUBSIDIO!$N$203*SUBSIDIO!$X$203))*(0.04)/(1-0.04)</f>
        <v>707.28474240000014</v>
      </c>
      <c r="AD203" s="97">
        <f>(SUBSIDIO!$J$203*SUBSIDIO!$Y$203)*(0.02)/(1-0.02)</f>
        <v>0</v>
      </c>
      <c r="AE203" s="97">
        <f ca="1">((SUBSIDIO!$L$203*SUBSIDIO!$Z$203)+(SUBSIDIO!$N$203*SUBSIDIO!$AA$203))*(0.02)/(1-0.02)</f>
        <v>293.77867326130257</v>
      </c>
      <c r="AF203" s="4" t="s">
        <v>727</v>
      </c>
    </row>
    <row r="204" spans="1:32" ht="11.25" customHeight="1" x14ac:dyDescent="0.25">
      <c r="A204" s="4" t="s">
        <v>55</v>
      </c>
      <c r="B204" s="4" t="s">
        <v>38</v>
      </c>
      <c r="C204" s="4" t="s">
        <v>40</v>
      </c>
      <c r="D204" s="4" t="s">
        <v>43</v>
      </c>
      <c r="E204" s="4" t="s">
        <v>51</v>
      </c>
      <c r="F204" s="4" t="s">
        <v>25</v>
      </c>
      <c r="G204" s="4" t="s">
        <v>25</v>
      </c>
      <c r="H204" s="4" t="s">
        <v>33</v>
      </c>
      <c r="I204" s="5">
        <v>44562</v>
      </c>
      <c r="J204" s="6">
        <v>0</v>
      </c>
      <c r="K204" s="97">
        <v>0</v>
      </c>
      <c r="L204" s="6">
        <v>0.22500000000000001</v>
      </c>
      <c r="M204" s="97">
        <v>0.22500000000000001</v>
      </c>
      <c r="N204" s="6">
        <v>0.22500000000000001</v>
      </c>
      <c r="O204" s="97">
        <v>0.22500000000000001</v>
      </c>
      <c r="P204" s="6">
        <v>0</v>
      </c>
      <c r="Q204" s="4" t="s">
        <v>26</v>
      </c>
      <c r="R204" s="4">
        <v>0</v>
      </c>
      <c r="S204" s="4">
        <v>0</v>
      </c>
      <c r="T204" s="4">
        <v>16</v>
      </c>
      <c r="U204" s="4">
        <v>47</v>
      </c>
      <c r="V204" s="97">
        <f>IF(ISERROR(VLOOKUP($S$204,'TAR FIN'!$A$1:$O$86,15,0)),0,VLOOKUP($S$204,'TAR FIN'!$A$1:$O$86,15,0))</f>
        <v>0</v>
      </c>
      <c r="W204" s="97">
        <f>IF(ISERROR(VLOOKUP($T$204,'TAR FIN'!$A$1:$O$86,15,0)),0,VLOOKUP($T$204,'TAR FIN'!$A$1:$O$86,15,0))*(1-0.04)</f>
        <v>1276.4832000000001</v>
      </c>
      <c r="X204" s="97">
        <f>IF(ISERROR(VLOOKUP($U$204,'TAR FIN'!$A$1:$O$86,15,0)),0,VLOOKUP($U$204,'TAR FIN'!$A$1:$O$86,15,0))*(1-0.04)</f>
        <v>373.64159999999998</v>
      </c>
      <c r="Y204" s="97"/>
      <c r="Z204" s="97">
        <f ca="1">('TUSD BE'!$AM$12+'TUSD BF'!$AM$12+'TUSD CVA'!$AM$12)*1*(1-0.02)</f>
        <v>1052.8740579870318</v>
      </c>
      <c r="AA204" s="97">
        <f>('TE BE'!$AB$5+'TE BF'!$AB$5+'TE CVA'!$AB$5)*1*(1-0.02)</f>
        <v>346.47998010024565</v>
      </c>
      <c r="AB204" s="97">
        <f>(SUBSIDIO!$J$204*SUBSIDIO!$V$204)*(0.04)/(1-0.04)</f>
        <v>0</v>
      </c>
      <c r="AC204" s="97">
        <f>((SUBSIDIO!$L$204*SUBSIDIO!$W$204)+(SUBSIDIO!$N$204*SUBSIDIO!$X$204))*(0.04)/(1-0.04)</f>
        <v>15.469920000000002</v>
      </c>
      <c r="AD204" s="97">
        <f>(SUBSIDIO!$J$204*SUBSIDIO!$Y$204)*(0.02)/(1-0.02)</f>
        <v>0</v>
      </c>
      <c r="AE204" s="97">
        <f ca="1">((SUBSIDIO!$L$204*SUBSIDIO!$Z$204)+(SUBSIDIO!$N$204*SUBSIDIO!$AA$204))*(0.02)/(1-0.02)</f>
        <v>6.4256052769313756</v>
      </c>
      <c r="AF204" s="4" t="s">
        <v>727</v>
      </c>
    </row>
    <row r="205" spans="1:32" ht="11.25" customHeight="1" x14ac:dyDescent="0.25">
      <c r="A205" s="4" t="s">
        <v>21</v>
      </c>
      <c r="B205" s="4" t="s">
        <v>38</v>
      </c>
      <c r="C205" s="4" t="s">
        <v>40</v>
      </c>
      <c r="D205" s="4" t="s">
        <v>43</v>
      </c>
      <c r="E205" s="4" t="s">
        <v>51</v>
      </c>
      <c r="F205" s="4" t="s">
        <v>25</v>
      </c>
      <c r="G205" s="4" t="s">
        <v>25</v>
      </c>
      <c r="H205" s="4" t="s">
        <v>33</v>
      </c>
      <c r="I205" s="5">
        <v>44593</v>
      </c>
      <c r="J205" s="6">
        <v>0</v>
      </c>
      <c r="K205" s="97">
        <v>0</v>
      </c>
      <c r="L205" s="6">
        <v>7.0919999999999996</v>
      </c>
      <c r="M205" s="97">
        <v>7.0919999999999996</v>
      </c>
      <c r="N205" s="6">
        <v>7.0919999999999996</v>
      </c>
      <c r="O205" s="97">
        <v>7.0919999999999996</v>
      </c>
      <c r="P205" s="6">
        <v>0</v>
      </c>
      <c r="Q205" s="4" t="s">
        <v>26</v>
      </c>
      <c r="R205" s="4">
        <v>0</v>
      </c>
      <c r="S205" s="4">
        <v>0</v>
      </c>
      <c r="T205" s="4">
        <v>16</v>
      </c>
      <c r="U205" s="4">
        <v>47</v>
      </c>
      <c r="V205" s="97">
        <f>IF(ISERROR(VLOOKUP($S$205,'TAR FIN'!$A$1:$O$86,15,0)),0,VLOOKUP($S$205,'TAR FIN'!$A$1:$O$86,15,0))</f>
        <v>0</v>
      </c>
      <c r="W205" s="97">
        <f>IF(ISERROR(VLOOKUP($T$205,'TAR FIN'!$A$1:$O$86,15,0)),0,VLOOKUP($T$205,'TAR FIN'!$A$1:$O$86,15,0))*(1-0.04)</f>
        <v>1276.4832000000001</v>
      </c>
      <c r="X205" s="97">
        <f>IF(ISERROR(VLOOKUP($U$205,'TAR FIN'!$A$1:$O$86,15,0)),0,VLOOKUP($U$205,'TAR FIN'!$A$1:$O$86,15,0))*(1-0.04)</f>
        <v>373.64159999999998</v>
      </c>
      <c r="Y205" s="97"/>
      <c r="Z205" s="97">
        <f ca="1">('TUSD BE'!$AM$12+'TUSD BF'!$AM$12+'TUSD CVA'!$AM$12)*1*(1-0.02)</f>
        <v>1052.8740579870318</v>
      </c>
      <c r="AA205" s="97">
        <f>('TE BE'!$AB$5+'TE BF'!$AB$5+'TE CVA'!$AB$5)*1*(1-0.02)</f>
        <v>346.47998010024565</v>
      </c>
      <c r="AB205" s="97">
        <f>(SUBSIDIO!$J$205*SUBSIDIO!$V$205)*(0.04)/(1-0.04)</f>
        <v>0</v>
      </c>
      <c r="AC205" s="97">
        <f>((SUBSIDIO!$L$205*SUBSIDIO!$W$205)+(SUBSIDIO!$N$205*SUBSIDIO!$X$205))*(0.04)/(1-0.04)</f>
        <v>487.61187840000002</v>
      </c>
      <c r="AD205" s="97">
        <f>(SUBSIDIO!$J$205*SUBSIDIO!$Y$205)*(0.02)/(1-0.02)</f>
        <v>0</v>
      </c>
      <c r="AE205" s="97">
        <f ca="1">((SUBSIDIO!$L$205*SUBSIDIO!$Z$205)+(SUBSIDIO!$N$205*SUBSIDIO!$AA$205))*(0.02)/(1-0.02)</f>
        <v>202.53507832887698</v>
      </c>
      <c r="AF205" s="4" t="s">
        <v>727</v>
      </c>
    </row>
    <row r="206" spans="1:32" ht="11.25" customHeight="1" x14ac:dyDescent="0.25">
      <c r="A206" s="4" t="s">
        <v>55</v>
      </c>
      <c r="B206" s="4" t="s">
        <v>38</v>
      </c>
      <c r="C206" s="4" t="s">
        <v>40</v>
      </c>
      <c r="D206" s="4" t="s">
        <v>43</v>
      </c>
      <c r="E206" s="4" t="s">
        <v>51</v>
      </c>
      <c r="F206" s="4" t="s">
        <v>25</v>
      </c>
      <c r="G206" s="4" t="s">
        <v>25</v>
      </c>
      <c r="H206" s="4" t="s">
        <v>33</v>
      </c>
      <c r="I206" s="5">
        <v>44593</v>
      </c>
      <c r="J206" s="6">
        <v>0</v>
      </c>
      <c r="K206" s="97">
        <v>0</v>
      </c>
      <c r="L206" s="6">
        <v>0.104</v>
      </c>
      <c r="M206" s="97">
        <v>0.104</v>
      </c>
      <c r="N206" s="6">
        <v>0.104</v>
      </c>
      <c r="O206" s="97">
        <v>0.104</v>
      </c>
      <c r="P206" s="6">
        <v>0</v>
      </c>
      <c r="Q206" s="4" t="s">
        <v>26</v>
      </c>
      <c r="R206" s="4">
        <v>0</v>
      </c>
      <c r="S206" s="4">
        <v>0</v>
      </c>
      <c r="T206" s="4">
        <v>16</v>
      </c>
      <c r="U206" s="4">
        <v>47</v>
      </c>
      <c r="V206" s="97">
        <f>IF(ISERROR(VLOOKUP($S$206,'TAR FIN'!$A$1:$O$86,15,0)),0,VLOOKUP($S$206,'TAR FIN'!$A$1:$O$86,15,0))</f>
        <v>0</v>
      </c>
      <c r="W206" s="97">
        <f>IF(ISERROR(VLOOKUP($T$206,'TAR FIN'!$A$1:$O$86,15,0)),0,VLOOKUP($T$206,'TAR FIN'!$A$1:$O$86,15,0))*(1-0.04)</f>
        <v>1276.4832000000001</v>
      </c>
      <c r="X206" s="97">
        <f>IF(ISERROR(VLOOKUP($U$206,'TAR FIN'!$A$1:$O$86,15,0)),0,VLOOKUP($U$206,'TAR FIN'!$A$1:$O$86,15,0))*(1-0.04)</f>
        <v>373.64159999999998</v>
      </c>
      <c r="Y206" s="97"/>
      <c r="Z206" s="97">
        <f ca="1">('TUSD BE'!$AM$12+'TUSD BF'!$AM$12+'TUSD CVA'!$AM$12)*1*(1-0.02)</f>
        <v>1052.8740579870318</v>
      </c>
      <c r="AA206" s="97">
        <f>('TE BE'!$AB$5+'TE BF'!$AB$5+'TE CVA'!$AB$5)*1*(1-0.02)</f>
        <v>346.47998010024565</v>
      </c>
      <c r="AB206" s="97">
        <f>(SUBSIDIO!$J$206*SUBSIDIO!$V$206)*(0.04)/(1-0.04)</f>
        <v>0</v>
      </c>
      <c r="AC206" s="97">
        <f>((SUBSIDIO!$L$206*SUBSIDIO!$W$206)+(SUBSIDIO!$N$206*SUBSIDIO!$X$206))*(0.04)/(1-0.04)</f>
        <v>7.1505408000000017</v>
      </c>
      <c r="AD206" s="97">
        <f>(SUBSIDIO!$J$206*SUBSIDIO!$Y$206)*(0.02)/(1-0.02)</f>
        <v>0</v>
      </c>
      <c r="AE206" s="97">
        <f ca="1">((SUBSIDIO!$L$206*SUBSIDIO!$Z$206)+(SUBSIDIO!$N$206*SUBSIDIO!$AA$206))*(0.02)/(1-0.02)</f>
        <v>2.9700575502260582</v>
      </c>
      <c r="AF206" s="4" t="s">
        <v>727</v>
      </c>
    </row>
    <row r="207" spans="1:32" ht="11.25" customHeight="1" x14ac:dyDescent="0.25">
      <c r="A207" s="4" t="s">
        <v>21</v>
      </c>
      <c r="B207" s="4" t="s">
        <v>38</v>
      </c>
      <c r="C207" s="4" t="s">
        <v>40</v>
      </c>
      <c r="D207" s="4" t="s">
        <v>43</v>
      </c>
      <c r="E207" s="4" t="s">
        <v>51</v>
      </c>
      <c r="F207" s="4" t="s">
        <v>25</v>
      </c>
      <c r="G207" s="4" t="s">
        <v>25</v>
      </c>
      <c r="H207" s="4" t="s">
        <v>33</v>
      </c>
      <c r="I207" s="5">
        <v>44621</v>
      </c>
      <c r="J207" s="6">
        <v>0</v>
      </c>
      <c r="K207" s="97">
        <v>0</v>
      </c>
      <c r="L207" s="6">
        <v>1.716</v>
      </c>
      <c r="M207" s="97">
        <v>1.716</v>
      </c>
      <c r="N207" s="6">
        <v>1.716</v>
      </c>
      <c r="O207" s="97">
        <v>1.716</v>
      </c>
      <c r="P207" s="6">
        <v>0</v>
      </c>
      <c r="Q207" s="4" t="s">
        <v>26</v>
      </c>
      <c r="R207" s="4">
        <v>0</v>
      </c>
      <c r="S207" s="4">
        <v>0</v>
      </c>
      <c r="T207" s="4">
        <v>16</v>
      </c>
      <c r="U207" s="4">
        <v>47</v>
      </c>
      <c r="V207" s="97">
        <f>IF(ISERROR(VLOOKUP($S$207,'TAR FIN'!$A$1:$O$86,15,0)),0,VLOOKUP($S$207,'TAR FIN'!$A$1:$O$86,15,0))</f>
        <v>0</v>
      </c>
      <c r="W207" s="97">
        <f>IF(ISERROR(VLOOKUP($T$207,'TAR FIN'!$A$1:$O$86,15,0)),0,VLOOKUP($T$207,'TAR FIN'!$A$1:$O$86,15,0))*(1-0.04)</f>
        <v>1276.4832000000001</v>
      </c>
      <c r="X207" s="97">
        <f>IF(ISERROR(VLOOKUP($U$207,'TAR FIN'!$A$1:$O$86,15,0)),0,VLOOKUP($U$207,'TAR FIN'!$A$1:$O$86,15,0))*(1-0.04)</f>
        <v>373.64159999999998</v>
      </c>
      <c r="Y207" s="97"/>
      <c r="Z207" s="97">
        <f ca="1">('TUSD BE'!$AM$12+'TUSD BF'!$AM$12+'TUSD CVA'!$AM$12)*1*(1-0.02)</f>
        <v>1052.8740579870318</v>
      </c>
      <c r="AA207" s="97">
        <f>('TE BE'!$AB$5+'TE BF'!$AB$5+'TE CVA'!$AB$5)*1*(1-0.02)</f>
        <v>346.47998010024565</v>
      </c>
      <c r="AB207" s="97">
        <f>(SUBSIDIO!$J$207*SUBSIDIO!$V$207)*(0.04)/(1-0.04)</f>
        <v>0</v>
      </c>
      <c r="AC207" s="97">
        <f>((SUBSIDIO!$L$207*SUBSIDIO!$W$207)+(SUBSIDIO!$N$207*SUBSIDIO!$X$207))*(0.04)/(1-0.04)</f>
        <v>117.98392320000001</v>
      </c>
      <c r="AD207" s="97">
        <f>(SUBSIDIO!$J$207*SUBSIDIO!$Y$207)*(0.02)/(1-0.02)</f>
        <v>0</v>
      </c>
      <c r="AE207" s="97">
        <f ca="1">((SUBSIDIO!$L$207*SUBSIDIO!$Z$207)+(SUBSIDIO!$N$207*SUBSIDIO!$AA$207))*(0.02)/(1-0.02)</f>
        <v>49.005949578729961</v>
      </c>
      <c r="AF207" s="4" t="s">
        <v>727</v>
      </c>
    </row>
    <row r="208" spans="1:32" ht="11.25" customHeight="1" x14ac:dyDescent="0.25">
      <c r="A208" s="4" t="s">
        <v>55</v>
      </c>
      <c r="B208" s="4" t="s">
        <v>38</v>
      </c>
      <c r="C208" s="4" t="s">
        <v>40</v>
      </c>
      <c r="D208" s="4" t="s">
        <v>43</v>
      </c>
      <c r="E208" s="4" t="s">
        <v>51</v>
      </c>
      <c r="F208" s="4" t="s">
        <v>25</v>
      </c>
      <c r="G208" s="4" t="s">
        <v>25</v>
      </c>
      <c r="H208" s="4" t="s">
        <v>33</v>
      </c>
      <c r="I208" s="5">
        <v>44621</v>
      </c>
      <c r="J208" s="6">
        <v>0</v>
      </c>
      <c r="K208" s="97">
        <v>0</v>
      </c>
      <c r="L208" s="6">
        <v>0.10199999999999999</v>
      </c>
      <c r="M208" s="97">
        <v>0.10199999999999999</v>
      </c>
      <c r="N208" s="6">
        <v>0.10199999999999999</v>
      </c>
      <c r="O208" s="97">
        <v>0.10199999999999999</v>
      </c>
      <c r="P208" s="6">
        <v>0</v>
      </c>
      <c r="Q208" s="4" t="s">
        <v>26</v>
      </c>
      <c r="R208" s="4">
        <v>0</v>
      </c>
      <c r="S208" s="4">
        <v>0</v>
      </c>
      <c r="T208" s="4">
        <v>16</v>
      </c>
      <c r="U208" s="4">
        <v>47</v>
      </c>
      <c r="V208" s="97">
        <f>IF(ISERROR(VLOOKUP($S$208,'TAR FIN'!$A$1:$O$86,15,0)),0,VLOOKUP($S$208,'TAR FIN'!$A$1:$O$86,15,0))</f>
        <v>0</v>
      </c>
      <c r="W208" s="97">
        <f>IF(ISERROR(VLOOKUP($T$208,'TAR FIN'!$A$1:$O$86,15,0)),0,VLOOKUP($T$208,'TAR FIN'!$A$1:$O$86,15,0))*(1-0.04)</f>
        <v>1276.4832000000001</v>
      </c>
      <c r="X208" s="97">
        <f>IF(ISERROR(VLOOKUP($U$208,'TAR FIN'!$A$1:$O$86,15,0)),0,VLOOKUP($U$208,'TAR FIN'!$A$1:$O$86,15,0))*(1-0.04)</f>
        <v>373.64159999999998</v>
      </c>
      <c r="Y208" s="97"/>
      <c r="Z208" s="97">
        <f ca="1">('TUSD BE'!$AM$12+'TUSD BF'!$AM$12+'TUSD CVA'!$AM$12)*1*(1-0.02)</f>
        <v>1052.8740579870318</v>
      </c>
      <c r="AA208" s="97">
        <f>('TE BE'!$AB$5+'TE BF'!$AB$5+'TE CVA'!$AB$5)*1*(1-0.02)</f>
        <v>346.47998010024565</v>
      </c>
      <c r="AB208" s="97">
        <f>(SUBSIDIO!$J$208*SUBSIDIO!$V$208)*(0.04)/(1-0.04)</f>
        <v>0</v>
      </c>
      <c r="AC208" s="97">
        <f>((SUBSIDIO!$L$208*SUBSIDIO!$W$208)+(SUBSIDIO!$N$208*SUBSIDIO!$X$208))*(0.04)/(1-0.04)</f>
        <v>7.0130304000000008</v>
      </c>
      <c r="AD208" s="97">
        <f>(SUBSIDIO!$J$208*SUBSIDIO!$Y$208)*(0.02)/(1-0.02)</f>
        <v>0</v>
      </c>
      <c r="AE208" s="97">
        <f ca="1">((SUBSIDIO!$L$208*SUBSIDIO!$Z$208)+(SUBSIDIO!$N$208*SUBSIDIO!$AA$208))*(0.02)/(1-0.02)</f>
        <v>2.9129410588755573</v>
      </c>
      <c r="AF208" s="4" t="s">
        <v>727</v>
      </c>
    </row>
    <row r="209" spans="1:32" ht="11.25" customHeight="1" x14ac:dyDescent="0.25">
      <c r="A209" s="4" t="s">
        <v>21</v>
      </c>
      <c r="B209" s="4" t="s">
        <v>38</v>
      </c>
      <c r="C209" s="4" t="s">
        <v>40</v>
      </c>
      <c r="D209" s="4" t="s">
        <v>43</v>
      </c>
      <c r="E209" s="4" t="s">
        <v>51</v>
      </c>
      <c r="F209" s="4" t="s">
        <v>25</v>
      </c>
      <c r="G209" s="4" t="s">
        <v>25</v>
      </c>
      <c r="H209" s="4" t="s">
        <v>33</v>
      </c>
      <c r="I209" s="5">
        <v>44652</v>
      </c>
      <c r="J209" s="6">
        <v>0</v>
      </c>
      <c r="K209" s="97">
        <v>0</v>
      </c>
      <c r="L209" s="6">
        <v>1.379</v>
      </c>
      <c r="M209" s="97">
        <v>1.379</v>
      </c>
      <c r="N209" s="6">
        <v>1.379</v>
      </c>
      <c r="O209" s="97">
        <v>1.379</v>
      </c>
      <c r="P209" s="6">
        <v>0</v>
      </c>
      <c r="Q209" s="4" t="s">
        <v>26</v>
      </c>
      <c r="R209" s="4">
        <v>0</v>
      </c>
      <c r="S209" s="4">
        <v>0</v>
      </c>
      <c r="T209" s="4">
        <v>16</v>
      </c>
      <c r="U209" s="4">
        <v>47</v>
      </c>
      <c r="V209" s="97">
        <f>IF(ISERROR(VLOOKUP($S$209,'TAR FIN'!$A$1:$O$86,15,0)),0,VLOOKUP($S$209,'TAR FIN'!$A$1:$O$86,15,0))</f>
        <v>0</v>
      </c>
      <c r="W209" s="97">
        <f>IF(ISERROR(VLOOKUP($T$209,'TAR FIN'!$A$1:$O$86,15,0)),0,VLOOKUP($T$209,'TAR FIN'!$A$1:$O$86,15,0))*(1-0.04)</f>
        <v>1276.4832000000001</v>
      </c>
      <c r="X209" s="97">
        <f>IF(ISERROR(VLOOKUP($U$209,'TAR FIN'!$A$1:$O$86,15,0)),0,VLOOKUP($U$209,'TAR FIN'!$A$1:$O$86,15,0))*(1-0.04)</f>
        <v>373.64159999999998</v>
      </c>
      <c r="Y209" s="97"/>
      <c r="Z209" s="97">
        <f ca="1">('TUSD BE'!$AM$12+'TUSD BF'!$AM$12+'TUSD CVA'!$AM$12)*1*(1-0.02)</f>
        <v>1052.8740579870318</v>
      </c>
      <c r="AA209" s="97">
        <f>('TE BE'!$AB$5+'TE BF'!$AB$5+'TE CVA'!$AB$5)*1*(1-0.02)</f>
        <v>346.47998010024565</v>
      </c>
      <c r="AB209" s="97">
        <f>(SUBSIDIO!$J$209*SUBSIDIO!$V$209)*(0.04)/(1-0.04)</f>
        <v>0</v>
      </c>
      <c r="AC209" s="97">
        <f>((SUBSIDIO!$L$209*SUBSIDIO!$W$209)+(SUBSIDIO!$N$209*SUBSIDIO!$X$209))*(0.04)/(1-0.04)</f>
        <v>94.813420800000031</v>
      </c>
      <c r="AD209" s="97">
        <f>(SUBSIDIO!$J$209*SUBSIDIO!$Y$209)*(0.02)/(1-0.02)</f>
        <v>0</v>
      </c>
      <c r="AE209" s="97">
        <f ca="1">((SUBSIDIO!$L$209*SUBSIDIO!$Z$209)+(SUBSIDIO!$N$209*SUBSIDIO!$AA$209))*(0.02)/(1-0.02)</f>
        <v>39.381820786170522</v>
      </c>
      <c r="AF209" s="4" t="s">
        <v>727</v>
      </c>
    </row>
    <row r="210" spans="1:32" ht="11.25" customHeight="1" x14ac:dyDescent="0.25">
      <c r="A210" s="4" t="s">
        <v>55</v>
      </c>
      <c r="B210" s="4" t="s">
        <v>38</v>
      </c>
      <c r="C210" s="4" t="s">
        <v>40</v>
      </c>
      <c r="D210" s="4" t="s">
        <v>43</v>
      </c>
      <c r="E210" s="4" t="s">
        <v>51</v>
      </c>
      <c r="F210" s="4" t="s">
        <v>25</v>
      </c>
      <c r="G210" s="4" t="s">
        <v>25</v>
      </c>
      <c r="H210" s="4" t="s">
        <v>33</v>
      </c>
      <c r="I210" s="5">
        <v>44652</v>
      </c>
      <c r="J210" s="6">
        <v>0</v>
      </c>
      <c r="K210" s="97">
        <v>0</v>
      </c>
      <c r="L210" s="6">
        <v>6.9000000000000006E-2</v>
      </c>
      <c r="M210" s="97">
        <v>6.9000000000000006E-2</v>
      </c>
      <c r="N210" s="6">
        <v>6.9000000000000006E-2</v>
      </c>
      <c r="O210" s="97">
        <v>6.9000000000000006E-2</v>
      </c>
      <c r="P210" s="6">
        <v>0</v>
      </c>
      <c r="Q210" s="4" t="s">
        <v>26</v>
      </c>
      <c r="R210" s="4">
        <v>0</v>
      </c>
      <c r="S210" s="4">
        <v>0</v>
      </c>
      <c r="T210" s="4">
        <v>16</v>
      </c>
      <c r="U210" s="4">
        <v>47</v>
      </c>
      <c r="V210" s="97">
        <f>IF(ISERROR(VLOOKUP($S$210,'TAR FIN'!$A$1:$O$86,15,0)),0,VLOOKUP($S$210,'TAR FIN'!$A$1:$O$86,15,0))</f>
        <v>0</v>
      </c>
      <c r="W210" s="97">
        <f>IF(ISERROR(VLOOKUP($T$210,'TAR FIN'!$A$1:$O$86,15,0)),0,VLOOKUP($T$210,'TAR FIN'!$A$1:$O$86,15,0))*(1-0.04)</f>
        <v>1276.4832000000001</v>
      </c>
      <c r="X210" s="97">
        <f>IF(ISERROR(VLOOKUP($U$210,'TAR FIN'!$A$1:$O$86,15,0)),0,VLOOKUP($U$210,'TAR FIN'!$A$1:$O$86,15,0))*(1-0.04)</f>
        <v>373.64159999999998</v>
      </c>
      <c r="Y210" s="97"/>
      <c r="Z210" s="97">
        <f ca="1">('TUSD BE'!$AM$12+'TUSD BF'!$AM$12+'TUSD CVA'!$AM$12)*1*(1-0.02)</f>
        <v>1052.8740579870318</v>
      </c>
      <c r="AA210" s="97">
        <f>('TE BE'!$AB$5+'TE BF'!$AB$5+'TE CVA'!$AB$5)*1*(1-0.02)</f>
        <v>346.47998010024565</v>
      </c>
      <c r="AB210" s="97">
        <f>(SUBSIDIO!$J$210*SUBSIDIO!$V$210)*(0.04)/(1-0.04)</f>
        <v>0</v>
      </c>
      <c r="AC210" s="97">
        <f>((SUBSIDIO!$L$210*SUBSIDIO!$W$210)+(SUBSIDIO!$N$210*SUBSIDIO!$X$210))*(0.04)/(1-0.04)</f>
        <v>4.7441088000000011</v>
      </c>
      <c r="AD210" s="97">
        <f>(SUBSIDIO!$J$210*SUBSIDIO!$Y$210)*(0.02)/(1-0.02)</f>
        <v>0</v>
      </c>
      <c r="AE210" s="97">
        <f ca="1">((SUBSIDIO!$L$210*SUBSIDIO!$Z$210)+(SUBSIDIO!$N$210*SUBSIDIO!$AA$210))*(0.02)/(1-0.02)</f>
        <v>1.970518951592289</v>
      </c>
      <c r="AF210" s="4" t="s">
        <v>727</v>
      </c>
    </row>
    <row r="211" spans="1:32" ht="11.25" customHeight="1" x14ac:dyDescent="0.25">
      <c r="A211" s="4" t="s">
        <v>21</v>
      </c>
      <c r="B211" s="4" t="s">
        <v>38</v>
      </c>
      <c r="C211" s="4" t="s">
        <v>40</v>
      </c>
      <c r="D211" s="4" t="s">
        <v>43</v>
      </c>
      <c r="E211" s="4" t="s">
        <v>51</v>
      </c>
      <c r="F211" s="4" t="s">
        <v>25</v>
      </c>
      <c r="G211" s="4" t="s">
        <v>25</v>
      </c>
      <c r="H211" s="4" t="s">
        <v>33</v>
      </c>
      <c r="I211" s="5">
        <v>44682</v>
      </c>
      <c r="J211" s="6">
        <v>0</v>
      </c>
      <c r="K211" s="97">
        <v>0</v>
      </c>
      <c r="L211" s="6">
        <v>2.895</v>
      </c>
      <c r="M211" s="97">
        <v>2.895</v>
      </c>
      <c r="N211" s="6">
        <v>2.895</v>
      </c>
      <c r="O211" s="97">
        <v>2.895</v>
      </c>
      <c r="P211" s="6">
        <v>0</v>
      </c>
      <c r="Q211" s="4" t="s">
        <v>26</v>
      </c>
      <c r="R211" s="4">
        <v>0</v>
      </c>
      <c r="S211" s="4">
        <v>0</v>
      </c>
      <c r="T211" s="4">
        <v>16</v>
      </c>
      <c r="U211" s="4">
        <v>47</v>
      </c>
      <c r="V211" s="97">
        <f>IF(ISERROR(VLOOKUP($S$211,'TAR FIN'!$A$1:$O$86,15,0)),0,VLOOKUP($S$211,'TAR FIN'!$A$1:$O$86,15,0))</f>
        <v>0</v>
      </c>
      <c r="W211" s="97">
        <f>IF(ISERROR(VLOOKUP($T$211,'TAR FIN'!$A$1:$O$86,15,0)),0,VLOOKUP($T$211,'TAR FIN'!$A$1:$O$86,15,0))*(1-0.04)</f>
        <v>1276.4832000000001</v>
      </c>
      <c r="X211" s="97">
        <f>IF(ISERROR(VLOOKUP($U$211,'TAR FIN'!$A$1:$O$86,15,0)),0,VLOOKUP($U$211,'TAR FIN'!$A$1:$O$86,15,0))*(1-0.04)</f>
        <v>373.64159999999998</v>
      </c>
      <c r="Y211" s="97"/>
      <c r="Z211" s="97">
        <f ca="1">('TUSD BE'!$AM$12+'TUSD BF'!$AM$12+'TUSD CVA'!$AM$12)*1*(1-0.02)</f>
        <v>1052.8740579870318</v>
      </c>
      <c r="AA211" s="97">
        <f>('TE BE'!$AB$5+'TE BF'!$AB$5+'TE CVA'!$AB$5)*1*(1-0.02)</f>
        <v>346.47998010024565</v>
      </c>
      <c r="AB211" s="97">
        <f>(SUBSIDIO!$J$211*SUBSIDIO!$V$211)*(0.04)/(1-0.04)</f>
        <v>0</v>
      </c>
      <c r="AC211" s="97">
        <f>((SUBSIDIO!$L$211*SUBSIDIO!$W$211)+(SUBSIDIO!$N$211*SUBSIDIO!$X$211))*(0.04)/(1-0.04)</f>
        <v>199.04630400000002</v>
      </c>
      <c r="AD211" s="97">
        <f>(SUBSIDIO!$J$211*SUBSIDIO!$Y$211)*(0.02)/(1-0.02)</f>
        <v>0</v>
      </c>
      <c r="AE211" s="97">
        <f ca="1">((SUBSIDIO!$L$211*SUBSIDIO!$Z$211)+(SUBSIDIO!$N$211*SUBSIDIO!$AA$211))*(0.02)/(1-0.02)</f>
        <v>82.676121229850381</v>
      </c>
      <c r="AF211" s="4" t="s">
        <v>727</v>
      </c>
    </row>
    <row r="212" spans="1:32" ht="11.25" customHeight="1" x14ac:dyDescent="0.25">
      <c r="A212" s="4" t="s">
        <v>55</v>
      </c>
      <c r="B212" s="4" t="s">
        <v>38</v>
      </c>
      <c r="C212" s="4" t="s">
        <v>40</v>
      </c>
      <c r="D212" s="4" t="s">
        <v>43</v>
      </c>
      <c r="E212" s="4" t="s">
        <v>51</v>
      </c>
      <c r="F212" s="4" t="s">
        <v>25</v>
      </c>
      <c r="G212" s="4" t="s">
        <v>25</v>
      </c>
      <c r="H212" s="4" t="s">
        <v>33</v>
      </c>
      <c r="I212" s="5">
        <v>44682</v>
      </c>
      <c r="J212" s="6">
        <v>0</v>
      </c>
      <c r="K212" s="97">
        <v>0</v>
      </c>
      <c r="L212" s="6">
        <v>0.08</v>
      </c>
      <c r="M212" s="97">
        <v>0.08</v>
      </c>
      <c r="N212" s="6">
        <v>0.08</v>
      </c>
      <c r="O212" s="97">
        <v>0.08</v>
      </c>
      <c r="P212" s="6">
        <v>0</v>
      </c>
      <c r="Q212" s="4" t="s">
        <v>26</v>
      </c>
      <c r="R212" s="4">
        <v>0</v>
      </c>
      <c r="S212" s="4">
        <v>0</v>
      </c>
      <c r="T212" s="4">
        <v>16</v>
      </c>
      <c r="U212" s="4">
        <v>47</v>
      </c>
      <c r="V212" s="97">
        <f>IF(ISERROR(VLOOKUP($S$212,'TAR FIN'!$A$1:$O$86,15,0)),0,VLOOKUP($S$212,'TAR FIN'!$A$1:$O$86,15,0))</f>
        <v>0</v>
      </c>
      <c r="W212" s="97">
        <f>IF(ISERROR(VLOOKUP($T$212,'TAR FIN'!$A$1:$O$86,15,0)),0,VLOOKUP($T$212,'TAR FIN'!$A$1:$O$86,15,0))*(1-0.04)</f>
        <v>1276.4832000000001</v>
      </c>
      <c r="X212" s="97">
        <f>IF(ISERROR(VLOOKUP($U$212,'TAR FIN'!$A$1:$O$86,15,0)),0,VLOOKUP($U$212,'TAR FIN'!$A$1:$O$86,15,0))*(1-0.04)</f>
        <v>373.64159999999998</v>
      </c>
      <c r="Y212" s="97"/>
      <c r="Z212" s="97">
        <f ca="1">('TUSD BE'!$AM$12+'TUSD BF'!$AM$12+'TUSD CVA'!$AM$12)*1*(1-0.02)</f>
        <v>1052.8740579870318</v>
      </c>
      <c r="AA212" s="97">
        <f>('TE BE'!$AB$5+'TE BF'!$AB$5+'TE CVA'!$AB$5)*1*(1-0.02)</f>
        <v>346.47998010024565</v>
      </c>
      <c r="AB212" s="97">
        <f>(SUBSIDIO!$J$212*SUBSIDIO!$V$212)*(0.04)/(1-0.04)</f>
        <v>0</v>
      </c>
      <c r="AC212" s="97">
        <f>((SUBSIDIO!$L$212*SUBSIDIO!$W$212)+(SUBSIDIO!$N$212*SUBSIDIO!$X$212))*(0.04)/(1-0.04)</f>
        <v>5.5004160000000004</v>
      </c>
      <c r="AD212" s="97">
        <f>(SUBSIDIO!$J$212*SUBSIDIO!$Y$212)*(0.02)/(1-0.02)</f>
        <v>0</v>
      </c>
      <c r="AE212" s="97">
        <f ca="1">((SUBSIDIO!$L$212*SUBSIDIO!$Z$212)+(SUBSIDIO!$N$212*SUBSIDIO!$AA$212))*(0.02)/(1-0.02)</f>
        <v>2.2846596540200448</v>
      </c>
      <c r="AF212" s="4" t="s">
        <v>727</v>
      </c>
    </row>
    <row r="213" spans="1:32" ht="11.25" customHeight="1" x14ac:dyDescent="0.25">
      <c r="A213" s="4" t="s">
        <v>56</v>
      </c>
      <c r="B213" s="4" t="s">
        <v>38</v>
      </c>
      <c r="C213" s="4" t="s">
        <v>40</v>
      </c>
      <c r="D213" s="4" t="s">
        <v>43</v>
      </c>
      <c r="E213" s="4" t="s">
        <v>51</v>
      </c>
      <c r="F213" s="4" t="s">
        <v>25</v>
      </c>
      <c r="G213" s="4" t="s">
        <v>25</v>
      </c>
      <c r="H213" s="4" t="s">
        <v>33</v>
      </c>
      <c r="I213" s="5">
        <v>44713</v>
      </c>
      <c r="J213" s="6">
        <v>0</v>
      </c>
      <c r="K213" s="97">
        <v>0</v>
      </c>
      <c r="L213" s="6">
        <v>2.895</v>
      </c>
      <c r="M213" s="97">
        <v>2.895</v>
      </c>
      <c r="N213" s="6">
        <v>2.895</v>
      </c>
      <c r="O213" s="97">
        <v>2.895</v>
      </c>
      <c r="P213" s="6">
        <v>0</v>
      </c>
      <c r="Q213" s="4" t="s">
        <v>26</v>
      </c>
      <c r="R213" s="4">
        <v>0</v>
      </c>
      <c r="S213" s="4">
        <v>0</v>
      </c>
      <c r="T213" s="4">
        <v>16</v>
      </c>
      <c r="U213" s="4">
        <v>47</v>
      </c>
      <c r="V213" s="97">
        <f>IF(ISERROR(VLOOKUP($S$213,'TAR FIN'!$A$1:$O$86,15,0)),0,VLOOKUP($S$213,'TAR FIN'!$A$1:$O$86,15,0))</f>
        <v>0</v>
      </c>
      <c r="W213" s="97">
        <f>IF(ISERROR(VLOOKUP($T$213,'TAR FIN'!$A$1:$O$86,15,0)),0,VLOOKUP($T$213,'TAR FIN'!$A$1:$O$86,15,0))*(1-0.04)</f>
        <v>1276.4832000000001</v>
      </c>
      <c r="X213" s="97">
        <f>IF(ISERROR(VLOOKUP($U$213,'TAR FIN'!$A$1:$O$86,15,0)),0,VLOOKUP($U$213,'TAR FIN'!$A$1:$O$86,15,0))*(1-0.04)</f>
        <v>373.64159999999998</v>
      </c>
      <c r="Y213" s="97"/>
      <c r="Z213" s="97">
        <f ca="1">('TUSD BE'!$AM$12+'TUSD BF'!$AM$12+'TUSD CVA'!$AM$12)*1*(1-0.02)</f>
        <v>1052.8740579870318</v>
      </c>
      <c r="AA213" s="97">
        <f>('TE BE'!$AB$5+'TE BF'!$AB$5+'TE CVA'!$AB$5)*1*(1-0.02)</f>
        <v>346.47998010024565</v>
      </c>
      <c r="AB213" s="97">
        <f>(SUBSIDIO!$J$213*SUBSIDIO!$V$213)*(0.04)/(1-0.04)</f>
        <v>0</v>
      </c>
      <c r="AC213" s="97">
        <f>((SUBSIDIO!$L$213*SUBSIDIO!$W$213)+(SUBSIDIO!$N$213*SUBSIDIO!$X$213))*(0.04)/(1-0.04)</f>
        <v>199.04630400000002</v>
      </c>
      <c r="AD213" s="97">
        <f>(SUBSIDIO!$J$213*SUBSIDIO!$Y$213)*(0.02)/(1-0.02)</f>
        <v>0</v>
      </c>
      <c r="AE213" s="97">
        <f ca="1">((SUBSIDIO!$L$213*SUBSIDIO!$Z$213)+(SUBSIDIO!$N$213*SUBSIDIO!$AA$213))*(0.02)/(1-0.02)</f>
        <v>82.676121229850381</v>
      </c>
      <c r="AF213" s="4" t="s">
        <v>727</v>
      </c>
    </row>
    <row r="214" spans="1:32" ht="11.25" customHeight="1" x14ac:dyDescent="0.25">
      <c r="A214" s="4" t="s">
        <v>56</v>
      </c>
      <c r="B214" s="4" t="s">
        <v>38</v>
      </c>
      <c r="C214" s="4" t="s">
        <v>40</v>
      </c>
      <c r="D214" s="4" t="s">
        <v>43</v>
      </c>
      <c r="E214" s="4" t="s">
        <v>51</v>
      </c>
      <c r="F214" s="4" t="s">
        <v>25</v>
      </c>
      <c r="G214" s="4" t="s">
        <v>25</v>
      </c>
      <c r="H214" s="4" t="s">
        <v>33</v>
      </c>
      <c r="I214" s="5">
        <v>44713</v>
      </c>
      <c r="J214" s="6">
        <v>0</v>
      </c>
      <c r="K214" s="97">
        <v>0</v>
      </c>
      <c r="L214" s="6">
        <v>0.08</v>
      </c>
      <c r="M214" s="97">
        <v>0.08</v>
      </c>
      <c r="N214" s="6">
        <v>0.08</v>
      </c>
      <c r="O214" s="97">
        <v>0.08</v>
      </c>
      <c r="P214" s="6">
        <v>0</v>
      </c>
      <c r="Q214" s="4" t="s">
        <v>26</v>
      </c>
      <c r="R214" s="4">
        <v>0</v>
      </c>
      <c r="S214" s="4">
        <v>0</v>
      </c>
      <c r="T214" s="4">
        <v>16</v>
      </c>
      <c r="U214" s="4">
        <v>47</v>
      </c>
      <c r="V214" s="97">
        <f>IF(ISERROR(VLOOKUP($S$214,'TAR FIN'!$A$1:$O$86,15,0)),0,VLOOKUP($S$214,'TAR FIN'!$A$1:$O$86,15,0))</f>
        <v>0</v>
      </c>
      <c r="W214" s="97">
        <f>IF(ISERROR(VLOOKUP($T$214,'TAR FIN'!$A$1:$O$86,15,0)),0,VLOOKUP($T$214,'TAR FIN'!$A$1:$O$86,15,0))*(1-0.04)</f>
        <v>1276.4832000000001</v>
      </c>
      <c r="X214" s="97">
        <f>IF(ISERROR(VLOOKUP($U$214,'TAR FIN'!$A$1:$O$86,15,0)),0,VLOOKUP($U$214,'TAR FIN'!$A$1:$O$86,15,0))*(1-0.04)</f>
        <v>373.64159999999998</v>
      </c>
      <c r="Y214" s="97"/>
      <c r="Z214" s="97">
        <f ca="1">('TUSD BE'!$AM$12+'TUSD BF'!$AM$12+'TUSD CVA'!$AM$12)*1*(1-0.02)</f>
        <v>1052.8740579870318</v>
      </c>
      <c r="AA214" s="97">
        <f>('TE BE'!$AB$5+'TE BF'!$AB$5+'TE CVA'!$AB$5)*1*(1-0.02)</f>
        <v>346.47998010024565</v>
      </c>
      <c r="AB214" s="97">
        <f>(SUBSIDIO!$J$214*SUBSIDIO!$V$214)*(0.04)/(1-0.04)</f>
        <v>0</v>
      </c>
      <c r="AC214" s="97">
        <f>((SUBSIDIO!$L$214*SUBSIDIO!$W$214)+(SUBSIDIO!$N$214*SUBSIDIO!$X$214))*(0.04)/(1-0.04)</f>
        <v>5.5004160000000004</v>
      </c>
      <c r="AD214" s="97">
        <f>(SUBSIDIO!$J$214*SUBSIDIO!$Y$214)*(0.02)/(1-0.02)</f>
        <v>0</v>
      </c>
      <c r="AE214" s="97">
        <f ca="1">((SUBSIDIO!$L$214*SUBSIDIO!$Z$214)+(SUBSIDIO!$N$214*SUBSIDIO!$AA$214))*(0.02)/(1-0.02)</f>
        <v>2.2846596540200448</v>
      </c>
      <c r="AF214" s="4" t="s">
        <v>727</v>
      </c>
    </row>
    <row r="215" spans="1:32" ht="11.25" customHeight="1" x14ac:dyDescent="0.25">
      <c r="A215" s="4" t="s">
        <v>21</v>
      </c>
      <c r="B215" s="4" t="s">
        <v>38</v>
      </c>
      <c r="C215" s="4" t="s">
        <v>40</v>
      </c>
      <c r="D215" s="4" t="s">
        <v>43</v>
      </c>
      <c r="E215" s="4" t="s">
        <v>25</v>
      </c>
      <c r="F215" s="4" t="s">
        <v>25</v>
      </c>
      <c r="G215" s="4" t="s">
        <v>25</v>
      </c>
      <c r="H215" s="4" t="s">
        <v>34</v>
      </c>
      <c r="I215" s="5">
        <v>44378</v>
      </c>
      <c r="J215" s="6">
        <v>0</v>
      </c>
      <c r="K215" s="97">
        <v>0</v>
      </c>
      <c r="L215" s="6">
        <v>60.76</v>
      </c>
      <c r="M215" s="97">
        <v>60.76</v>
      </c>
      <c r="N215" s="6">
        <v>60.76</v>
      </c>
      <c r="O215" s="97">
        <v>60.76</v>
      </c>
      <c r="P215" s="6">
        <v>0</v>
      </c>
      <c r="Q215" s="4" t="s">
        <v>26</v>
      </c>
      <c r="R215" s="4">
        <v>0</v>
      </c>
      <c r="S215" s="4">
        <v>0</v>
      </c>
      <c r="T215" s="4">
        <v>14</v>
      </c>
      <c r="U215" s="4">
        <v>42</v>
      </c>
      <c r="V215" s="97">
        <f>IF(ISERROR(VLOOKUP($S$215,'TAR FIN'!$A$1:$O$86,15,0)),0,VLOOKUP($S$215,'TAR FIN'!$A$1:$O$86,15,0))</f>
        <v>0</v>
      </c>
      <c r="W215" s="97">
        <f>IF(ISERROR(VLOOKUP($T$215,'TAR FIN'!$A$1:$O$86,15,0)),0,VLOOKUP($T$215,'TAR FIN'!$A$1:$O$86,15,0))*(1-0.04)</f>
        <v>75.532800000000009</v>
      </c>
      <c r="X215" s="97">
        <f>IF(ISERROR(VLOOKUP($U$215,'TAR FIN'!$A$1:$O$86,15,0)),0,VLOOKUP($U$215,'TAR FIN'!$A$1:$O$86,15,0))*(1-0.04)</f>
        <v>236.44800000000001</v>
      </c>
      <c r="Y215" s="97"/>
      <c r="Z215" s="97">
        <f ca="1">('TUSD BE'!$AM$13+'TUSD BF'!$AM$13+'TUSD CVA'!$AM$13)*1*(1-0.02)</f>
        <v>98.232805801237291</v>
      </c>
      <c r="AA215" s="97">
        <f>('TE BE'!$AB$6+'TE BF'!$AB$6+'TE CVA'!$AB$6)*1*(1-0.02)</f>
        <v>215.01557219628384</v>
      </c>
      <c r="AB215" s="97">
        <f>(SUBSIDIO!$J$215*SUBSIDIO!$V$215)*(0.04)/(1-0.04)</f>
        <v>0</v>
      </c>
      <c r="AC215" s="97">
        <f>((SUBSIDIO!$L$215*SUBSIDIO!$W$215)+(SUBSIDIO!$N$215*SUBSIDIO!$X$215))*(0.04)/(1-0.04)</f>
        <v>789.83139200000016</v>
      </c>
      <c r="AD215" s="97">
        <f>(SUBSIDIO!$J$215*SUBSIDIO!$Y$215)*(0.02)/(1-0.02)</f>
        <v>0</v>
      </c>
      <c r="AE215" s="97">
        <f ca="1">((SUBSIDIO!$L$215*SUBSIDIO!$Z$215)+(SUBSIDIO!$N$215*SUBSIDIO!$AA$215))*(0.02)/(1-0.02)</f>
        <v>388.42798871692622</v>
      </c>
      <c r="AF215" s="4" t="s">
        <v>727</v>
      </c>
    </row>
    <row r="216" spans="1:32" ht="11.25" customHeight="1" x14ac:dyDescent="0.25">
      <c r="A216" s="4" t="s">
        <v>21</v>
      </c>
      <c r="B216" s="4" t="s">
        <v>38</v>
      </c>
      <c r="C216" s="4" t="s">
        <v>40</v>
      </c>
      <c r="D216" s="4" t="s">
        <v>43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44409</v>
      </c>
      <c r="J216" s="6">
        <v>0</v>
      </c>
      <c r="K216" s="97">
        <v>0</v>
      </c>
      <c r="L216" s="6">
        <v>38.04</v>
      </c>
      <c r="M216" s="97">
        <v>38.04</v>
      </c>
      <c r="N216" s="6">
        <v>38.04</v>
      </c>
      <c r="O216" s="97">
        <v>38.04</v>
      </c>
      <c r="P216" s="6">
        <v>0</v>
      </c>
      <c r="Q216" s="4" t="s">
        <v>26</v>
      </c>
      <c r="R216" s="4">
        <v>0</v>
      </c>
      <c r="S216" s="4">
        <v>0</v>
      </c>
      <c r="T216" s="4">
        <v>14</v>
      </c>
      <c r="U216" s="4">
        <v>42</v>
      </c>
      <c r="V216" s="97">
        <f>IF(ISERROR(VLOOKUP($S$216,'TAR FIN'!$A$1:$O$86,15,0)),0,VLOOKUP($S$216,'TAR FIN'!$A$1:$O$86,15,0))</f>
        <v>0</v>
      </c>
      <c r="W216" s="97">
        <f>IF(ISERROR(VLOOKUP($T$216,'TAR FIN'!$A$1:$O$86,15,0)),0,VLOOKUP($T$216,'TAR FIN'!$A$1:$O$86,15,0))*(1-0.04)</f>
        <v>75.532800000000009</v>
      </c>
      <c r="X216" s="97">
        <f>IF(ISERROR(VLOOKUP($U$216,'TAR FIN'!$A$1:$O$86,15,0)),0,VLOOKUP($U$216,'TAR FIN'!$A$1:$O$86,15,0))*(1-0.04)</f>
        <v>236.44800000000001</v>
      </c>
      <c r="Y216" s="97"/>
      <c r="Z216" s="97">
        <f ca="1">('TUSD BE'!$AM$13+'TUSD BF'!$AM$13+'TUSD CVA'!$AM$13)*1*(1-0.02)</f>
        <v>98.232805801237291</v>
      </c>
      <c r="AA216" s="97">
        <f>('TE BE'!$AB$6+'TE BF'!$AB$6+'TE CVA'!$AB$6)*1*(1-0.02)</f>
        <v>215.01557219628384</v>
      </c>
      <c r="AB216" s="97">
        <f>(SUBSIDIO!$J$216*SUBSIDIO!$V$216)*(0.04)/(1-0.04)</f>
        <v>0</v>
      </c>
      <c r="AC216" s="97">
        <f>((SUBSIDIO!$L$216*SUBSIDIO!$W$216)+(SUBSIDIO!$N$216*SUBSIDIO!$X$216))*(0.04)/(1-0.04)</f>
        <v>494.48956800000008</v>
      </c>
      <c r="AD216" s="97">
        <f>(SUBSIDIO!$J$216*SUBSIDIO!$Y$216)*(0.02)/(1-0.02)</f>
        <v>0</v>
      </c>
      <c r="AE216" s="97">
        <f ca="1">((SUBSIDIO!$L$216*SUBSIDIO!$Z$216)+(SUBSIDIO!$N$216*SUBSIDIO!$AA$216))*(0.02)/(1-0.02)</f>
        <v>243.18302651072864</v>
      </c>
      <c r="AF216" s="4" t="s">
        <v>727</v>
      </c>
    </row>
    <row r="217" spans="1:32" ht="11.25" customHeight="1" x14ac:dyDescent="0.25">
      <c r="A217" s="4" t="s">
        <v>21</v>
      </c>
      <c r="B217" s="4" t="s">
        <v>38</v>
      </c>
      <c r="C217" s="4" t="s">
        <v>40</v>
      </c>
      <c r="D217" s="4" t="s">
        <v>43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44440</v>
      </c>
      <c r="J217" s="6">
        <v>0</v>
      </c>
      <c r="K217" s="97">
        <v>0</v>
      </c>
      <c r="L217" s="6">
        <v>37.301000000000002</v>
      </c>
      <c r="M217" s="97">
        <v>37.301000000000002</v>
      </c>
      <c r="N217" s="6">
        <v>37.301000000000002</v>
      </c>
      <c r="O217" s="97">
        <v>37.301000000000002</v>
      </c>
      <c r="P217" s="6">
        <v>0</v>
      </c>
      <c r="Q217" s="4" t="s">
        <v>26</v>
      </c>
      <c r="R217" s="4">
        <v>0</v>
      </c>
      <c r="S217" s="4">
        <v>0</v>
      </c>
      <c r="T217" s="4">
        <v>14</v>
      </c>
      <c r="U217" s="4">
        <v>42</v>
      </c>
      <c r="V217" s="97">
        <f>IF(ISERROR(VLOOKUP($S$217,'TAR FIN'!$A$1:$O$86,15,0)),0,VLOOKUP($S$217,'TAR FIN'!$A$1:$O$86,15,0))</f>
        <v>0</v>
      </c>
      <c r="W217" s="97">
        <f>IF(ISERROR(VLOOKUP($T$217,'TAR FIN'!$A$1:$O$86,15,0)),0,VLOOKUP($T$217,'TAR FIN'!$A$1:$O$86,15,0))*(1-0.04)</f>
        <v>75.532800000000009</v>
      </c>
      <c r="X217" s="97">
        <f>IF(ISERROR(VLOOKUP($U$217,'TAR FIN'!$A$1:$O$86,15,0)),0,VLOOKUP($U$217,'TAR FIN'!$A$1:$O$86,15,0))*(1-0.04)</f>
        <v>236.44800000000001</v>
      </c>
      <c r="Y217" s="97"/>
      <c r="Z217" s="97">
        <f ca="1">('TUSD BE'!$AM$13+'TUSD BF'!$AM$13+'TUSD CVA'!$AM$13)*1*(1-0.02)</f>
        <v>98.232805801237291</v>
      </c>
      <c r="AA217" s="97">
        <f>('TE BE'!$AB$6+'TE BF'!$AB$6+'TE CVA'!$AB$6)*1*(1-0.02)</f>
        <v>215.01557219628384</v>
      </c>
      <c r="AB217" s="97">
        <f>(SUBSIDIO!$J$217*SUBSIDIO!$V$217)*(0.04)/(1-0.04)</f>
        <v>0</v>
      </c>
      <c r="AC217" s="97">
        <f>((SUBSIDIO!$L$217*SUBSIDIO!$W$217)+(SUBSIDIO!$N$217*SUBSIDIO!$X$217))*(0.04)/(1-0.04)</f>
        <v>484.88315920000014</v>
      </c>
      <c r="AD217" s="97">
        <f>(SUBSIDIO!$J$217*SUBSIDIO!$Y$217)*(0.02)/(1-0.02)</f>
        <v>0</v>
      </c>
      <c r="AE217" s="97">
        <f ca="1">((SUBSIDIO!$L$217*SUBSIDIO!$Z$217)+(SUBSIDIO!$N$217*SUBSIDIO!$AA$217))*(0.02)/(1-0.02)</f>
        <v>238.45872954460279</v>
      </c>
      <c r="AF217" s="4" t="s">
        <v>727</v>
      </c>
    </row>
    <row r="218" spans="1:32" ht="11.25" customHeight="1" x14ac:dyDescent="0.25">
      <c r="A218" s="4" t="s">
        <v>21</v>
      </c>
      <c r="B218" s="4" t="s">
        <v>38</v>
      </c>
      <c r="C218" s="4" t="s">
        <v>40</v>
      </c>
      <c r="D218" s="4" t="s">
        <v>43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44470</v>
      </c>
      <c r="J218" s="6">
        <v>0</v>
      </c>
      <c r="K218" s="97">
        <v>0</v>
      </c>
      <c r="L218" s="6">
        <v>60.843000000000004</v>
      </c>
      <c r="M218" s="97">
        <v>60.843000000000004</v>
      </c>
      <c r="N218" s="6">
        <v>60.843000000000004</v>
      </c>
      <c r="O218" s="97">
        <v>60.843000000000004</v>
      </c>
      <c r="P218" s="6">
        <v>0</v>
      </c>
      <c r="Q218" s="4" t="s">
        <v>26</v>
      </c>
      <c r="R218" s="4">
        <v>0</v>
      </c>
      <c r="S218" s="4">
        <v>0</v>
      </c>
      <c r="T218" s="4">
        <v>14</v>
      </c>
      <c r="U218" s="4">
        <v>42</v>
      </c>
      <c r="V218" s="97">
        <f>IF(ISERROR(VLOOKUP($S$218,'TAR FIN'!$A$1:$O$86,15,0)),0,VLOOKUP($S$218,'TAR FIN'!$A$1:$O$86,15,0))</f>
        <v>0</v>
      </c>
      <c r="W218" s="97">
        <f>IF(ISERROR(VLOOKUP($T$218,'TAR FIN'!$A$1:$O$86,15,0)),0,VLOOKUP($T$218,'TAR FIN'!$A$1:$O$86,15,0))*(1-0.04)</f>
        <v>75.532800000000009</v>
      </c>
      <c r="X218" s="97">
        <f>IF(ISERROR(VLOOKUP($U$218,'TAR FIN'!$A$1:$O$86,15,0)),0,VLOOKUP($U$218,'TAR FIN'!$A$1:$O$86,15,0))*(1-0.04)</f>
        <v>236.44800000000001</v>
      </c>
      <c r="Y218" s="97"/>
      <c r="Z218" s="97">
        <f ca="1">('TUSD BE'!$AM$13+'TUSD BF'!$AM$13+'TUSD CVA'!$AM$13)*1*(1-0.02)</f>
        <v>98.232805801237291</v>
      </c>
      <c r="AA218" s="97">
        <f>('TE BE'!$AB$6+'TE BF'!$AB$6+'TE CVA'!$AB$6)*1*(1-0.02)</f>
        <v>215.01557219628384</v>
      </c>
      <c r="AB218" s="97">
        <f>(SUBSIDIO!$J$218*SUBSIDIO!$V$218)*(0.04)/(1-0.04)</f>
        <v>0</v>
      </c>
      <c r="AC218" s="97">
        <f>((SUBSIDIO!$L$218*SUBSIDIO!$W$218)+(SUBSIDIO!$N$218*SUBSIDIO!$X$218))*(0.04)/(1-0.04)</f>
        <v>790.91032560000019</v>
      </c>
      <c r="AD218" s="97">
        <f>(SUBSIDIO!$J$218*SUBSIDIO!$Y$218)*(0.02)/(1-0.02)</f>
        <v>0</v>
      </c>
      <c r="AE218" s="97">
        <f ca="1">((SUBSIDIO!$L$218*SUBSIDIO!$Z$218)+(SUBSIDIO!$N$218*SUBSIDIO!$AA$218))*(0.02)/(1-0.02)</f>
        <v>388.95859311230981</v>
      </c>
      <c r="AF218" s="4" t="s">
        <v>727</v>
      </c>
    </row>
    <row r="219" spans="1:32" ht="11.25" customHeight="1" x14ac:dyDescent="0.25">
      <c r="A219" s="4" t="s">
        <v>21</v>
      </c>
      <c r="B219" s="4" t="s">
        <v>38</v>
      </c>
      <c r="C219" s="4" t="s">
        <v>40</v>
      </c>
      <c r="D219" s="4" t="s">
        <v>43</v>
      </c>
      <c r="E219" s="4" t="s">
        <v>25</v>
      </c>
      <c r="F219" s="4" t="s">
        <v>25</v>
      </c>
      <c r="G219" s="4" t="s">
        <v>25</v>
      </c>
      <c r="H219" s="4" t="s">
        <v>34</v>
      </c>
      <c r="I219" s="5">
        <v>44501</v>
      </c>
      <c r="J219" s="6">
        <v>0</v>
      </c>
      <c r="K219" s="97">
        <v>0</v>
      </c>
      <c r="L219" s="6">
        <v>113.77</v>
      </c>
      <c r="M219" s="97">
        <v>113.77</v>
      </c>
      <c r="N219" s="6">
        <v>113.77</v>
      </c>
      <c r="O219" s="97">
        <v>113.77</v>
      </c>
      <c r="P219" s="6">
        <v>0</v>
      </c>
      <c r="Q219" s="4" t="s">
        <v>26</v>
      </c>
      <c r="R219" s="4">
        <v>0</v>
      </c>
      <c r="S219" s="4">
        <v>0</v>
      </c>
      <c r="T219" s="4">
        <v>14</v>
      </c>
      <c r="U219" s="4">
        <v>42</v>
      </c>
      <c r="V219" s="97">
        <f>IF(ISERROR(VLOOKUP($S$219,'TAR FIN'!$A$1:$O$86,15,0)),0,VLOOKUP($S$219,'TAR FIN'!$A$1:$O$86,15,0))</f>
        <v>0</v>
      </c>
      <c r="W219" s="97">
        <f>IF(ISERROR(VLOOKUP($T$219,'TAR FIN'!$A$1:$O$86,15,0)),0,VLOOKUP($T$219,'TAR FIN'!$A$1:$O$86,15,0))*(1-0.04)</f>
        <v>75.532800000000009</v>
      </c>
      <c r="X219" s="97">
        <f>IF(ISERROR(VLOOKUP($U$219,'TAR FIN'!$A$1:$O$86,15,0)),0,VLOOKUP($U$219,'TAR FIN'!$A$1:$O$86,15,0))*(1-0.04)</f>
        <v>236.44800000000001</v>
      </c>
      <c r="Y219" s="97"/>
      <c r="Z219" s="97">
        <f ca="1">('TUSD BE'!$AM$13+'TUSD BF'!$AM$13+'TUSD CVA'!$AM$13)*1*(1-0.02)</f>
        <v>98.232805801237291</v>
      </c>
      <c r="AA219" s="97">
        <f>('TE BE'!$AB$6+'TE BF'!$AB$6+'TE CVA'!$AB$6)*1*(1-0.02)</f>
        <v>215.01557219628384</v>
      </c>
      <c r="AB219" s="97">
        <f>(SUBSIDIO!$J$219*SUBSIDIO!$V$219)*(0.04)/(1-0.04)</f>
        <v>0</v>
      </c>
      <c r="AC219" s="97">
        <f>((SUBSIDIO!$L$219*SUBSIDIO!$W$219)+(SUBSIDIO!$N$219*SUBSIDIO!$X$219))*(0.04)/(1-0.04)</f>
        <v>1478.9189839999999</v>
      </c>
      <c r="AD219" s="97">
        <f>(SUBSIDIO!$J$219*SUBSIDIO!$Y$219)*(0.02)/(1-0.02)</f>
        <v>0</v>
      </c>
      <c r="AE219" s="97">
        <f ca="1">((SUBSIDIO!$L$219*SUBSIDIO!$Z$219)+(SUBSIDIO!$N$219*SUBSIDIO!$AA$219))*(0.02)/(1-0.02)</f>
        <v>727.31159111791794</v>
      </c>
      <c r="AF219" s="4" t="s">
        <v>727</v>
      </c>
    </row>
    <row r="220" spans="1:32" ht="11.25" customHeight="1" x14ac:dyDescent="0.25">
      <c r="A220" s="4" t="s">
        <v>21</v>
      </c>
      <c r="B220" s="4" t="s">
        <v>38</v>
      </c>
      <c r="C220" s="4" t="s">
        <v>40</v>
      </c>
      <c r="D220" s="4" t="s">
        <v>43</v>
      </c>
      <c r="E220" s="4" t="s">
        <v>25</v>
      </c>
      <c r="F220" s="4" t="s">
        <v>25</v>
      </c>
      <c r="G220" s="4" t="s">
        <v>25</v>
      </c>
      <c r="H220" s="4" t="s">
        <v>34</v>
      </c>
      <c r="I220" s="5">
        <v>44531</v>
      </c>
      <c r="J220" s="6">
        <v>0</v>
      </c>
      <c r="K220" s="97">
        <v>0</v>
      </c>
      <c r="L220" s="6">
        <v>60.024999999999999</v>
      </c>
      <c r="M220" s="97">
        <v>60.024999999999999</v>
      </c>
      <c r="N220" s="6">
        <v>60.024999999999999</v>
      </c>
      <c r="O220" s="97">
        <v>60.024999999999999</v>
      </c>
      <c r="P220" s="6">
        <v>0</v>
      </c>
      <c r="Q220" s="4" t="s">
        <v>26</v>
      </c>
      <c r="R220" s="4">
        <v>0</v>
      </c>
      <c r="S220" s="4">
        <v>0</v>
      </c>
      <c r="T220" s="4">
        <v>14</v>
      </c>
      <c r="U220" s="4">
        <v>42</v>
      </c>
      <c r="V220" s="97">
        <f>IF(ISERROR(VLOOKUP($S$220,'TAR FIN'!$A$1:$O$86,15,0)),0,VLOOKUP($S$220,'TAR FIN'!$A$1:$O$86,15,0))</f>
        <v>0</v>
      </c>
      <c r="W220" s="97">
        <f>IF(ISERROR(VLOOKUP($T$220,'TAR FIN'!$A$1:$O$86,15,0)),0,VLOOKUP($T$220,'TAR FIN'!$A$1:$O$86,15,0))*(1-0.04)</f>
        <v>75.532800000000009</v>
      </c>
      <c r="X220" s="97">
        <f>IF(ISERROR(VLOOKUP($U$220,'TAR FIN'!$A$1:$O$86,15,0)),0,VLOOKUP($U$220,'TAR FIN'!$A$1:$O$86,15,0))*(1-0.04)</f>
        <v>236.44800000000001</v>
      </c>
      <c r="Y220" s="97"/>
      <c r="Z220" s="97">
        <f ca="1">('TUSD BE'!$AM$13+'TUSD BF'!$AM$13+'TUSD CVA'!$AM$13)*1*(1-0.02)</f>
        <v>98.232805801237291</v>
      </c>
      <c r="AA220" s="97">
        <f>('TE BE'!$AB$6+'TE BF'!$AB$6+'TE CVA'!$AB$6)*1*(1-0.02)</f>
        <v>215.01557219628384</v>
      </c>
      <c r="AB220" s="97">
        <f>(SUBSIDIO!$J$220*SUBSIDIO!$V$220)*(0.04)/(1-0.04)</f>
        <v>0</v>
      </c>
      <c r="AC220" s="97">
        <f>((SUBSIDIO!$L$220*SUBSIDIO!$W$220)+(SUBSIDIO!$N$220*SUBSIDIO!$X$220))*(0.04)/(1-0.04)</f>
        <v>780.27698000000009</v>
      </c>
      <c r="AD220" s="97">
        <f>(SUBSIDIO!$J$220*SUBSIDIO!$Y$220)*(0.02)/(1-0.02)</f>
        <v>0</v>
      </c>
      <c r="AE220" s="97">
        <f ca="1">((SUBSIDIO!$L$220*SUBSIDIO!$Z$220)+(SUBSIDIO!$N$220*SUBSIDIO!$AA$220))*(0.02)/(1-0.02)</f>
        <v>383.72926304696341</v>
      </c>
      <c r="AF220" s="4" t="s">
        <v>727</v>
      </c>
    </row>
    <row r="221" spans="1:32" ht="11.25" customHeight="1" x14ac:dyDescent="0.25">
      <c r="A221" s="4" t="s">
        <v>21</v>
      </c>
      <c r="B221" s="4" t="s">
        <v>38</v>
      </c>
      <c r="C221" s="4" t="s">
        <v>40</v>
      </c>
      <c r="D221" s="4" t="s">
        <v>43</v>
      </c>
      <c r="E221" s="4" t="s">
        <v>25</v>
      </c>
      <c r="F221" s="4" t="s">
        <v>25</v>
      </c>
      <c r="G221" s="4" t="s">
        <v>25</v>
      </c>
      <c r="H221" s="4" t="s">
        <v>34</v>
      </c>
      <c r="I221" s="5">
        <v>44562</v>
      </c>
      <c r="J221" s="6">
        <v>0</v>
      </c>
      <c r="K221" s="97">
        <v>0</v>
      </c>
      <c r="L221" s="6">
        <v>72.953999999999994</v>
      </c>
      <c r="M221" s="97">
        <v>72.953999999999994</v>
      </c>
      <c r="N221" s="6">
        <v>72.953999999999994</v>
      </c>
      <c r="O221" s="97">
        <v>72.953999999999994</v>
      </c>
      <c r="P221" s="6">
        <v>0</v>
      </c>
      <c r="Q221" s="4" t="s">
        <v>26</v>
      </c>
      <c r="R221" s="4">
        <v>0</v>
      </c>
      <c r="S221" s="4">
        <v>0</v>
      </c>
      <c r="T221" s="4">
        <v>14</v>
      </c>
      <c r="U221" s="4">
        <v>42</v>
      </c>
      <c r="V221" s="97">
        <f>IF(ISERROR(VLOOKUP($S$221,'TAR FIN'!$A$1:$O$86,15,0)),0,VLOOKUP($S$221,'TAR FIN'!$A$1:$O$86,15,0))</f>
        <v>0</v>
      </c>
      <c r="W221" s="97">
        <f>IF(ISERROR(VLOOKUP($T$221,'TAR FIN'!$A$1:$O$86,15,0)),0,VLOOKUP($T$221,'TAR FIN'!$A$1:$O$86,15,0))*(1-0.04)</f>
        <v>75.532800000000009</v>
      </c>
      <c r="X221" s="97">
        <f>IF(ISERROR(VLOOKUP($U$221,'TAR FIN'!$A$1:$O$86,15,0)),0,VLOOKUP($U$221,'TAR FIN'!$A$1:$O$86,15,0))*(1-0.04)</f>
        <v>236.44800000000001</v>
      </c>
      <c r="Y221" s="97"/>
      <c r="Z221" s="97">
        <f ca="1">('TUSD BE'!$AM$13+'TUSD BF'!$AM$13+'TUSD CVA'!$AM$13)*1*(1-0.02)</f>
        <v>98.232805801237291</v>
      </c>
      <c r="AA221" s="97">
        <f>('TE BE'!$AB$6+'TE BF'!$AB$6+'TE CVA'!$AB$6)*1*(1-0.02)</f>
        <v>215.01557219628384</v>
      </c>
      <c r="AB221" s="97">
        <f>(SUBSIDIO!$J$221*SUBSIDIO!$V$221)*(0.04)/(1-0.04)</f>
        <v>0</v>
      </c>
      <c r="AC221" s="97">
        <f>((SUBSIDIO!$L$221*SUBSIDIO!$W$221)+(SUBSIDIO!$N$221*SUBSIDIO!$X$221))*(0.04)/(1-0.04)</f>
        <v>948.34363680000001</v>
      </c>
      <c r="AD221" s="97">
        <f>(SUBSIDIO!$J$221*SUBSIDIO!$Y$221)*(0.02)/(1-0.02)</f>
        <v>0</v>
      </c>
      <c r="AE221" s="97">
        <f ca="1">((SUBSIDIO!$L$221*SUBSIDIO!$Z$221)+(SUBSIDIO!$N$221*SUBSIDIO!$AA$221))*(0.02)/(1-0.02)</f>
        <v>466.38208507002361</v>
      </c>
      <c r="AF221" s="4" t="s">
        <v>727</v>
      </c>
    </row>
    <row r="222" spans="1:32" ht="11.25" customHeight="1" x14ac:dyDescent="0.25">
      <c r="A222" s="4" t="s">
        <v>27</v>
      </c>
      <c r="B222" s="4" t="s">
        <v>38</v>
      </c>
      <c r="C222" s="4" t="s">
        <v>40</v>
      </c>
      <c r="D222" s="4" t="s">
        <v>43</v>
      </c>
      <c r="E222" s="4" t="s">
        <v>25</v>
      </c>
      <c r="F222" s="4" t="s">
        <v>25</v>
      </c>
      <c r="G222" s="4" t="s">
        <v>25</v>
      </c>
      <c r="H222" s="4" t="s">
        <v>34</v>
      </c>
      <c r="I222" s="5">
        <v>44562</v>
      </c>
      <c r="J222" s="6">
        <v>0</v>
      </c>
      <c r="K222" s="97">
        <v>0</v>
      </c>
      <c r="L222" s="6">
        <v>91.900999999999996</v>
      </c>
      <c r="M222" s="97">
        <v>91.900999999999996</v>
      </c>
      <c r="N222" s="6">
        <v>91.900999999999996</v>
      </c>
      <c r="O222" s="97">
        <v>91.900999999999996</v>
      </c>
      <c r="P222" s="6">
        <v>0</v>
      </c>
      <c r="Q222" s="4" t="s">
        <v>26</v>
      </c>
      <c r="R222" s="4">
        <v>0</v>
      </c>
      <c r="S222" s="4">
        <v>0</v>
      </c>
      <c r="T222" s="4">
        <v>14</v>
      </c>
      <c r="U222" s="4">
        <v>42</v>
      </c>
      <c r="V222" s="97">
        <f>IF(ISERROR(VLOOKUP($S$222,'TAR FIN'!$A$1:$O$86,15,0)),0,VLOOKUP($S$222,'TAR FIN'!$A$1:$O$86,15,0))</f>
        <v>0</v>
      </c>
      <c r="W222" s="97">
        <f>IF(ISERROR(VLOOKUP($T$222,'TAR FIN'!$A$1:$O$86,15,0)),0,VLOOKUP($T$222,'TAR FIN'!$A$1:$O$86,15,0))*(1-0.04)</f>
        <v>75.532800000000009</v>
      </c>
      <c r="X222" s="97">
        <f>IF(ISERROR(VLOOKUP($U$222,'TAR FIN'!$A$1:$O$86,15,0)),0,VLOOKUP($U$222,'TAR FIN'!$A$1:$O$86,15,0))*(1-0.04)</f>
        <v>236.44800000000001</v>
      </c>
      <c r="Y222" s="97"/>
      <c r="Z222" s="97">
        <f ca="1">('TUSD BE'!$AM$13+'TUSD BF'!$AM$13+'TUSD CVA'!$AM$13)*1*(1-0.02)</f>
        <v>98.232805801237291</v>
      </c>
      <c r="AA222" s="97">
        <f>('TE BE'!$AB$6+'TE BF'!$AB$6+'TE CVA'!$AB$6)*1*(1-0.02)</f>
        <v>215.01557219628384</v>
      </c>
      <c r="AB222" s="97">
        <f>(SUBSIDIO!$J$222*SUBSIDIO!$V$222)*(0.04)/(1-0.04)</f>
        <v>0</v>
      </c>
      <c r="AC222" s="97">
        <f>((SUBSIDIO!$L$222*SUBSIDIO!$W$222)+(SUBSIDIO!$N$222*SUBSIDIO!$X$222))*(0.04)/(1-0.04)</f>
        <v>1194.6394792000001</v>
      </c>
      <c r="AD222" s="97">
        <f>(SUBSIDIO!$J$222*SUBSIDIO!$Y$222)*(0.02)/(1-0.02)</f>
        <v>0</v>
      </c>
      <c r="AE222" s="97">
        <f ca="1">((SUBSIDIO!$L$222*SUBSIDIO!$Z$222)+(SUBSIDIO!$N$222*SUBSIDIO!$AA$222))*(0.02)/(1-0.02)</f>
        <v>587.50692217041205</v>
      </c>
      <c r="AF222" s="4" t="s">
        <v>727</v>
      </c>
    </row>
    <row r="223" spans="1:32" ht="11.25" customHeight="1" x14ac:dyDescent="0.25">
      <c r="A223" s="4" t="s">
        <v>21</v>
      </c>
      <c r="B223" s="4" t="s">
        <v>38</v>
      </c>
      <c r="C223" s="4" t="s">
        <v>40</v>
      </c>
      <c r="D223" s="4" t="s">
        <v>43</v>
      </c>
      <c r="E223" s="4" t="s">
        <v>25</v>
      </c>
      <c r="F223" s="4" t="s">
        <v>25</v>
      </c>
      <c r="G223" s="4" t="s">
        <v>25</v>
      </c>
      <c r="H223" s="4" t="s">
        <v>34</v>
      </c>
      <c r="I223" s="5">
        <v>44593</v>
      </c>
      <c r="J223" s="6">
        <v>0</v>
      </c>
      <c r="K223" s="97">
        <v>0</v>
      </c>
      <c r="L223" s="6">
        <v>44.546999999999997</v>
      </c>
      <c r="M223" s="97">
        <v>44.546999999999997</v>
      </c>
      <c r="N223" s="6">
        <v>44.546999999999997</v>
      </c>
      <c r="O223" s="97">
        <v>44.546999999999997</v>
      </c>
      <c r="P223" s="6">
        <v>0</v>
      </c>
      <c r="Q223" s="4" t="s">
        <v>26</v>
      </c>
      <c r="R223" s="4">
        <v>0</v>
      </c>
      <c r="S223" s="4">
        <v>0</v>
      </c>
      <c r="T223" s="4">
        <v>14</v>
      </c>
      <c r="U223" s="4">
        <v>42</v>
      </c>
      <c r="V223" s="97">
        <f>IF(ISERROR(VLOOKUP($S$223,'TAR FIN'!$A$1:$O$86,15,0)),0,VLOOKUP($S$223,'TAR FIN'!$A$1:$O$86,15,0))</f>
        <v>0</v>
      </c>
      <c r="W223" s="97">
        <f>IF(ISERROR(VLOOKUP($T$223,'TAR FIN'!$A$1:$O$86,15,0)),0,VLOOKUP($T$223,'TAR FIN'!$A$1:$O$86,15,0))*(1-0.04)</f>
        <v>75.532800000000009</v>
      </c>
      <c r="X223" s="97">
        <f>IF(ISERROR(VLOOKUP($U$223,'TAR FIN'!$A$1:$O$86,15,0)),0,VLOOKUP($U$223,'TAR FIN'!$A$1:$O$86,15,0))*(1-0.04)</f>
        <v>236.44800000000001</v>
      </c>
      <c r="Y223" s="97"/>
      <c r="Z223" s="97">
        <f ca="1">('TUSD BE'!$AM$13+'TUSD BF'!$AM$13+'TUSD CVA'!$AM$13)*1*(1-0.02)</f>
        <v>98.232805801237291</v>
      </c>
      <c r="AA223" s="97">
        <f>('TE BE'!$AB$6+'TE BF'!$AB$6+'TE CVA'!$AB$6)*1*(1-0.02)</f>
        <v>215.01557219628384</v>
      </c>
      <c r="AB223" s="97">
        <f>(SUBSIDIO!$J$223*SUBSIDIO!$V$223)*(0.04)/(1-0.04)</f>
        <v>0</v>
      </c>
      <c r="AC223" s="97">
        <f>((SUBSIDIO!$L$223*SUBSIDIO!$W$223)+(SUBSIDIO!$N$223*SUBSIDIO!$X$223))*(0.04)/(1-0.04)</f>
        <v>579.07536240000002</v>
      </c>
      <c r="AD223" s="97">
        <f>(SUBSIDIO!$J$223*SUBSIDIO!$Y$223)*(0.02)/(1-0.02)</f>
        <v>0</v>
      </c>
      <c r="AE223" s="97">
        <f ca="1">((SUBSIDIO!$L$223*SUBSIDIO!$Z$223)+(SUBSIDIO!$N$223*SUBSIDIO!$AA$223))*(0.02)/(1-0.02)</f>
        <v>284.7811325439913</v>
      </c>
      <c r="AF223" s="4" t="s">
        <v>727</v>
      </c>
    </row>
    <row r="224" spans="1:32" ht="11.25" customHeight="1" x14ac:dyDescent="0.25">
      <c r="A224" s="4" t="s">
        <v>21</v>
      </c>
      <c r="B224" s="4" t="s">
        <v>38</v>
      </c>
      <c r="C224" s="4" t="s">
        <v>40</v>
      </c>
      <c r="D224" s="4" t="s">
        <v>43</v>
      </c>
      <c r="E224" s="4" t="s">
        <v>25</v>
      </c>
      <c r="F224" s="4" t="s">
        <v>25</v>
      </c>
      <c r="G224" s="4" t="s">
        <v>25</v>
      </c>
      <c r="H224" s="4" t="s">
        <v>34</v>
      </c>
      <c r="I224" s="5">
        <v>44621</v>
      </c>
      <c r="J224" s="6">
        <v>0</v>
      </c>
      <c r="K224" s="97">
        <v>0</v>
      </c>
      <c r="L224" s="6">
        <v>70.852999999999994</v>
      </c>
      <c r="M224" s="97">
        <v>70.852999999999994</v>
      </c>
      <c r="N224" s="6">
        <v>70.852999999999994</v>
      </c>
      <c r="O224" s="97">
        <v>70.852999999999994</v>
      </c>
      <c r="P224" s="6">
        <v>0</v>
      </c>
      <c r="Q224" s="4" t="s">
        <v>26</v>
      </c>
      <c r="R224" s="4">
        <v>0</v>
      </c>
      <c r="S224" s="4">
        <v>0</v>
      </c>
      <c r="T224" s="4">
        <v>14</v>
      </c>
      <c r="U224" s="4">
        <v>42</v>
      </c>
      <c r="V224" s="97">
        <f>IF(ISERROR(VLOOKUP($S$224,'TAR FIN'!$A$1:$O$86,15,0)),0,VLOOKUP($S$224,'TAR FIN'!$A$1:$O$86,15,0))</f>
        <v>0</v>
      </c>
      <c r="W224" s="97">
        <f>IF(ISERROR(VLOOKUP($T$224,'TAR FIN'!$A$1:$O$86,15,0)),0,VLOOKUP($T$224,'TAR FIN'!$A$1:$O$86,15,0))*(1-0.04)</f>
        <v>75.532800000000009</v>
      </c>
      <c r="X224" s="97">
        <f>IF(ISERROR(VLOOKUP($U$224,'TAR FIN'!$A$1:$O$86,15,0)),0,VLOOKUP($U$224,'TAR FIN'!$A$1:$O$86,15,0))*(1-0.04)</f>
        <v>236.44800000000001</v>
      </c>
      <c r="Y224" s="97"/>
      <c r="Z224" s="97">
        <f ca="1">('TUSD BE'!$AM$13+'TUSD BF'!$AM$13+'TUSD CVA'!$AM$13)*1*(1-0.02)</f>
        <v>98.232805801237291</v>
      </c>
      <c r="AA224" s="97">
        <f>('TE BE'!$AB$6+'TE BF'!$AB$6+'TE CVA'!$AB$6)*1*(1-0.02)</f>
        <v>215.01557219628384</v>
      </c>
      <c r="AB224" s="97">
        <f>(SUBSIDIO!$J$224*SUBSIDIO!$V$224)*(0.04)/(1-0.04)</f>
        <v>0</v>
      </c>
      <c r="AC224" s="97">
        <f>((SUBSIDIO!$L$224*SUBSIDIO!$W$224)+(SUBSIDIO!$N$224*SUBSIDIO!$X$224))*(0.04)/(1-0.04)</f>
        <v>921.03231760000006</v>
      </c>
      <c r="AD224" s="97">
        <f>(SUBSIDIO!$J$224*SUBSIDIO!$Y$224)*(0.02)/(1-0.02)</f>
        <v>0</v>
      </c>
      <c r="AE224" s="97">
        <f ca="1">((SUBSIDIO!$L$224*SUBSIDIO!$Z$224)+(SUBSIDIO!$N$224*SUBSIDIO!$AA$224))*(0.02)/(1-0.02)</f>
        <v>452.95076176037475</v>
      </c>
      <c r="AF224" s="4" t="s">
        <v>727</v>
      </c>
    </row>
    <row r="225" spans="1:32" ht="11.25" customHeight="1" x14ac:dyDescent="0.25">
      <c r="A225" s="4" t="s">
        <v>21</v>
      </c>
      <c r="B225" s="4" t="s">
        <v>38</v>
      </c>
      <c r="C225" s="4" t="s">
        <v>40</v>
      </c>
      <c r="D225" s="4" t="s">
        <v>43</v>
      </c>
      <c r="E225" s="4" t="s">
        <v>25</v>
      </c>
      <c r="F225" s="4" t="s">
        <v>25</v>
      </c>
      <c r="G225" s="4" t="s">
        <v>25</v>
      </c>
      <c r="H225" s="4" t="s">
        <v>34</v>
      </c>
      <c r="I225" s="5">
        <v>44652</v>
      </c>
      <c r="J225" s="6">
        <v>0</v>
      </c>
      <c r="K225" s="97">
        <v>0</v>
      </c>
      <c r="L225" s="6">
        <v>154.92699999999999</v>
      </c>
      <c r="M225" s="97">
        <v>154.92699999999999</v>
      </c>
      <c r="N225" s="6">
        <v>154.92699999999999</v>
      </c>
      <c r="O225" s="97">
        <v>154.92699999999999</v>
      </c>
      <c r="P225" s="6">
        <v>0</v>
      </c>
      <c r="Q225" s="4" t="s">
        <v>26</v>
      </c>
      <c r="R225" s="4">
        <v>0</v>
      </c>
      <c r="S225" s="4">
        <v>0</v>
      </c>
      <c r="T225" s="4">
        <v>14</v>
      </c>
      <c r="U225" s="4">
        <v>42</v>
      </c>
      <c r="V225" s="97">
        <f>IF(ISERROR(VLOOKUP($S$225,'TAR FIN'!$A$1:$O$86,15,0)),0,VLOOKUP($S$225,'TAR FIN'!$A$1:$O$86,15,0))</f>
        <v>0</v>
      </c>
      <c r="W225" s="97">
        <f>IF(ISERROR(VLOOKUP($T$225,'TAR FIN'!$A$1:$O$86,15,0)),0,VLOOKUP($T$225,'TAR FIN'!$A$1:$O$86,15,0))*(1-0.04)</f>
        <v>75.532800000000009</v>
      </c>
      <c r="X225" s="97">
        <f>IF(ISERROR(VLOOKUP($U$225,'TAR FIN'!$A$1:$O$86,15,0)),0,VLOOKUP($U$225,'TAR FIN'!$A$1:$O$86,15,0))*(1-0.04)</f>
        <v>236.44800000000001</v>
      </c>
      <c r="Y225" s="97"/>
      <c r="Z225" s="97">
        <f ca="1">('TUSD BE'!$AM$13+'TUSD BF'!$AM$13+'TUSD CVA'!$AM$13)*1*(1-0.02)</f>
        <v>98.232805801237291</v>
      </c>
      <c r="AA225" s="97">
        <f>('TE BE'!$AB$6+'TE BF'!$AB$6+'TE CVA'!$AB$6)*1*(1-0.02)</f>
        <v>215.01557219628384</v>
      </c>
      <c r="AB225" s="97">
        <f>(SUBSIDIO!$J$225*SUBSIDIO!$V$225)*(0.04)/(1-0.04)</f>
        <v>0</v>
      </c>
      <c r="AC225" s="97">
        <f>((SUBSIDIO!$L$225*SUBSIDIO!$W$225)+(SUBSIDIO!$N$225*SUBSIDIO!$X$225))*(0.04)/(1-0.04)</f>
        <v>2013.9270584000003</v>
      </c>
      <c r="AD225" s="97">
        <f>(SUBSIDIO!$J$225*SUBSIDIO!$Y$225)*(0.02)/(1-0.02)</f>
        <v>0</v>
      </c>
      <c r="AE225" s="97">
        <f ca="1">((SUBSIDIO!$L$225*SUBSIDIO!$Z$225)+(SUBSIDIO!$N$225*SUBSIDIO!$AA$225))*(0.02)/(1-0.02)</f>
        <v>990.4210501637134</v>
      </c>
      <c r="AF225" s="4" t="s">
        <v>727</v>
      </c>
    </row>
    <row r="226" spans="1:32" ht="11.25" customHeight="1" x14ac:dyDescent="0.25">
      <c r="A226" s="4" t="s">
        <v>21</v>
      </c>
      <c r="B226" s="4" t="s">
        <v>38</v>
      </c>
      <c r="C226" s="4" t="s">
        <v>40</v>
      </c>
      <c r="D226" s="4" t="s">
        <v>43</v>
      </c>
      <c r="E226" s="4" t="s">
        <v>25</v>
      </c>
      <c r="F226" s="4" t="s">
        <v>25</v>
      </c>
      <c r="G226" s="4" t="s">
        <v>25</v>
      </c>
      <c r="H226" s="4" t="s">
        <v>34</v>
      </c>
      <c r="I226" s="5">
        <v>44682</v>
      </c>
      <c r="J226" s="6">
        <v>0</v>
      </c>
      <c r="K226" s="97">
        <v>0</v>
      </c>
      <c r="L226" s="6">
        <v>77.64</v>
      </c>
      <c r="M226" s="97">
        <v>77.64</v>
      </c>
      <c r="N226" s="6">
        <v>77.64</v>
      </c>
      <c r="O226" s="97">
        <v>77.64</v>
      </c>
      <c r="P226" s="6">
        <v>0</v>
      </c>
      <c r="Q226" s="4" t="s">
        <v>26</v>
      </c>
      <c r="R226" s="4">
        <v>0</v>
      </c>
      <c r="S226" s="4">
        <v>0</v>
      </c>
      <c r="T226" s="4">
        <v>14</v>
      </c>
      <c r="U226" s="4">
        <v>42</v>
      </c>
      <c r="V226" s="97">
        <f>IF(ISERROR(VLOOKUP($S$226,'TAR FIN'!$A$1:$O$86,15,0)),0,VLOOKUP($S$226,'TAR FIN'!$A$1:$O$86,15,0))</f>
        <v>0</v>
      </c>
      <c r="W226" s="97">
        <f>IF(ISERROR(VLOOKUP($T$226,'TAR FIN'!$A$1:$O$86,15,0)),0,VLOOKUP($T$226,'TAR FIN'!$A$1:$O$86,15,0))*(1-0.04)</f>
        <v>75.532800000000009</v>
      </c>
      <c r="X226" s="97">
        <f>IF(ISERROR(VLOOKUP($U$226,'TAR FIN'!$A$1:$O$86,15,0)),0,VLOOKUP($U$226,'TAR FIN'!$A$1:$O$86,15,0))*(1-0.04)</f>
        <v>236.44800000000001</v>
      </c>
      <c r="Y226" s="97"/>
      <c r="Z226" s="97">
        <f ca="1">('TUSD BE'!$AM$13+'TUSD BF'!$AM$13+'TUSD CVA'!$AM$13)*1*(1-0.02)</f>
        <v>98.232805801237291</v>
      </c>
      <c r="AA226" s="97">
        <f>('TE BE'!$AB$6+'TE BF'!$AB$6+'TE CVA'!$AB$6)*1*(1-0.02)</f>
        <v>215.01557219628384</v>
      </c>
      <c r="AB226" s="97">
        <f>(SUBSIDIO!$J$226*SUBSIDIO!$V$226)*(0.04)/(1-0.04)</f>
        <v>0</v>
      </c>
      <c r="AC226" s="97">
        <f>((SUBSIDIO!$L$226*SUBSIDIO!$W$226)+(SUBSIDIO!$N$226*SUBSIDIO!$X$226))*(0.04)/(1-0.04)</f>
        <v>1009.2578880000002</v>
      </c>
      <c r="AD226" s="97">
        <f>(SUBSIDIO!$J$226*SUBSIDIO!$Y$226)*(0.02)/(1-0.02)</f>
        <v>0</v>
      </c>
      <c r="AE226" s="97">
        <f ca="1">((SUBSIDIO!$L$226*SUBSIDIO!$Z$226)+(SUBSIDIO!$N$226*SUBSIDIO!$AA$226))*(0.02)/(1-0.02)</f>
        <v>496.33885852505188</v>
      </c>
      <c r="AF226" s="4" t="s">
        <v>727</v>
      </c>
    </row>
    <row r="227" spans="1:32" ht="11.25" customHeight="1" x14ac:dyDescent="0.25">
      <c r="A227" s="4" t="s">
        <v>56</v>
      </c>
      <c r="B227" s="4" t="s">
        <v>38</v>
      </c>
      <c r="C227" s="4" t="s">
        <v>40</v>
      </c>
      <c r="D227" s="4" t="s">
        <v>43</v>
      </c>
      <c r="E227" s="4" t="s">
        <v>25</v>
      </c>
      <c r="F227" s="4" t="s">
        <v>25</v>
      </c>
      <c r="G227" s="4" t="s">
        <v>25</v>
      </c>
      <c r="H227" s="4" t="s">
        <v>34</v>
      </c>
      <c r="I227" s="5">
        <v>44713</v>
      </c>
      <c r="J227" s="6">
        <v>0</v>
      </c>
      <c r="K227" s="97">
        <v>0</v>
      </c>
      <c r="L227" s="6">
        <v>77.64</v>
      </c>
      <c r="M227" s="97">
        <v>77.64</v>
      </c>
      <c r="N227" s="6">
        <v>77.64</v>
      </c>
      <c r="O227" s="97">
        <v>77.64</v>
      </c>
      <c r="P227" s="6">
        <v>0</v>
      </c>
      <c r="Q227" s="4" t="s">
        <v>26</v>
      </c>
      <c r="R227" s="4">
        <v>0</v>
      </c>
      <c r="S227" s="4">
        <v>0</v>
      </c>
      <c r="T227" s="4">
        <v>14</v>
      </c>
      <c r="U227" s="4">
        <v>42</v>
      </c>
      <c r="V227" s="97">
        <f>IF(ISERROR(VLOOKUP($S$227,'TAR FIN'!$A$1:$O$86,15,0)),0,VLOOKUP($S$227,'TAR FIN'!$A$1:$O$86,15,0))</f>
        <v>0</v>
      </c>
      <c r="W227" s="97">
        <f>IF(ISERROR(VLOOKUP($T$227,'TAR FIN'!$A$1:$O$86,15,0)),0,VLOOKUP($T$227,'TAR FIN'!$A$1:$O$86,15,0))*(1-0.04)</f>
        <v>75.532800000000009</v>
      </c>
      <c r="X227" s="97">
        <f>IF(ISERROR(VLOOKUP($U$227,'TAR FIN'!$A$1:$O$86,15,0)),0,VLOOKUP($U$227,'TAR FIN'!$A$1:$O$86,15,0))*(1-0.04)</f>
        <v>236.44800000000001</v>
      </c>
      <c r="Y227" s="97"/>
      <c r="Z227" s="97">
        <f ca="1">('TUSD BE'!$AM$13+'TUSD BF'!$AM$13+'TUSD CVA'!$AM$13)*1*(1-0.02)</f>
        <v>98.232805801237291</v>
      </c>
      <c r="AA227" s="97">
        <f>('TE BE'!$AB$6+'TE BF'!$AB$6+'TE CVA'!$AB$6)*1*(1-0.02)</f>
        <v>215.01557219628384</v>
      </c>
      <c r="AB227" s="97">
        <f>(SUBSIDIO!$J$227*SUBSIDIO!$V$227)*(0.04)/(1-0.04)</f>
        <v>0</v>
      </c>
      <c r="AC227" s="97">
        <f>((SUBSIDIO!$L$227*SUBSIDIO!$W$227)+(SUBSIDIO!$N$227*SUBSIDIO!$X$227))*(0.04)/(1-0.04)</f>
        <v>1009.2578880000002</v>
      </c>
      <c r="AD227" s="97">
        <f>(SUBSIDIO!$J$227*SUBSIDIO!$Y$227)*(0.02)/(1-0.02)</f>
        <v>0</v>
      </c>
      <c r="AE227" s="97">
        <f ca="1">((SUBSIDIO!$L$227*SUBSIDIO!$Z$227)+(SUBSIDIO!$N$227*SUBSIDIO!$AA$227))*(0.02)/(1-0.02)</f>
        <v>496.33885852505188</v>
      </c>
      <c r="AF227" s="4" t="s">
        <v>727</v>
      </c>
    </row>
    <row r="228" spans="1:32" ht="11.25" customHeight="1" x14ac:dyDescent="0.25">
      <c r="A228" s="4" t="s">
        <v>21</v>
      </c>
      <c r="B228" s="4" t="s">
        <v>38</v>
      </c>
      <c r="C228" s="4" t="s">
        <v>40</v>
      </c>
      <c r="D228" s="4" t="s">
        <v>43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44378</v>
      </c>
      <c r="J228" s="6">
        <v>553</v>
      </c>
      <c r="K228" s="97">
        <v>553</v>
      </c>
      <c r="L228" s="6">
        <v>0</v>
      </c>
      <c r="M228" s="97">
        <v>0</v>
      </c>
      <c r="N228" s="6">
        <v>0</v>
      </c>
      <c r="O228" s="97">
        <v>0</v>
      </c>
      <c r="P228" s="6">
        <v>5</v>
      </c>
      <c r="Q228" s="4" t="s">
        <v>26</v>
      </c>
      <c r="R228" s="4">
        <v>0</v>
      </c>
      <c r="S228" s="4">
        <v>18</v>
      </c>
      <c r="T228" s="4">
        <v>0</v>
      </c>
      <c r="U228" s="4">
        <v>0</v>
      </c>
      <c r="V228" s="97">
        <f>IF(ISERROR(VLOOKUP($S$228,'TAR FIN'!$A$1:$O$86,15,0)),0,VLOOKUP($S$228,'TAR FIN'!$A$1:$O$86,15,0))*(1-0.04)</f>
        <v>18.470399999999998</v>
      </c>
      <c r="W228" s="97">
        <f>IF(ISERROR(VLOOKUP($T$228,'TAR FIN'!$A$1:$O$86,15,0)),0,VLOOKUP($T$228,'TAR FIN'!$A$1:$O$86,15,0))</f>
        <v>0</v>
      </c>
      <c r="X228" s="97">
        <f>IF(ISERROR(VLOOKUP($U$228,'TAR FIN'!$A$1:$O$86,15,0)),0,VLOOKUP($U$228,'TAR FIN'!$A$1:$O$86,15,0))</f>
        <v>0</v>
      </c>
      <c r="Y228" s="97">
        <f ca="1">('TUSD BE'!$AM$11+'TUSD BF'!$AM$11+'TUSD CVA'!$AM$11)*1*(1-0.02)</f>
        <v>14.889098762306169</v>
      </c>
      <c r="Z228" s="97"/>
      <c r="AA228" s="97"/>
      <c r="AB228" s="97">
        <f>(SUBSIDIO!$J$228*SUBSIDIO!$V$228)*(0.04)/(1-0.04)</f>
        <v>425.58879999999994</v>
      </c>
      <c r="AC228" s="97">
        <f>((SUBSIDIO!$L$228*SUBSIDIO!$W$228)+(SUBSIDIO!$N$228*SUBSIDIO!$X$228))*(0.04)/(1-0.04)</f>
        <v>0</v>
      </c>
      <c r="AD228" s="97">
        <f ca="1">(SUBSIDIO!$J$228*SUBSIDIO!$Y$228)*(0.02)/(1-0.02)</f>
        <v>168.03411460316963</v>
      </c>
      <c r="AE228" s="97">
        <f>((SUBSIDIO!$L$228*SUBSIDIO!$Z$228)+(SUBSIDIO!$N$228*SUBSIDIO!$AA$228))*(0.02)/(1-0.02)</f>
        <v>0</v>
      </c>
      <c r="AF228" s="4" t="s">
        <v>727</v>
      </c>
    </row>
    <row r="229" spans="1:32" ht="11.25" customHeight="1" x14ac:dyDescent="0.25">
      <c r="A229" s="4" t="s">
        <v>21</v>
      </c>
      <c r="B229" s="4" t="s">
        <v>38</v>
      </c>
      <c r="C229" s="4" t="s">
        <v>40</v>
      </c>
      <c r="D229" s="4" t="s">
        <v>43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44409</v>
      </c>
      <c r="J229" s="6">
        <v>564</v>
      </c>
      <c r="K229" s="97">
        <v>564</v>
      </c>
      <c r="L229" s="6">
        <v>0</v>
      </c>
      <c r="M229" s="97">
        <v>0</v>
      </c>
      <c r="N229" s="6">
        <v>0</v>
      </c>
      <c r="O229" s="97">
        <v>0</v>
      </c>
      <c r="P229" s="6">
        <v>5</v>
      </c>
      <c r="Q229" s="4" t="s">
        <v>26</v>
      </c>
      <c r="R229" s="4">
        <v>0</v>
      </c>
      <c r="S229" s="4">
        <v>18</v>
      </c>
      <c r="T229" s="4">
        <v>0</v>
      </c>
      <c r="U229" s="4">
        <v>0</v>
      </c>
      <c r="V229" s="97">
        <f>IF(ISERROR(VLOOKUP($S$229,'TAR FIN'!$A$1:$O$86,15,0)),0,VLOOKUP($S$229,'TAR FIN'!$A$1:$O$86,15,0))*(1-0.04)</f>
        <v>18.470399999999998</v>
      </c>
      <c r="W229" s="97">
        <f>IF(ISERROR(VLOOKUP($T$229,'TAR FIN'!$A$1:$O$86,15,0)),0,VLOOKUP($T$229,'TAR FIN'!$A$1:$O$86,15,0))</f>
        <v>0</v>
      </c>
      <c r="X229" s="97">
        <f>IF(ISERROR(VLOOKUP($U$229,'TAR FIN'!$A$1:$O$86,15,0)),0,VLOOKUP($U$229,'TAR FIN'!$A$1:$O$86,15,0))</f>
        <v>0</v>
      </c>
      <c r="Y229" s="97">
        <f ca="1">('TUSD BE'!$AM$11+'TUSD BF'!$AM$11+'TUSD CVA'!$AM$11)*1*(1-0.02)</f>
        <v>14.889098762306169</v>
      </c>
      <c r="Z229" s="97"/>
      <c r="AA229" s="97"/>
      <c r="AB229" s="97">
        <f>(SUBSIDIO!$J$229*SUBSIDIO!$V$229)*(0.04)/(1-0.04)</f>
        <v>434.05440000000004</v>
      </c>
      <c r="AC229" s="97">
        <f>((SUBSIDIO!$L$229*SUBSIDIO!$W$229)+(SUBSIDIO!$N$229*SUBSIDIO!$X$229))*(0.04)/(1-0.04)</f>
        <v>0</v>
      </c>
      <c r="AD229" s="97">
        <f ca="1">(SUBSIDIO!$J$229*SUBSIDIO!$Y$229)*(0.02)/(1-0.02)</f>
        <v>171.37656534572815</v>
      </c>
      <c r="AE229" s="97">
        <f>((SUBSIDIO!$L$229*SUBSIDIO!$Z$229)+(SUBSIDIO!$N$229*SUBSIDIO!$AA$229))*(0.02)/(1-0.02)</f>
        <v>0</v>
      </c>
      <c r="AF229" s="4" t="s">
        <v>727</v>
      </c>
    </row>
    <row r="230" spans="1:32" ht="11.25" customHeight="1" x14ac:dyDescent="0.25">
      <c r="A230" s="4" t="s">
        <v>21</v>
      </c>
      <c r="B230" s="4" t="s">
        <v>38</v>
      </c>
      <c r="C230" s="4" t="s">
        <v>40</v>
      </c>
      <c r="D230" s="4" t="s">
        <v>43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44440</v>
      </c>
      <c r="J230" s="6">
        <v>549</v>
      </c>
      <c r="K230" s="97">
        <v>549</v>
      </c>
      <c r="L230" s="6">
        <v>0</v>
      </c>
      <c r="M230" s="97">
        <v>0</v>
      </c>
      <c r="N230" s="6">
        <v>0</v>
      </c>
      <c r="O230" s="97">
        <v>0</v>
      </c>
      <c r="P230" s="6">
        <v>5</v>
      </c>
      <c r="Q230" s="4" t="s">
        <v>26</v>
      </c>
      <c r="R230" s="4">
        <v>0</v>
      </c>
      <c r="S230" s="4">
        <v>18</v>
      </c>
      <c r="T230" s="4">
        <v>0</v>
      </c>
      <c r="U230" s="4">
        <v>0</v>
      </c>
      <c r="V230" s="97">
        <f>IF(ISERROR(VLOOKUP($S$230,'TAR FIN'!$A$1:$O$86,15,0)),0,VLOOKUP($S$230,'TAR FIN'!$A$1:$O$86,15,0))*(1-0.04)</f>
        <v>18.470399999999998</v>
      </c>
      <c r="W230" s="97">
        <f>IF(ISERROR(VLOOKUP($T$230,'TAR FIN'!$A$1:$O$86,15,0)),0,VLOOKUP($T$230,'TAR FIN'!$A$1:$O$86,15,0))</f>
        <v>0</v>
      </c>
      <c r="X230" s="97">
        <f>IF(ISERROR(VLOOKUP($U$230,'TAR FIN'!$A$1:$O$86,15,0)),0,VLOOKUP($U$230,'TAR FIN'!$A$1:$O$86,15,0))</f>
        <v>0</v>
      </c>
      <c r="Y230" s="97">
        <f ca="1">('TUSD BE'!$AM$11+'TUSD BF'!$AM$11+'TUSD CVA'!$AM$11)*1*(1-0.02)</f>
        <v>14.889098762306169</v>
      </c>
      <c r="Z230" s="97"/>
      <c r="AA230" s="97"/>
      <c r="AB230" s="97">
        <f>(SUBSIDIO!$J$230*SUBSIDIO!$V$230)*(0.04)/(1-0.04)</f>
        <v>422.5104</v>
      </c>
      <c r="AC230" s="97">
        <f>((SUBSIDIO!$L$230*SUBSIDIO!$W$230)+(SUBSIDIO!$N$230*SUBSIDIO!$X$230))*(0.04)/(1-0.04)</f>
        <v>0</v>
      </c>
      <c r="AD230" s="97">
        <f ca="1">(SUBSIDIO!$J$230*SUBSIDIO!$Y$230)*(0.02)/(1-0.02)</f>
        <v>166.81867796951198</v>
      </c>
      <c r="AE230" s="97">
        <f>((SUBSIDIO!$L$230*SUBSIDIO!$Z$230)+(SUBSIDIO!$N$230*SUBSIDIO!$AA$230))*(0.02)/(1-0.02)</f>
        <v>0</v>
      </c>
      <c r="AF230" s="4" t="s">
        <v>727</v>
      </c>
    </row>
    <row r="231" spans="1:32" ht="11.25" customHeight="1" x14ac:dyDescent="0.25">
      <c r="A231" s="4" t="s">
        <v>21</v>
      </c>
      <c r="B231" s="4" t="s">
        <v>38</v>
      </c>
      <c r="C231" s="4" t="s">
        <v>40</v>
      </c>
      <c r="D231" s="4" t="s">
        <v>43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44470</v>
      </c>
      <c r="J231" s="6">
        <v>561</v>
      </c>
      <c r="K231" s="97">
        <v>561</v>
      </c>
      <c r="L231" s="6">
        <v>0</v>
      </c>
      <c r="M231" s="97">
        <v>0</v>
      </c>
      <c r="N231" s="6">
        <v>0</v>
      </c>
      <c r="O231" s="97">
        <v>0</v>
      </c>
      <c r="P231" s="6">
        <v>5</v>
      </c>
      <c r="Q231" s="4" t="s">
        <v>26</v>
      </c>
      <c r="R231" s="4">
        <v>0</v>
      </c>
      <c r="S231" s="4">
        <v>18</v>
      </c>
      <c r="T231" s="4">
        <v>0</v>
      </c>
      <c r="U231" s="4">
        <v>0</v>
      </c>
      <c r="V231" s="97">
        <f>IF(ISERROR(VLOOKUP($S$231,'TAR FIN'!$A$1:$O$86,15,0)),0,VLOOKUP($S$231,'TAR FIN'!$A$1:$O$86,15,0))*(1-0.04)</f>
        <v>18.470399999999998</v>
      </c>
      <c r="W231" s="97">
        <f>IF(ISERROR(VLOOKUP($T$231,'TAR FIN'!$A$1:$O$86,15,0)),0,VLOOKUP($T$231,'TAR FIN'!$A$1:$O$86,15,0))</f>
        <v>0</v>
      </c>
      <c r="X231" s="97">
        <f>IF(ISERROR(VLOOKUP($U$231,'TAR FIN'!$A$1:$O$86,15,0)),0,VLOOKUP($U$231,'TAR FIN'!$A$1:$O$86,15,0))</f>
        <v>0</v>
      </c>
      <c r="Y231" s="97">
        <f ca="1">('TUSD BE'!$AM$11+'TUSD BF'!$AM$11+'TUSD CVA'!$AM$11)*1*(1-0.02)</f>
        <v>14.889098762306169</v>
      </c>
      <c r="Z231" s="97"/>
      <c r="AA231" s="97"/>
      <c r="AB231" s="97">
        <f>(SUBSIDIO!$J$231*SUBSIDIO!$V$231)*(0.04)/(1-0.04)</f>
        <v>431.74560000000002</v>
      </c>
      <c r="AC231" s="97">
        <f>((SUBSIDIO!$L$231*SUBSIDIO!$W$231)+(SUBSIDIO!$N$231*SUBSIDIO!$X$231))*(0.04)/(1-0.04)</f>
        <v>0</v>
      </c>
      <c r="AD231" s="97">
        <f ca="1">(SUBSIDIO!$J$231*SUBSIDIO!$Y$231)*(0.02)/(1-0.02)</f>
        <v>170.46498787048495</v>
      </c>
      <c r="AE231" s="97">
        <f>((SUBSIDIO!$L$231*SUBSIDIO!$Z$231)+(SUBSIDIO!$N$231*SUBSIDIO!$AA$231))*(0.02)/(1-0.02)</f>
        <v>0</v>
      </c>
      <c r="AF231" s="4" t="s">
        <v>727</v>
      </c>
    </row>
    <row r="232" spans="1:32" ht="11.25" customHeight="1" x14ac:dyDescent="0.25">
      <c r="A232" s="4" t="s">
        <v>21</v>
      </c>
      <c r="B232" s="4" t="s">
        <v>38</v>
      </c>
      <c r="C232" s="4" t="s">
        <v>40</v>
      </c>
      <c r="D232" s="4" t="s">
        <v>43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44501</v>
      </c>
      <c r="J232" s="6">
        <v>658</v>
      </c>
      <c r="K232" s="97">
        <v>658</v>
      </c>
      <c r="L232" s="6">
        <v>0</v>
      </c>
      <c r="M232" s="97">
        <v>0</v>
      </c>
      <c r="N232" s="6">
        <v>0</v>
      </c>
      <c r="O232" s="97">
        <v>0</v>
      </c>
      <c r="P232" s="6">
        <v>5</v>
      </c>
      <c r="Q232" s="4" t="s">
        <v>26</v>
      </c>
      <c r="R232" s="4">
        <v>0</v>
      </c>
      <c r="S232" s="4">
        <v>18</v>
      </c>
      <c r="T232" s="4">
        <v>0</v>
      </c>
      <c r="U232" s="4">
        <v>0</v>
      </c>
      <c r="V232" s="97">
        <f>IF(ISERROR(VLOOKUP($S$232,'TAR FIN'!$A$1:$O$86,15,0)),0,VLOOKUP($S$232,'TAR FIN'!$A$1:$O$86,15,0))*(1-0.04)</f>
        <v>18.470399999999998</v>
      </c>
      <c r="W232" s="97">
        <f>IF(ISERROR(VLOOKUP($T$232,'TAR FIN'!$A$1:$O$86,15,0)),0,VLOOKUP($T$232,'TAR FIN'!$A$1:$O$86,15,0))</f>
        <v>0</v>
      </c>
      <c r="X232" s="97">
        <f>IF(ISERROR(VLOOKUP($U$232,'TAR FIN'!$A$1:$O$86,15,0)),0,VLOOKUP($U$232,'TAR FIN'!$A$1:$O$86,15,0))</f>
        <v>0</v>
      </c>
      <c r="Y232" s="97">
        <f ca="1">('TUSD BE'!$AM$11+'TUSD BF'!$AM$11+'TUSD CVA'!$AM$11)*1*(1-0.02)</f>
        <v>14.889098762306169</v>
      </c>
      <c r="Z232" s="97"/>
      <c r="AA232" s="97"/>
      <c r="AB232" s="97">
        <f>(SUBSIDIO!$J$232*SUBSIDIO!$V$232)*(0.04)/(1-0.04)</f>
        <v>506.39679999999993</v>
      </c>
      <c r="AC232" s="97">
        <f>((SUBSIDIO!$L$232*SUBSIDIO!$W$232)+(SUBSIDIO!$N$232*SUBSIDIO!$X$232))*(0.04)/(1-0.04)</f>
        <v>0</v>
      </c>
      <c r="AD232" s="97">
        <f ca="1">(SUBSIDIO!$J$232*SUBSIDIO!$Y$232)*(0.02)/(1-0.02)</f>
        <v>199.93932623668286</v>
      </c>
      <c r="AE232" s="97">
        <f>((SUBSIDIO!$L$232*SUBSIDIO!$Z$232)+(SUBSIDIO!$N$232*SUBSIDIO!$AA$232))*(0.02)/(1-0.02)</f>
        <v>0</v>
      </c>
      <c r="AF232" s="4" t="s">
        <v>727</v>
      </c>
    </row>
    <row r="233" spans="1:32" ht="11.25" customHeight="1" x14ac:dyDescent="0.25">
      <c r="A233" s="4" t="s">
        <v>21</v>
      </c>
      <c r="B233" s="4" t="s">
        <v>38</v>
      </c>
      <c r="C233" s="4" t="s">
        <v>40</v>
      </c>
      <c r="D233" s="4" t="s">
        <v>43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44531</v>
      </c>
      <c r="J233" s="6">
        <v>584</v>
      </c>
      <c r="K233" s="97">
        <v>584</v>
      </c>
      <c r="L233" s="6">
        <v>0</v>
      </c>
      <c r="M233" s="97">
        <v>0</v>
      </c>
      <c r="N233" s="6">
        <v>0</v>
      </c>
      <c r="O233" s="97">
        <v>0</v>
      </c>
      <c r="P233" s="6">
        <v>5</v>
      </c>
      <c r="Q233" s="4" t="s">
        <v>26</v>
      </c>
      <c r="R233" s="4">
        <v>0</v>
      </c>
      <c r="S233" s="4">
        <v>18</v>
      </c>
      <c r="T233" s="4">
        <v>0</v>
      </c>
      <c r="U233" s="4">
        <v>0</v>
      </c>
      <c r="V233" s="97">
        <f>IF(ISERROR(VLOOKUP($S$233,'TAR FIN'!$A$1:$O$86,15,0)),0,VLOOKUP($S$233,'TAR FIN'!$A$1:$O$86,15,0))*(1-0.04)</f>
        <v>18.470399999999998</v>
      </c>
      <c r="W233" s="97">
        <f>IF(ISERROR(VLOOKUP($T$233,'TAR FIN'!$A$1:$O$86,15,0)),0,VLOOKUP($T$233,'TAR FIN'!$A$1:$O$86,15,0))</f>
        <v>0</v>
      </c>
      <c r="X233" s="97">
        <f>IF(ISERROR(VLOOKUP($U$233,'TAR FIN'!$A$1:$O$86,15,0)),0,VLOOKUP($U$233,'TAR FIN'!$A$1:$O$86,15,0))</f>
        <v>0</v>
      </c>
      <c r="Y233" s="97">
        <f ca="1">('TUSD BE'!$AM$11+'TUSD BF'!$AM$11+'TUSD CVA'!$AM$11)*1*(1-0.02)</f>
        <v>14.889098762306169</v>
      </c>
      <c r="Z233" s="97"/>
      <c r="AA233" s="97"/>
      <c r="AB233" s="97">
        <f>(SUBSIDIO!$J$233*SUBSIDIO!$V$233)*(0.04)/(1-0.04)</f>
        <v>449.44639999999998</v>
      </c>
      <c r="AC233" s="97">
        <f>((SUBSIDIO!$L$233*SUBSIDIO!$W$233)+(SUBSIDIO!$N$233*SUBSIDIO!$X$233))*(0.04)/(1-0.04)</f>
        <v>0</v>
      </c>
      <c r="AD233" s="97">
        <f ca="1">(SUBSIDIO!$J$233*SUBSIDIO!$Y$233)*(0.02)/(1-0.02)</f>
        <v>177.45374851401641</v>
      </c>
      <c r="AE233" s="97">
        <f>((SUBSIDIO!$L$233*SUBSIDIO!$Z$233)+(SUBSIDIO!$N$233*SUBSIDIO!$AA$233))*(0.02)/(1-0.02)</f>
        <v>0</v>
      </c>
      <c r="AF233" s="4" t="s">
        <v>727</v>
      </c>
    </row>
    <row r="234" spans="1:32" ht="11.25" customHeight="1" x14ac:dyDescent="0.25">
      <c r="A234" s="4" t="s">
        <v>21</v>
      </c>
      <c r="B234" s="4" t="s">
        <v>38</v>
      </c>
      <c r="C234" s="4" t="s">
        <v>40</v>
      </c>
      <c r="D234" s="4" t="s">
        <v>43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44562</v>
      </c>
      <c r="J234" s="6">
        <v>564</v>
      </c>
      <c r="K234" s="97">
        <v>564</v>
      </c>
      <c r="L234" s="6">
        <v>0</v>
      </c>
      <c r="M234" s="97">
        <v>0</v>
      </c>
      <c r="N234" s="6">
        <v>0</v>
      </c>
      <c r="O234" s="97">
        <v>0</v>
      </c>
      <c r="P234" s="6">
        <v>5</v>
      </c>
      <c r="Q234" s="4" t="s">
        <v>26</v>
      </c>
      <c r="R234" s="4">
        <v>0</v>
      </c>
      <c r="S234" s="4">
        <v>18</v>
      </c>
      <c r="T234" s="4">
        <v>0</v>
      </c>
      <c r="U234" s="4">
        <v>0</v>
      </c>
      <c r="V234" s="97">
        <f>IF(ISERROR(VLOOKUP($S$234,'TAR FIN'!$A$1:$O$86,15,0)),0,VLOOKUP($S$234,'TAR FIN'!$A$1:$O$86,15,0))*(1-0.04)</f>
        <v>18.470399999999998</v>
      </c>
      <c r="W234" s="97">
        <f>IF(ISERROR(VLOOKUP($T$234,'TAR FIN'!$A$1:$O$86,15,0)),0,VLOOKUP($T$234,'TAR FIN'!$A$1:$O$86,15,0))</f>
        <v>0</v>
      </c>
      <c r="X234" s="97">
        <f>IF(ISERROR(VLOOKUP($U$234,'TAR FIN'!$A$1:$O$86,15,0)),0,VLOOKUP($U$234,'TAR FIN'!$A$1:$O$86,15,0))</f>
        <v>0</v>
      </c>
      <c r="Y234" s="97">
        <f ca="1">('TUSD BE'!$AM$11+'TUSD BF'!$AM$11+'TUSD CVA'!$AM$11)*1*(1-0.02)</f>
        <v>14.889098762306169</v>
      </c>
      <c r="Z234" s="97"/>
      <c r="AA234" s="97"/>
      <c r="AB234" s="97">
        <f>(SUBSIDIO!$J$234*SUBSIDIO!$V$234)*(0.04)/(1-0.04)</f>
        <v>434.05440000000004</v>
      </c>
      <c r="AC234" s="97">
        <f>((SUBSIDIO!$L$234*SUBSIDIO!$W$234)+(SUBSIDIO!$N$234*SUBSIDIO!$X$234))*(0.04)/(1-0.04)</f>
        <v>0</v>
      </c>
      <c r="AD234" s="97">
        <f ca="1">(SUBSIDIO!$J$234*SUBSIDIO!$Y$234)*(0.02)/(1-0.02)</f>
        <v>171.37656534572815</v>
      </c>
      <c r="AE234" s="97">
        <f>((SUBSIDIO!$L$234*SUBSIDIO!$Z$234)+(SUBSIDIO!$N$234*SUBSIDIO!$AA$234))*(0.02)/(1-0.02)</f>
        <v>0</v>
      </c>
      <c r="AF234" s="4" t="s">
        <v>727</v>
      </c>
    </row>
    <row r="235" spans="1:32" ht="11.25" customHeight="1" x14ac:dyDescent="0.25">
      <c r="A235" s="4" t="s">
        <v>27</v>
      </c>
      <c r="B235" s="4" t="s">
        <v>38</v>
      </c>
      <c r="C235" s="4" t="s">
        <v>40</v>
      </c>
      <c r="D235" s="4" t="s">
        <v>43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44562</v>
      </c>
      <c r="J235" s="6">
        <v>1053</v>
      </c>
      <c r="K235" s="97">
        <v>1053</v>
      </c>
      <c r="L235" s="6">
        <v>0</v>
      </c>
      <c r="M235" s="97">
        <v>0</v>
      </c>
      <c r="N235" s="6">
        <v>0</v>
      </c>
      <c r="O235" s="97">
        <v>0</v>
      </c>
      <c r="P235" s="6">
        <v>0</v>
      </c>
      <c r="Q235" s="4" t="s">
        <v>26</v>
      </c>
      <c r="R235" s="4">
        <v>0</v>
      </c>
      <c r="S235" s="4">
        <v>18</v>
      </c>
      <c r="T235" s="4">
        <v>0</v>
      </c>
      <c r="U235" s="4">
        <v>0</v>
      </c>
      <c r="V235" s="97">
        <f>IF(ISERROR(VLOOKUP($S$235,'TAR FIN'!$A$1:$O$86,15,0)),0,VLOOKUP($S$235,'TAR FIN'!$A$1:$O$86,15,0))*(1-0.04)</f>
        <v>18.470399999999998</v>
      </c>
      <c r="W235" s="97">
        <f>IF(ISERROR(VLOOKUP($T$235,'TAR FIN'!$A$1:$O$86,15,0)),0,VLOOKUP($T$235,'TAR FIN'!$A$1:$O$86,15,0))</f>
        <v>0</v>
      </c>
      <c r="X235" s="97">
        <f>IF(ISERROR(VLOOKUP($U$235,'TAR FIN'!$A$1:$O$86,15,0)),0,VLOOKUP($U$235,'TAR FIN'!$A$1:$O$86,15,0))</f>
        <v>0</v>
      </c>
      <c r="Y235" s="97">
        <f ca="1">('TUSD BE'!$AM$11+'TUSD BF'!$AM$11+'TUSD CVA'!$AM$11)*1*(1-0.02)</f>
        <v>14.889098762306169</v>
      </c>
      <c r="Z235" s="97"/>
      <c r="AA235" s="97"/>
      <c r="AB235" s="97">
        <f>(SUBSIDIO!$J$235*SUBSIDIO!$V$235)*(0.04)/(1-0.04)</f>
        <v>810.38879999999995</v>
      </c>
      <c r="AC235" s="97">
        <f>((SUBSIDIO!$L$235*SUBSIDIO!$W$235)+(SUBSIDIO!$N$235*SUBSIDIO!$X$235))*(0.04)/(1-0.04)</f>
        <v>0</v>
      </c>
      <c r="AD235" s="97">
        <f ca="1">(SUBSIDIO!$J$235*SUBSIDIO!$Y$235)*(0.02)/(1-0.02)</f>
        <v>319.96369381037545</v>
      </c>
      <c r="AE235" s="97">
        <f>((SUBSIDIO!$L$235*SUBSIDIO!$Z$235)+(SUBSIDIO!$N$235*SUBSIDIO!$AA$235))*(0.02)/(1-0.02)</f>
        <v>0</v>
      </c>
      <c r="AF235" s="4" t="s">
        <v>727</v>
      </c>
    </row>
    <row r="236" spans="1:32" ht="11.25" customHeight="1" x14ac:dyDescent="0.25">
      <c r="A236" s="4" t="s">
        <v>21</v>
      </c>
      <c r="B236" s="4" t="s">
        <v>38</v>
      </c>
      <c r="C236" s="4" t="s">
        <v>40</v>
      </c>
      <c r="D236" s="4" t="s">
        <v>43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44593</v>
      </c>
      <c r="J236" s="6">
        <v>461</v>
      </c>
      <c r="K236" s="97">
        <v>461</v>
      </c>
      <c r="L236" s="6">
        <v>0</v>
      </c>
      <c r="M236" s="97">
        <v>0</v>
      </c>
      <c r="N236" s="6">
        <v>0</v>
      </c>
      <c r="O236" s="97">
        <v>0</v>
      </c>
      <c r="P236" s="6">
        <v>4</v>
      </c>
      <c r="Q236" s="4" t="s">
        <v>26</v>
      </c>
      <c r="R236" s="4">
        <v>0</v>
      </c>
      <c r="S236" s="4">
        <v>18</v>
      </c>
      <c r="T236" s="4">
        <v>0</v>
      </c>
      <c r="U236" s="4">
        <v>0</v>
      </c>
      <c r="V236" s="97">
        <f>IF(ISERROR(VLOOKUP($S$236,'TAR FIN'!$A$1:$O$86,15,0)),0,VLOOKUP($S$236,'TAR FIN'!$A$1:$O$86,15,0))*(1-0.04)</f>
        <v>18.470399999999998</v>
      </c>
      <c r="W236" s="97">
        <f>IF(ISERROR(VLOOKUP($T$236,'TAR FIN'!$A$1:$O$86,15,0)),0,VLOOKUP($T$236,'TAR FIN'!$A$1:$O$86,15,0))</f>
        <v>0</v>
      </c>
      <c r="X236" s="97">
        <f>IF(ISERROR(VLOOKUP($U$236,'TAR FIN'!$A$1:$O$86,15,0)),0,VLOOKUP($U$236,'TAR FIN'!$A$1:$O$86,15,0))</f>
        <v>0</v>
      </c>
      <c r="Y236" s="97">
        <f ca="1">('TUSD BE'!$AM$11+'TUSD BF'!$AM$11+'TUSD CVA'!$AM$11)*1*(1-0.02)</f>
        <v>14.889098762306169</v>
      </c>
      <c r="Z236" s="97"/>
      <c r="AA236" s="97"/>
      <c r="AB236" s="97">
        <f>(SUBSIDIO!$J$236*SUBSIDIO!$V$236)*(0.04)/(1-0.04)</f>
        <v>354.78559999999993</v>
      </c>
      <c r="AC236" s="97">
        <f>((SUBSIDIO!$L$236*SUBSIDIO!$W$236)+(SUBSIDIO!$N$236*SUBSIDIO!$X$236))*(0.04)/(1-0.04)</f>
        <v>0</v>
      </c>
      <c r="AD236" s="97">
        <f ca="1">(SUBSIDIO!$J$236*SUBSIDIO!$Y$236)*(0.02)/(1-0.02)</f>
        <v>140.07907202904377</v>
      </c>
      <c r="AE236" s="97">
        <f>((SUBSIDIO!$L$236*SUBSIDIO!$Z$236)+(SUBSIDIO!$N$236*SUBSIDIO!$AA$236))*(0.02)/(1-0.02)</f>
        <v>0</v>
      </c>
      <c r="AF236" s="4" t="s">
        <v>727</v>
      </c>
    </row>
    <row r="237" spans="1:32" ht="11.25" customHeight="1" x14ac:dyDescent="0.25">
      <c r="A237" s="4" t="s">
        <v>21</v>
      </c>
      <c r="B237" s="4" t="s">
        <v>38</v>
      </c>
      <c r="C237" s="4" t="s">
        <v>40</v>
      </c>
      <c r="D237" s="4" t="s">
        <v>43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44621</v>
      </c>
      <c r="J237" s="6">
        <v>526</v>
      </c>
      <c r="K237" s="97">
        <v>526</v>
      </c>
      <c r="L237" s="6">
        <v>0</v>
      </c>
      <c r="M237" s="97">
        <v>0</v>
      </c>
      <c r="N237" s="6">
        <v>0</v>
      </c>
      <c r="O237" s="97">
        <v>0</v>
      </c>
      <c r="P237" s="6">
        <v>4</v>
      </c>
      <c r="Q237" s="4" t="s">
        <v>26</v>
      </c>
      <c r="R237" s="4">
        <v>0</v>
      </c>
      <c r="S237" s="4">
        <v>18</v>
      </c>
      <c r="T237" s="4">
        <v>0</v>
      </c>
      <c r="U237" s="4">
        <v>0</v>
      </c>
      <c r="V237" s="97">
        <f>IF(ISERROR(VLOOKUP($S$237,'TAR FIN'!$A$1:$O$86,15,0)),0,VLOOKUP($S$237,'TAR FIN'!$A$1:$O$86,15,0))*(1-0.04)</f>
        <v>18.470399999999998</v>
      </c>
      <c r="W237" s="97">
        <f>IF(ISERROR(VLOOKUP($T$237,'TAR FIN'!$A$1:$O$86,15,0)),0,VLOOKUP($T$237,'TAR FIN'!$A$1:$O$86,15,0))</f>
        <v>0</v>
      </c>
      <c r="X237" s="97">
        <f>IF(ISERROR(VLOOKUP($U$237,'TAR FIN'!$A$1:$O$86,15,0)),0,VLOOKUP($U$237,'TAR FIN'!$A$1:$O$86,15,0))</f>
        <v>0</v>
      </c>
      <c r="Y237" s="97">
        <f ca="1">('TUSD BE'!$AM$11+'TUSD BF'!$AM$11+'TUSD CVA'!$AM$11)*1*(1-0.02)</f>
        <v>14.889098762306169</v>
      </c>
      <c r="Z237" s="97"/>
      <c r="AA237" s="97"/>
      <c r="AB237" s="97">
        <f>(SUBSIDIO!$J$237*SUBSIDIO!$V$237)*(0.04)/(1-0.04)</f>
        <v>404.80959999999999</v>
      </c>
      <c r="AC237" s="97">
        <f>((SUBSIDIO!$L$237*SUBSIDIO!$W$237)+(SUBSIDIO!$N$237*SUBSIDIO!$X$237))*(0.04)/(1-0.04)</f>
        <v>0</v>
      </c>
      <c r="AD237" s="97">
        <f ca="1">(SUBSIDIO!$J$237*SUBSIDIO!$Y$237)*(0.02)/(1-0.02)</f>
        <v>159.82991732598049</v>
      </c>
      <c r="AE237" s="97">
        <f>((SUBSIDIO!$L$237*SUBSIDIO!$Z$237)+(SUBSIDIO!$N$237*SUBSIDIO!$AA$237))*(0.02)/(1-0.02)</f>
        <v>0</v>
      </c>
      <c r="AF237" s="4" t="s">
        <v>727</v>
      </c>
    </row>
    <row r="238" spans="1:32" ht="11.25" customHeight="1" x14ac:dyDescent="0.25">
      <c r="A238" s="4" t="s">
        <v>21</v>
      </c>
      <c r="B238" s="4" t="s">
        <v>38</v>
      </c>
      <c r="C238" s="4" t="s">
        <v>40</v>
      </c>
      <c r="D238" s="4" t="s">
        <v>43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44652</v>
      </c>
      <c r="J238" s="6">
        <v>554</v>
      </c>
      <c r="K238" s="97">
        <v>554</v>
      </c>
      <c r="L238" s="6">
        <v>0</v>
      </c>
      <c r="M238" s="97">
        <v>0</v>
      </c>
      <c r="N238" s="6">
        <v>0</v>
      </c>
      <c r="O238" s="97">
        <v>0</v>
      </c>
      <c r="P238" s="6">
        <v>4</v>
      </c>
      <c r="Q238" s="4" t="s">
        <v>26</v>
      </c>
      <c r="R238" s="4">
        <v>0</v>
      </c>
      <c r="S238" s="4">
        <v>18</v>
      </c>
      <c r="T238" s="4">
        <v>0</v>
      </c>
      <c r="U238" s="4">
        <v>0</v>
      </c>
      <c r="V238" s="97">
        <f>IF(ISERROR(VLOOKUP($S$238,'TAR FIN'!$A$1:$O$86,15,0)),0,VLOOKUP($S$238,'TAR FIN'!$A$1:$O$86,15,0))*(1-0.04)</f>
        <v>18.470399999999998</v>
      </c>
      <c r="W238" s="97">
        <f>IF(ISERROR(VLOOKUP($T$238,'TAR FIN'!$A$1:$O$86,15,0)),0,VLOOKUP($T$238,'TAR FIN'!$A$1:$O$86,15,0))</f>
        <v>0</v>
      </c>
      <c r="X238" s="97">
        <f>IF(ISERROR(VLOOKUP($U$238,'TAR FIN'!$A$1:$O$86,15,0)),0,VLOOKUP($U$238,'TAR FIN'!$A$1:$O$86,15,0))</f>
        <v>0</v>
      </c>
      <c r="Y238" s="97">
        <f ca="1">('TUSD BE'!$AM$11+'TUSD BF'!$AM$11+'TUSD CVA'!$AM$11)*1*(1-0.02)</f>
        <v>14.889098762306169</v>
      </c>
      <c r="Z238" s="97"/>
      <c r="AA238" s="97"/>
      <c r="AB238" s="97">
        <f>(SUBSIDIO!$J$238*SUBSIDIO!$V$238)*(0.04)/(1-0.04)</f>
        <v>426.35839999999996</v>
      </c>
      <c r="AC238" s="97">
        <f>((SUBSIDIO!$L$238*SUBSIDIO!$W$238)+(SUBSIDIO!$N$238*SUBSIDIO!$X$238))*(0.04)/(1-0.04)</f>
        <v>0</v>
      </c>
      <c r="AD238" s="97">
        <f ca="1">(SUBSIDIO!$J$238*SUBSIDIO!$Y$238)*(0.02)/(1-0.02)</f>
        <v>168.33797376158404</v>
      </c>
      <c r="AE238" s="97">
        <f>((SUBSIDIO!$L$238*SUBSIDIO!$Z$238)+(SUBSIDIO!$N$238*SUBSIDIO!$AA$238))*(0.02)/(1-0.02)</f>
        <v>0</v>
      </c>
      <c r="AF238" s="4" t="s">
        <v>727</v>
      </c>
    </row>
    <row r="239" spans="1:32" ht="11.25" customHeight="1" x14ac:dyDescent="0.25">
      <c r="A239" s="4" t="s">
        <v>21</v>
      </c>
      <c r="B239" s="4" t="s">
        <v>38</v>
      </c>
      <c r="C239" s="4" t="s">
        <v>40</v>
      </c>
      <c r="D239" s="4" t="s">
        <v>43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44682</v>
      </c>
      <c r="J239" s="6">
        <v>599</v>
      </c>
      <c r="K239" s="97">
        <v>599</v>
      </c>
      <c r="L239" s="6">
        <v>0</v>
      </c>
      <c r="M239" s="97">
        <v>0</v>
      </c>
      <c r="N239" s="6">
        <v>0</v>
      </c>
      <c r="O239" s="97">
        <v>0</v>
      </c>
      <c r="P239" s="6">
        <v>5</v>
      </c>
      <c r="Q239" s="4" t="s">
        <v>26</v>
      </c>
      <c r="R239" s="4">
        <v>0</v>
      </c>
      <c r="S239" s="4">
        <v>18</v>
      </c>
      <c r="T239" s="4">
        <v>0</v>
      </c>
      <c r="U239" s="4">
        <v>0</v>
      </c>
      <c r="V239" s="97">
        <f>IF(ISERROR(VLOOKUP($S$239,'TAR FIN'!$A$1:$O$86,15,0)),0,VLOOKUP($S$239,'TAR FIN'!$A$1:$O$86,15,0))*(1-0.04)</f>
        <v>18.470399999999998</v>
      </c>
      <c r="W239" s="97">
        <f>IF(ISERROR(VLOOKUP($T$239,'TAR FIN'!$A$1:$O$86,15,0)),0,VLOOKUP($T$239,'TAR FIN'!$A$1:$O$86,15,0))</f>
        <v>0</v>
      </c>
      <c r="X239" s="97">
        <f>IF(ISERROR(VLOOKUP($U$239,'TAR FIN'!$A$1:$O$86,15,0)),0,VLOOKUP($U$239,'TAR FIN'!$A$1:$O$86,15,0))</f>
        <v>0</v>
      </c>
      <c r="Y239" s="97">
        <f ca="1">('TUSD BE'!$AM$11+'TUSD BF'!$AM$11+'TUSD CVA'!$AM$11)*1*(1-0.02)</f>
        <v>14.889098762306169</v>
      </c>
      <c r="Z239" s="97"/>
      <c r="AA239" s="97"/>
      <c r="AB239" s="97">
        <f>(SUBSIDIO!$J$239*SUBSIDIO!$V$239)*(0.04)/(1-0.04)</f>
        <v>460.99040000000002</v>
      </c>
      <c r="AC239" s="97">
        <f>((SUBSIDIO!$L$239*SUBSIDIO!$W$239)+(SUBSIDIO!$N$239*SUBSIDIO!$X$239))*(0.04)/(1-0.04)</f>
        <v>0</v>
      </c>
      <c r="AD239" s="97">
        <f ca="1">(SUBSIDIO!$J$239*SUBSIDIO!$Y$239)*(0.02)/(1-0.02)</f>
        <v>182.01163589023255</v>
      </c>
      <c r="AE239" s="97">
        <f>((SUBSIDIO!$L$239*SUBSIDIO!$Z$239)+(SUBSIDIO!$N$239*SUBSIDIO!$AA$239))*(0.02)/(1-0.02)</f>
        <v>0</v>
      </c>
      <c r="AF239" s="4" t="s">
        <v>727</v>
      </c>
    </row>
    <row r="240" spans="1:32" ht="11.25" customHeight="1" x14ac:dyDescent="0.25">
      <c r="A240" s="4" t="s">
        <v>56</v>
      </c>
      <c r="B240" s="4" t="s">
        <v>38</v>
      </c>
      <c r="C240" s="4" t="s">
        <v>40</v>
      </c>
      <c r="D240" s="4" t="s">
        <v>43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599</v>
      </c>
      <c r="K240" s="97">
        <v>599</v>
      </c>
      <c r="L240" s="6">
        <v>0</v>
      </c>
      <c r="M240" s="97">
        <v>0</v>
      </c>
      <c r="N240" s="6">
        <v>0</v>
      </c>
      <c r="O240" s="97">
        <v>0</v>
      </c>
      <c r="P240" s="6">
        <v>5</v>
      </c>
      <c r="Q240" s="4" t="s">
        <v>26</v>
      </c>
      <c r="R240" s="4">
        <v>0</v>
      </c>
      <c r="S240" s="4">
        <v>18</v>
      </c>
      <c r="T240" s="4">
        <v>0</v>
      </c>
      <c r="U240" s="4">
        <v>0</v>
      </c>
      <c r="V240" s="97">
        <f>IF(ISERROR(VLOOKUP($S$240,'TAR FIN'!$A$1:$O$86,15,0)),0,VLOOKUP($S$240,'TAR FIN'!$A$1:$O$86,15,0))*(1-0.04)</f>
        <v>18.470399999999998</v>
      </c>
      <c r="W240" s="97">
        <f>IF(ISERROR(VLOOKUP($T$240,'TAR FIN'!$A$1:$O$86,15,0)),0,VLOOKUP($T$240,'TAR FIN'!$A$1:$O$86,15,0))</f>
        <v>0</v>
      </c>
      <c r="X240" s="97">
        <f>IF(ISERROR(VLOOKUP($U$240,'TAR FIN'!$A$1:$O$86,15,0)),0,VLOOKUP($U$240,'TAR FIN'!$A$1:$O$86,15,0))</f>
        <v>0</v>
      </c>
      <c r="Y240" s="97">
        <f ca="1">('TUSD BE'!$AM$11+'TUSD BF'!$AM$11+'TUSD CVA'!$AM$11)*1*(1-0.02)</f>
        <v>14.889098762306169</v>
      </c>
      <c r="Z240" s="97"/>
      <c r="AA240" s="97"/>
      <c r="AB240" s="97">
        <f>(SUBSIDIO!$J$240*SUBSIDIO!$V$240)*(0.04)/(1-0.04)</f>
        <v>460.99040000000002</v>
      </c>
      <c r="AC240" s="97">
        <f>((SUBSIDIO!$L$240*SUBSIDIO!$W$240)+(SUBSIDIO!$N$240*SUBSIDIO!$X$240))*(0.04)/(1-0.04)</f>
        <v>0</v>
      </c>
      <c r="AD240" s="97">
        <f ca="1">(SUBSIDIO!$J$240*SUBSIDIO!$Y$240)*(0.02)/(1-0.02)</f>
        <v>182.01163589023255</v>
      </c>
      <c r="AE240" s="97">
        <f>((SUBSIDIO!$L$240*SUBSIDIO!$Z$240)+(SUBSIDIO!$N$240*SUBSIDIO!$AA$240))*(0.02)/(1-0.02)</f>
        <v>0</v>
      </c>
      <c r="AF240" s="4" t="s">
        <v>727</v>
      </c>
    </row>
    <row r="241" spans="1:32" ht="11.25" customHeight="1" x14ac:dyDescent="0.25">
      <c r="A241" s="4" t="s">
        <v>21</v>
      </c>
      <c r="B241" s="4" t="s">
        <v>38</v>
      </c>
      <c r="C241" s="4" t="s">
        <v>40</v>
      </c>
      <c r="D241" s="4" t="s">
        <v>43</v>
      </c>
      <c r="E241" s="4" t="s">
        <v>25</v>
      </c>
      <c r="F241" s="4" t="s">
        <v>25</v>
      </c>
      <c r="G241" s="4" t="s">
        <v>25</v>
      </c>
      <c r="H241" s="4" t="s">
        <v>33</v>
      </c>
      <c r="I241" s="5">
        <v>44378</v>
      </c>
      <c r="J241" s="6">
        <v>0</v>
      </c>
      <c r="K241" s="97">
        <v>0</v>
      </c>
      <c r="L241" s="6">
        <v>5.2389999999999999</v>
      </c>
      <c r="M241" s="97">
        <v>5.2389999999999999</v>
      </c>
      <c r="N241" s="6">
        <v>5.2389999999999999</v>
      </c>
      <c r="O241" s="97">
        <v>5.2389999999999999</v>
      </c>
      <c r="P241" s="6">
        <v>0</v>
      </c>
      <c r="Q241" s="4" t="s">
        <v>26</v>
      </c>
      <c r="R241" s="4">
        <v>0</v>
      </c>
      <c r="S241" s="4">
        <v>0</v>
      </c>
      <c r="T241" s="4">
        <v>16</v>
      </c>
      <c r="U241" s="4">
        <v>47</v>
      </c>
      <c r="V241" s="97">
        <f>IF(ISERROR(VLOOKUP($S$241,'TAR FIN'!$A$1:$O$86,15,0)),0,VLOOKUP($S$241,'TAR FIN'!$A$1:$O$86,15,0))</f>
        <v>0</v>
      </c>
      <c r="W241" s="97">
        <f>IF(ISERROR(VLOOKUP($T$241,'TAR FIN'!$A$1:$O$86,15,0)),0,VLOOKUP($T$241,'TAR FIN'!$A$1:$O$86,15,0))*(1-0.04)</f>
        <v>1276.4832000000001</v>
      </c>
      <c r="X241" s="97">
        <f>IF(ISERROR(VLOOKUP($U$241,'TAR FIN'!$A$1:$O$86,15,0)),0,VLOOKUP($U$241,'TAR FIN'!$A$1:$O$86,15,0))*(1-0.04)</f>
        <v>373.64159999999998</v>
      </c>
      <c r="Y241" s="97"/>
      <c r="Z241" s="97">
        <f ca="1">('TUSD BE'!$AM$12+'TUSD BF'!$AM$12+'TUSD CVA'!$AM$12)*1*(1-0.02)</f>
        <v>1052.8740579870318</v>
      </c>
      <c r="AA241" s="97">
        <f>('TE BE'!$AB$5+'TE BF'!$AB$5+'TE CVA'!$AB$5)*1*(1-0.02)</f>
        <v>346.47998010024565</v>
      </c>
      <c r="AB241" s="97">
        <f>(SUBSIDIO!$J$241*SUBSIDIO!$V$241)*(0.04)/(1-0.04)</f>
        <v>0</v>
      </c>
      <c r="AC241" s="97">
        <f>((SUBSIDIO!$L$241*SUBSIDIO!$W$241)+(SUBSIDIO!$N$241*SUBSIDIO!$X$241))*(0.04)/(1-0.04)</f>
        <v>360.20849279999999</v>
      </c>
      <c r="AD241" s="97">
        <f>(SUBSIDIO!$J$241*SUBSIDIO!$Y$241)*(0.02)/(1-0.02)</f>
        <v>0</v>
      </c>
      <c r="AE241" s="97">
        <f ca="1">((SUBSIDIO!$L$241*SUBSIDIO!$Z$241)+(SUBSIDIO!$N$241*SUBSIDIO!$AA$241))*(0.02)/(1-0.02)</f>
        <v>149.61664909263772</v>
      </c>
      <c r="AF241" s="4" t="s">
        <v>727</v>
      </c>
    </row>
    <row r="242" spans="1:32" ht="11.25" customHeight="1" x14ac:dyDescent="0.25">
      <c r="A242" s="4" t="s">
        <v>21</v>
      </c>
      <c r="B242" s="4" t="s">
        <v>38</v>
      </c>
      <c r="C242" s="4" t="s">
        <v>40</v>
      </c>
      <c r="D242" s="4" t="s">
        <v>43</v>
      </c>
      <c r="E242" s="4" t="s">
        <v>25</v>
      </c>
      <c r="F242" s="4" t="s">
        <v>25</v>
      </c>
      <c r="G242" s="4" t="s">
        <v>25</v>
      </c>
      <c r="H242" s="4" t="s">
        <v>33</v>
      </c>
      <c r="I242" s="5">
        <v>44409</v>
      </c>
      <c r="J242" s="6">
        <v>0</v>
      </c>
      <c r="K242" s="97">
        <v>0</v>
      </c>
      <c r="L242" s="6">
        <v>4.5449999999999999</v>
      </c>
      <c r="M242" s="97">
        <v>4.5449999999999999</v>
      </c>
      <c r="N242" s="6">
        <v>4.5449999999999999</v>
      </c>
      <c r="O242" s="97">
        <v>4.5449999999999999</v>
      </c>
      <c r="P242" s="6">
        <v>0</v>
      </c>
      <c r="Q242" s="4" t="s">
        <v>26</v>
      </c>
      <c r="R242" s="4">
        <v>0</v>
      </c>
      <c r="S242" s="4">
        <v>0</v>
      </c>
      <c r="T242" s="4">
        <v>16</v>
      </c>
      <c r="U242" s="4">
        <v>47</v>
      </c>
      <c r="V242" s="97">
        <f>IF(ISERROR(VLOOKUP($S$242,'TAR FIN'!$A$1:$O$86,15,0)),0,VLOOKUP($S$242,'TAR FIN'!$A$1:$O$86,15,0))</f>
        <v>0</v>
      </c>
      <c r="W242" s="97">
        <f>IF(ISERROR(VLOOKUP($T$242,'TAR FIN'!$A$1:$O$86,15,0)),0,VLOOKUP($T$242,'TAR FIN'!$A$1:$O$86,15,0))*(1-0.04)</f>
        <v>1276.4832000000001</v>
      </c>
      <c r="X242" s="97">
        <f>IF(ISERROR(VLOOKUP($U$242,'TAR FIN'!$A$1:$O$86,15,0)),0,VLOOKUP($U$242,'TAR FIN'!$A$1:$O$86,15,0))*(1-0.04)</f>
        <v>373.64159999999998</v>
      </c>
      <c r="Y242" s="97"/>
      <c r="Z242" s="97">
        <f ca="1">('TUSD BE'!$AM$12+'TUSD BF'!$AM$12+'TUSD CVA'!$AM$12)*1*(1-0.02)</f>
        <v>1052.8740579870318</v>
      </c>
      <c r="AA242" s="97">
        <f>('TE BE'!$AB$5+'TE BF'!$AB$5+'TE CVA'!$AB$5)*1*(1-0.02)</f>
        <v>346.47998010024565</v>
      </c>
      <c r="AB242" s="97">
        <f>(SUBSIDIO!$J$242*SUBSIDIO!$V$242)*(0.04)/(1-0.04)</f>
        <v>0</v>
      </c>
      <c r="AC242" s="97">
        <f>((SUBSIDIO!$L$242*SUBSIDIO!$W$242)+(SUBSIDIO!$N$242*SUBSIDIO!$X$242))*(0.04)/(1-0.04)</f>
        <v>312.49238400000007</v>
      </c>
      <c r="AD242" s="97">
        <f>(SUBSIDIO!$J$242*SUBSIDIO!$Y$242)*(0.02)/(1-0.02)</f>
        <v>0</v>
      </c>
      <c r="AE242" s="97">
        <f ca="1">((SUBSIDIO!$L$242*SUBSIDIO!$Z$242)+(SUBSIDIO!$N$242*SUBSIDIO!$AA$242))*(0.02)/(1-0.02)</f>
        <v>129.79722659401381</v>
      </c>
      <c r="AF242" s="4" t="s">
        <v>727</v>
      </c>
    </row>
    <row r="243" spans="1:32" ht="11.25" customHeight="1" x14ac:dyDescent="0.25">
      <c r="A243" s="4" t="s">
        <v>21</v>
      </c>
      <c r="B243" s="4" t="s">
        <v>38</v>
      </c>
      <c r="C243" s="4" t="s">
        <v>40</v>
      </c>
      <c r="D243" s="4" t="s">
        <v>43</v>
      </c>
      <c r="E243" s="4" t="s">
        <v>25</v>
      </c>
      <c r="F243" s="4" t="s">
        <v>25</v>
      </c>
      <c r="G243" s="4" t="s">
        <v>25</v>
      </c>
      <c r="H243" s="4" t="s">
        <v>33</v>
      </c>
      <c r="I243" s="5">
        <v>44440</v>
      </c>
      <c r="J243" s="6">
        <v>0</v>
      </c>
      <c r="K243" s="97">
        <v>0</v>
      </c>
      <c r="L243" s="6">
        <v>4.774</v>
      </c>
      <c r="M243" s="97">
        <v>4.774</v>
      </c>
      <c r="N243" s="6">
        <v>4.774</v>
      </c>
      <c r="O243" s="97">
        <v>4.774</v>
      </c>
      <c r="P243" s="6">
        <v>0</v>
      </c>
      <c r="Q243" s="4" t="s">
        <v>26</v>
      </c>
      <c r="R243" s="4">
        <v>0</v>
      </c>
      <c r="S243" s="4">
        <v>0</v>
      </c>
      <c r="T243" s="4">
        <v>16</v>
      </c>
      <c r="U243" s="4">
        <v>47</v>
      </c>
      <c r="V243" s="97">
        <f>IF(ISERROR(VLOOKUP($S$243,'TAR FIN'!$A$1:$O$86,15,0)),0,VLOOKUP($S$243,'TAR FIN'!$A$1:$O$86,15,0))</f>
        <v>0</v>
      </c>
      <c r="W243" s="97">
        <f>IF(ISERROR(VLOOKUP($T$243,'TAR FIN'!$A$1:$O$86,15,0)),0,VLOOKUP($T$243,'TAR FIN'!$A$1:$O$86,15,0))*(1-0.04)</f>
        <v>1276.4832000000001</v>
      </c>
      <c r="X243" s="97">
        <f>IF(ISERROR(VLOOKUP($U$243,'TAR FIN'!$A$1:$O$86,15,0)),0,VLOOKUP($U$243,'TAR FIN'!$A$1:$O$86,15,0))*(1-0.04)</f>
        <v>373.64159999999998</v>
      </c>
      <c r="Y243" s="97"/>
      <c r="Z243" s="97">
        <f ca="1">('TUSD BE'!$AM$12+'TUSD BF'!$AM$12+'TUSD CVA'!$AM$12)*1*(1-0.02)</f>
        <v>1052.8740579870318</v>
      </c>
      <c r="AA243" s="97">
        <f>('TE BE'!$AB$5+'TE BF'!$AB$5+'TE CVA'!$AB$5)*1*(1-0.02)</f>
        <v>346.47998010024565</v>
      </c>
      <c r="AB243" s="97">
        <f>(SUBSIDIO!$J$243*SUBSIDIO!$V$243)*(0.04)/(1-0.04)</f>
        <v>0</v>
      </c>
      <c r="AC243" s="97">
        <f>((SUBSIDIO!$L$243*SUBSIDIO!$W$243)+(SUBSIDIO!$N$243*SUBSIDIO!$X$243))*(0.04)/(1-0.04)</f>
        <v>328.23732480000001</v>
      </c>
      <c r="AD243" s="97">
        <f>(SUBSIDIO!$J$243*SUBSIDIO!$Y$243)*(0.02)/(1-0.02)</f>
        <v>0</v>
      </c>
      <c r="AE243" s="97">
        <f ca="1">((SUBSIDIO!$L$243*SUBSIDIO!$Z$243)+(SUBSIDIO!$N$243*SUBSIDIO!$AA$243))*(0.02)/(1-0.02)</f>
        <v>136.33706485364618</v>
      </c>
      <c r="AF243" s="4" t="s">
        <v>727</v>
      </c>
    </row>
    <row r="244" spans="1:32" ht="11.25" customHeight="1" x14ac:dyDescent="0.25">
      <c r="A244" s="4" t="s">
        <v>21</v>
      </c>
      <c r="B244" s="4" t="s">
        <v>38</v>
      </c>
      <c r="C244" s="4" t="s">
        <v>40</v>
      </c>
      <c r="D244" s="4" t="s">
        <v>43</v>
      </c>
      <c r="E244" s="4" t="s">
        <v>25</v>
      </c>
      <c r="F244" s="4" t="s">
        <v>25</v>
      </c>
      <c r="G244" s="4" t="s">
        <v>25</v>
      </c>
      <c r="H244" s="4" t="s">
        <v>33</v>
      </c>
      <c r="I244" s="5">
        <v>44470</v>
      </c>
      <c r="J244" s="6">
        <v>0</v>
      </c>
      <c r="K244" s="97">
        <v>0</v>
      </c>
      <c r="L244" s="6">
        <v>8.2390000000000008</v>
      </c>
      <c r="M244" s="97">
        <v>8.2390000000000008</v>
      </c>
      <c r="N244" s="6">
        <v>8.2390000000000008</v>
      </c>
      <c r="O244" s="97">
        <v>8.2390000000000008</v>
      </c>
      <c r="P244" s="6">
        <v>0</v>
      </c>
      <c r="Q244" s="4" t="s">
        <v>26</v>
      </c>
      <c r="R244" s="4">
        <v>0</v>
      </c>
      <c r="S244" s="4">
        <v>0</v>
      </c>
      <c r="T244" s="4">
        <v>16</v>
      </c>
      <c r="U244" s="4">
        <v>47</v>
      </c>
      <c r="V244" s="97">
        <f>IF(ISERROR(VLOOKUP($S$244,'TAR FIN'!$A$1:$O$86,15,0)),0,VLOOKUP($S$244,'TAR FIN'!$A$1:$O$86,15,0))</f>
        <v>0</v>
      </c>
      <c r="W244" s="97">
        <f>IF(ISERROR(VLOOKUP($T$244,'TAR FIN'!$A$1:$O$86,15,0)),0,VLOOKUP($T$244,'TAR FIN'!$A$1:$O$86,15,0))*(1-0.04)</f>
        <v>1276.4832000000001</v>
      </c>
      <c r="X244" s="97">
        <f>IF(ISERROR(VLOOKUP($U$244,'TAR FIN'!$A$1:$O$86,15,0)),0,VLOOKUP($U$244,'TAR FIN'!$A$1:$O$86,15,0))*(1-0.04)</f>
        <v>373.64159999999998</v>
      </c>
      <c r="Y244" s="97"/>
      <c r="Z244" s="97">
        <f ca="1">('TUSD BE'!$AM$12+'TUSD BF'!$AM$12+'TUSD CVA'!$AM$12)*1*(1-0.02)</f>
        <v>1052.8740579870318</v>
      </c>
      <c r="AA244" s="97">
        <f>('TE BE'!$AB$5+'TE BF'!$AB$5+'TE CVA'!$AB$5)*1*(1-0.02)</f>
        <v>346.47998010024565</v>
      </c>
      <c r="AB244" s="97">
        <f>(SUBSIDIO!$J$244*SUBSIDIO!$V$244)*(0.04)/(1-0.04)</f>
        <v>0</v>
      </c>
      <c r="AC244" s="97">
        <f>((SUBSIDIO!$L$244*SUBSIDIO!$W$244)+(SUBSIDIO!$N$244*SUBSIDIO!$X$244))*(0.04)/(1-0.04)</f>
        <v>566.47409280000022</v>
      </c>
      <c r="AD244" s="97">
        <f>(SUBSIDIO!$J$244*SUBSIDIO!$Y$244)*(0.02)/(1-0.02)</f>
        <v>0</v>
      </c>
      <c r="AE244" s="97">
        <f ca="1">((SUBSIDIO!$L$244*SUBSIDIO!$Z$244)+(SUBSIDIO!$N$244*SUBSIDIO!$AA$244))*(0.02)/(1-0.02)</f>
        <v>235.29138611838943</v>
      </c>
      <c r="AF244" s="4" t="s">
        <v>727</v>
      </c>
    </row>
    <row r="245" spans="1:32" ht="11.25" customHeight="1" x14ac:dyDescent="0.25">
      <c r="A245" s="4" t="s">
        <v>21</v>
      </c>
      <c r="B245" s="4" t="s">
        <v>38</v>
      </c>
      <c r="C245" s="4" t="s">
        <v>40</v>
      </c>
      <c r="D245" s="4" t="s">
        <v>43</v>
      </c>
      <c r="E245" s="4" t="s">
        <v>25</v>
      </c>
      <c r="F245" s="4" t="s">
        <v>25</v>
      </c>
      <c r="G245" s="4" t="s">
        <v>25</v>
      </c>
      <c r="H245" s="4" t="s">
        <v>33</v>
      </c>
      <c r="I245" s="5">
        <v>44501</v>
      </c>
      <c r="J245" s="6">
        <v>0</v>
      </c>
      <c r="K245" s="97">
        <v>0</v>
      </c>
      <c r="L245" s="6">
        <v>11.343999999999999</v>
      </c>
      <c r="M245" s="97">
        <v>11.343999999999999</v>
      </c>
      <c r="N245" s="6">
        <v>11.343999999999999</v>
      </c>
      <c r="O245" s="97">
        <v>11.343999999999999</v>
      </c>
      <c r="P245" s="6">
        <v>0</v>
      </c>
      <c r="Q245" s="4" t="s">
        <v>26</v>
      </c>
      <c r="R245" s="4">
        <v>0</v>
      </c>
      <c r="S245" s="4">
        <v>0</v>
      </c>
      <c r="T245" s="4">
        <v>16</v>
      </c>
      <c r="U245" s="4">
        <v>47</v>
      </c>
      <c r="V245" s="97">
        <f>IF(ISERROR(VLOOKUP($S$245,'TAR FIN'!$A$1:$O$86,15,0)),0,VLOOKUP($S$245,'TAR FIN'!$A$1:$O$86,15,0))</f>
        <v>0</v>
      </c>
      <c r="W245" s="97">
        <f>IF(ISERROR(VLOOKUP($T$245,'TAR FIN'!$A$1:$O$86,15,0)),0,VLOOKUP($T$245,'TAR FIN'!$A$1:$O$86,15,0))*(1-0.04)</f>
        <v>1276.4832000000001</v>
      </c>
      <c r="X245" s="97">
        <f>IF(ISERROR(VLOOKUP($U$245,'TAR FIN'!$A$1:$O$86,15,0)),0,VLOOKUP($U$245,'TAR FIN'!$A$1:$O$86,15,0))*(1-0.04)</f>
        <v>373.64159999999998</v>
      </c>
      <c r="Y245" s="97"/>
      <c r="Z245" s="97">
        <f ca="1">('TUSD BE'!$AM$12+'TUSD BF'!$AM$12+'TUSD CVA'!$AM$12)*1*(1-0.02)</f>
        <v>1052.8740579870318</v>
      </c>
      <c r="AA245" s="97">
        <f>('TE BE'!$AB$5+'TE BF'!$AB$5+'TE CVA'!$AB$5)*1*(1-0.02)</f>
        <v>346.47998010024565</v>
      </c>
      <c r="AB245" s="97">
        <f>(SUBSIDIO!$J$245*SUBSIDIO!$V$245)*(0.04)/(1-0.04)</f>
        <v>0</v>
      </c>
      <c r="AC245" s="97">
        <f>((SUBSIDIO!$L$245*SUBSIDIO!$W$245)+(SUBSIDIO!$N$245*SUBSIDIO!$X$245))*(0.04)/(1-0.04)</f>
        <v>779.95898880000016</v>
      </c>
      <c r="AD245" s="97">
        <f>(SUBSIDIO!$J$245*SUBSIDIO!$Y$245)*(0.02)/(1-0.02)</f>
        <v>0</v>
      </c>
      <c r="AE245" s="97">
        <f ca="1">((SUBSIDIO!$L$245*SUBSIDIO!$Z$245)+(SUBSIDIO!$N$245*SUBSIDIO!$AA$245))*(0.02)/(1-0.02)</f>
        <v>323.96473894004237</v>
      </c>
      <c r="AF245" s="4" t="s">
        <v>727</v>
      </c>
    </row>
    <row r="246" spans="1:32" ht="11.25" customHeight="1" x14ac:dyDescent="0.25">
      <c r="A246" s="4" t="s">
        <v>21</v>
      </c>
      <c r="B246" s="4" t="s">
        <v>38</v>
      </c>
      <c r="C246" s="4" t="s">
        <v>40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33</v>
      </c>
      <c r="I246" s="5">
        <v>44531</v>
      </c>
      <c r="J246" s="6">
        <v>0</v>
      </c>
      <c r="K246" s="97">
        <v>0</v>
      </c>
      <c r="L246" s="6">
        <v>7.3520000000000003</v>
      </c>
      <c r="M246" s="97">
        <v>7.3520000000000003</v>
      </c>
      <c r="N246" s="6">
        <v>7.3520000000000003</v>
      </c>
      <c r="O246" s="97">
        <v>7.3520000000000003</v>
      </c>
      <c r="P246" s="6">
        <v>0</v>
      </c>
      <c r="Q246" s="4" t="s">
        <v>26</v>
      </c>
      <c r="R246" s="4">
        <v>0</v>
      </c>
      <c r="S246" s="4">
        <v>0</v>
      </c>
      <c r="T246" s="4">
        <v>16</v>
      </c>
      <c r="U246" s="4">
        <v>47</v>
      </c>
      <c r="V246" s="97">
        <f>IF(ISERROR(VLOOKUP($S$246,'TAR FIN'!$A$1:$O$86,15,0)),0,VLOOKUP($S$246,'TAR FIN'!$A$1:$O$86,15,0))</f>
        <v>0</v>
      </c>
      <c r="W246" s="97">
        <f>IF(ISERROR(VLOOKUP($T$246,'TAR FIN'!$A$1:$O$86,15,0)),0,VLOOKUP($T$246,'TAR FIN'!$A$1:$O$86,15,0))*(1-0.04)</f>
        <v>1276.4832000000001</v>
      </c>
      <c r="X246" s="97">
        <f>IF(ISERROR(VLOOKUP($U$246,'TAR FIN'!$A$1:$O$86,15,0)),0,VLOOKUP($U$246,'TAR FIN'!$A$1:$O$86,15,0))*(1-0.04)</f>
        <v>373.64159999999998</v>
      </c>
      <c r="Y246" s="97"/>
      <c r="Z246" s="97">
        <f ca="1">('TUSD BE'!$AM$12+'TUSD BF'!$AM$12+'TUSD CVA'!$AM$12)*1*(1-0.02)</f>
        <v>1052.8740579870318</v>
      </c>
      <c r="AA246" s="97">
        <f>('TE BE'!$AB$5+'TE BF'!$AB$5+'TE CVA'!$AB$5)*1*(1-0.02)</f>
        <v>346.47998010024565</v>
      </c>
      <c r="AB246" s="97">
        <f>(SUBSIDIO!$J$246*SUBSIDIO!$V$246)*(0.04)/(1-0.04)</f>
        <v>0</v>
      </c>
      <c r="AC246" s="97">
        <f>((SUBSIDIO!$L$246*SUBSIDIO!$W$246)+(SUBSIDIO!$N$246*SUBSIDIO!$X$246))*(0.04)/(1-0.04)</f>
        <v>505.48823040000013</v>
      </c>
      <c r="AD246" s="97">
        <f>(SUBSIDIO!$J$246*SUBSIDIO!$Y$246)*(0.02)/(1-0.02)</f>
        <v>0</v>
      </c>
      <c r="AE246" s="97">
        <f ca="1">((SUBSIDIO!$L$246*SUBSIDIO!$Z$246)+(SUBSIDIO!$N$246*SUBSIDIO!$AA$246))*(0.02)/(1-0.02)</f>
        <v>209.96022220444215</v>
      </c>
      <c r="AF246" s="4" t="s">
        <v>727</v>
      </c>
    </row>
    <row r="247" spans="1:32" ht="11.25" customHeight="1" x14ac:dyDescent="0.25">
      <c r="A247" s="4" t="s">
        <v>21</v>
      </c>
      <c r="B247" s="4" t="s">
        <v>38</v>
      </c>
      <c r="C247" s="4" t="s">
        <v>40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33</v>
      </c>
      <c r="I247" s="5">
        <v>44562</v>
      </c>
      <c r="J247" s="6">
        <v>0</v>
      </c>
      <c r="K247" s="97">
        <v>0</v>
      </c>
      <c r="L247" s="6">
        <v>9.4760000000000009</v>
      </c>
      <c r="M247" s="97">
        <v>9.4760000000000009</v>
      </c>
      <c r="N247" s="6">
        <v>9.4760000000000009</v>
      </c>
      <c r="O247" s="97">
        <v>9.4760000000000009</v>
      </c>
      <c r="P247" s="6">
        <v>0</v>
      </c>
      <c r="Q247" s="4" t="s">
        <v>26</v>
      </c>
      <c r="R247" s="4">
        <v>0</v>
      </c>
      <c r="S247" s="4">
        <v>0</v>
      </c>
      <c r="T247" s="4">
        <v>16</v>
      </c>
      <c r="U247" s="4">
        <v>47</v>
      </c>
      <c r="V247" s="97">
        <f>IF(ISERROR(VLOOKUP($S$247,'TAR FIN'!$A$1:$O$86,15,0)),0,VLOOKUP($S$247,'TAR FIN'!$A$1:$O$86,15,0))</f>
        <v>0</v>
      </c>
      <c r="W247" s="97">
        <f>IF(ISERROR(VLOOKUP($T$247,'TAR FIN'!$A$1:$O$86,15,0)),0,VLOOKUP($T$247,'TAR FIN'!$A$1:$O$86,15,0))*(1-0.04)</f>
        <v>1276.4832000000001</v>
      </c>
      <c r="X247" s="97">
        <f>IF(ISERROR(VLOOKUP($U$247,'TAR FIN'!$A$1:$O$86,15,0)),0,VLOOKUP($U$247,'TAR FIN'!$A$1:$O$86,15,0))*(1-0.04)</f>
        <v>373.64159999999998</v>
      </c>
      <c r="Y247" s="97"/>
      <c r="Z247" s="97">
        <f ca="1">('TUSD BE'!$AM$12+'TUSD BF'!$AM$12+'TUSD CVA'!$AM$12)*1*(1-0.02)</f>
        <v>1052.8740579870318</v>
      </c>
      <c r="AA247" s="97">
        <f>('TE BE'!$AB$5+'TE BF'!$AB$5+'TE CVA'!$AB$5)*1*(1-0.02)</f>
        <v>346.47998010024565</v>
      </c>
      <c r="AB247" s="97">
        <f>(SUBSIDIO!$J$247*SUBSIDIO!$V$247)*(0.04)/(1-0.04)</f>
        <v>0</v>
      </c>
      <c r="AC247" s="97">
        <f>((SUBSIDIO!$L$247*SUBSIDIO!$W$247)+(SUBSIDIO!$N$247*SUBSIDIO!$X$247))*(0.04)/(1-0.04)</f>
        <v>651.52427520000015</v>
      </c>
      <c r="AD247" s="97">
        <f>(SUBSIDIO!$J$247*SUBSIDIO!$Y$247)*(0.02)/(1-0.02)</f>
        <v>0</v>
      </c>
      <c r="AE247" s="97">
        <f ca="1">((SUBSIDIO!$L$247*SUBSIDIO!$Z$247)+(SUBSIDIO!$N$247*SUBSIDIO!$AA$247))*(0.02)/(1-0.02)</f>
        <v>270.61793601867436</v>
      </c>
      <c r="AF247" s="4" t="s">
        <v>727</v>
      </c>
    </row>
    <row r="248" spans="1:32" ht="11.25" customHeight="1" x14ac:dyDescent="0.25">
      <c r="A248" s="4" t="s">
        <v>27</v>
      </c>
      <c r="B248" s="4" t="s">
        <v>38</v>
      </c>
      <c r="C248" s="4" t="s">
        <v>40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33</v>
      </c>
      <c r="I248" s="5">
        <v>44562</v>
      </c>
      <c r="J248" s="6">
        <v>0</v>
      </c>
      <c r="K248" s="97">
        <v>0</v>
      </c>
      <c r="L248" s="6">
        <v>8.0869999999999997</v>
      </c>
      <c r="M248" s="97">
        <v>8.0869999999999997</v>
      </c>
      <c r="N248" s="6">
        <v>8.0869999999999997</v>
      </c>
      <c r="O248" s="97">
        <v>8.0869999999999997</v>
      </c>
      <c r="P248" s="6">
        <v>0</v>
      </c>
      <c r="Q248" s="4" t="s">
        <v>26</v>
      </c>
      <c r="R248" s="4">
        <v>0</v>
      </c>
      <c r="S248" s="4">
        <v>0</v>
      </c>
      <c r="T248" s="4">
        <v>16</v>
      </c>
      <c r="U248" s="4">
        <v>47</v>
      </c>
      <c r="V248" s="97">
        <f>IF(ISERROR(VLOOKUP($S$248,'TAR FIN'!$A$1:$O$86,15,0)),0,VLOOKUP($S$248,'TAR FIN'!$A$1:$O$86,15,0))</f>
        <v>0</v>
      </c>
      <c r="W248" s="97">
        <f>IF(ISERROR(VLOOKUP($T$248,'TAR FIN'!$A$1:$O$86,15,0)),0,VLOOKUP($T$248,'TAR FIN'!$A$1:$O$86,15,0))*(1-0.04)</f>
        <v>1276.4832000000001</v>
      </c>
      <c r="X248" s="97">
        <f>IF(ISERROR(VLOOKUP($U$248,'TAR FIN'!$A$1:$O$86,15,0)),0,VLOOKUP($U$248,'TAR FIN'!$A$1:$O$86,15,0))*(1-0.04)</f>
        <v>373.64159999999998</v>
      </c>
      <c r="Y248" s="97"/>
      <c r="Z248" s="97">
        <f ca="1">('TUSD BE'!$AM$12+'TUSD BF'!$AM$12+'TUSD CVA'!$AM$12)*1*(1-0.02)</f>
        <v>1052.8740579870318</v>
      </c>
      <c r="AA248" s="97">
        <f>('TE BE'!$AB$5+'TE BF'!$AB$5+'TE CVA'!$AB$5)*1*(1-0.02)</f>
        <v>346.47998010024565</v>
      </c>
      <c r="AB248" s="97">
        <f>(SUBSIDIO!$J$248*SUBSIDIO!$V$248)*(0.04)/(1-0.04)</f>
        <v>0</v>
      </c>
      <c r="AC248" s="97">
        <f>((SUBSIDIO!$L$248*SUBSIDIO!$W$248)+(SUBSIDIO!$N$248*SUBSIDIO!$X$248))*(0.04)/(1-0.04)</f>
        <v>556.02330240000003</v>
      </c>
      <c r="AD248" s="97">
        <f>(SUBSIDIO!$J$248*SUBSIDIO!$Y$248)*(0.02)/(1-0.02)</f>
        <v>0</v>
      </c>
      <c r="AE248" s="97">
        <f ca="1">((SUBSIDIO!$L$248*SUBSIDIO!$Z$248)+(SUBSIDIO!$N$248*SUBSIDIO!$AA$248))*(0.02)/(1-0.02)</f>
        <v>230.9505327757513</v>
      </c>
      <c r="AF248" s="4" t="s">
        <v>727</v>
      </c>
    </row>
    <row r="249" spans="1:32" ht="11.25" customHeight="1" x14ac:dyDescent="0.25">
      <c r="A249" s="4" t="s">
        <v>21</v>
      </c>
      <c r="B249" s="4" t="s">
        <v>38</v>
      </c>
      <c r="C249" s="4" t="s">
        <v>40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33</v>
      </c>
      <c r="I249" s="5">
        <v>44593</v>
      </c>
      <c r="J249" s="6">
        <v>0</v>
      </c>
      <c r="K249" s="97">
        <v>0</v>
      </c>
      <c r="L249" s="6">
        <v>5.8570000000000002</v>
      </c>
      <c r="M249" s="97">
        <v>5.8570000000000002</v>
      </c>
      <c r="N249" s="6">
        <v>5.8570000000000002</v>
      </c>
      <c r="O249" s="97">
        <v>5.8570000000000002</v>
      </c>
      <c r="P249" s="6">
        <v>0</v>
      </c>
      <c r="Q249" s="4" t="s">
        <v>26</v>
      </c>
      <c r="R249" s="4">
        <v>0</v>
      </c>
      <c r="S249" s="4">
        <v>0</v>
      </c>
      <c r="T249" s="4">
        <v>16</v>
      </c>
      <c r="U249" s="4">
        <v>47</v>
      </c>
      <c r="V249" s="97">
        <f>IF(ISERROR(VLOOKUP($S$249,'TAR FIN'!$A$1:$O$86,15,0)),0,VLOOKUP($S$249,'TAR FIN'!$A$1:$O$86,15,0))</f>
        <v>0</v>
      </c>
      <c r="W249" s="97">
        <f>IF(ISERROR(VLOOKUP($T$249,'TAR FIN'!$A$1:$O$86,15,0)),0,VLOOKUP($T$249,'TAR FIN'!$A$1:$O$86,15,0))*(1-0.04)</f>
        <v>1276.4832000000001</v>
      </c>
      <c r="X249" s="97">
        <f>IF(ISERROR(VLOOKUP($U$249,'TAR FIN'!$A$1:$O$86,15,0)),0,VLOOKUP($U$249,'TAR FIN'!$A$1:$O$86,15,0))*(1-0.04)</f>
        <v>373.64159999999998</v>
      </c>
      <c r="Y249" s="97"/>
      <c r="Z249" s="97">
        <f ca="1">('TUSD BE'!$AM$12+'TUSD BF'!$AM$12+'TUSD CVA'!$AM$12)*1*(1-0.02)</f>
        <v>1052.8740579870318</v>
      </c>
      <c r="AA249" s="97">
        <f>('TE BE'!$AB$5+'TE BF'!$AB$5+'TE CVA'!$AB$5)*1*(1-0.02)</f>
        <v>346.47998010024565</v>
      </c>
      <c r="AB249" s="97">
        <f>(SUBSIDIO!$J$249*SUBSIDIO!$V$249)*(0.04)/(1-0.04)</f>
        <v>0</v>
      </c>
      <c r="AC249" s="97">
        <f>((SUBSIDIO!$L$249*SUBSIDIO!$W$249)+(SUBSIDIO!$N$249*SUBSIDIO!$X$249))*(0.04)/(1-0.04)</f>
        <v>402.69920640000009</v>
      </c>
      <c r="AD249" s="97">
        <f>(SUBSIDIO!$J$249*SUBSIDIO!$Y$249)*(0.02)/(1-0.02)</f>
        <v>0</v>
      </c>
      <c r="AE249" s="97">
        <f ca="1">((SUBSIDIO!$L$249*SUBSIDIO!$Z$249)+(SUBSIDIO!$N$249*SUBSIDIO!$AA$249))*(0.02)/(1-0.02)</f>
        <v>167.26564491994253</v>
      </c>
      <c r="AF249" s="4" t="s">
        <v>727</v>
      </c>
    </row>
    <row r="250" spans="1:32" ht="11.25" customHeight="1" x14ac:dyDescent="0.25">
      <c r="A250" s="4" t="s">
        <v>21</v>
      </c>
      <c r="B250" s="4" t="s">
        <v>38</v>
      </c>
      <c r="C250" s="4" t="s">
        <v>40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33</v>
      </c>
      <c r="I250" s="5">
        <v>44621</v>
      </c>
      <c r="J250" s="6">
        <v>0</v>
      </c>
      <c r="K250" s="97">
        <v>0</v>
      </c>
      <c r="L250" s="6">
        <v>9.6010000000000009</v>
      </c>
      <c r="M250" s="97">
        <v>9.6010000000000009</v>
      </c>
      <c r="N250" s="6">
        <v>9.6010000000000009</v>
      </c>
      <c r="O250" s="97">
        <v>9.6010000000000009</v>
      </c>
      <c r="P250" s="6">
        <v>0</v>
      </c>
      <c r="Q250" s="4" t="s">
        <v>26</v>
      </c>
      <c r="R250" s="4">
        <v>0</v>
      </c>
      <c r="S250" s="4">
        <v>0</v>
      </c>
      <c r="T250" s="4">
        <v>16</v>
      </c>
      <c r="U250" s="4">
        <v>47</v>
      </c>
      <c r="V250" s="97">
        <f>IF(ISERROR(VLOOKUP($S$250,'TAR FIN'!$A$1:$O$86,15,0)),0,VLOOKUP($S$250,'TAR FIN'!$A$1:$O$86,15,0))</f>
        <v>0</v>
      </c>
      <c r="W250" s="97">
        <f>IF(ISERROR(VLOOKUP($T$250,'TAR FIN'!$A$1:$O$86,15,0)),0,VLOOKUP($T$250,'TAR FIN'!$A$1:$O$86,15,0))*(1-0.04)</f>
        <v>1276.4832000000001</v>
      </c>
      <c r="X250" s="97">
        <f>IF(ISERROR(VLOOKUP($U$250,'TAR FIN'!$A$1:$O$86,15,0)),0,VLOOKUP($U$250,'TAR FIN'!$A$1:$O$86,15,0))*(1-0.04)</f>
        <v>373.64159999999998</v>
      </c>
      <c r="Y250" s="97"/>
      <c r="Z250" s="97">
        <f ca="1">('TUSD BE'!$AM$12+'TUSD BF'!$AM$12+'TUSD CVA'!$AM$12)*1*(1-0.02)</f>
        <v>1052.8740579870318</v>
      </c>
      <c r="AA250" s="97">
        <f>('TE BE'!$AB$5+'TE BF'!$AB$5+'TE CVA'!$AB$5)*1*(1-0.02)</f>
        <v>346.47998010024565</v>
      </c>
      <c r="AB250" s="97">
        <f>(SUBSIDIO!$J$250*SUBSIDIO!$V$250)*(0.04)/(1-0.04)</f>
        <v>0</v>
      </c>
      <c r="AC250" s="97">
        <f>((SUBSIDIO!$L$250*SUBSIDIO!$W$250)+(SUBSIDIO!$N$250*SUBSIDIO!$X$250))*(0.04)/(1-0.04)</f>
        <v>660.11867520000021</v>
      </c>
      <c r="AD250" s="97">
        <f>(SUBSIDIO!$J$250*SUBSIDIO!$Y$250)*(0.02)/(1-0.02)</f>
        <v>0</v>
      </c>
      <c r="AE250" s="97">
        <f ca="1">((SUBSIDIO!$L$250*SUBSIDIO!$Z$250)+(SUBSIDIO!$N$250*SUBSIDIO!$AA$250))*(0.02)/(1-0.02)</f>
        <v>274.18771672808066</v>
      </c>
      <c r="AF250" s="4" t="s">
        <v>727</v>
      </c>
    </row>
    <row r="251" spans="1:32" ht="11.25" customHeight="1" x14ac:dyDescent="0.25">
      <c r="A251" s="4" t="s">
        <v>21</v>
      </c>
      <c r="B251" s="4" t="s">
        <v>38</v>
      </c>
      <c r="C251" s="4" t="s">
        <v>40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33</v>
      </c>
      <c r="I251" s="5">
        <v>44652</v>
      </c>
      <c r="J251" s="6">
        <v>0</v>
      </c>
      <c r="K251" s="97">
        <v>0</v>
      </c>
      <c r="L251" s="6">
        <v>14.144</v>
      </c>
      <c r="M251" s="97">
        <v>14.144</v>
      </c>
      <c r="N251" s="6">
        <v>14.144</v>
      </c>
      <c r="O251" s="97">
        <v>14.144</v>
      </c>
      <c r="P251" s="6">
        <v>0</v>
      </c>
      <c r="Q251" s="4" t="s">
        <v>26</v>
      </c>
      <c r="R251" s="4">
        <v>0</v>
      </c>
      <c r="S251" s="4">
        <v>0</v>
      </c>
      <c r="T251" s="4">
        <v>16</v>
      </c>
      <c r="U251" s="4">
        <v>47</v>
      </c>
      <c r="V251" s="97">
        <f>IF(ISERROR(VLOOKUP($S$251,'TAR FIN'!$A$1:$O$86,15,0)),0,VLOOKUP($S$251,'TAR FIN'!$A$1:$O$86,15,0))</f>
        <v>0</v>
      </c>
      <c r="W251" s="97">
        <f>IF(ISERROR(VLOOKUP($T$251,'TAR FIN'!$A$1:$O$86,15,0)),0,VLOOKUP($T$251,'TAR FIN'!$A$1:$O$86,15,0))*(1-0.04)</f>
        <v>1276.4832000000001</v>
      </c>
      <c r="X251" s="97">
        <f>IF(ISERROR(VLOOKUP($U$251,'TAR FIN'!$A$1:$O$86,15,0)),0,VLOOKUP($U$251,'TAR FIN'!$A$1:$O$86,15,0))*(1-0.04)</f>
        <v>373.64159999999998</v>
      </c>
      <c r="Y251" s="97"/>
      <c r="Z251" s="97">
        <f ca="1">('TUSD BE'!$AM$12+'TUSD BF'!$AM$12+'TUSD CVA'!$AM$12)*1*(1-0.02)</f>
        <v>1052.8740579870318</v>
      </c>
      <c r="AA251" s="97">
        <f>('TE BE'!$AB$5+'TE BF'!$AB$5+'TE CVA'!$AB$5)*1*(1-0.02)</f>
        <v>346.47998010024565</v>
      </c>
      <c r="AB251" s="97">
        <f>(SUBSIDIO!$J$251*SUBSIDIO!$V$251)*(0.04)/(1-0.04)</f>
        <v>0</v>
      </c>
      <c r="AC251" s="97">
        <f>((SUBSIDIO!$L$251*SUBSIDIO!$W$251)+(SUBSIDIO!$N$251*SUBSIDIO!$X$251))*(0.04)/(1-0.04)</f>
        <v>972.47354880000012</v>
      </c>
      <c r="AD251" s="97">
        <f>(SUBSIDIO!$J$251*SUBSIDIO!$Y$251)*(0.02)/(1-0.02)</f>
        <v>0</v>
      </c>
      <c r="AE251" s="97">
        <f ca="1">((SUBSIDIO!$L$251*SUBSIDIO!$Z$251)+(SUBSIDIO!$N$251*SUBSIDIO!$AA$251))*(0.02)/(1-0.02)</f>
        <v>403.92782683074398</v>
      </c>
      <c r="AF251" s="4" t="s">
        <v>727</v>
      </c>
    </row>
    <row r="252" spans="1:32" ht="11.25" customHeight="1" x14ac:dyDescent="0.25">
      <c r="A252" s="4" t="s">
        <v>21</v>
      </c>
      <c r="B252" s="4" t="s">
        <v>38</v>
      </c>
      <c r="C252" s="4" t="s">
        <v>40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33</v>
      </c>
      <c r="I252" s="5">
        <v>44682</v>
      </c>
      <c r="J252" s="6">
        <v>0</v>
      </c>
      <c r="K252" s="97">
        <v>0</v>
      </c>
      <c r="L252" s="6">
        <v>10.738</v>
      </c>
      <c r="M252" s="97">
        <v>10.738</v>
      </c>
      <c r="N252" s="6">
        <v>10.738</v>
      </c>
      <c r="O252" s="97">
        <v>10.738</v>
      </c>
      <c r="P252" s="6">
        <v>0</v>
      </c>
      <c r="Q252" s="4" t="s">
        <v>26</v>
      </c>
      <c r="R252" s="4">
        <v>0</v>
      </c>
      <c r="S252" s="4">
        <v>0</v>
      </c>
      <c r="T252" s="4">
        <v>16</v>
      </c>
      <c r="U252" s="4">
        <v>47</v>
      </c>
      <c r="V252" s="97">
        <f>IF(ISERROR(VLOOKUP($S$252,'TAR FIN'!$A$1:$O$86,15,0)),0,VLOOKUP($S$252,'TAR FIN'!$A$1:$O$86,15,0))</f>
        <v>0</v>
      </c>
      <c r="W252" s="97">
        <f>IF(ISERROR(VLOOKUP($T$252,'TAR FIN'!$A$1:$O$86,15,0)),0,VLOOKUP($T$252,'TAR FIN'!$A$1:$O$86,15,0))*(1-0.04)</f>
        <v>1276.4832000000001</v>
      </c>
      <c r="X252" s="97">
        <f>IF(ISERROR(VLOOKUP($U$252,'TAR FIN'!$A$1:$O$86,15,0)),0,VLOOKUP($U$252,'TAR FIN'!$A$1:$O$86,15,0))*(1-0.04)</f>
        <v>373.64159999999998</v>
      </c>
      <c r="Y252" s="97"/>
      <c r="Z252" s="97">
        <f ca="1">('TUSD BE'!$AM$12+'TUSD BF'!$AM$12+'TUSD CVA'!$AM$12)*1*(1-0.02)</f>
        <v>1052.8740579870318</v>
      </c>
      <c r="AA252" s="97">
        <f>('TE BE'!$AB$5+'TE BF'!$AB$5+'TE CVA'!$AB$5)*1*(1-0.02)</f>
        <v>346.47998010024565</v>
      </c>
      <c r="AB252" s="97">
        <f>(SUBSIDIO!$J$252*SUBSIDIO!$V$252)*(0.04)/(1-0.04)</f>
        <v>0</v>
      </c>
      <c r="AC252" s="97">
        <f>((SUBSIDIO!$L$252*SUBSIDIO!$W$252)+(SUBSIDIO!$N$252*SUBSIDIO!$X$252))*(0.04)/(1-0.04)</f>
        <v>738.29333760000009</v>
      </c>
      <c r="AD252" s="97">
        <f>(SUBSIDIO!$J$252*SUBSIDIO!$Y$252)*(0.02)/(1-0.02)</f>
        <v>0</v>
      </c>
      <c r="AE252" s="97">
        <f ca="1">((SUBSIDIO!$L$252*SUBSIDIO!$Z$252)+(SUBSIDIO!$N$252*SUBSIDIO!$AA$252))*(0.02)/(1-0.02)</f>
        <v>306.65844206084057</v>
      </c>
      <c r="AF252" s="4" t="s">
        <v>727</v>
      </c>
    </row>
    <row r="253" spans="1:32" ht="11.25" customHeight="1" x14ac:dyDescent="0.25">
      <c r="A253" s="4" t="s">
        <v>56</v>
      </c>
      <c r="B253" s="4" t="s">
        <v>38</v>
      </c>
      <c r="C253" s="4" t="s">
        <v>40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33</v>
      </c>
      <c r="I253" s="5">
        <v>44713</v>
      </c>
      <c r="J253" s="6">
        <v>0</v>
      </c>
      <c r="K253" s="97">
        <v>0</v>
      </c>
      <c r="L253" s="6">
        <v>10.738</v>
      </c>
      <c r="M253" s="97">
        <v>10.738</v>
      </c>
      <c r="N253" s="6">
        <v>10.738</v>
      </c>
      <c r="O253" s="97">
        <v>10.738</v>
      </c>
      <c r="P253" s="6">
        <v>0</v>
      </c>
      <c r="Q253" s="4" t="s">
        <v>26</v>
      </c>
      <c r="R253" s="4">
        <v>0</v>
      </c>
      <c r="S253" s="4">
        <v>0</v>
      </c>
      <c r="T253" s="4">
        <v>16</v>
      </c>
      <c r="U253" s="4">
        <v>47</v>
      </c>
      <c r="V253" s="97">
        <f>IF(ISERROR(VLOOKUP($S$253,'TAR FIN'!$A$1:$O$86,15,0)),0,VLOOKUP($S$253,'TAR FIN'!$A$1:$O$86,15,0))</f>
        <v>0</v>
      </c>
      <c r="W253" s="97">
        <f>IF(ISERROR(VLOOKUP($T$253,'TAR FIN'!$A$1:$O$86,15,0)),0,VLOOKUP($T$253,'TAR FIN'!$A$1:$O$86,15,0))*(1-0.04)</f>
        <v>1276.4832000000001</v>
      </c>
      <c r="X253" s="97">
        <f>IF(ISERROR(VLOOKUP($U$253,'TAR FIN'!$A$1:$O$86,15,0)),0,VLOOKUP($U$253,'TAR FIN'!$A$1:$O$86,15,0))*(1-0.04)</f>
        <v>373.64159999999998</v>
      </c>
      <c r="Y253" s="97"/>
      <c r="Z253" s="97">
        <f ca="1">('TUSD BE'!$AM$12+'TUSD BF'!$AM$12+'TUSD CVA'!$AM$12)*1*(1-0.02)</f>
        <v>1052.8740579870318</v>
      </c>
      <c r="AA253" s="97">
        <f>('TE BE'!$AB$5+'TE BF'!$AB$5+'TE CVA'!$AB$5)*1*(1-0.02)</f>
        <v>346.47998010024565</v>
      </c>
      <c r="AB253" s="97">
        <f>(SUBSIDIO!$J$253*SUBSIDIO!$V$253)*(0.04)/(1-0.04)</f>
        <v>0</v>
      </c>
      <c r="AC253" s="97">
        <f>((SUBSIDIO!$L$253*SUBSIDIO!$W$253)+(SUBSIDIO!$N$253*SUBSIDIO!$X$253))*(0.04)/(1-0.04)</f>
        <v>738.29333760000009</v>
      </c>
      <c r="AD253" s="97">
        <f>(SUBSIDIO!$J$253*SUBSIDIO!$Y$253)*(0.02)/(1-0.02)</f>
        <v>0</v>
      </c>
      <c r="AE253" s="97">
        <f ca="1">((SUBSIDIO!$L$253*SUBSIDIO!$Z$253)+(SUBSIDIO!$N$253*SUBSIDIO!$AA$253))*(0.02)/(1-0.02)</f>
        <v>306.65844206084057</v>
      </c>
      <c r="AF253" s="4" t="s">
        <v>727</v>
      </c>
    </row>
    <row r="254" spans="1:32" ht="11.25" customHeight="1" x14ac:dyDescent="0.25">
      <c r="A254" s="4" t="s">
        <v>21</v>
      </c>
      <c r="B254" s="4" t="s">
        <v>22</v>
      </c>
      <c r="C254" s="4" t="s">
        <v>23</v>
      </c>
      <c r="D254" s="4" t="s">
        <v>24</v>
      </c>
      <c r="E254" s="4" t="s">
        <v>24</v>
      </c>
      <c r="F254" s="4" t="s">
        <v>25</v>
      </c>
      <c r="G254" s="4" t="s">
        <v>25</v>
      </c>
      <c r="H254" s="4" t="s">
        <v>25</v>
      </c>
      <c r="I254" s="5">
        <v>44378</v>
      </c>
      <c r="J254" s="6">
        <v>0</v>
      </c>
      <c r="K254" s="6">
        <v>0</v>
      </c>
      <c r="L254" s="6">
        <v>5560.54</v>
      </c>
      <c r="M254" s="6">
        <v>5560.54</v>
      </c>
      <c r="N254" s="6">
        <v>5560.54</v>
      </c>
      <c r="O254" s="6">
        <v>5560.54</v>
      </c>
      <c r="P254" s="6">
        <v>28902</v>
      </c>
      <c r="Q254" s="4" t="s">
        <v>26</v>
      </c>
      <c r="R254" s="4">
        <v>0</v>
      </c>
      <c r="S254" s="4">
        <v>0</v>
      </c>
      <c r="T254" s="4">
        <v>27</v>
      </c>
      <c r="U254" s="4">
        <v>52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324.5</v>
      </c>
      <c r="X254" s="6">
        <f>IF(ISERROR(VLOOKUP($U$254,'TAR FIN'!$A$1:$O$86,15,0)),0,VLOOKUP($U$254,'TAR FIN'!$A$1:$O$86,15,0))</f>
        <v>258.20999999999998</v>
      </c>
      <c r="Y254" s="6"/>
      <c r="Z254" s="6">
        <f ca="1">('TUSD BE'!$AM$21+'TUSD BF'!$AM$21+'TUSD CVA'!$AM$21)*1</f>
        <v>330.1561966420345</v>
      </c>
      <c r="AA254" s="6">
        <f>('TE BE'!$AB$11+'TE BF'!$AB$11+'TE CVA'!$AB$11)*1</f>
        <v>230.58259134858577</v>
      </c>
      <c r="AB254" s="6">
        <f t="shared" ref="AB254:AB257" si="14">(J254-K254)*V254</f>
        <v>0</v>
      </c>
      <c r="AC254" s="6">
        <f t="shared" ref="AC254" si="15">(L254-M254)*W254+(N254-O254)*X254</f>
        <v>0</v>
      </c>
      <c r="AD254" s="6">
        <f t="shared" ref="AD254:AD257" si="16">(J254-K254)*Y254</f>
        <v>0</v>
      </c>
      <c r="AE254" s="6">
        <f t="shared" ref="AE254" ca="1" si="17">(L254-M254)*Z254+(N254-O254)*AA254</f>
        <v>0</v>
      </c>
    </row>
    <row r="255" spans="1:32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28</v>
      </c>
      <c r="F255" s="4" t="s">
        <v>25</v>
      </c>
      <c r="G255" s="4" t="s">
        <v>25</v>
      </c>
      <c r="H255" s="4" t="s">
        <v>25</v>
      </c>
      <c r="I255" s="5">
        <v>44378</v>
      </c>
      <c r="J255" s="6">
        <v>0</v>
      </c>
      <c r="K255" s="6">
        <v>0</v>
      </c>
      <c r="L255" s="6">
        <v>20.823</v>
      </c>
      <c r="M255" s="6">
        <v>20.823</v>
      </c>
      <c r="N255" s="6">
        <v>20.823</v>
      </c>
      <c r="O255" s="6">
        <v>20.823</v>
      </c>
      <c r="P255" s="6">
        <v>22</v>
      </c>
      <c r="Q255" s="4" t="s">
        <v>26</v>
      </c>
      <c r="R255" s="4">
        <v>0</v>
      </c>
      <c r="S255" s="4">
        <v>0</v>
      </c>
      <c r="T255" s="4">
        <v>8</v>
      </c>
      <c r="U255" s="4">
        <v>50</v>
      </c>
      <c r="V255" s="6">
        <f>IF(ISERROR(VLOOKUP($S$255,'TAR FIN'!$A$1:$O$86,15,0)),0,VLOOKUP($S$255,'TAR FIN'!$A$1:$O$86,15,0))</f>
        <v>0</v>
      </c>
      <c r="W255" s="6">
        <f>IF(ISERROR(VLOOKUP($T$255,'TAR FIN'!$A$1:$O$86,15,0)),0,VLOOKUP($T$255,'TAR FIN'!$A$1:$O$86,15,0))</f>
        <v>87.14</v>
      </c>
      <c r="X255" s="6">
        <f>IF(ISERROR(VLOOKUP($U$255,'TAR FIN'!$A$1:$O$86,15,0)),0,VLOOKUP($U$255,'TAR FIN'!$A$1:$O$86,15,0))</f>
        <v>90.37</v>
      </c>
      <c r="Y255" s="6"/>
      <c r="Z255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55" s="6">
        <f>('TE BE'!$AB$12+'TE BF'!$AB$12+'TE CVA'!$AB$12)*(1-CUSTOS!$M$34)</f>
        <v>80.703906972005015</v>
      </c>
      <c r="AB255" s="6">
        <f t="shared" si="14"/>
        <v>0</v>
      </c>
      <c r="AC255" s="6">
        <f>(L255-M255)*(W255+X255)+($W$301+$X$301-$W$255-$X$255)*(L255)</f>
        <v>6864.9266399999988</v>
      </c>
      <c r="AD255" s="6">
        <f t="shared" si="16"/>
        <v>0</v>
      </c>
      <c r="AE255" s="6">
        <f ca="1">(L255-M255)*(Z255+AA255)+($Z$301+$AA$301-$Z$255-$AA$255)*(L255)</f>
        <v>6151.6186827880347</v>
      </c>
      <c r="AF255" s="4" t="s">
        <v>729</v>
      </c>
    </row>
    <row r="256" spans="1:32" ht="11.25" customHeight="1" x14ac:dyDescent="0.25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28</v>
      </c>
      <c r="F256" s="4" t="s">
        <v>25</v>
      </c>
      <c r="G256" s="4" t="s">
        <v>25</v>
      </c>
      <c r="H256" s="4" t="s">
        <v>25</v>
      </c>
      <c r="I256" s="5">
        <v>44409</v>
      </c>
      <c r="J256" s="6">
        <v>0</v>
      </c>
      <c r="K256" s="6">
        <v>0</v>
      </c>
      <c r="L256" s="6">
        <v>20.88</v>
      </c>
      <c r="M256" s="6">
        <v>20.88</v>
      </c>
      <c r="N256" s="6">
        <v>20.88</v>
      </c>
      <c r="O256" s="6">
        <v>20.88</v>
      </c>
      <c r="P256" s="6">
        <v>19</v>
      </c>
      <c r="Q256" s="4" t="s">
        <v>26</v>
      </c>
      <c r="R256" s="4">
        <v>0</v>
      </c>
      <c r="S256" s="4">
        <v>0</v>
      </c>
      <c r="T256" s="4">
        <v>8</v>
      </c>
      <c r="U256" s="4">
        <v>50</v>
      </c>
      <c r="V256" s="6">
        <f>IF(ISERROR(VLOOKUP($S$256,'TAR FIN'!$A$1:$O$86,15,0)),0,VLOOKUP($S$256,'TAR FIN'!$A$1:$O$86,15,0))</f>
        <v>0</v>
      </c>
      <c r="W256" s="6">
        <f>IF(ISERROR(VLOOKUP($T$256,'TAR FIN'!$A$1:$O$86,15,0)),0,VLOOKUP($T$256,'TAR FIN'!$A$1:$O$86,15,0))</f>
        <v>87.14</v>
      </c>
      <c r="X256" s="6">
        <f>IF(ISERROR(VLOOKUP($U$256,'TAR FIN'!$A$1:$O$86,15,0)),0,VLOOKUP($U$256,'TAR FIN'!$A$1:$O$86,15,0))</f>
        <v>90.37</v>
      </c>
      <c r="Y256" s="6"/>
      <c r="Z256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56" s="6">
        <f>('TE BE'!$AB$12+'TE BF'!$AB$12+'TE CVA'!$AB$12)*(1-CUSTOS!$M$34)</f>
        <v>80.703906972005015</v>
      </c>
      <c r="AB256" s="6">
        <f t="shared" si="14"/>
        <v>0</v>
      </c>
      <c r="AC256" s="6">
        <f>(L256-M256)*(W256+X256)+($W$301+$X$301-$W$256-$X$256)*(L256)</f>
        <v>6883.7183999999988</v>
      </c>
      <c r="AD256" s="6">
        <f t="shared" si="16"/>
        <v>0</v>
      </c>
      <c r="AE256" s="6">
        <f ca="1">(L256-M256)*(Z256+AA256)+($Z$301+$AA$301-$Z$256-$AA$256)*(L256)</f>
        <v>6168.4578637378936</v>
      </c>
      <c r="AF256" s="4" t="s">
        <v>729</v>
      </c>
    </row>
    <row r="257" spans="1:32" ht="11.25" customHeight="1" x14ac:dyDescent="0.25">
      <c r="A257" s="4" t="s">
        <v>21</v>
      </c>
      <c r="B257" s="4" t="s">
        <v>22</v>
      </c>
      <c r="C257" s="4" t="s">
        <v>23</v>
      </c>
      <c r="D257" s="4" t="s">
        <v>24</v>
      </c>
      <c r="E257" s="4" t="s">
        <v>28</v>
      </c>
      <c r="F257" s="4" t="s">
        <v>25</v>
      </c>
      <c r="G257" s="4" t="s">
        <v>25</v>
      </c>
      <c r="H257" s="4" t="s">
        <v>25</v>
      </c>
      <c r="I257" s="5">
        <v>44440</v>
      </c>
      <c r="J257" s="6">
        <v>0</v>
      </c>
      <c r="K257" s="6">
        <v>0</v>
      </c>
      <c r="L257" s="6">
        <v>20.85</v>
      </c>
      <c r="M257" s="6">
        <v>20.85</v>
      </c>
      <c r="N257" s="6">
        <v>20.85</v>
      </c>
      <c r="O257" s="6">
        <v>20.85</v>
      </c>
      <c r="P257" s="6">
        <v>22</v>
      </c>
      <c r="Q257" s="4" t="s">
        <v>26</v>
      </c>
      <c r="R257" s="4">
        <v>0</v>
      </c>
      <c r="S257" s="4">
        <v>0</v>
      </c>
      <c r="T257" s="4">
        <v>8</v>
      </c>
      <c r="U257" s="4">
        <v>50</v>
      </c>
      <c r="V257" s="6">
        <f>IF(ISERROR(VLOOKUP($S$257,'TAR FIN'!$A$1:$O$86,15,0)),0,VLOOKUP($S$257,'TAR FIN'!$A$1:$O$86,15,0))</f>
        <v>0</v>
      </c>
      <c r="W257" s="6">
        <f>IF(ISERROR(VLOOKUP($T$257,'TAR FIN'!$A$1:$O$86,15,0)),0,VLOOKUP($T$257,'TAR FIN'!$A$1:$O$86,15,0))</f>
        <v>87.14</v>
      </c>
      <c r="X257" s="6">
        <f>IF(ISERROR(VLOOKUP($U$257,'TAR FIN'!$A$1:$O$86,15,0)),0,VLOOKUP($U$257,'TAR FIN'!$A$1:$O$86,15,0))</f>
        <v>90.37</v>
      </c>
      <c r="Y257" s="6"/>
      <c r="Z257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57" s="6">
        <f>('TE BE'!$AB$12+'TE BF'!$AB$12+'TE CVA'!$AB$12)*(1-CUSTOS!$M$34)</f>
        <v>80.703906972005015</v>
      </c>
      <c r="AB257" s="6">
        <f t="shared" si="14"/>
        <v>0</v>
      </c>
      <c r="AC257" s="6">
        <f>(L257-M257)*(W257+X257)+($W$301+$X$301-$W$257-$X$257)*(L257)</f>
        <v>6873.8279999999995</v>
      </c>
      <c r="AD257" s="6">
        <f t="shared" si="16"/>
        <v>0</v>
      </c>
      <c r="AE257" s="6">
        <f ca="1">(L257-M257)*(Z257+AA257)+($Z$301+$AA$301-$Z$257-$AA$257)*(L257)</f>
        <v>6159.5951369221793</v>
      </c>
      <c r="AF257" s="4" t="s">
        <v>729</v>
      </c>
    </row>
    <row r="258" spans="1:32" ht="11.25" customHeight="1" x14ac:dyDescent="0.25">
      <c r="A258" s="4" t="s">
        <v>55</v>
      </c>
      <c r="B258" s="4" t="s">
        <v>22</v>
      </c>
      <c r="C258" s="4" t="s">
        <v>23</v>
      </c>
      <c r="D258" s="4" t="s">
        <v>24</v>
      </c>
      <c r="E258" s="4" t="s">
        <v>28</v>
      </c>
      <c r="F258" s="4" t="s">
        <v>25</v>
      </c>
      <c r="G258" s="4" t="s">
        <v>25</v>
      </c>
      <c r="H258" s="4" t="s">
        <v>25</v>
      </c>
      <c r="I258" s="5">
        <v>44440</v>
      </c>
      <c r="J258" s="6">
        <v>0</v>
      </c>
      <c r="K258" s="6">
        <v>0</v>
      </c>
      <c r="L258" s="6">
        <v>2.3E-2</v>
      </c>
      <c r="M258" s="6">
        <v>8.0499999999999999E-3</v>
      </c>
      <c r="N258" s="6">
        <v>2.3E-2</v>
      </c>
      <c r="O258" s="6">
        <v>8.0499999999999999E-3</v>
      </c>
      <c r="P258" s="6">
        <v>0</v>
      </c>
      <c r="Q258" s="4" t="s">
        <v>26</v>
      </c>
      <c r="R258" s="4">
        <v>0</v>
      </c>
      <c r="S258" s="4">
        <v>0</v>
      </c>
      <c r="T258" s="4">
        <v>8</v>
      </c>
      <c r="U258" s="4">
        <v>50</v>
      </c>
      <c r="V258" s="6">
        <f>IF(ISERROR(VLOOKUP($S$258,'TAR FIN'!$A$1:$O$86,15,0)),0,VLOOKUP($S$258,'TAR FIN'!$A$1:$O$86,15,0))</f>
        <v>0</v>
      </c>
      <c r="W258" s="6">
        <f>IF(ISERROR(VLOOKUP($T$258,'TAR FIN'!$A$1:$O$86,15,0)),0,VLOOKUP($T$258,'TAR FIN'!$A$1:$O$86,15,0))</f>
        <v>87.14</v>
      </c>
      <c r="X258" s="6">
        <f>IF(ISERROR(VLOOKUP($U$258,'TAR FIN'!$A$1:$O$86,15,0)),0,VLOOKUP($U$258,'TAR FIN'!$A$1:$O$86,15,0))</f>
        <v>90.37</v>
      </c>
      <c r="Y258" s="6"/>
      <c r="Z258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58" s="6">
        <f>('TE BE'!$AB$12+'TE BF'!$AB$12+'TE CVA'!$AB$12)*(1-CUSTOS!$M$34)</f>
        <v>80.703906972005015</v>
      </c>
      <c r="AB258" s="6">
        <f t="shared" ref="AB258:AB321" si="18">(J258-K258)*V258</f>
        <v>0</v>
      </c>
      <c r="AC258" s="6">
        <f>(L258-M258)*(W258+X258)+($W$301+$X$301-$W$258-$X$258)*(L258)</f>
        <v>10.236414499999999</v>
      </c>
      <c r="AD258" s="6">
        <f t="shared" ref="AD258:AD321" si="19">(J258-K258)*Y258</f>
        <v>0</v>
      </c>
      <c r="AE258" s="6">
        <f ca="1">(L258-M258)*(Z258+AA258)+($Z$301+$AA$301-$Z$258-$AA$258)*(L258)</f>
        <v>9.1729222542654014</v>
      </c>
      <c r="AF258" s="4" t="s">
        <v>729</v>
      </c>
    </row>
    <row r="259" spans="1:32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28</v>
      </c>
      <c r="F259" s="4" t="s">
        <v>25</v>
      </c>
      <c r="G259" s="4" t="s">
        <v>25</v>
      </c>
      <c r="H259" s="4" t="s">
        <v>25</v>
      </c>
      <c r="I259" s="5">
        <v>44470</v>
      </c>
      <c r="J259" s="6">
        <v>0</v>
      </c>
      <c r="K259" s="6">
        <v>0</v>
      </c>
      <c r="L259" s="6">
        <v>21.12</v>
      </c>
      <c r="M259" s="6">
        <v>21.12</v>
      </c>
      <c r="N259" s="6">
        <v>21.12</v>
      </c>
      <c r="O259" s="6">
        <v>21.12</v>
      </c>
      <c r="P259" s="6">
        <v>18</v>
      </c>
      <c r="Q259" s="4" t="s">
        <v>26</v>
      </c>
      <c r="R259" s="4">
        <v>0</v>
      </c>
      <c r="S259" s="4">
        <v>0</v>
      </c>
      <c r="T259" s="4">
        <v>8</v>
      </c>
      <c r="U259" s="4">
        <v>50</v>
      </c>
      <c r="V259" s="6">
        <f>IF(ISERROR(VLOOKUP($S$259,'TAR FIN'!$A$1:$O$86,15,0)),0,VLOOKUP($S$259,'TAR FIN'!$A$1:$O$86,15,0))</f>
        <v>0</v>
      </c>
      <c r="W259" s="6">
        <f>IF(ISERROR(VLOOKUP($T$259,'TAR FIN'!$A$1:$O$86,15,0)),0,VLOOKUP($T$259,'TAR FIN'!$A$1:$O$86,15,0))</f>
        <v>87.14</v>
      </c>
      <c r="X259" s="6">
        <f>IF(ISERROR(VLOOKUP($U$259,'TAR FIN'!$A$1:$O$86,15,0)),0,VLOOKUP($U$259,'TAR FIN'!$A$1:$O$86,15,0))</f>
        <v>90.37</v>
      </c>
      <c r="Y259" s="6"/>
      <c r="Z259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59" s="6">
        <f>('TE BE'!$AB$12+'TE BF'!$AB$12+'TE CVA'!$AB$12)*(1-CUSTOS!$M$34)</f>
        <v>80.703906972005015</v>
      </c>
      <c r="AB259" s="6">
        <f t="shared" si="18"/>
        <v>0</v>
      </c>
      <c r="AC259" s="6">
        <f>(L259-M259)*(W259+X259)+($W$301+$X$301-$W$259-$X$259)*(L259)</f>
        <v>6962.8415999999988</v>
      </c>
      <c r="AD259" s="6">
        <f t="shared" si="19"/>
        <v>0</v>
      </c>
      <c r="AE259" s="6">
        <f ca="1">(L259-M259)*(Z259+AA259)+($Z$301+$AA$301-$Z$259-$AA$259)*(L259)</f>
        <v>6239.3596782636178</v>
      </c>
      <c r="AF259" s="4" t="s">
        <v>729</v>
      </c>
    </row>
    <row r="260" spans="1:32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28</v>
      </c>
      <c r="F260" s="4" t="s">
        <v>25</v>
      </c>
      <c r="G260" s="4" t="s">
        <v>25</v>
      </c>
      <c r="H260" s="4" t="s">
        <v>25</v>
      </c>
      <c r="I260" s="5">
        <v>44501</v>
      </c>
      <c r="J260" s="6">
        <v>0</v>
      </c>
      <c r="K260" s="6">
        <v>0</v>
      </c>
      <c r="L260" s="6">
        <v>21.367000000000001</v>
      </c>
      <c r="M260" s="6">
        <v>21.367000000000001</v>
      </c>
      <c r="N260" s="6">
        <v>21.367000000000001</v>
      </c>
      <c r="O260" s="6">
        <v>21.367000000000001</v>
      </c>
      <c r="P260" s="6">
        <v>21</v>
      </c>
      <c r="Q260" s="4" t="s">
        <v>26</v>
      </c>
      <c r="R260" s="4">
        <v>0</v>
      </c>
      <c r="S260" s="4">
        <v>0</v>
      </c>
      <c r="T260" s="4">
        <v>8</v>
      </c>
      <c r="U260" s="4">
        <v>50</v>
      </c>
      <c r="V260" s="6">
        <f>IF(ISERROR(VLOOKUP($S$260,'TAR FIN'!$A$1:$O$86,15,0)),0,VLOOKUP($S$260,'TAR FIN'!$A$1:$O$86,15,0))</f>
        <v>0</v>
      </c>
      <c r="W260" s="6">
        <f>IF(ISERROR(VLOOKUP($T$260,'TAR FIN'!$A$1:$O$86,15,0)),0,VLOOKUP($T$260,'TAR FIN'!$A$1:$O$86,15,0))</f>
        <v>87.14</v>
      </c>
      <c r="X260" s="6">
        <f>IF(ISERROR(VLOOKUP($U$260,'TAR FIN'!$A$1:$O$86,15,0)),0,VLOOKUP($U$260,'TAR FIN'!$A$1:$O$86,15,0))</f>
        <v>90.37</v>
      </c>
      <c r="Y260" s="6"/>
      <c r="Z260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0" s="6">
        <f>('TE BE'!$AB$12+'TE BF'!$AB$12+'TE CVA'!$AB$12)*(1-CUSTOS!$M$34)</f>
        <v>80.703906972005015</v>
      </c>
      <c r="AB260" s="6">
        <f t="shared" si="18"/>
        <v>0</v>
      </c>
      <c r="AC260" s="6">
        <f>(L260-M260)*(W260+X260)+($W$301+$X$301-$W$260-$X$260)*(L260)</f>
        <v>7044.2725599999994</v>
      </c>
      <c r="AD260" s="6">
        <f t="shared" si="19"/>
        <v>0</v>
      </c>
      <c r="AE260" s="6">
        <f ca="1">(L260-M260)*(Z260+AA260)+($Z$301+$AA$301-$Z$260-$AA$260)*(L260)</f>
        <v>6312.3294623796737</v>
      </c>
      <c r="AF260" s="4" t="s">
        <v>729</v>
      </c>
    </row>
    <row r="261" spans="1:32" ht="11.25" customHeight="1" x14ac:dyDescent="0.25">
      <c r="A261" s="4" t="s">
        <v>55</v>
      </c>
      <c r="B261" s="4" t="s">
        <v>22</v>
      </c>
      <c r="C261" s="4" t="s">
        <v>23</v>
      </c>
      <c r="D261" s="4" t="s">
        <v>24</v>
      </c>
      <c r="E261" s="4" t="s">
        <v>28</v>
      </c>
      <c r="F261" s="4" t="s">
        <v>25</v>
      </c>
      <c r="G261" s="4" t="s">
        <v>25</v>
      </c>
      <c r="H261" s="4" t="s">
        <v>25</v>
      </c>
      <c r="I261" s="5">
        <v>44501</v>
      </c>
      <c r="J261" s="6">
        <v>0</v>
      </c>
      <c r="K261" s="6">
        <v>0</v>
      </c>
      <c r="L261" s="6">
        <v>0.03</v>
      </c>
      <c r="M261" s="6">
        <v>1.0500000000000001E-2</v>
      </c>
      <c r="N261" s="6">
        <v>0.03</v>
      </c>
      <c r="O261" s="6">
        <v>1.0500000000000001E-2</v>
      </c>
      <c r="P261" s="6">
        <v>0</v>
      </c>
      <c r="Q261" s="4" t="s">
        <v>26</v>
      </c>
      <c r="R261" s="4">
        <v>0</v>
      </c>
      <c r="S261" s="4">
        <v>0</v>
      </c>
      <c r="T261" s="4">
        <v>8</v>
      </c>
      <c r="U261" s="4">
        <v>50</v>
      </c>
      <c r="V261" s="6">
        <f>IF(ISERROR(VLOOKUP($S$261,'TAR FIN'!$A$1:$O$86,15,0)),0,VLOOKUP($S$261,'TAR FIN'!$A$1:$O$86,15,0))</f>
        <v>0</v>
      </c>
      <c r="W261" s="6">
        <f>IF(ISERROR(VLOOKUP($T$261,'TAR FIN'!$A$1:$O$86,15,0)),0,VLOOKUP($T$261,'TAR FIN'!$A$1:$O$86,15,0))</f>
        <v>87.14</v>
      </c>
      <c r="X261" s="6">
        <f>IF(ISERROR(VLOOKUP($U$261,'TAR FIN'!$A$1:$O$86,15,0)),0,VLOOKUP($U$261,'TAR FIN'!$A$1:$O$86,15,0))</f>
        <v>90.37</v>
      </c>
      <c r="Y261" s="6"/>
      <c r="Z261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1" s="6">
        <f>('TE BE'!$AB$12+'TE BF'!$AB$12+'TE CVA'!$AB$12)*(1-CUSTOS!$M$34)</f>
        <v>80.703906972005015</v>
      </c>
      <c r="AB261" s="6">
        <f t="shared" si="18"/>
        <v>0</v>
      </c>
      <c r="AC261" s="6">
        <f>(L261-M261)*(W261+X261)+($W$301+$X$301-$W$261-$X$261)*(L261)</f>
        <v>13.351844999999997</v>
      </c>
      <c r="AD261" s="6">
        <f t="shared" si="19"/>
        <v>0</v>
      </c>
      <c r="AE261" s="6">
        <f ca="1">(L261-M261)*(Z261+AA261)+($Z$301+$AA$301-$Z$261-$AA$261)*(L261)</f>
        <v>11.964681201215742</v>
      </c>
      <c r="AF261" s="4" t="s">
        <v>729</v>
      </c>
    </row>
    <row r="262" spans="1:32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28</v>
      </c>
      <c r="F262" s="4" t="s">
        <v>25</v>
      </c>
      <c r="G262" s="4" t="s">
        <v>25</v>
      </c>
      <c r="H262" s="4" t="s">
        <v>25</v>
      </c>
      <c r="I262" s="5">
        <v>44531</v>
      </c>
      <c r="J262" s="6">
        <v>0</v>
      </c>
      <c r="K262" s="6">
        <v>0</v>
      </c>
      <c r="L262" s="6">
        <v>21.33</v>
      </c>
      <c r="M262" s="6">
        <v>21.33</v>
      </c>
      <c r="N262" s="6">
        <v>21.33</v>
      </c>
      <c r="O262" s="6">
        <v>21.33</v>
      </c>
      <c r="P262" s="6">
        <v>15</v>
      </c>
      <c r="Q262" s="4" t="s">
        <v>26</v>
      </c>
      <c r="R262" s="4">
        <v>0</v>
      </c>
      <c r="S262" s="4">
        <v>0</v>
      </c>
      <c r="T262" s="4">
        <v>8</v>
      </c>
      <c r="U262" s="4">
        <v>50</v>
      </c>
      <c r="V262" s="6">
        <f>IF(ISERROR(VLOOKUP($S$262,'TAR FIN'!$A$1:$O$86,15,0)),0,VLOOKUP($S$262,'TAR FIN'!$A$1:$O$86,15,0))</f>
        <v>0</v>
      </c>
      <c r="W262" s="6">
        <f>IF(ISERROR(VLOOKUP($T$262,'TAR FIN'!$A$1:$O$86,15,0)),0,VLOOKUP($T$262,'TAR FIN'!$A$1:$O$86,15,0))</f>
        <v>87.14</v>
      </c>
      <c r="X262" s="6">
        <f>IF(ISERROR(VLOOKUP($U$262,'TAR FIN'!$A$1:$O$86,15,0)),0,VLOOKUP($U$262,'TAR FIN'!$A$1:$O$86,15,0))</f>
        <v>90.37</v>
      </c>
      <c r="Y262" s="6"/>
      <c r="Z262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2" s="6">
        <f>('TE BE'!$AB$12+'TE BF'!$AB$12+'TE CVA'!$AB$12)*(1-CUSTOS!$M$34)</f>
        <v>80.703906972005015</v>
      </c>
      <c r="AB262" s="6">
        <f t="shared" si="18"/>
        <v>0</v>
      </c>
      <c r="AC262" s="6">
        <f>(L262-M262)*(W262+X262)+($W$301+$X$301-$W$262-$X$262)*(L262)</f>
        <v>7032.0743999999986</v>
      </c>
      <c r="AD262" s="6">
        <f t="shared" si="19"/>
        <v>0</v>
      </c>
      <c r="AE262" s="6">
        <f ca="1">(L262-M262)*(Z262+AA262)+($Z$301+$AA$301-$Z$262-$AA$262)*(L262)</f>
        <v>6301.398765973624</v>
      </c>
      <c r="AF262" s="4" t="s">
        <v>729</v>
      </c>
    </row>
    <row r="263" spans="1:32" ht="11.25" customHeight="1" x14ac:dyDescent="0.25">
      <c r="A263" s="4" t="s">
        <v>55</v>
      </c>
      <c r="B263" s="4" t="s">
        <v>22</v>
      </c>
      <c r="C263" s="4" t="s">
        <v>23</v>
      </c>
      <c r="D263" s="4" t="s">
        <v>24</v>
      </c>
      <c r="E263" s="4" t="s">
        <v>28</v>
      </c>
      <c r="F263" s="4" t="s">
        <v>25</v>
      </c>
      <c r="G263" s="4" t="s">
        <v>25</v>
      </c>
      <c r="H263" s="4" t="s">
        <v>25</v>
      </c>
      <c r="I263" s="5">
        <v>44531</v>
      </c>
      <c r="J263" s="6">
        <v>0</v>
      </c>
      <c r="K263" s="6">
        <v>0</v>
      </c>
      <c r="L263" s="6">
        <v>1.7000000000000001E-2</v>
      </c>
      <c r="M263" s="6">
        <v>5.9500000000000004E-3</v>
      </c>
      <c r="N263" s="6">
        <v>1.7000000000000001E-2</v>
      </c>
      <c r="O263" s="6">
        <v>5.9500000000000004E-3</v>
      </c>
      <c r="P263" s="6">
        <v>0</v>
      </c>
      <c r="Q263" s="4" t="s">
        <v>26</v>
      </c>
      <c r="R263" s="4">
        <v>0</v>
      </c>
      <c r="S263" s="4">
        <v>0</v>
      </c>
      <c r="T263" s="4">
        <v>8</v>
      </c>
      <c r="U263" s="4">
        <v>50</v>
      </c>
      <c r="V263" s="6">
        <f>IF(ISERROR(VLOOKUP($S$263,'TAR FIN'!$A$1:$O$86,15,0)),0,VLOOKUP($S$263,'TAR FIN'!$A$1:$O$86,15,0))</f>
        <v>0</v>
      </c>
      <c r="W263" s="6">
        <f>IF(ISERROR(VLOOKUP($T$263,'TAR FIN'!$A$1:$O$86,15,0)),0,VLOOKUP($T$263,'TAR FIN'!$A$1:$O$86,15,0))</f>
        <v>87.14</v>
      </c>
      <c r="X263" s="6">
        <f>IF(ISERROR(VLOOKUP($U$263,'TAR FIN'!$A$1:$O$86,15,0)),0,VLOOKUP($U$263,'TAR FIN'!$A$1:$O$86,15,0))</f>
        <v>90.37</v>
      </c>
      <c r="Y263" s="6"/>
      <c r="Z263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3" s="6">
        <f>('TE BE'!$AB$12+'TE BF'!$AB$12+'TE CVA'!$AB$12)*(1-CUSTOS!$M$34)</f>
        <v>80.703906972005015</v>
      </c>
      <c r="AB263" s="6">
        <f t="shared" si="18"/>
        <v>0</v>
      </c>
      <c r="AC263" s="6">
        <f>(L263-M263)*(W263+X263)+($W$301+$X$301-$W$263-$X$263)*(L263)</f>
        <v>7.5660454999999995</v>
      </c>
      <c r="AD263" s="6">
        <f t="shared" si="19"/>
        <v>0</v>
      </c>
      <c r="AE263" s="6">
        <f ca="1">(L263-M263)*(Z263+AA263)+($Z$301+$AA$301-$Z$263-$AA$263)*(L263)</f>
        <v>6.7799860140222545</v>
      </c>
      <c r="AF263" s="4" t="s">
        <v>729</v>
      </c>
    </row>
    <row r="264" spans="1:32" ht="11.25" customHeight="1" x14ac:dyDescent="0.25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28</v>
      </c>
      <c r="F264" s="4" t="s">
        <v>25</v>
      </c>
      <c r="G264" s="4" t="s">
        <v>25</v>
      </c>
      <c r="H264" s="4" t="s">
        <v>25</v>
      </c>
      <c r="I264" s="5">
        <v>44562</v>
      </c>
      <c r="J264" s="6">
        <v>0</v>
      </c>
      <c r="K264" s="6">
        <v>0</v>
      </c>
      <c r="L264" s="6">
        <v>21.36</v>
      </c>
      <c r="M264" s="6">
        <v>21.36</v>
      </c>
      <c r="N264" s="6">
        <v>21.36</v>
      </c>
      <c r="O264" s="6">
        <v>21.36</v>
      </c>
      <c r="P264" s="6">
        <v>15</v>
      </c>
      <c r="Q264" s="4" t="s">
        <v>26</v>
      </c>
      <c r="R264" s="4">
        <v>0</v>
      </c>
      <c r="S264" s="4">
        <v>0</v>
      </c>
      <c r="T264" s="4">
        <v>8</v>
      </c>
      <c r="U264" s="4">
        <v>50</v>
      </c>
      <c r="V264" s="6">
        <f>IF(ISERROR(VLOOKUP($S$264,'TAR FIN'!$A$1:$O$86,15,0)),0,VLOOKUP($S$264,'TAR FIN'!$A$1:$O$86,15,0))</f>
        <v>0</v>
      </c>
      <c r="W264" s="6">
        <f>IF(ISERROR(VLOOKUP($T$264,'TAR FIN'!$A$1:$O$86,15,0)),0,VLOOKUP($T$264,'TAR FIN'!$A$1:$O$86,15,0))</f>
        <v>87.14</v>
      </c>
      <c r="X264" s="6">
        <f>IF(ISERROR(VLOOKUP($U$264,'TAR FIN'!$A$1:$O$86,15,0)),0,VLOOKUP($U$264,'TAR FIN'!$A$1:$O$86,15,0))</f>
        <v>90.37</v>
      </c>
      <c r="Y264" s="6"/>
      <c r="Z264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4" s="6">
        <f>('TE BE'!$AB$12+'TE BF'!$AB$12+'TE CVA'!$AB$12)*(1-CUSTOS!$M$34)</f>
        <v>80.703906972005015</v>
      </c>
      <c r="AB264" s="6">
        <f t="shared" si="18"/>
        <v>0</v>
      </c>
      <c r="AC264" s="6">
        <f>(L264-M264)*(W264+X264)+($W$301+$X$301-$W$264-$X$264)*(L264)</f>
        <v>7041.9647999999988</v>
      </c>
      <c r="AD264" s="6">
        <f t="shared" si="19"/>
        <v>0</v>
      </c>
      <c r="AE264" s="6">
        <f ca="1">(L264-M264)*(Z264+AA264)+($Z$301+$AA$301-$Z$264-$AA$264)*(L264)</f>
        <v>6310.2614927893401</v>
      </c>
      <c r="AF264" s="4" t="s">
        <v>729</v>
      </c>
    </row>
    <row r="265" spans="1:32" ht="11.25" customHeight="1" x14ac:dyDescent="0.25">
      <c r="A265" s="4" t="s">
        <v>55</v>
      </c>
      <c r="B265" s="4" t="s">
        <v>22</v>
      </c>
      <c r="C265" s="4" t="s">
        <v>23</v>
      </c>
      <c r="D265" s="4" t="s">
        <v>24</v>
      </c>
      <c r="E265" s="4" t="s">
        <v>28</v>
      </c>
      <c r="F265" s="4" t="s">
        <v>25</v>
      </c>
      <c r="G265" s="4" t="s">
        <v>25</v>
      </c>
      <c r="H265" s="4" t="s">
        <v>25</v>
      </c>
      <c r="I265" s="5">
        <v>44562</v>
      </c>
      <c r="J265" s="6">
        <v>0</v>
      </c>
      <c r="K265" s="6">
        <v>0</v>
      </c>
      <c r="L265" s="6">
        <v>0.03</v>
      </c>
      <c r="M265" s="6">
        <v>1.0500000000000001E-2</v>
      </c>
      <c r="N265" s="6">
        <v>0.03</v>
      </c>
      <c r="O265" s="6">
        <v>1.0500000000000001E-2</v>
      </c>
      <c r="P265" s="6">
        <v>0</v>
      </c>
      <c r="Q265" s="4" t="s">
        <v>26</v>
      </c>
      <c r="R265" s="4">
        <v>0</v>
      </c>
      <c r="S265" s="4">
        <v>0</v>
      </c>
      <c r="T265" s="4">
        <v>8</v>
      </c>
      <c r="U265" s="4">
        <v>50</v>
      </c>
      <c r="V265" s="6">
        <f>IF(ISERROR(VLOOKUP($S$265,'TAR FIN'!$A$1:$O$86,15,0)),0,VLOOKUP($S$265,'TAR FIN'!$A$1:$O$86,15,0))</f>
        <v>0</v>
      </c>
      <c r="W265" s="6">
        <f>IF(ISERROR(VLOOKUP($T$265,'TAR FIN'!$A$1:$O$86,15,0)),0,VLOOKUP($T$265,'TAR FIN'!$A$1:$O$86,15,0))</f>
        <v>87.14</v>
      </c>
      <c r="X265" s="6">
        <f>IF(ISERROR(VLOOKUP($U$265,'TAR FIN'!$A$1:$O$86,15,0)),0,VLOOKUP($U$265,'TAR FIN'!$A$1:$O$86,15,0))</f>
        <v>90.37</v>
      </c>
      <c r="Y265" s="6"/>
      <c r="Z265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5" s="6">
        <f>('TE BE'!$AB$12+'TE BF'!$AB$12+'TE CVA'!$AB$12)*(1-CUSTOS!$M$34)</f>
        <v>80.703906972005015</v>
      </c>
      <c r="AB265" s="6">
        <f t="shared" si="18"/>
        <v>0</v>
      </c>
      <c r="AC265" s="6">
        <f>(L265-M265)*(W265+X265)+($W$301+$X$301-$W$265-$X$265)*(L265)</f>
        <v>13.351844999999997</v>
      </c>
      <c r="AD265" s="6">
        <f t="shared" si="19"/>
        <v>0</v>
      </c>
      <c r="AE265" s="6">
        <f ca="1">(L265-M265)*(Z265+AA265)+($Z$301+$AA$301-$Z$265-$AA$265)*(L265)</f>
        <v>11.964681201215742</v>
      </c>
      <c r="AF265" s="4" t="s">
        <v>729</v>
      </c>
    </row>
    <row r="266" spans="1:32" ht="11.25" customHeight="1" x14ac:dyDescent="0.25">
      <c r="A266" s="4" t="s">
        <v>21</v>
      </c>
      <c r="B266" s="4" t="s">
        <v>22</v>
      </c>
      <c r="C266" s="4" t="s">
        <v>23</v>
      </c>
      <c r="D266" s="4" t="s">
        <v>24</v>
      </c>
      <c r="E266" s="4" t="s">
        <v>28</v>
      </c>
      <c r="F266" s="4" t="s">
        <v>25</v>
      </c>
      <c r="G266" s="4" t="s">
        <v>25</v>
      </c>
      <c r="H266" s="4" t="s">
        <v>25</v>
      </c>
      <c r="I266" s="5">
        <v>44593</v>
      </c>
      <c r="J266" s="6">
        <v>0</v>
      </c>
      <c r="K266" s="6">
        <v>0</v>
      </c>
      <c r="L266" s="6">
        <v>21.393000000000001</v>
      </c>
      <c r="M266" s="6">
        <v>21.393000000000001</v>
      </c>
      <c r="N266" s="6">
        <v>21.393000000000001</v>
      </c>
      <c r="O266" s="6">
        <v>21.393000000000001</v>
      </c>
      <c r="P266" s="6">
        <v>15</v>
      </c>
      <c r="Q266" s="4" t="s">
        <v>26</v>
      </c>
      <c r="R266" s="4">
        <v>0</v>
      </c>
      <c r="S266" s="4">
        <v>0</v>
      </c>
      <c r="T266" s="4">
        <v>8</v>
      </c>
      <c r="U266" s="4">
        <v>50</v>
      </c>
      <c r="V266" s="6">
        <f>IF(ISERROR(VLOOKUP($S$266,'TAR FIN'!$A$1:$O$86,15,0)),0,VLOOKUP($S$266,'TAR FIN'!$A$1:$O$86,15,0))</f>
        <v>0</v>
      </c>
      <c r="W266" s="6">
        <f>IF(ISERROR(VLOOKUP($T$266,'TAR FIN'!$A$1:$O$86,15,0)),0,VLOOKUP($T$266,'TAR FIN'!$A$1:$O$86,15,0))</f>
        <v>87.14</v>
      </c>
      <c r="X266" s="6">
        <f>IF(ISERROR(VLOOKUP($U$266,'TAR FIN'!$A$1:$O$86,15,0)),0,VLOOKUP($U$266,'TAR FIN'!$A$1:$O$86,15,0))</f>
        <v>90.37</v>
      </c>
      <c r="Y266" s="6"/>
      <c r="Z266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6" s="6">
        <f>('TE BE'!$AB$12+'TE BF'!$AB$12+'TE CVA'!$AB$12)*(1-CUSTOS!$M$34)</f>
        <v>80.703906972005015</v>
      </c>
      <c r="AB266" s="6">
        <f t="shared" si="18"/>
        <v>0</v>
      </c>
      <c r="AC266" s="6">
        <f>(L266-M266)*(W266+X266)+($W$301+$X$301-$W$266-$X$266)*(L266)</f>
        <v>7052.8442399999994</v>
      </c>
      <c r="AD266" s="6">
        <f t="shared" si="19"/>
        <v>0</v>
      </c>
      <c r="AE266" s="6">
        <f ca="1">(L266-M266)*(Z266+AA266)+($Z$301+$AA$301-$Z$266-$AA$266)*(L266)</f>
        <v>6320.0104922866267</v>
      </c>
      <c r="AF266" s="4" t="s">
        <v>729</v>
      </c>
    </row>
    <row r="267" spans="1:32" ht="11.25" customHeight="1" x14ac:dyDescent="0.25">
      <c r="A267" s="4" t="s">
        <v>55</v>
      </c>
      <c r="B267" s="4" t="s">
        <v>22</v>
      </c>
      <c r="C267" s="4" t="s">
        <v>23</v>
      </c>
      <c r="D267" s="4" t="s">
        <v>24</v>
      </c>
      <c r="E267" s="4" t="s">
        <v>28</v>
      </c>
      <c r="F267" s="4" t="s">
        <v>25</v>
      </c>
      <c r="G267" s="4" t="s">
        <v>25</v>
      </c>
      <c r="H267" s="4" t="s">
        <v>25</v>
      </c>
      <c r="I267" s="5">
        <v>44593</v>
      </c>
      <c r="J267" s="6">
        <v>0</v>
      </c>
      <c r="K267" s="6">
        <v>0</v>
      </c>
      <c r="L267" s="6">
        <v>0.03</v>
      </c>
      <c r="M267" s="6">
        <v>1.0500000000000001E-2</v>
      </c>
      <c r="N267" s="6">
        <v>0.03</v>
      </c>
      <c r="O267" s="6">
        <v>1.0500000000000001E-2</v>
      </c>
      <c r="P267" s="6">
        <v>0</v>
      </c>
      <c r="Q267" s="4" t="s">
        <v>26</v>
      </c>
      <c r="R267" s="4">
        <v>0</v>
      </c>
      <c r="S267" s="4">
        <v>0</v>
      </c>
      <c r="T267" s="4">
        <v>8</v>
      </c>
      <c r="U267" s="4">
        <v>50</v>
      </c>
      <c r="V267" s="6">
        <f>IF(ISERROR(VLOOKUP($S$267,'TAR FIN'!$A$1:$O$86,15,0)),0,VLOOKUP($S$267,'TAR FIN'!$A$1:$O$86,15,0))</f>
        <v>0</v>
      </c>
      <c r="W267" s="6">
        <f>IF(ISERROR(VLOOKUP($T$267,'TAR FIN'!$A$1:$O$86,15,0)),0,VLOOKUP($T$267,'TAR FIN'!$A$1:$O$86,15,0))</f>
        <v>87.14</v>
      </c>
      <c r="X267" s="6">
        <f>IF(ISERROR(VLOOKUP($U$267,'TAR FIN'!$A$1:$O$86,15,0)),0,VLOOKUP($U$267,'TAR FIN'!$A$1:$O$86,15,0))</f>
        <v>90.37</v>
      </c>
      <c r="Y267" s="6"/>
      <c r="Z267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7" s="6">
        <f>('TE BE'!$AB$12+'TE BF'!$AB$12+'TE CVA'!$AB$12)*(1-CUSTOS!$M$34)</f>
        <v>80.703906972005015</v>
      </c>
      <c r="AB267" s="6">
        <f t="shared" si="18"/>
        <v>0</v>
      </c>
      <c r="AC267" s="6">
        <f>(L267-M267)*(W267+X267)+($W$301+$X$301-$W$267-$X$267)*(L267)</f>
        <v>13.351844999999997</v>
      </c>
      <c r="AD267" s="6">
        <f t="shared" si="19"/>
        <v>0</v>
      </c>
      <c r="AE267" s="6">
        <f ca="1">(L267-M267)*(Z267+AA267)+($Z$301+$AA$301-$Z$267-$AA$267)*(L267)</f>
        <v>11.964681201215742</v>
      </c>
      <c r="AF267" s="4" t="s">
        <v>729</v>
      </c>
    </row>
    <row r="268" spans="1:32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28</v>
      </c>
      <c r="F268" s="4" t="s">
        <v>25</v>
      </c>
      <c r="G268" s="4" t="s">
        <v>25</v>
      </c>
      <c r="H268" s="4" t="s">
        <v>25</v>
      </c>
      <c r="I268" s="5">
        <v>44621</v>
      </c>
      <c r="J268" s="6">
        <v>0</v>
      </c>
      <c r="K268" s="6">
        <v>0</v>
      </c>
      <c r="L268" s="6">
        <v>21.81</v>
      </c>
      <c r="M268" s="6">
        <v>21.81</v>
      </c>
      <c r="N268" s="6">
        <v>21.81</v>
      </c>
      <c r="O268" s="6">
        <v>21.81</v>
      </c>
      <c r="P268" s="6">
        <v>27</v>
      </c>
      <c r="Q268" s="4" t="s">
        <v>26</v>
      </c>
      <c r="R268" s="4">
        <v>0</v>
      </c>
      <c r="S268" s="4">
        <v>0</v>
      </c>
      <c r="T268" s="4">
        <v>8</v>
      </c>
      <c r="U268" s="4">
        <v>50</v>
      </c>
      <c r="V268" s="6">
        <f>IF(ISERROR(VLOOKUP($S$268,'TAR FIN'!$A$1:$O$86,15,0)),0,VLOOKUP($S$268,'TAR FIN'!$A$1:$O$86,15,0))</f>
        <v>0</v>
      </c>
      <c r="W268" s="6">
        <f>IF(ISERROR(VLOOKUP($T$268,'TAR FIN'!$A$1:$O$86,15,0)),0,VLOOKUP($T$268,'TAR FIN'!$A$1:$O$86,15,0))</f>
        <v>87.14</v>
      </c>
      <c r="X268" s="6">
        <f>IF(ISERROR(VLOOKUP($U$268,'TAR FIN'!$A$1:$O$86,15,0)),0,VLOOKUP($U$268,'TAR FIN'!$A$1:$O$86,15,0))</f>
        <v>90.37</v>
      </c>
      <c r="Y268" s="6"/>
      <c r="Z268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8" s="6">
        <f>('TE BE'!$AB$12+'TE BF'!$AB$12+'TE CVA'!$AB$12)*(1-CUSTOS!$M$34)</f>
        <v>80.703906972005015</v>
      </c>
      <c r="AB268" s="6">
        <f t="shared" si="18"/>
        <v>0</v>
      </c>
      <c r="AC268" s="6">
        <f>(L268-M268)*(W268+X268)+($W$301+$X$301-$W$268-$X$268)*(L268)</f>
        <v>7190.3207999999986</v>
      </c>
      <c r="AD268" s="6">
        <f t="shared" si="19"/>
        <v>0</v>
      </c>
      <c r="AE268" s="6">
        <f ca="1">(L268-M268)*(Z268+AA268)+($Z$301+$AA$301-$Z$268-$AA$268)*(L268)</f>
        <v>6443.2023950250705</v>
      </c>
      <c r="AF268" s="4" t="s">
        <v>729</v>
      </c>
    </row>
    <row r="269" spans="1:32" ht="11.25" customHeight="1" x14ac:dyDescent="0.25">
      <c r="A269" s="4" t="s">
        <v>55</v>
      </c>
      <c r="B269" s="4" t="s">
        <v>22</v>
      </c>
      <c r="C269" s="4" t="s">
        <v>23</v>
      </c>
      <c r="D269" s="4" t="s">
        <v>24</v>
      </c>
      <c r="E269" s="4" t="s">
        <v>28</v>
      </c>
      <c r="F269" s="4" t="s">
        <v>25</v>
      </c>
      <c r="G269" s="4" t="s">
        <v>25</v>
      </c>
      <c r="H269" s="4" t="s">
        <v>25</v>
      </c>
      <c r="I269" s="5">
        <v>44621</v>
      </c>
      <c r="J269" s="6">
        <v>0</v>
      </c>
      <c r="K269" s="6">
        <v>0</v>
      </c>
      <c r="L269" s="6">
        <v>0.03</v>
      </c>
      <c r="M269" s="6">
        <v>1.0500000000000001E-2</v>
      </c>
      <c r="N269" s="6">
        <v>0.03</v>
      </c>
      <c r="O269" s="6">
        <v>1.0500000000000001E-2</v>
      </c>
      <c r="P269" s="6">
        <v>0</v>
      </c>
      <c r="Q269" s="4" t="s">
        <v>26</v>
      </c>
      <c r="R269" s="4">
        <v>0</v>
      </c>
      <c r="S269" s="4">
        <v>0</v>
      </c>
      <c r="T269" s="4">
        <v>8</v>
      </c>
      <c r="U269" s="4">
        <v>50</v>
      </c>
      <c r="V269" s="6">
        <f>IF(ISERROR(VLOOKUP($S$269,'TAR FIN'!$A$1:$O$86,15,0)),0,VLOOKUP($S$269,'TAR FIN'!$A$1:$O$86,15,0))</f>
        <v>0</v>
      </c>
      <c r="W269" s="6">
        <f>IF(ISERROR(VLOOKUP($T$269,'TAR FIN'!$A$1:$O$86,15,0)),0,VLOOKUP($T$269,'TAR FIN'!$A$1:$O$86,15,0))</f>
        <v>87.14</v>
      </c>
      <c r="X269" s="6">
        <f>IF(ISERROR(VLOOKUP($U$269,'TAR FIN'!$A$1:$O$86,15,0)),0,VLOOKUP($U$269,'TAR FIN'!$A$1:$O$86,15,0))</f>
        <v>90.37</v>
      </c>
      <c r="Y269" s="6"/>
      <c r="Z269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69" s="6">
        <f>('TE BE'!$AB$12+'TE BF'!$AB$12+'TE CVA'!$AB$12)*(1-CUSTOS!$M$34)</f>
        <v>80.703906972005015</v>
      </c>
      <c r="AB269" s="6">
        <f t="shared" si="18"/>
        <v>0</v>
      </c>
      <c r="AC269" s="6">
        <f>(L269-M269)*(W269+X269)+($W$301+$X$301-$W$269-$X$269)*(L269)</f>
        <v>13.351844999999997</v>
      </c>
      <c r="AD269" s="6">
        <f t="shared" si="19"/>
        <v>0</v>
      </c>
      <c r="AE269" s="6">
        <f ca="1">(L269-M269)*(Z269+AA269)+($Z$301+$AA$301-$Z$269-$AA$269)*(L269)</f>
        <v>11.964681201215742</v>
      </c>
      <c r="AF269" s="4" t="s">
        <v>729</v>
      </c>
    </row>
    <row r="270" spans="1:32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28</v>
      </c>
      <c r="F270" s="4" t="s">
        <v>25</v>
      </c>
      <c r="G270" s="4" t="s">
        <v>25</v>
      </c>
      <c r="H270" s="4" t="s">
        <v>25</v>
      </c>
      <c r="I270" s="5">
        <v>44652</v>
      </c>
      <c r="J270" s="6">
        <v>0</v>
      </c>
      <c r="K270" s="6">
        <v>0</v>
      </c>
      <c r="L270" s="6">
        <v>22.26</v>
      </c>
      <c r="M270" s="6">
        <v>22.26</v>
      </c>
      <c r="N270" s="6">
        <v>22.26</v>
      </c>
      <c r="O270" s="6">
        <v>22.26</v>
      </c>
      <c r="P270" s="6">
        <v>21</v>
      </c>
      <c r="Q270" s="4" t="s">
        <v>26</v>
      </c>
      <c r="R270" s="4">
        <v>0</v>
      </c>
      <c r="S270" s="4">
        <v>0</v>
      </c>
      <c r="T270" s="4">
        <v>8</v>
      </c>
      <c r="U270" s="4">
        <v>50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87.14</v>
      </c>
      <c r="X270" s="6">
        <f>IF(ISERROR(VLOOKUP($U$270,'TAR FIN'!$A$1:$O$86,15,0)),0,VLOOKUP($U$270,'TAR FIN'!$A$1:$O$86,15,0))</f>
        <v>90.37</v>
      </c>
      <c r="Y270" s="6"/>
      <c r="Z270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70" s="6">
        <f>('TE BE'!$AB$12+'TE BF'!$AB$12+'TE CVA'!$AB$12)*(1-CUSTOS!$M$34)</f>
        <v>80.703906972005015</v>
      </c>
      <c r="AB270" s="6">
        <f t="shared" si="18"/>
        <v>0</v>
      </c>
      <c r="AC270" s="6">
        <f>(L270-M270)*(W270+X270)+($W$301+$X$301-$W$270-$X$270)*(L270)</f>
        <v>7338.6767999999993</v>
      </c>
      <c r="AD270" s="6">
        <f t="shared" si="19"/>
        <v>0</v>
      </c>
      <c r="AE270" s="6">
        <f ca="1">(L270-M270)*(Z270+AA270)+($Z$301+$AA$301-$Z$270-$AA$270)*(L270)</f>
        <v>6576.1432972608018</v>
      </c>
      <c r="AF270" s="4" t="s">
        <v>729</v>
      </c>
    </row>
    <row r="271" spans="1:32" ht="11.25" customHeight="1" x14ac:dyDescent="0.25">
      <c r="A271" s="4" t="s">
        <v>55</v>
      </c>
      <c r="B271" s="4" t="s">
        <v>22</v>
      </c>
      <c r="C271" s="4" t="s">
        <v>23</v>
      </c>
      <c r="D271" s="4" t="s">
        <v>24</v>
      </c>
      <c r="E271" s="4" t="s">
        <v>28</v>
      </c>
      <c r="F271" s="4" t="s">
        <v>25</v>
      </c>
      <c r="G271" s="4" t="s">
        <v>25</v>
      </c>
      <c r="H271" s="4" t="s">
        <v>25</v>
      </c>
      <c r="I271" s="5">
        <v>44652</v>
      </c>
      <c r="J271" s="6">
        <v>0</v>
      </c>
      <c r="K271" s="6">
        <v>0</v>
      </c>
      <c r="L271" s="6">
        <v>0.03</v>
      </c>
      <c r="M271" s="6">
        <v>1.0500000000000001E-2</v>
      </c>
      <c r="N271" s="6">
        <v>0.03</v>
      </c>
      <c r="O271" s="6">
        <v>1.0500000000000001E-2</v>
      </c>
      <c r="P271" s="6">
        <v>0</v>
      </c>
      <c r="Q271" s="4" t="s">
        <v>26</v>
      </c>
      <c r="R271" s="4">
        <v>0</v>
      </c>
      <c r="S271" s="4">
        <v>0</v>
      </c>
      <c r="T271" s="4">
        <v>8</v>
      </c>
      <c r="U271" s="4">
        <v>50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87.14</v>
      </c>
      <c r="X271" s="6">
        <f>IF(ISERROR(VLOOKUP($U$271,'TAR FIN'!$A$1:$O$86,15,0)),0,VLOOKUP($U$271,'TAR FIN'!$A$1:$O$86,15,0))</f>
        <v>90.37</v>
      </c>
      <c r="Y271" s="6"/>
      <c r="Z271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71" s="6">
        <f>('TE BE'!$AB$12+'TE BF'!$AB$12+'TE CVA'!$AB$12)*(1-CUSTOS!$M$34)</f>
        <v>80.703906972005015</v>
      </c>
      <c r="AB271" s="6">
        <f t="shared" si="18"/>
        <v>0</v>
      </c>
      <c r="AC271" s="6">
        <f>(L271-M271)*(W271+X271)+($W$301+$X$301-$W$271-$X$271)*(L271)</f>
        <v>13.351844999999997</v>
      </c>
      <c r="AD271" s="6">
        <f t="shared" si="19"/>
        <v>0</v>
      </c>
      <c r="AE271" s="6">
        <f ca="1">(L271-M271)*(Z271+AA271)+($Z$301+$AA$301-$Z$271-$AA$271)*(L271)</f>
        <v>11.964681201215742</v>
      </c>
      <c r="AF271" s="4" t="s">
        <v>729</v>
      </c>
    </row>
    <row r="272" spans="1:32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28</v>
      </c>
      <c r="F272" s="4" t="s">
        <v>25</v>
      </c>
      <c r="G272" s="4" t="s">
        <v>25</v>
      </c>
      <c r="H272" s="4" t="s">
        <v>25</v>
      </c>
      <c r="I272" s="5">
        <v>44682</v>
      </c>
      <c r="J272" s="6">
        <v>0</v>
      </c>
      <c r="K272" s="6">
        <v>0</v>
      </c>
      <c r="L272" s="6">
        <v>22.341999999999999</v>
      </c>
      <c r="M272" s="6">
        <v>22.341999999999999</v>
      </c>
      <c r="N272" s="6">
        <v>22.341999999999999</v>
      </c>
      <c r="O272" s="6">
        <v>22.341999999999999</v>
      </c>
      <c r="P272" s="6">
        <v>26</v>
      </c>
      <c r="Q272" s="4" t="s">
        <v>26</v>
      </c>
      <c r="R272" s="4">
        <v>0</v>
      </c>
      <c r="S272" s="4">
        <v>0</v>
      </c>
      <c r="T272" s="4">
        <v>8</v>
      </c>
      <c r="U272" s="4">
        <v>50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87.14</v>
      </c>
      <c r="X272" s="6">
        <f>IF(ISERROR(VLOOKUP($U$272,'TAR FIN'!$A$1:$O$86,15,0)),0,VLOOKUP($U$272,'TAR FIN'!$A$1:$O$86,15,0))</f>
        <v>90.37</v>
      </c>
      <c r="Y272" s="6"/>
      <c r="Z272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72" s="6">
        <f>('TE BE'!$AB$12+'TE BF'!$AB$12+'TE CVA'!$AB$12)*(1-CUSTOS!$M$34)</f>
        <v>80.703906972005015</v>
      </c>
      <c r="AB272" s="6">
        <f t="shared" si="18"/>
        <v>0</v>
      </c>
      <c r="AC272" s="6">
        <f>(L272-M272)*(W272+X272)+($W$301+$X$301-$W$272-$X$272)*(L272)</f>
        <v>7365.7105599999986</v>
      </c>
      <c r="AD272" s="6">
        <f t="shared" si="19"/>
        <v>0</v>
      </c>
      <c r="AE272" s="6">
        <f ca="1">(L272-M272)*(Z272+AA272)+($Z$301+$AA$301-$Z$272-$AA$272)*(L272)</f>
        <v>6600.3680838904229</v>
      </c>
      <c r="AF272" s="4" t="s">
        <v>729</v>
      </c>
    </row>
    <row r="273" spans="1:32" ht="11.25" customHeight="1" x14ac:dyDescent="0.25">
      <c r="A273" s="4" t="s">
        <v>55</v>
      </c>
      <c r="B273" s="4" t="s">
        <v>22</v>
      </c>
      <c r="C273" s="4" t="s">
        <v>23</v>
      </c>
      <c r="D273" s="4" t="s">
        <v>24</v>
      </c>
      <c r="E273" s="4" t="s">
        <v>28</v>
      </c>
      <c r="F273" s="4" t="s">
        <v>25</v>
      </c>
      <c r="G273" s="4" t="s">
        <v>25</v>
      </c>
      <c r="H273" s="4" t="s">
        <v>25</v>
      </c>
      <c r="I273" s="5">
        <v>44682</v>
      </c>
      <c r="J273" s="6">
        <v>0</v>
      </c>
      <c r="K273" s="6">
        <v>0</v>
      </c>
      <c r="L273" s="6">
        <v>0.03</v>
      </c>
      <c r="M273" s="6">
        <v>1.0500000000000001E-2</v>
      </c>
      <c r="N273" s="6">
        <v>0.03</v>
      </c>
      <c r="O273" s="6">
        <v>1.0500000000000001E-2</v>
      </c>
      <c r="P273" s="6">
        <v>0</v>
      </c>
      <c r="Q273" s="4" t="s">
        <v>26</v>
      </c>
      <c r="R273" s="4">
        <v>0</v>
      </c>
      <c r="S273" s="4">
        <v>0</v>
      </c>
      <c r="T273" s="4">
        <v>8</v>
      </c>
      <c r="U273" s="4">
        <v>50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87.14</v>
      </c>
      <c r="X273" s="6">
        <f>IF(ISERROR(VLOOKUP($U$273,'TAR FIN'!$A$1:$O$86,15,0)),0,VLOOKUP($U$273,'TAR FIN'!$A$1:$O$86,15,0))</f>
        <v>90.37</v>
      </c>
      <c r="Y273" s="6"/>
      <c r="Z273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73" s="6">
        <f>('TE BE'!$AB$12+'TE BF'!$AB$12+'TE CVA'!$AB$12)*(1-CUSTOS!$M$34)</f>
        <v>80.703906972005015</v>
      </c>
      <c r="AB273" s="6">
        <f t="shared" si="18"/>
        <v>0</v>
      </c>
      <c r="AC273" s="6">
        <f>(L273-M273)*(W273+X273)+($W$301+$X$301-$W$273-$X$273)*(L273)</f>
        <v>13.351844999999997</v>
      </c>
      <c r="AD273" s="6">
        <f t="shared" si="19"/>
        <v>0</v>
      </c>
      <c r="AE273" s="6">
        <f ca="1">(L273-M273)*(Z273+AA273)+($Z$301+$AA$301-$Z$273-$AA$273)*(L273)</f>
        <v>11.964681201215742</v>
      </c>
      <c r="AF273" s="4" t="s">
        <v>729</v>
      </c>
    </row>
    <row r="274" spans="1:32" ht="11.25" customHeight="1" x14ac:dyDescent="0.25">
      <c r="A274" s="4" t="s">
        <v>56</v>
      </c>
      <c r="B274" s="4" t="s">
        <v>22</v>
      </c>
      <c r="C274" s="4" t="s">
        <v>23</v>
      </c>
      <c r="D274" s="4" t="s">
        <v>24</v>
      </c>
      <c r="E274" s="4" t="s">
        <v>28</v>
      </c>
      <c r="F274" s="4" t="s">
        <v>25</v>
      </c>
      <c r="G274" s="4" t="s">
        <v>25</v>
      </c>
      <c r="H274" s="4" t="s">
        <v>25</v>
      </c>
      <c r="I274" s="5">
        <v>44713</v>
      </c>
      <c r="J274" s="6">
        <v>0</v>
      </c>
      <c r="K274" s="6">
        <v>0</v>
      </c>
      <c r="L274" s="6">
        <v>22.341999999999999</v>
      </c>
      <c r="M274" s="6">
        <v>22.341999999999999</v>
      </c>
      <c r="N274" s="6">
        <v>22.341999999999999</v>
      </c>
      <c r="O274" s="6">
        <v>22.341999999999999</v>
      </c>
      <c r="P274" s="6">
        <v>26</v>
      </c>
      <c r="Q274" s="4" t="s">
        <v>26</v>
      </c>
      <c r="R274" s="4">
        <v>0</v>
      </c>
      <c r="S274" s="4">
        <v>0</v>
      </c>
      <c r="T274" s="4">
        <v>8</v>
      </c>
      <c r="U274" s="4">
        <v>50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87.14</v>
      </c>
      <c r="X274" s="6">
        <f>IF(ISERROR(VLOOKUP($U$274,'TAR FIN'!$A$1:$O$86,15,0)),0,VLOOKUP($U$274,'TAR FIN'!$A$1:$O$86,15,0))</f>
        <v>90.37</v>
      </c>
      <c r="Y274" s="6"/>
      <c r="Z274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74" s="6">
        <f>('TE BE'!$AB$12+'TE BF'!$AB$12+'TE CVA'!$AB$12)*(1-CUSTOS!$M$34)</f>
        <v>80.703906972005015</v>
      </c>
      <c r="AB274" s="6">
        <f t="shared" si="18"/>
        <v>0</v>
      </c>
      <c r="AC274" s="6">
        <f>(L274-M274)*(W274+X274)+($W$301+$X$301-$W$274-$X$274)*(L274)</f>
        <v>7365.7105599999986</v>
      </c>
      <c r="AD274" s="6">
        <f t="shared" si="19"/>
        <v>0</v>
      </c>
      <c r="AE274" s="6">
        <f ca="1">(L274-M274)*(Z274+AA274)+($Z$301+$AA$301-$Z$274-$AA$274)*(L274)</f>
        <v>6600.3680838904229</v>
      </c>
      <c r="AF274" s="4" t="s">
        <v>729</v>
      </c>
    </row>
    <row r="275" spans="1:32" ht="11.25" customHeight="1" x14ac:dyDescent="0.25">
      <c r="A275" s="4" t="s">
        <v>56</v>
      </c>
      <c r="B275" s="4" t="s">
        <v>22</v>
      </c>
      <c r="C275" s="4" t="s">
        <v>23</v>
      </c>
      <c r="D275" s="4" t="s">
        <v>24</v>
      </c>
      <c r="E275" s="4" t="s">
        <v>28</v>
      </c>
      <c r="F275" s="4" t="s">
        <v>25</v>
      </c>
      <c r="G275" s="4" t="s">
        <v>25</v>
      </c>
      <c r="H275" s="4" t="s">
        <v>25</v>
      </c>
      <c r="I275" s="5">
        <v>44713</v>
      </c>
      <c r="J275" s="6">
        <v>0</v>
      </c>
      <c r="K275" s="6">
        <v>0</v>
      </c>
      <c r="L275" s="6">
        <v>0.03</v>
      </c>
      <c r="M275" s="6">
        <v>1.0500000000000001E-2</v>
      </c>
      <c r="N275" s="6">
        <v>0.03</v>
      </c>
      <c r="O275" s="6">
        <v>1.0500000000000001E-2</v>
      </c>
      <c r="P275" s="6">
        <v>0</v>
      </c>
      <c r="Q275" s="4" t="s">
        <v>26</v>
      </c>
      <c r="R275" s="4">
        <v>0</v>
      </c>
      <c r="S275" s="4">
        <v>0</v>
      </c>
      <c r="T275" s="4">
        <v>8</v>
      </c>
      <c r="U275" s="4">
        <v>50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87.14</v>
      </c>
      <c r="X275" s="6">
        <f>IF(ISERROR(VLOOKUP($U$275,'TAR FIN'!$A$1:$O$86,15,0)),0,VLOOKUP($U$275,'TAR FIN'!$A$1:$O$86,15,0))</f>
        <v>90.37</v>
      </c>
      <c r="Y275" s="6"/>
      <c r="Z275" s="6">
        <f ca="1">('TUSD BE'!$AM$22+'TUSD BF'!$AM$22+'TUSD CVA'!$AM$22-('TUSD BE'!$P$22+'TUSD BF'!$P$22+'TUSD CVA'!$P$22)-('TUSD BE'!$Q$22+'TUSD BF'!$Q$22+'TUSD CVA'!$Q$22)-('TUSD BE'!$R$22+'TUSD BF'!$R$22+'TUSD CVA'!$R$22))*(1-CUSTOS!$M$34)</f>
        <v>78.370676899809226</v>
      </c>
      <c r="AA275" s="6">
        <f>('TE BE'!$AB$12+'TE BF'!$AB$12+'TE CVA'!$AB$12)*(1-CUSTOS!$M$34)</f>
        <v>80.703906972005015</v>
      </c>
      <c r="AB275" s="6">
        <f t="shared" si="18"/>
        <v>0</v>
      </c>
      <c r="AC275" s="6">
        <f>(L275-M275)*(W275+X275)+($W$301+$X$301-$W$275-$X$275)*(L275)</f>
        <v>13.351844999999997</v>
      </c>
      <c r="AD275" s="6">
        <f t="shared" si="19"/>
        <v>0</v>
      </c>
      <c r="AE275" s="6">
        <f ca="1">(L275-M275)*(Z275+AA275)+($Z$301+$AA$301-$Z$275-$AA$275)*(L275)</f>
        <v>11.964681201215742</v>
      </c>
      <c r="AF275" s="4" t="s">
        <v>729</v>
      </c>
    </row>
    <row r="276" spans="1:32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29</v>
      </c>
      <c r="F276" s="4" t="s">
        <v>25</v>
      </c>
      <c r="G276" s="4" t="s">
        <v>25</v>
      </c>
      <c r="H276" s="4" t="s">
        <v>25</v>
      </c>
      <c r="I276" s="5">
        <v>44378</v>
      </c>
      <c r="J276" s="6">
        <v>0</v>
      </c>
      <c r="K276" s="6">
        <v>0</v>
      </c>
      <c r="L276" s="6">
        <v>42.869</v>
      </c>
      <c r="M276" s="6">
        <v>42.869</v>
      </c>
      <c r="N276" s="6">
        <v>42.869</v>
      </c>
      <c r="O276" s="6">
        <v>42.869</v>
      </c>
      <c r="P276" s="6">
        <v>142</v>
      </c>
      <c r="Q276" s="4" t="s">
        <v>26</v>
      </c>
      <c r="R276" s="4">
        <v>0</v>
      </c>
      <c r="S276" s="4">
        <v>0</v>
      </c>
      <c r="T276" s="4">
        <v>28</v>
      </c>
      <c r="U276" s="4">
        <v>53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149.38999999999999</v>
      </c>
      <c r="X276" s="6">
        <f>IF(ISERROR(VLOOKUP($U$276,'TAR FIN'!$A$1:$O$86,15,0)),0,VLOOKUP($U$276,'TAR FIN'!$A$1:$O$86,15,0))</f>
        <v>154.93</v>
      </c>
      <c r="Y276" s="6"/>
      <c r="Z276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76" s="6">
        <f>('TE BE'!$AB$13+'TE BF'!$AB$13+'TE CVA'!$AB$13)*(1-CUSTOS!$M$35)</f>
        <v>138.34955480915144</v>
      </c>
      <c r="AB276" s="6">
        <f t="shared" si="18"/>
        <v>0</v>
      </c>
      <c r="AC276" s="6">
        <f>(L276-M276)*(W276+X276)+($W$301+$X$301-$W$276-$X$276)*(L276)</f>
        <v>8696.8340299999982</v>
      </c>
      <c r="AD276" s="6">
        <f t="shared" si="19"/>
        <v>0</v>
      </c>
      <c r="AE276" s="6">
        <f ca="1">(L276-M276)*(Z276+AA276)+($Z$301+$AA$301-$Z$276-$AA$276)*(L276)</f>
        <v>7793.563812572349</v>
      </c>
      <c r="AF276" s="4" t="s">
        <v>729</v>
      </c>
    </row>
    <row r="277" spans="1:32" ht="11.25" customHeight="1" x14ac:dyDescent="0.25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29</v>
      </c>
      <c r="F277" s="4" t="s">
        <v>25</v>
      </c>
      <c r="G277" s="4" t="s">
        <v>25</v>
      </c>
      <c r="H277" s="4" t="s">
        <v>25</v>
      </c>
      <c r="I277" s="5">
        <v>44409</v>
      </c>
      <c r="J277" s="6">
        <v>0</v>
      </c>
      <c r="K277" s="6">
        <v>0</v>
      </c>
      <c r="L277" s="6">
        <v>43.503</v>
      </c>
      <c r="M277" s="6">
        <v>43.503</v>
      </c>
      <c r="N277" s="6">
        <v>43.503</v>
      </c>
      <c r="O277" s="6">
        <v>43.503</v>
      </c>
      <c r="P277" s="6">
        <v>139</v>
      </c>
      <c r="Q277" s="4" t="s">
        <v>26</v>
      </c>
      <c r="R277" s="4">
        <v>0</v>
      </c>
      <c r="S277" s="4">
        <v>0</v>
      </c>
      <c r="T277" s="4">
        <v>28</v>
      </c>
      <c r="U277" s="4">
        <v>53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149.38999999999999</v>
      </c>
      <c r="X277" s="6">
        <f>IF(ISERROR(VLOOKUP($U$277,'TAR FIN'!$A$1:$O$86,15,0)),0,VLOOKUP($U$277,'TAR FIN'!$A$1:$O$86,15,0))</f>
        <v>154.93</v>
      </c>
      <c r="Y277" s="6"/>
      <c r="Z277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77" s="6">
        <f>('TE BE'!$AB$13+'TE BF'!$AB$13+'TE CVA'!$AB$13)*(1-CUSTOS!$M$35)</f>
        <v>138.34955480915144</v>
      </c>
      <c r="AB277" s="6">
        <f t="shared" si="18"/>
        <v>0</v>
      </c>
      <c r="AC277" s="6">
        <f>(L277-M277)*(W277+X277)+($W$301+$X$301-$W$277-$X$277)*(L277)</f>
        <v>8825.4536099999968</v>
      </c>
      <c r="AD277" s="6">
        <f t="shared" si="19"/>
        <v>0</v>
      </c>
      <c r="AE277" s="6">
        <f ca="1">(L277-M277)*(Z277+AA277)+($Z$301+$AA$301-$Z$277-$AA$277)*(L277)</f>
        <v>7908.8247110577549</v>
      </c>
      <c r="AF277" s="4" t="s">
        <v>729</v>
      </c>
    </row>
    <row r="278" spans="1:32" ht="11.25" customHeight="1" x14ac:dyDescent="0.25">
      <c r="A278" s="4" t="s">
        <v>21</v>
      </c>
      <c r="B278" s="4" t="s">
        <v>22</v>
      </c>
      <c r="C278" s="4" t="s">
        <v>23</v>
      </c>
      <c r="D278" s="4" t="s">
        <v>24</v>
      </c>
      <c r="E278" s="4" t="s">
        <v>29</v>
      </c>
      <c r="F278" s="4" t="s">
        <v>25</v>
      </c>
      <c r="G278" s="4" t="s">
        <v>25</v>
      </c>
      <c r="H278" s="4" t="s">
        <v>25</v>
      </c>
      <c r="I278" s="5">
        <v>44440</v>
      </c>
      <c r="J278" s="6">
        <v>0</v>
      </c>
      <c r="K278" s="6">
        <v>0</v>
      </c>
      <c r="L278" s="6">
        <v>43.853999999999999</v>
      </c>
      <c r="M278" s="6">
        <v>43.853999999999999</v>
      </c>
      <c r="N278" s="6">
        <v>43.853999999999999</v>
      </c>
      <c r="O278" s="6">
        <v>43.853999999999999</v>
      </c>
      <c r="P278" s="6">
        <v>134</v>
      </c>
      <c r="Q278" s="4" t="s">
        <v>26</v>
      </c>
      <c r="R278" s="4">
        <v>0</v>
      </c>
      <c r="S278" s="4">
        <v>0</v>
      </c>
      <c r="T278" s="4">
        <v>28</v>
      </c>
      <c r="U278" s="4">
        <v>53</v>
      </c>
      <c r="V278" s="6">
        <f>IF(ISERROR(VLOOKUP($S$278,'TAR FIN'!$A$1:$O$86,15,0)),0,VLOOKUP($S$278,'TAR FIN'!$A$1:$O$86,15,0))</f>
        <v>0</v>
      </c>
      <c r="W278" s="6">
        <f>IF(ISERROR(VLOOKUP($T$278,'TAR FIN'!$A$1:$O$86,15,0)),0,VLOOKUP($T$278,'TAR FIN'!$A$1:$O$86,15,0))</f>
        <v>149.38999999999999</v>
      </c>
      <c r="X278" s="6">
        <f>IF(ISERROR(VLOOKUP($U$278,'TAR FIN'!$A$1:$O$86,15,0)),0,VLOOKUP($U$278,'TAR FIN'!$A$1:$O$86,15,0))</f>
        <v>154.93</v>
      </c>
      <c r="Y278" s="6"/>
      <c r="Z278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78" s="6">
        <f>('TE BE'!$AB$13+'TE BF'!$AB$13+'TE CVA'!$AB$13)*(1-CUSTOS!$M$35)</f>
        <v>138.34955480915144</v>
      </c>
      <c r="AB278" s="6">
        <f t="shared" si="18"/>
        <v>0</v>
      </c>
      <c r="AC278" s="6">
        <f>(L278-M278)*(W278+X278)+($W$301+$X$301-$W$278-$X$278)*(L278)</f>
        <v>8896.6609799999969</v>
      </c>
      <c r="AD278" s="6">
        <f t="shared" si="19"/>
        <v>0</v>
      </c>
      <c r="AE278" s="6">
        <f ca="1">(L278-M278)*(Z278+AA278)+($Z$301+$AA$301-$Z$278-$AA$278)*(L278)</f>
        <v>7972.6363441309059</v>
      </c>
      <c r="AF278" s="4" t="s">
        <v>729</v>
      </c>
    </row>
    <row r="279" spans="1:32" ht="11.25" customHeight="1" x14ac:dyDescent="0.25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29</v>
      </c>
      <c r="F279" s="4" t="s">
        <v>25</v>
      </c>
      <c r="G279" s="4" t="s">
        <v>25</v>
      </c>
      <c r="H279" s="4" t="s">
        <v>25</v>
      </c>
      <c r="I279" s="5">
        <v>44470</v>
      </c>
      <c r="J279" s="6">
        <v>0</v>
      </c>
      <c r="K279" s="6">
        <v>0</v>
      </c>
      <c r="L279" s="6">
        <v>44.758000000000003</v>
      </c>
      <c r="M279" s="6">
        <v>44.758000000000003</v>
      </c>
      <c r="N279" s="6">
        <v>44.758000000000003</v>
      </c>
      <c r="O279" s="6">
        <v>44.758000000000003</v>
      </c>
      <c r="P279" s="6">
        <v>133</v>
      </c>
      <c r="Q279" s="4" t="s">
        <v>26</v>
      </c>
      <c r="R279" s="4">
        <v>0</v>
      </c>
      <c r="S279" s="4">
        <v>0</v>
      </c>
      <c r="T279" s="4">
        <v>28</v>
      </c>
      <c r="U279" s="4">
        <v>53</v>
      </c>
      <c r="V279" s="6">
        <f>IF(ISERROR(VLOOKUP($S$279,'TAR FIN'!$A$1:$O$86,15,0)),0,VLOOKUP($S$279,'TAR FIN'!$A$1:$O$86,15,0))</f>
        <v>0</v>
      </c>
      <c r="W279" s="6">
        <f>IF(ISERROR(VLOOKUP($T$279,'TAR FIN'!$A$1:$O$86,15,0)),0,VLOOKUP($T$279,'TAR FIN'!$A$1:$O$86,15,0))</f>
        <v>149.38999999999999</v>
      </c>
      <c r="X279" s="6">
        <f>IF(ISERROR(VLOOKUP($U$279,'TAR FIN'!$A$1:$O$86,15,0)),0,VLOOKUP($U$279,'TAR FIN'!$A$1:$O$86,15,0))</f>
        <v>154.93</v>
      </c>
      <c r="Y279" s="6"/>
      <c r="Z279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79" s="6">
        <f>('TE BE'!$AB$13+'TE BF'!$AB$13+'TE CVA'!$AB$13)*(1-CUSTOS!$M$35)</f>
        <v>138.34955480915144</v>
      </c>
      <c r="AB279" s="6">
        <f t="shared" si="18"/>
        <v>0</v>
      </c>
      <c r="AC279" s="6">
        <f>(L279-M279)*(W279+X279)+($W$301+$X$301-$W$279-$X$279)*(L279)</f>
        <v>9080.0554599999978</v>
      </c>
      <c r="AD279" s="6">
        <f t="shared" si="19"/>
        <v>0</v>
      </c>
      <c r="AE279" s="6">
        <f ca="1">(L279-M279)*(Z279+AA279)+($Z$301+$AA$301-$Z$279-$AA$279)*(L279)</f>
        <v>8136.9831142110434</v>
      </c>
      <c r="AF279" s="4" t="s">
        <v>729</v>
      </c>
    </row>
    <row r="280" spans="1:32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29</v>
      </c>
      <c r="F280" s="4" t="s">
        <v>25</v>
      </c>
      <c r="G280" s="4" t="s">
        <v>25</v>
      </c>
      <c r="H280" s="4" t="s">
        <v>25</v>
      </c>
      <c r="I280" s="5">
        <v>44501</v>
      </c>
      <c r="J280" s="6">
        <v>0</v>
      </c>
      <c r="K280" s="6">
        <v>0</v>
      </c>
      <c r="L280" s="6">
        <v>45.768000000000001</v>
      </c>
      <c r="M280" s="6">
        <v>45.768000000000001</v>
      </c>
      <c r="N280" s="6">
        <v>45.768000000000001</v>
      </c>
      <c r="O280" s="6">
        <v>45.768000000000001</v>
      </c>
      <c r="P280" s="6">
        <v>111</v>
      </c>
      <c r="Q280" s="4" t="s">
        <v>26</v>
      </c>
      <c r="R280" s="4">
        <v>0</v>
      </c>
      <c r="S280" s="4">
        <v>0</v>
      </c>
      <c r="T280" s="4">
        <v>28</v>
      </c>
      <c r="U280" s="4">
        <v>53</v>
      </c>
      <c r="V280" s="6">
        <f>IF(ISERROR(VLOOKUP($S$280,'TAR FIN'!$A$1:$O$86,15,0)),0,VLOOKUP($S$280,'TAR FIN'!$A$1:$O$86,15,0))</f>
        <v>0</v>
      </c>
      <c r="W280" s="6">
        <f>IF(ISERROR(VLOOKUP($T$280,'TAR FIN'!$A$1:$O$86,15,0)),0,VLOOKUP($T$280,'TAR FIN'!$A$1:$O$86,15,0))</f>
        <v>149.38999999999999</v>
      </c>
      <c r="X280" s="6">
        <f>IF(ISERROR(VLOOKUP($U$280,'TAR FIN'!$A$1:$O$86,15,0)),0,VLOOKUP($U$280,'TAR FIN'!$A$1:$O$86,15,0))</f>
        <v>154.93</v>
      </c>
      <c r="Y280" s="6"/>
      <c r="Z280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0" s="6">
        <f>('TE BE'!$AB$13+'TE BF'!$AB$13+'TE CVA'!$AB$13)*(1-CUSTOS!$M$35)</f>
        <v>138.34955480915144</v>
      </c>
      <c r="AB280" s="6">
        <f t="shared" si="18"/>
        <v>0</v>
      </c>
      <c r="AC280" s="6">
        <f>(L280-M280)*(W280+X280)+($W$301+$X$301-$W$280-$X$280)*(L280)</f>
        <v>9284.9541599999975</v>
      </c>
      <c r="AD280" s="6">
        <f t="shared" si="19"/>
        <v>0</v>
      </c>
      <c r="AE280" s="6">
        <f ca="1">(L280-M280)*(Z280+AA280)+($Z$301+$AA$301-$Z$280-$AA$280)*(L280)</f>
        <v>8320.6006338802235</v>
      </c>
      <c r="AF280" s="4" t="s">
        <v>729</v>
      </c>
    </row>
    <row r="281" spans="1:32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29</v>
      </c>
      <c r="F281" s="4" t="s">
        <v>25</v>
      </c>
      <c r="G281" s="4" t="s">
        <v>25</v>
      </c>
      <c r="H281" s="4" t="s">
        <v>25</v>
      </c>
      <c r="I281" s="5">
        <v>44531</v>
      </c>
      <c r="J281" s="6">
        <v>0</v>
      </c>
      <c r="K281" s="6">
        <v>0</v>
      </c>
      <c r="L281" s="6">
        <v>46.033999999999999</v>
      </c>
      <c r="M281" s="6">
        <v>46.033999999999999</v>
      </c>
      <c r="N281" s="6">
        <v>46.033999999999999</v>
      </c>
      <c r="O281" s="6">
        <v>46.033999999999999</v>
      </c>
      <c r="P281" s="6">
        <v>115</v>
      </c>
      <c r="Q281" s="4" t="s">
        <v>26</v>
      </c>
      <c r="R281" s="4">
        <v>0</v>
      </c>
      <c r="S281" s="4">
        <v>0</v>
      </c>
      <c r="T281" s="4">
        <v>28</v>
      </c>
      <c r="U281" s="4">
        <v>53</v>
      </c>
      <c r="V281" s="6">
        <f>IF(ISERROR(VLOOKUP($S$281,'TAR FIN'!$A$1:$O$86,15,0)),0,VLOOKUP($S$281,'TAR FIN'!$A$1:$O$86,15,0))</f>
        <v>0</v>
      </c>
      <c r="W281" s="6">
        <f>IF(ISERROR(VLOOKUP($T$281,'TAR FIN'!$A$1:$O$86,15,0)),0,VLOOKUP($T$281,'TAR FIN'!$A$1:$O$86,15,0))</f>
        <v>149.38999999999999</v>
      </c>
      <c r="X281" s="6">
        <f>IF(ISERROR(VLOOKUP($U$281,'TAR FIN'!$A$1:$O$86,15,0)),0,VLOOKUP($U$281,'TAR FIN'!$A$1:$O$86,15,0))</f>
        <v>154.93</v>
      </c>
      <c r="Y281" s="6"/>
      <c r="Z281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1" s="6">
        <f>('TE BE'!$AB$13+'TE BF'!$AB$13+'TE CVA'!$AB$13)*(1-CUSTOS!$M$35)</f>
        <v>138.34955480915144</v>
      </c>
      <c r="AB281" s="6">
        <f t="shared" si="18"/>
        <v>0</v>
      </c>
      <c r="AC281" s="6">
        <f>(L281-M281)*(W281+X281)+($W$301+$X$301-$W$281-$X$281)*(L281)</f>
        <v>9338.9175799999975</v>
      </c>
      <c r="AD281" s="6">
        <f t="shared" si="19"/>
        <v>0</v>
      </c>
      <c r="AE281" s="6">
        <f ca="1">(L281-M281)*(Z281+AA281)+($Z$301+$AA$301-$Z$281-$AA$281)*(L281)</f>
        <v>8368.9593073772539</v>
      </c>
      <c r="AF281" s="4" t="s">
        <v>729</v>
      </c>
    </row>
    <row r="282" spans="1:32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29</v>
      </c>
      <c r="F282" s="4" t="s">
        <v>25</v>
      </c>
      <c r="G282" s="4" t="s">
        <v>25</v>
      </c>
      <c r="H282" s="4" t="s">
        <v>25</v>
      </c>
      <c r="I282" s="5">
        <v>44562</v>
      </c>
      <c r="J282" s="6">
        <v>0</v>
      </c>
      <c r="K282" s="6">
        <v>0</v>
      </c>
      <c r="L282" s="6">
        <v>46.927</v>
      </c>
      <c r="M282" s="6">
        <v>46.927</v>
      </c>
      <c r="N282" s="6">
        <v>46.927</v>
      </c>
      <c r="O282" s="6">
        <v>46.927</v>
      </c>
      <c r="P282" s="6">
        <v>83</v>
      </c>
      <c r="Q282" s="4" t="s">
        <v>26</v>
      </c>
      <c r="R282" s="4">
        <v>0</v>
      </c>
      <c r="S282" s="4">
        <v>0</v>
      </c>
      <c r="T282" s="4">
        <v>28</v>
      </c>
      <c r="U282" s="4">
        <v>53</v>
      </c>
      <c r="V282" s="6">
        <f>IF(ISERROR(VLOOKUP($S$282,'TAR FIN'!$A$1:$O$86,15,0)),0,VLOOKUP($S$282,'TAR FIN'!$A$1:$O$86,15,0))</f>
        <v>0</v>
      </c>
      <c r="W282" s="6">
        <f>IF(ISERROR(VLOOKUP($T$282,'TAR FIN'!$A$1:$O$86,15,0)),0,VLOOKUP($T$282,'TAR FIN'!$A$1:$O$86,15,0))</f>
        <v>149.38999999999999</v>
      </c>
      <c r="X282" s="6">
        <f>IF(ISERROR(VLOOKUP($U$282,'TAR FIN'!$A$1:$O$86,15,0)),0,VLOOKUP($U$282,'TAR FIN'!$A$1:$O$86,15,0))</f>
        <v>154.93</v>
      </c>
      <c r="Y282" s="6"/>
      <c r="Z282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2" s="6">
        <f>('TE BE'!$AB$13+'TE BF'!$AB$13+'TE CVA'!$AB$13)*(1-CUSTOS!$M$35)</f>
        <v>138.34955480915144</v>
      </c>
      <c r="AB282" s="6">
        <f t="shared" si="18"/>
        <v>0</v>
      </c>
      <c r="AC282" s="6">
        <f>(L282-M282)*(W282+X282)+($W$301+$X$301-$W$282-$X$282)*(L282)</f>
        <v>9520.0804899999966</v>
      </c>
      <c r="AD282" s="6">
        <f t="shared" si="19"/>
        <v>0</v>
      </c>
      <c r="AE282" s="6">
        <f ca="1">(L282-M282)*(Z282+AA282)+($Z$301+$AA$301-$Z$282-$AA$282)*(L282)</f>
        <v>8531.3062826887181</v>
      </c>
      <c r="AF282" s="4" t="s">
        <v>729</v>
      </c>
    </row>
    <row r="283" spans="1:32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29</v>
      </c>
      <c r="F283" s="4" t="s">
        <v>25</v>
      </c>
      <c r="G283" s="4" t="s">
        <v>25</v>
      </c>
      <c r="H283" s="4" t="s">
        <v>25</v>
      </c>
      <c r="I283" s="5">
        <v>44593</v>
      </c>
      <c r="J283" s="6">
        <v>0</v>
      </c>
      <c r="K283" s="6">
        <v>0</v>
      </c>
      <c r="L283" s="6">
        <v>46.610999999999997</v>
      </c>
      <c r="M283" s="6">
        <v>46.610999999999997</v>
      </c>
      <c r="N283" s="6">
        <v>46.610999999999997</v>
      </c>
      <c r="O283" s="6">
        <v>46.610999999999997</v>
      </c>
      <c r="P283" s="6">
        <v>101</v>
      </c>
      <c r="Q283" s="4" t="s">
        <v>26</v>
      </c>
      <c r="R283" s="4">
        <v>0</v>
      </c>
      <c r="S283" s="4">
        <v>0</v>
      </c>
      <c r="T283" s="4">
        <v>28</v>
      </c>
      <c r="U283" s="4">
        <v>53</v>
      </c>
      <c r="V283" s="6">
        <f>IF(ISERROR(VLOOKUP($S$283,'TAR FIN'!$A$1:$O$86,15,0)),0,VLOOKUP($S$283,'TAR FIN'!$A$1:$O$86,15,0))</f>
        <v>0</v>
      </c>
      <c r="W283" s="6">
        <f>IF(ISERROR(VLOOKUP($T$283,'TAR FIN'!$A$1:$O$86,15,0)),0,VLOOKUP($T$283,'TAR FIN'!$A$1:$O$86,15,0))</f>
        <v>149.38999999999999</v>
      </c>
      <c r="X283" s="6">
        <f>IF(ISERROR(VLOOKUP($U$283,'TAR FIN'!$A$1:$O$86,15,0)),0,VLOOKUP($U$283,'TAR FIN'!$A$1:$O$86,15,0))</f>
        <v>154.93</v>
      </c>
      <c r="Y283" s="6"/>
      <c r="Z283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3" s="6">
        <f>('TE BE'!$AB$13+'TE BF'!$AB$13+'TE CVA'!$AB$13)*(1-CUSTOS!$M$35)</f>
        <v>138.34955480915144</v>
      </c>
      <c r="AB283" s="6">
        <f t="shared" si="18"/>
        <v>0</v>
      </c>
      <c r="AC283" s="6">
        <f>(L283-M283)*(W283+X283)+($W$301+$X$301-$W$283-$X$283)*(L283)</f>
        <v>9455.9735699999965</v>
      </c>
      <c r="AD283" s="6">
        <f t="shared" si="19"/>
        <v>0</v>
      </c>
      <c r="AE283" s="6">
        <f ca="1">(L283-M283)*(Z283+AA283)+($Z$301+$AA$301-$Z$283-$AA$283)*(L283)</f>
        <v>8473.8576329704392</v>
      </c>
      <c r="AF283" s="4" t="s">
        <v>729</v>
      </c>
    </row>
    <row r="284" spans="1:32" ht="11.25" customHeight="1" x14ac:dyDescent="0.25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29</v>
      </c>
      <c r="F284" s="4" t="s">
        <v>25</v>
      </c>
      <c r="G284" s="4" t="s">
        <v>25</v>
      </c>
      <c r="H284" s="4" t="s">
        <v>25</v>
      </c>
      <c r="I284" s="5">
        <v>44621</v>
      </c>
      <c r="J284" s="6">
        <v>0</v>
      </c>
      <c r="K284" s="6">
        <v>0</v>
      </c>
      <c r="L284" s="6">
        <v>46.491999999999997</v>
      </c>
      <c r="M284" s="6">
        <v>46.491999999999997</v>
      </c>
      <c r="N284" s="6">
        <v>46.491999999999997</v>
      </c>
      <c r="O284" s="6">
        <v>46.491999999999997</v>
      </c>
      <c r="P284" s="6">
        <v>93</v>
      </c>
      <c r="Q284" s="4" t="s">
        <v>26</v>
      </c>
      <c r="R284" s="4">
        <v>0</v>
      </c>
      <c r="S284" s="4">
        <v>0</v>
      </c>
      <c r="T284" s="4">
        <v>28</v>
      </c>
      <c r="U284" s="4">
        <v>53</v>
      </c>
      <c r="V284" s="6">
        <f>IF(ISERROR(VLOOKUP($S$284,'TAR FIN'!$A$1:$O$86,15,0)),0,VLOOKUP($S$284,'TAR FIN'!$A$1:$O$86,15,0))</f>
        <v>0</v>
      </c>
      <c r="W284" s="6">
        <f>IF(ISERROR(VLOOKUP($T$284,'TAR FIN'!$A$1:$O$86,15,0)),0,VLOOKUP($T$284,'TAR FIN'!$A$1:$O$86,15,0))</f>
        <v>149.38999999999999</v>
      </c>
      <c r="X284" s="6">
        <f>IF(ISERROR(VLOOKUP($U$284,'TAR FIN'!$A$1:$O$86,15,0)),0,VLOOKUP($U$284,'TAR FIN'!$A$1:$O$86,15,0))</f>
        <v>154.93</v>
      </c>
      <c r="Y284" s="6"/>
      <c r="Z284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4" s="6">
        <f>('TE BE'!$AB$13+'TE BF'!$AB$13+'TE CVA'!$AB$13)*(1-CUSTOS!$M$35)</f>
        <v>138.34955480915144</v>
      </c>
      <c r="AB284" s="6">
        <f t="shared" si="18"/>
        <v>0</v>
      </c>
      <c r="AC284" s="6">
        <f>(L284-M284)*(W284+X284)+($W$301+$X$301-$W$284-$X$284)*(L284)</f>
        <v>9431.8320399999975</v>
      </c>
      <c r="AD284" s="6">
        <f t="shared" si="19"/>
        <v>0</v>
      </c>
      <c r="AE284" s="6">
        <f ca="1">(L284-M284)*(Z284+AA284)+($Z$301+$AA$301-$Z$284-$AA$284)*(L284)</f>
        <v>8452.2234895638721</v>
      </c>
      <c r="AF284" s="4" t="s">
        <v>729</v>
      </c>
    </row>
    <row r="285" spans="1:32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29</v>
      </c>
      <c r="F285" s="4" t="s">
        <v>25</v>
      </c>
      <c r="G285" s="4" t="s">
        <v>25</v>
      </c>
      <c r="H285" s="4" t="s">
        <v>25</v>
      </c>
      <c r="I285" s="5">
        <v>44652</v>
      </c>
      <c r="J285" s="6">
        <v>0</v>
      </c>
      <c r="K285" s="6">
        <v>0</v>
      </c>
      <c r="L285" s="6">
        <v>46.753</v>
      </c>
      <c r="M285" s="6">
        <v>46.753</v>
      </c>
      <c r="N285" s="6">
        <v>46.753</v>
      </c>
      <c r="O285" s="6">
        <v>46.753</v>
      </c>
      <c r="P285" s="6">
        <v>144</v>
      </c>
      <c r="Q285" s="4" t="s">
        <v>26</v>
      </c>
      <c r="R285" s="4">
        <v>0</v>
      </c>
      <c r="S285" s="4">
        <v>0</v>
      </c>
      <c r="T285" s="4">
        <v>28</v>
      </c>
      <c r="U285" s="4">
        <v>53</v>
      </c>
      <c r="V285" s="6">
        <f>IF(ISERROR(VLOOKUP($S$285,'TAR FIN'!$A$1:$O$86,15,0)),0,VLOOKUP($S$285,'TAR FIN'!$A$1:$O$86,15,0))</f>
        <v>0</v>
      </c>
      <c r="W285" s="6">
        <f>IF(ISERROR(VLOOKUP($T$285,'TAR FIN'!$A$1:$O$86,15,0)),0,VLOOKUP($T$285,'TAR FIN'!$A$1:$O$86,15,0))</f>
        <v>149.38999999999999</v>
      </c>
      <c r="X285" s="6">
        <f>IF(ISERROR(VLOOKUP($U$285,'TAR FIN'!$A$1:$O$86,15,0)),0,VLOOKUP($U$285,'TAR FIN'!$A$1:$O$86,15,0))</f>
        <v>154.93</v>
      </c>
      <c r="Y285" s="6"/>
      <c r="Z285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5" s="6">
        <f>('TE BE'!$AB$13+'TE BF'!$AB$13+'TE CVA'!$AB$13)*(1-CUSTOS!$M$35)</f>
        <v>138.34955480915144</v>
      </c>
      <c r="AB285" s="6">
        <f t="shared" si="18"/>
        <v>0</v>
      </c>
      <c r="AC285" s="6">
        <f>(L285-M285)*(W285+X285)+($W$301+$X$301-$W$285-$X$285)*(L285)</f>
        <v>9484.7811099999981</v>
      </c>
      <c r="AD285" s="6">
        <f t="shared" si="19"/>
        <v>0</v>
      </c>
      <c r="AE285" s="6">
        <f ca="1">(L285-M285)*(Z285+AA285)+($Z$301+$AA$301-$Z$285-$AA$285)*(L285)</f>
        <v>8499.6731654387786</v>
      </c>
      <c r="AF285" s="4" t="s">
        <v>729</v>
      </c>
    </row>
    <row r="286" spans="1:32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29</v>
      </c>
      <c r="F286" s="4" t="s">
        <v>25</v>
      </c>
      <c r="G286" s="4" t="s">
        <v>25</v>
      </c>
      <c r="H286" s="4" t="s">
        <v>25</v>
      </c>
      <c r="I286" s="5">
        <v>44682</v>
      </c>
      <c r="J286" s="6">
        <v>0</v>
      </c>
      <c r="K286" s="6">
        <v>0</v>
      </c>
      <c r="L286" s="6">
        <v>46.506</v>
      </c>
      <c r="M286" s="6">
        <v>46.506</v>
      </c>
      <c r="N286" s="6">
        <v>46.506</v>
      </c>
      <c r="O286" s="6">
        <v>46.506</v>
      </c>
      <c r="P286" s="6">
        <v>151</v>
      </c>
      <c r="Q286" s="4" t="s">
        <v>26</v>
      </c>
      <c r="R286" s="4">
        <v>0</v>
      </c>
      <c r="S286" s="4">
        <v>0</v>
      </c>
      <c r="T286" s="4">
        <v>28</v>
      </c>
      <c r="U286" s="4">
        <v>53</v>
      </c>
      <c r="V286" s="6">
        <f>IF(ISERROR(VLOOKUP($S$286,'TAR FIN'!$A$1:$O$86,15,0)),0,VLOOKUP($S$286,'TAR FIN'!$A$1:$O$86,15,0))</f>
        <v>0</v>
      </c>
      <c r="W286" s="6">
        <f>IF(ISERROR(VLOOKUP($T$286,'TAR FIN'!$A$1:$O$86,15,0)),0,VLOOKUP($T$286,'TAR FIN'!$A$1:$O$86,15,0))</f>
        <v>149.38999999999999</v>
      </c>
      <c r="X286" s="6">
        <f>IF(ISERROR(VLOOKUP($U$286,'TAR FIN'!$A$1:$O$86,15,0)),0,VLOOKUP($U$286,'TAR FIN'!$A$1:$O$86,15,0))</f>
        <v>154.93</v>
      </c>
      <c r="Y286" s="6"/>
      <c r="Z286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6" s="6">
        <f>('TE BE'!$AB$13+'TE BF'!$AB$13+'TE CVA'!$AB$13)*(1-CUSTOS!$M$35)</f>
        <v>138.34955480915144</v>
      </c>
      <c r="AB286" s="6">
        <f t="shared" si="18"/>
        <v>0</v>
      </c>
      <c r="AC286" s="6">
        <f>(L286-M286)*(W286+X286)+($W$301+$X$301-$W$286-$X$286)*(L286)</f>
        <v>9434.6722199999967</v>
      </c>
      <c r="AD286" s="6">
        <f t="shared" si="19"/>
        <v>0</v>
      </c>
      <c r="AE286" s="6">
        <f ca="1">(L286-M286)*(Z286+AA286)+($Z$301+$AA$301-$Z$286-$AA$286)*(L286)</f>
        <v>8454.7686829058221</v>
      </c>
      <c r="AF286" s="4" t="s">
        <v>729</v>
      </c>
    </row>
    <row r="287" spans="1:32" ht="11.25" customHeight="1" x14ac:dyDescent="0.25">
      <c r="A287" s="4" t="s">
        <v>56</v>
      </c>
      <c r="B287" s="4" t="s">
        <v>22</v>
      </c>
      <c r="C287" s="4" t="s">
        <v>23</v>
      </c>
      <c r="D287" s="4" t="s">
        <v>24</v>
      </c>
      <c r="E287" s="4" t="s">
        <v>29</v>
      </c>
      <c r="F287" s="4" t="s">
        <v>25</v>
      </c>
      <c r="G287" s="4" t="s">
        <v>25</v>
      </c>
      <c r="H287" s="4" t="s">
        <v>25</v>
      </c>
      <c r="I287" s="5">
        <v>44713</v>
      </c>
      <c r="J287" s="6">
        <v>0</v>
      </c>
      <c r="K287" s="6">
        <v>0</v>
      </c>
      <c r="L287" s="6">
        <v>46.506</v>
      </c>
      <c r="M287" s="6">
        <v>46.506</v>
      </c>
      <c r="N287" s="6">
        <v>46.506</v>
      </c>
      <c r="O287" s="6">
        <v>46.506</v>
      </c>
      <c r="P287" s="6">
        <v>151</v>
      </c>
      <c r="Q287" s="4" t="s">
        <v>26</v>
      </c>
      <c r="R287" s="4">
        <v>0</v>
      </c>
      <c r="S287" s="4">
        <v>0</v>
      </c>
      <c r="T287" s="4">
        <v>28</v>
      </c>
      <c r="U287" s="4">
        <v>53</v>
      </c>
      <c r="V287" s="6">
        <f>IF(ISERROR(VLOOKUP($S$287,'TAR FIN'!$A$1:$O$86,15,0)),0,VLOOKUP($S$287,'TAR FIN'!$A$1:$O$86,15,0))</f>
        <v>0</v>
      </c>
      <c r="W287" s="6">
        <f>IF(ISERROR(VLOOKUP($T$287,'TAR FIN'!$A$1:$O$86,15,0)),0,VLOOKUP($T$287,'TAR FIN'!$A$1:$O$86,15,0))</f>
        <v>149.38999999999999</v>
      </c>
      <c r="X287" s="6">
        <f>IF(ISERROR(VLOOKUP($U$287,'TAR FIN'!$A$1:$O$86,15,0)),0,VLOOKUP($U$287,'TAR FIN'!$A$1:$O$86,15,0))</f>
        <v>154.93</v>
      </c>
      <c r="Y287" s="6"/>
      <c r="Z287" s="6">
        <f ca="1">('TUSD BE'!$AM$23+'TUSD BF'!$AM$23+'TUSD CVA'!$AM$23-('TUSD BE'!$P$23+'TUSD BF'!$P$23+'TUSD CVA'!$P$23)-('TUSD BE'!$Q$23+'TUSD BF'!$Q$23+'TUSD CVA'!$Q$23)-('TUSD BE'!$R$23+'TUSD BF'!$R$23+'TUSD CVA'!$R$23))*(1-CUSTOS!$M$35)</f>
        <v>134.34973182824439</v>
      </c>
      <c r="AA287" s="6">
        <f>('TE BE'!$AB$13+'TE BF'!$AB$13+'TE CVA'!$AB$13)*(1-CUSTOS!$M$35)</f>
        <v>138.34955480915144</v>
      </c>
      <c r="AB287" s="6">
        <f t="shared" si="18"/>
        <v>0</v>
      </c>
      <c r="AC287" s="6">
        <f>(L287-M287)*(W287+X287)+($W$301+$X$301-$W$287-$X$287)*(L287)</f>
        <v>9434.6722199999967</v>
      </c>
      <c r="AD287" s="6">
        <f t="shared" si="19"/>
        <v>0</v>
      </c>
      <c r="AE287" s="6">
        <f ca="1">(L287-M287)*(Z287+AA287)+($Z$301+$AA$301-$Z$287-$AA$287)*(L287)</f>
        <v>8454.7686829058221</v>
      </c>
      <c r="AF287" s="4" t="s">
        <v>729</v>
      </c>
    </row>
    <row r="288" spans="1:32" ht="11.25" customHeight="1" x14ac:dyDescent="0.25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30</v>
      </c>
      <c r="F288" s="4" t="s">
        <v>25</v>
      </c>
      <c r="G288" s="4" t="s">
        <v>25</v>
      </c>
      <c r="H288" s="4" t="s">
        <v>25</v>
      </c>
      <c r="I288" s="5">
        <v>44378</v>
      </c>
      <c r="J288" s="6">
        <v>0</v>
      </c>
      <c r="K288" s="6">
        <v>0</v>
      </c>
      <c r="L288" s="6">
        <v>42.231000000000002</v>
      </c>
      <c r="M288" s="6">
        <v>42.231000000000002</v>
      </c>
      <c r="N288" s="6">
        <v>42.231000000000002</v>
      </c>
      <c r="O288" s="6">
        <v>42.231000000000002</v>
      </c>
      <c r="P288" s="6">
        <v>350</v>
      </c>
      <c r="Q288" s="4" t="s">
        <v>26</v>
      </c>
      <c r="R288" s="4">
        <v>0</v>
      </c>
      <c r="S288" s="4">
        <v>0</v>
      </c>
      <c r="T288" s="4">
        <v>13</v>
      </c>
      <c r="U288" s="4">
        <v>55</v>
      </c>
      <c r="V288" s="6">
        <f>IF(ISERROR(VLOOKUP($S$288,'TAR FIN'!$A$1:$O$86,15,0)),0,VLOOKUP($S$288,'TAR FIN'!$A$1:$O$86,15,0))</f>
        <v>0</v>
      </c>
      <c r="W288" s="6">
        <f>IF(ISERROR(VLOOKUP($T$288,'TAR FIN'!$A$1:$O$86,15,0)),0,VLOOKUP($T$288,'TAR FIN'!$A$1:$O$86,15,0))</f>
        <v>224.09</v>
      </c>
      <c r="X288" s="6">
        <f>IF(ISERROR(VLOOKUP($U$288,'TAR FIN'!$A$1:$O$86,15,0)),0,VLOOKUP($U$288,'TAR FIN'!$A$1:$O$86,15,0))</f>
        <v>232.39</v>
      </c>
      <c r="Y288" s="6"/>
      <c r="Z288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88" s="6">
        <f>('TE BE'!$AB$14+'TE BF'!$AB$14+'TE CVA'!$AB$14)*(1-CUSTOS!$M$36)</f>
        <v>207.52433221372721</v>
      </c>
      <c r="AB288" s="6">
        <f t="shared" si="18"/>
        <v>0</v>
      </c>
      <c r="AC288" s="6">
        <f>(L288-M288)*(W288+X288)+($W$301+$X$301-$W$288-$X$288)*(L288)</f>
        <v>2141.5340099999967</v>
      </c>
      <c r="AD288" s="6">
        <f t="shared" si="19"/>
        <v>0</v>
      </c>
      <c r="AE288" s="6">
        <f ca="1">(L288-M288)*(Z288+AA288)+($Z$301+$AA$301-$Z$288-$AA$288)*(L288)</f>
        <v>1919.39392899731</v>
      </c>
      <c r="AF288" s="4" t="s">
        <v>729</v>
      </c>
    </row>
    <row r="289" spans="1:32" ht="11.25" customHeight="1" x14ac:dyDescent="0.25">
      <c r="A289" s="4" t="s">
        <v>21</v>
      </c>
      <c r="B289" s="4" t="s">
        <v>22</v>
      </c>
      <c r="C289" s="4" t="s">
        <v>23</v>
      </c>
      <c r="D289" s="4" t="s">
        <v>24</v>
      </c>
      <c r="E289" s="4" t="s">
        <v>30</v>
      </c>
      <c r="F289" s="4" t="s">
        <v>25</v>
      </c>
      <c r="G289" s="4" t="s">
        <v>25</v>
      </c>
      <c r="H289" s="4" t="s">
        <v>25</v>
      </c>
      <c r="I289" s="5">
        <v>44409</v>
      </c>
      <c r="J289" s="6">
        <v>0</v>
      </c>
      <c r="K289" s="6">
        <v>0</v>
      </c>
      <c r="L289" s="6">
        <v>43.195999999999998</v>
      </c>
      <c r="M289" s="6">
        <v>43.195999999999998</v>
      </c>
      <c r="N289" s="6">
        <v>43.195999999999998</v>
      </c>
      <c r="O289" s="6">
        <v>43.195999999999998</v>
      </c>
      <c r="P289" s="6">
        <v>346</v>
      </c>
      <c r="Q289" s="4" t="s">
        <v>26</v>
      </c>
      <c r="R289" s="4">
        <v>0</v>
      </c>
      <c r="S289" s="4">
        <v>0</v>
      </c>
      <c r="T289" s="4">
        <v>13</v>
      </c>
      <c r="U289" s="4">
        <v>55</v>
      </c>
      <c r="V289" s="6">
        <f>IF(ISERROR(VLOOKUP($S$289,'TAR FIN'!$A$1:$O$86,15,0)),0,VLOOKUP($S$289,'TAR FIN'!$A$1:$O$86,15,0))</f>
        <v>0</v>
      </c>
      <c r="W289" s="6">
        <f>IF(ISERROR(VLOOKUP($T$289,'TAR FIN'!$A$1:$O$86,15,0)),0,VLOOKUP($T$289,'TAR FIN'!$A$1:$O$86,15,0))</f>
        <v>224.09</v>
      </c>
      <c r="X289" s="6">
        <f>IF(ISERROR(VLOOKUP($U$289,'TAR FIN'!$A$1:$O$86,15,0)),0,VLOOKUP($U$289,'TAR FIN'!$A$1:$O$86,15,0))</f>
        <v>232.39</v>
      </c>
      <c r="Y289" s="6"/>
      <c r="Z289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89" s="6">
        <f>('TE BE'!$AB$14+'TE BF'!$AB$14+'TE CVA'!$AB$14)*(1-CUSTOS!$M$36)</f>
        <v>207.52433221372721</v>
      </c>
      <c r="AB289" s="6">
        <f t="shared" si="18"/>
        <v>0</v>
      </c>
      <c r="AC289" s="6">
        <f>(L289-M289)*(W289+X289)+($W$301+$X$301-$W$289-$X$289)*(L289)</f>
        <v>2190.4691599999965</v>
      </c>
      <c r="AD289" s="6">
        <f t="shared" si="19"/>
        <v>0</v>
      </c>
      <c r="AE289" s="6">
        <f ca="1">(L289-M289)*(Z289+AA289)+($Z$301+$AA$301-$Z$289-$AA$289)*(L289)</f>
        <v>1963.2530642648244</v>
      </c>
      <c r="AF289" s="4" t="s">
        <v>729</v>
      </c>
    </row>
    <row r="290" spans="1:32" ht="11.25" customHeight="1" x14ac:dyDescent="0.25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30</v>
      </c>
      <c r="F290" s="4" t="s">
        <v>25</v>
      </c>
      <c r="G290" s="4" t="s">
        <v>25</v>
      </c>
      <c r="H290" s="4" t="s">
        <v>25</v>
      </c>
      <c r="I290" s="5">
        <v>44440</v>
      </c>
      <c r="J290" s="6">
        <v>0</v>
      </c>
      <c r="K290" s="6">
        <v>0</v>
      </c>
      <c r="L290" s="6">
        <v>41.781999999999996</v>
      </c>
      <c r="M290" s="6">
        <v>41.781999999999996</v>
      </c>
      <c r="N290" s="6">
        <v>41.781999999999996</v>
      </c>
      <c r="O290" s="6">
        <v>41.781999999999996</v>
      </c>
      <c r="P290" s="6">
        <v>367</v>
      </c>
      <c r="Q290" s="4" t="s">
        <v>26</v>
      </c>
      <c r="R290" s="4">
        <v>0</v>
      </c>
      <c r="S290" s="4">
        <v>0</v>
      </c>
      <c r="T290" s="4">
        <v>13</v>
      </c>
      <c r="U290" s="4">
        <v>55</v>
      </c>
      <c r="V290" s="6">
        <f>IF(ISERROR(VLOOKUP($S$290,'TAR FIN'!$A$1:$O$86,15,0)),0,VLOOKUP($S$290,'TAR FIN'!$A$1:$O$86,15,0))</f>
        <v>0</v>
      </c>
      <c r="W290" s="6">
        <f>IF(ISERROR(VLOOKUP($T$290,'TAR FIN'!$A$1:$O$86,15,0)),0,VLOOKUP($T$290,'TAR FIN'!$A$1:$O$86,15,0))</f>
        <v>224.09</v>
      </c>
      <c r="X290" s="6">
        <f>IF(ISERROR(VLOOKUP($U$290,'TAR FIN'!$A$1:$O$86,15,0)),0,VLOOKUP($U$290,'TAR FIN'!$A$1:$O$86,15,0))</f>
        <v>232.39</v>
      </c>
      <c r="Y290" s="6"/>
      <c r="Z290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0" s="6">
        <f>('TE BE'!$AB$14+'TE BF'!$AB$14+'TE CVA'!$AB$14)*(1-CUSTOS!$M$36)</f>
        <v>207.52433221372721</v>
      </c>
      <c r="AB290" s="6">
        <f t="shared" si="18"/>
        <v>0</v>
      </c>
      <c r="AC290" s="6">
        <f>(L290-M290)*(W290+X290)+($W$301+$X$301-$W$290-$X$290)*(L290)</f>
        <v>2118.7652199999966</v>
      </c>
      <c r="AD290" s="6">
        <f t="shared" si="19"/>
        <v>0</v>
      </c>
      <c r="AE290" s="6">
        <f ca="1">(L290-M290)*(Z290+AA290)+($Z$301+$AA$301-$Z$290-$AA$290)*(L290)</f>
        <v>1898.9869323806113</v>
      </c>
      <c r="AF290" s="4" t="s">
        <v>729</v>
      </c>
    </row>
    <row r="291" spans="1:32" ht="11.25" customHeight="1" x14ac:dyDescent="0.25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30</v>
      </c>
      <c r="F291" s="4" t="s">
        <v>25</v>
      </c>
      <c r="G291" s="4" t="s">
        <v>25</v>
      </c>
      <c r="H291" s="4" t="s">
        <v>25</v>
      </c>
      <c r="I291" s="5">
        <v>44440</v>
      </c>
      <c r="J291" s="6">
        <v>0</v>
      </c>
      <c r="K291" s="6">
        <v>0</v>
      </c>
      <c r="L291" s="6">
        <v>-2.7E-2</v>
      </c>
      <c r="M291" s="6">
        <v>-2.7E-2</v>
      </c>
      <c r="N291" s="6">
        <v>-2.7E-2</v>
      </c>
      <c r="O291" s="6">
        <v>-2.7E-2</v>
      </c>
      <c r="P291" s="6">
        <v>0</v>
      </c>
      <c r="Q291" s="4" t="s">
        <v>26</v>
      </c>
      <c r="R291" s="4">
        <v>0</v>
      </c>
      <c r="S291" s="4">
        <v>0</v>
      </c>
      <c r="T291" s="4">
        <v>13</v>
      </c>
      <c r="U291" s="4">
        <v>55</v>
      </c>
      <c r="V291" s="6">
        <f>IF(ISERROR(VLOOKUP($S$291,'TAR FIN'!$A$1:$O$86,15,0)),0,VLOOKUP($S$291,'TAR FIN'!$A$1:$O$86,15,0))</f>
        <v>0</v>
      </c>
      <c r="W291" s="6">
        <f>IF(ISERROR(VLOOKUP($T$291,'TAR FIN'!$A$1:$O$86,15,0)),0,VLOOKUP($T$291,'TAR FIN'!$A$1:$O$86,15,0))</f>
        <v>224.09</v>
      </c>
      <c r="X291" s="6">
        <f>IF(ISERROR(VLOOKUP($U$291,'TAR FIN'!$A$1:$O$86,15,0)),0,VLOOKUP($U$291,'TAR FIN'!$A$1:$O$86,15,0))</f>
        <v>232.39</v>
      </c>
      <c r="Y291" s="6"/>
      <c r="Z291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1" s="6">
        <f>('TE BE'!$AB$14+'TE BF'!$AB$14+'TE CVA'!$AB$14)*(1-CUSTOS!$M$36)</f>
        <v>207.52433221372721</v>
      </c>
      <c r="AB291" s="6">
        <f t="shared" si="18"/>
        <v>0</v>
      </c>
      <c r="AC291" s="6">
        <f>(L291-M291)*(W291+X291)+($W$301+$X$301-$W$291-$X$291)*(L291)</f>
        <v>-1.369169999999998</v>
      </c>
      <c r="AD291" s="6">
        <f t="shared" si="19"/>
        <v>0</v>
      </c>
      <c r="AE291" s="6">
        <f ca="1">(L291-M291)*(Z291+AA291)+($Z$301+$AA$301-$Z$291-$AA$291)*(L291)</f>
        <v>-1.2271467898682809</v>
      </c>
      <c r="AF291" s="4" t="s">
        <v>729</v>
      </c>
    </row>
    <row r="292" spans="1:32" ht="11.25" customHeight="1" x14ac:dyDescent="0.25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30</v>
      </c>
      <c r="F292" s="4" t="s">
        <v>25</v>
      </c>
      <c r="G292" s="4" t="s">
        <v>25</v>
      </c>
      <c r="H292" s="4" t="s">
        <v>25</v>
      </c>
      <c r="I292" s="5">
        <v>44470</v>
      </c>
      <c r="J292" s="6">
        <v>0</v>
      </c>
      <c r="K292" s="6">
        <v>0</v>
      </c>
      <c r="L292" s="6">
        <v>43.228000000000002</v>
      </c>
      <c r="M292" s="6">
        <v>43.228000000000002</v>
      </c>
      <c r="N292" s="6">
        <v>43.228000000000002</v>
      </c>
      <c r="O292" s="6">
        <v>43.228000000000002</v>
      </c>
      <c r="P292" s="6">
        <v>378</v>
      </c>
      <c r="Q292" s="4" t="s">
        <v>26</v>
      </c>
      <c r="R292" s="4">
        <v>0</v>
      </c>
      <c r="S292" s="4">
        <v>0</v>
      </c>
      <c r="T292" s="4">
        <v>13</v>
      </c>
      <c r="U292" s="4">
        <v>55</v>
      </c>
      <c r="V292" s="6">
        <f>IF(ISERROR(VLOOKUP($S$292,'TAR FIN'!$A$1:$O$86,15,0)),0,VLOOKUP($S$292,'TAR FIN'!$A$1:$O$86,15,0))</f>
        <v>0</v>
      </c>
      <c r="W292" s="6">
        <f>IF(ISERROR(VLOOKUP($T$292,'TAR FIN'!$A$1:$O$86,15,0)),0,VLOOKUP($T$292,'TAR FIN'!$A$1:$O$86,15,0))</f>
        <v>224.09</v>
      </c>
      <c r="X292" s="6">
        <f>IF(ISERROR(VLOOKUP($U$292,'TAR FIN'!$A$1:$O$86,15,0)),0,VLOOKUP($U$292,'TAR FIN'!$A$1:$O$86,15,0))</f>
        <v>232.39</v>
      </c>
      <c r="Y292" s="6"/>
      <c r="Z292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2" s="6">
        <f>('TE BE'!$AB$14+'TE BF'!$AB$14+'TE CVA'!$AB$14)*(1-CUSTOS!$M$36)</f>
        <v>207.52433221372721</v>
      </c>
      <c r="AB292" s="6">
        <f t="shared" si="18"/>
        <v>0</v>
      </c>
      <c r="AC292" s="6">
        <f>(L292-M292)*(W292+X292)+($W$301+$X$301-$W$292-$X$292)*(L292)</f>
        <v>2192.0918799999968</v>
      </c>
      <c r="AD292" s="6">
        <f t="shared" si="19"/>
        <v>0</v>
      </c>
      <c r="AE292" s="6">
        <f ca="1">(L292-M292)*(Z292+AA292)+($Z$301+$AA$301-$Z$292-$AA$292)*(L292)</f>
        <v>1964.707460460224</v>
      </c>
      <c r="AF292" s="4" t="s">
        <v>729</v>
      </c>
    </row>
    <row r="293" spans="1:32" ht="11.25" customHeight="1" x14ac:dyDescent="0.25">
      <c r="A293" s="4" t="s">
        <v>21</v>
      </c>
      <c r="B293" s="4" t="s">
        <v>22</v>
      </c>
      <c r="C293" s="4" t="s">
        <v>23</v>
      </c>
      <c r="D293" s="4" t="s">
        <v>24</v>
      </c>
      <c r="E293" s="4" t="s">
        <v>30</v>
      </c>
      <c r="F293" s="4" t="s">
        <v>25</v>
      </c>
      <c r="G293" s="4" t="s">
        <v>25</v>
      </c>
      <c r="H293" s="4" t="s">
        <v>25</v>
      </c>
      <c r="I293" s="5">
        <v>44501</v>
      </c>
      <c r="J293" s="6">
        <v>0</v>
      </c>
      <c r="K293" s="6">
        <v>0</v>
      </c>
      <c r="L293" s="6">
        <v>45.985999999999997</v>
      </c>
      <c r="M293" s="6">
        <v>45.985999999999997</v>
      </c>
      <c r="N293" s="6">
        <v>45.985999999999997</v>
      </c>
      <c r="O293" s="6">
        <v>45.985999999999997</v>
      </c>
      <c r="P293" s="6">
        <v>381</v>
      </c>
      <c r="Q293" s="4" t="s">
        <v>26</v>
      </c>
      <c r="R293" s="4">
        <v>0</v>
      </c>
      <c r="S293" s="4">
        <v>0</v>
      </c>
      <c r="T293" s="4">
        <v>13</v>
      </c>
      <c r="U293" s="4">
        <v>55</v>
      </c>
      <c r="V293" s="6">
        <f>IF(ISERROR(VLOOKUP($S$293,'TAR FIN'!$A$1:$O$86,15,0)),0,VLOOKUP($S$293,'TAR FIN'!$A$1:$O$86,15,0))</f>
        <v>0</v>
      </c>
      <c r="W293" s="6">
        <f>IF(ISERROR(VLOOKUP($T$293,'TAR FIN'!$A$1:$O$86,15,0)),0,VLOOKUP($T$293,'TAR FIN'!$A$1:$O$86,15,0))</f>
        <v>224.09</v>
      </c>
      <c r="X293" s="6">
        <f>IF(ISERROR(VLOOKUP($U$293,'TAR FIN'!$A$1:$O$86,15,0)),0,VLOOKUP($U$293,'TAR FIN'!$A$1:$O$86,15,0))</f>
        <v>232.39</v>
      </c>
      <c r="Y293" s="6"/>
      <c r="Z293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3" s="6">
        <f>('TE BE'!$AB$14+'TE BF'!$AB$14+'TE CVA'!$AB$14)*(1-CUSTOS!$M$36)</f>
        <v>207.52433221372721</v>
      </c>
      <c r="AB293" s="6">
        <f t="shared" si="18"/>
        <v>0</v>
      </c>
      <c r="AC293" s="6">
        <f>(L293-M293)*(W293+X293)+($W$301+$X$301-$W$293-$X$293)*(L293)</f>
        <v>2331.9500599999965</v>
      </c>
      <c r="AD293" s="6">
        <f t="shared" si="19"/>
        <v>0</v>
      </c>
      <c r="AE293" s="6">
        <f ca="1">(L293-M293)*(Z293+AA293)+($Z$301+$AA$301-$Z$293-$AA$293)*(L293)</f>
        <v>2090.0582325512132</v>
      </c>
      <c r="AF293" s="4" t="s">
        <v>729</v>
      </c>
    </row>
    <row r="294" spans="1:32" ht="11.25" customHeight="1" x14ac:dyDescent="0.25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30</v>
      </c>
      <c r="F294" s="4" t="s">
        <v>25</v>
      </c>
      <c r="G294" s="4" t="s">
        <v>25</v>
      </c>
      <c r="H294" s="4" t="s">
        <v>25</v>
      </c>
      <c r="I294" s="5">
        <v>44531</v>
      </c>
      <c r="J294" s="6">
        <v>0</v>
      </c>
      <c r="K294" s="6">
        <v>0</v>
      </c>
      <c r="L294" s="6">
        <v>45.545999999999999</v>
      </c>
      <c r="M294" s="6">
        <v>45.545999999999999</v>
      </c>
      <c r="N294" s="6">
        <v>45.545999999999999</v>
      </c>
      <c r="O294" s="6">
        <v>45.545999999999999</v>
      </c>
      <c r="P294" s="6">
        <v>397</v>
      </c>
      <c r="Q294" s="4" t="s">
        <v>26</v>
      </c>
      <c r="R294" s="4">
        <v>0</v>
      </c>
      <c r="S294" s="4">
        <v>0</v>
      </c>
      <c r="T294" s="4">
        <v>13</v>
      </c>
      <c r="U294" s="4">
        <v>55</v>
      </c>
      <c r="V294" s="6">
        <f>IF(ISERROR(VLOOKUP($S$294,'TAR FIN'!$A$1:$O$86,15,0)),0,VLOOKUP($S$294,'TAR FIN'!$A$1:$O$86,15,0))</f>
        <v>0</v>
      </c>
      <c r="W294" s="6">
        <f>IF(ISERROR(VLOOKUP($T$294,'TAR FIN'!$A$1:$O$86,15,0)),0,VLOOKUP($T$294,'TAR FIN'!$A$1:$O$86,15,0))</f>
        <v>224.09</v>
      </c>
      <c r="X294" s="6">
        <f>IF(ISERROR(VLOOKUP($U$294,'TAR FIN'!$A$1:$O$86,15,0)),0,VLOOKUP($U$294,'TAR FIN'!$A$1:$O$86,15,0))</f>
        <v>232.39</v>
      </c>
      <c r="Y294" s="6"/>
      <c r="Z294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4" s="6">
        <f>('TE BE'!$AB$14+'TE BF'!$AB$14+'TE CVA'!$AB$14)*(1-CUSTOS!$M$36)</f>
        <v>207.52433221372721</v>
      </c>
      <c r="AB294" s="6">
        <f t="shared" si="18"/>
        <v>0</v>
      </c>
      <c r="AC294" s="6">
        <f>(L294-M294)*(W294+X294)+($W$301+$X$301-$W$294-$X$294)*(L294)</f>
        <v>2309.6376599999962</v>
      </c>
      <c r="AD294" s="6">
        <f t="shared" si="19"/>
        <v>0</v>
      </c>
      <c r="AE294" s="6">
        <f ca="1">(L294-M294)*(Z294+AA294)+($Z$301+$AA$301-$Z$294-$AA$294)*(L294)</f>
        <v>2070.0602848644712</v>
      </c>
      <c r="AF294" s="4" t="s">
        <v>729</v>
      </c>
    </row>
    <row r="295" spans="1:32" ht="11.25" customHeight="1" x14ac:dyDescent="0.25">
      <c r="A295" s="4" t="s">
        <v>21</v>
      </c>
      <c r="B295" s="4" t="s">
        <v>22</v>
      </c>
      <c r="C295" s="4" t="s">
        <v>23</v>
      </c>
      <c r="D295" s="4" t="s">
        <v>24</v>
      </c>
      <c r="E295" s="4" t="s">
        <v>30</v>
      </c>
      <c r="F295" s="4" t="s">
        <v>25</v>
      </c>
      <c r="G295" s="4" t="s">
        <v>25</v>
      </c>
      <c r="H295" s="4" t="s">
        <v>25</v>
      </c>
      <c r="I295" s="5">
        <v>44562</v>
      </c>
      <c r="J295" s="6">
        <v>0</v>
      </c>
      <c r="K295" s="6">
        <v>0</v>
      </c>
      <c r="L295" s="6">
        <v>51.369</v>
      </c>
      <c r="M295" s="6">
        <v>51.369</v>
      </c>
      <c r="N295" s="6">
        <v>51.369</v>
      </c>
      <c r="O295" s="6">
        <v>51.369</v>
      </c>
      <c r="P295" s="6">
        <v>385</v>
      </c>
      <c r="Q295" s="4" t="s">
        <v>26</v>
      </c>
      <c r="R295" s="4">
        <v>0</v>
      </c>
      <c r="S295" s="4">
        <v>0</v>
      </c>
      <c r="T295" s="4">
        <v>13</v>
      </c>
      <c r="U295" s="4">
        <v>55</v>
      </c>
      <c r="V295" s="6">
        <f>IF(ISERROR(VLOOKUP($S$295,'TAR FIN'!$A$1:$O$86,15,0)),0,VLOOKUP($S$295,'TAR FIN'!$A$1:$O$86,15,0))</f>
        <v>0</v>
      </c>
      <c r="W295" s="6">
        <f>IF(ISERROR(VLOOKUP($T$295,'TAR FIN'!$A$1:$O$86,15,0)),0,VLOOKUP($T$295,'TAR FIN'!$A$1:$O$86,15,0))</f>
        <v>224.09</v>
      </c>
      <c r="X295" s="6">
        <f>IF(ISERROR(VLOOKUP($U$295,'TAR FIN'!$A$1:$O$86,15,0)),0,VLOOKUP($U$295,'TAR FIN'!$A$1:$O$86,15,0))</f>
        <v>232.39</v>
      </c>
      <c r="Y295" s="6"/>
      <c r="Z295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5" s="6">
        <f>('TE BE'!$AB$14+'TE BF'!$AB$14+'TE CVA'!$AB$14)*(1-CUSTOS!$M$36)</f>
        <v>207.52433221372721</v>
      </c>
      <c r="AB295" s="6">
        <f t="shared" si="18"/>
        <v>0</v>
      </c>
      <c r="AC295" s="6">
        <f>(L295-M295)*(W295+X295)+($W$301+$X$301-$W$295-$X$295)*(L295)</f>
        <v>2604.9219899999962</v>
      </c>
      <c r="AD295" s="6">
        <f t="shared" si="19"/>
        <v>0</v>
      </c>
      <c r="AE295" s="6">
        <f ca="1">(L295-M295)*(Z295+AA295)+($Z$301+$AA$301-$Z$295-$AA$295)*(L295)</f>
        <v>2334.7149425460639</v>
      </c>
      <c r="AF295" s="4" t="s">
        <v>729</v>
      </c>
    </row>
    <row r="296" spans="1:32" ht="11.25" customHeight="1" x14ac:dyDescent="0.25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30</v>
      </c>
      <c r="F296" s="4" t="s">
        <v>25</v>
      </c>
      <c r="G296" s="4" t="s">
        <v>25</v>
      </c>
      <c r="H296" s="4" t="s">
        <v>25</v>
      </c>
      <c r="I296" s="5">
        <v>44593</v>
      </c>
      <c r="J296" s="6">
        <v>0</v>
      </c>
      <c r="K296" s="6">
        <v>0</v>
      </c>
      <c r="L296" s="6">
        <v>49.252000000000002</v>
      </c>
      <c r="M296" s="6">
        <v>49.252000000000002</v>
      </c>
      <c r="N296" s="6">
        <v>49.252000000000002</v>
      </c>
      <c r="O296" s="6">
        <v>49.252000000000002</v>
      </c>
      <c r="P296" s="6">
        <v>384</v>
      </c>
      <c r="Q296" s="4" t="s">
        <v>26</v>
      </c>
      <c r="R296" s="4">
        <v>0</v>
      </c>
      <c r="S296" s="4">
        <v>0</v>
      </c>
      <c r="T296" s="4">
        <v>13</v>
      </c>
      <c r="U296" s="4">
        <v>55</v>
      </c>
      <c r="V296" s="6">
        <f>IF(ISERROR(VLOOKUP($S$296,'TAR FIN'!$A$1:$O$86,15,0)),0,VLOOKUP($S$296,'TAR FIN'!$A$1:$O$86,15,0))</f>
        <v>0</v>
      </c>
      <c r="W296" s="6">
        <f>IF(ISERROR(VLOOKUP($T$296,'TAR FIN'!$A$1:$O$86,15,0)),0,VLOOKUP($T$296,'TAR FIN'!$A$1:$O$86,15,0))</f>
        <v>224.09</v>
      </c>
      <c r="X296" s="6">
        <f>IF(ISERROR(VLOOKUP($U$296,'TAR FIN'!$A$1:$O$86,15,0)),0,VLOOKUP($U$296,'TAR FIN'!$A$1:$O$86,15,0))</f>
        <v>232.39</v>
      </c>
      <c r="Y296" s="6"/>
      <c r="Z296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6" s="6">
        <f>('TE BE'!$AB$14+'TE BF'!$AB$14+'TE CVA'!$AB$14)*(1-CUSTOS!$M$36)</f>
        <v>207.52433221372721</v>
      </c>
      <c r="AB296" s="6">
        <f t="shared" si="18"/>
        <v>0</v>
      </c>
      <c r="AC296" s="6">
        <f>(L296-M296)*(W296+X296)+($W$301+$X$301-$W$296-$X$296)*(L296)</f>
        <v>2497.5689199999965</v>
      </c>
      <c r="AD296" s="6">
        <f t="shared" si="19"/>
        <v>0</v>
      </c>
      <c r="AE296" s="6">
        <f ca="1">(L296-M296)*(Z296+AA296)+($Z$301+$AA$301-$Z$296-$AA$296)*(L296)</f>
        <v>2238.4975442441691</v>
      </c>
      <c r="AF296" s="4" t="s">
        <v>729</v>
      </c>
    </row>
    <row r="297" spans="1:32" ht="11.25" customHeight="1" x14ac:dyDescent="0.25">
      <c r="A297" s="4" t="s">
        <v>21</v>
      </c>
      <c r="B297" s="4" t="s">
        <v>22</v>
      </c>
      <c r="C297" s="4" t="s">
        <v>23</v>
      </c>
      <c r="D297" s="4" t="s">
        <v>24</v>
      </c>
      <c r="E297" s="4" t="s">
        <v>30</v>
      </c>
      <c r="F297" s="4" t="s">
        <v>25</v>
      </c>
      <c r="G297" s="4" t="s">
        <v>25</v>
      </c>
      <c r="H297" s="4" t="s">
        <v>25</v>
      </c>
      <c r="I297" s="5">
        <v>44621</v>
      </c>
      <c r="J297" s="6">
        <v>0</v>
      </c>
      <c r="K297" s="6">
        <v>0</v>
      </c>
      <c r="L297" s="6">
        <v>50.28</v>
      </c>
      <c r="M297" s="6">
        <v>50.28</v>
      </c>
      <c r="N297" s="6">
        <v>50.28</v>
      </c>
      <c r="O297" s="6">
        <v>50.28</v>
      </c>
      <c r="P297" s="6">
        <v>373</v>
      </c>
      <c r="Q297" s="4" t="s">
        <v>26</v>
      </c>
      <c r="R297" s="4">
        <v>0</v>
      </c>
      <c r="S297" s="4">
        <v>0</v>
      </c>
      <c r="T297" s="4">
        <v>13</v>
      </c>
      <c r="U297" s="4">
        <v>55</v>
      </c>
      <c r="V297" s="6">
        <f>IF(ISERROR(VLOOKUP($S$297,'TAR FIN'!$A$1:$O$86,15,0)),0,VLOOKUP($S$297,'TAR FIN'!$A$1:$O$86,15,0))</f>
        <v>0</v>
      </c>
      <c r="W297" s="6">
        <f>IF(ISERROR(VLOOKUP($T$297,'TAR FIN'!$A$1:$O$86,15,0)),0,VLOOKUP($T$297,'TAR FIN'!$A$1:$O$86,15,0))</f>
        <v>224.09</v>
      </c>
      <c r="X297" s="6">
        <f>IF(ISERROR(VLOOKUP($U$297,'TAR FIN'!$A$1:$O$86,15,0)),0,VLOOKUP($U$297,'TAR FIN'!$A$1:$O$86,15,0))</f>
        <v>232.39</v>
      </c>
      <c r="Y297" s="6"/>
      <c r="Z297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7" s="6">
        <f>('TE BE'!$AB$14+'TE BF'!$AB$14+'TE CVA'!$AB$14)*(1-CUSTOS!$M$36)</f>
        <v>207.52433221372721</v>
      </c>
      <c r="AB297" s="6">
        <f t="shared" si="18"/>
        <v>0</v>
      </c>
      <c r="AC297" s="6">
        <f>(L297-M297)*(W297+X297)+($W$301+$X$301-$W$297-$X$297)*(L297)</f>
        <v>2549.698799999996</v>
      </c>
      <c r="AD297" s="6">
        <f t="shared" si="19"/>
        <v>0</v>
      </c>
      <c r="AE297" s="6">
        <f ca="1">(L297-M297)*(Z297+AA297)+($Z$301+$AA$301-$Z$297-$AA$297)*(L297)</f>
        <v>2285.2200220213763</v>
      </c>
      <c r="AF297" s="4" t="s">
        <v>729</v>
      </c>
    </row>
    <row r="298" spans="1:32" ht="11.25" customHeight="1" x14ac:dyDescent="0.25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30</v>
      </c>
      <c r="F298" s="4" t="s">
        <v>25</v>
      </c>
      <c r="G298" s="4" t="s">
        <v>25</v>
      </c>
      <c r="H298" s="4" t="s">
        <v>25</v>
      </c>
      <c r="I298" s="5">
        <v>44652</v>
      </c>
      <c r="J298" s="6">
        <v>0</v>
      </c>
      <c r="K298" s="6">
        <v>0</v>
      </c>
      <c r="L298" s="6">
        <v>41.968000000000004</v>
      </c>
      <c r="M298" s="6">
        <v>41.968000000000004</v>
      </c>
      <c r="N298" s="6">
        <v>41.968000000000004</v>
      </c>
      <c r="O298" s="6">
        <v>41.968000000000004</v>
      </c>
      <c r="P298" s="6">
        <v>416</v>
      </c>
      <c r="Q298" s="4" t="s">
        <v>26</v>
      </c>
      <c r="R298" s="4">
        <v>0</v>
      </c>
      <c r="S298" s="4">
        <v>0</v>
      </c>
      <c r="T298" s="4">
        <v>13</v>
      </c>
      <c r="U298" s="4">
        <v>55</v>
      </c>
      <c r="V298" s="6">
        <f>IF(ISERROR(VLOOKUP($S$298,'TAR FIN'!$A$1:$O$86,15,0)),0,VLOOKUP($S$298,'TAR FIN'!$A$1:$O$86,15,0))</f>
        <v>0</v>
      </c>
      <c r="W298" s="6">
        <f>IF(ISERROR(VLOOKUP($T$298,'TAR FIN'!$A$1:$O$86,15,0)),0,VLOOKUP($T$298,'TAR FIN'!$A$1:$O$86,15,0))</f>
        <v>224.09</v>
      </c>
      <c r="X298" s="6">
        <f>IF(ISERROR(VLOOKUP($U$298,'TAR FIN'!$A$1:$O$86,15,0)),0,VLOOKUP($U$298,'TAR FIN'!$A$1:$O$86,15,0))</f>
        <v>232.39</v>
      </c>
      <c r="Y298" s="6"/>
      <c r="Z298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8" s="6">
        <f>('TE BE'!$AB$14+'TE BF'!$AB$14+'TE CVA'!$AB$14)*(1-CUSTOS!$M$36)</f>
        <v>207.52433221372721</v>
      </c>
      <c r="AB298" s="6">
        <f t="shared" si="18"/>
        <v>0</v>
      </c>
      <c r="AC298" s="6">
        <f>(L298-M298)*(W298+X298)+($W$301+$X$301-$W$298-$X$298)*(L298)</f>
        <v>2128.1972799999971</v>
      </c>
      <c r="AD298" s="6">
        <f t="shared" si="19"/>
        <v>0</v>
      </c>
      <c r="AE298" s="6">
        <f ca="1">(L298-M298)*(Z298+AA298)+($Z$301+$AA$301-$Z$298-$AA$298)*(L298)</f>
        <v>1907.4406102663709</v>
      </c>
      <c r="AF298" s="4" t="s">
        <v>729</v>
      </c>
    </row>
    <row r="299" spans="1:32" ht="11.25" customHeight="1" x14ac:dyDescent="0.25">
      <c r="A299" s="4" t="s">
        <v>21</v>
      </c>
      <c r="B299" s="4" t="s">
        <v>22</v>
      </c>
      <c r="C299" s="4" t="s">
        <v>23</v>
      </c>
      <c r="D299" s="4" t="s">
        <v>24</v>
      </c>
      <c r="E299" s="4" t="s">
        <v>30</v>
      </c>
      <c r="F299" s="4" t="s">
        <v>25</v>
      </c>
      <c r="G299" s="4" t="s">
        <v>25</v>
      </c>
      <c r="H299" s="4" t="s">
        <v>25</v>
      </c>
      <c r="I299" s="5">
        <v>44682</v>
      </c>
      <c r="J299" s="6">
        <v>0</v>
      </c>
      <c r="K299" s="6">
        <v>0</v>
      </c>
      <c r="L299" s="6">
        <v>41.470999999999997</v>
      </c>
      <c r="M299" s="6">
        <v>41.470999999999997</v>
      </c>
      <c r="N299" s="6">
        <v>41.470999999999997</v>
      </c>
      <c r="O299" s="6">
        <v>41.470999999999997</v>
      </c>
      <c r="P299" s="6">
        <v>410</v>
      </c>
      <c r="Q299" s="4" t="s">
        <v>26</v>
      </c>
      <c r="R299" s="4">
        <v>0</v>
      </c>
      <c r="S299" s="4">
        <v>0</v>
      </c>
      <c r="T299" s="4">
        <v>13</v>
      </c>
      <c r="U299" s="4">
        <v>55</v>
      </c>
      <c r="V299" s="6">
        <f>IF(ISERROR(VLOOKUP($S$299,'TAR FIN'!$A$1:$O$86,15,0)),0,VLOOKUP($S$299,'TAR FIN'!$A$1:$O$86,15,0))</f>
        <v>0</v>
      </c>
      <c r="W299" s="6">
        <f>IF(ISERROR(VLOOKUP($T$299,'TAR FIN'!$A$1:$O$86,15,0)),0,VLOOKUP($T$299,'TAR FIN'!$A$1:$O$86,15,0))</f>
        <v>224.09</v>
      </c>
      <c r="X299" s="6">
        <f>IF(ISERROR(VLOOKUP($U$299,'TAR FIN'!$A$1:$O$86,15,0)),0,VLOOKUP($U$299,'TAR FIN'!$A$1:$O$86,15,0))</f>
        <v>232.39</v>
      </c>
      <c r="Y299" s="6"/>
      <c r="Z299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299" s="6">
        <f>('TE BE'!$AB$14+'TE BF'!$AB$14+'TE CVA'!$AB$14)*(1-CUSTOS!$M$36)</f>
        <v>207.52433221372721</v>
      </c>
      <c r="AB299" s="6">
        <f t="shared" si="18"/>
        <v>0</v>
      </c>
      <c r="AC299" s="6">
        <f>(L299-M299)*(W299+X299)+($W$301+$X$301-$W$299-$X$299)*(L299)</f>
        <v>2102.9944099999966</v>
      </c>
      <c r="AD299" s="6">
        <f t="shared" si="19"/>
        <v>0</v>
      </c>
      <c r="AE299" s="6">
        <f ca="1">(L299-M299)*(Z299+AA299)+($Z$301+$AA$301-$Z$299-$AA$299)*(L299)</f>
        <v>1884.852019356573</v>
      </c>
      <c r="AF299" s="4" t="s">
        <v>729</v>
      </c>
    </row>
    <row r="300" spans="1:32" ht="11.25" customHeight="1" x14ac:dyDescent="0.25">
      <c r="A300" s="4" t="s">
        <v>56</v>
      </c>
      <c r="B300" s="4" t="s">
        <v>22</v>
      </c>
      <c r="C300" s="4" t="s">
        <v>23</v>
      </c>
      <c r="D300" s="4" t="s">
        <v>24</v>
      </c>
      <c r="E300" s="4" t="s">
        <v>30</v>
      </c>
      <c r="F300" s="4" t="s">
        <v>25</v>
      </c>
      <c r="G300" s="4" t="s">
        <v>25</v>
      </c>
      <c r="H300" s="4" t="s">
        <v>25</v>
      </c>
      <c r="I300" s="5">
        <v>44713</v>
      </c>
      <c r="J300" s="6">
        <v>0</v>
      </c>
      <c r="K300" s="6">
        <v>0</v>
      </c>
      <c r="L300" s="6">
        <v>41.470999999999997</v>
      </c>
      <c r="M300" s="6">
        <v>41.470999999999997</v>
      </c>
      <c r="N300" s="6">
        <v>41.470999999999997</v>
      </c>
      <c r="O300" s="6">
        <v>41.470999999999997</v>
      </c>
      <c r="P300" s="6">
        <v>410</v>
      </c>
      <c r="Q300" s="4" t="s">
        <v>26</v>
      </c>
      <c r="R300" s="4">
        <v>0</v>
      </c>
      <c r="S300" s="4">
        <v>0</v>
      </c>
      <c r="T300" s="4">
        <v>13</v>
      </c>
      <c r="U300" s="4">
        <v>55</v>
      </c>
      <c r="V300" s="6">
        <f>IF(ISERROR(VLOOKUP($S$300,'TAR FIN'!$A$1:$O$86,15,0)),0,VLOOKUP($S$300,'TAR FIN'!$A$1:$O$86,15,0))</f>
        <v>0</v>
      </c>
      <c r="W300" s="6">
        <f>IF(ISERROR(VLOOKUP($T$300,'TAR FIN'!$A$1:$O$86,15,0)),0,VLOOKUP($T$300,'TAR FIN'!$A$1:$O$86,15,0))</f>
        <v>224.09</v>
      </c>
      <c r="X300" s="6">
        <f>IF(ISERROR(VLOOKUP($U$300,'TAR FIN'!$A$1:$O$86,15,0)),0,VLOOKUP($U$300,'TAR FIN'!$A$1:$O$86,15,0))</f>
        <v>232.39</v>
      </c>
      <c r="Y300" s="6"/>
      <c r="Z300" s="6">
        <f ca="1">('TUSD BE'!$AM$24+'TUSD BF'!$AM$24+'TUSD CVA'!$AM$24-('TUSD BE'!$P$24+'TUSD BF'!$P$24+'TUSD CVA'!$P$24)-('TUSD BE'!$Q$24+'TUSD BF'!$Q$24+'TUSD CVA'!$Q$24)-('TUSD BE'!$R$24+'TUSD BF'!$R$24+'TUSD CVA'!$R$24))*(1-CUSTOS!$M$36)</f>
        <v>201.52459774236658</v>
      </c>
      <c r="AA300" s="6">
        <f>('TE BE'!$AB$14+'TE BF'!$AB$14+'TE CVA'!$AB$14)*(1-CUSTOS!$M$36)</f>
        <v>207.52433221372721</v>
      </c>
      <c r="AB300" s="6">
        <f t="shared" si="18"/>
        <v>0</v>
      </c>
      <c r="AC300" s="6">
        <f>(L300-M300)*(W300+X300)+($W$301+$X$301-$W$300-$X$300)*(L300)</f>
        <v>2102.9944099999966</v>
      </c>
      <c r="AD300" s="6">
        <f t="shared" si="19"/>
        <v>0</v>
      </c>
      <c r="AE300" s="6">
        <f ca="1">(L300-M300)*(Z300+AA300)+($Z$301+$AA$301-$Z$300-$AA$300)*(L300)</f>
        <v>1884.852019356573</v>
      </c>
      <c r="AF300" s="4" t="s">
        <v>729</v>
      </c>
    </row>
    <row r="301" spans="1:32" ht="11.25" customHeight="1" x14ac:dyDescent="0.25">
      <c r="A301" s="4" t="s">
        <v>21</v>
      </c>
      <c r="B301" s="4" t="s">
        <v>22</v>
      </c>
      <c r="C301" s="4" t="s">
        <v>23</v>
      </c>
      <c r="D301" s="4" t="s">
        <v>24</v>
      </c>
      <c r="E301" s="4" t="s">
        <v>31</v>
      </c>
      <c r="F301" s="4" t="s">
        <v>25</v>
      </c>
      <c r="G301" s="4" t="s">
        <v>25</v>
      </c>
      <c r="H301" s="4" t="s">
        <v>25</v>
      </c>
      <c r="I301" s="5">
        <v>44378</v>
      </c>
      <c r="J301" s="6">
        <v>0</v>
      </c>
      <c r="K301" s="6">
        <v>0</v>
      </c>
      <c r="L301" s="6">
        <v>16.440000000000001</v>
      </c>
      <c r="M301" s="6">
        <v>16.440000000000001</v>
      </c>
      <c r="N301" s="6">
        <v>16.440000000000001</v>
      </c>
      <c r="O301" s="6">
        <v>16.440000000000001</v>
      </c>
      <c r="P301" s="6">
        <v>180</v>
      </c>
      <c r="Q301" s="4" t="s">
        <v>26</v>
      </c>
      <c r="R301" s="4">
        <v>0</v>
      </c>
      <c r="S301" s="4">
        <v>0</v>
      </c>
      <c r="T301" s="4">
        <v>17</v>
      </c>
      <c r="U301" s="4">
        <v>72</v>
      </c>
      <c r="V301" s="6">
        <f>IF(ISERROR(VLOOKUP($S$301,'TAR FIN'!$A$1:$O$86,15,0)),0,VLOOKUP($S$301,'TAR FIN'!$A$1:$O$86,15,0))</f>
        <v>0</v>
      </c>
      <c r="W301" s="6">
        <f>IF(ISERROR(VLOOKUP($T$301,'TAR FIN'!$A$1:$O$86,15,0)),0,VLOOKUP($T$301,'TAR FIN'!$A$1:$O$86,15,0))</f>
        <v>248.98</v>
      </c>
      <c r="X301" s="6">
        <f>IF(ISERROR(VLOOKUP($U$301,'TAR FIN'!$A$1:$O$86,15,0)),0,VLOOKUP($U$301,'TAR FIN'!$A$1:$O$86,15,0))</f>
        <v>258.20999999999998</v>
      </c>
      <c r="Y301" s="6"/>
      <c r="Z301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1" s="6">
        <f>('TE BE'!$AB$15+'TE BF'!$AB$15+'TE CVA'!$AB$15)*(1-CUSTOS!$M$37)</f>
        <v>230.58259134858577</v>
      </c>
      <c r="AB301" s="6">
        <f t="shared" si="18"/>
        <v>0</v>
      </c>
      <c r="AC301" s="6">
        <f>(L301-M301)*(W301+X301)+($W$301+$X$301-$W$301-$X$301)*(L301)</f>
        <v>-9.3450580607168384E-13</v>
      </c>
      <c r="AD301" s="6">
        <f t="shared" si="19"/>
        <v>0</v>
      </c>
      <c r="AE301" s="6">
        <f ca="1">(L301-M301)*(Z301+AA301)+($Z$301+$AA$301-$Z$301-$AA$301)*(L301)</f>
        <v>0</v>
      </c>
      <c r="AF301" s="4" t="s">
        <v>729</v>
      </c>
    </row>
    <row r="302" spans="1:32" ht="11.25" customHeight="1" x14ac:dyDescent="0.25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31</v>
      </c>
      <c r="F302" s="4" t="s">
        <v>25</v>
      </c>
      <c r="G302" s="4" t="s">
        <v>25</v>
      </c>
      <c r="H302" s="4" t="s">
        <v>25</v>
      </c>
      <c r="I302" s="5">
        <v>44409</v>
      </c>
      <c r="J302" s="6">
        <v>0</v>
      </c>
      <c r="K302" s="6">
        <v>0</v>
      </c>
      <c r="L302" s="6">
        <v>14.932</v>
      </c>
      <c r="M302" s="6">
        <v>14.932</v>
      </c>
      <c r="N302" s="6">
        <v>14.932</v>
      </c>
      <c r="O302" s="6">
        <v>14.932</v>
      </c>
      <c r="P302" s="6">
        <v>192</v>
      </c>
      <c r="Q302" s="4" t="s">
        <v>26</v>
      </c>
      <c r="R302" s="4">
        <v>0</v>
      </c>
      <c r="S302" s="4">
        <v>0</v>
      </c>
      <c r="T302" s="4">
        <v>17</v>
      </c>
      <c r="U302" s="4">
        <v>72</v>
      </c>
      <c r="V302" s="6">
        <f>IF(ISERROR(VLOOKUP($S$302,'TAR FIN'!$A$1:$O$86,15,0)),0,VLOOKUP($S$302,'TAR FIN'!$A$1:$O$86,15,0))</f>
        <v>0</v>
      </c>
      <c r="W302" s="6">
        <f>IF(ISERROR(VLOOKUP($T$302,'TAR FIN'!$A$1:$O$86,15,0)),0,VLOOKUP($T$302,'TAR FIN'!$A$1:$O$86,15,0))</f>
        <v>248.98</v>
      </c>
      <c r="X302" s="6">
        <f>IF(ISERROR(VLOOKUP($U$302,'TAR FIN'!$A$1:$O$86,15,0)),0,VLOOKUP($U$302,'TAR FIN'!$A$1:$O$86,15,0))</f>
        <v>258.20999999999998</v>
      </c>
      <c r="Y302" s="6"/>
      <c r="Z302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2" s="6">
        <f>('TE BE'!$AB$15+'TE BF'!$AB$15+'TE CVA'!$AB$15)*(1-CUSTOS!$M$37)</f>
        <v>230.58259134858577</v>
      </c>
      <c r="AB302" s="6">
        <f t="shared" si="18"/>
        <v>0</v>
      </c>
      <c r="AC302" s="6">
        <f>(L302-M302)*(W302+X302)+($W$301+$X$301-$W$302-$X$302)*(L302)</f>
        <v>-8.487859304295853E-13</v>
      </c>
      <c r="AD302" s="6">
        <f t="shared" si="19"/>
        <v>0</v>
      </c>
      <c r="AE302" s="6">
        <f ca="1">(L302-M302)*(Z302+AA302)+($Z$301+$AA$301-$Z$302-$AA$302)*(L302)</f>
        <v>0</v>
      </c>
      <c r="AF302" s="4" t="s">
        <v>729</v>
      </c>
    </row>
    <row r="303" spans="1:32" ht="11.25" customHeight="1" x14ac:dyDescent="0.25">
      <c r="A303" s="4" t="s">
        <v>21</v>
      </c>
      <c r="B303" s="4" t="s">
        <v>22</v>
      </c>
      <c r="C303" s="4" t="s">
        <v>23</v>
      </c>
      <c r="D303" s="4" t="s">
        <v>24</v>
      </c>
      <c r="E303" s="4" t="s">
        <v>31</v>
      </c>
      <c r="F303" s="4" t="s">
        <v>25</v>
      </c>
      <c r="G303" s="4" t="s">
        <v>25</v>
      </c>
      <c r="H303" s="4" t="s">
        <v>25</v>
      </c>
      <c r="I303" s="5">
        <v>44440</v>
      </c>
      <c r="J303" s="6">
        <v>0</v>
      </c>
      <c r="K303" s="6">
        <v>0</v>
      </c>
      <c r="L303" s="6">
        <v>12.797000000000001</v>
      </c>
      <c r="M303" s="6">
        <v>12.797000000000001</v>
      </c>
      <c r="N303" s="6">
        <v>12.797000000000001</v>
      </c>
      <c r="O303" s="6">
        <v>12.797000000000001</v>
      </c>
      <c r="P303" s="6">
        <v>172</v>
      </c>
      <c r="Q303" s="4" t="s">
        <v>26</v>
      </c>
      <c r="R303" s="4">
        <v>0</v>
      </c>
      <c r="S303" s="4">
        <v>0</v>
      </c>
      <c r="T303" s="4">
        <v>17</v>
      </c>
      <c r="U303" s="4">
        <v>72</v>
      </c>
      <c r="V303" s="6">
        <f>IF(ISERROR(VLOOKUP($S$303,'TAR FIN'!$A$1:$O$86,15,0)),0,VLOOKUP($S$303,'TAR FIN'!$A$1:$O$86,15,0))</f>
        <v>0</v>
      </c>
      <c r="W303" s="6">
        <f>IF(ISERROR(VLOOKUP($T$303,'TAR FIN'!$A$1:$O$86,15,0)),0,VLOOKUP($T$303,'TAR FIN'!$A$1:$O$86,15,0))</f>
        <v>248.98</v>
      </c>
      <c r="X303" s="6">
        <f>IF(ISERROR(VLOOKUP($U$303,'TAR FIN'!$A$1:$O$86,15,0)),0,VLOOKUP($U$303,'TAR FIN'!$A$1:$O$86,15,0))</f>
        <v>258.20999999999998</v>
      </c>
      <c r="Y303" s="6"/>
      <c r="Z303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3" s="6">
        <f>('TE BE'!$AB$15+'TE BF'!$AB$15+'TE CVA'!$AB$15)*(1-CUSTOS!$M$37)</f>
        <v>230.58259134858577</v>
      </c>
      <c r="AB303" s="6">
        <f t="shared" si="18"/>
        <v>0</v>
      </c>
      <c r="AC303" s="6">
        <f>(L303-M303)*(W303+X303)+($W$301+$X$301-$W$303-$X$303)*(L303)</f>
        <v>-7.274252311617602E-13</v>
      </c>
      <c r="AD303" s="6">
        <f t="shared" si="19"/>
        <v>0</v>
      </c>
      <c r="AE303" s="6">
        <f ca="1">(L303-M303)*(Z303+AA303)+($Z$301+$AA$301-$Z$303-$AA$303)*(L303)</f>
        <v>0</v>
      </c>
      <c r="AF303" s="4" t="s">
        <v>729</v>
      </c>
    </row>
    <row r="304" spans="1:32" ht="11.25" customHeight="1" x14ac:dyDescent="0.25">
      <c r="A304" s="4" t="s">
        <v>27</v>
      </c>
      <c r="B304" s="4" t="s">
        <v>22</v>
      </c>
      <c r="C304" s="4" t="s">
        <v>23</v>
      </c>
      <c r="D304" s="4" t="s">
        <v>24</v>
      </c>
      <c r="E304" s="4" t="s">
        <v>31</v>
      </c>
      <c r="F304" s="4" t="s">
        <v>25</v>
      </c>
      <c r="G304" s="4" t="s">
        <v>25</v>
      </c>
      <c r="H304" s="4" t="s">
        <v>25</v>
      </c>
      <c r="I304" s="5">
        <v>44440</v>
      </c>
      <c r="J304" s="6">
        <v>0</v>
      </c>
      <c r="K304" s="6">
        <v>0</v>
      </c>
      <c r="L304" s="6">
        <v>-0.29799999999999999</v>
      </c>
      <c r="M304" s="6">
        <v>-0.29799999999999999</v>
      </c>
      <c r="N304" s="6">
        <v>-0.29799999999999999</v>
      </c>
      <c r="O304" s="6">
        <v>-0.29799999999999999</v>
      </c>
      <c r="P304" s="6">
        <v>0</v>
      </c>
      <c r="Q304" s="4" t="s">
        <v>26</v>
      </c>
      <c r="R304" s="4">
        <v>0</v>
      </c>
      <c r="S304" s="4">
        <v>0</v>
      </c>
      <c r="T304" s="4">
        <v>17</v>
      </c>
      <c r="U304" s="4">
        <v>72</v>
      </c>
      <c r="V304" s="6">
        <f>IF(ISERROR(VLOOKUP($S$304,'TAR FIN'!$A$1:$O$86,15,0)),0,VLOOKUP($S$304,'TAR FIN'!$A$1:$O$86,15,0))</f>
        <v>0</v>
      </c>
      <c r="W304" s="6">
        <f>IF(ISERROR(VLOOKUP($T$304,'TAR FIN'!$A$1:$O$86,15,0)),0,VLOOKUP($T$304,'TAR FIN'!$A$1:$O$86,15,0))</f>
        <v>248.98</v>
      </c>
      <c r="X304" s="6">
        <f>IF(ISERROR(VLOOKUP($U$304,'TAR FIN'!$A$1:$O$86,15,0)),0,VLOOKUP($U$304,'TAR FIN'!$A$1:$O$86,15,0))</f>
        <v>258.20999999999998</v>
      </c>
      <c r="Y304" s="6"/>
      <c r="Z304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4" s="6">
        <f>('TE BE'!$AB$15+'TE BF'!$AB$15+'TE CVA'!$AB$15)*(1-CUSTOS!$M$37)</f>
        <v>230.58259134858577</v>
      </c>
      <c r="AB304" s="6">
        <f t="shared" si="18"/>
        <v>0</v>
      </c>
      <c r="AC304" s="6">
        <f>(L304-M304)*(W304+X304)+($W$301+$X$301-$W$304-$X$304)*(L304)</f>
        <v>1.6939338820520788E-14</v>
      </c>
      <c r="AD304" s="6">
        <f t="shared" si="19"/>
        <v>0</v>
      </c>
      <c r="AE304" s="6">
        <f ca="1">(L304-M304)*(Z304+AA304)+($Z$301+$AA$301-$Z$304-$AA$304)*(L304)</f>
        <v>0</v>
      </c>
      <c r="AF304" s="4" t="s">
        <v>729</v>
      </c>
    </row>
    <row r="305" spans="1:32" ht="11.25" customHeight="1" x14ac:dyDescent="0.25">
      <c r="A305" s="4" t="s">
        <v>21</v>
      </c>
      <c r="B305" s="4" t="s">
        <v>22</v>
      </c>
      <c r="C305" s="4" t="s">
        <v>23</v>
      </c>
      <c r="D305" s="4" t="s">
        <v>24</v>
      </c>
      <c r="E305" s="4" t="s">
        <v>31</v>
      </c>
      <c r="F305" s="4" t="s">
        <v>25</v>
      </c>
      <c r="G305" s="4" t="s">
        <v>25</v>
      </c>
      <c r="H305" s="4" t="s">
        <v>25</v>
      </c>
      <c r="I305" s="5">
        <v>44470</v>
      </c>
      <c r="J305" s="6">
        <v>0</v>
      </c>
      <c r="K305" s="6">
        <v>0</v>
      </c>
      <c r="L305" s="6">
        <v>12.688000000000001</v>
      </c>
      <c r="M305" s="6">
        <v>12.688000000000001</v>
      </c>
      <c r="N305" s="6">
        <v>12.688000000000001</v>
      </c>
      <c r="O305" s="6">
        <v>12.688000000000001</v>
      </c>
      <c r="P305" s="6">
        <v>175</v>
      </c>
      <c r="Q305" s="4" t="s">
        <v>26</v>
      </c>
      <c r="R305" s="4">
        <v>0</v>
      </c>
      <c r="S305" s="4">
        <v>0</v>
      </c>
      <c r="T305" s="4">
        <v>17</v>
      </c>
      <c r="U305" s="4">
        <v>72</v>
      </c>
      <c r="V305" s="6">
        <f>IF(ISERROR(VLOOKUP($S$305,'TAR FIN'!$A$1:$O$86,15,0)),0,VLOOKUP($S$305,'TAR FIN'!$A$1:$O$86,15,0))</f>
        <v>0</v>
      </c>
      <c r="W305" s="6">
        <f>IF(ISERROR(VLOOKUP($T$305,'TAR FIN'!$A$1:$O$86,15,0)),0,VLOOKUP($T$305,'TAR FIN'!$A$1:$O$86,15,0))</f>
        <v>248.98</v>
      </c>
      <c r="X305" s="6">
        <f>IF(ISERROR(VLOOKUP($U$305,'TAR FIN'!$A$1:$O$86,15,0)),0,VLOOKUP($U$305,'TAR FIN'!$A$1:$O$86,15,0))</f>
        <v>258.20999999999998</v>
      </c>
      <c r="Y305" s="6"/>
      <c r="Z305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5" s="6">
        <f>('TE BE'!$AB$15+'TE BF'!$AB$15+'TE CVA'!$AB$15)*(1-CUSTOS!$M$37)</f>
        <v>230.58259134858577</v>
      </c>
      <c r="AB305" s="6">
        <f t="shared" si="18"/>
        <v>0</v>
      </c>
      <c r="AC305" s="6">
        <f>(L305-M305)*(W305+X305)+($W$301+$X$301-$W$305-$X$305)*(L305)</f>
        <v>-7.2122929850593213E-13</v>
      </c>
      <c r="AD305" s="6">
        <f t="shared" si="19"/>
        <v>0</v>
      </c>
      <c r="AE305" s="6">
        <f ca="1">(L305-M305)*(Z305+AA305)+($Z$301+$AA$301-$Z$305-$AA$305)*(L305)</f>
        <v>0</v>
      </c>
      <c r="AF305" s="4" t="s">
        <v>729</v>
      </c>
    </row>
    <row r="306" spans="1:32" ht="11.25" customHeight="1" x14ac:dyDescent="0.25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31</v>
      </c>
      <c r="F306" s="4" t="s">
        <v>25</v>
      </c>
      <c r="G306" s="4" t="s">
        <v>25</v>
      </c>
      <c r="H306" s="4" t="s">
        <v>25</v>
      </c>
      <c r="I306" s="5">
        <v>44501</v>
      </c>
      <c r="J306" s="6">
        <v>0</v>
      </c>
      <c r="K306" s="6">
        <v>0</v>
      </c>
      <c r="L306" s="6">
        <v>14.66</v>
      </c>
      <c r="M306" s="6">
        <v>14.66</v>
      </c>
      <c r="N306" s="6">
        <v>14.66</v>
      </c>
      <c r="O306" s="6">
        <v>14.66</v>
      </c>
      <c r="P306" s="6">
        <v>199</v>
      </c>
      <c r="Q306" s="4" t="s">
        <v>26</v>
      </c>
      <c r="R306" s="4">
        <v>0</v>
      </c>
      <c r="S306" s="4">
        <v>0</v>
      </c>
      <c r="T306" s="4">
        <v>17</v>
      </c>
      <c r="U306" s="4">
        <v>72</v>
      </c>
      <c r="V306" s="6">
        <f>IF(ISERROR(VLOOKUP($S$306,'TAR FIN'!$A$1:$O$86,15,0)),0,VLOOKUP($S$306,'TAR FIN'!$A$1:$O$86,15,0))</f>
        <v>0</v>
      </c>
      <c r="W306" s="6">
        <f>IF(ISERROR(VLOOKUP($T$306,'TAR FIN'!$A$1:$O$86,15,0)),0,VLOOKUP($T$306,'TAR FIN'!$A$1:$O$86,15,0))</f>
        <v>248.98</v>
      </c>
      <c r="X306" s="6">
        <f>IF(ISERROR(VLOOKUP($U$306,'TAR FIN'!$A$1:$O$86,15,0)),0,VLOOKUP($U$306,'TAR FIN'!$A$1:$O$86,15,0))</f>
        <v>258.20999999999998</v>
      </c>
      <c r="Y306" s="6"/>
      <c r="Z306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6" s="6">
        <f>('TE BE'!$AB$15+'TE BF'!$AB$15+'TE CVA'!$AB$15)*(1-CUSTOS!$M$37)</f>
        <v>230.58259134858577</v>
      </c>
      <c r="AB306" s="6">
        <f t="shared" si="18"/>
        <v>0</v>
      </c>
      <c r="AC306" s="6">
        <f>(L306-M306)*(W306+X306)+($W$301+$X$301-$W$306-$X$306)*(L306)</f>
        <v>-8.3332452049944551E-13</v>
      </c>
      <c r="AD306" s="6">
        <f t="shared" si="19"/>
        <v>0</v>
      </c>
      <c r="AE306" s="6">
        <f ca="1">(L306-M306)*(Z306+AA306)+($Z$301+$AA$301-$Z$306-$AA$306)*(L306)</f>
        <v>0</v>
      </c>
      <c r="AF306" s="4" t="s">
        <v>729</v>
      </c>
    </row>
    <row r="307" spans="1:32" ht="11.25" customHeight="1" x14ac:dyDescent="0.25">
      <c r="A307" s="4" t="s">
        <v>21</v>
      </c>
      <c r="B307" s="4" t="s">
        <v>22</v>
      </c>
      <c r="C307" s="4" t="s">
        <v>23</v>
      </c>
      <c r="D307" s="4" t="s">
        <v>24</v>
      </c>
      <c r="E307" s="4" t="s">
        <v>31</v>
      </c>
      <c r="F307" s="4" t="s">
        <v>25</v>
      </c>
      <c r="G307" s="4" t="s">
        <v>25</v>
      </c>
      <c r="H307" s="4" t="s">
        <v>25</v>
      </c>
      <c r="I307" s="5">
        <v>44531</v>
      </c>
      <c r="J307" s="6">
        <v>0</v>
      </c>
      <c r="K307" s="6">
        <v>0</v>
      </c>
      <c r="L307" s="6">
        <v>13.177</v>
      </c>
      <c r="M307" s="6">
        <v>13.177</v>
      </c>
      <c r="N307" s="6">
        <v>13.177</v>
      </c>
      <c r="O307" s="6">
        <v>13.177</v>
      </c>
      <c r="P307" s="6">
        <v>185</v>
      </c>
      <c r="Q307" s="4" t="s">
        <v>26</v>
      </c>
      <c r="R307" s="4">
        <v>0</v>
      </c>
      <c r="S307" s="4">
        <v>0</v>
      </c>
      <c r="T307" s="4">
        <v>17</v>
      </c>
      <c r="U307" s="4">
        <v>72</v>
      </c>
      <c r="V307" s="6">
        <f>IF(ISERROR(VLOOKUP($S$307,'TAR FIN'!$A$1:$O$86,15,0)),0,VLOOKUP($S$307,'TAR FIN'!$A$1:$O$86,15,0))</f>
        <v>0</v>
      </c>
      <c r="W307" s="6">
        <f>IF(ISERROR(VLOOKUP($T$307,'TAR FIN'!$A$1:$O$86,15,0)),0,VLOOKUP($T$307,'TAR FIN'!$A$1:$O$86,15,0))</f>
        <v>248.98</v>
      </c>
      <c r="X307" s="6">
        <f>IF(ISERROR(VLOOKUP($U$307,'TAR FIN'!$A$1:$O$86,15,0)),0,VLOOKUP($U$307,'TAR FIN'!$A$1:$O$86,15,0))</f>
        <v>258.20999999999998</v>
      </c>
      <c r="Y307" s="6"/>
      <c r="Z307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7" s="6">
        <f>('TE BE'!$AB$15+'TE BF'!$AB$15+'TE CVA'!$AB$15)*(1-CUSTOS!$M$37)</f>
        <v>230.58259134858577</v>
      </c>
      <c r="AB307" s="6">
        <f t="shared" si="18"/>
        <v>0</v>
      </c>
      <c r="AC307" s="6">
        <f>(L307-M307)*(W307+X307)+($W$301+$X$301-$W$307-$X$307)*(L307)</f>
        <v>-7.4902573032886719E-13</v>
      </c>
      <c r="AD307" s="6">
        <f t="shared" si="19"/>
        <v>0</v>
      </c>
      <c r="AE307" s="6">
        <f ca="1">(L307-M307)*(Z307+AA307)+($Z$301+$AA$301-$Z$307-$AA$307)*(L307)</f>
        <v>0</v>
      </c>
      <c r="AF307" s="4" t="s">
        <v>729</v>
      </c>
    </row>
    <row r="308" spans="1:32" ht="11.25" customHeight="1" x14ac:dyDescent="0.25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31</v>
      </c>
      <c r="F308" s="4" t="s">
        <v>25</v>
      </c>
      <c r="G308" s="4" t="s">
        <v>25</v>
      </c>
      <c r="H308" s="4" t="s">
        <v>25</v>
      </c>
      <c r="I308" s="5">
        <v>44562</v>
      </c>
      <c r="J308" s="6">
        <v>0</v>
      </c>
      <c r="K308" s="6">
        <v>0</v>
      </c>
      <c r="L308" s="6">
        <v>20.587</v>
      </c>
      <c r="M308" s="6">
        <v>20.587</v>
      </c>
      <c r="N308" s="6">
        <v>20.587</v>
      </c>
      <c r="O308" s="6">
        <v>20.587</v>
      </c>
      <c r="P308" s="6">
        <v>229</v>
      </c>
      <c r="Q308" s="4" t="s">
        <v>26</v>
      </c>
      <c r="R308" s="4">
        <v>0</v>
      </c>
      <c r="S308" s="4">
        <v>0</v>
      </c>
      <c r="T308" s="4">
        <v>17</v>
      </c>
      <c r="U308" s="4">
        <v>72</v>
      </c>
      <c r="V308" s="6">
        <f>IF(ISERROR(VLOOKUP($S$308,'TAR FIN'!$A$1:$O$86,15,0)),0,VLOOKUP($S$308,'TAR FIN'!$A$1:$O$86,15,0))</f>
        <v>0</v>
      </c>
      <c r="W308" s="6">
        <f>IF(ISERROR(VLOOKUP($T$308,'TAR FIN'!$A$1:$O$86,15,0)),0,VLOOKUP($T$308,'TAR FIN'!$A$1:$O$86,15,0))</f>
        <v>248.98</v>
      </c>
      <c r="X308" s="6">
        <f>IF(ISERROR(VLOOKUP($U$308,'TAR FIN'!$A$1:$O$86,15,0)),0,VLOOKUP($U$308,'TAR FIN'!$A$1:$O$86,15,0))</f>
        <v>258.20999999999998</v>
      </c>
      <c r="Y308" s="6"/>
      <c r="Z308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8" s="6">
        <f>('TE BE'!$AB$15+'TE BF'!$AB$15+'TE CVA'!$AB$15)*(1-CUSTOS!$M$37)</f>
        <v>230.58259134858577</v>
      </c>
      <c r="AB308" s="6">
        <f t="shared" si="18"/>
        <v>0</v>
      </c>
      <c r="AC308" s="6">
        <f>(L308-M308)*(W308+X308)+($W$301+$X$301-$W$308-$X$308)*(L308)</f>
        <v>-1.1702354640874546E-12</v>
      </c>
      <c r="AD308" s="6">
        <f t="shared" si="19"/>
        <v>0</v>
      </c>
      <c r="AE308" s="6">
        <f ca="1">(L308-M308)*(Z308+AA308)+($Z$301+$AA$301-$Z$308-$AA$308)*(L308)</f>
        <v>0</v>
      </c>
      <c r="AF308" s="4" t="s">
        <v>729</v>
      </c>
    </row>
    <row r="309" spans="1:32" ht="11.25" customHeight="1" x14ac:dyDescent="0.25">
      <c r="A309" s="4" t="s">
        <v>21</v>
      </c>
      <c r="B309" s="4" t="s">
        <v>22</v>
      </c>
      <c r="C309" s="4" t="s">
        <v>23</v>
      </c>
      <c r="D309" s="4" t="s">
        <v>24</v>
      </c>
      <c r="E309" s="4" t="s">
        <v>31</v>
      </c>
      <c r="F309" s="4" t="s">
        <v>25</v>
      </c>
      <c r="G309" s="4" t="s">
        <v>25</v>
      </c>
      <c r="H309" s="4" t="s">
        <v>25</v>
      </c>
      <c r="I309" s="5">
        <v>44593</v>
      </c>
      <c r="J309" s="6">
        <v>0</v>
      </c>
      <c r="K309" s="6">
        <v>0</v>
      </c>
      <c r="L309" s="6">
        <v>18.414999999999999</v>
      </c>
      <c r="M309" s="6">
        <v>18.414999999999999</v>
      </c>
      <c r="N309" s="6">
        <v>18.414999999999999</v>
      </c>
      <c r="O309" s="6">
        <v>18.414999999999999</v>
      </c>
      <c r="P309" s="6">
        <v>214</v>
      </c>
      <c r="Q309" s="4" t="s">
        <v>26</v>
      </c>
      <c r="R309" s="4">
        <v>0</v>
      </c>
      <c r="S309" s="4">
        <v>0</v>
      </c>
      <c r="T309" s="4">
        <v>17</v>
      </c>
      <c r="U309" s="4">
        <v>72</v>
      </c>
      <c r="V309" s="6">
        <f>IF(ISERROR(VLOOKUP($S$309,'TAR FIN'!$A$1:$O$86,15,0)),0,VLOOKUP($S$309,'TAR FIN'!$A$1:$O$86,15,0))</f>
        <v>0</v>
      </c>
      <c r="W309" s="6">
        <f>IF(ISERROR(VLOOKUP($T$309,'TAR FIN'!$A$1:$O$86,15,0)),0,VLOOKUP($T$309,'TAR FIN'!$A$1:$O$86,15,0))</f>
        <v>248.98</v>
      </c>
      <c r="X309" s="6">
        <f>IF(ISERROR(VLOOKUP($U$309,'TAR FIN'!$A$1:$O$86,15,0)),0,VLOOKUP($U$309,'TAR FIN'!$A$1:$O$86,15,0))</f>
        <v>258.20999999999998</v>
      </c>
      <c r="Y309" s="6"/>
      <c r="Z309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09" s="6">
        <f>('TE BE'!$AB$15+'TE BF'!$AB$15+'TE CVA'!$AB$15)*(1-CUSTOS!$M$37)</f>
        <v>230.58259134858577</v>
      </c>
      <c r="AB309" s="6">
        <f t="shared" si="18"/>
        <v>0</v>
      </c>
      <c r="AC309" s="6">
        <f>(L309-M309)*(W309+X309)+($W$301+$X$301-$W$309-$X$309)*(L309)</f>
        <v>-1.0467715583217795E-12</v>
      </c>
      <c r="AD309" s="6">
        <f t="shared" si="19"/>
        <v>0</v>
      </c>
      <c r="AE309" s="6">
        <f ca="1">(L309-M309)*(Z309+AA309)+($Z$301+$AA$301-$Z$309-$AA$309)*(L309)</f>
        <v>0</v>
      </c>
      <c r="AF309" s="4" t="s">
        <v>729</v>
      </c>
    </row>
    <row r="310" spans="1:32" ht="11.25" customHeight="1" x14ac:dyDescent="0.25">
      <c r="A310" s="4" t="s">
        <v>27</v>
      </c>
      <c r="B310" s="4" t="s">
        <v>22</v>
      </c>
      <c r="C310" s="4" t="s">
        <v>23</v>
      </c>
      <c r="D310" s="4" t="s">
        <v>24</v>
      </c>
      <c r="E310" s="4" t="s">
        <v>31</v>
      </c>
      <c r="F310" s="4" t="s">
        <v>25</v>
      </c>
      <c r="G310" s="4" t="s">
        <v>25</v>
      </c>
      <c r="H310" s="4" t="s">
        <v>25</v>
      </c>
      <c r="I310" s="5">
        <v>44593</v>
      </c>
      <c r="J310" s="6">
        <v>0</v>
      </c>
      <c r="K310" s="6">
        <v>0</v>
      </c>
      <c r="L310" s="6">
        <v>5.5E-2</v>
      </c>
      <c r="M310" s="6">
        <v>5.5E-2</v>
      </c>
      <c r="N310" s="6">
        <v>5.5E-2</v>
      </c>
      <c r="O310" s="6">
        <v>5.5E-2</v>
      </c>
      <c r="P310" s="6">
        <v>0</v>
      </c>
      <c r="Q310" s="4" t="s">
        <v>26</v>
      </c>
      <c r="R310" s="4">
        <v>0</v>
      </c>
      <c r="S310" s="4">
        <v>0</v>
      </c>
      <c r="T310" s="4">
        <v>17</v>
      </c>
      <c r="U310" s="4">
        <v>72</v>
      </c>
      <c r="V310" s="6">
        <f>IF(ISERROR(VLOOKUP($S$310,'TAR FIN'!$A$1:$O$86,15,0)),0,VLOOKUP($S$310,'TAR FIN'!$A$1:$O$86,15,0))</f>
        <v>0</v>
      </c>
      <c r="W310" s="6">
        <f>IF(ISERROR(VLOOKUP($T$310,'TAR FIN'!$A$1:$O$86,15,0)),0,VLOOKUP($T$310,'TAR FIN'!$A$1:$O$86,15,0))</f>
        <v>248.98</v>
      </c>
      <c r="X310" s="6">
        <f>IF(ISERROR(VLOOKUP($U$310,'TAR FIN'!$A$1:$O$86,15,0)),0,VLOOKUP($U$310,'TAR FIN'!$A$1:$O$86,15,0))</f>
        <v>258.20999999999998</v>
      </c>
      <c r="Y310" s="6"/>
      <c r="Z310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10" s="6">
        <f>('TE BE'!$AB$15+'TE BF'!$AB$15+'TE CVA'!$AB$15)*(1-CUSTOS!$M$37)</f>
        <v>230.58259134858577</v>
      </c>
      <c r="AB310" s="6">
        <f t="shared" si="18"/>
        <v>0</v>
      </c>
      <c r="AC310" s="6">
        <f>(L310-M310)*(W310+X310)+($W$301+$X$301-$W$310-$X$310)*(L310)</f>
        <v>-3.1263880373444408E-15</v>
      </c>
      <c r="AD310" s="6">
        <f t="shared" si="19"/>
        <v>0</v>
      </c>
      <c r="AE310" s="6">
        <f ca="1">(L310-M310)*(Z310+AA310)+($Z$301+$AA$301-$Z$310-$AA$310)*(L310)</f>
        <v>0</v>
      </c>
      <c r="AF310" s="4" t="s">
        <v>729</v>
      </c>
    </row>
    <row r="311" spans="1:32" ht="11.25" customHeight="1" x14ac:dyDescent="0.25">
      <c r="A311" s="4" t="s">
        <v>21</v>
      </c>
      <c r="B311" s="4" t="s">
        <v>22</v>
      </c>
      <c r="C311" s="4" t="s">
        <v>23</v>
      </c>
      <c r="D311" s="4" t="s">
        <v>24</v>
      </c>
      <c r="E311" s="4" t="s">
        <v>31</v>
      </c>
      <c r="F311" s="4" t="s">
        <v>25</v>
      </c>
      <c r="G311" s="4" t="s">
        <v>25</v>
      </c>
      <c r="H311" s="4" t="s">
        <v>25</v>
      </c>
      <c r="I311" s="5">
        <v>44621</v>
      </c>
      <c r="J311" s="6">
        <v>0</v>
      </c>
      <c r="K311" s="6">
        <v>0</v>
      </c>
      <c r="L311" s="6">
        <v>21.835000000000001</v>
      </c>
      <c r="M311" s="6">
        <v>21.835000000000001</v>
      </c>
      <c r="N311" s="6">
        <v>21.835000000000001</v>
      </c>
      <c r="O311" s="6">
        <v>21.835000000000001</v>
      </c>
      <c r="P311" s="6">
        <v>234</v>
      </c>
      <c r="Q311" s="4" t="s">
        <v>26</v>
      </c>
      <c r="R311" s="4">
        <v>0</v>
      </c>
      <c r="S311" s="4">
        <v>0</v>
      </c>
      <c r="T311" s="4">
        <v>17</v>
      </c>
      <c r="U311" s="4">
        <v>72</v>
      </c>
      <c r="V311" s="6">
        <f>IF(ISERROR(VLOOKUP($S$311,'TAR FIN'!$A$1:$O$86,15,0)),0,VLOOKUP($S$311,'TAR FIN'!$A$1:$O$86,15,0))</f>
        <v>0</v>
      </c>
      <c r="W311" s="6">
        <f>IF(ISERROR(VLOOKUP($T$311,'TAR FIN'!$A$1:$O$86,15,0)),0,VLOOKUP($T$311,'TAR FIN'!$A$1:$O$86,15,0))</f>
        <v>248.98</v>
      </c>
      <c r="X311" s="6">
        <f>IF(ISERROR(VLOOKUP($U$311,'TAR FIN'!$A$1:$O$86,15,0)),0,VLOOKUP($U$311,'TAR FIN'!$A$1:$O$86,15,0))</f>
        <v>258.20999999999998</v>
      </c>
      <c r="Y311" s="6"/>
      <c r="Z311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11" s="6">
        <f>('TE BE'!$AB$15+'TE BF'!$AB$15+'TE CVA'!$AB$15)*(1-CUSTOS!$M$37)</f>
        <v>230.58259134858577</v>
      </c>
      <c r="AB311" s="6">
        <f t="shared" si="18"/>
        <v>0</v>
      </c>
      <c r="AC311" s="6">
        <f>(L311-M311)*(W311+X311)+($W$301+$X$301-$W$311-$X$311)*(L311)</f>
        <v>-1.2411760508257431E-12</v>
      </c>
      <c r="AD311" s="6">
        <f t="shared" si="19"/>
        <v>0</v>
      </c>
      <c r="AE311" s="6">
        <f ca="1">(L311-M311)*(Z311+AA311)+($Z$301+$AA$301-$Z$311-$AA$311)*(L311)</f>
        <v>0</v>
      </c>
      <c r="AF311" s="4" t="s">
        <v>729</v>
      </c>
    </row>
    <row r="312" spans="1:32" ht="11.25" customHeight="1" x14ac:dyDescent="0.25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31</v>
      </c>
      <c r="F312" s="4" t="s">
        <v>25</v>
      </c>
      <c r="G312" s="4" t="s">
        <v>25</v>
      </c>
      <c r="H312" s="4" t="s">
        <v>25</v>
      </c>
      <c r="I312" s="5">
        <v>44652</v>
      </c>
      <c r="J312" s="6">
        <v>0</v>
      </c>
      <c r="K312" s="6">
        <v>0</v>
      </c>
      <c r="L312" s="6">
        <v>10.692</v>
      </c>
      <c r="M312" s="6">
        <v>10.692</v>
      </c>
      <c r="N312" s="6">
        <v>10.692</v>
      </c>
      <c r="O312" s="6">
        <v>10.692</v>
      </c>
      <c r="P312" s="6">
        <v>161</v>
      </c>
      <c r="Q312" s="4" t="s">
        <v>26</v>
      </c>
      <c r="R312" s="4">
        <v>0</v>
      </c>
      <c r="S312" s="4">
        <v>0</v>
      </c>
      <c r="T312" s="4">
        <v>17</v>
      </c>
      <c r="U312" s="4">
        <v>72</v>
      </c>
      <c r="V312" s="6">
        <f>IF(ISERROR(VLOOKUP($S$312,'TAR FIN'!$A$1:$O$86,15,0)),0,VLOOKUP($S$312,'TAR FIN'!$A$1:$O$86,15,0))</f>
        <v>0</v>
      </c>
      <c r="W312" s="6">
        <f>IF(ISERROR(VLOOKUP($T$312,'TAR FIN'!$A$1:$O$86,15,0)),0,VLOOKUP($T$312,'TAR FIN'!$A$1:$O$86,15,0))</f>
        <v>248.98</v>
      </c>
      <c r="X312" s="6">
        <f>IF(ISERROR(VLOOKUP($U$312,'TAR FIN'!$A$1:$O$86,15,0)),0,VLOOKUP($U$312,'TAR FIN'!$A$1:$O$86,15,0))</f>
        <v>258.20999999999998</v>
      </c>
      <c r="Y312" s="6"/>
      <c r="Z312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12" s="6">
        <f>('TE BE'!$AB$15+'TE BF'!$AB$15+'TE CVA'!$AB$15)*(1-CUSTOS!$M$37)</f>
        <v>230.58259134858577</v>
      </c>
      <c r="AB312" s="6">
        <f t="shared" si="18"/>
        <v>0</v>
      </c>
      <c r="AC312" s="6">
        <f>(L312-M312)*(W312+X312)+($W$301+$X$301-$W$312-$X$312)*(L312)</f>
        <v>-6.077698344597593E-13</v>
      </c>
      <c r="AD312" s="6">
        <f t="shared" si="19"/>
        <v>0</v>
      </c>
      <c r="AE312" s="6">
        <f ca="1">(L312-M312)*(Z312+AA312)+($Z$301+$AA$301-$Z$312-$AA$312)*(L312)</f>
        <v>0</v>
      </c>
      <c r="AF312" s="4" t="s">
        <v>729</v>
      </c>
    </row>
    <row r="313" spans="1:32" ht="11.25" customHeight="1" x14ac:dyDescent="0.25">
      <c r="A313" s="4" t="s">
        <v>21</v>
      </c>
      <c r="B313" s="4" t="s">
        <v>22</v>
      </c>
      <c r="C313" s="4" t="s">
        <v>23</v>
      </c>
      <c r="D313" s="4" t="s">
        <v>24</v>
      </c>
      <c r="E313" s="4" t="s">
        <v>31</v>
      </c>
      <c r="F313" s="4" t="s">
        <v>25</v>
      </c>
      <c r="G313" s="4" t="s">
        <v>25</v>
      </c>
      <c r="H313" s="4" t="s">
        <v>25</v>
      </c>
      <c r="I313" s="5">
        <v>44682</v>
      </c>
      <c r="J313" s="6">
        <v>0</v>
      </c>
      <c r="K313" s="6">
        <v>0</v>
      </c>
      <c r="L313" s="6">
        <v>12.063000000000001</v>
      </c>
      <c r="M313" s="6">
        <v>12.063000000000001</v>
      </c>
      <c r="N313" s="6">
        <v>12.063000000000001</v>
      </c>
      <c r="O313" s="6">
        <v>12.063000000000001</v>
      </c>
      <c r="P313" s="6">
        <v>158</v>
      </c>
      <c r="Q313" s="4" t="s">
        <v>26</v>
      </c>
      <c r="R313" s="4">
        <v>0</v>
      </c>
      <c r="S313" s="4">
        <v>0</v>
      </c>
      <c r="T313" s="4">
        <v>17</v>
      </c>
      <c r="U313" s="4">
        <v>72</v>
      </c>
      <c r="V313" s="6">
        <f>IF(ISERROR(VLOOKUP($S$313,'TAR FIN'!$A$1:$O$86,15,0)),0,VLOOKUP($S$313,'TAR FIN'!$A$1:$O$86,15,0))</f>
        <v>0</v>
      </c>
      <c r="W313" s="6">
        <f>IF(ISERROR(VLOOKUP($T$313,'TAR FIN'!$A$1:$O$86,15,0)),0,VLOOKUP($T$313,'TAR FIN'!$A$1:$O$86,15,0))</f>
        <v>248.98</v>
      </c>
      <c r="X313" s="6">
        <f>IF(ISERROR(VLOOKUP($U$313,'TAR FIN'!$A$1:$O$86,15,0)),0,VLOOKUP($U$313,'TAR FIN'!$A$1:$O$86,15,0))</f>
        <v>258.20999999999998</v>
      </c>
      <c r="Y313" s="6"/>
      <c r="Z313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13" s="6">
        <f>('TE BE'!$AB$15+'TE BF'!$AB$15+'TE CVA'!$AB$15)*(1-CUSTOS!$M$37)</f>
        <v>230.58259134858577</v>
      </c>
      <c r="AB313" s="6">
        <f t="shared" si="18"/>
        <v>0</v>
      </c>
      <c r="AC313" s="6">
        <f>(L313-M313)*(W313+X313)+($W$301+$X$301-$W$313-$X$313)*(L313)</f>
        <v>-6.8570216171792712E-13</v>
      </c>
      <c r="AD313" s="6">
        <f t="shared" si="19"/>
        <v>0</v>
      </c>
      <c r="AE313" s="6">
        <f ca="1">(L313-M313)*(Z313+AA313)+($Z$301+$AA$301-$Z$313-$AA$313)*(L313)</f>
        <v>0</v>
      </c>
      <c r="AF313" s="4" t="s">
        <v>729</v>
      </c>
    </row>
    <row r="314" spans="1:32" ht="11.25" customHeight="1" x14ac:dyDescent="0.25">
      <c r="A314" s="4" t="s">
        <v>56</v>
      </c>
      <c r="B314" s="4" t="s">
        <v>22</v>
      </c>
      <c r="C314" s="4" t="s">
        <v>23</v>
      </c>
      <c r="D314" s="4" t="s">
        <v>24</v>
      </c>
      <c r="E314" s="4" t="s">
        <v>31</v>
      </c>
      <c r="F314" s="4" t="s">
        <v>25</v>
      </c>
      <c r="G314" s="4" t="s">
        <v>25</v>
      </c>
      <c r="H314" s="4" t="s">
        <v>25</v>
      </c>
      <c r="I314" s="5">
        <v>44713</v>
      </c>
      <c r="J314" s="6">
        <v>0</v>
      </c>
      <c r="K314" s="6">
        <v>0</v>
      </c>
      <c r="L314" s="6">
        <v>12.063000000000001</v>
      </c>
      <c r="M314" s="6">
        <v>12.063000000000001</v>
      </c>
      <c r="N314" s="6">
        <v>12.063000000000001</v>
      </c>
      <c r="O314" s="6">
        <v>12.063000000000001</v>
      </c>
      <c r="P314" s="6">
        <v>158</v>
      </c>
      <c r="Q314" s="4" t="s">
        <v>26</v>
      </c>
      <c r="R314" s="4">
        <v>0</v>
      </c>
      <c r="S314" s="4">
        <v>0</v>
      </c>
      <c r="T314" s="4">
        <v>17</v>
      </c>
      <c r="U314" s="4">
        <v>72</v>
      </c>
      <c r="V314" s="6">
        <f>IF(ISERROR(VLOOKUP($S$314,'TAR FIN'!$A$1:$O$86,15,0)),0,VLOOKUP($S$314,'TAR FIN'!$A$1:$O$86,15,0))</f>
        <v>0</v>
      </c>
      <c r="W314" s="6">
        <f>IF(ISERROR(VLOOKUP($T$314,'TAR FIN'!$A$1:$O$86,15,0)),0,VLOOKUP($T$314,'TAR FIN'!$A$1:$O$86,15,0))</f>
        <v>248.98</v>
      </c>
      <c r="X314" s="6">
        <f>IF(ISERROR(VLOOKUP($U$314,'TAR FIN'!$A$1:$O$86,15,0)),0,VLOOKUP($U$314,'TAR FIN'!$A$1:$O$86,15,0))</f>
        <v>258.20999999999998</v>
      </c>
      <c r="Y314" s="6"/>
      <c r="Z314" s="6">
        <f ca="1">('TUSD BE'!$AM$25+'TUSD BF'!$AM$25+'TUSD CVA'!$AM$25-('TUSD BE'!$P$25+'TUSD BF'!$P$25+'TUSD CVA'!$P$25)-('TUSD BE'!$Q$25+'TUSD BF'!$Q$25+'TUSD CVA'!$Q$25)-('TUSD BE'!$R$25+'TUSD BF'!$R$25+'TUSD CVA'!$R$25))*(1-CUSTOS!$M$37)</f>
        <v>223.91621971374065</v>
      </c>
      <c r="AA314" s="6">
        <f>('TE BE'!$AB$15+'TE BF'!$AB$15+'TE CVA'!$AB$15)*(1-CUSTOS!$M$37)</f>
        <v>230.58259134858577</v>
      </c>
      <c r="AB314" s="6">
        <f t="shared" si="18"/>
        <v>0</v>
      </c>
      <c r="AC314" s="6">
        <f>(L314-M314)*(W314+X314)+($W$301+$X$301-$W$314-$X$314)*(L314)</f>
        <v>-6.8570216171792712E-13</v>
      </c>
      <c r="AD314" s="6">
        <f t="shared" si="19"/>
        <v>0</v>
      </c>
      <c r="AE314" s="6">
        <f ca="1">(L314-M314)*(Z314+AA314)+($Z$301+$AA$301-$Z$314-$AA$314)*(L314)</f>
        <v>0</v>
      </c>
      <c r="AF314" s="4" t="s">
        <v>729</v>
      </c>
    </row>
    <row r="315" spans="1:32" ht="11.25" customHeight="1" x14ac:dyDescent="0.25">
      <c r="A315" s="4" t="s">
        <v>21</v>
      </c>
      <c r="B315" s="4" t="s">
        <v>42</v>
      </c>
      <c r="C315" s="4" t="s">
        <v>23</v>
      </c>
      <c r="D315" s="4" t="s">
        <v>43</v>
      </c>
      <c r="E315" s="4" t="s">
        <v>51</v>
      </c>
      <c r="F315" s="4" t="s">
        <v>52</v>
      </c>
      <c r="G315" s="4" t="s">
        <v>25</v>
      </c>
      <c r="H315" s="4" t="s">
        <v>25</v>
      </c>
      <c r="I315" s="5">
        <v>44378</v>
      </c>
      <c r="J315" s="6">
        <v>0</v>
      </c>
      <c r="K315" s="6">
        <v>0</v>
      </c>
      <c r="L315" s="6">
        <v>9.3789999999999996</v>
      </c>
      <c r="M315" s="6">
        <v>9.3789999999999996</v>
      </c>
      <c r="N315" s="6">
        <v>9.3789999999999996</v>
      </c>
      <c r="O315" s="6">
        <v>9.3789999999999996</v>
      </c>
      <c r="P315" s="6">
        <v>0</v>
      </c>
      <c r="Q315" s="4" t="s">
        <v>26</v>
      </c>
      <c r="R315" s="4">
        <v>0</v>
      </c>
      <c r="S315" s="4">
        <v>0</v>
      </c>
      <c r="T315" s="4">
        <v>30</v>
      </c>
      <c r="U315" s="4">
        <v>70</v>
      </c>
      <c r="V315" s="6">
        <f>IF(ISERROR(VLOOKUP($S$315,'TAR FIN'!$A$1:$O$86,15,0)),0,VLOOKUP($S$315,'TAR FIN'!$A$1:$O$86,15,0))</f>
        <v>0</v>
      </c>
      <c r="W315" s="6">
        <f>IF(ISERROR(VLOOKUP($T$315,'TAR FIN'!$A$1:$O$86,15,0)),0,VLOOKUP($T$315,'TAR FIN'!$A$1:$O$86,15,0))</f>
        <v>285.56</v>
      </c>
      <c r="X315" s="6">
        <f>IF(ISERROR(VLOOKUP($U$315,'TAR FIN'!$A$1:$O$86,15,0)),0,VLOOKUP($U$315,'TAR FIN'!$A$1:$O$86,15,0))</f>
        <v>227.23</v>
      </c>
      <c r="Y315" s="6"/>
      <c r="Z315" s="6">
        <f ca="1">('TUSD BE'!$AM$34+'TUSD BF'!$AM$34+'TUSD CVA'!$AM$34)*(1-CUSTOS!$M$38)</f>
        <v>310.34682484351242</v>
      </c>
      <c r="AA315" s="6">
        <f>('TE BE'!$AB$24+'TE BF'!$AB$24+'TE CVA'!$AB$24)*(1-CUSTOS!$M$38)</f>
        <v>216.7476358676706</v>
      </c>
      <c r="AB315" s="6">
        <f t="shared" si="18"/>
        <v>0</v>
      </c>
      <c r="AC315" s="6">
        <f>(L315-M315)*(W315+X315)+($W$254+$X$254-$W$315-$X$315)*(L315)</f>
        <v>655.77968000000044</v>
      </c>
      <c r="AD315" s="6">
        <f t="shared" si="19"/>
        <v>0</v>
      </c>
      <c r="AE315" s="6">
        <f ca="1">(L315-M315)*(Z315+AA315)+($Z$254+$AA$254-$Z$315-$AA$315)*(L315)</f>
        <v>315.55014555384196</v>
      </c>
      <c r="AF315" s="4" t="s">
        <v>727</v>
      </c>
    </row>
    <row r="316" spans="1:32" ht="11.25" customHeight="1" x14ac:dyDescent="0.25">
      <c r="A316" s="4" t="s">
        <v>21</v>
      </c>
      <c r="B316" s="4" t="s">
        <v>42</v>
      </c>
      <c r="C316" s="4" t="s">
        <v>23</v>
      </c>
      <c r="D316" s="4" t="s">
        <v>43</v>
      </c>
      <c r="E316" s="4" t="s">
        <v>51</v>
      </c>
      <c r="F316" s="4" t="s">
        <v>52</v>
      </c>
      <c r="G316" s="4" t="s">
        <v>25</v>
      </c>
      <c r="H316" s="4" t="s">
        <v>25</v>
      </c>
      <c r="I316" s="5">
        <v>44409</v>
      </c>
      <c r="J316" s="6">
        <v>0</v>
      </c>
      <c r="K316" s="6">
        <v>0</v>
      </c>
      <c r="L316" s="6">
        <v>8.1590000000000007</v>
      </c>
      <c r="M316" s="6">
        <v>8.1590000000000007</v>
      </c>
      <c r="N316" s="6">
        <v>8.1590000000000007</v>
      </c>
      <c r="O316" s="6">
        <v>8.1590000000000007</v>
      </c>
      <c r="P316" s="6">
        <v>0</v>
      </c>
      <c r="Q316" s="4" t="s">
        <v>26</v>
      </c>
      <c r="R316" s="4">
        <v>0</v>
      </c>
      <c r="S316" s="4">
        <v>0</v>
      </c>
      <c r="T316" s="4">
        <v>30</v>
      </c>
      <c r="U316" s="4">
        <v>70</v>
      </c>
      <c r="V316" s="6">
        <f>IF(ISERROR(VLOOKUP($S$316,'TAR FIN'!$A$1:$O$86,15,0)),0,VLOOKUP($S$316,'TAR FIN'!$A$1:$O$86,15,0))</f>
        <v>0</v>
      </c>
      <c r="W316" s="6">
        <f>IF(ISERROR(VLOOKUP($T$316,'TAR FIN'!$A$1:$O$86,15,0)),0,VLOOKUP($T$316,'TAR FIN'!$A$1:$O$86,15,0))</f>
        <v>285.56</v>
      </c>
      <c r="X316" s="6">
        <f>IF(ISERROR(VLOOKUP($U$316,'TAR FIN'!$A$1:$O$86,15,0)),0,VLOOKUP($U$316,'TAR FIN'!$A$1:$O$86,15,0))</f>
        <v>227.23</v>
      </c>
      <c r="Y316" s="6"/>
      <c r="Z316" s="6">
        <f ca="1">('TUSD BE'!$AM$34+'TUSD BF'!$AM$34+'TUSD CVA'!$AM$34)*(1-CUSTOS!$M$38)</f>
        <v>310.34682484351242</v>
      </c>
      <c r="AA316" s="6">
        <f>('TE BE'!$AB$24+'TE BF'!$AB$24+'TE CVA'!$AB$24)*(1-CUSTOS!$M$38)</f>
        <v>216.7476358676706</v>
      </c>
      <c r="AB316" s="6">
        <f t="shared" si="18"/>
        <v>0</v>
      </c>
      <c r="AC316" s="6">
        <f>(L316-M316)*(W316+X316)+($W$254+$X$254-$W$316-$X$316)*(L316)</f>
        <v>570.47728000000041</v>
      </c>
      <c r="AD316" s="6">
        <f t="shared" si="19"/>
        <v>0</v>
      </c>
      <c r="AE316" s="6">
        <f ca="1">(L316-M316)*(Z316+AA316)+($Z$254+$AA$254-$Z$316-$AA$316)*(L316)</f>
        <v>274.50406627292853</v>
      </c>
      <c r="AF316" s="4" t="s">
        <v>727</v>
      </c>
    </row>
    <row r="317" spans="1:32" ht="11.25" customHeight="1" x14ac:dyDescent="0.25">
      <c r="A317" s="4" t="s">
        <v>55</v>
      </c>
      <c r="B317" s="4" t="s">
        <v>42</v>
      </c>
      <c r="C317" s="4" t="s">
        <v>23</v>
      </c>
      <c r="D317" s="4" t="s">
        <v>43</v>
      </c>
      <c r="E317" s="4" t="s">
        <v>51</v>
      </c>
      <c r="F317" s="4" t="s">
        <v>52</v>
      </c>
      <c r="G317" s="4" t="s">
        <v>25</v>
      </c>
      <c r="H317" s="4" t="s">
        <v>25</v>
      </c>
      <c r="I317" s="5">
        <v>44409</v>
      </c>
      <c r="J317" s="6">
        <v>0</v>
      </c>
      <c r="K317" s="6">
        <v>0</v>
      </c>
      <c r="L317" s="6">
        <v>6.8000000000000005E-2</v>
      </c>
      <c r="M317" s="6">
        <v>6.8000000000000005E-2</v>
      </c>
      <c r="N317" s="6">
        <v>6.8000000000000005E-2</v>
      </c>
      <c r="O317" s="6">
        <v>6.8000000000000005E-2</v>
      </c>
      <c r="P317" s="6">
        <v>0</v>
      </c>
      <c r="Q317" s="4" t="s">
        <v>26</v>
      </c>
      <c r="R317" s="4">
        <v>0</v>
      </c>
      <c r="S317" s="4">
        <v>0</v>
      </c>
      <c r="T317" s="4">
        <v>30</v>
      </c>
      <c r="U317" s="4">
        <v>70</v>
      </c>
      <c r="V317" s="6">
        <f>IF(ISERROR(VLOOKUP($S$317,'TAR FIN'!$A$1:$O$86,15,0)),0,VLOOKUP($S$317,'TAR FIN'!$A$1:$O$86,15,0))</f>
        <v>0</v>
      </c>
      <c r="W317" s="6">
        <f>IF(ISERROR(VLOOKUP($T$317,'TAR FIN'!$A$1:$O$86,15,0)),0,VLOOKUP($T$317,'TAR FIN'!$A$1:$O$86,15,0))</f>
        <v>285.56</v>
      </c>
      <c r="X317" s="6">
        <f>IF(ISERROR(VLOOKUP($U$317,'TAR FIN'!$A$1:$O$86,15,0)),0,VLOOKUP($U$317,'TAR FIN'!$A$1:$O$86,15,0))</f>
        <v>227.23</v>
      </c>
      <c r="Y317" s="6"/>
      <c r="Z317" s="6">
        <f ca="1">('TUSD BE'!$AM$34+'TUSD BF'!$AM$34+'TUSD CVA'!$AM$34)*(1-CUSTOS!$M$38)</f>
        <v>310.34682484351242</v>
      </c>
      <c r="AA317" s="6">
        <f>('TE BE'!$AB$24+'TE BF'!$AB$24+'TE CVA'!$AB$24)*(1-CUSTOS!$M$38)</f>
        <v>216.7476358676706</v>
      </c>
      <c r="AB317" s="6">
        <f t="shared" si="18"/>
        <v>0</v>
      </c>
      <c r="AC317" s="6">
        <f>(L317-M317)*(W317+X317)+($W$254+$X$254-$W$317-$X$317)*(L317)</f>
        <v>4.7545600000000032</v>
      </c>
      <c r="AD317" s="6">
        <f t="shared" si="19"/>
        <v>0</v>
      </c>
      <c r="AE317" s="6">
        <f ca="1">(L317-M317)*(Z317+AA317)+($Z$254+$AA$254-$Z$317-$AA$317)*(L317)</f>
        <v>2.2878142550017331</v>
      </c>
      <c r="AF317" s="4" t="s">
        <v>727</v>
      </c>
    </row>
    <row r="318" spans="1:32" ht="11.25" customHeight="1" x14ac:dyDescent="0.25">
      <c r="A318" s="4" t="s">
        <v>21</v>
      </c>
      <c r="B318" s="4" t="s">
        <v>42</v>
      </c>
      <c r="C318" s="4" t="s">
        <v>23</v>
      </c>
      <c r="D318" s="4" t="s">
        <v>43</v>
      </c>
      <c r="E318" s="4" t="s">
        <v>51</v>
      </c>
      <c r="F318" s="4" t="s">
        <v>52</v>
      </c>
      <c r="G318" s="4" t="s">
        <v>25</v>
      </c>
      <c r="H318" s="4" t="s">
        <v>25</v>
      </c>
      <c r="I318" s="5">
        <v>44440</v>
      </c>
      <c r="J318" s="6">
        <v>0</v>
      </c>
      <c r="K318" s="6">
        <v>0</v>
      </c>
      <c r="L318" s="6">
        <v>9.0139999999999993</v>
      </c>
      <c r="M318" s="6">
        <v>9.0139999999999993</v>
      </c>
      <c r="N318" s="6">
        <v>9.0139999999999993</v>
      </c>
      <c r="O318" s="6">
        <v>9.0139999999999993</v>
      </c>
      <c r="P318" s="6">
        <v>0</v>
      </c>
      <c r="Q318" s="4" t="s">
        <v>26</v>
      </c>
      <c r="R318" s="4">
        <v>0</v>
      </c>
      <c r="S318" s="4">
        <v>0</v>
      </c>
      <c r="T318" s="4">
        <v>30</v>
      </c>
      <c r="U318" s="4">
        <v>70</v>
      </c>
      <c r="V318" s="6">
        <f>IF(ISERROR(VLOOKUP($S$318,'TAR FIN'!$A$1:$O$86,15,0)),0,VLOOKUP($S$318,'TAR FIN'!$A$1:$O$86,15,0))</f>
        <v>0</v>
      </c>
      <c r="W318" s="6">
        <f>IF(ISERROR(VLOOKUP($T$318,'TAR FIN'!$A$1:$O$86,15,0)),0,VLOOKUP($T$318,'TAR FIN'!$A$1:$O$86,15,0))</f>
        <v>285.56</v>
      </c>
      <c r="X318" s="6">
        <f>IF(ISERROR(VLOOKUP($U$318,'TAR FIN'!$A$1:$O$86,15,0)),0,VLOOKUP($U$318,'TAR FIN'!$A$1:$O$86,15,0))</f>
        <v>227.23</v>
      </c>
      <c r="Y318" s="6"/>
      <c r="Z318" s="6">
        <f ca="1">('TUSD BE'!$AM$34+'TUSD BF'!$AM$34+'TUSD CVA'!$AM$34)*(1-CUSTOS!$M$38)</f>
        <v>310.34682484351242</v>
      </c>
      <c r="AA318" s="6">
        <f>('TE BE'!$AB$24+'TE BF'!$AB$24+'TE CVA'!$AB$24)*(1-CUSTOS!$M$38)</f>
        <v>216.7476358676706</v>
      </c>
      <c r="AB318" s="6">
        <f t="shared" si="18"/>
        <v>0</v>
      </c>
      <c r="AC318" s="6">
        <f>(L318-M318)*(W318+X318)+($W$254+$X$254-$W$318-$X$318)*(L318)</f>
        <v>630.25888000000032</v>
      </c>
      <c r="AD318" s="6">
        <f t="shared" si="19"/>
        <v>0</v>
      </c>
      <c r="AE318" s="6">
        <f ca="1">(L318-M318)*(Z318+AA318)+($Z$254+$AA$254-$Z$318-$AA$318)*(L318)</f>
        <v>303.26996609684733</v>
      </c>
      <c r="AF318" s="4" t="s">
        <v>727</v>
      </c>
    </row>
    <row r="319" spans="1:32" ht="11.25" customHeight="1" x14ac:dyDescent="0.25">
      <c r="A319" s="4" t="s">
        <v>55</v>
      </c>
      <c r="B319" s="4" t="s">
        <v>42</v>
      </c>
      <c r="C319" s="4" t="s">
        <v>23</v>
      </c>
      <c r="D319" s="4" t="s">
        <v>43</v>
      </c>
      <c r="E319" s="4" t="s">
        <v>51</v>
      </c>
      <c r="F319" s="4" t="s">
        <v>52</v>
      </c>
      <c r="G319" s="4" t="s">
        <v>25</v>
      </c>
      <c r="H319" s="4" t="s">
        <v>25</v>
      </c>
      <c r="I319" s="5">
        <v>44440</v>
      </c>
      <c r="J319" s="6">
        <v>0</v>
      </c>
      <c r="K319" s="6">
        <v>0</v>
      </c>
      <c r="L319" s="6">
        <v>0.1</v>
      </c>
      <c r="M319" s="6">
        <v>0.1</v>
      </c>
      <c r="N319" s="6">
        <v>0.1</v>
      </c>
      <c r="O319" s="6">
        <v>0.1</v>
      </c>
      <c r="P319" s="6">
        <v>0</v>
      </c>
      <c r="Q319" s="4" t="s">
        <v>26</v>
      </c>
      <c r="R319" s="4">
        <v>0</v>
      </c>
      <c r="S319" s="4">
        <v>0</v>
      </c>
      <c r="T319" s="4">
        <v>30</v>
      </c>
      <c r="U319" s="4">
        <v>70</v>
      </c>
      <c r="V319" s="6">
        <f>IF(ISERROR(VLOOKUP($S$319,'TAR FIN'!$A$1:$O$86,15,0)),0,VLOOKUP($S$319,'TAR FIN'!$A$1:$O$86,15,0))</f>
        <v>0</v>
      </c>
      <c r="W319" s="6">
        <f>IF(ISERROR(VLOOKUP($T$319,'TAR FIN'!$A$1:$O$86,15,0)),0,VLOOKUP($T$319,'TAR FIN'!$A$1:$O$86,15,0))</f>
        <v>285.56</v>
      </c>
      <c r="X319" s="6">
        <f>IF(ISERROR(VLOOKUP($U$319,'TAR FIN'!$A$1:$O$86,15,0)),0,VLOOKUP($U$319,'TAR FIN'!$A$1:$O$86,15,0))</f>
        <v>227.23</v>
      </c>
      <c r="Y319" s="6"/>
      <c r="Z319" s="6">
        <f ca="1">('TUSD BE'!$AM$34+'TUSD BF'!$AM$34+'TUSD CVA'!$AM$34)*(1-CUSTOS!$M$38)</f>
        <v>310.34682484351242</v>
      </c>
      <c r="AA319" s="6">
        <f>('TE BE'!$AB$24+'TE BF'!$AB$24+'TE CVA'!$AB$24)*(1-CUSTOS!$M$38)</f>
        <v>216.7476358676706</v>
      </c>
      <c r="AB319" s="6">
        <f t="shared" si="18"/>
        <v>0</v>
      </c>
      <c r="AC319" s="6">
        <f>(L319-M319)*(W319+X319)+($W$254+$X$254-$W$319-$X$319)*(L319)</f>
        <v>6.9920000000000044</v>
      </c>
      <c r="AD319" s="6">
        <f t="shared" si="19"/>
        <v>0</v>
      </c>
      <c r="AE319" s="6">
        <f ca="1">(L319-M319)*(Z319+AA319)+($Z$254+$AA$254-$Z$319-$AA$319)*(L319)</f>
        <v>3.3644327279437252</v>
      </c>
      <c r="AF319" s="4" t="s">
        <v>727</v>
      </c>
    </row>
    <row r="320" spans="1:32" ht="11.25" customHeight="1" x14ac:dyDescent="0.25">
      <c r="A320" s="4" t="s">
        <v>21</v>
      </c>
      <c r="B320" s="4" t="s">
        <v>42</v>
      </c>
      <c r="C320" s="4" t="s">
        <v>23</v>
      </c>
      <c r="D320" s="4" t="s">
        <v>43</v>
      </c>
      <c r="E320" s="4" t="s">
        <v>51</v>
      </c>
      <c r="F320" s="4" t="s">
        <v>52</v>
      </c>
      <c r="G320" s="4" t="s">
        <v>25</v>
      </c>
      <c r="H320" s="4" t="s">
        <v>25</v>
      </c>
      <c r="I320" s="5">
        <v>44470</v>
      </c>
      <c r="J320" s="6">
        <v>0</v>
      </c>
      <c r="K320" s="6">
        <v>0</v>
      </c>
      <c r="L320" s="6">
        <v>9.7840000000000007</v>
      </c>
      <c r="M320" s="6">
        <v>9.7840000000000007</v>
      </c>
      <c r="N320" s="6">
        <v>9.7840000000000007</v>
      </c>
      <c r="O320" s="6">
        <v>9.7840000000000007</v>
      </c>
      <c r="P320" s="6">
        <v>0</v>
      </c>
      <c r="Q320" s="4" t="s">
        <v>26</v>
      </c>
      <c r="R320" s="4">
        <v>0</v>
      </c>
      <c r="S320" s="4">
        <v>0</v>
      </c>
      <c r="T320" s="4">
        <v>30</v>
      </c>
      <c r="U320" s="4">
        <v>70</v>
      </c>
      <c r="V320" s="6">
        <f>IF(ISERROR(VLOOKUP($S$320,'TAR FIN'!$A$1:$O$86,15,0)),0,VLOOKUP($S$320,'TAR FIN'!$A$1:$O$86,15,0))</f>
        <v>0</v>
      </c>
      <c r="W320" s="6">
        <f>IF(ISERROR(VLOOKUP($T$320,'TAR FIN'!$A$1:$O$86,15,0)),0,VLOOKUP($T$320,'TAR FIN'!$A$1:$O$86,15,0))</f>
        <v>285.56</v>
      </c>
      <c r="X320" s="6">
        <f>IF(ISERROR(VLOOKUP($U$320,'TAR FIN'!$A$1:$O$86,15,0)),0,VLOOKUP($U$320,'TAR FIN'!$A$1:$O$86,15,0))</f>
        <v>227.23</v>
      </c>
      <c r="Y320" s="6"/>
      <c r="Z320" s="6">
        <f ca="1">('TUSD BE'!$AM$34+'TUSD BF'!$AM$34+'TUSD CVA'!$AM$34)*(1-CUSTOS!$M$38)</f>
        <v>310.34682484351242</v>
      </c>
      <c r="AA320" s="6">
        <f>('TE BE'!$AB$24+'TE BF'!$AB$24+'TE CVA'!$AB$24)*(1-CUSTOS!$M$38)</f>
        <v>216.7476358676706</v>
      </c>
      <c r="AB320" s="6">
        <f t="shared" si="18"/>
        <v>0</v>
      </c>
      <c r="AC320" s="6">
        <f>(L320-M320)*(W320+X320)+($W$254+$X$254-$W$320-$X$320)*(L320)</f>
        <v>684.09728000000052</v>
      </c>
      <c r="AD320" s="6">
        <f t="shared" si="19"/>
        <v>0</v>
      </c>
      <c r="AE320" s="6">
        <f ca="1">(L320-M320)*(Z320+AA320)+($Z$254+$AA$254-$Z$320-$AA$320)*(L320)</f>
        <v>329.17609810201407</v>
      </c>
      <c r="AF320" s="4" t="s">
        <v>727</v>
      </c>
    </row>
    <row r="321" spans="1:32" ht="11.25" customHeight="1" x14ac:dyDescent="0.25">
      <c r="A321" s="4" t="s">
        <v>55</v>
      </c>
      <c r="B321" s="4" t="s">
        <v>42</v>
      </c>
      <c r="C321" s="4" t="s">
        <v>23</v>
      </c>
      <c r="D321" s="4" t="s">
        <v>43</v>
      </c>
      <c r="E321" s="4" t="s">
        <v>51</v>
      </c>
      <c r="F321" s="4" t="s">
        <v>52</v>
      </c>
      <c r="G321" s="4" t="s">
        <v>25</v>
      </c>
      <c r="H321" s="4" t="s">
        <v>25</v>
      </c>
      <c r="I321" s="5">
        <v>44470</v>
      </c>
      <c r="J321" s="6">
        <v>0</v>
      </c>
      <c r="K321" s="6">
        <v>0</v>
      </c>
      <c r="L321" s="6">
        <v>0.15</v>
      </c>
      <c r="M321" s="6">
        <v>0.15</v>
      </c>
      <c r="N321" s="6">
        <v>0.15</v>
      </c>
      <c r="O321" s="6">
        <v>0.15</v>
      </c>
      <c r="P321" s="6">
        <v>0</v>
      </c>
      <c r="Q321" s="4" t="s">
        <v>26</v>
      </c>
      <c r="R321" s="4">
        <v>0</v>
      </c>
      <c r="S321" s="4">
        <v>0</v>
      </c>
      <c r="T321" s="4">
        <v>30</v>
      </c>
      <c r="U321" s="4">
        <v>70</v>
      </c>
      <c r="V321" s="6">
        <f>IF(ISERROR(VLOOKUP($S$321,'TAR FIN'!$A$1:$O$86,15,0)),0,VLOOKUP($S$321,'TAR FIN'!$A$1:$O$86,15,0))</f>
        <v>0</v>
      </c>
      <c r="W321" s="6">
        <f>IF(ISERROR(VLOOKUP($T$321,'TAR FIN'!$A$1:$O$86,15,0)),0,VLOOKUP($T$321,'TAR FIN'!$A$1:$O$86,15,0))</f>
        <v>285.56</v>
      </c>
      <c r="X321" s="6">
        <f>IF(ISERROR(VLOOKUP($U$321,'TAR FIN'!$A$1:$O$86,15,0)),0,VLOOKUP($U$321,'TAR FIN'!$A$1:$O$86,15,0))</f>
        <v>227.23</v>
      </c>
      <c r="Y321" s="6"/>
      <c r="Z321" s="6">
        <f ca="1">('TUSD BE'!$AM$34+'TUSD BF'!$AM$34+'TUSD CVA'!$AM$34)*(1-CUSTOS!$M$38)</f>
        <v>310.34682484351242</v>
      </c>
      <c r="AA321" s="6">
        <f>('TE BE'!$AB$24+'TE BF'!$AB$24+'TE CVA'!$AB$24)*(1-CUSTOS!$M$38)</f>
        <v>216.7476358676706</v>
      </c>
      <c r="AB321" s="6">
        <f t="shared" si="18"/>
        <v>0</v>
      </c>
      <c r="AC321" s="6">
        <f>(L321-M321)*(W321+X321)+($W$254+$X$254-$W$321-$X$321)*(L321)</f>
        <v>10.488000000000007</v>
      </c>
      <c r="AD321" s="6">
        <f t="shared" si="19"/>
        <v>0</v>
      </c>
      <c r="AE321" s="6">
        <f ca="1">(L321-M321)*(Z321+AA321)+($Z$254+$AA$254-$Z$321-$AA$321)*(L321)</f>
        <v>5.0466490919155875</v>
      </c>
      <c r="AF321" s="4" t="s">
        <v>727</v>
      </c>
    </row>
    <row r="322" spans="1:32" ht="11.25" customHeight="1" x14ac:dyDescent="0.25">
      <c r="A322" s="4" t="s">
        <v>21</v>
      </c>
      <c r="B322" s="4" t="s">
        <v>42</v>
      </c>
      <c r="C322" s="4" t="s">
        <v>23</v>
      </c>
      <c r="D322" s="4" t="s">
        <v>43</v>
      </c>
      <c r="E322" s="4" t="s">
        <v>51</v>
      </c>
      <c r="F322" s="4" t="s">
        <v>52</v>
      </c>
      <c r="G322" s="4" t="s">
        <v>25</v>
      </c>
      <c r="H322" s="4" t="s">
        <v>25</v>
      </c>
      <c r="I322" s="5">
        <v>44501</v>
      </c>
      <c r="J322" s="6">
        <v>0</v>
      </c>
      <c r="K322" s="6">
        <v>0</v>
      </c>
      <c r="L322" s="6">
        <v>10.707000000000001</v>
      </c>
      <c r="M322" s="6">
        <v>10.707000000000001</v>
      </c>
      <c r="N322" s="6">
        <v>10.707000000000001</v>
      </c>
      <c r="O322" s="6">
        <v>10.707000000000001</v>
      </c>
      <c r="P322" s="6">
        <v>0</v>
      </c>
      <c r="Q322" s="4" t="s">
        <v>26</v>
      </c>
      <c r="R322" s="4">
        <v>0</v>
      </c>
      <c r="S322" s="4">
        <v>0</v>
      </c>
      <c r="T322" s="4">
        <v>30</v>
      </c>
      <c r="U322" s="4">
        <v>70</v>
      </c>
      <c r="V322" s="6">
        <f>IF(ISERROR(VLOOKUP($S$322,'TAR FIN'!$A$1:$O$86,15,0)),0,VLOOKUP($S$322,'TAR FIN'!$A$1:$O$86,15,0))</f>
        <v>0</v>
      </c>
      <c r="W322" s="6">
        <f>IF(ISERROR(VLOOKUP($T$322,'TAR FIN'!$A$1:$O$86,15,0)),0,VLOOKUP($T$322,'TAR FIN'!$A$1:$O$86,15,0))</f>
        <v>285.56</v>
      </c>
      <c r="X322" s="6">
        <f>IF(ISERROR(VLOOKUP($U$322,'TAR FIN'!$A$1:$O$86,15,0)),0,VLOOKUP($U$322,'TAR FIN'!$A$1:$O$86,15,0))</f>
        <v>227.23</v>
      </c>
      <c r="Y322" s="6"/>
      <c r="Z322" s="6">
        <f ca="1">('TUSD BE'!$AM$34+'TUSD BF'!$AM$34+'TUSD CVA'!$AM$34)*(1-CUSTOS!$M$38)</f>
        <v>310.34682484351242</v>
      </c>
      <c r="AA322" s="6">
        <f>('TE BE'!$AB$24+'TE BF'!$AB$24+'TE CVA'!$AB$24)*(1-CUSTOS!$M$38)</f>
        <v>216.7476358676706</v>
      </c>
      <c r="AB322" s="6">
        <f t="shared" ref="AB322:AB385" si="20">(J322-K322)*V322</f>
        <v>0</v>
      </c>
      <c r="AC322" s="6">
        <f>(L322-M322)*(W322+X322)+($W$254+$X$254-$W$322-$X$322)*(L322)</f>
        <v>748.63344000000052</v>
      </c>
      <c r="AD322" s="6">
        <f t="shared" ref="AD322:AD385" si="21">(J322-K322)*Y322</f>
        <v>0</v>
      </c>
      <c r="AE322" s="6">
        <f ca="1">(L322-M322)*(Z322+AA322)+($Z$254+$AA$254-$Z$322-$AA$322)*(L322)</f>
        <v>360.22981218093463</v>
      </c>
      <c r="AF322" s="4" t="s">
        <v>727</v>
      </c>
    </row>
    <row r="323" spans="1:32" ht="11.25" customHeight="1" x14ac:dyDescent="0.25">
      <c r="A323" s="4" t="s">
        <v>55</v>
      </c>
      <c r="B323" s="4" t="s">
        <v>42</v>
      </c>
      <c r="C323" s="4" t="s">
        <v>23</v>
      </c>
      <c r="D323" s="4" t="s">
        <v>43</v>
      </c>
      <c r="E323" s="4" t="s">
        <v>51</v>
      </c>
      <c r="F323" s="4" t="s">
        <v>52</v>
      </c>
      <c r="G323" s="4" t="s">
        <v>25</v>
      </c>
      <c r="H323" s="4" t="s">
        <v>25</v>
      </c>
      <c r="I323" s="5">
        <v>44501</v>
      </c>
      <c r="J323" s="6">
        <v>0</v>
      </c>
      <c r="K323" s="6">
        <v>0</v>
      </c>
      <c r="L323" s="6">
        <v>0.15</v>
      </c>
      <c r="M323" s="6">
        <v>0.15</v>
      </c>
      <c r="N323" s="6">
        <v>0.15</v>
      </c>
      <c r="O323" s="6">
        <v>0.15</v>
      </c>
      <c r="P323" s="6">
        <v>0</v>
      </c>
      <c r="Q323" s="4" t="s">
        <v>26</v>
      </c>
      <c r="R323" s="4">
        <v>0</v>
      </c>
      <c r="S323" s="4">
        <v>0</v>
      </c>
      <c r="T323" s="4">
        <v>30</v>
      </c>
      <c r="U323" s="4">
        <v>70</v>
      </c>
      <c r="V323" s="6">
        <f>IF(ISERROR(VLOOKUP($S$323,'TAR FIN'!$A$1:$O$86,15,0)),0,VLOOKUP($S$323,'TAR FIN'!$A$1:$O$86,15,0))</f>
        <v>0</v>
      </c>
      <c r="W323" s="6">
        <f>IF(ISERROR(VLOOKUP($T$323,'TAR FIN'!$A$1:$O$86,15,0)),0,VLOOKUP($T$323,'TAR FIN'!$A$1:$O$86,15,0))</f>
        <v>285.56</v>
      </c>
      <c r="X323" s="6">
        <f>IF(ISERROR(VLOOKUP($U$323,'TAR FIN'!$A$1:$O$86,15,0)),0,VLOOKUP($U$323,'TAR FIN'!$A$1:$O$86,15,0))</f>
        <v>227.23</v>
      </c>
      <c r="Y323" s="6"/>
      <c r="Z323" s="6">
        <f ca="1">('TUSD BE'!$AM$34+'TUSD BF'!$AM$34+'TUSD CVA'!$AM$34)*(1-CUSTOS!$M$38)</f>
        <v>310.34682484351242</v>
      </c>
      <c r="AA323" s="6">
        <f>('TE BE'!$AB$24+'TE BF'!$AB$24+'TE CVA'!$AB$24)*(1-CUSTOS!$M$38)</f>
        <v>216.7476358676706</v>
      </c>
      <c r="AB323" s="6">
        <f t="shared" si="20"/>
        <v>0</v>
      </c>
      <c r="AC323" s="6">
        <f>(L323-M323)*(W323+X323)+($W$254+$X$254-$W$323-$X$323)*(L323)</f>
        <v>10.488000000000007</v>
      </c>
      <c r="AD323" s="6">
        <f t="shared" si="21"/>
        <v>0</v>
      </c>
      <c r="AE323" s="6">
        <f ca="1">(L323-M323)*(Z323+AA323)+($Z$254+$AA$254-$Z$323-$AA$323)*(L323)</f>
        <v>5.0466490919155875</v>
      </c>
      <c r="AF323" s="4" t="s">
        <v>727</v>
      </c>
    </row>
    <row r="324" spans="1:32" ht="11.25" customHeight="1" x14ac:dyDescent="0.25">
      <c r="A324" s="4" t="s">
        <v>21</v>
      </c>
      <c r="B324" s="4" t="s">
        <v>42</v>
      </c>
      <c r="C324" s="4" t="s">
        <v>23</v>
      </c>
      <c r="D324" s="4" t="s">
        <v>43</v>
      </c>
      <c r="E324" s="4" t="s">
        <v>51</v>
      </c>
      <c r="F324" s="4" t="s">
        <v>52</v>
      </c>
      <c r="G324" s="4" t="s">
        <v>25</v>
      </c>
      <c r="H324" s="4" t="s">
        <v>25</v>
      </c>
      <c r="I324" s="5">
        <v>44531</v>
      </c>
      <c r="J324" s="6">
        <v>0</v>
      </c>
      <c r="K324" s="6">
        <v>0</v>
      </c>
      <c r="L324" s="6">
        <v>35.530999999999999</v>
      </c>
      <c r="M324" s="6">
        <v>35.530999999999999</v>
      </c>
      <c r="N324" s="6">
        <v>35.530999999999999</v>
      </c>
      <c r="O324" s="6">
        <v>35.530999999999999</v>
      </c>
      <c r="P324" s="6">
        <v>0</v>
      </c>
      <c r="Q324" s="4" t="s">
        <v>26</v>
      </c>
      <c r="R324" s="4">
        <v>0</v>
      </c>
      <c r="S324" s="4">
        <v>0</v>
      </c>
      <c r="T324" s="4">
        <v>30</v>
      </c>
      <c r="U324" s="4">
        <v>70</v>
      </c>
      <c r="V324" s="6">
        <f>IF(ISERROR(VLOOKUP($S$324,'TAR FIN'!$A$1:$O$86,15,0)),0,VLOOKUP($S$324,'TAR FIN'!$A$1:$O$86,15,0))</f>
        <v>0</v>
      </c>
      <c r="W324" s="6">
        <f>IF(ISERROR(VLOOKUP($T$324,'TAR FIN'!$A$1:$O$86,15,0)),0,VLOOKUP($T$324,'TAR FIN'!$A$1:$O$86,15,0))</f>
        <v>285.56</v>
      </c>
      <c r="X324" s="6">
        <f>IF(ISERROR(VLOOKUP($U$324,'TAR FIN'!$A$1:$O$86,15,0)),0,VLOOKUP($U$324,'TAR FIN'!$A$1:$O$86,15,0))</f>
        <v>227.23</v>
      </c>
      <c r="Y324" s="6"/>
      <c r="Z324" s="6">
        <f ca="1">('TUSD BE'!$AM$34+'TUSD BF'!$AM$34+'TUSD CVA'!$AM$34)*(1-CUSTOS!$M$38)</f>
        <v>310.34682484351242</v>
      </c>
      <c r="AA324" s="6">
        <f>('TE BE'!$AB$24+'TE BF'!$AB$24+'TE CVA'!$AB$24)*(1-CUSTOS!$M$38)</f>
        <v>216.7476358676706</v>
      </c>
      <c r="AB324" s="6">
        <f t="shared" si="20"/>
        <v>0</v>
      </c>
      <c r="AC324" s="6">
        <f>(L324-M324)*(W324+X324)+($W$254+$X$254-$W$324-$X$324)*(L324)</f>
        <v>2484.3275200000016</v>
      </c>
      <c r="AD324" s="6">
        <f t="shared" si="21"/>
        <v>0</v>
      </c>
      <c r="AE324" s="6">
        <f ca="1">(L324-M324)*(Z324+AA324)+($Z$254+$AA$254-$Z$324-$AA$324)*(L324)</f>
        <v>1195.4165925656848</v>
      </c>
      <c r="AF324" s="4" t="s">
        <v>727</v>
      </c>
    </row>
    <row r="325" spans="1:32" ht="11.25" customHeight="1" x14ac:dyDescent="0.25">
      <c r="A325" s="4" t="s">
        <v>55</v>
      </c>
      <c r="B325" s="4" t="s">
        <v>42</v>
      </c>
      <c r="C325" s="4" t="s">
        <v>23</v>
      </c>
      <c r="D325" s="4" t="s">
        <v>43</v>
      </c>
      <c r="E325" s="4" t="s">
        <v>51</v>
      </c>
      <c r="F325" s="4" t="s">
        <v>52</v>
      </c>
      <c r="G325" s="4" t="s">
        <v>25</v>
      </c>
      <c r="H325" s="4" t="s">
        <v>25</v>
      </c>
      <c r="I325" s="5">
        <v>44531</v>
      </c>
      <c r="J325" s="6">
        <v>0</v>
      </c>
      <c r="K325" s="6">
        <v>0</v>
      </c>
      <c r="L325" s="6">
        <v>0.1</v>
      </c>
      <c r="M325" s="6">
        <v>0.1</v>
      </c>
      <c r="N325" s="6">
        <v>0.1</v>
      </c>
      <c r="O325" s="6">
        <v>0.1</v>
      </c>
      <c r="P325" s="6">
        <v>0</v>
      </c>
      <c r="Q325" s="4" t="s">
        <v>26</v>
      </c>
      <c r="R325" s="4">
        <v>0</v>
      </c>
      <c r="S325" s="4">
        <v>0</v>
      </c>
      <c r="T325" s="4">
        <v>30</v>
      </c>
      <c r="U325" s="4">
        <v>70</v>
      </c>
      <c r="V325" s="6">
        <f>IF(ISERROR(VLOOKUP($S$325,'TAR FIN'!$A$1:$O$86,15,0)),0,VLOOKUP($S$325,'TAR FIN'!$A$1:$O$86,15,0))</f>
        <v>0</v>
      </c>
      <c r="W325" s="6">
        <f>IF(ISERROR(VLOOKUP($T$325,'TAR FIN'!$A$1:$O$86,15,0)),0,VLOOKUP($T$325,'TAR FIN'!$A$1:$O$86,15,0))</f>
        <v>285.56</v>
      </c>
      <c r="X325" s="6">
        <f>IF(ISERROR(VLOOKUP($U$325,'TAR FIN'!$A$1:$O$86,15,0)),0,VLOOKUP($U$325,'TAR FIN'!$A$1:$O$86,15,0))</f>
        <v>227.23</v>
      </c>
      <c r="Y325" s="6"/>
      <c r="Z325" s="6">
        <f ca="1">('TUSD BE'!$AM$34+'TUSD BF'!$AM$34+'TUSD CVA'!$AM$34)*(1-CUSTOS!$M$38)</f>
        <v>310.34682484351242</v>
      </c>
      <c r="AA325" s="6">
        <f>('TE BE'!$AB$24+'TE BF'!$AB$24+'TE CVA'!$AB$24)*(1-CUSTOS!$M$38)</f>
        <v>216.7476358676706</v>
      </c>
      <c r="AB325" s="6">
        <f t="shared" si="20"/>
        <v>0</v>
      </c>
      <c r="AC325" s="6">
        <f>(L325-M325)*(W325+X325)+($W$254+$X$254-$W$325-$X$325)*(L325)</f>
        <v>6.9920000000000044</v>
      </c>
      <c r="AD325" s="6">
        <f t="shared" si="21"/>
        <v>0</v>
      </c>
      <c r="AE325" s="6">
        <f ca="1">(L325-M325)*(Z325+AA325)+($Z$254+$AA$254-$Z$325-$AA$325)*(L325)</f>
        <v>3.3644327279437252</v>
      </c>
      <c r="AF325" s="4" t="s">
        <v>727</v>
      </c>
    </row>
    <row r="326" spans="1:32" ht="11.25" customHeight="1" x14ac:dyDescent="0.25">
      <c r="A326" s="4" t="s">
        <v>21</v>
      </c>
      <c r="B326" s="4" t="s">
        <v>42</v>
      </c>
      <c r="C326" s="4" t="s">
        <v>23</v>
      </c>
      <c r="D326" s="4" t="s">
        <v>43</v>
      </c>
      <c r="E326" s="4" t="s">
        <v>51</v>
      </c>
      <c r="F326" s="4" t="s">
        <v>52</v>
      </c>
      <c r="G326" s="4" t="s">
        <v>25</v>
      </c>
      <c r="H326" s="4" t="s">
        <v>25</v>
      </c>
      <c r="I326" s="5">
        <v>44562</v>
      </c>
      <c r="J326" s="6">
        <v>0</v>
      </c>
      <c r="K326" s="6">
        <v>0</v>
      </c>
      <c r="L326" s="6">
        <v>67.302999999999997</v>
      </c>
      <c r="M326" s="6">
        <v>67.302999999999997</v>
      </c>
      <c r="N326" s="6">
        <v>67.302999999999997</v>
      </c>
      <c r="O326" s="6">
        <v>67.302999999999997</v>
      </c>
      <c r="P326" s="6">
        <v>0</v>
      </c>
      <c r="Q326" s="4" t="s">
        <v>26</v>
      </c>
      <c r="R326" s="4">
        <v>0</v>
      </c>
      <c r="S326" s="4">
        <v>0</v>
      </c>
      <c r="T326" s="4">
        <v>30</v>
      </c>
      <c r="U326" s="4">
        <v>70</v>
      </c>
      <c r="V326" s="6">
        <f>IF(ISERROR(VLOOKUP($S$326,'TAR FIN'!$A$1:$O$86,15,0)),0,VLOOKUP($S$326,'TAR FIN'!$A$1:$O$86,15,0))</f>
        <v>0</v>
      </c>
      <c r="W326" s="6">
        <f>IF(ISERROR(VLOOKUP($T$326,'TAR FIN'!$A$1:$O$86,15,0)),0,VLOOKUP($T$326,'TAR FIN'!$A$1:$O$86,15,0))</f>
        <v>285.56</v>
      </c>
      <c r="X326" s="6">
        <f>IF(ISERROR(VLOOKUP($U$326,'TAR FIN'!$A$1:$O$86,15,0)),0,VLOOKUP($U$326,'TAR FIN'!$A$1:$O$86,15,0))</f>
        <v>227.23</v>
      </c>
      <c r="Y326" s="6"/>
      <c r="Z326" s="6">
        <f ca="1">('TUSD BE'!$AM$34+'TUSD BF'!$AM$34+'TUSD CVA'!$AM$34)*(1-CUSTOS!$M$38)</f>
        <v>310.34682484351242</v>
      </c>
      <c r="AA326" s="6">
        <f>('TE BE'!$AB$24+'TE BF'!$AB$24+'TE CVA'!$AB$24)*(1-CUSTOS!$M$38)</f>
        <v>216.7476358676706</v>
      </c>
      <c r="AB326" s="6">
        <f t="shared" si="20"/>
        <v>0</v>
      </c>
      <c r="AC326" s="6">
        <f>(L326-M326)*(W326+X326)+($W$254+$X$254-$W$326-$X$326)*(L326)</f>
        <v>4705.8257600000024</v>
      </c>
      <c r="AD326" s="6">
        <f t="shared" si="21"/>
        <v>0</v>
      </c>
      <c r="AE326" s="6">
        <f ca="1">(L326-M326)*(Z326+AA326)+($Z$254+$AA$254-$Z$326-$AA$326)*(L326)</f>
        <v>2264.364158887965</v>
      </c>
      <c r="AF326" s="4" t="s">
        <v>727</v>
      </c>
    </row>
    <row r="327" spans="1:32" ht="11.25" customHeight="1" x14ac:dyDescent="0.25">
      <c r="A327" s="4" t="s">
        <v>55</v>
      </c>
      <c r="B327" s="4" t="s">
        <v>42</v>
      </c>
      <c r="C327" s="4" t="s">
        <v>23</v>
      </c>
      <c r="D327" s="4" t="s">
        <v>43</v>
      </c>
      <c r="E327" s="4" t="s">
        <v>51</v>
      </c>
      <c r="F327" s="4" t="s">
        <v>52</v>
      </c>
      <c r="G327" s="4" t="s">
        <v>25</v>
      </c>
      <c r="H327" s="4" t="s">
        <v>25</v>
      </c>
      <c r="I327" s="5">
        <v>44562</v>
      </c>
      <c r="J327" s="6">
        <v>0</v>
      </c>
      <c r="K327" s="6">
        <v>0</v>
      </c>
      <c r="L327" s="6">
        <v>0.15</v>
      </c>
      <c r="M327" s="6">
        <v>0.15</v>
      </c>
      <c r="N327" s="6">
        <v>0.15</v>
      </c>
      <c r="O327" s="6">
        <v>0.15</v>
      </c>
      <c r="P327" s="6">
        <v>0</v>
      </c>
      <c r="Q327" s="4" t="s">
        <v>26</v>
      </c>
      <c r="R327" s="4">
        <v>0</v>
      </c>
      <c r="S327" s="4">
        <v>0</v>
      </c>
      <c r="T327" s="4">
        <v>30</v>
      </c>
      <c r="U327" s="4">
        <v>70</v>
      </c>
      <c r="V327" s="6">
        <f>IF(ISERROR(VLOOKUP($S$327,'TAR FIN'!$A$1:$O$86,15,0)),0,VLOOKUP($S$327,'TAR FIN'!$A$1:$O$86,15,0))</f>
        <v>0</v>
      </c>
      <c r="W327" s="6">
        <f>IF(ISERROR(VLOOKUP($T$327,'TAR FIN'!$A$1:$O$86,15,0)),0,VLOOKUP($T$327,'TAR FIN'!$A$1:$O$86,15,0))</f>
        <v>285.56</v>
      </c>
      <c r="X327" s="6">
        <f>IF(ISERROR(VLOOKUP($U$327,'TAR FIN'!$A$1:$O$86,15,0)),0,VLOOKUP($U$327,'TAR FIN'!$A$1:$O$86,15,0))</f>
        <v>227.23</v>
      </c>
      <c r="Y327" s="6"/>
      <c r="Z327" s="6">
        <f ca="1">('TUSD BE'!$AM$34+'TUSD BF'!$AM$34+'TUSD CVA'!$AM$34)*(1-CUSTOS!$M$38)</f>
        <v>310.34682484351242</v>
      </c>
      <c r="AA327" s="6">
        <f>('TE BE'!$AB$24+'TE BF'!$AB$24+'TE CVA'!$AB$24)*(1-CUSTOS!$M$38)</f>
        <v>216.7476358676706</v>
      </c>
      <c r="AB327" s="6">
        <f t="shared" si="20"/>
        <v>0</v>
      </c>
      <c r="AC327" s="6">
        <f>(L327-M327)*(W327+X327)+($W$254+$X$254-$W$327-$X$327)*(L327)</f>
        <v>10.488000000000007</v>
      </c>
      <c r="AD327" s="6">
        <f t="shared" si="21"/>
        <v>0</v>
      </c>
      <c r="AE327" s="6">
        <f ca="1">(L327-M327)*(Z327+AA327)+($Z$254+$AA$254-$Z$327-$AA$327)*(L327)</f>
        <v>5.0466490919155875</v>
      </c>
      <c r="AF327" s="4" t="s">
        <v>727</v>
      </c>
    </row>
    <row r="328" spans="1:32" ht="11.25" customHeight="1" x14ac:dyDescent="0.25">
      <c r="A328" s="4" t="s">
        <v>21</v>
      </c>
      <c r="B328" s="4" t="s">
        <v>42</v>
      </c>
      <c r="C328" s="4" t="s">
        <v>23</v>
      </c>
      <c r="D328" s="4" t="s">
        <v>43</v>
      </c>
      <c r="E328" s="4" t="s">
        <v>51</v>
      </c>
      <c r="F328" s="4" t="s">
        <v>52</v>
      </c>
      <c r="G328" s="4" t="s">
        <v>25</v>
      </c>
      <c r="H328" s="4" t="s">
        <v>25</v>
      </c>
      <c r="I328" s="5">
        <v>44593</v>
      </c>
      <c r="J328" s="6">
        <v>0</v>
      </c>
      <c r="K328" s="6">
        <v>0</v>
      </c>
      <c r="L328" s="6">
        <v>32.872</v>
      </c>
      <c r="M328" s="6">
        <v>32.872</v>
      </c>
      <c r="N328" s="6">
        <v>32.872</v>
      </c>
      <c r="O328" s="6">
        <v>32.872</v>
      </c>
      <c r="P328" s="6">
        <v>0</v>
      </c>
      <c r="Q328" s="4" t="s">
        <v>26</v>
      </c>
      <c r="R328" s="4">
        <v>0</v>
      </c>
      <c r="S328" s="4">
        <v>0</v>
      </c>
      <c r="T328" s="4">
        <v>30</v>
      </c>
      <c r="U328" s="4">
        <v>70</v>
      </c>
      <c r="V328" s="6">
        <f>IF(ISERROR(VLOOKUP($S$328,'TAR FIN'!$A$1:$O$86,15,0)),0,VLOOKUP($S$328,'TAR FIN'!$A$1:$O$86,15,0))</f>
        <v>0</v>
      </c>
      <c r="W328" s="6">
        <f>IF(ISERROR(VLOOKUP($T$328,'TAR FIN'!$A$1:$O$86,15,0)),0,VLOOKUP($T$328,'TAR FIN'!$A$1:$O$86,15,0))</f>
        <v>285.56</v>
      </c>
      <c r="X328" s="6">
        <f>IF(ISERROR(VLOOKUP($U$328,'TAR FIN'!$A$1:$O$86,15,0)),0,VLOOKUP($U$328,'TAR FIN'!$A$1:$O$86,15,0))</f>
        <v>227.23</v>
      </c>
      <c r="Y328" s="6"/>
      <c r="Z328" s="6">
        <f ca="1">('TUSD BE'!$AM$34+'TUSD BF'!$AM$34+'TUSD CVA'!$AM$34)*(1-CUSTOS!$M$38)</f>
        <v>310.34682484351242</v>
      </c>
      <c r="AA328" s="6">
        <f>('TE BE'!$AB$24+'TE BF'!$AB$24+'TE CVA'!$AB$24)*(1-CUSTOS!$M$38)</f>
        <v>216.7476358676706</v>
      </c>
      <c r="AB328" s="6">
        <f t="shared" si="20"/>
        <v>0</v>
      </c>
      <c r="AC328" s="6">
        <f>(L328-M328)*(W328+X328)+($W$254+$X$254-$W$328-$X$328)*(L328)</f>
        <v>2298.4102400000015</v>
      </c>
      <c r="AD328" s="6">
        <f t="shared" si="21"/>
        <v>0</v>
      </c>
      <c r="AE328" s="6">
        <f ca="1">(L328-M328)*(Z328+AA328)+($Z$254+$AA$254-$Z$328-$AA$328)*(L328)</f>
        <v>1105.9563263296614</v>
      </c>
      <c r="AF328" s="4" t="s">
        <v>727</v>
      </c>
    </row>
    <row r="329" spans="1:32" ht="11.25" customHeight="1" x14ac:dyDescent="0.25">
      <c r="A329" s="4" t="s">
        <v>55</v>
      </c>
      <c r="B329" s="4" t="s">
        <v>42</v>
      </c>
      <c r="C329" s="4" t="s">
        <v>23</v>
      </c>
      <c r="D329" s="4" t="s">
        <v>43</v>
      </c>
      <c r="E329" s="4" t="s">
        <v>51</v>
      </c>
      <c r="F329" s="4" t="s">
        <v>52</v>
      </c>
      <c r="G329" s="4" t="s">
        <v>25</v>
      </c>
      <c r="H329" s="4" t="s">
        <v>25</v>
      </c>
      <c r="I329" s="5">
        <v>44593</v>
      </c>
      <c r="J329" s="6">
        <v>0</v>
      </c>
      <c r="K329" s="6">
        <v>0</v>
      </c>
      <c r="L329" s="6">
        <v>0.1</v>
      </c>
      <c r="M329" s="6">
        <v>0.1</v>
      </c>
      <c r="N329" s="6">
        <v>0.1</v>
      </c>
      <c r="O329" s="6">
        <v>0.1</v>
      </c>
      <c r="P329" s="6">
        <v>0</v>
      </c>
      <c r="Q329" s="4" t="s">
        <v>26</v>
      </c>
      <c r="R329" s="4">
        <v>0</v>
      </c>
      <c r="S329" s="4">
        <v>0</v>
      </c>
      <c r="T329" s="4">
        <v>30</v>
      </c>
      <c r="U329" s="4">
        <v>70</v>
      </c>
      <c r="V329" s="6">
        <f>IF(ISERROR(VLOOKUP($S$329,'TAR FIN'!$A$1:$O$86,15,0)),0,VLOOKUP($S$329,'TAR FIN'!$A$1:$O$86,15,0))</f>
        <v>0</v>
      </c>
      <c r="W329" s="6">
        <f>IF(ISERROR(VLOOKUP($T$329,'TAR FIN'!$A$1:$O$86,15,0)),0,VLOOKUP($T$329,'TAR FIN'!$A$1:$O$86,15,0))</f>
        <v>285.56</v>
      </c>
      <c r="X329" s="6">
        <f>IF(ISERROR(VLOOKUP($U$329,'TAR FIN'!$A$1:$O$86,15,0)),0,VLOOKUP($U$329,'TAR FIN'!$A$1:$O$86,15,0))</f>
        <v>227.23</v>
      </c>
      <c r="Y329" s="6"/>
      <c r="Z329" s="6">
        <f ca="1">('TUSD BE'!$AM$34+'TUSD BF'!$AM$34+'TUSD CVA'!$AM$34)*(1-CUSTOS!$M$38)</f>
        <v>310.34682484351242</v>
      </c>
      <c r="AA329" s="6">
        <f>('TE BE'!$AB$24+'TE BF'!$AB$24+'TE CVA'!$AB$24)*(1-CUSTOS!$M$38)</f>
        <v>216.7476358676706</v>
      </c>
      <c r="AB329" s="6">
        <f t="shared" si="20"/>
        <v>0</v>
      </c>
      <c r="AC329" s="6">
        <f>(L329-M329)*(W329+X329)+($W$254+$X$254-$W$329-$X$329)*(L329)</f>
        <v>6.9920000000000044</v>
      </c>
      <c r="AD329" s="6">
        <f t="shared" si="21"/>
        <v>0</v>
      </c>
      <c r="AE329" s="6">
        <f ca="1">(L329-M329)*(Z329+AA329)+($Z$254+$AA$254-$Z$329-$AA$329)*(L329)</f>
        <v>3.3644327279437252</v>
      </c>
      <c r="AF329" s="4" t="s">
        <v>727</v>
      </c>
    </row>
    <row r="330" spans="1:32" ht="11.25" customHeight="1" x14ac:dyDescent="0.25">
      <c r="A330" s="4" t="s">
        <v>21</v>
      </c>
      <c r="B330" s="4" t="s">
        <v>42</v>
      </c>
      <c r="C330" s="4" t="s">
        <v>23</v>
      </c>
      <c r="D330" s="4" t="s">
        <v>43</v>
      </c>
      <c r="E330" s="4" t="s">
        <v>51</v>
      </c>
      <c r="F330" s="4" t="s">
        <v>52</v>
      </c>
      <c r="G330" s="4" t="s">
        <v>25</v>
      </c>
      <c r="H330" s="4" t="s">
        <v>25</v>
      </c>
      <c r="I330" s="5">
        <v>44621</v>
      </c>
      <c r="J330" s="6">
        <v>0</v>
      </c>
      <c r="K330" s="6">
        <v>0</v>
      </c>
      <c r="L330" s="6">
        <v>23.164999999999999</v>
      </c>
      <c r="M330" s="6">
        <v>23.164999999999999</v>
      </c>
      <c r="N330" s="6">
        <v>23.164999999999999</v>
      </c>
      <c r="O330" s="6">
        <v>23.164999999999999</v>
      </c>
      <c r="P330" s="6">
        <v>0</v>
      </c>
      <c r="Q330" s="4" t="s">
        <v>26</v>
      </c>
      <c r="R330" s="4">
        <v>0</v>
      </c>
      <c r="S330" s="4">
        <v>0</v>
      </c>
      <c r="T330" s="4">
        <v>30</v>
      </c>
      <c r="U330" s="4">
        <v>70</v>
      </c>
      <c r="V330" s="6">
        <f>IF(ISERROR(VLOOKUP($S$330,'TAR FIN'!$A$1:$O$86,15,0)),0,VLOOKUP($S$330,'TAR FIN'!$A$1:$O$86,15,0))</f>
        <v>0</v>
      </c>
      <c r="W330" s="6">
        <f>IF(ISERROR(VLOOKUP($T$330,'TAR FIN'!$A$1:$O$86,15,0)),0,VLOOKUP($T$330,'TAR FIN'!$A$1:$O$86,15,0))</f>
        <v>285.56</v>
      </c>
      <c r="X330" s="6">
        <f>IF(ISERROR(VLOOKUP($U$330,'TAR FIN'!$A$1:$O$86,15,0)),0,VLOOKUP($U$330,'TAR FIN'!$A$1:$O$86,15,0))</f>
        <v>227.23</v>
      </c>
      <c r="Y330" s="6"/>
      <c r="Z330" s="6">
        <f ca="1">('TUSD BE'!$AM$34+'TUSD BF'!$AM$34+'TUSD CVA'!$AM$34)*(1-CUSTOS!$M$38)</f>
        <v>310.34682484351242</v>
      </c>
      <c r="AA330" s="6">
        <f>('TE BE'!$AB$24+'TE BF'!$AB$24+'TE CVA'!$AB$24)*(1-CUSTOS!$M$38)</f>
        <v>216.7476358676706</v>
      </c>
      <c r="AB330" s="6">
        <f t="shared" si="20"/>
        <v>0</v>
      </c>
      <c r="AC330" s="6">
        <f>(L330-M330)*(W330+X330)+($W$254+$X$254-$W$330-$X$330)*(L330)</f>
        <v>1619.6968000000011</v>
      </c>
      <c r="AD330" s="6">
        <f t="shared" si="21"/>
        <v>0</v>
      </c>
      <c r="AE330" s="6">
        <f ca="1">(L330-M330)*(Z330+AA330)+($Z$254+$AA$254-$Z$330-$AA$330)*(L330)</f>
        <v>779.37084142816389</v>
      </c>
      <c r="AF330" s="4" t="s">
        <v>727</v>
      </c>
    </row>
    <row r="331" spans="1:32" ht="11.25" customHeight="1" x14ac:dyDescent="0.25">
      <c r="A331" s="4" t="s">
        <v>55</v>
      </c>
      <c r="B331" s="4" t="s">
        <v>42</v>
      </c>
      <c r="C331" s="4" t="s">
        <v>23</v>
      </c>
      <c r="D331" s="4" t="s">
        <v>43</v>
      </c>
      <c r="E331" s="4" t="s">
        <v>51</v>
      </c>
      <c r="F331" s="4" t="s">
        <v>52</v>
      </c>
      <c r="G331" s="4" t="s">
        <v>25</v>
      </c>
      <c r="H331" s="4" t="s">
        <v>25</v>
      </c>
      <c r="I331" s="5">
        <v>44621</v>
      </c>
      <c r="J331" s="6">
        <v>0</v>
      </c>
      <c r="K331" s="6">
        <v>0</v>
      </c>
      <c r="L331" s="6">
        <v>0.1</v>
      </c>
      <c r="M331" s="6">
        <v>0.1</v>
      </c>
      <c r="N331" s="6">
        <v>0.1</v>
      </c>
      <c r="O331" s="6">
        <v>0.1</v>
      </c>
      <c r="P331" s="6">
        <v>0</v>
      </c>
      <c r="Q331" s="4" t="s">
        <v>26</v>
      </c>
      <c r="R331" s="4">
        <v>0</v>
      </c>
      <c r="S331" s="4">
        <v>0</v>
      </c>
      <c r="T331" s="4">
        <v>30</v>
      </c>
      <c r="U331" s="4">
        <v>70</v>
      </c>
      <c r="V331" s="6">
        <f>IF(ISERROR(VLOOKUP($S$331,'TAR FIN'!$A$1:$O$86,15,0)),0,VLOOKUP($S$331,'TAR FIN'!$A$1:$O$86,15,0))</f>
        <v>0</v>
      </c>
      <c r="W331" s="6">
        <f>IF(ISERROR(VLOOKUP($T$331,'TAR FIN'!$A$1:$O$86,15,0)),0,VLOOKUP($T$331,'TAR FIN'!$A$1:$O$86,15,0))</f>
        <v>285.56</v>
      </c>
      <c r="X331" s="6">
        <f>IF(ISERROR(VLOOKUP($U$331,'TAR FIN'!$A$1:$O$86,15,0)),0,VLOOKUP($U$331,'TAR FIN'!$A$1:$O$86,15,0))</f>
        <v>227.23</v>
      </c>
      <c r="Y331" s="6"/>
      <c r="Z331" s="6">
        <f ca="1">('TUSD BE'!$AM$34+'TUSD BF'!$AM$34+'TUSD CVA'!$AM$34)*(1-CUSTOS!$M$38)</f>
        <v>310.34682484351242</v>
      </c>
      <c r="AA331" s="6">
        <f>('TE BE'!$AB$24+'TE BF'!$AB$24+'TE CVA'!$AB$24)*(1-CUSTOS!$M$38)</f>
        <v>216.7476358676706</v>
      </c>
      <c r="AB331" s="6">
        <f t="shared" si="20"/>
        <v>0</v>
      </c>
      <c r="AC331" s="6">
        <f>(L331-M331)*(W331+X331)+($W$254+$X$254-$W$331-$X$331)*(L331)</f>
        <v>6.9920000000000044</v>
      </c>
      <c r="AD331" s="6">
        <f t="shared" si="21"/>
        <v>0</v>
      </c>
      <c r="AE331" s="6">
        <f ca="1">(L331-M331)*(Z331+AA331)+($Z$254+$AA$254-$Z$331-$AA$331)*(L331)</f>
        <v>3.3644327279437252</v>
      </c>
      <c r="AF331" s="4" t="s">
        <v>727</v>
      </c>
    </row>
    <row r="332" spans="1:32" ht="11.25" customHeight="1" x14ac:dyDescent="0.25">
      <c r="A332" s="4" t="s">
        <v>21</v>
      </c>
      <c r="B332" s="4" t="s">
        <v>42</v>
      </c>
      <c r="C332" s="4" t="s">
        <v>23</v>
      </c>
      <c r="D332" s="4" t="s">
        <v>43</v>
      </c>
      <c r="E332" s="4" t="s">
        <v>51</v>
      </c>
      <c r="F332" s="4" t="s">
        <v>52</v>
      </c>
      <c r="G332" s="4" t="s">
        <v>25</v>
      </c>
      <c r="H332" s="4" t="s">
        <v>25</v>
      </c>
      <c r="I332" s="5">
        <v>44652</v>
      </c>
      <c r="J332" s="6">
        <v>0</v>
      </c>
      <c r="K332" s="6">
        <v>0</v>
      </c>
      <c r="L332" s="6">
        <v>7.4290000000000003</v>
      </c>
      <c r="M332" s="6">
        <v>7.4290000000000003</v>
      </c>
      <c r="N332" s="6">
        <v>7.4290000000000003</v>
      </c>
      <c r="O332" s="6">
        <v>7.4290000000000003</v>
      </c>
      <c r="P332" s="6">
        <v>0</v>
      </c>
      <c r="Q332" s="4" t="s">
        <v>26</v>
      </c>
      <c r="R332" s="4">
        <v>0</v>
      </c>
      <c r="S332" s="4">
        <v>0</v>
      </c>
      <c r="T332" s="4">
        <v>30</v>
      </c>
      <c r="U332" s="4">
        <v>70</v>
      </c>
      <c r="V332" s="6">
        <f>IF(ISERROR(VLOOKUP($S$332,'TAR FIN'!$A$1:$O$86,15,0)),0,VLOOKUP($S$332,'TAR FIN'!$A$1:$O$86,15,0))</f>
        <v>0</v>
      </c>
      <c r="W332" s="6">
        <f>IF(ISERROR(VLOOKUP($T$332,'TAR FIN'!$A$1:$O$86,15,0)),0,VLOOKUP($T$332,'TAR FIN'!$A$1:$O$86,15,0))</f>
        <v>285.56</v>
      </c>
      <c r="X332" s="6">
        <f>IF(ISERROR(VLOOKUP($U$332,'TAR FIN'!$A$1:$O$86,15,0)),0,VLOOKUP($U$332,'TAR FIN'!$A$1:$O$86,15,0))</f>
        <v>227.23</v>
      </c>
      <c r="Y332" s="6"/>
      <c r="Z332" s="6">
        <f ca="1">('TUSD BE'!$AM$34+'TUSD BF'!$AM$34+'TUSD CVA'!$AM$34)*(1-CUSTOS!$M$38)</f>
        <v>310.34682484351242</v>
      </c>
      <c r="AA332" s="6">
        <f>('TE BE'!$AB$24+'TE BF'!$AB$24+'TE CVA'!$AB$24)*(1-CUSTOS!$M$38)</f>
        <v>216.7476358676706</v>
      </c>
      <c r="AB332" s="6">
        <f t="shared" si="20"/>
        <v>0</v>
      </c>
      <c r="AC332" s="6">
        <f>(L332-M332)*(W332+X332)+($W$254+$X$254-$W$332-$X$332)*(L332)</f>
        <v>519.43568000000039</v>
      </c>
      <c r="AD332" s="6">
        <f t="shared" si="21"/>
        <v>0</v>
      </c>
      <c r="AE332" s="6">
        <f ca="1">(L332-M332)*(Z332+AA332)+($Z$254+$AA$254-$Z$332-$AA$332)*(L332)</f>
        <v>249.94370735893932</v>
      </c>
      <c r="AF332" s="4" t="s">
        <v>727</v>
      </c>
    </row>
    <row r="333" spans="1:32" ht="11.25" customHeight="1" x14ac:dyDescent="0.25">
      <c r="A333" s="4" t="s">
        <v>55</v>
      </c>
      <c r="B333" s="4" t="s">
        <v>42</v>
      </c>
      <c r="C333" s="4" t="s">
        <v>23</v>
      </c>
      <c r="D333" s="4" t="s">
        <v>43</v>
      </c>
      <c r="E333" s="4" t="s">
        <v>51</v>
      </c>
      <c r="F333" s="4" t="s">
        <v>52</v>
      </c>
      <c r="G333" s="4" t="s">
        <v>25</v>
      </c>
      <c r="H333" s="4" t="s">
        <v>25</v>
      </c>
      <c r="I333" s="5">
        <v>44652</v>
      </c>
      <c r="J333" s="6">
        <v>0</v>
      </c>
      <c r="K333" s="6">
        <v>0</v>
      </c>
      <c r="L333" s="6">
        <v>0.15</v>
      </c>
      <c r="M333" s="6">
        <v>0.15</v>
      </c>
      <c r="N333" s="6">
        <v>0.15</v>
      </c>
      <c r="O333" s="6">
        <v>0.15</v>
      </c>
      <c r="P333" s="6">
        <v>0</v>
      </c>
      <c r="Q333" s="4" t="s">
        <v>26</v>
      </c>
      <c r="R333" s="4">
        <v>0</v>
      </c>
      <c r="S333" s="4">
        <v>0</v>
      </c>
      <c r="T333" s="4">
        <v>30</v>
      </c>
      <c r="U333" s="4">
        <v>70</v>
      </c>
      <c r="V333" s="6">
        <f>IF(ISERROR(VLOOKUP($S$333,'TAR FIN'!$A$1:$O$86,15,0)),0,VLOOKUP($S$333,'TAR FIN'!$A$1:$O$86,15,0))</f>
        <v>0</v>
      </c>
      <c r="W333" s="6">
        <f>IF(ISERROR(VLOOKUP($T$333,'TAR FIN'!$A$1:$O$86,15,0)),0,VLOOKUP($T$333,'TAR FIN'!$A$1:$O$86,15,0))</f>
        <v>285.56</v>
      </c>
      <c r="X333" s="6">
        <f>IF(ISERROR(VLOOKUP($U$333,'TAR FIN'!$A$1:$O$86,15,0)),0,VLOOKUP($U$333,'TAR FIN'!$A$1:$O$86,15,0))</f>
        <v>227.23</v>
      </c>
      <c r="Y333" s="6"/>
      <c r="Z333" s="6">
        <f ca="1">('TUSD BE'!$AM$34+'TUSD BF'!$AM$34+'TUSD CVA'!$AM$34)*(1-CUSTOS!$M$38)</f>
        <v>310.34682484351242</v>
      </c>
      <c r="AA333" s="6">
        <f>('TE BE'!$AB$24+'TE BF'!$AB$24+'TE CVA'!$AB$24)*(1-CUSTOS!$M$38)</f>
        <v>216.7476358676706</v>
      </c>
      <c r="AB333" s="6">
        <f t="shared" si="20"/>
        <v>0</v>
      </c>
      <c r="AC333" s="6">
        <f>(L333-M333)*(W333+X333)+($W$254+$X$254-$W$333-$X$333)*(L333)</f>
        <v>10.488000000000007</v>
      </c>
      <c r="AD333" s="6">
        <f t="shared" si="21"/>
        <v>0</v>
      </c>
      <c r="AE333" s="6">
        <f ca="1">(L333-M333)*(Z333+AA333)+($Z$254+$AA$254-$Z$333-$AA$333)*(L333)</f>
        <v>5.0466490919155875</v>
      </c>
      <c r="AF333" s="4" t="s">
        <v>727</v>
      </c>
    </row>
    <row r="334" spans="1:32" ht="11.25" customHeight="1" x14ac:dyDescent="0.25">
      <c r="A334" s="4" t="s">
        <v>21</v>
      </c>
      <c r="B334" s="4" t="s">
        <v>42</v>
      </c>
      <c r="C334" s="4" t="s">
        <v>23</v>
      </c>
      <c r="D334" s="4" t="s">
        <v>43</v>
      </c>
      <c r="E334" s="4" t="s">
        <v>51</v>
      </c>
      <c r="F334" s="4" t="s">
        <v>52</v>
      </c>
      <c r="G334" s="4" t="s">
        <v>25</v>
      </c>
      <c r="H334" s="4" t="s">
        <v>25</v>
      </c>
      <c r="I334" s="5">
        <v>44682</v>
      </c>
      <c r="J334" s="6">
        <v>0</v>
      </c>
      <c r="K334" s="6">
        <v>0</v>
      </c>
      <c r="L334" s="6">
        <v>6.1859999999999999</v>
      </c>
      <c r="M334" s="6">
        <v>6.1859999999999999</v>
      </c>
      <c r="N334" s="6">
        <v>6.1859999999999999</v>
      </c>
      <c r="O334" s="6">
        <v>6.1859999999999999</v>
      </c>
      <c r="P334" s="6">
        <v>0</v>
      </c>
      <c r="Q334" s="4" t="s">
        <v>26</v>
      </c>
      <c r="R334" s="4">
        <v>0</v>
      </c>
      <c r="S334" s="4">
        <v>0</v>
      </c>
      <c r="T334" s="4">
        <v>30</v>
      </c>
      <c r="U334" s="4">
        <v>70</v>
      </c>
      <c r="V334" s="6">
        <f>IF(ISERROR(VLOOKUP($S$334,'TAR FIN'!$A$1:$O$86,15,0)),0,VLOOKUP($S$334,'TAR FIN'!$A$1:$O$86,15,0))</f>
        <v>0</v>
      </c>
      <c r="W334" s="6">
        <f>IF(ISERROR(VLOOKUP($T$334,'TAR FIN'!$A$1:$O$86,15,0)),0,VLOOKUP($T$334,'TAR FIN'!$A$1:$O$86,15,0))</f>
        <v>285.56</v>
      </c>
      <c r="X334" s="6">
        <f>IF(ISERROR(VLOOKUP($U$334,'TAR FIN'!$A$1:$O$86,15,0)),0,VLOOKUP($U$334,'TAR FIN'!$A$1:$O$86,15,0))</f>
        <v>227.23</v>
      </c>
      <c r="Y334" s="6"/>
      <c r="Z334" s="6">
        <f ca="1">('TUSD BE'!$AM$34+'TUSD BF'!$AM$34+'TUSD CVA'!$AM$34)*(1-CUSTOS!$M$38)</f>
        <v>310.34682484351242</v>
      </c>
      <c r="AA334" s="6">
        <f>('TE BE'!$AB$24+'TE BF'!$AB$24+'TE CVA'!$AB$24)*(1-CUSTOS!$M$38)</f>
        <v>216.7476358676706</v>
      </c>
      <c r="AB334" s="6">
        <f t="shared" si="20"/>
        <v>0</v>
      </c>
      <c r="AC334" s="6">
        <f>(L334-M334)*(W334+X334)+($W$254+$X$254-$W$334-$X$334)*(L334)</f>
        <v>432.52512000000024</v>
      </c>
      <c r="AD334" s="6">
        <f t="shared" si="21"/>
        <v>0</v>
      </c>
      <c r="AE334" s="6">
        <f ca="1">(L334-M334)*(Z334+AA334)+($Z$254+$AA$254-$Z$334-$AA$334)*(L334)</f>
        <v>208.12380855059882</v>
      </c>
      <c r="AF334" s="4" t="s">
        <v>727</v>
      </c>
    </row>
    <row r="335" spans="1:32" ht="11.25" customHeight="1" x14ac:dyDescent="0.25">
      <c r="A335" s="4" t="s">
        <v>56</v>
      </c>
      <c r="B335" s="4" t="s">
        <v>42</v>
      </c>
      <c r="C335" s="4" t="s">
        <v>23</v>
      </c>
      <c r="D335" s="4" t="s">
        <v>43</v>
      </c>
      <c r="E335" s="4" t="s">
        <v>51</v>
      </c>
      <c r="F335" s="4" t="s">
        <v>52</v>
      </c>
      <c r="G335" s="4" t="s">
        <v>25</v>
      </c>
      <c r="H335" s="4" t="s">
        <v>25</v>
      </c>
      <c r="I335" s="5">
        <v>44713</v>
      </c>
      <c r="J335" s="6">
        <v>0</v>
      </c>
      <c r="K335" s="6">
        <v>0</v>
      </c>
      <c r="L335" s="6">
        <v>6.1859999999999999</v>
      </c>
      <c r="M335" s="6">
        <v>6.1859999999999999</v>
      </c>
      <c r="N335" s="6">
        <v>6.1859999999999999</v>
      </c>
      <c r="O335" s="6">
        <v>6.1859999999999999</v>
      </c>
      <c r="P335" s="6">
        <v>0</v>
      </c>
      <c r="Q335" s="4" t="s">
        <v>26</v>
      </c>
      <c r="R335" s="4">
        <v>0</v>
      </c>
      <c r="S335" s="4">
        <v>0</v>
      </c>
      <c r="T335" s="4">
        <v>30</v>
      </c>
      <c r="U335" s="4">
        <v>70</v>
      </c>
      <c r="V335" s="6">
        <f>IF(ISERROR(VLOOKUP($S$335,'TAR FIN'!$A$1:$O$86,15,0)),0,VLOOKUP($S$335,'TAR FIN'!$A$1:$O$86,15,0))</f>
        <v>0</v>
      </c>
      <c r="W335" s="6">
        <f>IF(ISERROR(VLOOKUP($T$335,'TAR FIN'!$A$1:$O$86,15,0)),0,VLOOKUP($T$335,'TAR FIN'!$A$1:$O$86,15,0))</f>
        <v>285.56</v>
      </c>
      <c r="X335" s="6">
        <f>IF(ISERROR(VLOOKUP($U$335,'TAR FIN'!$A$1:$O$86,15,0)),0,VLOOKUP($U$335,'TAR FIN'!$A$1:$O$86,15,0))</f>
        <v>227.23</v>
      </c>
      <c r="Y335" s="6"/>
      <c r="Z335" s="6">
        <f ca="1">('TUSD BE'!$AM$34+'TUSD BF'!$AM$34+'TUSD CVA'!$AM$34)*(1-CUSTOS!$M$38)</f>
        <v>310.34682484351242</v>
      </c>
      <c r="AA335" s="6">
        <f>('TE BE'!$AB$24+'TE BF'!$AB$24+'TE CVA'!$AB$24)*(1-CUSTOS!$M$38)</f>
        <v>216.7476358676706</v>
      </c>
      <c r="AB335" s="6">
        <f t="shared" si="20"/>
        <v>0</v>
      </c>
      <c r="AC335" s="6">
        <f>(L335-M335)*(W335+X335)+($W$254+$X$254-$W$335-$X$335)*(L335)</f>
        <v>432.52512000000024</v>
      </c>
      <c r="AD335" s="6">
        <f t="shared" si="21"/>
        <v>0</v>
      </c>
      <c r="AE335" s="6">
        <f ca="1">(L335-M335)*(Z335+AA335)+($Z$254+$AA$254-$Z$335-$AA$335)*(L335)</f>
        <v>208.12380855059882</v>
      </c>
      <c r="AF335" s="4" t="s">
        <v>727</v>
      </c>
    </row>
    <row r="336" spans="1:32" ht="11.25" customHeight="1" x14ac:dyDescent="0.25">
      <c r="A336" s="4" t="s">
        <v>21</v>
      </c>
      <c r="B336" s="4" t="s">
        <v>42</v>
      </c>
      <c r="C336" s="4" t="s">
        <v>23</v>
      </c>
      <c r="D336" s="4" t="s">
        <v>43</v>
      </c>
      <c r="E336" s="4" t="s">
        <v>51</v>
      </c>
      <c r="F336" s="4" t="s">
        <v>53</v>
      </c>
      <c r="G336" s="4" t="s">
        <v>25</v>
      </c>
      <c r="H336" s="4" t="s">
        <v>25</v>
      </c>
      <c r="I336" s="5">
        <v>44378</v>
      </c>
      <c r="J336" s="6">
        <v>0</v>
      </c>
      <c r="K336" s="6">
        <v>0</v>
      </c>
      <c r="L336" s="6">
        <v>1.282</v>
      </c>
      <c r="M336" s="6">
        <v>0.51280000000000003</v>
      </c>
      <c r="N336" s="6">
        <v>1.282</v>
      </c>
      <c r="O336" s="6">
        <v>0.51280000000000003</v>
      </c>
      <c r="P336" s="6">
        <v>0</v>
      </c>
      <c r="Q336" s="4" t="s">
        <v>26</v>
      </c>
      <c r="R336" s="4">
        <v>0</v>
      </c>
      <c r="S336" s="4">
        <v>0</v>
      </c>
      <c r="T336" s="4">
        <v>30</v>
      </c>
      <c r="U336" s="4">
        <v>70</v>
      </c>
      <c r="V336" s="6">
        <f>IF(ISERROR(VLOOKUP($S$336,'TAR FIN'!$A$1:$O$86,15,0)),0,VLOOKUP($S$336,'TAR FIN'!$A$1:$O$86,15,0))</f>
        <v>0</v>
      </c>
      <c r="W336" s="6">
        <f>IF(ISERROR(VLOOKUP($T$336,'TAR FIN'!$A$1:$O$86,15,0)),0,VLOOKUP($T$336,'TAR FIN'!$A$1:$O$86,15,0))</f>
        <v>285.56</v>
      </c>
      <c r="X336" s="6">
        <f>IF(ISERROR(VLOOKUP($U$336,'TAR FIN'!$A$1:$O$86,15,0)),0,VLOOKUP($U$336,'TAR FIN'!$A$1:$O$86,15,0))</f>
        <v>227.23</v>
      </c>
      <c r="Y336" s="6"/>
      <c r="Z336" s="6">
        <f ca="1">('TUSD BE'!$AM$34+'TUSD BF'!$AM$34+'TUSD CVA'!$AM$34)*(1-CUSTOS!$M$38)</f>
        <v>310.34682484351242</v>
      </c>
      <c r="AA336" s="6">
        <f>('TE BE'!$AB$24+'TE BF'!$AB$24+'TE CVA'!$AB$24)*(1-CUSTOS!$M$38)</f>
        <v>216.7476358676706</v>
      </c>
      <c r="AB336" s="6">
        <f t="shared" si="20"/>
        <v>0</v>
      </c>
      <c r="AC336" s="6">
        <f>(L336-M336)*(W336+X336)+($W$254+$X$254-$W$336-$X$336)*(L336)</f>
        <v>484.07550800000001</v>
      </c>
      <c r="AD336" s="6">
        <f t="shared" si="21"/>
        <v>0</v>
      </c>
      <c r="AE336" s="6">
        <f ca="1">(L336-M336)*(Z336+AA336)+($Z$254+$AA$254-$Z$336-$AA$336)*(L336)</f>
        <v>448.57308675128053</v>
      </c>
      <c r="AF336" s="4" t="s">
        <v>728</v>
      </c>
    </row>
    <row r="337" spans="1:32" ht="11.25" customHeight="1" x14ac:dyDescent="0.25">
      <c r="A337" s="4" t="s">
        <v>21</v>
      </c>
      <c r="B337" s="4" t="s">
        <v>42</v>
      </c>
      <c r="C337" s="4" t="s">
        <v>23</v>
      </c>
      <c r="D337" s="4" t="s">
        <v>43</v>
      </c>
      <c r="E337" s="4" t="s">
        <v>51</v>
      </c>
      <c r="F337" s="4" t="s">
        <v>53</v>
      </c>
      <c r="G337" s="4" t="s">
        <v>25</v>
      </c>
      <c r="H337" s="4" t="s">
        <v>25</v>
      </c>
      <c r="I337" s="5">
        <v>44409</v>
      </c>
      <c r="J337" s="6">
        <v>0</v>
      </c>
      <c r="K337" s="6">
        <v>0</v>
      </c>
      <c r="L337" s="6">
        <v>0.92400000000000004</v>
      </c>
      <c r="M337" s="6">
        <v>0.36959999999999998</v>
      </c>
      <c r="N337" s="6">
        <v>0.92400000000000004</v>
      </c>
      <c r="O337" s="6">
        <v>0.36959999999999998</v>
      </c>
      <c r="P337" s="6">
        <v>0</v>
      </c>
      <c r="Q337" s="4" t="s">
        <v>26</v>
      </c>
      <c r="R337" s="4">
        <v>0</v>
      </c>
      <c r="S337" s="4">
        <v>0</v>
      </c>
      <c r="T337" s="4">
        <v>30</v>
      </c>
      <c r="U337" s="4">
        <v>70</v>
      </c>
      <c r="V337" s="6">
        <f>IF(ISERROR(VLOOKUP($S$337,'TAR FIN'!$A$1:$O$86,15,0)),0,VLOOKUP($S$337,'TAR FIN'!$A$1:$O$86,15,0))</f>
        <v>0</v>
      </c>
      <c r="W337" s="6">
        <f>IF(ISERROR(VLOOKUP($T$337,'TAR FIN'!$A$1:$O$86,15,0)),0,VLOOKUP($T$337,'TAR FIN'!$A$1:$O$86,15,0))</f>
        <v>285.56</v>
      </c>
      <c r="X337" s="6">
        <f>IF(ISERROR(VLOOKUP($U$337,'TAR FIN'!$A$1:$O$86,15,0)),0,VLOOKUP($U$337,'TAR FIN'!$A$1:$O$86,15,0))</f>
        <v>227.23</v>
      </c>
      <c r="Y337" s="6"/>
      <c r="Z337" s="6">
        <f ca="1">('TUSD BE'!$AM$34+'TUSD BF'!$AM$34+'TUSD CVA'!$AM$34)*(1-CUSTOS!$M$38)</f>
        <v>310.34682484351242</v>
      </c>
      <c r="AA337" s="6">
        <f>('TE BE'!$AB$24+'TE BF'!$AB$24+'TE CVA'!$AB$24)*(1-CUSTOS!$M$38)</f>
        <v>216.7476358676706</v>
      </c>
      <c r="AB337" s="6">
        <f t="shared" si="20"/>
        <v>0</v>
      </c>
      <c r="AC337" s="6">
        <f>(L337-M337)*(W337+X337)+($W$254+$X$254-$W$337-$X$337)*(L337)</f>
        <v>348.89685600000007</v>
      </c>
      <c r="AD337" s="6">
        <f t="shared" si="21"/>
        <v>0</v>
      </c>
      <c r="AE337" s="6">
        <f ca="1">(L337-M337)*(Z337+AA337)+($Z$254+$AA$254-$Z$337-$AA$337)*(L337)</f>
        <v>323.30852742447991</v>
      </c>
      <c r="AF337" s="4" t="s">
        <v>728</v>
      </c>
    </row>
    <row r="338" spans="1:32" ht="11.25" customHeight="1" x14ac:dyDescent="0.25">
      <c r="A338" s="4" t="s">
        <v>55</v>
      </c>
      <c r="B338" s="4" t="s">
        <v>42</v>
      </c>
      <c r="C338" s="4" t="s">
        <v>23</v>
      </c>
      <c r="D338" s="4" t="s">
        <v>43</v>
      </c>
      <c r="E338" s="4" t="s">
        <v>51</v>
      </c>
      <c r="F338" s="4" t="s">
        <v>53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9.5000000000000001E-2</v>
      </c>
      <c r="M338" s="6">
        <v>9.5000000000000001E-2</v>
      </c>
      <c r="N338" s="6">
        <v>9.5000000000000001E-2</v>
      </c>
      <c r="O338" s="6">
        <v>9.5000000000000001E-2</v>
      </c>
      <c r="P338" s="6">
        <v>0</v>
      </c>
      <c r="Q338" s="4" t="s">
        <v>26</v>
      </c>
      <c r="R338" s="4">
        <v>0</v>
      </c>
      <c r="S338" s="4">
        <v>0</v>
      </c>
      <c r="T338" s="4">
        <v>30</v>
      </c>
      <c r="U338" s="4">
        <v>70</v>
      </c>
      <c r="V338" s="6">
        <f>IF(ISERROR(VLOOKUP($S$338,'TAR FIN'!$A$1:$O$86,15,0)),0,VLOOKUP($S$338,'TAR FIN'!$A$1:$O$86,15,0))</f>
        <v>0</v>
      </c>
      <c r="W338" s="6">
        <f>IF(ISERROR(VLOOKUP($T$338,'TAR FIN'!$A$1:$O$86,15,0)),0,VLOOKUP($T$338,'TAR FIN'!$A$1:$O$86,15,0))</f>
        <v>285.56</v>
      </c>
      <c r="X338" s="6">
        <f>IF(ISERROR(VLOOKUP($U$338,'TAR FIN'!$A$1:$O$86,15,0)),0,VLOOKUP($U$338,'TAR FIN'!$A$1:$O$86,15,0))</f>
        <v>227.23</v>
      </c>
      <c r="Y338" s="6"/>
      <c r="Z338" s="6">
        <f ca="1">('TUSD BE'!$AM$34+'TUSD BF'!$AM$34+'TUSD CVA'!$AM$34)*(1-CUSTOS!$M$38)</f>
        <v>310.34682484351242</v>
      </c>
      <c r="AA338" s="6">
        <f>('TE BE'!$AB$24+'TE BF'!$AB$24+'TE CVA'!$AB$24)*(1-CUSTOS!$M$38)</f>
        <v>216.7476358676706</v>
      </c>
      <c r="AB338" s="6">
        <f t="shared" si="20"/>
        <v>0</v>
      </c>
      <c r="AC338" s="6">
        <f>(L338-M338)*(W338+X338)+($W$254+$X$254-$W$338-$X$338)*(L338)</f>
        <v>6.6424000000000039</v>
      </c>
      <c r="AD338" s="6">
        <f t="shared" si="21"/>
        <v>0</v>
      </c>
      <c r="AE338" s="6">
        <f ca="1">(L338-M338)*(Z338+AA338)+($Z$254+$AA$254-$Z$338-$AA$338)*(L338)</f>
        <v>3.1962110915465387</v>
      </c>
      <c r="AF338" s="4" t="s">
        <v>727</v>
      </c>
    </row>
    <row r="339" spans="1:32" ht="11.25" customHeight="1" x14ac:dyDescent="0.25">
      <c r="A339" s="4" t="s">
        <v>21</v>
      </c>
      <c r="B339" s="4" t="s">
        <v>42</v>
      </c>
      <c r="C339" s="4" t="s">
        <v>23</v>
      </c>
      <c r="D339" s="4" t="s">
        <v>43</v>
      </c>
      <c r="E339" s="4" t="s">
        <v>51</v>
      </c>
      <c r="F339" s="4" t="s">
        <v>53</v>
      </c>
      <c r="G339" s="4" t="s">
        <v>25</v>
      </c>
      <c r="H339" s="4" t="s">
        <v>25</v>
      </c>
      <c r="I339" s="5">
        <v>44440</v>
      </c>
      <c r="J339" s="6">
        <v>0</v>
      </c>
      <c r="K339" s="6">
        <v>0</v>
      </c>
      <c r="L339" s="6">
        <v>1.5880000000000001</v>
      </c>
      <c r="M339" s="6">
        <v>0.63519999999999999</v>
      </c>
      <c r="N339" s="6">
        <v>1.5880000000000001</v>
      </c>
      <c r="O339" s="6">
        <v>0.63519999999999999</v>
      </c>
      <c r="P339" s="6">
        <v>0</v>
      </c>
      <c r="Q339" s="4" t="s">
        <v>26</v>
      </c>
      <c r="R339" s="4">
        <v>0</v>
      </c>
      <c r="S339" s="4">
        <v>0</v>
      </c>
      <c r="T339" s="4">
        <v>30</v>
      </c>
      <c r="U339" s="4">
        <v>70</v>
      </c>
      <c r="V339" s="6">
        <f>IF(ISERROR(VLOOKUP($S$339,'TAR FIN'!$A$1:$O$86,15,0)),0,VLOOKUP($S$339,'TAR FIN'!$A$1:$O$86,15,0))</f>
        <v>0</v>
      </c>
      <c r="W339" s="6">
        <f>IF(ISERROR(VLOOKUP($T$339,'TAR FIN'!$A$1:$O$86,15,0)),0,VLOOKUP($T$339,'TAR FIN'!$A$1:$O$86,15,0))</f>
        <v>285.56</v>
      </c>
      <c r="X339" s="6">
        <f>IF(ISERROR(VLOOKUP($U$339,'TAR FIN'!$A$1:$O$86,15,0)),0,VLOOKUP($U$339,'TAR FIN'!$A$1:$O$86,15,0))</f>
        <v>227.23</v>
      </c>
      <c r="Y339" s="6"/>
      <c r="Z339" s="6">
        <f ca="1">('TUSD BE'!$AM$34+'TUSD BF'!$AM$34+'TUSD CVA'!$AM$34)*(1-CUSTOS!$M$38)</f>
        <v>310.34682484351242</v>
      </c>
      <c r="AA339" s="6">
        <f>('TE BE'!$AB$24+'TE BF'!$AB$24+'TE CVA'!$AB$24)*(1-CUSTOS!$M$38)</f>
        <v>216.7476358676706</v>
      </c>
      <c r="AB339" s="6">
        <f t="shared" si="20"/>
        <v>0</v>
      </c>
      <c r="AC339" s="6">
        <f>(L339-M339)*(W339+X339)+($W$254+$X$254-$W$339-$X$339)*(L339)</f>
        <v>599.61927200000014</v>
      </c>
      <c r="AD339" s="6">
        <f t="shared" si="21"/>
        <v>0</v>
      </c>
      <c r="AE339" s="6">
        <f ca="1">(L339-M339)*(Z339+AA339)+($Z$254+$AA$254-$Z$339-$AA$339)*(L339)</f>
        <v>555.64279388536158</v>
      </c>
      <c r="AF339" s="4" t="s">
        <v>728</v>
      </c>
    </row>
    <row r="340" spans="1:32" ht="11.25" customHeight="1" x14ac:dyDescent="0.25">
      <c r="A340" s="4" t="s">
        <v>21</v>
      </c>
      <c r="B340" s="4" t="s">
        <v>42</v>
      </c>
      <c r="C340" s="4" t="s">
        <v>23</v>
      </c>
      <c r="D340" s="4" t="s">
        <v>43</v>
      </c>
      <c r="E340" s="4" t="s">
        <v>51</v>
      </c>
      <c r="F340" s="4" t="s">
        <v>53</v>
      </c>
      <c r="G340" s="4" t="s">
        <v>25</v>
      </c>
      <c r="H340" s="4" t="s">
        <v>25</v>
      </c>
      <c r="I340" s="5">
        <v>44470</v>
      </c>
      <c r="J340" s="6">
        <v>0</v>
      </c>
      <c r="K340" s="6">
        <v>0</v>
      </c>
      <c r="L340" s="6">
        <v>1.3839999999999999</v>
      </c>
      <c r="M340" s="6">
        <v>0.55359999999999998</v>
      </c>
      <c r="N340" s="6">
        <v>1.3839999999999999</v>
      </c>
      <c r="O340" s="6">
        <v>0.55359999999999998</v>
      </c>
      <c r="P340" s="6">
        <v>0</v>
      </c>
      <c r="Q340" s="4" t="s">
        <v>26</v>
      </c>
      <c r="R340" s="4">
        <v>0</v>
      </c>
      <c r="S340" s="4">
        <v>0</v>
      </c>
      <c r="T340" s="4">
        <v>30</v>
      </c>
      <c r="U340" s="4">
        <v>70</v>
      </c>
      <c r="V340" s="6">
        <f>IF(ISERROR(VLOOKUP($S$340,'TAR FIN'!$A$1:$O$86,15,0)),0,VLOOKUP($S$340,'TAR FIN'!$A$1:$O$86,15,0))</f>
        <v>0</v>
      </c>
      <c r="W340" s="6">
        <f>IF(ISERROR(VLOOKUP($T$340,'TAR FIN'!$A$1:$O$86,15,0)),0,VLOOKUP($T$340,'TAR FIN'!$A$1:$O$86,15,0))</f>
        <v>285.56</v>
      </c>
      <c r="X340" s="6">
        <f>IF(ISERROR(VLOOKUP($U$340,'TAR FIN'!$A$1:$O$86,15,0)),0,VLOOKUP($U$340,'TAR FIN'!$A$1:$O$86,15,0))</f>
        <v>227.23</v>
      </c>
      <c r="Y340" s="6"/>
      <c r="Z340" s="6">
        <f ca="1">('TUSD BE'!$AM$34+'TUSD BF'!$AM$34+'TUSD CVA'!$AM$34)*(1-CUSTOS!$M$38)</f>
        <v>310.34682484351242</v>
      </c>
      <c r="AA340" s="6">
        <f>('TE BE'!$AB$24+'TE BF'!$AB$24+'TE CVA'!$AB$24)*(1-CUSTOS!$M$38)</f>
        <v>216.7476358676706</v>
      </c>
      <c r="AB340" s="6">
        <f t="shared" si="20"/>
        <v>0</v>
      </c>
      <c r="AC340" s="6">
        <f>(L340-M340)*(W340+X340)+($W$254+$X$254-$W$340-$X$340)*(L340)</f>
        <v>522.59009600000002</v>
      </c>
      <c r="AD340" s="6">
        <f t="shared" si="21"/>
        <v>0</v>
      </c>
      <c r="AE340" s="6">
        <f ca="1">(L340-M340)*(Z340+AA340)+($Z$254+$AA$254-$Z$340-$AA$340)*(L340)</f>
        <v>484.26298912930747</v>
      </c>
      <c r="AF340" s="4" t="s">
        <v>728</v>
      </c>
    </row>
    <row r="341" spans="1:32" ht="11.25" customHeight="1" x14ac:dyDescent="0.25">
      <c r="A341" s="4" t="s">
        <v>21</v>
      </c>
      <c r="B341" s="4" t="s">
        <v>42</v>
      </c>
      <c r="C341" s="4" t="s">
        <v>23</v>
      </c>
      <c r="D341" s="4" t="s">
        <v>43</v>
      </c>
      <c r="E341" s="4" t="s">
        <v>51</v>
      </c>
      <c r="F341" s="4" t="s">
        <v>53</v>
      </c>
      <c r="G341" s="4" t="s">
        <v>25</v>
      </c>
      <c r="H341" s="4" t="s">
        <v>25</v>
      </c>
      <c r="I341" s="5">
        <v>44501</v>
      </c>
      <c r="J341" s="6">
        <v>0</v>
      </c>
      <c r="K341" s="6">
        <v>0</v>
      </c>
      <c r="L341" s="6">
        <v>22.245000000000001</v>
      </c>
      <c r="M341" s="6">
        <v>8.8979999999999997</v>
      </c>
      <c r="N341" s="6">
        <v>22.245000000000001</v>
      </c>
      <c r="O341" s="6">
        <v>8.8979999999999997</v>
      </c>
      <c r="P341" s="6">
        <v>0</v>
      </c>
      <c r="Q341" s="4" t="s">
        <v>26</v>
      </c>
      <c r="R341" s="4">
        <v>0</v>
      </c>
      <c r="S341" s="4">
        <v>0</v>
      </c>
      <c r="T341" s="4">
        <v>30</v>
      </c>
      <c r="U341" s="4">
        <v>70</v>
      </c>
      <c r="V341" s="6">
        <f>IF(ISERROR(VLOOKUP($S$341,'TAR FIN'!$A$1:$O$86,15,0)),0,VLOOKUP($S$341,'TAR FIN'!$A$1:$O$86,15,0))</f>
        <v>0</v>
      </c>
      <c r="W341" s="6">
        <f>IF(ISERROR(VLOOKUP($T$341,'TAR FIN'!$A$1:$O$86,15,0)),0,VLOOKUP($T$341,'TAR FIN'!$A$1:$O$86,15,0))</f>
        <v>285.56</v>
      </c>
      <c r="X341" s="6">
        <f>IF(ISERROR(VLOOKUP($U$341,'TAR FIN'!$A$1:$O$86,15,0)),0,VLOOKUP($U$341,'TAR FIN'!$A$1:$O$86,15,0))</f>
        <v>227.23</v>
      </c>
      <c r="Y341" s="6"/>
      <c r="Z341" s="6">
        <f ca="1">('TUSD BE'!$AM$34+'TUSD BF'!$AM$34+'TUSD CVA'!$AM$34)*(1-CUSTOS!$M$38)</f>
        <v>310.34682484351242</v>
      </c>
      <c r="AA341" s="6">
        <f>('TE BE'!$AB$24+'TE BF'!$AB$24+'TE CVA'!$AB$24)*(1-CUSTOS!$M$38)</f>
        <v>216.7476358676706</v>
      </c>
      <c r="AB341" s="6">
        <f t="shared" si="20"/>
        <v>0</v>
      </c>
      <c r="AC341" s="6">
        <f>(L341-M341)*(W341+X341)+($W$254+$X$254-$W$341-$X$341)*(L341)</f>
        <v>8399.5785300000007</v>
      </c>
      <c r="AD341" s="6">
        <f t="shared" si="21"/>
        <v>0</v>
      </c>
      <c r="AE341" s="6">
        <f ca="1">(L341-M341)*(Z341+AA341)+($Z$254+$AA$254-$Z$341-$AA$341)*(L341)</f>
        <v>7783.5478274432426</v>
      </c>
      <c r="AF341" s="4" t="s">
        <v>728</v>
      </c>
    </row>
    <row r="342" spans="1:32" ht="11.25" customHeight="1" x14ac:dyDescent="0.25">
      <c r="A342" s="4" t="s">
        <v>21</v>
      </c>
      <c r="B342" s="4" t="s">
        <v>42</v>
      </c>
      <c r="C342" s="4" t="s">
        <v>23</v>
      </c>
      <c r="D342" s="4" t="s">
        <v>43</v>
      </c>
      <c r="E342" s="4" t="s">
        <v>51</v>
      </c>
      <c r="F342" s="4" t="s">
        <v>53</v>
      </c>
      <c r="G342" s="4" t="s">
        <v>25</v>
      </c>
      <c r="H342" s="4" t="s">
        <v>25</v>
      </c>
      <c r="I342" s="5">
        <v>44531</v>
      </c>
      <c r="J342" s="6">
        <v>0</v>
      </c>
      <c r="K342" s="6">
        <v>0</v>
      </c>
      <c r="L342" s="6">
        <v>36.807000000000002</v>
      </c>
      <c r="M342" s="6">
        <v>14.722799999999999</v>
      </c>
      <c r="N342" s="6">
        <v>36.807000000000002</v>
      </c>
      <c r="O342" s="6">
        <v>14.722799999999999</v>
      </c>
      <c r="P342" s="6">
        <v>0</v>
      </c>
      <c r="Q342" s="4" t="s">
        <v>26</v>
      </c>
      <c r="R342" s="4">
        <v>0</v>
      </c>
      <c r="S342" s="4">
        <v>0</v>
      </c>
      <c r="T342" s="4">
        <v>30</v>
      </c>
      <c r="U342" s="4">
        <v>70</v>
      </c>
      <c r="V342" s="6">
        <f>IF(ISERROR(VLOOKUP($S$342,'TAR FIN'!$A$1:$O$86,15,0)),0,VLOOKUP($S$342,'TAR FIN'!$A$1:$O$86,15,0))</f>
        <v>0</v>
      </c>
      <c r="W342" s="6">
        <f>IF(ISERROR(VLOOKUP($T$342,'TAR FIN'!$A$1:$O$86,15,0)),0,VLOOKUP($T$342,'TAR FIN'!$A$1:$O$86,15,0))</f>
        <v>285.56</v>
      </c>
      <c r="X342" s="6">
        <f>IF(ISERROR(VLOOKUP($U$342,'TAR FIN'!$A$1:$O$86,15,0)),0,VLOOKUP($U$342,'TAR FIN'!$A$1:$O$86,15,0))</f>
        <v>227.23</v>
      </c>
      <c r="Y342" s="6"/>
      <c r="Z342" s="6">
        <f ca="1">('TUSD BE'!$AM$34+'TUSD BF'!$AM$34+'TUSD CVA'!$AM$34)*(1-CUSTOS!$M$38)</f>
        <v>310.34682484351242</v>
      </c>
      <c r="AA342" s="6">
        <f>('TE BE'!$AB$24+'TE BF'!$AB$24+'TE CVA'!$AB$24)*(1-CUSTOS!$M$38)</f>
        <v>216.7476358676706</v>
      </c>
      <c r="AB342" s="6">
        <f t="shared" si="20"/>
        <v>0</v>
      </c>
      <c r="AC342" s="6">
        <f>(L342-M342)*(W342+X342)+($W$254+$X$254-$W$342-$X$342)*(L342)</f>
        <v>13898.102358000002</v>
      </c>
      <c r="AD342" s="6">
        <f t="shared" si="21"/>
        <v>0</v>
      </c>
      <c r="AE342" s="6">
        <f ca="1">(L342-M342)*(Z342+AA342)+($Z$254+$AA$254-$Z$342-$AA$342)*(L342)</f>
        <v>12878.806243412157</v>
      </c>
      <c r="AF342" s="4" t="s">
        <v>728</v>
      </c>
    </row>
    <row r="343" spans="1:32" ht="11.25" customHeight="1" x14ac:dyDescent="0.25">
      <c r="A343" s="4" t="s">
        <v>55</v>
      </c>
      <c r="B343" s="4" t="s">
        <v>42</v>
      </c>
      <c r="C343" s="4" t="s">
        <v>23</v>
      </c>
      <c r="D343" s="4" t="s">
        <v>43</v>
      </c>
      <c r="E343" s="4" t="s">
        <v>51</v>
      </c>
      <c r="F343" s="4" t="s">
        <v>53</v>
      </c>
      <c r="G343" s="4" t="s">
        <v>25</v>
      </c>
      <c r="H343" s="4" t="s">
        <v>25</v>
      </c>
      <c r="I343" s="5">
        <v>44531</v>
      </c>
      <c r="J343" s="6">
        <v>0</v>
      </c>
      <c r="K343" s="6">
        <v>0</v>
      </c>
      <c r="L343" s="6">
        <v>0.55000000000000004</v>
      </c>
      <c r="M343" s="6">
        <v>0.55000000000000004</v>
      </c>
      <c r="N343" s="6">
        <v>0.55000000000000004</v>
      </c>
      <c r="O343" s="6">
        <v>0.55000000000000004</v>
      </c>
      <c r="P343" s="6">
        <v>0</v>
      </c>
      <c r="Q343" s="4" t="s">
        <v>26</v>
      </c>
      <c r="R343" s="4">
        <v>0</v>
      </c>
      <c r="S343" s="4">
        <v>0</v>
      </c>
      <c r="T343" s="4">
        <v>30</v>
      </c>
      <c r="U343" s="4">
        <v>70</v>
      </c>
      <c r="V343" s="6">
        <f>IF(ISERROR(VLOOKUP($S$343,'TAR FIN'!$A$1:$O$86,15,0)),0,VLOOKUP($S$343,'TAR FIN'!$A$1:$O$86,15,0))</f>
        <v>0</v>
      </c>
      <c r="W343" s="6">
        <f>IF(ISERROR(VLOOKUP($T$343,'TAR FIN'!$A$1:$O$86,15,0)),0,VLOOKUP($T$343,'TAR FIN'!$A$1:$O$86,15,0))</f>
        <v>285.56</v>
      </c>
      <c r="X343" s="6">
        <f>IF(ISERROR(VLOOKUP($U$343,'TAR FIN'!$A$1:$O$86,15,0)),0,VLOOKUP($U$343,'TAR FIN'!$A$1:$O$86,15,0))</f>
        <v>227.23</v>
      </c>
      <c r="Y343" s="6"/>
      <c r="Z343" s="6">
        <f ca="1">('TUSD BE'!$AM$34+'TUSD BF'!$AM$34+'TUSD CVA'!$AM$34)*(1-CUSTOS!$M$38)</f>
        <v>310.34682484351242</v>
      </c>
      <c r="AA343" s="6">
        <f>('TE BE'!$AB$24+'TE BF'!$AB$24+'TE CVA'!$AB$24)*(1-CUSTOS!$M$38)</f>
        <v>216.7476358676706</v>
      </c>
      <c r="AB343" s="6">
        <f t="shared" si="20"/>
        <v>0</v>
      </c>
      <c r="AC343" s="6">
        <f>(L343-M343)*(W343+X343)+($W$254+$X$254-$W$343-$X$343)*(L343)</f>
        <v>38.456000000000024</v>
      </c>
      <c r="AD343" s="6">
        <f t="shared" si="21"/>
        <v>0</v>
      </c>
      <c r="AE343" s="6">
        <f ca="1">(L343-M343)*(Z343+AA343)+($Z$254+$AA$254-$Z$343-$AA$343)*(L343)</f>
        <v>18.504380003690489</v>
      </c>
      <c r="AF343" s="4" t="s">
        <v>727</v>
      </c>
    </row>
    <row r="344" spans="1:32" ht="11.25" customHeight="1" x14ac:dyDescent="0.25">
      <c r="A344" s="4" t="s">
        <v>21</v>
      </c>
      <c r="B344" s="4" t="s">
        <v>42</v>
      </c>
      <c r="C344" s="4" t="s">
        <v>23</v>
      </c>
      <c r="D344" s="4" t="s">
        <v>43</v>
      </c>
      <c r="E344" s="4" t="s">
        <v>51</v>
      </c>
      <c r="F344" s="4" t="s">
        <v>53</v>
      </c>
      <c r="G344" s="4" t="s">
        <v>25</v>
      </c>
      <c r="H344" s="4" t="s">
        <v>25</v>
      </c>
      <c r="I344" s="5">
        <v>44562</v>
      </c>
      <c r="J344" s="6">
        <v>0</v>
      </c>
      <c r="K344" s="6">
        <v>0</v>
      </c>
      <c r="L344" s="6">
        <v>79.156999999999996</v>
      </c>
      <c r="M344" s="6">
        <v>31.662800000000001</v>
      </c>
      <c r="N344" s="6">
        <v>79.156999999999996</v>
      </c>
      <c r="O344" s="6">
        <v>31.662800000000001</v>
      </c>
      <c r="P344" s="6">
        <v>0</v>
      </c>
      <c r="Q344" s="4" t="s">
        <v>26</v>
      </c>
      <c r="R344" s="4">
        <v>0</v>
      </c>
      <c r="S344" s="4">
        <v>0</v>
      </c>
      <c r="T344" s="4">
        <v>30</v>
      </c>
      <c r="U344" s="4">
        <v>70</v>
      </c>
      <c r="V344" s="6">
        <f>IF(ISERROR(VLOOKUP($S$344,'TAR FIN'!$A$1:$O$86,15,0)),0,VLOOKUP($S$344,'TAR FIN'!$A$1:$O$86,15,0))</f>
        <v>0</v>
      </c>
      <c r="W344" s="6">
        <f>IF(ISERROR(VLOOKUP($T$344,'TAR FIN'!$A$1:$O$86,15,0)),0,VLOOKUP($T$344,'TAR FIN'!$A$1:$O$86,15,0))</f>
        <v>285.56</v>
      </c>
      <c r="X344" s="6">
        <f>IF(ISERROR(VLOOKUP($U$344,'TAR FIN'!$A$1:$O$86,15,0)),0,VLOOKUP($U$344,'TAR FIN'!$A$1:$O$86,15,0))</f>
        <v>227.23</v>
      </c>
      <c r="Y344" s="6"/>
      <c r="Z344" s="6">
        <f ca="1">('TUSD BE'!$AM$34+'TUSD BF'!$AM$34+'TUSD CVA'!$AM$34)*(1-CUSTOS!$M$38)</f>
        <v>310.34682484351242</v>
      </c>
      <c r="AA344" s="6">
        <f>('TE BE'!$AB$24+'TE BF'!$AB$24+'TE CVA'!$AB$24)*(1-CUSTOS!$M$38)</f>
        <v>216.7476358676706</v>
      </c>
      <c r="AB344" s="6">
        <f t="shared" si="20"/>
        <v>0</v>
      </c>
      <c r="AC344" s="6">
        <f>(L344-M344)*(W344+X344)+($W$254+$X$254-$W$344-$X$344)*(L344)</f>
        <v>29889.208257999999</v>
      </c>
      <c r="AD344" s="6">
        <f t="shared" si="21"/>
        <v>0</v>
      </c>
      <c r="AE344" s="6">
        <f ca="1">(L344-M344)*(Z344+AA344)+($Z$254+$AA$254-$Z$344-$AA$344)*(L344)</f>
        <v>27697.11375036748</v>
      </c>
      <c r="AF344" s="4" t="s">
        <v>728</v>
      </c>
    </row>
    <row r="345" spans="1:32" ht="11.25" customHeight="1" x14ac:dyDescent="0.25">
      <c r="A345" s="4" t="s">
        <v>21</v>
      </c>
      <c r="B345" s="4" t="s">
        <v>42</v>
      </c>
      <c r="C345" s="4" t="s">
        <v>23</v>
      </c>
      <c r="D345" s="4" t="s">
        <v>43</v>
      </c>
      <c r="E345" s="4" t="s">
        <v>51</v>
      </c>
      <c r="F345" s="4" t="s">
        <v>53</v>
      </c>
      <c r="G345" s="4" t="s">
        <v>25</v>
      </c>
      <c r="H345" s="4" t="s">
        <v>25</v>
      </c>
      <c r="I345" s="5">
        <v>44593</v>
      </c>
      <c r="J345" s="6">
        <v>0</v>
      </c>
      <c r="K345" s="6">
        <v>0</v>
      </c>
      <c r="L345" s="6">
        <v>27.257999999999999</v>
      </c>
      <c r="M345" s="6">
        <v>10.9032</v>
      </c>
      <c r="N345" s="6">
        <v>27.257999999999999</v>
      </c>
      <c r="O345" s="6">
        <v>10.9032</v>
      </c>
      <c r="P345" s="6">
        <v>0</v>
      </c>
      <c r="Q345" s="4" t="s">
        <v>26</v>
      </c>
      <c r="R345" s="4">
        <v>0</v>
      </c>
      <c r="S345" s="4">
        <v>0</v>
      </c>
      <c r="T345" s="4">
        <v>30</v>
      </c>
      <c r="U345" s="4">
        <v>70</v>
      </c>
      <c r="V345" s="6">
        <f>IF(ISERROR(VLOOKUP($S$345,'TAR FIN'!$A$1:$O$86,15,0)),0,VLOOKUP($S$345,'TAR FIN'!$A$1:$O$86,15,0))</f>
        <v>0</v>
      </c>
      <c r="W345" s="6">
        <f>IF(ISERROR(VLOOKUP($T$345,'TAR FIN'!$A$1:$O$86,15,0)),0,VLOOKUP($T$345,'TAR FIN'!$A$1:$O$86,15,0))</f>
        <v>285.56</v>
      </c>
      <c r="X345" s="6">
        <f>IF(ISERROR(VLOOKUP($U$345,'TAR FIN'!$A$1:$O$86,15,0)),0,VLOOKUP($U$345,'TAR FIN'!$A$1:$O$86,15,0))</f>
        <v>227.23</v>
      </c>
      <c r="Y345" s="6"/>
      <c r="Z345" s="6">
        <f ca="1">('TUSD BE'!$AM$34+'TUSD BF'!$AM$34+'TUSD CVA'!$AM$34)*(1-CUSTOS!$M$38)</f>
        <v>310.34682484351242</v>
      </c>
      <c r="AA345" s="6">
        <f>('TE BE'!$AB$24+'TE BF'!$AB$24+'TE CVA'!$AB$24)*(1-CUSTOS!$M$38)</f>
        <v>216.7476358676706</v>
      </c>
      <c r="AB345" s="6">
        <f t="shared" si="20"/>
        <v>0</v>
      </c>
      <c r="AC345" s="6">
        <f>(L345-M345)*(W345+X345)+($W$254+$X$254-$W$345-$X$345)*(L345)</f>
        <v>10292.457251999998</v>
      </c>
      <c r="AD345" s="6">
        <f t="shared" si="21"/>
        <v>0</v>
      </c>
      <c r="AE345" s="6">
        <f ca="1">(L345-M345)*(Z345+AA345)+($Z$254+$AA$254-$Z$345-$AA$345)*(L345)</f>
        <v>9537.6015590221559</v>
      </c>
      <c r="AF345" s="4" t="s">
        <v>728</v>
      </c>
    </row>
    <row r="346" spans="1:32" ht="11.25" customHeight="1" x14ac:dyDescent="0.25">
      <c r="A346" s="4" t="s">
        <v>55</v>
      </c>
      <c r="B346" s="4" t="s">
        <v>42</v>
      </c>
      <c r="C346" s="4" t="s">
        <v>23</v>
      </c>
      <c r="D346" s="4" t="s">
        <v>43</v>
      </c>
      <c r="E346" s="4" t="s">
        <v>51</v>
      </c>
      <c r="F346" s="4" t="s">
        <v>53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0.4</v>
      </c>
      <c r="M346" s="6">
        <v>0.4</v>
      </c>
      <c r="N346" s="6">
        <v>0.4</v>
      </c>
      <c r="O346" s="6">
        <v>0.4</v>
      </c>
      <c r="P346" s="6">
        <v>0</v>
      </c>
      <c r="Q346" s="4" t="s">
        <v>26</v>
      </c>
      <c r="R346" s="4">
        <v>0</v>
      </c>
      <c r="S346" s="4">
        <v>0</v>
      </c>
      <c r="T346" s="4">
        <v>30</v>
      </c>
      <c r="U346" s="4">
        <v>70</v>
      </c>
      <c r="V346" s="6">
        <f>IF(ISERROR(VLOOKUP($S$346,'TAR FIN'!$A$1:$O$86,15,0)),0,VLOOKUP($S$346,'TAR FIN'!$A$1:$O$86,15,0))</f>
        <v>0</v>
      </c>
      <c r="W346" s="6">
        <f>IF(ISERROR(VLOOKUP($T$346,'TAR FIN'!$A$1:$O$86,15,0)),0,VLOOKUP($T$346,'TAR FIN'!$A$1:$O$86,15,0))</f>
        <v>285.56</v>
      </c>
      <c r="X346" s="6">
        <f>IF(ISERROR(VLOOKUP($U$346,'TAR FIN'!$A$1:$O$86,15,0)),0,VLOOKUP($U$346,'TAR FIN'!$A$1:$O$86,15,0))</f>
        <v>227.23</v>
      </c>
      <c r="Y346" s="6"/>
      <c r="Z346" s="6">
        <f ca="1">('TUSD BE'!$AM$34+'TUSD BF'!$AM$34+'TUSD CVA'!$AM$34)*(1-CUSTOS!$M$38)</f>
        <v>310.34682484351242</v>
      </c>
      <c r="AA346" s="6">
        <f>('TE BE'!$AB$24+'TE BF'!$AB$24+'TE CVA'!$AB$24)*(1-CUSTOS!$M$38)</f>
        <v>216.7476358676706</v>
      </c>
      <c r="AB346" s="6">
        <f t="shared" si="20"/>
        <v>0</v>
      </c>
      <c r="AC346" s="6">
        <f>(L346-M346)*(W346+X346)+($W$254+$X$254-$W$346-$X$346)*(L346)</f>
        <v>27.968000000000018</v>
      </c>
      <c r="AD346" s="6">
        <f t="shared" si="21"/>
        <v>0</v>
      </c>
      <c r="AE346" s="6">
        <f ca="1">(L346-M346)*(Z346+AA346)+($Z$254+$AA$254-$Z$346-$AA$346)*(L346)</f>
        <v>13.457730911774901</v>
      </c>
      <c r="AF346" s="4" t="s">
        <v>727</v>
      </c>
    </row>
    <row r="347" spans="1:32" ht="11.25" customHeight="1" x14ac:dyDescent="0.25">
      <c r="A347" s="4" t="s">
        <v>21</v>
      </c>
      <c r="B347" s="4" t="s">
        <v>42</v>
      </c>
      <c r="C347" s="4" t="s">
        <v>23</v>
      </c>
      <c r="D347" s="4" t="s">
        <v>43</v>
      </c>
      <c r="E347" s="4" t="s">
        <v>51</v>
      </c>
      <c r="F347" s="4" t="s">
        <v>53</v>
      </c>
      <c r="G347" s="4" t="s">
        <v>25</v>
      </c>
      <c r="H347" s="4" t="s">
        <v>25</v>
      </c>
      <c r="I347" s="5">
        <v>44621</v>
      </c>
      <c r="J347" s="6">
        <v>0</v>
      </c>
      <c r="K347" s="6">
        <v>0</v>
      </c>
      <c r="L347" s="6">
        <v>26.222999999999999</v>
      </c>
      <c r="M347" s="6">
        <v>10.4892</v>
      </c>
      <c r="N347" s="6">
        <v>26.222999999999999</v>
      </c>
      <c r="O347" s="6">
        <v>10.4892</v>
      </c>
      <c r="P347" s="6">
        <v>0</v>
      </c>
      <c r="Q347" s="4" t="s">
        <v>26</v>
      </c>
      <c r="R347" s="4">
        <v>0</v>
      </c>
      <c r="S347" s="4">
        <v>0</v>
      </c>
      <c r="T347" s="4">
        <v>30</v>
      </c>
      <c r="U347" s="4">
        <v>70</v>
      </c>
      <c r="V347" s="6">
        <f>IF(ISERROR(VLOOKUP($S$347,'TAR FIN'!$A$1:$O$86,15,0)),0,VLOOKUP($S$347,'TAR FIN'!$A$1:$O$86,15,0))</f>
        <v>0</v>
      </c>
      <c r="W347" s="6">
        <f>IF(ISERROR(VLOOKUP($T$347,'TAR FIN'!$A$1:$O$86,15,0)),0,VLOOKUP($T$347,'TAR FIN'!$A$1:$O$86,15,0))</f>
        <v>285.56</v>
      </c>
      <c r="X347" s="6">
        <f>IF(ISERROR(VLOOKUP($U$347,'TAR FIN'!$A$1:$O$86,15,0)),0,VLOOKUP($U$347,'TAR FIN'!$A$1:$O$86,15,0))</f>
        <v>227.23</v>
      </c>
      <c r="Y347" s="6"/>
      <c r="Z347" s="6">
        <f ca="1">('TUSD BE'!$AM$34+'TUSD BF'!$AM$34+'TUSD CVA'!$AM$34)*(1-CUSTOS!$M$38)</f>
        <v>310.34682484351242</v>
      </c>
      <c r="AA347" s="6">
        <f>('TE BE'!$AB$24+'TE BF'!$AB$24+'TE CVA'!$AB$24)*(1-CUSTOS!$M$38)</f>
        <v>216.7476358676706</v>
      </c>
      <c r="AB347" s="6">
        <f t="shared" si="20"/>
        <v>0</v>
      </c>
      <c r="AC347" s="6">
        <f>(L347-M347)*(W347+X347)+($W$254+$X$254-$W$347-$X$347)*(L347)</f>
        <v>9901.6474620000008</v>
      </c>
      <c r="AD347" s="6">
        <f t="shared" si="21"/>
        <v>0</v>
      </c>
      <c r="AE347" s="6">
        <f ca="1">(L347-M347)*(Z347+AA347)+($Z$254+$AA$254-$Z$347-$AA$347)*(L347)</f>
        <v>9175.4540201862928</v>
      </c>
      <c r="AF347" s="4" t="s">
        <v>728</v>
      </c>
    </row>
    <row r="348" spans="1:32" ht="11.25" customHeight="1" x14ac:dyDescent="0.25">
      <c r="A348" s="4" t="s">
        <v>55</v>
      </c>
      <c r="B348" s="4" t="s">
        <v>42</v>
      </c>
      <c r="C348" s="4" t="s">
        <v>23</v>
      </c>
      <c r="D348" s="4" t="s">
        <v>43</v>
      </c>
      <c r="E348" s="4" t="s">
        <v>51</v>
      </c>
      <c r="F348" s="4" t="s">
        <v>53</v>
      </c>
      <c r="G348" s="4" t="s">
        <v>25</v>
      </c>
      <c r="H348" s="4" t="s">
        <v>25</v>
      </c>
      <c r="I348" s="5">
        <v>44621</v>
      </c>
      <c r="J348" s="6">
        <v>0</v>
      </c>
      <c r="K348" s="6">
        <v>0</v>
      </c>
      <c r="L348" s="6">
        <v>0.25</v>
      </c>
      <c r="M348" s="6">
        <v>0.25</v>
      </c>
      <c r="N348" s="6">
        <v>0.25</v>
      </c>
      <c r="O348" s="6">
        <v>0.25</v>
      </c>
      <c r="P348" s="6">
        <v>0</v>
      </c>
      <c r="Q348" s="4" t="s">
        <v>26</v>
      </c>
      <c r="R348" s="4">
        <v>0</v>
      </c>
      <c r="S348" s="4">
        <v>0</v>
      </c>
      <c r="T348" s="4">
        <v>30</v>
      </c>
      <c r="U348" s="4">
        <v>70</v>
      </c>
      <c r="V348" s="6">
        <f>IF(ISERROR(VLOOKUP($S$348,'TAR FIN'!$A$1:$O$86,15,0)),0,VLOOKUP($S$348,'TAR FIN'!$A$1:$O$86,15,0))</f>
        <v>0</v>
      </c>
      <c r="W348" s="6">
        <f>IF(ISERROR(VLOOKUP($T$348,'TAR FIN'!$A$1:$O$86,15,0)),0,VLOOKUP($T$348,'TAR FIN'!$A$1:$O$86,15,0))</f>
        <v>285.56</v>
      </c>
      <c r="X348" s="6">
        <f>IF(ISERROR(VLOOKUP($U$348,'TAR FIN'!$A$1:$O$86,15,0)),0,VLOOKUP($U$348,'TAR FIN'!$A$1:$O$86,15,0))</f>
        <v>227.23</v>
      </c>
      <c r="Y348" s="6"/>
      <c r="Z348" s="6">
        <f ca="1">('TUSD BE'!$AM$34+'TUSD BF'!$AM$34+'TUSD CVA'!$AM$34)*(1-CUSTOS!$M$38)</f>
        <v>310.34682484351242</v>
      </c>
      <c r="AA348" s="6">
        <f>('TE BE'!$AB$24+'TE BF'!$AB$24+'TE CVA'!$AB$24)*(1-CUSTOS!$M$38)</f>
        <v>216.7476358676706</v>
      </c>
      <c r="AB348" s="6">
        <f t="shared" si="20"/>
        <v>0</v>
      </c>
      <c r="AC348" s="6">
        <f>(L348-M348)*(W348+X348)+($W$254+$X$254-$W$348-$X$348)*(L348)</f>
        <v>17.480000000000011</v>
      </c>
      <c r="AD348" s="6">
        <f t="shared" si="21"/>
        <v>0</v>
      </c>
      <c r="AE348" s="6">
        <f ca="1">(L348-M348)*(Z348+AA348)+($Z$254+$AA$254-$Z$348-$AA$348)*(L348)</f>
        <v>8.4110818198593122</v>
      </c>
      <c r="AF348" s="4" t="s">
        <v>727</v>
      </c>
    </row>
    <row r="349" spans="1:32" ht="11.25" customHeight="1" x14ac:dyDescent="0.25">
      <c r="A349" s="4" t="s">
        <v>21</v>
      </c>
      <c r="B349" s="4" t="s">
        <v>42</v>
      </c>
      <c r="C349" s="4" t="s">
        <v>23</v>
      </c>
      <c r="D349" s="4" t="s">
        <v>43</v>
      </c>
      <c r="E349" s="4" t="s">
        <v>51</v>
      </c>
      <c r="F349" s="4" t="s">
        <v>53</v>
      </c>
      <c r="G349" s="4" t="s">
        <v>25</v>
      </c>
      <c r="H349" s="4" t="s">
        <v>25</v>
      </c>
      <c r="I349" s="5">
        <v>44652</v>
      </c>
      <c r="J349" s="6">
        <v>0</v>
      </c>
      <c r="K349" s="6">
        <v>0</v>
      </c>
      <c r="L349" s="6">
        <v>2.411</v>
      </c>
      <c r="M349" s="6">
        <v>0.96440000000000003</v>
      </c>
      <c r="N349" s="6">
        <v>2.411</v>
      </c>
      <c r="O349" s="6">
        <v>0.96440000000000003</v>
      </c>
      <c r="P349" s="6">
        <v>0</v>
      </c>
      <c r="Q349" s="4" t="s">
        <v>26</v>
      </c>
      <c r="R349" s="4">
        <v>0</v>
      </c>
      <c r="S349" s="4">
        <v>0</v>
      </c>
      <c r="T349" s="4">
        <v>30</v>
      </c>
      <c r="U349" s="4">
        <v>70</v>
      </c>
      <c r="V349" s="6">
        <f>IF(ISERROR(VLOOKUP($S$349,'TAR FIN'!$A$1:$O$86,15,0)),0,VLOOKUP($S$349,'TAR FIN'!$A$1:$O$86,15,0))</f>
        <v>0</v>
      </c>
      <c r="W349" s="6">
        <f>IF(ISERROR(VLOOKUP($T$349,'TAR FIN'!$A$1:$O$86,15,0)),0,VLOOKUP($T$349,'TAR FIN'!$A$1:$O$86,15,0))</f>
        <v>285.56</v>
      </c>
      <c r="X349" s="6">
        <f>IF(ISERROR(VLOOKUP($U$349,'TAR FIN'!$A$1:$O$86,15,0)),0,VLOOKUP($U$349,'TAR FIN'!$A$1:$O$86,15,0))</f>
        <v>227.23</v>
      </c>
      <c r="Y349" s="6"/>
      <c r="Z349" s="6">
        <f ca="1">('TUSD BE'!$AM$34+'TUSD BF'!$AM$34+'TUSD CVA'!$AM$34)*(1-CUSTOS!$M$38)</f>
        <v>310.34682484351242</v>
      </c>
      <c r="AA349" s="6">
        <f>('TE BE'!$AB$24+'TE BF'!$AB$24+'TE CVA'!$AB$24)*(1-CUSTOS!$M$38)</f>
        <v>216.7476358676706</v>
      </c>
      <c r="AB349" s="6">
        <f t="shared" si="20"/>
        <v>0</v>
      </c>
      <c r="AC349" s="6">
        <f>(L349-M349)*(W349+X349)+($W$254+$X$254-$W$349-$X$349)*(L349)</f>
        <v>910.37913400000014</v>
      </c>
      <c r="AD349" s="6">
        <f t="shared" si="21"/>
        <v>0</v>
      </c>
      <c r="AE349" s="6">
        <f ca="1">(L349-M349)*(Z349+AA349)+($Z$254+$AA$254-$Z$349-$AA$349)*(L349)</f>
        <v>843.61131993552067</v>
      </c>
      <c r="AF349" s="4" t="s">
        <v>728</v>
      </c>
    </row>
    <row r="350" spans="1:32" ht="11.25" customHeight="1" x14ac:dyDescent="0.25">
      <c r="A350" s="4" t="s">
        <v>21</v>
      </c>
      <c r="B350" s="4" t="s">
        <v>42</v>
      </c>
      <c r="C350" s="4" t="s">
        <v>23</v>
      </c>
      <c r="D350" s="4" t="s">
        <v>43</v>
      </c>
      <c r="E350" s="4" t="s">
        <v>51</v>
      </c>
      <c r="F350" s="4" t="s">
        <v>53</v>
      </c>
      <c r="G350" s="4" t="s">
        <v>25</v>
      </c>
      <c r="H350" s="4" t="s">
        <v>25</v>
      </c>
      <c r="I350" s="5">
        <v>44682</v>
      </c>
      <c r="J350" s="6">
        <v>0</v>
      </c>
      <c r="K350" s="6">
        <v>0</v>
      </c>
      <c r="L350" s="6">
        <v>6.82</v>
      </c>
      <c r="M350" s="6">
        <v>2.7280000000000002</v>
      </c>
      <c r="N350" s="6">
        <v>6.82</v>
      </c>
      <c r="O350" s="6">
        <v>2.7280000000000002</v>
      </c>
      <c r="P350" s="6">
        <v>0</v>
      </c>
      <c r="Q350" s="4" t="s">
        <v>26</v>
      </c>
      <c r="R350" s="4">
        <v>0</v>
      </c>
      <c r="S350" s="4">
        <v>0</v>
      </c>
      <c r="T350" s="4">
        <v>30</v>
      </c>
      <c r="U350" s="4">
        <v>70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285.56</v>
      </c>
      <c r="X350" s="6">
        <f>IF(ISERROR(VLOOKUP($U$350,'TAR FIN'!$A$1:$O$86,15,0)),0,VLOOKUP($U$350,'TAR FIN'!$A$1:$O$86,15,0))</f>
        <v>227.23</v>
      </c>
      <c r="Y350" s="6"/>
      <c r="Z350" s="6">
        <f ca="1">('TUSD BE'!$AM$34+'TUSD BF'!$AM$34+'TUSD CVA'!$AM$34)*(1-CUSTOS!$M$38)</f>
        <v>310.34682484351242</v>
      </c>
      <c r="AA350" s="6">
        <f>('TE BE'!$AB$24+'TE BF'!$AB$24+'TE CVA'!$AB$24)*(1-CUSTOS!$M$38)</f>
        <v>216.7476358676706</v>
      </c>
      <c r="AB350" s="6">
        <f t="shared" si="20"/>
        <v>0</v>
      </c>
      <c r="AC350" s="6">
        <f>(L350-M350)*(W350+X350)+($W$254+$X$254-$W$350-$X$350)*(L350)</f>
        <v>2575.1910800000005</v>
      </c>
      <c r="AD350" s="6">
        <f t="shared" si="21"/>
        <v>0</v>
      </c>
      <c r="AE350" s="6">
        <f ca="1">(L350-M350)*(Z350+AA350)+($Z$254+$AA$254-$Z$350-$AA$350)*(L350)</f>
        <v>2386.3248452759235</v>
      </c>
      <c r="AF350" s="4" t="s">
        <v>728</v>
      </c>
    </row>
    <row r="351" spans="1:32" ht="11.25" customHeight="1" x14ac:dyDescent="0.25">
      <c r="A351" s="4" t="s">
        <v>56</v>
      </c>
      <c r="B351" s="4" t="s">
        <v>42</v>
      </c>
      <c r="C351" s="4" t="s">
        <v>23</v>
      </c>
      <c r="D351" s="4" t="s">
        <v>43</v>
      </c>
      <c r="E351" s="4" t="s">
        <v>51</v>
      </c>
      <c r="F351" s="4" t="s">
        <v>53</v>
      </c>
      <c r="G351" s="4" t="s">
        <v>25</v>
      </c>
      <c r="H351" s="4" t="s">
        <v>25</v>
      </c>
      <c r="I351" s="5">
        <v>44713</v>
      </c>
      <c r="J351" s="6">
        <v>0</v>
      </c>
      <c r="K351" s="6">
        <v>0</v>
      </c>
      <c r="L351" s="6">
        <v>6.82</v>
      </c>
      <c r="M351" s="6">
        <v>2.7280000000000002</v>
      </c>
      <c r="N351" s="6">
        <v>6.82</v>
      </c>
      <c r="O351" s="6">
        <v>2.7280000000000002</v>
      </c>
      <c r="P351" s="6">
        <v>0</v>
      </c>
      <c r="Q351" s="4" t="s">
        <v>26</v>
      </c>
      <c r="R351" s="4">
        <v>0</v>
      </c>
      <c r="S351" s="4">
        <v>0</v>
      </c>
      <c r="T351" s="4">
        <v>30</v>
      </c>
      <c r="U351" s="4">
        <v>70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285.56</v>
      </c>
      <c r="X351" s="6">
        <f>IF(ISERROR(VLOOKUP($U$351,'TAR FIN'!$A$1:$O$86,15,0)),0,VLOOKUP($U$351,'TAR FIN'!$A$1:$O$86,15,0))</f>
        <v>227.23</v>
      </c>
      <c r="Y351" s="6"/>
      <c r="Z351" s="6">
        <f ca="1">('TUSD BE'!$AM$34+'TUSD BF'!$AM$34+'TUSD CVA'!$AM$34)*(1-CUSTOS!$M$38)</f>
        <v>310.34682484351242</v>
      </c>
      <c r="AA351" s="6">
        <f>('TE BE'!$AB$24+'TE BF'!$AB$24+'TE CVA'!$AB$24)*(1-CUSTOS!$M$38)</f>
        <v>216.7476358676706</v>
      </c>
      <c r="AB351" s="6">
        <f t="shared" si="20"/>
        <v>0</v>
      </c>
      <c r="AC351" s="6">
        <f>(L351-M351)*(W351+X351)+($W$254+$X$254-$W$351-$X$351)*(L351)</f>
        <v>2575.1910800000005</v>
      </c>
      <c r="AD351" s="6">
        <f t="shared" si="21"/>
        <v>0</v>
      </c>
      <c r="AE351" s="6">
        <f ca="1">(L351-M351)*(Z351+AA351)+($Z$254+$AA$254-$Z$351-$AA$351)*(L351)</f>
        <v>2386.3248452759235</v>
      </c>
      <c r="AF351" s="4" t="s">
        <v>728</v>
      </c>
    </row>
    <row r="352" spans="1:32" ht="11.25" customHeight="1" x14ac:dyDescent="0.25">
      <c r="A352" s="4" t="s">
        <v>21</v>
      </c>
      <c r="B352" s="4" t="s">
        <v>42</v>
      </c>
      <c r="C352" s="4" t="s">
        <v>23</v>
      </c>
      <c r="D352" s="4" t="s">
        <v>43</v>
      </c>
      <c r="E352" s="4" t="s">
        <v>54</v>
      </c>
      <c r="F352" s="4" t="s">
        <v>52</v>
      </c>
      <c r="G352" s="4" t="s">
        <v>25</v>
      </c>
      <c r="H352" s="4" t="s">
        <v>25</v>
      </c>
      <c r="I352" s="5">
        <v>44378</v>
      </c>
      <c r="J352" s="6">
        <v>0</v>
      </c>
      <c r="K352" s="6">
        <v>0</v>
      </c>
      <c r="L352" s="6">
        <v>4.6390000000000002</v>
      </c>
      <c r="M352" s="6">
        <v>4.6390000000000002</v>
      </c>
      <c r="N352" s="6">
        <v>4.6390000000000002</v>
      </c>
      <c r="O352" s="6">
        <v>4.6390000000000002</v>
      </c>
      <c r="P352" s="6">
        <v>0</v>
      </c>
      <c r="Q352" s="4" t="s">
        <v>26</v>
      </c>
      <c r="R352" s="4">
        <v>0</v>
      </c>
      <c r="S352" s="4">
        <v>0</v>
      </c>
      <c r="T352" s="4">
        <v>30</v>
      </c>
      <c r="U352" s="4">
        <v>70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285.56</v>
      </c>
      <c r="X352" s="6">
        <f>IF(ISERROR(VLOOKUP($U$352,'TAR FIN'!$A$1:$O$86,15,0)),0,VLOOKUP($U$352,'TAR FIN'!$A$1:$O$86,15,0))</f>
        <v>227.23</v>
      </c>
      <c r="Y352" s="6"/>
      <c r="Z352" s="6">
        <f ca="1">('TUSD BE'!$AM$34+'TUSD BF'!$AM$34+'TUSD CVA'!$AM$34)*(1-CUSTOS!$M$38)</f>
        <v>310.34682484351242</v>
      </c>
      <c r="AA352" s="6">
        <f>('TE BE'!$AB$24+'TE BF'!$AB$24+'TE CVA'!$AB$24)*(1-CUSTOS!$M$38)</f>
        <v>216.7476358676706</v>
      </c>
      <c r="AB352" s="6">
        <f t="shared" si="20"/>
        <v>0</v>
      </c>
      <c r="AC352" s="6">
        <f>(L352-M352)*(W352+X352)+($W$254+$X$254-$W$352-$X$352)*(L352)</f>
        <v>324.35888000000023</v>
      </c>
      <c r="AD352" s="6">
        <f t="shared" si="21"/>
        <v>0</v>
      </c>
      <c r="AE352" s="6">
        <f ca="1">(L352-M352)*(Z352+AA352)+($Z$254+$AA$254-$Z$352-$AA$352)*(L352)</f>
        <v>156.0760342493094</v>
      </c>
      <c r="AF352" s="4" t="s">
        <v>727</v>
      </c>
    </row>
    <row r="353" spans="1:32" ht="11.25" customHeight="1" x14ac:dyDescent="0.25">
      <c r="A353" s="4" t="s">
        <v>21</v>
      </c>
      <c r="B353" s="4" t="s">
        <v>42</v>
      </c>
      <c r="C353" s="4" t="s">
        <v>23</v>
      </c>
      <c r="D353" s="4" t="s">
        <v>43</v>
      </c>
      <c r="E353" s="4" t="s">
        <v>54</v>
      </c>
      <c r="F353" s="4" t="s">
        <v>52</v>
      </c>
      <c r="G353" s="4" t="s">
        <v>25</v>
      </c>
      <c r="H353" s="4" t="s">
        <v>25</v>
      </c>
      <c r="I353" s="5">
        <v>44409</v>
      </c>
      <c r="J353" s="6">
        <v>0</v>
      </c>
      <c r="K353" s="6">
        <v>0</v>
      </c>
      <c r="L353" s="6">
        <v>4.6219999999999999</v>
      </c>
      <c r="M353" s="6">
        <v>4.6219999999999999</v>
      </c>
      <c r="N353" s="6">
        <v>4.6219999999999999</v>
      </c>
      <c r="O353" s="6">
        <v>4.6219999999999999</v>
      </c>
      <c r="P353" s="6">
        <v>0</v>
      </c>
      <c r="Q353" s="4" t="s">
        <v>26</v>
      </c>
      <c r="R353" s="4">
        <v>0</v>
      </c>
      <c r="S353" s="4">
        <v>0</v>
      </c>
      <c r="T353" s="4">
        <v>30</v>
      </c>
      <c r="U353" s="4">
        <v>70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285.56</v>
      </c>
      <c r="X353" s="6">
        <f>IF(ISERROR(VLOOKUP($U$353,'TAR FIN'!$A$1:$O$86,15,0)),0,VLOOKUP($U$353,'TAR FIN'!$A$1:$O$86,15,0))</f>
        <v>227.23</v>
      </c>
      <c r="Y353" s="6"/>
      <c r="Z353" s="6">
        <f ca="1">('TUSD BE'!$AM$34+'TUSD BF'!$AM$34+'TUSD CVA'!$AM$34)*(1-CUSTOS!$M$38)</f>
        <v>310.34682484351242</v>
      </c>
      <c r="AA353" s="6">
        <f>('TE BE'!$AB$24+'TE BF'!$AB$24+'TE CVA'!$AB$24)*(1-CUSTOS!$M$38)</f>
        <v>216.7476358676706</v>
      </c>
      <c r="AB353" s="6">
        <f t="shared" si="20"/>
        <v>0</v>
      </c>
      <c r="AC353" s="6">
        <f>(L353-M353)*(W353+X353)+($W$254+$X$254-$W$353-$X$353)*(L353)</f>
        <v>323.17024000000021</v>
      </c>
      <c r="AD353" s="6">
        <f t="shared" si="21"/>
        <v>0</v>
      </c>
      <c r="AE353" s="6">
        <f ca="1">(L353-M353)*(Z353+AA353)+($Z$254+$AA$254-$Z$353-$AA$353)*(L353)</f>
        <v>155.50408068555896</v>
      </c>
      <c r="AF353" s="4" t="s">
        <v>727</v>
      </c>
    </row>
    <row r="354" spans="1:32" ht="11.25" customHeight="1" x14ac:dyDescent="0.25">
      <c r="A354" s="4" t="s">
        <v>27</v>
      </c>
      <c r="B354" s="4" t="s">
        <v>42</v>
      </c>
      <c r="C354" s="4" t="s">
        <v>23</v>
      </c>
      <c r="D354" s="4" t="s">
        <v>43</v>
      </c>
      <c r="E354" s="4" t="s">
        <v>54</v>
      </c>
      <c r="F354" s="4" t="s">
        <v>52</v>
      </c>
      <c r="G354" s="4" t="s">
        <v>25</v>
      </c>
      <c r="H354" s="4" t="s">
        <v>25</v>
      </c>
      <c r="I354" s="5">
        <v>44409</v>
      </c>
      <c r="J354" s="6">
        <v>0</v>
      </c>
      <c r="K354" s="6">
        <v>0</v>
      </c>
      <c r="L354" s="6">
        <v>-1.766</v>
      </c>
      <c r="M354" s="6">
        <v>-1.766</v>
      </c>
      <c r="N354" s="6">
        <v>-1.766</v>
      </c>
      <c r="O354" s="6">
        <v>-1.766</v>
      </c>
      <c r="P354" s="6">
        <v>0</v>
      </c>
      <c r="Q354" s="4" t="s">
        <v>26</v>
      </c>
      <c r="R354" s="4">
        <v>0</v>
      </c>
      <c r="S354" s="4">
        <v>0</v>
      </c>
      <c r="T354" s="4">
        <v>30</v>
      </c>
      <c r="U354" s="4">
        <v>70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285.56</v>
      </c>
      <c r="X354" s="6">
        <f>IF(ISERROR(VLOOKUP($U$354,'TAR FIN'!$A$1:$O$86,15,0)),0,VLOOKUP($U$354,'TAR FIN'!$A$1:$O$86,15,0))</f>
        <v>227.23</v>
      </c>
      <c r="Y354" s="6"/>
      <c r="Z354" s="6">
        <f ca="1">('TUSD BE'!$AM$34+'TUSD BF'!$AM$34+'TUSD CVA'!$AM$34)*(1-CUSTOS!$M$38)</f>
        <v>310.34682484351242</v>
      </c>
      <c r="AA354" s="6">
        <f>('TE BE'!$AB$24+'TE BF'!$AB$24+'TE CVA'!$AB$24)*(1-CUSTOS!$M$38)</f>
        <v>216.7476358676706</v>
      </c>
      <c r="AB354" s="6">
        <f t="shared" si="20"/>
        <v>0</v>
      </c>
      <c r="AC354" s="6">
        <f>(L354-M354)*(W354+X354)+($W$254+$X$254-$W$354-$X$354)*(L354)</f>
        <v>-123.47872000000008</v>
      </c>
      <c r="AD354" s="6">
        <f t="shared" si="21"/>
        <v>0</v>
      </c>
      <c r="AE354" s="6">
        <f ca="1">(L354-M354)*(Z354+AA354)+($Z$254+$AA$254-$Z$354-$AA$354)*(L354)</f>
        <v>-59.41588197548618</v>
      </c>
      <c r="AF354" s="4" t="s">
        <v>727</v>
      </c>
    </row>
    <row r="355" spans="1:32" ht="11.25" customHeight="1" x14ac:dyDescent="0.25">
      <c r="A355" s="4" t="s">
        <v>55</v>
      </c>
      <c r="B355" s="4" t="s">
        <v>42</v>
      </c>
      <c r="C355" s="4" t="s">
        <v>23</v>
      </c>
      <c r="D355" s="4" t="s">
        <v>43</v>
      </c>
      <c r="E355" s="4" t="s">
        <v>54</v>
      </c>
      <c r="F355" s="4" t="s">
        <v>52</v>
      </c>
      <c r="G355" s="4" t="s">
        <v>25</v>
      </c>
      <c r="H355" s="4" t="s">
        <v>25</v>
      </c>
      <c r="I355" s="5">
        <v>44409</v>
      </c>
      <c r="J355" s="6">
        <v>0</v>
      </c>
      <c r="K355" s="6">
        <v>0</v>
      </c>
      <c r="L355" s="6">
        <v>1.845</v>
      </c>
      <c r="M355" s="6">
        <v>1.845</v>
      </c>
      <c r="N355" s="6">
        <v>1.845</v>
      </c>
      <c r="O355" s="6">
        <v>1.845</v>
      </c>
      <c r="P355" s="6">
        <v>0</v>
      </c>
      <c r="Q355" s="4" t="s">
        <v>26</v>
      </c>
      <c r="R355" s="4">
        <v>0</v>
      </c>
      <c r="S355" s="4">
        <v>0</v>
      </c>
      <c r="T355" s="4">
        <v>30</v>
      </c>
      <c r="U355" s="4">
        <v>70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285.56</v>
      </c>
      <c r="X355" s="6">
        <f>IF(ISERROR(VLOOKUP($U$355,'TAR FIN'!$A$1:$O$86,15,0)),0,VLOOKUP($U$355,'TAR FIN'!$A$1:$O$86,15,0))</f>
        <v>227.23</v>
      </c>
      <c r="Y355" s="6"/>
      <c r="Z355" s="6">
        <f ca="1">('TUSD BE'!$AM$34+'TUSD BF'!$AM$34+'TUSD CVA'!$AM$34)*(1-CUSTOS!$M$38)</f>
        <v>310.34682484351242</v>
      </c>
      <c r="AA355" s="6">
        <f>('TE BE'!$AB$24+'TE BF'!$AB$24+'TE CVA'!$AB$24)*(1-CUSTOS!$M$38)</f>
        <v>216.7476358676706</v>
      </c>
      <c r="AB355" s="6">
        <f t="shared" si="20"/>
        <v>0</v>
      </c>
      <c r="AC355" s="6">
        <f>(L355-M355)*(W355+X355)+($W$254+$X$254-$W$355-$X$355)*(L355)</f>
        <v>129.00240000000008</v>
      </c>
      <c r="AD355" s="6">
        <f t="shared" si="21"/>
        <v>0</v>
      </c>
      <c r="AE355" s="6">
        <f ca="1">(L355-M355)*(Z355+AA355)+($Z$254+$AA$254-$Z$355-$AA$355)*(L355)</f>
        <v>62.073783830561723</v>
      </c>
      <c r="AF355" s="4" t="s">
        <v>727</v>
      </c>
    </row>
    <row r="356" spans="1:32" ht="11.25" customHeight="1" x14ac:dyDescent="0.25">
      <c r="A356" s="4" t="s">
        <v>21</v>
      </c>
      <c r="B356" s="4" t="s">
        <v>42</v>
      </c>
      <c r="C356" s="4" t="s">
        <v>23</v>
      </c>
      <c r="D356" s="4" t="s">
        <v>43</v>
      </c>
      <c r="E356" s="4" t="s">
        <v>54</v>
      </c>
      <c r="F356" s="4" t="s">
        <v>52</v>
      </c>
      <c r="G356" s="4" t="s">
        <v>25</v>
      </c>
      <c r="H356" s="4" t="s">
        <v>25</v>
      </c>
      <c r="I356" s="5">
        <v>44440</v>
      </c>
      <c r="J356" s="6">
        <v>0</v>
      </c>
      <c r="K356" s="6">
        <v>0</v>
      </c>
      <c r="L356" s="6">
        <v>1.7450000000000001</v>
      </c>
      <c r="M356" s="6">
        <v>1.7450000000000001</v>
      </c>
      <c r="N356" s="6">
        <v>1.7450000000000001</v>
      </c>
      <c r="O356" s="6">
        <v>1.7450000000000001</v>
      </c>
      <c r="P356" s="6">
        <v>0</v>
      </c>
      <c r="Q356" s="4" t="s">
        <v>26</v>
      </c>
      <c r="R356" s="4">
        <v>0</v>
      </c>
      <c r="S356" s="4">
        <v>0</v>
      </c>
      <c r="T356" s="4">
        <v>30</v>
      </c>
      <c r="U356" s="4">
        <v>70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285.56</v>
      </c>
      <c r="X356" s="6">
        <f>IF(ISERROR(VLOOKUP($U$356,'TAR FIN'!$A$1:$O$86,15,0)),0,VLOOKUP($U$356,'TAR FIN'!$A$1:$O$86,15,0))</f>
        <v>227.23</v>
      </c>
      <c r="Y356" s="6"/>
      <c r="Z356" s="6">
        <f ca="1">('TUSD BE'!$AM$34+'TUSD BF'!$AM$34+'TUSD CVA'!$AM$34)*(1-CUSTOS!$M$38)</f>
        <v>310.34682484351242</v>
      </c>
      <c r="AA356" s="6">
        <f>('TE BE'!$AB$24+'TE BF'!$AB$24+'TE CVA'!$AB$24)*(1-CUSTOS!$M$38)</f>
        <v>216.7476358676706</v>
      </c>
      <c r="AB356" s="6">
        <f t="shared" si="20"/>
        <v>0</v>
      </c>
      <c r="AC356" s="6">
        <f>(L356-M356)*(W356+X356)+($W$254+$X$254-$W$356-$X$356)*(L356)</f>
        <v>122.01040000000009</v>
      </c>
      <c r="AD356" s="6">
        <f t="shared" si="21"/>
        <v>0</v>
      </c>
      <c r="AE356" s="6">
        <f ca="1">(L356-M356)*(Z356+AA356)+($Z$254+$AA$254-$Z$356-$AA$356)*(L356)</f>
        <v>58.709351102618001</v>
      </c>
      <c r="AF356" s="4" t="s">
        <v>727</v>
      </c>
    </row>
    <row r="357" spans="1:32" ht="11.25" customHeight="1" x14ac:dyDescent="0.25">
      <c r="A357" s="4" t="s">
        <v>27</v>
      </c>
      <c r="B357" s="4" t="s">
        <v>42</v>
      </c>
      <c r="C357" s="4" t="s">
        <v>23</v>
      </c>
      <c r="D357" s="4" t="s">
        <v>43</v>
      </c>
      <c r="E357" s="4" t="s">
        <v>54</v>
      </c>
      <c r="F357" s="4" t="s">
        <v>52</v>
      </c>
      <c r="G357" s="4" t="s">
        <v>25</v>
      </c>
      <c r="H357" s="4" t="s">
        <v>25</v>
      </c>
      <c r="I357" s="5">
        <v>44440</v>
      </c>
      <c r="J357" s="6">
        <v>0</v>
      </c>
      <c r="K357" s="6">
        <v>0</v>
      </c>
      <c r="L357" s="6">
        <v>-1.5509999999999999</v>
      </c>
      <c r="M357" s="6">
        <v>-1.5509999999999999</v>
      </c>
      <c r="N357" s="6">
        <v>-1.5509999999999999</v>
      </c>
      <c r="O357" s="6">
        <v>-1.5509999999999999</v>
      </c>
      <c r="P357" s="6">
        <v>0</v>
      </c>
      <c r="Q357" s="4" t="s">
        <v>26</v>
      </c>
      <c r="R357" s="4">
        <v>0</v>
      </c>
      <c r="S357" s="4">
        <v>0</v>
      </c>
      <c r="T357" s="4">
        <v>30</v>
      </c>
      <c r="U357" s="4">
        <v>70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285.56</v>
      </c>
      <c r="X357" s="6">
        <f>IF(ISERROR(VLOOKUP($U$357,'TAR FIN'!$A$1:$O$86,15,0)),0,VLOOKUP($U$357,'TAR FIN'!$A$1:$O$86,15,0))</f>
        <v>227.23</v>
      </c>
      <c r="Y357" s="6"/>
      <c r="Z357" s="6">
        <f ca="1">('TUSD BE'!$AM$34+'TUSD BF'!$AM$34+'TUSD CVA'!$AM$34)*(1-CUSTOS!$M$38)</f>
        <v>310.34682484351242</v>
      </c>
      <c r="AA357" s="6">
        <f>('TE BE'!$AB$24+'TE BF'!$AB$24+'TE CVA'!$AB$24)*(1-CUSTOS!$M$38)</f>
        <v>216.7476358676706</v>
      </c>
      <c r="AB357" s="6">
        <f t="shared" si="20"/>
        <v>0</v>
      </c>
      <c r="AC357" s="6">
        <f>(L357-M357)*(W357+X357)+($W$254+$X$254-$W$357-$X$357)*(L357)</f>
        <v>-108.44592000000006</v>
      </c>
      <c r="AD357" s="6">
        <f t="shared" si="21"/>
        <v>0</v>
      </c>
      <c r="AE357" s="6">
        <f ca="1">(L357-M357)*(Z357+AA357)+($Z$254+$AA$254-$Z$357-$AA$357)*(L357)</f>
        <v>-52.182351610407174</v>
      </c>
      <c r="AF357" s="4" t="s">
        <v>727</v>
      </c>
    </row>
    <row r="358" spans="1:32" ht="11.25" customHeight="1" x14ac:dyDescent="0.25">
      <c r="A358" s="4" t="s">
        <v>55</v>
      </c>
      <c r="B358" s="4" t="s">
        <v>42</v>
      </c>
      <c r="C358" s="4" t="s">
        <v>23</v>
      </c>
      <c r="D358" s="4" t="s">
        <v>43</v>
      </c>
      <c r="E358" s="4" t="s">
        <v>54</v>
      </c>
      <c r="F358" s="4" t="s">
        <v>52</v>
      </c>
      <c r="G358" s="4" t="s">
        <v>25</v>
      </c>
      <c r="H358" s="4" t="s">
        <v>25</v>
      </c>
      <c r="I358" s="5">
        <v>44440</v>
      </c>
      <c r="J358" s="6">
        <v>0</v>
      </c>
      <c r="K358" s="6">
        <v>0</v>
      </c>
      <c r="L358" s="6">
        <v>10.317</v>
      </c>
      <c r="M358" s="6">
        <v>10.317</v>
      </c>
      <c r="N358" s="6">
        <v>10.317</v>
      </c>
      <c r="O358" s="6">
        <v>10.317</v>
      </c>
      <c r="P358" s="6">
        <v>0</v>
      </c>
      <c r="Q358" s="4" t="s">
        <v>26</v>
      </c>
      <c r="R358" s="4">
        <v>0</v>
      </c>
      <c r="S358" s="4">
        <v>0</v>
      </c>
      <c r="T358" s="4">
        <v>30</v>
      </c>
      <c r="U358" s="4">
        <v>70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285.56</v>
      </c>
      <c r="X358" s="6">
        <f>IF(ISERROR(VLOOKUP($U$358,'TAR FIN'!$A$1:$O$86,15,0)),0,VLOOKUP($U$358,'TAR FIN'!$A$1:$O$86,15,0))</f>
        <v>227.23</v>
      </c>
      <c r="Y358" s="6"/>
      <c r="Z358" s="6">
        <f ca="1">('TUSD BE'!$AM$34+'TUSD BF'!$AM$34+'TUSD CVA'!$AM$34)*(1-CUSTOS!$M$38)</f>
        <v>310.34682484351242</v>
      </c>
      <c r="AA358" s="6">
        <f>('TE BE'!$AB$24+'TE BF'!$AB$24+'TE CVA'!$AB$24)*(1-CUSTOS!$M$38)</f>
        <v>216.7476358676706</v>
      </c>
      <c r="AB358" s="6">
        <f t="shared" si="20"/>
        <v>0</v>
      </c>
      <c r="AC358" s="6">
        <f>(L358-M358)*(W358+X358)+($W$254+$X$254-$W$358-$X$358)*(L358)</f>
        <v>721.36464000000046</v>
      </c>
      <c r="AD358" s="6">
        <f t="shared" si="21"/>
        <v>0</v>
      </c>
      <c r="AE358" s="6">
        <f ca="1">(L358-M358)*(Z358+AA358)+($Z$254+$AA$254-$Z$358-$AA$358)*(L358)</f>
        <v>347.10852454195413</v>
      </c>
      <c r="AF358" s="4" t="s">
        <v>727</v>
      </c>
    </row>
    <row r="359" spans="1:32" ht="11.25" customHeight="1" x14ac:dyDescent="0.25">
      <c r="A359" s="4" t="s">
        <v>21</v>
      </c>
      <c r="B359" s="4" t="s">
        <v>42</v>
      </c>
      <c r="C359" s="4" t="s">
        <v>23</v>
      </c>
      <c r="D359" s="4" t="s">
        <v>43</v>
      </c>
      <c r="E359" s="4" t="s">
        <v>54</v>
      </c>
      <c r="F359" s="4" t="s">
        <v>52</v>
      </c>
      <c r="G359" s="4" t="s">
        <v>25</v>
      </c>
      <c r="H359" s="4" t="s">
        <v>25</v>
      </c>
      <c r="I359" s="5">
        <v>44470</v>
      </c>
      <c r="J359" s="6">
        <v>0</v>
      </c>
      <c r="K359" s="6">
        <v>0</v>
      </c>
      <c r="L359" s="6">
        <v>2.9319999999999999</v>
      </c>
      <c r="M359" s="6">
        <v>2.9319999999999999</v>
      </c>
      <c r="N359" s="6">
        <v>2.9319999999999999</v>
      </c>
      <c r="O359" s="6">
        <v>2.9319999999999999</v>
      </c>
      <c r="P359" s="6">
        <v>0</v>
      </c>
      <c r="Q359" s="4" t="s">
        <v>26</v>
      </c>
      <c r="R359" s="4">
        <v>0</v>
      </c>
      <c r="S359" s="4">
        <v>0</v>
      </c>
      <c r="T359" s="4">
        <v>30</v>
      </c>
      <c r="U359" s="4">
        <v>70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285.56</v>
      </c>
      <c r="X359" s="6">
        <f>IF(ISERROR(VLOOKUP($U$359,'TAR FIN'!$A$1:$O$86,15,0)),0,VLOOKUP($U$359,'TAR FIN'!$A$1:$O$86,15,0))</f>
        <v>227.23</v>
      </c>
      <c r="Y359" s="6"/>
      <c r="Z359" s="6">
        <f ca="1">('TUSD BE'!$AM$34+'TUSD BF'!$AM$34+'TUSD CVA'!$AM$34)*(1-CUSTOS!$M$38)</f>
        <v>310.34682484351242</v>
      </c>
      <c r="AA359" s="6">
        <f>('TE BE'!$AB$24+'TE BF'!$AB$24+'TE CVA'!$AB$24)*(1-CUSTOS!$M$38)</f>
        <v>216.7476358676706</v>
      </c>
      <c r="AB359" s="6">
        <f t="shared" si="20"/>
        <v>0</v>
      </c>
      <c r="AC359" s="6">
        <f>(L359-M359)*(W359+X359)+($W$254+$X$254-$W$359-$X$359)*(L359)</f>
        <v>205.00544000000014</v>
      </c>
      <c r="AD359" s="6">
        <f t="shared" si="21"/>
        <v>0</v>
      </c>
      <c r="AE359" s="6">
        <f ca="1">(L359-M359)*(Z359+AA359)+($Z$254+$AA$254-$Z$359-$AA$359)*(L359)</f>
        <v>98.645167583310013</v>
      </c>
      <c r="AF359" s="4" t="s">
        <v>727</v>
      </c>
    </row>
    <row r="360" spans="1:32" ht="11.25" customHeight="1" x14ac:dyDescent="0.25">
      <c r="A360" s="4" t="s">
        <v>55</v>
      </c>
      <c r="B360" s="4" t="s">
        <v>42</v>
      </c>
      <c r="C360" s="4" t="s">
        <v>23</v>
      </c>
      <c r="D360" s="4" t="s">
        <v>43</v>
      </c>
      <c r="E360" s="4" t="s">
        <v>54</v>
      </c>
      <c r="F360" s="4" t="s">
        <v>52</v>
      </c>
      <c r="G360" s="4" t="s">
        <v>25</v>
      </c>
      <c r="H360" s="4" t="s">
        <v>25</v>
      </c>
      <c r="I360" s="5">
        <v>44470</v>
      </c>
      <c r="J360" s="6">
        <v>0</v>
      </c>
      <c r="K360" s="6">
        <v>0</v>
      </c>
      <c r="L360" s="6">
        <v>8.9480000000000004</v>
      </c>
      <c r="M360" s="6">
        <v>8.9480000000000004</v>
      </c>
      <c r="N360" s="6">
        <v>8.9480000000000004</v>
      </c>
      <c r="O360" s="6">
        <v>8.9480000000000004</v>
      </c>
      <c r="P360" s="6">
        <v>0</v>
      </c>
      <c r="Q360" s="4" t="s">
        <v>26</v>
      </c>
      <c r="R360" s="4">
        <v>0</v>
      </c>
      <c r="S360" s="4">
        <v>0</v>
      </c>
      <c r="T360" s="4">
        <v>30</v>
      </c>
      <c r="U360" s="4">
        <v>70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285.56</v>
      </c>
      <c r="X360" s="6">
        <f>IF(ISERROR(VLOOKUP($U$360,'TAR FIN'!$A$1:$O$86,15,0)),0,VLOOKUP($U$360,'TAR FIN'!$A$1:$O$86,15,0))</f>
        <v>227.23</v>
      </c>
      <c r="Y360" s="6"/>
      <c r="Z360" s="6">
        <f ca="1">('TUSD BE'!$AM$34+'TUSD BF'!$AM$34+'TUSD CVA'!$AM$34)*(1-CUSTOS!$M$38)</f>
        <v>310.34682484351242</v>
      </c>
      <c r="AA360" s="6">
        <f>('TE BE'!$AB$24+'TE BF'!$AB$24+'TE CVA'!$AB$24)*(1-CUSTOS!$M$38)</f>
        <v>216.7476358676706</v>
      </c>
      <c r="AB360" s="6">
        <f t="shared" si="20"/>
        <v>0</v>
      </c>
      <c r="AC360" s="6">
        <f>(L360-M360)*(W360+X360)+($W$254+$X$254-$W$360-$X$360)*(L360)</f>
        <v>625.6441600000004</v>
      </c>
      <c r="AD360" s="6">
        <f t="shared" si="21"/>
        <v>0</v>
      </c>
      <c r="AE360" s="6">
        <f ca="1">(L360-M360)*(Z360+AA360)+($Z$254+$AA$254-$Z$360-$AA$360)*(L360)</f>
        <v>301.04944049640454</v>
      </c>
      <c r="AF360" s="4" t="s">
        <v>727</v>
      </c>
    </row>
    <row r="361" spans="1:32" ht="11.25" customHeight="1" x14ac:dyDescent="0.25">
      <c r="A361" s="4" t="s">
        <v>21</v>
      </c>
      <c r="B361" s="4" t="s">
        <v>42</v>
      </c>
      <c r="C361" s="4" t="s">
        <v>23</v>
      </c>
      <c r="D361" s="4" t="s">
        <v>43</v>
      </c>
      <c r="E361" s="4" t="s">
        <v>54</v>
      </c>
      <c r="F361" s="4" t="s">
        <v>52</v>
      </c>
      <c r="G361" s="4" t="s">
        <v>25</v>
      </c>
      <c r="H361" s="4" t="s">
        <v>25</v>
      </c>
      <c r="I361" s="5">
        <v>44501</v>
      </c>
      <c r="J361" s="6">
        <v>0</v>
      </c>
      <c r="K361" s="6">
        <v>0</v>
      </c>
      <c r="L361" s="6">
        <v>2.524</v>
      </c>
      <c r="M361" s="6">
        <v>2.524</v>
      </c>
      <c r="N361" s="6">
        <v>2.524</v>
      </c>
      <c r="O361" s="6">
        <v>2.524</v>
      </c>
      <c r="P361" s="6">
        <v>0</v>
      </c>
      <c r="Q361" s="4" t="s">
        <v>26</v>
      </c>
      <c r="R361" s="4">
        <v>0</v>
      </c>
      <c r="S361" s="4">
        <v>0</v>
      </c>
      <c r="T361" s="4">
        <v>30</v>
      </c>
      <c r="U361" s="4">
        <v>70</v>
      </c>
      <c r="V361" s="6">
        <f>IF(ISERROR(VLOOKUP($S$361,'TAR FIN'!$A$1:$O$86,15,0)),0,VLOOKUP($S$361,'TAR FIN'!$A$1:$O$86,15,0))</f>
        <v>0</v>
      </c>
      <c r="W361" s="6">
        <f>IF(ISERROR(VLOOKUP($T$361,'TAR FIN'!$A$1:$O$86,15,0)),0,VLOOKUP($T$361,'TAR FIN'!$A$1:$O$86,15,0))</f>
        <v>285.56</v>
      </c>
      <c r="X361" s="6">
        <f>IF(ISERROR(VLOOKUP($U$361,'TAR FIN'!$A$1:$O$86,15,0)),0,VLOOKUP($U$361,'TAR FIN'!$A$1:$O$86,15,0))</f>
        <v>227.23</v>
      </c>
      <c r="Y361" s="6"/>
      <c r="Z361" s="6">
        <f ca="1">('TUSD BE'!$AM$34+'TUSD BF'!$AM$34+'TUSD CVA'!$AM$34)*(1-CUSTOS!$M$38)</f>
        <v>310.34682484351242</v>
      </c>
      <c r="AA361" s="6">
        <f>('TE BE'!$AB$24+'TE BF'!$AB$24+'TE CVA'!$AB$24)*(1-CUSTOS!$M$38)</f>
        <v>216.7476358676706</v>
      </c>
      <c r="AB361" s="6">
        <f t="shared" si="20"/>
        <v>0</v>
      </c>
      <c r="AC361" s="6">
        <f>(L361-M361)*(W361+X361)+($W$254+$X$254-$W$361-$X$361)*(L361)</f>
        <v>176.47808000000012</v>
      </c>
      <c r="AD361" s="6">
        <f t="shared" si="21"/>
        <v>0</v>
      </c>
      <c r="AE361" s="6">
        <f ca="1">(L361-M361)*(Z361+AA361)+($Z$254+$AA$254-$Z$361-$AA$361)*(L361)</f>
        <v>84.91828205329962</v>
      </c>
      <c r="AF361" s="4" t="s">
        <v>727</v>
      </c>
    </row>
    <row r="362" spans="1:32" ht="11.25" customHeight="1" x14ac:dyDescent="0.25">
      <c r="A362" s="4" t="s">
        <v>55</v>
      </c>
      <c r="B362" s="4" t="s">
        <v>42</v>
      </c>
      <c r="C362" s="4" t="s">
        <v>23</v>
      </c>
      <c r="D362" s="4" t="s">
        <v>43</v>
      </c>
      <c r="E362" s="4" t="s">
        <v>54</v>
      </c>
      <c r="F362" s="4" t="s">
        <v>52</v>
      </c>
      <c r="G362" s="4" t="s">
        <v>25</v>
      </c>
      <c r="H362" s="4" t="s">
        <v>25</v>
      </c>
      <c r="I362" s="5">
        <v>44501</v>
      </c>
      <c r="J362" s="6">
        <v>0</v>
      </c>
      <c r="K362" s="6">
        <v>0</v>
      </c>
      <c r="L362" s="6">
        <v>7.024</v>
      </c>
      <c r="M362" s="6">
        <v>7.024</v>
      </c>
      <c r="N362" s="6">
        <v>7.024</v>
      </c>
      <c r="O362" s="6">
        <v>7.024</v>
      </c>
      <c r="P362" s="6">
        <v>0</v>
      </c>
      <c r="Q362" s="4" t="s">
        <v>26</v>
      </c>
      <c r="R362" s="4">
        <v>0</v>
      </c>
      <c r="S362" s="4">
        <v>0</v>
      </c>
      <c r="T362" s="4">
        <v>30</v>
      </c>
      <c r="U362" s="4">
        <v>70</v>
      </c>
      <c r="V362" s="6">
        <f>IF(ISERROR(VLOOKUP($S$362,'TAR FIN'!$A$1:$O$86,15,0)),0,VLOOKUP($S$362,'TAR FIN'!$A$1:$O$86,15,0))</f>
        <v>0</v>
      </c>
      <c r="W362" s="6">
        <f>IF(ISERROR(VLOOKUP($T$362,'TAR FIN'!$A$1:$O$86,15,0)),0,VLOOKUP($T$362,'TAR FIN'!$A$1:$O$86,15,0))</f>
        <v>285.56</v>
      </c>
      <c r="X362" s="6">
        <f>IF(ISERROR(VLOOKUP($U$362,'TAR FIN'!$A$1:$O$86,15,0)),0,VLOOKUP($U$362,'TAR FIN'!$A$1:$O$86,15,0))</f>
        <v>227.23</v>
      </c>
      <c r="Y362" s="6"/>
      <c r="Z362" s="6">
        <f ca="1">('TUSD BE'!$AM$34+'TUSD BF'!$AM$34+'TUSD CVA'!$AM$34)*(1-CUSTOS!$M$38)</f>
        <v>310.34682484351242</v>
      </c>
      <c r="AA362" s="6">
        <f>('TE BE'!$AB$24+'TE BF'!$AB$24+'TE CVA'!$AB$24)*(1-CUSTOS!$M$38)</f>
        <v>216.7476358676706</v>
      </c>
      <c r="AB362" s="6">
        <f t="shared" si="20"/>
        <v>0</v>
      </c>
      <c r="AC362" s="6">
        <f>(L362-M362)*(W362+X362)+($W$254+$X$254-$W$362-$X$362)*(L362)</f>
        <v>491.1180800000003</v>
      </c>
      <c r="AD362" s="6">
        <f t="shared" si="21"/>
        <v>0</v>
      </c>
      <c r="AE362" s="6">
        <f ca="1">(L362-M362)*(Z362+AA362)+($Z$254+$AA$254-$Z$362-$AA$362)*(L362)</f>
        <v>236.31775481076724</v>
      </c>
      <c r="AF362" s="4" t="s">
        <v>727</v>
      </c>
    </row>
    <row r="363" spans="1:32" ht="11.25" customHeight="1" x14ac:dyDescent="0.25">
      <c r="A363" s="4" t="s">
        <v>21</v>
      </c>
      <c r="B363" s="4" t="s">
        <v>42</v>
      </c>
      <c r="C363" s="4" t="s">
        <v>23</v>
      </c>
      <c r="D363" s="4" t="s">
        <v>43</v>
      </c>
      <c r="E363" s="4" t="s">
        <v>54</v>
      </c>
      <c r="F363" s="4" t="s">
        <v>52</v>
      </c>
      <c r="G363" s="4" t="s">
        <v>25</v>
      </c>
      <c r="H363" s="4" t="s">
        <v>25</v>
      </c>
      <c r="I363" s="5">
        <v>44531</v>
      </c>
      <c r="J363" s="6">
        <v>0</v>
      </c>
      <c r="K363" s="6">
        <v>0</v>
      </c>
      <c r="L363" s="6">
        <v>5.0359999999999996</v>
      </c>
      <c r="M363" s="6">
        <v>5.0359999999999996</v>
      </c>
      <c r="N363" s="6">
        <v>5.0359999999999996</v>
      </c>
      <c r="O363" s="6">
        <v>5.0359999999999996</v>
      </c>
      <c r="P363" s="6">
        <v>0</v>
      </c>
      <c r="Q363" s="4" t="s">
        <v>26</v>
      </c>
      <c r="R363" s="4">
        <v>0</v>
      </c>
      <c r="S363" s="4">
        <v>0</v>
      </c>
      <c r="T363" s="4">
        <v>30</v>
      </c>
      <c r="U363" s="4">
        <v>70</v>
      </c>
      <c r="V363" s="6">
        <f>IF(ISERROR(VLOOKUP($S$363,'TAR FIN'!$A$1:$O$86,15,0)),0,VLOOKUP($S$363,'TAR FIN'!$A$1:$O$86,15,0))</f>
        <v>0</v>
      </c>
      <c r="W363" s="6">
        <f>IF(ISERROR(VLOOKUP($T$363,'TAR FIN'!$A$1:$O$86,15,0)),0,VLOOKUP($T$363,'TAR FIN'!$A$1:$O$86,15,0))</f>
        <v>285.56</v>
      </c>
      <c r="X363" s="6">
        <f>IF(ISERROR(VLOOKUP($U$363,'TAR FIN'!$A$1:$O$86,15,0)),0,VLOOKUP($U$363,'TAR FIN'!$A$1:$O$86,15,0))</f>
        <v>227.23</v>
      </c>
      <c r="Y363" s="6"/>
      <c r="Z363" s="6">
        <f ca="1">('TUSD BE'!$AM$34+'TUSD BF'!$AM$34+'TUSD CVA'!$AM$34)*(1-CUSTOS!$M$38)</f>
        <v>310.34682484351242</v>
      </c>
      <c r="AA363" s="6">
        <f>('TE BE'!$AB$24+'TE BF'!$AB$24+'TE CVA'!$AB$24)*(1-CUSTOS!$M$38)</f>
        <v>216.7476358676706</v>
      </c>
      <c r="AB363" s="6">
        <f t="shared" si="20"/>
        <v>0</v>
      </c>
      <c r="AC363" s="6">
        <f>(L363-M363)*(W363+X363)+($W$254+$X$254-$W$363-$X$363)*(L363)</f>
        <v>352.11712000000017</v>
      </c>
      <c r="AD363" s="6">
        <f t="shared" si="21"/>
        <v>0</v>
      </c>
      <c r="AE363" s="6">
        <f ca="1">(L363-M363)*(Z363+AA363)+($Z$254+$AA$254-$Z$363-$AA$363)*(L363)</f>
        <v>169.43283217924596</v>
      </c>
      <c r="AF363" s="4" t="s">
        <v>727</v>
      </c>
    </row>
    <row r="364" spans="1:32" ht="11.25" customHeight="1" x14ac:dyDescent="0.25">
      <c r="A364" s="4" t="s">
        <v>55</v>
      </c>
      <c r="B364" s="4" t="s">
        <v>42</v>
      </c>
      <c r="C364" s="4" t="s">
        <v>23</v>
      </c>
      <c r="D364" s="4" t="s">
        <v>43</v>
      </c>
      <c r="E364" s="4" t="s">
        <v>54</v>
      </c>
      <c r="F364" s="4" t="s">
        <v>52</v>
      </c>
      <c r="G364" s="4" t="s">
        <v>25</v>
      </c>
      <c r="H364" s="4" t="s">
        <v>25</v>
      </c>
      <c r="I364" s="5">
        <v>44531</v>
      </c>
      <c r="J364" s="6">
        <v>0</v>
      </c>
      <c r="K364" s="6">
        <v>0</v>
      </c>
      <c r="L364" s="6">
        <v>8.0090000000000003</v>
      </c>
      <c r="M364" s="6">
        <v>8.0090000000000003</v>
      </c>
      <c r="N364" s="6">
        <v>8.0090000000000003</v>
      </c>
      <c r="O364" s="6">
        <v>8.0090000000000003</v>
      </c>
      <c r="P364" s="6">
        <v>0</v>
      </c>
      <c r="Q364" s="4" t="s">
        <v>26</v>
      </c>
      <c r="R364" s="4">
        <v>0</v>
      </c>
      <c r="S364" s="4">
        <v>0</v>
      </c>
      <c r="T364" s="4">
        <v>30</v>
      </c>
      <c r="U364" s="4">
        <v>70</v>
      </c>
      <c r="V364" s="6">
        <f>IF(ISERROR(VLOOKUP($S$364,'TAR FIN'!$A$1:$O$86,15,0)),0,VLOOKUP($S$364,'TAR FIN'!$A$1:$O$86,15,0))</f>
        <v>0</v>
      </c>
      <c r="W364" s="6">
        <f>IF(ISERROR(VLOOKUP($T$364,'TAR FIN'!$A$1:$O$86,15,0)),0,VLOOKUP($T$364,'TAR FIN'!$A$1:$O$86,15,0))</f>
        <v>285.56</v>
      </c>
      <c r="X364" s="6">
        <f>IF(ISERROR(VLOOKUP($U$364,'TAR FIN'!$A$1:$O$86,15,0)),0,VLOOKUP($U$364,'TAR FIN'!$A$1:$O$86,15,0))</f>
        <v>227.23</v>
      </c>
      <c r="Y364" s="6"/>
      <c r="Z364" s="6">
        <f ca="1">('TUSD BE'!$AM$34+'TUSD BF'!$AM$34+'TUSD CVA'!$AM$34)*(1-CUSTOS!$M$38)</f>
        <v>310.34682484351242</v>
      </c>
      <c r="AA364" s="6">
        <f>('TE BE'!$AB$24+'TE BF'!$AB$24+'TE CVA'!$AB$24)*(1-CUSTOS!$M$38)</f>
        <v>216.7476358676706</v>
      </c>
      <c r="AB364" s="6">
        <f t="shared" si="20"/>
        <v>0</v>
      </c>
      <c r="AC364" s="6">
        <f>(L364-M364)*(W364+X364)+($W$254+$X$254-$W$364-$X$364)*(L364)</f>
        <v>559.98928000000035</v>
      </c>
      <c r="AD364" s="6">
        <f t="shared" si="21"/>
        <v>0</v>
      </c>
      <c r="AE364" s="6">
        <f ca="1">(L364-M364)*(Z364+AA364)+($Z$254+$AA$254-$Z$364-$AA$364)*(L364)</f>
        <v>269.45741718101294</v>
      </c>
      <c r="AF364" s="4" t="s">
        <v>727</v>
      </c>
    </row>
    <row r="365" spans="1:32" ht="11.25" customHeight="1" x14ac:dyDescent="0.25">
      <c r="A365" s="4" t="s">
        <v>21</v>
      </c>
      <c r="B365" s="4" t="s">
        <v>42</v>
      </c>
      <c r="C365" s="4" t="s">
        <v>23</v>
      </c>
      <c r="D365" s="4" t="s">
        <v>43</v>
      </c>
      <c r="E365" s="4" t="s">
        <v>54</v>
      </c>
      <c r="F365" s="4" t="s">
        <v>52</v>
      </c>
      <c r="G365" s="4" t="s">
        <v>25</v>
      </c>
      <c r="H365" s="4" t="s">
        <v>25</v>
      </c>
      <c r="I365" s="5">
        <v>44562</v>
      </c>
      <c r="J365" s="6">
        <v>0</v>
      </c>
      <c r="K365" s="6">
        <v>0</v>
      </c>
      <c r="L365" s="6">
        <v>7.0739999999999998</v>
      </c>
      <c r="M365" s="6">
        <v>7.0739999999999998</v>
      </c>
      <c r="N365" s="6">
        <v>7.0739999999999998</v>
      </c>
      <c r="O365" s="6">
        <v>7.0739999999999998</v>
      </c>
      <c r="P365" s="6">
        <v>0</v>
      </c>
      <c r="Q365" s="4" t="s">
        <v>26</v>
      </c>
      <c r="R365" s="4">
        <v>0</v>
      </c>
      <c r="S365" s="4">
        <v>0</v>
      </c>
      <c r="T365" s="4">
        <v>30</v>
      </c>
      <c r="U365" s="4">
        <v>70</v>
      </c>
      <c r="V365" s="6">
        <f>IF(ISERROR(VLOOKUP($S$365,'TAR FIN'!$A$1:$O$86,15,0)),0,VLOOKUP($S$365,'TAR FIN'!$A$1:$O$86,15,0))</f>
        <v>0</v>
      </c>
      <c r="W365" s="6">
        <f>IF(ISERROR(VLOOKUP($T$365,'TAR FIN'!$A$1:$O$86,15,0)),0,VLOOKUP($T$365,'TAR FIN'!$A$1:$O$86,15,0))</f>
        <v>285.56</v>
      </c>
      <c r="X365" s="6">
        <f>IF(ISERROR(VLOOKUP($U$365,'TAR FIN'!$A$1:$O$86,15,0)),0,VLOOKUP($U$365,'TAR FIN'!$A$1:$O$86,15,0))</f>
        <v>227.23</v>
      </c>
      <c r="Y365" s="6"/>
      <c r="Z365" s="6">
        <f ca="1">('TUSD BE'!$AM$34+'TUSD BF'!$AM$34+'TUSD CVA'!$AM$34)*(1-CUSTOS!$M$38)</f>
        <v>310.34682484351242</v>
      </c>
      <c r="AA365" s="6">
        <f>('TE BE'!$AB$24+'TE BF'!$AB$24+'TE CVA'!$AB$24)*(1-CUSTOS!$M$38)</f>
        <v>216.7476358676706</v>
      </c>
      <c r="AB365" s="6">
        <f t="shared" si="20"/>
        <v>0</v>
      </c>
      <c r="AC365" s="6">
        <f>(L365-M365)*(W365+X365)+($W$254+$X$254-$W$365-$X$365)*(L365)</f>
        <v>494.61408000000029</v>
      </c>
      <c r="AD365" s="6">
        <f t="shared" si="21"/>
        <v>0</v>
      </c>
      <c r="AE365" s="6">
        <f ca="1">(L365-M365)*(Z365+AA365)+($Z$254+$AA$254-$Z$365-$AA$365)*(L365)</f>
        <v>237.9999711747391</v>
      </c>
      <c r="AF365" s="4" t="s">
        <v>727</v>
      </c>
    </row>
    <row r="366" spans="1:32" ht="11.25" customHeight="1" x14ac:dyDescent="0.25">
      <c r="A366" s="4" t="s">
        <v>55</v>
      </c>
      <c r="B366" s="4" t="s">
        <v>42</v>
      </c>
      <c r="C366" s="4" t="s">
        <v>23</v>
      </c>
      <c r="D366" s="4" t="s">
        <v>43</v>
      </c>
      <c r="E366" s="4" t="s">
        <v>54</v>
      </c>
      <c r="F366" s="4" t="s">
        <v>52</v>
      </c>
      <c r="G366" s="4" t="s">
        <v>25</v>
      </c>
      <c r="H366" s="4" t="s">
        <v>25</v>
      </c>
      <c r="I366" s="5">
        <v>44562</v>
      </c>
      <c r="J366" s="6">
        <v>0</v>
      </c>
      <c r="K366" s="6">
        <v>0</v>
      </c>
      <c r="L366" s="6">
        <v>7.4219999999999997</v>
      </c>
      <c r="M366" s="6">
        <v>7.4219999999999997</v>
      </c>
      <c r="N366" s="6">
        <v>7.4219999999999997</v>
      </c>
      <c r="O366" s="6">
        <v>7.4219999999999997</v>
      </c>
      <c r="P366" s="6">
        <v>0</v>
      </c>
      <c r="Q366" s="4" t="s">
        <v>26</v>
      </c>
      <c r="R366" s="4">
        <v>0</v>
      </c>
      <c r="S366" s="4">
        <v>0</v>
      </c>
      <c r="T366" s="4">
        <v>30</v>
      </c>
      <c r="U366" s="4">
        <v>70</v>
      </c>
      <c r="V366" s="6">
        <f>IF(ISERROR(VLOOKUP($S$366,'TAR FIN'!$A$1:$O$86,15,0)),0,VLOOKUP($S$366,'TAR FIN'!$A$1:$O$86,15,0))</f>
        <v>0</v>
      </c>
      <c r="W366" s="6">
        <f>IF(ISERROR(VLOOKUP($T$366,'TAR FIN'!$A$1:$O$86,15,0)),0,VLOOKUP($T$366,'TAR FIN'!$A$1:$O$86,15,0))</f>
        <v>285.56</v>
      </c>
      <c r="X366" s="6">
        <f>IF(ISERROR(VLOOKUP($U$366,'TAR FIN'!$A$1:$O$86,15,0)),0,VLOOKUP($U$366,'TAR FIN'!$A$1:$O$86,15,0))</f>
        <v>227.23</v>
      </c>
      <c r="Y366" s="6"/>
      <c r="Z366" s="6">
        <f ca="1">('TUSD BE'!$AM$34+'TUSD BF'!$AM$34+'TUSD CVA'!$AM$34)*(1-CUSTOS!$M$38)</f>
        <v>310.34682484351242</v>
      </c>
      <c r="AA366" s="6">
        <f>('TE BE'!$AB$24+'TE BF'!$AB$24+'TE CVA'!$AB$24)*(1-CUSTOS!$M$38)</f>
        <v>216.7476358676706</v>
      </c>
      <c r="AB366" s="6">
        <f t="shared" si="20"/>
        <v>0</v>
      </c>
      <c r="AC366" s="6">
        <f>(L366-M366)*(W366+X366)+($W$254+$X$254-$W$366-$X$366)*(L366)</f>
        <v>518.94624000000033</v>
      </c>
      <c r="AD366" s="6">
        <f t="shared" si="21"/>
        <v>0</v>
      </c>
      <c r="AE366" s="6">
        <f ca="1">(L366-M366)*(Z366+AA366)+($Z$254+$AA$254-$Z$366-$AA$366)*(L366)</f>
        <v>249.70819706798326</v>
      </c>
      <c r="AF366" s="4" t="s">
        <v>727</v>
      </c>
    </row>
    <row r="367" spans="1:32" ht="11.25" customHeight="1" x14ac:dyDescent="0.25">
      <c r="A367" s="4" t="s">
        <v>21</v>
      </c>
      <c r="B367" s="4" t="s">
        <v>42</v>
      </c>
      <c r="C367" s="4" t="s">
        <v>23</v>
      </c>
      <c r="D367" s="4" t="s">
        <v>43</v>
      </c>
      <c r="E367" s="4" t="s">
        <v>54</v>
      </c>
      <c r="F367" s="4" t="s">
        <v>52</v>
      </c>
      <c r="G367" s="4" t="s">
        <v>25</v>
      </c>
      <c r="H367" s="4" t="s">
        <v>25</v>
      </c>
      <c r="I367" s="5">
        <v>44593</v>
      </c>
      <c r="J367" s="6">
        <v>0</v>
      </c>
      <c r="K367" s="6">
        <v>0</v>
      </c>
      <c r="L367" s="6">
        <v>5.0780000000000003</v>
      </c>
      <c r="M367" s="6">
        <v>5.0780000000000003</v>
      </c>
      <c r="N367" s="6">
        <v>5.0780000000000003</v>
      </c>
      <c r="O367" s="6">
        <v>5.0780000000000003</v>
      </c>
      <c r="P367" s="6">
        <v>0</v>
      </c>
      <c r="Q367" s="4" t="s">
        <v>26</v>
      </c>
      <c r="R367" s="4">
        <v>0</v>
      </c>
      <c r="S367" s="4">
        <v>0</v>
      </c>
      <c r="T367" s="4">
        <v>30</v>
      </c>
      <c r="U367" s="4">
        <v>70</v>
      </c>
      <c r="V367" s="6">
        <f>IF(ISERROR(VLOOKUP($S$367,'TAR FIN'!$A$1:$O$86,15,0)),0,VLOOKUP($S$367,'TAR FIN'!$A$1:$O$86,15,0))</f>
        <v>0</v>
      </c>
      <c r="W367" s="6">
        <f>IF(ISERROR(VLOOKUP($T$367,'TAR FIN'!$A$1:$O$86,15,0)),0,VLOOKUP($T$367,'TAR FIN'!$A$1:$O$86,15,0))</f>
        <v>285.56</v>
      </c>
      <c r="X367" s="6">
        <f>IF(ISERROR(VLOOKUP($U$367,'TAR FIN'!$A$1:$O$86,15,0)),0,VLOOKUP($U$367,'TAR FIN'!$A$1:$O$86,15,0))</f>
        <v>227.23</v>
      </c>
      <c r="Y367" s="6"/>
      <c r="Z367" s="6">
        <f ca="1">('TUSD BE'!$AM$34+'TUSD BF'!$AM$34+'TUSD CVA'!$AM$34)*(1-CUSTOS!$M$38)</f>
        <v>310.34682484351242</v>
      </c>
      <c r="AA367" s="6">
        <f>('TE BE'!$AB$24+'TE BF'!$AB$24+'TE CVA'!$AB$24)*(1-CUSTOS!$M$38)</f>
        <v>216.7476358676706</v>
      </c>
      <c r="AB367" s="6">
        <f t="shared" si="20"/>
        <v>0</v>
      </c>
      <c r="AC367" s="6">
        <f>(L367-M367)*(W367+X367)+($W$254+$X$254-$W$367-$X$367)*(L367)</f>
        <v>355.05376000000024</v>
      </c>
      <c r="AD367" s="6">
        <f t="shared" si="21"/>
        <v>0</v>
      </c>
      <c r="AE367" s="6">
        <f ca="1">(L367-M367)*(Z367+AA367)+($Z$254+$AA$254-$Z$367-$AA$367)*(L367)</f>
        <v>170.84589392498236</v>
      </c>
      <c r="AF367" s="4" t="s">
        <v>727</v>
      </c>
    </row>
    <row r="368" spans="1:32" ht="11.25" customHeight="1" x14ac:dyDescent="0.25">
      <c r="A368" s="4" t="s">
        <v>55</v>
      </c>
      <c r="B368" s="4" t="s">
        <v>42</v>
      </c>
      <c r="C368" s="4" t="s">
        <v>23</v>
      </c>
      <c r="D368" s="4" t="s">
        <v>43</v>
      </c>
      <c r="E368" s="4" t="s">
        <v>54</v>
      </c>
      <c r="F368" s="4" t="s">
        <v>52</v>
      </c>
      <c r="G368" s="4" t="s">
        <v>25</v>
      </c>
      <c r="H368" s="4" t="s">
        <v>25</v>
      </c>
      <c r="I368" s="5">
        <v>44593</v>
      </c>
      <c r="J368" s="6">
        <v>0</v>
      </c>
      <c r="K368" s="6">
        <v>0</v>
      </c>
      <c r="L368" s="6">
        <v>9.9499999999999993</v>
      </c>
      <c r="M368" s="6">
        <v>9.9499999999999993</v>
      </c>
      <c r="N368" s="6">
        <v>9.9499999999999993</v>
      </c>
      <c r="O368" s="6">
        <v>9.9499999999999993</v>
      </c>
      <c r="P368" s="6">
        <v>0</v>
      </c>
      <c r="Q368" s="4" t="s">
        <v>26</v>
      </c>
      <c r="R368" s="4">
        <v>0</v>
      </c>
      <c r="S368" s="4">
        <v>0</v>
      </c>
      <c r="T368" s="4">
        <v>30</v>
      </c>
      <c r="U368" s="4">
        <v>70</v>
      </c>
      <c r="V368" s="6">
        <f>IF(ISERROR(VLOOKUP($S$368,'TAR FIN'!$A$1:$O$86,15,0)),0,VLOOKUP($S$368,'TAR FIN'!$A$1:$O$86,15,0))</f>
        <v>0</v>
      </c>
      <c r="W368" s="6">
        <f>IF(ISERROR(VLOOKUP($T$368,'TAR FIN'!$A$1:$O$86,15,0)),0,VLOOKUP($T$368,'TAR FIN'!$A$1:$O$86,15,0))</f>
        <v>285.56</v>
      </c>
      <c r="X368" s="6">
        <f>IF(ISERROR(VLOOKUP($U$368,'TAR FIN'!$A$1:$O$86,15,0)),0,VLOOKUP($U$368,'TAR FIN'!$A$1:$O$86,15,0))</f>
        <v>227.23</v>
      </c>
      <c r="Y368" s="6"/>
      <c r="Z368" s="6">
        <f ca="1">('TUSD BE'!$AM$34+'TUSD BF'!$AM$34+'TUSD CVA'!$AM$34)*(1-CUSTOS!$M$38)</f>
        <v>310.34682484351242</v>
      </c>
      <c r="AA368" s="6">
        <f>('TE BE'!$AB$24+'TE BF'!$AB$24+'TE CVA'!$AB$24)*(1-CUSTOS!$M$38)</f>
        <v>216.7476358676706</v>
      </c>
      <c r="AB368" s="6">
        <f t="shared" si="20"/>
        <v>0</v>
      </c>
      <c r="AC368" s="6">
        <f>(L368-M368)*(W368+X368)+($W$254+$X$254-$W$368-$X$368)*(L368)</f>
        <v>695.70400000000041</v>
      </c>
      <c r="AD368" s="6">
        <f t="shared" si="21"/>
        <v>0</v>
      </c>
      <c r="AE368" s="6">
        <f ca="1">(L368-M368)*(Z368+AA368)+($Z$254+$AA$254-$Z$368-$AA$368)*(L368)</f>
        <v>334.76105643040063</v>
      </c>
      <c r="AF368" s="4" t="s">
        <v>727</v>
      </c>
    </row>
    <row r="369" spans="1:32" ht="11.25" customHeight="1" x14ac:dyDescent="0.25">
      <c r="A369" s="4" t="s">
        <v>21</v>
      </c>
      <c r="B369" s="4" t="s">
        <v>42</v>
      </c>
      <c r="C369" s="4" t="s">
        <v>23</v>
      </c>
      <c r="D369" s="4" t="s">
        <v>43</v>
      </c>
      <c r="E369" s="4" t="s">
        <v>54</v>
      </c>
      <c r="F369" s="4" t="s">
        <v>52</v>
      </c>
      <c r="G369" s="4" t="s">
        <v>25</v>
      </c>
      <c r="H369" s="4" t="s">
        <v>25</v>
      </c>
      <c r="I369" s="5">
        <v>44621</v>
      </c>
      <c r="J369" s="6">
        <v>0</v>
      </c>
      <c r="K369" s="6">
        <v>0</v>
      </c>
      <c r="L369" s="6">
        <v>4.3520000000000003</v>
      </c>
      <c r="M369" s="6">
        <v>4.3520000000000003</v>
      </c>
      <c r="N369" s="6">
        <v>4.3520000000000003</v>
      </c>
      <c r="O369" s="6">
        <v>4.3520000000000003</v>
      </c>
      <c r="P369" s="6">
        <v>0</v>
      </c>
      <c r="Q369" s="4" t="s">
        <v>26</v>
      </c>
      <c r="R369" s="4">
        <v>0</v>
      </c>
      <c r="S369" s="4">
        <v>0</v>
      </c>
      <c r="T369" s="4">
        <v>30</v>
      </c>
      <c r="U369" s="4">
        <v>70</v>
      </c>
      <c r="V369" s="6">
        <f>IF(ISERROR(VLOOKUP($S$369,'TAR FIN'!$A$1:$O$86,15,0)),0,VLOOKUP($S$369,'TAR FIN'!$A$1:$O$86,15,0))</f>
        <v>0</v>
      </c>
      <c r="W369" s="6">
        <f>IF(ISERROR(VLOOKUP($T$369,'TAR FIN'!$A$1:$O$86,15,0)),0,VLOOKUP($T$369,'TAR FIN'!$A$1:$O$86,15,0))</f>
        <v>285.56</v>
      </c>
      <c r="X369" s="6">
        <f>IF(ISERROR(VLOOKUP($U$369,'TAR FIN'!$A$1:$O$86,15,0)),0,VLOOKUP($U$369,'TAR FIN'!$A$1:$O$86,15,0))</f>
        <v>227.23</v>
      </c>
      <c r="Y369" s="6"/>
      <c r="Z369" s="6">
        <f ca="1">('TUSD BE'!$AM$34+'TUSD BF'!$AM$34+'TUSD CVA'!$AM$34)*(1-CUSTOS!$M$38)</f>
        <v>310.34682484351242</v>
      </c>
      <c r="AA369" s="6">
        <f>('TE BE'!$AB$24+'TE BF'!$AB$24+'TE CVA'!$AB$24)*(1-CUSTOS!$M$38)</f>
        <v>216.7476358676706</v>
      </c>
      <c r="AB369" s="6">
        <f t="shared" si="20"/>
        <v>0</v>
      </c>
      <c r="AC369" s="6">
        <f>(L369-M369)*(W369+X369)+($W$254+$X$254-$W$369-$X$369)*(L369)</f>
        <v>304.29184000000021</v>
      </c>
      <c r="AD369" s="6">
        <f t="shared" si="21"/>
        <v>0</v>
      </c>
      <c r="AE369" s="6">
        <f ca="1">(L369-M369)*(Z369+AA369)+($Z$254+$AA$254-$Z$369-$AA$369)*(L369)</f>
        <v>146.42011232011092</v>
      </c>
      <c r="AF369" s="4" t="s">
        <v>727</v>
      </c>
    </row>
    <row r="370" spans="1:32" ht="11.25" customHeight="1" x14ac:dyDescent="0.25">
      <c r="A370" s="4" t="s">
        <v>27</v>
      </c>
      <c r="B370" s="4" t="s">
        <v>42</v>
      </c>
      <c r="C370" s="4" t="s">
        <v>23</v>
      </c>
      <c r="D370" s="4" t="s">
        <v>43</v>
      </c>
      <c r="E370" s="4" t="s">
        <v>54</v>
      </c>
      <c r="F370" s="4" t="s">
        <v>52</v>
      </c>
      <c r="G370" s="4" t="s">
        <v>25</v>
      </c>
      <c r="H370" s="4" t="s">
        <v>25</v>
      </c>
      <c r="I370" s="5">
        <v>44621</v>
      </c>
      <c r="J370" s="6">
        <v>0</v>
      </c>
      <c r="K370" s="6">
        <v>0</v>
      </c>
      <c r="L370" s="6">
        <v>-0.97199999999999998</v>
      </c>
      <c r="M370" s="6">
        <v>-0.97199999999999998</v>
      </c>
      <c r="N370" s="6">
        <v>-0.97199999999999998</v>
      </c>
      <c r="O370" s="6">
        <v>-0.97199999999999998</v>
      </c>
      <c r="P370" s="6">
        <v>0</v>
      </c>
      <c r="Q370" s="4" t="s">
        <v>26</v>
      </c>
      <c r="R370" s="4">
        <v>0</v>
      </c>
      <c r="S370" s="4">
        <v>0</v>
      </c>
      <c r="T370" s="4">
        <v>30</v>
      </c>
      <c r="U370" s="4">
        <v>70</v>
      </c>
      <c r="V370" s="6">
        <f>IF(ISERROR(VLOOKUP($S$370,'TAR FIN'!$A$1:$O$86,15,0)),0,VLOOKUP($S$370,'TAR FIN'!$A$1:$O$86,15,0))</f>
        <v>0</v>
      </c>
      <c r="W370" s="6">
        <f>IF(ISERROR(VLOOKUP($T$370,'TAR FIN'!$A$1:$O$86,15,0)),0,VLOOKUP($T$370,'TAR FIN'!$A$1:$O$86,15,0))</f>
        <v>285.56</v>
      </c>
      <c r="X370" s="6">
        <f>IF(ISERROR(VLOOKUP($U$370,'TAR FIN'!$A$1:$O$86,15,0)),0,VLOOKUP($U$370,'TAR FIN'!$A$1:$O$86,15,0))</f>
        <v>227.23</v>
      </c>
      <c r="Y370" s="6"/>
      <c r="Z370" s="6">
        <f ca="1">('TUSD BE'!$AM$34+'TUSD BF'!$AM$34+'TUSD CVA'!$AM$34)*(1-CUSTOS!$M$38)</f>
        <v>310.34682484351242</v>
      </c>
      <c r="AA370" s="6">
        <f>('TE BE'!$AB$24+'TE BF'!$AB$24+'TE CVA'!$AB$24)*(1-CUSTOS!$M$38)</f>
        <v>216.7476358676706</v>
      </c>
      <c r="AB370" s="6">
        <f t="shared" si="20"/>
        <v>0</v>
      </c>
      <c r="AC370" s="6">
        <f>(L370-M370)*(W370+X370)+($W$254+$X$254-$W$370-$X$370)*(L370)</f>
        <v>-67.962240000000037</v>
      </c>
      <c r="AD370" s="6">
        <f t="shared" si="21"/>
        <v>0</v>
      </c>
      <c r="AE370" s="6">
        <f ca="1">(L370-M370)*(Z370+AA370)+($Z$254+$AA$254-$Z$370-$AA$370)*(L370)</f>
        <v>-32.702286115613006</v>
      </c>
      <c r="AF370" s="4" t="s">
        <v>727</v>
      </c>
    </row>
    <row r="371" spans="1:32" ht="11.25" customHeight="1" x14ac:dyDescent="0.25">
      <c r="A371" s="4" t="s">
        <v>55</v>
      </c>
      <c r="B371" s="4" t="s">
        <v>42</v>
      </c>
      <c r="C371" s="4" t="s">
        <v>23</v>
      </c>
      <c r="D371" s="4" t="s">
        <v>43</v>
      </c>
      <c r="E371" s="4" t="s">
        <v>54</v>
      </c>
      <c r="F371" s="4" t="s">
        <v>52</v>
      </c>
      <c r="G371" s="4" t="s">
        <v>25</v>
      </c>
      <c r="H371" s="4" t="s">
        <v>25</v>
      </c>
      <c r="I371" s="5">
        <v>44621</v>
      </c>
      <c r="J371" s="6">
        <v>0</v>
      </c>
      <c r="K371" s="6">
        <v>0</v>
      </c>
      <c r="L371" s="6">
        <v>10.961</v>
      </c>
      <c r="M371" s="6">
        <v>10.961</v>
      </c>
      <c r="N371" s="6">
        <v>10.961</v>
      </c>
      <c r="O371" s="6">
        <v>10.961</v>
      </c>
      <c r="P371" s="6">
        <v>0</v>
      </c>
      <c r="Q371" s="4" t="s">
        <v>26</v>
      </c>
      <c r="R371" s="4">
        <v>0</v>
      </c>
      <c r="S371" s="4">
        <v>0</v>
      </c>
      <c r="T371" s="4">
        <v>30</v>
      </c>
      <c r="U371" s="4">
        <v>70</v>
      </c>
      <c r="V371" s="6">
        <f>IF(ISERROR(VLOOKUP($S$371,'TAR FIN'!$A$1:$O$86,15,0)),0,VLOOKUP($S$371,'TAR FIN'!$A$1:$O$86,15,0))</f>
        <v>0</v>
      </c>
      <c r="W371" s="6">
        <f>IF(ISERROR(VLOOKUP($T$371,'TAR FIN'!$A$1:$O$86,15,0)),0,VLOOKUP($T$371,'TAR FIN'!$A$1:$O$86,15,0))</f>
        <v>285.56</v>
      </c>
      <c r="X371" s="6">
        <f>IF(ISERROR(VLOOKUP($U$371,'TAR FIN'!$A$1:$O$86,15,0)),0,VLOOKUP($U$371,'TAR FIN'!$A$1:$O$86,15,0))</f>
        <v>227.23</v>
      </c>
      <c r="Y371" s="6"/>
      <c r="Z371" s="6">
        <f ca="1">('TUSD BE'!$AM$34+'TUSD BF'!$AM$34+'TUSD CVA'!$AM$34)*(1-CUSTOS!$M$38)</f>
        <v>310.34682484351242</v>
      </c>
      <c r="AA371" s="6">
        <f>('TE BE'!$AB$24+'TE BF'!$AB$24+'TE CVA'!$AB$24)*(1-CUSTOS!$M$38)</f>
        <v>216.7476358676706</v>
      </c>
      <c r="AB371" s="6">
        <f t="shared" si="20"/>
        <v>0</v>
      </c>
      <c r="AC371" s="6">
        <f>(L371-M371)*(W371+X371)+($W$254+$X$254-$W$371-$X$371)*(L371)</f>
        <v>766.39312000000052</v>
      </c>
      <c r="AD371" s="6">
        <f t="shared" si="21"/>
        <v>0</v>
      </c>
      <c r="AE371" s="6">
        <f ca="1">(L371-M371)*(Z371+AA371)+($Z$254+$AA$254-$Z$371-$AA$371)*(L371)</f>
        <v>368.77547130991172</v>
      </c>
      <c r="AF371" s="4" t="s">
        <v>727</v>
      </c>
    </row>
    <row r="372" spans="1:32" ht="11.25" customHeight="1" x14ac:dyDescent="0.25">
      <c r="A372" s="4" t="s">
        <v>21</v>
      </c>
      <c r="B372" s="4" t="s">
        <v>42</v>
      </c>
      <c r="C372" s="4" t="s">
        <v>23</v>
      </c>
      <c r="D372" s="4" t="s">
        <v>43</v>
      </c>
      <c r="E372" s="4" t="s">
        <v>54</v>
      </c>
      <c r="F372" s="4" t="s">
        <v>52</v>
      </c>
      <c r="G372" s="4" t="s">
        <v>25</v>
      </c>
      <c r="H372" s="4" t="s">
        <v>25</v>
      </c>
      <c r="I372" s="5">
        <v>44652</v>
      </c>
      <c r="J372" s="6">
        <v>0</v>
      </c>
      <c r="K372" s="6">
        <v>0</v>
      </c>
      <c r="L372" s="6">
        <v>5.8879999999999999</v>
      </c>
      <c r="M372" s="6">
        <v>5.8879999999999999</v>
      </c>
      <c r="N372" s="6">
        <v>5.8879999999999999</v>
      </c>
      <c r="O372" s="6">
        <v>5.8879999999999999</v>
      </c>
      <c r="P372" s="6">
        <v>0</v>
      </c>
      <c r="Q372" s="4" t="s">
        <v>26</v>
      </c>
      <c r="R372" s="4">
        <v>0</v>
      </c>
      <c r="S372" s="4">
        <v>0</v>
      </c>
      <c r="T372" s="4">
        <v>30</v>
      </c>
      <c r="U372" s="4">
        <v>70</v>
      </c>
      <c r="V372" s="6">
        <f>IF(ISERROR(VLOOKUP($S$372,'TAR FIN'!$A$1:$O$86,15,0)),0,VLOOKUP($S$372,'TAR FIN'!$A$1:$O$86,15,0))</f>
        <v>0</v>
      </c>
      <c r="W372" s="6">
        <f>IF(ISERROR(VLOOKUP($T$372,'TAR FIN'!$A$1:$O$86,15,0)),0,VLOOKUP($T$372,'TAR FIN'!$A$1:$O$86,15,0))</f>
        <v>285.56</v>
      </c>
      <c r="X372" s="6">
        <f>IF(ISERROR(VLOOKUP($U$372,'TAR FIN'!$A$1:$O$86,15,0)),0,VLOOKUP($U$372,'TAR FIN'!$A$1:$O$86,15,0))</f>
        <v>227.23</v>
      </c>
      <c r="Y372" s="6"/>
      <c r="Z372" s="6">
        <f ca="1">('TUSD BE'!$AM$34+'TUSD BF'!$AM$34+'TUSD CVA'!$AM$34)*(1-CUSTOS!$M$38)</f>
        <v>310.34682484351242</v>
      </c>
      <c r="AA372" s="6">
        <f>('TE BE'!$AB$24+'TE BF'!$AB$24+'TE CVA'!$AB$24)*(1-CUSTOS!$M$38)</f>
        <v>216.7476358676706</v>
      </c>
      <c r="AB372" s="6">
        <f t="shared" si="20"/>
        <v>0</v>
      </c>
      <c r="AC372" s="6">
        <f>(L372-M372)*(W372+X372)+($W$254+$X$254-$W$372-$X$372)*(L372)</f>
        <v>411.68896000000024</v>
      </c>
      <c r="AD372" s="6">
        <f t="shared" si="21"/>
        <v>0</v>
      </c>
      <c r="AE372" s="6">
        <f ca="1">(L372-M372)*(Z372+AA372)+($Z$254+$AA$254-$Z$372-$AA$372)*(L372)</f>
        <v>198.09779902132652</v>
      </c>
      <c r="AF372" s="4" t="s">
        <v>727</v>
      </c>
    </row>
    <row r="373" spans="1:32" ht="11.25" customHeight="1" x14ac:dyDescent="0.25">
      <c r="A373" s="4" t="s">
        <v>55</v>
      </c>
      <c r="B373" s="4" t="s">
        <v>42</v>
      </c>
      <c r="C373" s="4" t="s">
        <v>23</v>
      </c>
      <c r="D373" s="4" t="s">
        <v>43</v>
      </c>
      <c r="E373" s="4" t="s">
        <v>54</v>
      </c>
      <c r="F373" s="4" t="s">
        <v>52</v>
      </c>
      <c r="G373" s="4" t="s">
        <v>25</v>
      </c>
      <c r="H373" s="4" t="s">
        <v>25</v>
      </c>
      <c r="I373" s="5">
        <v>44652</v>
      </c>
      <c r="J373" s="6">
        <v>0</v>
      </c>
      <c r="K373" s="6">
        <v>0</v>
      </c>
      <c r="L373" s="6">
        <v>10.076000000000001</v>
      </c>
      <c r="M373" s="6">
        <v>10.076000000000001</v>
      </c>
      <c r="N373" s="6">
        <v>10.076000000000001</v>
      </c>
      <c r="O373" s="6">
        <v>10.076000000000001</v>
      </c>
      <c r="P373" s="6">
        <v>0</v>
      </c>
      <c r="Q373" s="4" t="s">
        <v>26</v>
      </c>
      <c r="R373" s="4">
        <v>0</v>
      </c>
      <c r="S373" s="4">
        <v>0</v>
      </c>
      <c r="T373" s="4">
        <v>30</v>
      </c>
      <c r="U373" s="4">
        <v>70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285.56</v>
      </c>
      <c r="X373" s="6">
        <f>IF(ISERROR(VLOOKUP($U$373,'TAR FIN'!$A$1:$O$86,15,0)),0,VLOOKUP($U$373,'TAR FIN'!$A$1:$O$86,15,0))</f>
        <v>227.23</v>
      </c>
      <c r="Y373" s="6"/>
      <c r="Z373" s="6">
        <f ca="1">('TUSD BE'!$AM$34+'TUSD BF'!$AM$34+'TUSD CVA'!$AM$34)*(1-CUSTOS!$M$38)</f>
        <v>310.34682484351242</v>
      </c>
      <c r="AA373" s="6">
        <f>('TE BE'!$AB$24+'TE BF'!$AB$24+'TE CVA'!$AB$24)*(1-CUSTOS!$M$38)</f>
        <v>216.7476358676706</v>
      </c>
      <c r="AB373" s="6">
        <f t="shared" si="20"/>
        <v>0</v>
      </c>
      <c r="AC373" s="6">
        <f>(L373-M373)*(W373+X373)+($W$254+$X$254-$W$373-$X$373)*(L373)</f>
        <v>704.51392000000044</v>
      </c>
      <c r="AD373" s="6">
        <f t="shared" si="21"/>
        <v>0</v>
      </c>
      <c r="AE373" s="6">
        <f ca="1">(L373-M373)*(Z373+AA373)+($Z$254+$AA$254-$Z$373-$AA$373)*(L373)</f>
        <v>339.00024166760971</v>
      </c>
      <c r="AF373" s="4" t="s">
        <v>727</v>
      </c>
    </row>
    <row r="374" spans="1:32" ht="11.25" customHeight="1" x14ac:dyDescent="0.25">
      <c r="A374" s="4" t="s">
        <v>21</v>
      </c>
      <c r="B374" s="4" t="s">
        <v>42</v>
      </c>
      <c r="C374" s="4" t="s">
        <v>23</v>
      </c>
      <c r="D374" s="4" t="s">
        <v>43</v>
      </c>
      <c r="E374" s="4" t="s">
        <v>54</v>
      </c>
      <c r="F374" s="4" t="s">
        <v>52</v>
      </c>
      <c r="G374" s="4" t="s">
        <v>25</v>
      </c>
      <c r="H374" s="4" t="s">
        <v>25</v>
      </c>
      <c r="I374" s="5">
        <v>44682</v>
      </c>
      <c r="J374" s="6">
        <v>0</v>
      </c>
      <c r="K374" s="6">
        <v>0</v>
      </c>
      <c r="L374" s="6">
        <v>6.9560000000000004</v>
      </c>
      <c r="M374" s="6">
        <v>6.9560000000000004</v>
      </c>
      <c r="N374" s="6">
        <v>6.9560000000000004</v>
      </c>
      <c r="O374" s="6">
        <v>6.9560000000000004</v>
      </c>
      <c r="P374" s="6">
        <v>0</v>
      </c>
      <c r="Q374" s="4" t="s">
        <v>26</v>
      </c>
      <c r="R374" s="4">
        <v>0</v>
      </c>
      <c r="S374" s="4">
        <v>0</v>
      </c>
      <c r="T374" s="4">
        <v>30</v>
      </c>
      <c r="U374" s="4">
        <v>70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285.56</v>
      </c>
      <c r="X374" s="6">
        <f>IF(ISERROR(VLOOKUP($U$374,'TAR FIN'!$A$1:$O$86,15,0)),0,VLOOKUP($U$374,'TAR FIN'!$A$1:$O$86,15,0))</f>
        <v>227.23</v>
      </c>
      <c r="Y374" s="6"/>
      <c r="Z374" s="6">
        <f ca="1">('TUSD BE'!$AM$34+'TUSD BF'!$AM$34+'TUSD CVA'!$AM$34)*(1-CUSTOS!$M$38)</f>
        <v>310.34682484351242</v>
      </c>
      <c r="AA374" s="6">
        <f>('TE BE'!$AB$24+'TE BF'!$AB$24+'TE CVA'!$AB$24)*(1-CUSTOS!$M$38)</f>
        <v>216.7476358676706</v>
      </c>
      <c r="AB374" s="6">
        <f t="shared" si="20"/>
        <v>0</v>
      </c>
      <c r="AC374" s="6">
        <f>(L374-M374)*(W374+X374)+($W$254+$X$254-$W$374-$X$374)*(L374)</f>
        <v>486.36352000000034</v>
      </c>
      <c r="AD374" s="6">
        <f t="shared" si="21"/>
        <v>0</v>
      </c>
      <c r="AE374" s="6">
        <f ca="1">(L374-M374)*(Z374+AA374)+($Z$254+$AA$254-$Z$374-$AA$374)*(L374)</f>
        <v>234.02994055576551</v>
      </c>
      <c r="AF374" s="4" t="s">
        <v>727</v>
      </c>
    </row>
    <row r="375" spans="1:32" ht="11.25" customHeight="1" x14ac:dyDescent="0.25">
      <c r="A375" s="4" t="s">
        <v>55</v>
      </c>
      <c r="B375" s="4" t="s">
        <v>42</v>
      </c>
      <c r="C375" s="4" t="s">
        <v>23</v>
      </c>
      <c r="D375" s="4" t="s">
        <v>43</v>
      </c>
      <c r="E375" s="4" t="s">
        <v>54</v>
      </c>
      <c r="F375" s="4" t="s">
        <v>52</v>
      </c>
      <c r="G375" s="4" t="s">
        <v>25</v>
      </c>
      <c r="H375" s="4" t="s">
        <v>25</v>
      </c>
      <c r="I375" s="5">
        <v>44682</v>
      </c>
      <c r="J375" s="6">
        <v>0</v>
      </c>
      <c r="K375" s="6">
        <v>0</v>
      </c>
      <c r="L375" s="6">
        <v>9.52</v>
      </c>
      <c r="M375" s="6">
        <v>9.52</v>
      </c>
      <c r="N375" s="6">
        <v>9.52</v>
      </c>
      <c r="O375" s="6">
        <v>9.52</v>
      </c>
      <c r="P375" s="6">
        <v>0</v>
      </c>
      <c r="Q375" s="4" t="s">
        <v>26</v>
      </c>
      <c r="R375" s="4">
        <v>0</v>
      </c>
      <c r="S375" s="4">
        <v>0</v>
      </c>
      <c r="T375" s="4">
        <v>30</v>
      </c>
      <c r="U375" s="4">
        <v>70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285.56</v>
      </c>
      <c r="X375" s="6">
        <f>IF(ISERROR(VLOOKUP($U$375,'TAR FIN'!$A$1:$O$86,15,0)),0,VLOOKUP($U$375,'TAR FIN'!$A$1:$O$86,15,0))</f>
        <v>227.23</v>
      </c>
      <c r="Y375" s="6"/>
      <c r="Z375" s="6">
        <f ca="1">('TUSD BE'!$AM$34+'TUSD BF'!$AM$34+'TUSD CVA'!$AM$34)*(1-CUSTOS!$M$38)</f>
        <v>310.34682484351242</v>
      </c>
      <c r="AA375" s="6">
        <f>('TE BE'!$AB$24+'TE BF'!$AB$24+'TE CVA'!$AB$24)*(1-CUSTOS!$M$38)</f>
        <v>216.7476358676706</v>
      </c>
      <c r="AB375" s="6">
        <f t="shared" si="20"/>
        <v>0</v>
      </c>
      <c r="AC375" s="6">
        <f>(L375-M375)*(W375+X375)+($W$254+$X$254-$W$375-$X$375)*(L375)</f>
        <v>665.63840000000039</v>
      </c>
      <c r="AD375" s="6">
        <f t="shared" si="21"/>
        <v>0</v>
      </c>
      <c r="AE375" s="6">
        <f ca="1">(L375-M375)*(Z375+AA375)+($Z$254+$AA$254-$Z$375-$AA$375)*(L375)</f>
        <v>320.29399570024259</v>
      </c>
      <c r="AF375" s="4" t="s">
        <v>727</v>
      </c>
    </row>
    <row r="376" spans="1:32" ht="11.25" customHeight="1" x14ac:dyDescent="0.25">
      <c r="A376" s="4" t="s">
        <v>56</v>
      </c>
      <c r="B376" s="4" t="s">
        <v>42</v>
      </c>
      <c r="C376" s="4" t="s">
        <v>23</v>
      </c>
      <c r="D376" s="4" t="s">
        <v>43</v>
      </c>
      <c r="E376" s="4" t="s">
        <v>54</v>
      </c>
      <c r="F376" s="4" t="s">
        <v>52</v>
      </c>
      <c r="G376" s="4" t="s">
        <v>25</v>
      </c>
      <c r="H376" s="4" t="s">
        <v>25</v>
      </c>
      <c r="I376" s="5">
        <v>44713</v>
      </c>
      <c r="J376" s="6">
        <v>0</v>
      </c>
      <c r="K376" s="6">
        <v>0</v>
      </c>
      <c r="L376" s="6">
        <v>6.9560000000000004</v>
      </c>
      <c r="M376" s="6">
        <v>6.9560000000000004</v>
      </c>
      <c r="N376" s="6">
        <v>6.9560000000000004</v>
      </c>
      <c r="O376" s="6">
        <v>6.9560000000000004</v>
      </c>
      <c r="P376" s="6">
        <v>0</v>
      </c>
      <c r="Q376" s="4" t="s">
        <v>26</v>
      </c>
      <c r="R376" s="4">
        <v>0</v>
      </c>
      <c r="S376" s="4">
        <v>0</v>
      </c>
      <c r="T376" s="4">
        <v>30</v>
      </c>
      <c r="U376" s="4">
        <v>70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285.56</v>
      </c>
      <c r="X376" s="6">
        <f>IF(ISERROR(VLOOKUP($U$376,'TAR FIN'!$A$1:$O$86,15,0)),0,VLOOKUP($U$376,'TAR FIN'!$A$1:$O$86,15,0))</f>
        <v>227.23</v>
      </c>
      <c r="Y376" s="6"/>
      <c r="Z376" s="6">
        <f ca="1">('TUSD BE'!$AM$34+'TUSD BF'!$AM$34+'TUSD CVA'!$AM$34)*(1-CUSTOS!$M$38)</f>
        <v>310.34682484351242</v>
      </c>
      <c r="AA376" s="6">
        <f>('TE BE'!$AB$24+'TE BF'!$AB$24+'TE CVA'!$AB$24)*(1-CUSTOS!$M$38)</f>
        <v>216.7476358676706</v>
      </c>
      <c r="AB376" s="6">
        <f t="shared" si="20"/>
        <v>0</v>
      </c>
      <c r="AC376" s="6">
        <f>(L376-M376)*(W376+X376)+($W$254+$X$254-$W$376-$X$376)*(L376)</f>
        <v>486.36352000000034</v>
      </c>
      <c r="AD376" s="6">
        <f t="shared" si="21"/>
        <v>0</v>
      </c>
      <c r="AE376" s="6">
        <f ca="1">(L376-M376)*(Z376+AA376)+($Z$254+$AA$254-$Z$376-$AA$376)*(L376)</f>
        <v>234.02994055576551</v>
      </c>
      <c r="AF376" s="4" t="s">
        <v>727</v>
      </c>
    </row>
    <row r="377" spans="1:32" ht="11.25" customHeight="1" x14ac:dyDescent="0.25">
      <c r="A377" s="4" t="s">
        <v>56</v>
      </c>
      <c r="B377" s="4" t="s">
        <v>42</v>
      </c>
      <c r="C377" s="4" t="s">
        <v>23</v>
      </c>
      <c r="D377" s="4" t="s">
        <v>43</v>
      </c>
      <c r="E377" s="4" t="s">
        <v>54</v>
      </c>
      <c r="F377" s="4" t="s">
        <v>52</v>
      </c>
      <c r="G377" s="4" t="s">
        <v>25</v>
      </c>
      <c r="H377" s="4" t="s">
        <v>25</v>
      </c>
      <c r="I377" s="5">
        <v>44713</v>
      </c>
      <c r="J377" s="6">
        <v>0</v>
      </c>
      <c r="K377" s="6">
        <v>0</v>
      </c>
      <c r="L377" s="6">
        <v>9.52</v>
      </c>
      <c r="M377" s="6">
        <v>9.52</v>
      </c>
      <c r="N377" s="6">
        <v>9.52</v>
      </c>
      <c r="O377" s="6">
        <v>9.52</v>
      </c>
      <c r="P377" s="6">
        <v>0</v>
      </c>
      <c r="Q377" s="4" t="s">
        <v>26</v>
      </c>
      <c r="R377" s="4">
        <v>0</v>
      </c>
      <c r="S377" s="4">
        <v>0</v>
      </c>
      <c r="T377" s="4">
        <v>30</v>
      </c>
      <c r="U377" s="4">
        <v>70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285.56</v>
      </c>
      <c r="X377" s="6">
        <f>IF(ISERROR(VLOOKUP($U$377,'TAR FIN'!$A$1:$O$86,15,0)),0,VLOOKUP($U$377,'TAR FIN'!$A$1:$O$86,15,0))</f>
        <v>227.23</v>
      </c>
      <c r="Y377" s="6"/>
      <c r="Z377" s="6">
        <f ca="1">('TUSD BE'!$AM$34+'TUSD BF'!$AM$34+'TUSD CVA'!$AM$34)*(1-CUSTOS!$M$38)</f>
        <v>310.34682484351242</v>
      </c>
      <c r="AA377" s="6">
        <f>('TE BE'!$AB$24+'TE BF'!$AB$24+'TE CVA'!$AB$24)*(1-CUSTOS!$M$38)</f>
        <v>216.7476358676706</v>
      </c>
      <c r="AB377" s="6">
        <f t="shared" si="20"/>
        <v>0</v>
      </c>
      <c r="AC377" s="6">
        <f>(L377-M377)*(W377+X377)+($W$254+$X$254-$W$377-$X$377)*(L377)</f>
        <v>665.63840000000039</v>
      </c>
      <c r="AD377" s="6">
        <f t="shared" si="21"/>
        <v>0</v>
      </c>
      <c r="AE377" s="6">
        <f ca="1">(L377-M377)*(Z377+AA377)+($Z$254+$AA$254-$Z$377-$AA$377)*(L377)</f>
        <v>320.29399570024259</v>
      </c>
      <c r="AF377" s="4" t="s">
        <v>727</v>
      </c>
    </row>
    <row r="378" spans="1:32" ht="11.25" customHeight="1" x14ac:dyDescent="0.25">
      <c r="A378" s="4" t="s">
        <v>21</v>
      </c>
      <c r="B378" s="4" t="s">
        <v>42</v>
      </c>
      <c r="C378" s="4" t="s">
        <v>23</v>
      </c>
      <c r="D378" s="4" t="s">
        <v>43</v>
      </c>
      <c r="E378" s="4" t="s">
        <v>54</v>
      </c>
      <c r="F378" s="4" t="s">
        <v>53</v>
      </c>
      <c r="G378" s="4" t="s">
        <v>25</v>
      </c>
      <c r="H378" s="4" t="s">
        <v>25</v>
      </c>
      <c r="I378" s="5">
        <v>44378</v>
      </c>
      <c r="J378" s="6">
        <v>0</v>
      </c>
      <c r="K378" s="6">
        <v>0</v>
      </c>
      <c r="L378" s="6">
        <v>1.758</v>
      </c>
      <c r="M378" s="6">
        <v>0.70320000000000005</v>
      </c>
      <c r="N378" s="6">
        <v>1.758</v>
      </c>
      <c r="O378" s="6">
        <v>0.70320000000000005</v>
      </c>
      <c r="P378" s="6">
        <v>0</v>
      </c>
      <c r="Q378" s="4" t="s">
        <v>26</v>
      </c>
      <c r="R378" s="4">
        <v>0</v>
      </c>
      <c r="S378" s="4">
        <v>0</v>
      </c>
      <c r="T378" s="4">
        <v>30</v>
      </c>
      <c r="U378" s="4">
        <v>70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285.56</v>
      </c>
      <c r="X378" s="6">
        <f>IF(ISERROR(VLOOKUP($U$378,'TAR FIN'!$A$1:$O$86,15,0)),0,VLOOKUP($U$378,'TAR FIN'!$A$1:$O$86,15,0))</f>
        <v>227.23</v>
      </c>
      <c r="Y378" s="6"/>
      <c r="Z378" s="6">
        <f ca="1">('TUSD BE'!$AM$34+'TUSD BF'!$AM$34+'TUSD CVA'!$AM$34)*(1-CUSTOS!$M$38)</f>
        <v>310.34682484351242</v>
      </c>
      <c r="AA378" s="6">
        <f>('TE BE'!$AB$24+'TE BF'!$AB$24+'TE CVA'!$AB$24)*(1-CUSTOS!$M$38)</f>
        <v>216.7476358676706</v>
      </c>
      <c r="AB378" s="6">
        <f t="shared" si="20"/>
        <v>0</v>
      </c>
      <c r="AC378" s="6">
        <f>(L378-M378)*(W378+X378)+($W$254+$X$254-$W$378-$X$378)*(L378)</f>
        <v>663.81025199999999</v>
      </c>
      <c r="AD378" s="6">
        <f t="shared" si="21"/>
        <v>0</v>
      </c>
      <c r="AE378" s="6">
        <f ca="1">(L378-M378)*(Z378+AA378)+($Z$254+$AA$254-$Z$378-$AA$378)*(L378)</f>
        <v>615.12596451540662</v>
      </c>
      <c r="AF378" s="4" t="s">
        <v>728</v>
      </c>
    </row>
    <row r="379" spans="1:32" ht="11.25" customHeight="1" x14ac:dyDescent="0.25">
      <c r="A379" s="4" t="s">
        <v>21</v>
      </c>
      <c r="B379" s="4" t="s">
        <v>42</v>
      </c>
      <c r="C379" s="4" t="s">
        <v>23</v>
      </c>
      <c r="D379" s="4" t="s">
        <v>43</v>
      </c>
      <c r="E379" s="4" t="s">
        <v>54</v>
      </c>
      <c r="F379" s="4" t="s">
        <v>53</v>
      </c>
      <c r="G379" s="4" t="s">
        <v>25</v>
      </c>
      <c r="H379" s="4" t="s">
        <v>25</v>
      </c>
      <c r="I379" s="5">
        <v>44409</v>
      </c>
      <c r="J379" s="6">
        <v>0</v>
      </c>
      <c r="K379" s="6">
        <v>0</v>
      </c>
      <c r="L379" s="6">
        <v>0.69899999999999995</v>
      </c>
      <c r="M379" s="6">
        <v>0.27960000000000002</v>
      </c>
      <c r="N379" s="6">
        <v>0.69899999999999995</v>
      </c>
      <c r="O379" s="6">
        <v>0.27960000000000002</v>
      </c>
      <c r="P379" s="6">
        <v>0</v>
      </c>
      <c r="Q379" s="4" t="s">
        <v>26</v>
      </c>
      <c r="R379" s="4">
        <v>0</v>
      </c>
      <c r="S379" s="4">
        <v>0</v>
      </c>
      <c r="T379" s="4">
        <v>30</v>
      </c>
      <c r="U379" s="4">
        <v>70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285.56</v>
      </c>
      <c r="X379" s="6">
        <f>IF(ISERROR(VLOOKUP($U$379,'TAR FIN'!$A$1:$O$86,15,0)),0,VLOOKUP($U$379,'TAR FIN'!$A$1:$O$86,15,0))</f>
        <v>227.23</v>
      </c>
      <c r="Y379" s="6"/>
      <c r="Z379" s="6">
        <f ca="1">('TUSD BE'!$AM$34+'TUSD BF'!$AM$34+'TUSD CVA'!$AM$34)*(1-CUSTOS!$M$38)</f>
        <v>310.34682484351242</v>
      </c>
      <c r="AA379" s="6">
        <f>('TE BE'!$AB$24+'TE BF'!$AB$24+'TE CVA'!$AB$24)*(1-CUSTOS!$M$38)</f>
        <v>216.7476358676706</v>
      </c>
      <c r="AB379" s="6">
        <f t="shared" si="20"/>
        <v>0</v>
      </c>
      <c r="AC379" s="6">
        <f>(L379-M379)*(W379+X379)+($W$254+$X$254-$W$379-$X$379)*(L379)</f>
        <v>263.93820599999998</v>
      </c>
      <c r="AD379" s="6">
        <f t="shared" si="21"/>
        <v>0</v>
      </c>
      <c r="AE379" s="6">
        <f ca="1">(L379-M379)*(Z379+AA379)+($Z$254+$AA$254-$Z$379-$AA$379)*(L379)</f>
        <v>244.58080159059676</v>
      </c>
      <c r="AF379" s="4" t="s">
        <v>728</v>
      </c>
    </row>
    <row r="380" spans="1:32" ht="11.25" customHeight="1" x14ac:dyDescent="0.25">
      <c r="A380" s="4" t="s">
        <v>27</v>
      </c>
      <c r="B380" s="4" t="s">
        <v>42</v>
      </c>
      <c r="C380" s="4" t="s">
        <v>23</v>
      </c>
      <c r="D380" s="4" t="s">
        <v>43</v>
      </c>
      <c r="E380" s="4" t="s">
        <v>54</v>
      </c>
      <c r="F380" s="4" t="s">
        <v>53</v>
      </c>
      <c r="G380" s="4" t="s">
        <v>25</v>
      </c>
      <c r="H380" s="4" t="s">
        <v>25</v>
      </c>
      <c r="I380" s="5">
        <v>44409</v>
      </c>
      <c r="J380" s="6">
        <v>0</v>
      </c>
      <c r="K380" s="6">
        <v>0</v>
      </c>
      <c r="L380" s="6">
        <v>4.1000000000000002E-2</v>
      </c>
      <c r="M380" s="6">
        <v>1.6400000000000001E-2</v>
      </c>
      <c r="N380" s="6">
        <v>4.1000000000000002E-2</v>
      </c>
      <c r="O380" s="6">
        <v>1.6400000000000001E-2</v>
      </c>
      <c r="P380" s="6">
        <v>0</v>
      </c>
      <c r="Q380" s="4" t="s">
        <v>26</v>
      </c>
      <c r="R380" s="4">
        <v>0</v>
      </c>
      <c r="S380" s="4">
        <v>0</v>
      </c>
      <c r="T380" s="4">
        <v>30</v>
      </c>
      <c r="U380" s="4">
        <v>70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285.56</v>
      </c>
      <c r="X380" s="6">
        <f>IF(ISERROR(VLOOKUP($U$380,'TAR FIN'!$A$1:$O$86,15,0)),0,VLOOKUP($U$380,'TAR FIN'!$A$1:$O$86,15,0))</f>
        <v>227.23</v>
      </c>
      <c r="Y380" s="6"/>
      <c r="Z380" s="6">
        <f ca="1">('TUSD BE'!$AM$34+'TUSD BF'!$AM$34+'TUSD CVA'!$AM$34)*(1-CUSTOS!$M$38)</f>
        <v>310.34682484351242</v>
      </c>
      <c r="AA380" s="6">
        <f>('TE BE'!$AB$24+'TE BF'!$AB$24+'TE CVA'!$AB$24)*(1-CUSTOS!$M$38)</f>
        <v>216.7476358676706</v>
      </c>
      <c r="AB380" s="6">
        <f t="shared" si="20"/>
        <v>0</v>
      </c>
      <c r="AC380" s="6">
        <f>(L380-M380)*(W380+X380)+($W$254+$X$254-$W$380-$X$380)*(L380)</f>
        <v>15.481354000000001</v>
      </c>
      <c r="AD380" s="6">
        <f t="shared" si="21"/>
        <v>0</v>
      </c>
      <c r="AE380" s="6">
        <f ca="1">(L380-M380)*(Z380+AA380)+($Z$254+$AA$254-$Z$380-$AA$380)*(L380)</f>
        <v>14.345941151952031</v>
      </c>
      <c r="AF380" s="4" t="s">
        <v>728</v>
      </c>
    </row>
    <row r="381" spans="1:32" ht="11.25" customHeight="1" x14ac:dyDescent="0.25">
      <c r="A381" s="4" t="s">
        <v>55</v>
      </c>
      <c r="B381" s="4" t="s">
        <v>42</v>
      </c>
      <c r="C381" s="4" t="s">
        <v>23</v>
      </c>
      <c r="D381" s="4" t="s">
        <v>43</v>
      </c>
      <c r="E381" s="4" t="s">
        <v>54</v>
      </c>
      <c r="F381" s="4" t="s">
        <v>53</v>
      </c>
      <c r="G381" s="4" t="s">
        <v>25</v>
      </c>
      <c r="H381" s="4" t="s">
        <v>25</v>
      </c>
      <c r="I381" s="5">
        <v>44409</v>
      </c>
      <c r="J381" s="6">
        <v>0</v>
      </c>
      <c r="K381" s="6">
        <v>0</v>
      </c>
      <c r="L381" s="6">
        <v>6.25</v>
      </c>
      <c r="M381" s="6">
        <v>6.25</v>
      </c>
      <c r="N381" s="6">
        <v>6.25</v>
      </c>
      <c r="O381" s="6">
        <v>6.25</v>
      </c>
      <c r="P381" s="6">
        <v>0</v>
      </c>
      <c r="Q381" s="4" t="s">
        <v>26</v>
      </c>
      <c r="R381" s="4">
        <v>0</v>
      </c>
      <c r="S381" s="4">
        <v>0</v>
      </c>
      <c r="T381" s="4">
        <v>30</v>
      </c>
      <c r="U381" s="4">
        <v>70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285.56</v>
      </c>
      <c r="X381" s="6">
        <f>IF(ISERROR(VLOOKUP($U$381,'TAR FIN'!$A$1:$O$86,15,0)),0,VLOOKUP($U$381,'TAR FIN'!$A$1:$O$86,15,0))</f>
        <v>227.23</v>
      </c>
      <c r="Y381" s="6"/>
      <c r="Z381" s="6">
        <f ca="1">('TUSD BE'!$AM$34+'TUSD BF'!$AM$34+'TUSD CVA'!$AM$34)*(1-CUSTOS!$M$38)</f>
        <v>310.34682484351242</v>
      </c>
      <c r="AA381" s="6">
        <f>('TE BE'!$AB$24+'TE BF'!$AB$24+'TE CVA'!$AB$24)*(1-CUSTOS!$M$38)</f>
        <v>216.7476358676706</v>
      </c>
      <c r="AB381" s="6">
        <f t="shared" si="20"/>
        <v>0</v>
      </c>
      <c r="AC381" s="6">
        <f>(L381-M381)*(W381+X381)+($W$254+$X$254-$W$381-$X$381)*(L381)</f>
        <v>437.00000000000028</v>
      </c>
      <c r="AD381" s="6">
        <f t="shared" si="21"/>
        <v>0</v>
      </c>
      <c r="AE381" s="6">
        <f ca="1">(L381-M381)*(Z381+AA381)+($Z$254+$AA$254-$Z$381-$AA$381)*(L381)</f>
        <v>210.2770454964828</v>
      </c>
      <c r="AF381" s="4" t="s">
        <v>727</v>
      </c>
    </row>
    <row r="382" spans="1:32" ht="11.25" customHeight="1" x14ac:dyDescent="0.25">
      <c r="A382" s="4" t="s">
        <v>21</v>
      </c>
      <c r="B382" s="4" t="s">
        <v>42</v>
      </c>
      <c r="C382" s="4" t="s">
        <v>23</v>
      </c>
      <c r="D382" s="4" t="s">
        <v>43</v>
      </c>
      <c r="E382" s="4" t="s">
        <v>54</v>
      </c>
      <c r="F382" s="4" t="s">
        <v>53</v>
      </c>
      <c r="G382" s="4" t="s">
        <v>25</v>
      </c>
      <c r="H382" s="4" t="s">
        <v>25</v>
      </c>
      <c r="I382" s="5">
        <v>44440</v>
      </c>
      <c r="J382" s="6">
        <v>0</v>
      </c>
      <c r="K382" s="6">
        <v>0</v>
      </c>
      <c r="L382" s="6">
        <v>2.3479999999999999</v>
      </c>
      <c r="M382" s="6">
        <v>0.93920000000000003</v>
      </c>
      <c r="N382" s="6">
        <v>2.3479999999999999</v>
      </c>
      <c r="O382" s="6">
        <v>0.93920000000000003</v>
      </c>
      <c r="P382" s="6">
        <v>0</v>
      </c>
      <c r="Q382" s="4" t="s">
        <v>26</v>
      </c>
      <c r="R382" s="4">
        <v>0</v>
      </c>
      <c r="S382" s="4">
        <v>0</v>
      </c>
      <c r="T382" s="4">
        <v>30</v>
      </c>
      <c r="U382" s="4">
        <v>70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285.56</v>
      </c>
      <c r="X382" s="6">
        <f>IF(ISERROR(VLOOKUP($U$382,'TAR FIN'!$A$1:$O$86,15,0)),0,VLOOKUP($U$382,'TAR FIN'!$A$1:$O$86,15,0))</f>
        <v>227.23</v>
      </c>
      <c r="Y382" s="6"/>
      <c r="Z382" s="6">
        <f ca="1">('TUSD BE'!$AM$34+'TUSD BF'!$AM$34+'TUSD CVA'!$AM$34)*(1-CUSTOS!$M$38)</f>
        <v>310.34682484351242</v>
      </c>
      <c r="AA382" s="6">
        <f>('TE BE'!$AB$24+'TE BF'!$AB$24+'TE CVA'!$AB$24)*(1-CUSTOS!$M$38)</f>
        <v>216.7476358676706</v>
      </c>
      <c r="AB382" s="6">
        <f t="shared" si="20"/>
        <v>0</v>
      </c>
      <c r="AC382" s="6">
        <f>(L382-M382)*(W382+X382)+($W$254+$X$254-$W$382-$X$382)*(L382)</f>
        <v>886.59071199999994</v>
      </c>
      <c r="AD382" s="6">
        <f t="shared" si="21"/>
        <v>0</v>
      </c>
      <c r="AE382" s="6">
        <f ca="1">(L382-M382)*(Z382+AA382)+($Z$254+$AA$254-$Z$382-$AA$382)*(L382)</f>
        <v>821.56755670203324</v>
      </c>
      <c r="AF382" s="4" t="s">
        <v>728</v>
      </c>
    </row>
    <row r="383" spans="1:32" ht="11.25" customHeight="1" x14ac:dyDescent="0.25">
      <c r="A383" s="4" t="s">
        <v>27</v>
      </c>
      <c r="B383" s="4" t="s">
        <v>42</v>
      </c>
      <c r="C383" s="4" t="s">
        <v>23</v>
      </c>
      <c r="D383" s="4" t="s">
        <v>43</v>
      </c>
      <c r="E383" s="4" t="s">
        <v>54</v>
      </c>
      <c r="F383" s="4" t="s">
        <v>53</v>
      </c>
      <c r="G383" s="4" t="s">
        <v>25</v>
      </c>
      <c r="H383" s="4" t="s">
        <v>25</v>
      </c>
      <c r="I383" s="5">
        <v>44440</v>
      </c>
      <c r="J383" s="6">
        <v>0</v>
      </c>
      <c r="K383" s="6">
        <v>0</v>
      </c>
      <c r="L383" s="6">
        <v>4.7E-2</v>
      </c>
      <c r="M383" s="6">
        <v>1.8800000000000001E-2</v>
      </c>
      <c r="N383" s="6">
        <v>4.7E-2</v>
      </c>
      <c r="O383" s="6">
        <v>1.8800000000000001E-2</v>
      </c>
      <c r="P383" s="6">
        <v>0</v>
      </c>
      <c r="Q383" s="4" t="s">
        <v>26</v>
      </c>
      <c r="R383" s="4">
        <v>0</v>
      </c>
      <c r="S383" s="4">
        <v>0</v>
      </c>
      <c r="T383" s="4">
        <v>30</v>
      </c>
      <c r="U383" s="4">
        <v>70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285.56</v>
      </c>
      <c r="X383" s="6">
        <f>IF(ISERROR(VLOOKUP($U$383,'TAR FIN'!$A$1:$O$86,15,0)),0,VLOOKUP($U$383,'TAR FIN'!$A$1:$O$86,15,0))</f>
        <v>227.23</v>
      </c>
      <c r="Y383" s="6"/>
      <c r="Z383" s="6">
        <f ca="1">('TUSD BE'!$AM$34+'TUSD BF'!$AM$34+'TUSD CVA'!$AM$34)*(1-CUSTOS!$M$38)</f>
        <v>310.34682484351242</v>
      </c>
      <c r="AA383" s="6">
        <f>('TE BE'!$AB$24+'TE BF'!$AB$24+'TE CVA'!$AB$24)*(1-CUSTOS!$M$38)</f>
        <v>216.7476358676706</v>
      </c>
      <c r="AB383" s="6">
        <f t="shared" si="20"/>
        <v>0</v>
      </c>
      <c r="AC383" s="6">
        <f>(L383-M383)*(W383+X383)+($W$254+$X$254-$W$383-$X$383)*(L383)</f>
        <v>17.746918000000001</v>
      </c>
      <c r="AD383" s="6">
        <f t="shared" si="21"/>
        <v>0</v>
      </c>
      <c r="AE383" s="6">
        <f ca="1">(L383-M383)*(Z383+AA383)+($Z$254+$AA$254-$Z$383-$AA$383)*(L383)</f>
        <v>16.445347174188914</v>
      </c>
      <c r="AF383" s="4" t="s">
        <v>728</v>
      </c>
    </row>
    <row r="384" spans="1:32" ht="11.25" customHeight="1" x14ac:dyDescent="0.25">
      <c r="A384" s="4" t="s">
        <v>55</v>
      </c>
      <c r="B384" s="4" t="s">
        <v>42</v>
      </c>
      <c r="C384" s="4" t="s">
        <v>23</v>
      </c>
      <c r="D384" s="4" t="s">
        <v>43</v>
      </c>
      <c r="E384" s="4" t="s">
        <v>54</v>
      </c>
      <c r="F384" s="4" t="s">
        <v>53</v>
      </c>
      <c r="G384" s="4" t="s">
        <v>25</v>
      </c>
      <c r="H384" s="4" t="s">
        <v>25</v>
      </c>
      <c r="I384" s="5">
        <v>44440</v>
      </c>
      <c r="J384" s="6">
        <v>0</v>
      </c>
      <c r="K384" s="6">
        <v>0</v>
      </c>
      <c r="L384" s="6">
        <v>10.151</v>
      </c>
      <c r="M384" s="6">
        <v>10.151</v>
      </c>
      <c r="N384" s="6">
        <v>10.151</v>
      </c>
      <c r="O384" s="6">
        <v>10.151</v>
      </c>
      <c r="P384" s="6">
        <v>0</v>
      </c>
      <c r="Q384" s="4" t="s">
        <v>26</v>
      </c>
      <c r="R384" s="4">
        <v>0</v>
      </c>
      <c r="S384" s="4">
        <v>0</v>
      </c>
      <c r="T384" s="4">
        <v>30</v>
      </c>
      <c r="U384" s="4">
        <v>70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285.56</v>
      </c>
      <c r="X384" s="6">
        <f>IF(ISERROR(VLOOKUP($U$384,'TAR FIN'!$A$1:$O$86,15,0)),0,VLOOKUP($U$384,'TAR FIN'!$A$1:$O$86,15,0))</f>
        <v>227.23</v>
      </c>
      <c r="Y384" s="6"/>
      <c r="Z384" s="6">
        <f ca="1">('TUSD BE'!$AM$34+'TUSD BF'!$AM$34+'TUSD CVA'!$AM$34)*(1-CUSTOS!$M$38)</f>
        <v>310.34682484351242</v>
      </c>
      <c r="AA384" s="6">
        <f>('TE BE'!$AB$24+'TE BF'!$AB$24+'TE CVA'!$AB$24)*(1-CUSTOS!$M$38)</f>
        <v>216.7476358676706</v>
      </c>
      <c r="AB384" s="6">
        <f t="shared" si="20"/>
        <v>0</v>
      </c>
      <c r="AC384" s="6">
        <f>(L384-M384)*(W384+X384)+($W$254+$X$254-$W$384-$X$384)*(L384)</f>
        <v>709.75792000000047</v>
      </c>
      <c r="AD384" s="6">
        <f t="shared" si="21"/>
        <v>0</v>
      </c>
      <c r="AE384" s="6">
        <f ca="1">(L384-M384)*(Z384+AA384)+($Z$254+$AA$254-$Z$384-$AA$384)*(L384)</f>
        <v>341.52356621356751</v>
      </c>
      <c r="AF384" s="4" t="s">
        <v>727</v>
      </c>
    </row>
    <row r="385" spans="1:32" ht="11.25" customHeight="1" x14ac:dyDescent="0.25">
      <c r="A385" s="4" t="s">
        <v>21</v>
      </c>
      <c r="B385" s="4" t="s">
        <v>42</v>
      </c>
      <c r="C385" s="4" t="s">
        <v>23</v>
      </c>
      <c r="D385" s="4" t="s">
        <v>43</v>
      </c>
      <c r="E385" s="4" t="s">
        <v>54</v>
      </c>
      <c r="F385" s="4" t="s">
        <v>53</v>
      </c>
      <c r="G385" s="4" t="s">
        <v>25</v>
      </c>
      <c r="H385" s="4" t="s">
        <v>25</v>
      </c>
      <c r="I385" s="5">
        <v>44470</v>
      </c>
      <c r="J385" s="6">
        <v>0</v>
      </c>
      <c r="K385" s="6">
        <v>0</v>
      </c>
      <c r="L385" s="6">
        <v>2.39</v>
      </c>
      <c r="M385" s="6">
        <v>0.95599999999999996</v>
      </c>
      <c r="N385" s="6">
        <v>2.39</v>
      </c>
      <c r="O385" s="6">
        <v>0.95599999999999996</v>
      </c>
      <c r="P385" s="6">
        <v>0</v>
      </c>
      <c r="Q385" s="4" t="s">
        <v>26</v>
      </c>
      <c r="R385" s="4">
        <v>0</v>
      </c>
      <c r="S385" s="4">
        <v>0</v>
      </c>
      <c r="T385" s="4">
        <v>30</v>
      </c>
      <c r="U385" s="4">
        <v>70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285.56</v>
      </c>
      <c r="X385" s="6">
        <f>IF(ISERROR(VLOOKUP($U$385,'TAR FIN'!$A$1:$O$86,15,0)),0,VLOOKUP($U$385,'TAR FIN'!$A$1:$O$86,15,0))</f>
        <v>227.23</v>
      </c>
      <c r="Y385" s="6"/>
      <c r="Z385" s="6">
        <f ca="1">('TUSD BE'!$AM$34+'TUSD BF'!$AM$34+'TUSD CVA'!$AM$34)*(1-CUSTOS!$M$38)</f>
        <v>310.34682484351242</v>
      </c>
      <c r="AA385" s="6">
        <f>('TE BE'!$AB$24+'TE BF'!$AB$24+'TE CVA'!$AB$24)*(1-CUSTOS!$M$38)</f>
        <v>216.7476358676706</v>
      </c>
      <c r="AB385" s="6">
        <f t="shared" si="20"/>
        <v>0</v>
      </c>
      <c r="AC385" s="6">
        <f>(L385-M385)*(W385+X385)+($W$254+$X$254-$W$385-$X$385)*(L385)</f>
        <v>902.44966000000011</v>
      </c>
      <c r="AD385" s="6">
        <f t="shared" si="21"/>
        <v>0</v>
      </c>
      <c r="AE385" s="6">
        <f ca="1">(L385-M385)*(Z385+AA385)+($Z$254+$AA$254-$Z$385-$AA$385)*(L385)</f>
        <v>836.26339885769153</v>
      </c>
      <c r="AF385" s="4" t="s">
        <v>728</v>
      </c>
    </row>
    <row r="386" spans="1:32" ht="11.25" customHeight="1" x14ac:dyDescent="0.25">
      <c r="A386" s="4" t="s">
        <v>55</v>
      </c>
      <c r="B386" s="4" t="s">
        <v>42</v>
      </c>
      <c r="C386" s="4" t="s">
        <v>23</v>
      </c>
      <c r="D386" s="4" t="s">
        <v>43</v>
      </c>
      <c r="E386" s="4" t="s">
        <v>54</v>
      </c>
      <c r="F386" s="4" t="s">
        <v>53</v>
      </c>
      <c r="G386" s="4" t="s">
        <v>25</v>
      </c>
      <c r="H386" s="4" t="s">
        <v>25</v>
      </c>
      <c r="I386" s="5">
        <v>44470</v>
      </c>
      <c r="J386" s="6">
        <v>0</v>
      </c>
      <c r="K386" s="6">
        <v>0</v>
      </c>
      <c r="L386" s="6">
        <v>9.3699999999999992</v>
      </c>
      <c r="M386" s="6">
        <v>9.3699999999999992</v>
      </c>
      <c r="N386" s="6">
        <v>9.3699999999999992</v>
      </c>
      <c r="O386" s="6">
        <v>9.3699999999999992</v>
      </c>
      <c r="P386" s="6">
        <v>0</v>
      </c>
      <c r="Q386" s="4" t="s">
        <v>26</v>
      </c>
      <c r="R386" s="4">
        <v>0</v>
      </c>
      <c r="S386" s="4">
        <v>0</v>
      </c>
      <c r="T386" s="4">
        <v>30</v>
      </c>
      <c r="U386" s="4">
        <v>70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285.56</v>
      </c>
      <c r="X386" s="6">
        <f>IF(ISERROR(VLOOKUP($U$386,'TAR FIN'!$A$1:$O$86,15,0)),0,VLOOKUP($U$386,'TAR FIN'!$A$1:$O$86,15,0))</f>
        <v>227.23</v>
      </c>
      <c r="Y386" s="6"/>
      <c r="Z386" s="6">
        <f ca="1">('TUSD BE'!$AM$34+'TUSD BF'!$AM$34+'TUSD CVA'!$AM$34)*(1-CUSTOS!$M$38)</f>
        <v>310.34682484351242</v>
      </c>
      <c r="AA386" s="6">
        <f>('TE BE'!$AB$24+'TE BF'!$AB$24+'TE CVA'!$AB$24)*(1-CUSTOS!$M$38)</f>
        <v>216.7476358676706</v>
      </c>
      <c r="AB386" s="6">
        <f t="shared" ref="AB386:AB445" si="22">(J386-K386)*V386</f>
        <v>0</v>
      </c>
      <c r="AC386" s="6">
        <f>(L386-M386)*(W386+X386)+($W$254+$X$254-$W$386-$X$386)*(L386)</f>
        <v>655.15040000000033</v>
      </c>
      <c r="AD386" s="6">
        <f t="shared" ref="AD386:AD445" si="23">(J386-K386)*Y386</f>
        <v>0</v>
      </c>
      <c r="AE386" s="6">
        <f ca="1">(L386-M386)*(Z386+AA386)+($Z$254+$AA$254-$Z$386-$AA$386)*(L386)</f>
        <v>315.24734660832701</v>
      </c>
      <c r="AF386" s="4" t="s">
        <v>727</v>
      </c>
    </row>
    <row r="387" spans="1:32" ht="11.25" customHeight="1" x14ac:dyDescent="0.25">
      <c r="A387" s="4" t="s">
        <v>21</v>
      </c>
      <c r="B387" s="4" t="s">
        <v>42</v>
      </c>
      <c r="C387" s="4" t="s">
        <v>23</v>
      </c>
      <c r="D387" s="4" t="s">
        <v>43</v>
      </c>
      <c r="E387" s="4" t="s">
        <v>54</v>
      </c>
      <c r="F387" s="4" t="s">
        <v>53</v>
      </c>
      <c r="G387" s="4" t="s">
        <v>25</v>
      </c>
      <c r="H387" s="4" t="s">
        <v>25</v>
      </c>
      <c r="I387" s="5">
        <v>44501</v>
      </c>
      <c r="J387" s="6">
        <v>0</v>
      </c>
      <c r="K387" s="6">
        <v>0</v>
      </c>
      <c r="L387" s="6">
        <v>1.155</v>
      </c>
      <c r="M387" s="6">
        <v>0.46200000000000002</v>
      </c>
      <c r="N387" s="6">
        <v>1.155</v>
      </c>
      <c r="O387" s="6">
        <v>0.46200000000000002</v>
      </c>
      <c r="P387" s="6">
        <v>0</v>
      </c>
      <c r="Q387" s="4" t="s">
        <v>26</v>
      </c>
      <c r="R387" s="4">
        <v>0</v>
      </c>
      <c r="S387" s="4">
        <v>0</v>
      </c>
      <c r="T387" s="4">
        <v>30</v>
      </c>
      <c r="U387" s="4">
        <v>70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285.56</v>
      </c>
      <c r="X387" s="6">
        <f>IF(ISERROR(VLOOKUP($U$387,'TAR FIN'!$A$1:$O$86,15,0)),0,VLOOKUP($U$387,'TAR FIN'!$A$1:$O$86,15,0))</f>
        <v>227.23</v>
      </c>
      <c r="Y387" s="6"/>
      <c r="Z387" s="6">
        <f ca="1">('TUSD BE'!$AM$34+'TUSD BF'!$AM$34+'TUSD CVA'!$AM$34)*(1-CUSTOS!$M$38)</f>
        <v>310.34682484351242</v>
      </c>
      <c r="AA387" s="6">
        <f>('TE BE'!$AB$24+'TE BF'!$AB$24+'TE CVA'!$AB$24)*(1-CUSTOS!$M$38)</f>
        <v>216.7476358676706</v>
      </c>
      <c r="AB387" s="6">
        <f t="shared" si="22"/>
        <v>0</v>
      </c>
      <c r="AC387" s="6">
        <f>(L387-M387)*(W387+X387)+($W$254+$X$254-$W$387-$X$387)*(L387)</f>
        <v>436.12107000000003</v>
      </c>
      <c r="AD387" s="6">
        <f t="shared" si="23"/>
        <v>0</v>
      </c>
      <c r="AE387" s="6">
        <f ca="1">(L387-M387)*(Z387+AA387)+($Z$254+$AA$254-$Z$387-$AA$387)*(L387)</f>
        <v>404.1356592805999</v>
      </c>
      <c r="AF387" s="4" t="s">
        <v>728</v>
      </c>
    </row>
    <row r="388" spans="1:32" ht="11.25" customHeight="1" x14ac:dyDescent="0.25">
      <c r="A388" s="4" t="s">
        <v>55</v>
      </c>
      <c r="B388" s="4" t="s">
        <v>42</v>
      </c>
      <c r="C388" s="4" t="s">
        <v>23</v>
      </c>
      <c r="D388" s="4" t="s">
        <v>43</v>
      </c>
      <c r="E388" s="4" t="s">
        <v>54</v>
      </c>
      <c r="F388" s="4" t="s">
        <v>53</v>
      </c>
      <c r="G388" s="4" t="s">
        <v>25</v>
      </c>
      <c r="H388" s="4" t="s">
        <v>25</v>
      </c>
      <c r="I388" s="5">
        <v>44501</v>
      </c>
      <c r="J388" s="6">
        <v>0</v>
      </c>
      <c r="K388" s="6">
        <v>0</v>
      </c>
      <c r="L388" s="6">
        <v>9.85</v>
      </c>
      <c r="M388" s="6">
        <v>9.85</v>
      </c>
      <c r="N388" s="6">
        <v>9.85</v>
      </c>
      <c r="O388" s="6">
        <v>9.85</v>
      </c>
      <c r="P388" s="6">
        <v>0</v>
      </c>
      <c r="Q388" s="4" t="s">
        <v>26</v>
      </c>
      <c r="R388" s="4">
        <v>0</v>
      </c>
      <c r="S388" s="4">
        <v>0</v>
      </c>
      <c r="T388" s="4">
        <v>30</v>
      </c>
      <c r="U388" s="4">
        <v>70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285.56</v>
      </c>
      <c r="X388" s="6">
        <f>IF(ISERROR(VLOOKUP($U$388,'TAR FIN'!$A$1:$O$86,15,0)),0,VLOOKUP($U$388,'TAR FIN'!$A$1:$O$86,15,0))</f>
        <v>227.23</v>
      </c>
      <c r="Y388" s="6"/>
      <c r="Z388" s="6">
        <f ca="1">('TUSD BE'!$AM$34+'TUSD BF'!$AM$34+'TUSD CVA'!$AM$34)*(1-CUSTOS!$M$38)</f>
        <v>310.34682484351242</v>
      </c>
      <c r="AA388" s="6">
        <f>('TE BE'!$AB$24+'TE BF'!$AB$24+'TE CVA'!$AB$24)*(1-CUSTOS!$M$38)</f>
        <v>216.7476358676706</v>
      </c>
      <c r="AB388" s="6">
        <f t="shared" si="22"/>
        <v>0</v>
      </c>
      <c r="AC388" s="6">
        <f>(L388-M388)*(W388+X388)+($W$254+$X$254-$W$388-$X$388)*(L388)</f>
        <v>688.71200000000044</v>
      </c>
      <c r="AD388" s="6">
        <f t="shared" si="23"/>
        <v>0</v>
      </c>
      <c r="AE388" s="6">
        <f ca="1">(L388-M388)*(Z388+AA388)+($Z$254+$AA$254-$Z$388-$AA$388)*(L388)</f>
        <v>331.39662370245691</v>
      </c>
      <c r="AF388" s="4" t="s">
        <v>727</v>
      </c>
    </row>
    <row r="389" spans="1:32" ht="11.25" customHeight="1" x14ac:dyDescent="0.25">
      <c r="A389" s="4" t="s">
        <v>21</v>
      </c>
      <c r="B389" s="4" t="s">
        <v>42</v>
      </c>
      <c r="C389" s="4" t="s">
        <v>23</v>
      </c>
      <c r="D389" s="4" t="s">
        <v>43</v>
      </c>
      <c r="E389" s="4" t="s">
        <v>54</v>
      </c>
      <c r="F389" s="4" t="s">
        <v>53</v>
      </c>
      <c r="G389" s="4" t="s">
        <v>25</v>
      </c>
      <c r="H389" s="4" t="s">
        <v>25</v>
      </c>
      <c r="I389" s="5">
        <v>44531</v>
      </c>
      <c r="J389" s="6">
        <v>0</v>
      </c>
      <c r="K389" s="6">
        <v>0</v>
      </c>
      <c r="L389" s="6">
        <v>2.379</v>
      </c>
      <c r="M389" s="6">
        <v>0.9516</v>
      </c>
      <c r="N389" s="6">
        <v>2.379</v>
      </c>
      <c r="O389" s="6">
        <v>0.9516</v>
      </c>
      <c r="P389" s="6">
        <v>0</v>
      </c>
      <c r="Q389" s="4" t="s">
        <v>26</v>
      </c>
      <c r="R389" s="4">
        <v>0</v>
      </c>
      <c r="S389" s="4">
        <v>0</v>
      </c>
      <c r="T389" s="4">
        <v>30</v>
      </c>
      <c r="U389" s="4">
        <v>70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285.56</v>
      </c>
      <c r="X389" s="6">
        <f>IF(ISERROR(VLOOKUP($U$389,'TAR FIN'!$A$1:$O$86,15,0)),0,VLOOKUP($U$389,'TAR FIN'!$A$1:$O$86,15,0))</f>
        <v>227.23</v>
      </c>
      <c r="Y389" s="6"/>
      <c r="Z389" s="6">
        <f ca="1">('TUSD BE'!$AM$34+'TUSD BF'!$AM$34+'TUSD CVA'!$AM$34)*(1-CUSTOS!$M$38)</f>
        <v>310.34682484351242</v>
      </c>
      <c r="AA389" s="6">
        <f>('TE BE'!$AB$24+'TE BF'!$AB$24+'TE CVA'!$AB$24)*(1-CUSTOS!$M$38)</f>
        <v>216.7476358676706</v>
      </c>
      <c r="AB389" s="6">
        <f t="shared" si="22"/>
        <v>0</v>
      </c>
      <c r="AC389" s="6">
        <f>(L389-M389)*(W389+X389)+($W$254+$X$254-$W$389-$X$389)*(L389)</f>
        <v>898.29612599999996</v>
      </c>
      <c r="AD389" s="6">
        <f t="shared" si="23"/>
        <v>0</v>
      </c>
      <c r="AE389" s="6">
        <f ca="1">(L389-M389)*(Z389+AA389)+($Z$254+$AA$254-$Z$389-$AA$389)*(L389)</f>
        <v>832.41448781692384</v>
      </c>
      <c r="AF389" s="4" t="s">
        <v>728</v>
      </c>
    </row>
    <row r="390" spans="1:32" ht="11.25" customHeight="1" x14ac:dyDescent="0.25">
      <c r="A390" s="4" t="s">
        <v>55</v>
      </c>
      <c r="B390" s="4" t="s">
        <v>42</v>
      </c>
      <c r="C390" s="4" t="s">
        <v>23</v>
      </c>
      <c r="D390" s="4" t="s">
        <v>43</v>
      </c>
      <c r="E390" s="4" t="s">
        <v>54</v>
      </c>
      <c r="F390" s="4" t="s">
        <v>53</v>
      </c>
      <c r="G390" s="4" t="s">
        <v>25</v>
      </c>
      <c r="H390" s="4" t="s">
        <v>25</v>
      </c>
      <c r="I390" s="5">
        <v>44531</v>
      </c>
      <c r="J390" s="6">
        <v>0</v>
      </c>
      <c r="K390" s="6">
        <v>0</v>
      </c>
      <c r="L390" s="6">
        <v>10.172000000000001</v>
      </c>
      <c r="M390" s="6">
        <v>10.172000000000001</v>
      </c>
      <c r="N390" s="6">
        <v>10.172000000000001</v>
      </c>
      <c r="O390" s="6">
        <v>10.172000000000001</v>
      </c>
      <c r="P390" s="6">
        <v>0</v>
      </c>
      <c r="Q390" s="4" t="s">
        <v>26</v>
      </c>
      <c r="R390" s="4">
        <v>0</v>
      </c>
      <c r="S390" s="4">
        <v>0</v>
      </c>
      <c r="T390" s="4">
        <v>30</v>
      </c>
      <c r="U390" s="4">
        <v>70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285.56</v>
      </c>
      <c r="X390" s="6">
        <f>IF(ISERROR(VLOOKUP($U$390,'TAR FIN'!$A$1:$O$86,15,0)),0,VLOOKUP($U$390,'TAR FIN'!$A$1:$O$86,15,0))</f>
        <v>227.23</v>
      </c>
      <c r="Y390" s="6"/>
      <c r="Z390" s="6">
        <f ca="1">('TUSD BE'!$AM$34+'TUSD BF'!$AM$34+'TUSD CVA'!$AM$34)*(1-CUSTOS!$M$38)</f>
        <v>310.34682484351242</v>
      </c>
      <c r="AA390" s="6">
        <f>('TE BE'!$AB$24+'TE BF'!$AB$24+'TE CVA'!$AB$24)*(1-CUSTOS!$M$38)</f>
        <v>216.7476358676706</v>
      </c>
      <c r="AB390" s="6">
        <f t="shared" si="22"/>
        <v>0</v>
      </c>
      <c r="AC390" s="6">
        <f>(L390-M390)*(W390+X390)+($W$254+$X$254-$W$390-$X$390)*(L390)</f>
        <v>711.22624000000053</v>
      </c>
      <c r="AD390" s="6">
        <f t="shared" si="23"/>
        <v>0</v>
      </c>
      <c r="AE390" s="6">
        <f ca="1">(L390-M390)*(Z390+AA390)+($Z$254+$AA$254-$Z$390-$AA$390)*(L390)</f>
        <v>342.23009708643571</v>
      </c>
      <c r="AF390" s="4" t="s">
        <v>727</v>
      </c>
    </row>
    <row r="391" spans="1:32" ht="11.25" customHeight="1" x14ac:dyDescent="0.25">
      <c r="A391" s="4" t="s">
        <v>21</v>
      </c>
      <c r="B391" s="4" t="s">
        <v>42</v>
      </c>
      <c r="C391" s="4" t="s">
        <v>23</v>
      </c>
      <c r="D391" s="4" t="s">
        <v>43</v>
      </c>
      <c r="E391" s="4" t="s">
        <v>54</v>
      </c>
      <c r="F391" s="4" t="s">
        <v>53</v>
      </c>
      <c r="G391" s="4" t="s">
        <v>25</v>
      </c>
      <c r="H391" s="4" t="s">
        <v>25</v>
      </c>
      <c r="I391" s="5">
        <v>44562</v>
      </c>
      <c r="J391" s="6">
        <v>0</v>
      </c>
      <c r="K391" s="6">
        <v>0</v>
      </c>
      <c r="L391" s="6">
        <v>6.9930000000000003</v>
      </c>
      <c r="M391" s="6">
        <v>2.7972000000000001</v>
      </c>
      <c r="N391" s="6">
        <v>6.9930000000000003</v>
      </c>
      <c r="O391" s="6">
        <v>2.7972000000000001</v>
      </c>
      <c r="P391" s="6">
        <v>0</v>
      </c>
      <c r="Q391" s="4" t="s">
        <v>26</v>
      </c>
      <c r="R391" s="4">
        <v>0</v>
      </c>
      <c r="S391" s="4">
        <v>0</v>
      </c>
      <c r="T391" s="4">
        <v>30</v>
      </c>
      <c r="U391" s="4">
        <v>70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285.56</v>
      </c>
      <c r="X391" s="6">
        <f>IF(ISERROR(VLOOKUP($U$391,'TAR FIN'!$A$1:$O$86,15,0)),0,VLOOKUP($U$391,'TAR FIN'!$A$1:$O$86,15,0))</f>
        <v>227.23</v>
      </c>
      <c r="Y391" s="6"/>
      <c r="Z391" s="6">
        <f ca="1">('TUSD BE'!$AM$34+'TUSD BF'!$AM$34+'TUSD CVA'!$AM$34)*(1-CUSTOS!$M$38)</f>
        <v>310.34682484351242</v>
      </c>
      <c r="AA391" s="6">
        <f>('TE BE'!$AB$24+'TE BF'!$AB$24+'TE CVA'!$AB$24)*(1-CUSTOS!$M$38)</f>
        <v>216.7476358676706</v>
      </c>
      <c r="AB391" s="6">
        <f t="shared" si="22"/>
        <v>0</v>
      </c>
      <c r="AC391" s="6">
        <f>(L391-M391)*(W391+X391)+($W$254+$X$254-$W$391-$X$391)*(L391)</f>
        <v>2640.514842</v>
      </c>
      <c r="AD391" s="6">
        <f t="shared" si="23"/>
        <v>0</v>
      </c>
      <c r="AE391" s="6">
        <f ca="1">(L391-M391)*(Z391+AA391)+($Z$254+$AA$254-$Z$391-$AA$391)*(L391)</f>
        <v>2446.8577189170865</v>
      </c>
      <c r="AF391" s="4" t="s">
        <v>728</v>
      </c>
    </row>
    <row r="392" spans="1:32" ht="11.25" customHeight="1" x14ac:dyDescent="0.25">
      <c r="A392" s="4" t="s">
        <v>55</v>
      </c>
      <c r="B392" s="4" t="s">
        <v>42</v>
      </c>
      <c r="C392" s="4" t="s">
        <v>23</v>
      </c>
      <c r="D392" s="4" t="s">
        <v>43</v>
      </c>
      <c r="E392" s="4" t="s">
        <v>54</v>
      </c>
      <c r="F392" s="4" t="s">
        <v>53</v>
      </c>
      <c r="G392" s="4" t="s">
        <v>25</v>
      </c>
      <c r="H392" s="4" t="s">
        <v>25</v>
      </c>
      <c r="I392" s="5">
        <v>44562</v>
      </c>
      <c r="J392" s="6">
        <v>0</v>
      </c>
      <c r="K392" s="6">
        <v>0</v>
      </c>
      <c r="L392" s="6">
        <v>9.98</v>
      </c>
      <c r="M392" s="6">
        <v>9.98</v>
      </c>
      <c r="N392" s="6">
        <v>9.98</v>
      </c>
      <c r="O392" s="6">
        <v>9.98</v>
      </c>
      <c r="P392" s="6">
        <v>0</v>
      </c>
      <c r="Q392" s="4" t="s">
        <v>26</v>
      </c>
      <c r="R392" s="4">
        <v>0</v>
      </c>
      <c r="S392" s="4">
        <v>0</v>
      </c>
      <c r="T392" s="4">
        <v>30</v>
      </c>
      <c r="U392" s="4">
        <v>70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285.56</v>
      </c>
      <c r="X392" s="6">
        <f>IF(ISERROR(VLOOKUP($U$392,'TAR FIN'!$A$1:$O$86,15,0)),0,VLOOKUP($U$392,'TAR FIN'!$A$1:$O$86,15,0))</f>
        <v>227.23</v>
      </c>
      <c r="Y392" s="6"/>
      <c r="Z392" s="6">
        <f ca="1">('TUSD BE'!$AM$34+'TUSD BF'!$AM$34+'TUSD CVA'!$AM$34)*(1-CUSTOS!$M$38)</f>
        <v>310.34682484351242</v>
      </c>
      <c r="AA392" s="6">
        <f>('TE BE'!$AB$24+'TE BF'!$AB$24+'TE CVA'!$AB$24)*(1-CUSTOS!$M$38)</f>
        <v>216.7476358676706</v>
      </c>
      <c r="AB392" s="6">
        <f t="shared" si="22"/>
        <v>0</v>
      </c>
      <c r="AC392" s="6">
        <f>(L392-M392)*(W392+X392)+($W$254+$X$254-$W$392-$X$392)*(L392)</f>
        <v>697.80160000000046</v>
      </c>
      <c r="AD392" s="6">
        <f t="shared" si="23"/>
        <v>0</v>
      </c>
      <c r="AE392" s="6">
        <f ca="1">(L392-M392)*(Z392+AA392)+($Z$254+$AA$254-$Z$392-$AA$392)*(L392)</f>
        <v>335.77038624878378</v>
      </c>
      <c r="AF392" s="4" t="s">
        <v>727</v>
      </c>
    </row>
    <row r="393" spans="1:32" ht="11.25" customHeight="1" x14ac:dyDescent="0.25">
      <c r="A393" s="4" t="s">
        <v>21</v>
      </c>
      <c r="B393" s="4" t="s">
        <v>42</v>
      </c>
      <c r="C393" s="4" t="s">
        <v>23</v>
      </c>
      <c r="D393" s="4" t="s">
        <v>43</v>
      </c>
      <c r="E393" s="4" t="s">
        <v>54</v>
      </c>
      <c r="F393" s="4" t="s">
        <v>53</v>
      </c>
      <c r="G393" s="4" t="s">
        <v>25</v>
      </c>
      <c r="H393" s="4" t="s">
        <v>25</v>
      </c>
      <c r="I393" s="5">
        <v>44593</v>
      </c>
      <c r="J393" s="6">
        <v>0</v>
      </c>
      <c r="K393" s="6">
        <v>0</v>
      </c>
      <c r="L393" s="6">
        <v>0.98599999999999999</v>
      </c>
      <c r="M393" s="6">
        <v>0.39439999999999997</v>
      </c>
      <c r="N393" s="6">
        <v>0.98599999999999999</v>
      </c>
      <c r="O393" s="6">
        <v>0.39439999999999997</v>
      </c>
      <c r="P393" s="6">
        <v>0</v>
      </c>
      <c r="Q393" s="4" t="s">
        <v>26</v>
      </c>
      <c r="R393" s="4">
        <v>0</v>
      </c>
      <c r="S393" s="4">
        <v>0</v>
      </c>
      <c r="T393" s="4">
        <v>30</v>
      </c>
      <c r="U393" s="4">
        <v>70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285.56</v>
      </c>
      <c r="X393" s="6">
        <f>IF(ISERROR(VLOOKUP($U$393,'TAR FIN'!$A$1:$O$86,15,0)),0,VLOOKUP($U$393,'TAR FIN'!$A$1:$O$86,15,0))</f>
        <v>227.23</v>
      </c>
      <c r="Y393" s="6"/>
      <c r="Z393" s="6">
        <f ca="1">('TUSD BE'!$AM$34+'TUSD BF'!$AM$34+'TUSD CVA'!$AM$34)*(1-CUSTOS!$M$38)</f>
        <v>310.34682484351242</v>
      </c>
      <c r="AA393" s="6">
        <f>('TE BE'!$AB$24+'TE BF'!$AB$24+'TE CVA'!$AB$24)*(1-CUSTOS!$M$38)</f>
        <v>216.7476358676706</v>
      </c>
      <c r="AB393" s="6">
        <f t="shared" si="22"/>
        <v>0</v>
      </c>
      <c r="AC393" s="6">
        <f>(L393-M393)*(W393+X393)+($W$254+$X$254-$W$393-$X$393)*(L393)</f>
        <v>372.30768399999999</v>
      </c>
      <c r="AD393" s="6">
        <f t="shared" si="23"/>
        <v>0</v>
      </c>
      <c r="AE393" s="6">
        <f ca="1">(L393-M393)*(Z393+AA393)+($Z$254+$AA$254-$Z$393-$AA$393)*(L393)</f>
        <v>345.00238965426098</v>
      </c>
      <c r="AF393" s="4" t="s">
        <v>728</v>
      </c>
    </row>
    <row r="394" spans="1:32" ht="11.25" customHeight="1" x14ac:dyDescent="0.25">
      <c r="A394" s="4" t="s">
        <v>55</v>
      </c>
      <c r="B394" s="4" t="s">
        <v>42</v>
      </c>
      <c r="C394" s="4" t="s">
        <v>23</v>
      </c>
      <c r="D394" s="4" t="s">
        <v>43</v>
      </c>
      <c r="E394" s="4" t="s">
        <v>54</v>
      </c>
      <c r="F394" s="4" t="s">
        <v>53</v>
      </c>
      <c r="G394" s="4" t="s">
        <v>25</v>
      </c>
      <c r="H394" s="4" t="s">
        <v>25</v>
      </c>
      <c r="I394" s="5">
        <v>44593</v>
      </c>
      <c r="J394" s="6">
        <v>0</v>
      </c>
      <c r="K394" s="6">
        <v>0</v>
      </c>
      <c r="L394" s="6">
        <v>10.452999999999999</v>
      </c>
      <c r="M394" s="6">
        <v>10.452999999999999</v>
      </c>
      <c r="N394" s="6">
        <v>10.452999999999999</v>
      </c>
      <c r="O394" s="6">
        <v>10.452999999999999</v>
      </c>
      <c r="P394" s="6">
        <v>0</v>
      </c>
      <c r="Q394" s="4" t="s">
        <v>26</v>
      </c>
      <c r="R394" s="4">
        <v>0</v>
      </c>
      <c r="S394" s="4">
        <v>0</v>
      </c>
      <c r="T394" s="4">
        <v>30</v>
      </c>
      <c r="U394" s="4">
        <v>70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285.56</v>
      </c>
      <c r="X394" s="6">
        <f>IF(ISERROR(VLOOKUP($U$394,'TAR FIN'!$A$1:$O$86,15,0)),0,VLOOKUP($U$394,'TAR FIN'!$A$1:$O$86,15,0))</f>
        <v>227.23</v>
      </c>
      <c r="Y394" s="6"/>
      <c r="Z394" s="6">
        <f ca="1">('TUSD BE'!$AM$34+'TUSD BF'!$AM$34+'TUSD CVA'!$AM$34)*(1-CUSTOS!$M$38)</f>
        <v>310.34682484351242</v>
      </c>
      <c r="AA394" s="6">
        <f>('TE BE'!$AB$24+'TE BF'!$AB$24+'TE CVA'!$AB$24)*(1-CUSTOS!$M$38)</f>
        <v>216.7476358676706</v>
      </c>
      <c r="AB394" s="6">
        <f t="shared" si="22"/>
        <v>0</v>
      </c>
      <c r="AC394" s="6">
        <f>(L394-M394)*(W394+X394)+($W$254+$X$254-$W$394-$X$394)*(L394)</f>
        <v>730.8737600000004</v>
      </c>
      <c r="AD394" s="6">
        <f t="shared" si="23"/>
        <v>0</v>
      </c>
      <c r="AE394" s="6">
        <f ca="1">(L394-M394)*(Z394+AA394)+($Z$254+$AA$254-$Z$394-$AA$394)*(L394)</f>
        <v>351.68415305195754</v>
      </c>
      <c r="AF394" s="4" t="s">
        <v>727</v>
      </c>
    </row>
    <row r="395" spans="1:32" ht="11.25" customHeight="1" x14ac:dyDescent="0.25">
      <c r="A395" s="4" t="s">
        <v>21</v>
      </c>
      <c r="B395" s="4" t="s">
        <v>42</v>
      </c>
      <c r="C395" s="4" t="s">
        <v>23</v>
      </c>
      <c r="D395" s="4" t="s">
        <v>43</v>
      </c>
      <c r="E395" s="4" t="s">
        <v>54</v>
      </c>
      <c r="F395" s="4" t="s">
        <v>53</v>
      </c>
      <c r="G395" s="4" t="s">
        <v>25</v>
      </c>
      <c r="H395" s="4" t="s">
        <v>25</v>
      </c>
      <c r="I395" s="5">
        <v>44621</v>
      </c>
      <c r="J395" s="6">
        <v>0</v>
      </c>
      <c r="K395" s="6">
        <v>0</v>
      </c>
      <c r="L395" s="6">
        <v>2.355</v>
      </c>
      <c r="M395" s="6">
        <v>0.94199999999999995</v>
      </c>
      <c r="N395" s="6">
        <v>2.355</v>
      </c>
      <c r="O395" s="6">
        <v>0.94199999999999995</v>
      </c>
      <c r="P395" s="6">
        <v>0</v>
      </c>
      <c r="Q395" s="4" t="s">
        <v>26</v>
      </c>
      <c r="R395" s="4">
        <v>0</v>
      </c>
      <c r="S395" s="4">
        <v>0</v>
      </c>
      <c r="T395" s="4">
        <v>30</v>
      </c>
      <c r="U395" s="4">
        <v>70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285.56</v>
      </c>
      <c r="X395" s="6">
        <f>IF(ISERROR(VLOOKUP($U$395,'TAR FIN'!$A$1:$O$86,15,0)),0,VLOOKUP($U$395,'TAR FIN'!$A$1:$O$86,15,0))</f>
        <v>227.23</v>
      </c>
      <c r="Y395" s="6"/>
      <c r="Z395" s="6">
        <f ca="1">('TUSD BE'!$AM$34+'TUSD BF'!$AM$34+'TUSD CVA'!$AM$34)*(1-CUSTOS!$M$38)</f>
        <v>310.34682484351242</v>
      </c>
      <c r="AA395" s="6">
        <f>('TE BE'!$AB$24+'TE BF'!$AB$24+'TE CVA'!$AB$24)*(1-CUSTOS!$M$38)</f>
        <v>216.7476358676706</v>
      </c>
      <c r="AB395" s="6">
        <f t="shared" si="22"/>
        <v>0</v>
      </c>
      <c r="AC395" s="6">
        <f>(L395-M395)*(W395+X395)+($W$254+$X$254-$W$395-$X$395)*(L395)</f>
        <v>889.23387000000014</v>
      </c>
      <c r="AD395" s="6">
        <f t="shared" si="23"/>
        <v>0</v>
      </c>
      <c r="AE395" s="6">
        <f ca="1">(L395-M395)*(Z395+AA395)+($Z$254+$AA$254-$Z$395-$AA$395)*(L395)</f>
        <v>824.01686372797633</v>
      </c>
      <c r="AF395" s="4" t="s">
        <v>728</v>
      </c>
    </row>
    <row r="396" spans="1:32" ht="11.25" customHeight="1" x14ac:dyDescent="0.25">
      <c r="A396" s="4" t="s">
        <v>27</v>
      </c>
      <c r="B396" s="4" t="s">
        <v>42</v>
      </c>
      <c r="C396" s="4" t="s">
        <v>23</v>
      </c>
      <c r="D396" s="4" t="s">
        <v>43</v>
      </c>
      <c r="E396" s="4" t="s">
        <v>54</v>
      </c>
      <c r="F396" s="4" t="s">
        <v>53</v>
      </c>
      <c r="G396" s="4" t="s">
        <v>25</v>
      </c>
      <c r="H396" s="4" t="s">
        <v>25</v>
      </c>
      <c r="I396" s="5">
        <v>44621</v>
      </c>
      <c r="J396" s="6">
        <v>0</v>
      </c>
      <c r="K396" s="6">
        <v>0</v>
      </c>
      <c r="L396" s="6">
        <v>1.0999999999999999E-2</v>
      </c>
      <c r="M396" s="6">
        <v>4.4000000000000003E-3</v>
      </c>
      <c r="N396" s="6">
        <v>1.0999999999999999E-2</v>
      </c>
      <c r="O396" s="6">
        <v>4.4000000000000003E-3</v>
      </c>
      <c r="P396" s="6">
        <v>0</v>
      </c>
      <c r="Q396" s="4" t="s">
        <v>26</v>
      </c>
      <c r="R396" s="4">
        <v>0</v>
      </c>
      <c r="S396" s="4">
        <v>0</v>
      </c>
      <c r="T396" s="4">
        <v>30</v>
      </c>
      <c r="U396" s="4">
        <v>70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285.56</v>
      </c>
      <c r="X396" s="6">
        <f>IF(ISERROR(VLOOKUP($U$396,'TAR FIN'!$A$1:$O$86,15,0)),0,VLOOKUP($U$396,'TAR FIN'!$A$1:$O$86,15,0))</f>
        <v>227.23</v>
      </c>
      <c r="Y396" s="6"/>
      <c r="Z396" s="6">
        <f ca="1">('TUSD BE'!$AM$34+'TUSD BF'!$AM$34+'TUSD CVA'!$AM$34)*(1-CUSTOS!$M$38)</f>
        <v>310.34682484351242</v>
      </c>
      <c r="AA396" s="6">
        <f>('TE BE'!$AB$24+'TE BF'!$AB$24+'TE CVA'!$AB$24)*(1-CUSTOS!$M$38)</f>
        <v>216.7476358676706</v>
      </c>
      <c r="AB396" s="6">
        <f t="shared" si="22"/>
        <v>0</v>
      </c>
      <c r="AC396" s="6">
        <f>(L396-M396)*(W396+X396)+($W$254+$X$254-$W$396-$X$396)*(L396)</f>
        <v>4.1535339999999996</v>
      </c>
      <c r="AD396" s="6">
        <f t="shared" si="23"/>
        <v>0</v>
      </c>
      <c r="AE396" s="6">
        <f ca="1">(L396-M396)*(Z396+AA396)+($Z$254+$AA$254-$Z$396-$AA$396)*(L396)</f>
        <v>3.848911040767617</v>
      </c>
      <c r="AF396" s="4" t="s">
        <v>728</v>
      </c>
    </row>
    <row r="397" spans="1:32" ht="11.25" customHeight="1" x14ac:dyDescent="0.25">
      <c r="A397" s="4" t="s">
        <v>55</v>
      </c>
      <c r="B397" s="4" t="s">
        <v>42</v>
      </c>
      <c r="C397" s="4" t="s">
        <v>23</v>
      </c>
      <c r="D397" s="4" t="s">
        <v>43</v>
      </c>
      <c r="E397" s="4" t="s">
        <v>54</v>
      </c>
      <c r="F397" s="4" t="s">
        <v>53</v>
      </c>
      <c r="G397" s="4" t="s">
        <v>25</v>
      </c>
      <c r="H397" s="4" t="s">
        <v>25</v>
      </c>
      <c r="I397" s="5">
        <v>44621</v>
      </c>
      <c r="J397" s="6">
        <v>0</v>
      </c>
      <c r="K397" s="6">
        <v>0</v>
      </c>
      <c r="L397" s="6">
        <v>9.3070000000000004</v>
      </c>
      <c r="M397" s="6">
        <v>9.3070000000000004</v>
      </c>
      <c r="N397" s="6">
        <v>9.3070000000000004</v>
      </c>
      <c r="O397" s="6">
        <v>9.3070000000000004</v>
      </c>
      <c r="P397" s="6">
        <v>0</v>
      </c>
      <c r="Q397" s="4" t="s">
        <v>26</v>
      </c>
      <c r="R397" s="4">
        <v>0</v>
      </c>
      <c r="S397" s="4">
        <v>0</v>
      </c>
      <c r="T397" s="4">
        <v>30</v>
      </c>
      <c r="U397" s="4">
        <v>70</v>
      </c>
      <c r="V397" s="6">
        <f>IF(ISERROR(VLOOKUP($S$397,'TAR FIN'!$A$1:$O$86,15,0)),0,VLOOKUP($S$397,'TAR FIN'!$A$1:$O$86,15,0))</f>
        <v>0</v>
      </c>
      <c r="W397" s="6">
        <f>IF(ISERROR(VLOOKUP($T$397,'TAR FIN'!$A$1:$O$86,15,0)),0,VLOOKUP($T$397,'TAR FIN'!$A$1:$O$86,15,0))</f>
        <v>285.56</v>
      </c>
      <c r="X397" s="6">
        <f>IF(ISERROR(VLOOKUP($U$397,'TAR FIN'!$A$1:$O$86,15,0)),0,VLOOKUP($U$397,'TAR FIN'!$A$1:$O$86,15,0))</f>
        <v>227.23</v>
      </c>
      <c r="Y397" s="6"/>
      <c r="Z397" s="6">
        <f ca="1">('TUSD BE'!$AM$34+'TUSD BF'!$AM$34+'TUSD CVA'!$AM$34)*(1-CUSTOS!$M$38)</f>
        <v>310.34682484351242</v>
      </c>
      <c r="AA397" s="6">
        <f>('TE BE'!$AB$24+'TE BF'!$AB$24+'TE CVA'!$AB$24)*(1-CUSTOS!$M$38)</f>
        <v>216.7476358676706</v>
      </c>
      <c r="AB397" s="6">
        <f t="shared" si="22"/>
        <v>0</v>
      </c>
      <c r="AC397" s="6">
        <f>(L397-M397)*(W397+X397)+($W$254+$X$254-$W$397-$X$397)*(L397)</f>
        <v>650.74544000000049</v>
      </c>
      <c r="AD397" s="6">
        <f t="shared" si="23"/>
        <v>0</v>
      </c>
      <c r="AE397" s="6">
        <f ca="1">(L397-M397)*(Z397+AA397)+($Z$254+$AA$254-$Z$397-$AA$397)*(L397)</f>
        <v>313.12775398972246</v>
      </c>
      <c r="AF397" s="4" t="s">
        <v>727</v>
      </c>
    </row>
    <row r="398" spans="1:32" ht="11.25" customHeight="1" x14ac:dyDescent="0.25">
      <c r="A398" s="4" t="s">
        <v>21</v>
      </c>
      <c r="B398" s="4" t="s">
        <v>42</v>
      </c>
      <c r="C398" s="4" t="s">
        <v>23</v>
      </c>
      <c r="D398" s="4" t="s">
        <v>43</v>
      </c>
      <c r="E398" s="4" t="s">
        <v>54</v>
      </c>
      <c r="F398" s="4" t="s">
        <v>53</v>
      </c>
      <c r="G398" s="4" t="s">
        <v>25</v>
      </c>
      <c r="H398" s="4" t="s">
        <v>25</v>
      </c>
      <c r="I398" s="5">
        <v>44652</v>
      </c>
      <c r="J398" s="6">
        <v>0</v>
      </c>
      <c r="K398" s="6">
        <v>0</v>
      </c>
      <c r="L398" s="6">
        <v>4.0279999999999996</v>
      </c>
      <c r="M398" s="6">
        <v>1.6112</v>
      </c>
      <c r="N398" s="6">
        <v>4.0279999999999996</v>
      </c>
      <c r="O398" s="6">
        <v>1.6112</v>
      </c>
      <c r="P398" s="6">
        <v>0</v>
      </c>
      <c r="Q398" s="4" t="s">
        <v>26</v>
      </c>
      <c r="R398" s="4">
        <v>0</v>
      </c>
      <c r="S398" s="4">
        <v>0</v>
      </c>
      <c r="T398" s="4">
        <v>30</v>
      </c>
      <c r="U398" s="4">
        <v>70</v>
      </c>
      <c r="V398" s="6">
        <f>IF(ISERROR(VLOOKUP($S$398,'TAR FIN'!$A$1:$O$86,15,0)),0,VLOOKUP($S$398,'TAR FIN'!$A$1:$O$86,15,0))</f>
        <v>0</v>
      </c>
      <c r="W398" s="6">
        <f>IF(ISERROR(VLOOKUP($T$398,'TAR FIN'!$A$1:$O$86,15,0)),0,VLOOKUP($T$398,'TAR FIN'!$A$1:$O$86,15,0))</f>
        <v>285.56</v>
      </c>
      <c r="X398" s="6">
        <f>IF(ISERROR(VLOOKUP($U$398,'TAR FIN'!$A$1:$O$86,15,0)),0,VLOOKUP($U$398,'TAR FIN'!$A$1:$O$86,15,0))</f>
        <v>227.23</v>
      </c>
      <c r="Y398" s="6"/>
      <c r="Z398" s="6">
        <f ca="1">('TUSD BE'!$AM$34+'TUSD BF'!$AM$34+'TUSD CVA'!$AM$34)*(1-CUSTOS!$M$38)</f>
        <v>310.34682484351242</v>
      </c>
      <c r="AA398" s="6">
        <f>('TE BE'!$AB$24+'TE BF'!$AB$24+'TE CVA'!$AB$24)*(1-CUSTOS!$M$38)</f>
        <v>216.7476358676706</v>
      </c>
      <c r="AB398" s="6">
        <f t="shared" si="22"/>
        <v>0</v>
      </c>
      <c r="AC398" s="6">
        <f>(L398-M398)*(W398+X398)+($W$254+$X$254-$W$398-$X$398)*(L398)</f>
        <v>1520.9486319999996</v>
      </c>
      <c r="AD398" s="6">
        <f t="shared" si="23"/>
        <v>0</v>
      </c>
      <c r="AE398" s="6">
        <f ca="1">(L398-M398)*(Z398+AA398)+($Z$254+$AA$254-$Z$398-$AA$398)*(L398)</f>
        <v>1409.40124292836</v>
      </c>
      <c r="AF398" s="4" t="s">
        <v>728</v>
      </c>
    </row>
    <row r="399" spans="1:32" ht="11.25" customHeight="1" x14ac:dyDescent="0.25">
      <c r="A399" s="4" t="s">
        <v>55</v>
      </c>
      <c r="B399" s="4" t="s">
        <v>42</v>
      </c>
      <c r="C399" s="4" t="s">
        <v>23</v>
      </c>
      <c r="D399" s="4" t="s">
        <v>43</v>
      </c>
      <c r="E399" s="4" t="s">
        <v>54</v>
      </c>
      <c r="F399" s="4" t="s">
        <v>53</v>
      </c>
      <c r="G399" s="4" t="s">
        <v>25</v>
      </c>
      <c r="H399" s="4" t="s">
        <v>25</v>
      </c>
      <c r="I399" s="5">
        <v>44652</v>
      </c>
      <c r="J399" s="6">
        <v>0</v>
      </c>
      <c r="K399" s="6">
        <v>0</v>
      </c>
      <c r="L399" s="6">
        <v>9.84</v>
      </c>
      <c r="M399" s="6">
        <v>9.84</v>
      </c>
      <c r="N399" s="6">
        <v>9.84</v>
      </c>
      <c r="O399" s="6">
        <v>9.84</v>
      </c>
      <c r="P399" s="6">
        <v>0</v>
      </c>
      <c r="Q399" s="4" t="s">
        <v>26</v>
      </c>
      <c r="R399" s="4">
        <v>0</v>
      </c>
      <c r="S399" s="4">
        <v>0</v>
      </c>
      <c r="T399" s="4">
        <v>30</v>
      </c>
      <c r="U399" s="4">
        <v>70</v>
      </c>
      <c r="V399" s="6">
        <f>IF(ISERROR(VLOOKUP($S$399,'TAR FIN'!$A$1:$O$86,15,0)),0,VLOOKUP($S$399,'TAR FIN'!$A$1:$O$86,15,0))</f>
        <v>0</v>
      </c>
      <c r="W399" s="6">
        <f>IF(ISERROR(VLOOKUP($T$399,'TAR FIN'!$A$1:$O$86,15,0)),0,VLOOKUP($T$399,'TAR FIN'!$A$1:$O$86,15,0))</f>
        <v>285.56</v>
      </c>
      <c r="X399" s="6">
        <f>IF(ISERROR(VLOOKUP($U$399,'TAR FIN'!$A$1:$O$86,15,0)),0,VLOOKUP($U$399,'TAR FIN'!$A$1:$O$86,15,0))</f>
        <v>227.23</v>
      </c>
      <c r="Y399" s="6"/>
      <c r="Z399" s="6">
        <f ca="1">('TUSD BE'!$AM$34+'TUSD BF'!$AM$34+'TUSD CVA'!$AM$34)*(1-CUSTOS!$M$38)</f>
        <v>310.34682484351242</v>
      </c>
      <c r="AA399" s="6">
        <f>('TE BE'!$AB$24+'TE BF'!$AB$24+'TE CVA'!$AB$24)*(1-CUSTOS!$M$38)</f>
        <v>216.7476358676706</v>
      </c>
      <c r="AB399" s="6">
        <f t="shared" si="22"/>
        <v>0</v>
      </c>
      <c r="AC399" s="6">
        <f>(L399-M399)*(W399+X399)+($W$254+$X$254-$W$399-$X$399)*(L399)</f>
        <v>688.01280000000042</v>
      </c>
      <c r="AD399" s="6">
        <f t="shared" si="23"/>
        <v>0</v>
      </c>
      <c r="AE399" s="6">
        <f ca="1">(L399-M399)*(Z399+AA399)+($Z$254+$AA$254-$Z$399-$AA$399)*(L399)</f>
        <v>331.06018042966252</v>
      </c>
      <c r="AF399" s="4" t="s">
        <v>727</v>
      </c>
    </row>
    <row r="400" spans="1:32" ht="11.25" customHeight="1" x14ac:dyDescent="0.25">
      <c r="A400" s="4" t="s">
        <v>21</v>
      </c>
      <c r="B400" s="4" t="s">
        <v>42</v>
      </c>
      <c r="C400" s="4" t="s">
        <v>23</v>
      </c>
      <c r="D400" s="4" t="s">
        <v>43</v>
      </c>
      <c r="E400" s="4" t="s">
        <v>54</v>
      </c>
      <c r="F400" s="4" t="s">
        <v>53</v>
      </c>
      <c r="G400" s="4" t="s">
        <v>25</v>
      </c>
      <c r="H400" s="4" t="s">
        <v>25</v>
      </c>
      <c r="I400" s="5">
        <v>44682</v>
      </c>
      <c r="J400" s="6">
        <v>0</v>
      </c>
      <c r="K400" s="6">
        <v>0</v>
      </c>
      <c r="L400" s="6">
        <v>1.613</v>
      </c>
      <c r="M400" s="6">
        <v>0.6452</v>
      </c>
      <c r="N400" s="6">
        <v>1.613</v>
      </c>
      <c r="O400" s="6">
        <v>0.6452</v>
      </c>
      <c r="P400" s="6">
        <v>0</v>
      </c>
      <c r="Q400" s="4" t="s">
        <v>26</v>
      </c>
      <c r="R400" s="4">
        <v>0</v>
      </c>
      <c r="S400" s="4">
        <v>0</v>
      </c>
      <c r="T400" s="4">
        <v>30</v>
      </c>
      <c r="U400" s="4">
        <v>70</v>
      </c>
      <c r="V400" s="6">
        <f>IF(ISERROR(VLOOKUP($S$400,'TAR FIN'!$A$1:$O$86,15,0)),0,VLOOKUP($S$400,'TAR FIN'!$A$1:$O$86,15,0))</f>
        <v>0</v>
      </c>
      <c r="W400" s="6">
        <f>IF(ISERROR(VLOOKUP($T$400,'TAR FIN'!$A$1:$O$86,15,0)),0,VLOOKUP($T$400,'TAR FIN'!$A$1:$O$86,15,0))</f>
        <v>285.56</v>
      </c>
      <c r="X400" s="6">
        <f>IF(ISERROR(VLOOKUP($U$400,'TAR FIN'!$A$1:$O$86,15,0)),0,VLOOKUP($U$400,'TAR FIN'!$A$1:$O$86,15,0))</f>
        <v>227.23</v>
      </c>
      <c r="Y400" s="6"/>
      <c r="Z400" s="6">
        <f ca="1">('TUSD BE'!$AM$34+'TUSD BF'!$AM$34+'TUSD CVA'!$AM$34)*(1-CUSTOS!$M$38)</f>
        <v>310.34682484351242</v>
      </c>
      <c r="AA400" s="6">
        <f>('TE BE'!$AB$24+'TE BF'!$AB$24+'TE CVA'!$AB$24)*(1-CUSTOS!$M$38)</f>
        <v>216.7476358676706</v>
      </c>
      <c r="AB400" s="6">
        <f t="shared" si="22"/>
        <v>0</v>
      </c>
      <c r="AC400" s="6">
        <f>(L400-M400)*(W400+X400)+($W$254+$X$254-$W$400-$X$400)*(L400)</f>
        <v>609.059122</v>
      </c>
      <c r="AD400" s="6">
        <f t="shared" si="23"/>
        <v>0</v>
      </c>
      <c r="AE400" s="6">
        <f ca="1">(L400-M400)*(Z400+AA400)+($Z$254+$AA$254-$Z$400-$AA$400)*(L400)</f>
        <v>564.39031897801522</v>
      </c>
      <c r="AF400" s="4" t="s">
        <v>728</v>
      </c>
    </row>
    <row r="401" spans="1:32" ht="11.25" customHeight="1" x14ac:dyDescent="0.25">
      <c r="A401" s="4" t="s">
        <v>55</v>
      </c>
      <c r="B401" s="4" t="s">
        <v>42</v>
      </c>
      <c r="C401" s="4" t="s">
        <v>23</v>
      </c>
      <c r="D401" s="4" t="s">
        <v>43</v>
      </c>
      <c r="E401" s="4" t="s">
        <v>54</v>
      </c>
      <c r="F401" s="4" t="s">
        <v>53</v>
      </c>
      <c r="G401" s="4" t="s">
        <v>25</v>
      </c>
      <c r="H401" s="4" t="s">
        <v>25</v>
      </c>
      <c r="I401" s="5">
        <v>44682</v>
      </c>
      <c r="J401" s="6">
        <v>0</v>
      </c>
      <c r="K401" s="6">
        <v>0</v>
      </c>
      <c r="L401" s="6">
        <v>7.9359999999999999</v>
      </c>
      <c r="M401" s="6">
        <v>7.9359999999999999</v>
      </c>
      <c r="N401" s="6">
        <v>7.9359999999999999</v>
      </c>
      <c r="O401" s="6">
        <v>7.9359999999999999</v>
      </c>
      <c r="P401" s="6">
        <v>0</v>
      </c>
      <c r="Q401" s="4" t="s">
        <v>26</v>
      </c>
      <c r="R401" s="4">
        <v>0</v>
      </c>
      <c r="S401" s="4">
        <v>0</v>
      </c>
      <c r="T401" s="4">
        <v>30</v>
      </c>
      <c r="U401" s="4">
        <v>70</v>
      </c>
      <c r="V401" s="6">
        <f>IF(ISERROR(VLOOKUP($S$401,'TAR FIN'!$A$1:$O$86,15,0)),0,VLOOKUP($S$401,'TAR FIN'!$A$1:$O$86,15,0))</f>
        <v>0</v>
      </c>
      <c r="W401" s="6">
        <f>IF(ISERROR(VLOOKUP($T$401,'TAR FIN'!$A$1:$O$86,15,0)),0,VLOOKUP($T$401,'TAR FIN'!$A$1:$O$86,15,0))</f>
        <v>285.56</v>
      </c>
      <c r="X401" s="6">
        <f>IF(ISERROR(VLOOKUP($U$401,'TAR FIN'!$A$1:$O$86,15,0)),0,VLOOKUP($U$401,'TAR FIN'!$A$1:$O$86,15,0))</f>
        <v>227.23</v>
      </c>
      <c r="Y401" s="6"/>
      <c r="Z401" s="6">
        <f ca="1">('TUSD BE'!$AM$34+'TUSD BF'!$AM$34+'TUSD CVA'!$AM$34)*(1-CUSTOS!$M$38)</f>
        <v>310.34682484351242</v>
      </c>
      <c r="AA401" s="6">
        <f>('TE BE'!$AB$24+'TE BF'!$AB$24+'TE CVA'!$AB$24)*(1-CUSTOS!$M$38)</f>
        <v>216.7476358676706</v>
      </c>
      <c r="AB401" s="6">
        <f t="shared" si="22"/>
        <v>0</v>
      </c>
      <c r="AC401" s="6">
        <f>(L401-M401)*(W401+X401)+($W$254+$X$254-$W$401-$X$401)*(L401)</f>
        <v>554.88512000000037</v>
      </c>
      <c r="AD401" s="6">
        <f t="shared" si="23"/>
        <v>0</v>
      </c>
      <c r="AE401" s="6">
        <f ca="1">(L401-M401)*(Z401+AA401)+($Z$254+$AA$254-$Z$401-$AA$401)*(L401)</f>
        <v>267.00138128961402</v>
      </c>
      <c r="AF401" s="4" t="s">
        <v>727</v>
      </c>
    </row>
    <row r="402" spans="1:32" ht="11.25" customHeight="1" x14ac:dyDescent="0.25">
      <c r="A402" s="4" t="s">
        <v>56</v>
      </c>
      <c r="B402" s="4" t="s">
        <v>42</v>
      </c>
      <c r="C402" s="4" t="s">
        <v>23</v>
      </c>
      <c r="D402" s="4" t="s">
        <v>43</v>
      </c>
      <c r="E402" s="4" t="s">
        <v>54</v>
      </c>
      <c r="F402" s="4" t="s">
        <v>53</v>
      </c>
      <c r="G402" s="4" t="s">
        <v>25</v>
      </c>
      <c r="H402" s="4" t="s">
        <v>25</v>
      </c>
      <c r="I402" s="5">
        <v>44713</v>
      </c>
      <c r="J402" s="6">
        <v>0</v>
      </c>
      <c r="K402" s="6">
        <v>0</v>
      </c>
      <c r="L402" s="6">
        <v>1.613</v>
      </c>
      <c r="M402" s="6">
        <v>0.6452</v>
      </c>
      <c r="N402" s="6">
        <v>1.613</v>
      </c>
      <c r="O402" s="6">
        <v>0.6452</v>
      </c>
      <c r="P402" s="6">
        <v>0</v>
      </c>
      <c r="Q402" s="4" t="s">
        <v>26</v>
      </c>
      <c r="R402" s="4">
        <v>0</v>
      </c>
      <c r="S402" s="4">
        <v>0</v>
      </c>
      <c r="T402" s="4">
        <v>30</v>
      </c>
      <c r="U402" s="4">
        <v>70</v>
      </c>
      <c r="V402" s="6">
        <f>IF(ISERROR(VLOOKUP($S$402,'TAR FIN'!$A$1:$O$86,15,0)),0,VLOOKUP($S$402,'TAR FIN'!$A$1:$O$86,15,0))</f>
        <v>0</v>
      </c>
      <c r="W402" s="6">
        <f>IF(ISERROR(VLOOKUP($T$402,'TAR FIN'!$A$1:$O$86,15,0)),0,VLOOKUP($T$402,'TAR FIN'!$A$1:$O$86,15,0))</f>
        <v>285.56</v>
      </c>
      <c r="X402" s="6">
        <f>IF(ISERROR(VLOOKUP($U$402,'TAR FIN'!$A$1:$O$86,15,0)),0,VLOOKUP($U$402,'TAR FIN'!$A$1:$O$86,15,0))</f>
        <v>227.23</v>
      </c>
      <c r="Y402" s="6"/>
      <c r="Z402" s="6">
        <f ca="1">('TUSD BE'!$AM$34+'TUSD BF'!$AM$34+'TUSD CVA'!$AM$34)*(1-CUSTOS!$M$38)</f>
        <v>310.34682484351242</v>
      </c>
      <c r="AA402" s="6">
        <f>('TE BE'!$AB$24+'TE BF'!$AB$24+'TE CVA'!$AB$24)*(1-CUSTOS!$M$38)</f>
        <v>216.7476358676706</v>
      </c>
      <c r="AB402" s="6">
        <f t="shared" si="22"/>
        <v>0</v>
      </c>
      <c r="AC402" s="6">
        <f>(L402-M402)*(W402+X402)+($W$254+$X$254-$W$402-$X$402)*(L402)</f>
        <v>609.059122</v>
      </c>
      <c r="AD402" s="6">
        <f t="shared" si="23"/>
        <v>0</v>
      </c>
      <c r="AE402" s="6">
        <f ca="1">(L402-M402)*(Z402+AA402)+($Z$254+$AA$254-$Z$402-$AA$402)*(L402)</f>
        <v>564.39031897801522</v>
      </c>
      <c r="AF402" s="4" t="s">
        <v>728</v>
      </c>
    </row>
    <row r="403" spans="1:32" ht="11.25" customHeight="1" x14ac:dyDescent="0.25">
      <c r="A403" s="4" t="s">
        <v>56</v>
      </c>
      <c r="B403" s="4" t="s">
        <v>42</v>
      </c>
      <c r="C403" s="4" t="s">
        <v>23</v>
      </c>
      <c r="D403" s="4" t="s">
        <v>43</v>
      </c>
      <c r="E403" s="4" t="s">
        <v>54</v>
      </c>
      <c r="F403" s="4" t="s">
        <v>53</v>
      </c>
      <c r="G403" s="4" t="s">
        <v>25</v>
      </c>
      <c r="H403" s="4" t="s">
        <v>25</v>
      </c>
      <c r="I403" s="5">
        <v>44713</v>
      </c>
      <c r="J403" s="6">
        <v>0</v>
      </c>
      <c r="K403" s="6">
        <v>0</v>
      </c>
      <c r="L403" s="6">
        <v>7.9359999999999999</v>
      </c>
      <c r="M403" s="6">
        <v>7.9359999999999999</v>
      </c>
      <c r="N403" s="6">
        <v>7.9359999999999999</v>
      </c>
      <c r="O403" s="6">
        <v>7.9359999999999999</v>
      </c>
      <c r="P403" s="6">
        <v>0</v>
      </c>
      <c r="Q403" s="4" t="s">
        <v>26</v>
      </c>
      <c r="R403" s="4">
        <v>0</v>
      </c>
      <c r="S403" s="4">
        <v>0</v>
      </c>
      <c r="T403" s="4">
        <v>30</v>
      </c>
      <c r="U403" s="4">
        <v>70</v>
      </c>
      <c r="V403" s="6">
        <f>IF(ISERROR(VLOOKUP($S$403,'TAR FIN'!$A$1:$O$86,15,0)),0,VLOOKUP($S$403,'TAR FIN'!$A$1:$O$86,15,0))</f>
        <v>0</v>
      </c>
      <c r="W403" s="6">
        <f>IF(ISERROR(VLOOKUP($T$403,'TAR FIN'!$A$1:$O$86,15,0)),0,VLOOKUP($T$403,'TAR FIN'!$A$1:$O$86,15,0))</f>
        <v>285.56</v>
      </c>
      <c r="X403" s="6">
        <f>IF(ISERROR(VLOOKUP($U$403,'TAR FIN'!$A$1:$O$86,15,0)),0,VLOOKUP($U$403,'TAR FIN'!$A$1:$O$86,15,0))</f>
        <v>227.23</v>
      </c>
      <c r="Y403" s="6"/>
      <c r="Z403" s="6">
        <f ca="1">('TUSD BE'!$AM$34+'TUSD BF'!$AM$34+'TUSD CVA'!$AM$34)*(1-CUSTOS!$M$38)</f>
        <v>310.34682484351242</v>
      </c>
      <c r="AA403" s="6">
        <f>('TE BE'!$AB$24+'TE BF'!$AB$24+'TE CVA'!$AB$24)*(1-CUSTOS!$M$38)</f>
        <v>216.7476358676706</v>
      </c>
      <c r="AB403" s="6">
        <f t="shared" si="22"/>
        <v>0</v>
      </c>
      <c r="AC403" s="6">
        <f>(L403-M403)*(W403+X403)+($W$254+$X$254-$W$403-$X$403)*(L403)</f>
        <v>554.88512000000037</v>
      </c>
      <c r="AD403" s="6">
        <f t="shared" si="23"/>
        <v>0</v>
      </c>
      <c r="AE403" s="6">
        <f ca="1">(L403-M403)*(Z403+AA403)+($Z$254+$AA$254-$Z$403-$AA$403)*(L403)</f>
        <v>267.00138128961402</v>
      </c>
      <c r="AF403" s="4" t="s">
        <v>727</v>
      </c>
    </row>
    <row r="404" spans="1:32" ht="11.25" customHeight="1" x14ac:dyDescent="0.25">
      <c r="A404" s="4" t="s">
        <v>21</v>
      </c>
      <c r="B404" s="4" t="s">
        <v>42</v>
      </c>
      <c r="C404" s="4" t="s">
        <v>23</v>
      </c>
      <c r="D404" s="4" t="s">
        <v>43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44378</v>
      </c>
      <c r="J404" s="6">
        <v>0</v>
      </c>
      <c r="K404" s="6">
        <v>0</v>
      </c>
      <c r="L404" s="6">
        <v>1461.049</v>
      </c>
      <c r="M404" s="6">
        <v>1461.049</v>
      </c>
      <c r="N404" s="6">
        <v>1461.049</v>
      </c>
      <c r="O404" s="6">
        <v>1461.049</v>
      </c>
      <c r="P404" s="6">
        <v>3611</v>
      </c>
      <c r="Q404" s="4" t="s">
        <v>26</v>
      </c>
      <c r="R404" s="4">
        <v>0</v>
      </c>
      <c r="S404" s="4">
        <v>0</v>
      </c>
      <c r="T404" s="4">
        <v>30</v>
      </c>
      <c r="U404" s="4">
        <v>70</v>
      </c>
      <c r="V404" s="6">
        <f>IF(ISERROR(VLOOKUP($S$404,'TAR FIN'!$A$1:$O$86,15,0)),0,VLOOKUP($S$404,'TAR FIN'!$A$1:$O$86,15,0))</f>
        <v>0</v>
      </c>
      <c r="W404" s="6">
        <f>IF(ISERROR(VLOOKUP($T$404,'TAR FIN'!$A$1:$O$86,15,0)),0,VLOOKUP($T$404,'TAR FIN'!$A$1:$O$86,15,0))</f>
        <v>285.56</v>
      </c>
      <c r="X404" s="6">
        <f>IF(ISERROR(VLOOKUP($U$404,'TAR FIN'!$A$1:$O$86,15,0)),0,VLOOKUP($U$404,'TAR FIN'!$A$1:$O$86,15,0))</f>
        <v>227.23</v>
      </c>
      <c r="Y404" s="6"/>
      <c r="Z404" s="6">
        <f ca="1">('TUSD BE'!$AM$34+'TUSD BF'!$AM$34+'TUSD CVA'!$AM$34)*(1-CUSTOS!$M$38)</f>
        <v>310.34682484351242</v>
      </c>
      <c r="AA404" s="6">
        <f>('TE BE'!$AB$24+'TE BF'!$AB$24+'TE CVA'!$AB$24)*(1-CUSTOS!$M$38)</f>
        <v>216.7476358676706</v>
      </c>
      <c r="AB404" s="6">
        <f t="shared" si="22"/>
        <v>0</v>
      </c>
      <c r="AC404" s="6">
        <f>(L404-M404)*(W404+X404)+($W$254+$X$254-$W$404-$X$404)*(L404)</f>
        <v>102156.54608000006</v>
      </c>
      <c r="AD404" s="6">
        <f t="shared" si="23"/>
        <v>0</v>
      </c>
      <c r="AE404" s="6">
        <f ca="1">(L404-M404)*(Z404+AA404)+($Z$254+$AA$254-$Z$404-$AA$404)*(L404)</f>
        <v>49156.01072729451</v>
      </c>
      <c r="AF404" s="4" t="s">
        <v>727</v>
      </c>
    </row>
    <row r="405" spans="1:32" ht="11.25" customHeight="1" x14ac:dyDescent="0.25">
      <c r="A405" s="4" t="s">
        <v>27</v>
      </c>
      <c r="B405" s="4" t="s">
        <v>42</v>
      </c>
      <c r="C405" s="4" t="s">
        <v>23</v>
      </c>
      <c r="D405" s="4" t="s">
        <v>43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44378</v>
      </c>
      <c r="J405" s="6">
        <v>0</v>
      </c>
      <c r="K405" s="6">
        <v>0</v>
      </c>
      <c r="L405" s="6">
        <v>-2.8149999999999999</v>
      </c>
      <c r="M405" s="6">
        <v>-2.8149999999999999</v>
      </c>
      <c r="N405" s="6">
        <v>-2.8149999999999999</v>
      </c>
      <c r="O405" s="6">
        <v>-2.8149999999999999</v>
      </c>
      <c r="P405" s="6">
        <v>0</v>
      </c>
      <c r="Q405" s="4" t="s">
        <v>26</v>
      </c>
      <c r="R405" s="4">
        <v>0</v>
      </c>
      <c r="S405" s="4">
        <v>0</v>
      </c>
      <c r="T405" s="4">
        <v>30</v>
      </c>
      <c r="U405" s="4">
        <v>70</v>
      </c>
      <c r="V405" s="6">
        <f>IF(ISERROR(VLOOKUP($S$405,'TAR FIN'!$A$1:$O$86,15,0)),0,VLOOKUP($S$405,'TAR FIN'!$A$1:$O$86,15,0))</f>
        <v>0</v>
      </c>
      <c r="W405" s="6">
        <f>IF(ISERROR(VLOOKUP($T$405,'TAR FIN'!$A$1:$O$86,15,0)),0,VLOOKUP($T$405,'TAR FIN'!$A$1:$O$86,15,0))</f>
        <v>285.56</v>
      </c>
      <c r="X405" s="6">
        <f>IF(ISERROR(VLOOKUP($U$405,'TAR FIN'!$A$1:$O$86,15,0)),0,VLOOKUP($U$405,'TAR FIN'!$A$1:$O$86,15,0))</f>
        <v>227.23</v>
      </c>
      <c r="Y405" s="6"/>
      <c r="Z405" s="6">
        <f ca="1">('TUSD BE'!$AM$34+'TUSD BF'!$AM$34+'TUSD CVA'!$AM$34)*(1-CUSTOS!$M$38)</f>
        <v>310.34682484351242</v>
      </c>
      <c r="AA405" s="6">
        <f>('TE BE'!$AB$24+'TE BF'!$AB$24+'TE CVA'!$AB$24)*(1-CUSTOS!$M$38)</f>
        <v>216.7476358676706</v>
      </c>
      <c r="AB405" s="6">
        <f t="shared" si="22"/>
        <v>0</v>
      </c>
      <c r="AC405" s="6">
        <f>(L405-M405)*(W405+X405)+($W$254+$X$254-$W$405-$X$405)*(L405)</f>
        <v>-196.82480000000012</v>
      </c>
      <c r="AD405" s="6">
        <f t="shared" si="23"/>
        <v>0</v>
      </c>
      <c r="AE405" s="6">
        <f ca="1">(L405-M405)*(Z405+AA405)+($Z$254+$AA$254-$Z$405-$AA$405)*(L405)</f>
        <v>-94.70878129161585</v>
      </c>
      <c r="AF405" s="4" t="s">
        <v>727</v>
      </c>
    </row>
    <row r="406" spans="1:32" ht="11.25" customHeight="1" x14ac:dyDescent="0.25">
      <c r="A406" s="4" t="s">
        <v>21</v>
      </c>
      <c r="B406" s="4" t="s">
        <v>42</v>
      </c>
      <c r="C406" s="4" t="s">
        <v>23</v>
      </c>
      <c r="D406" s="4" t="s">
        <v>43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44409</v>
      </c>
      <c r="J406" s="6">
        <v>0</v>
      </c>
      <c r="K406" s="6">
        <v>0</v>
      </c>
      <c r="L406" s="6">
        <v>1449.085</v>
      </c>
      <c r="M406" s="6">
        <v>1449.085</v>
      </c>
      <c r="N406" s="6">
        <v>1449.085</v>
      </c>
      <c r="O406" s="6">
        <v>1449.085</v>
      </c>
      <c r="P406" s="6">
        <v>3596</v>
      </c>
      <c r="Q406" s="4" t="s">
        <v>26</v>
      </c>
      <c r="R406" s="4">
        <v>0</v>
      </c>
      <c r="S406" s="4">
        <v>0</v>
      </c>
      <c r="T406" s="4">
        <v>30</v>
      </c>
      <c r="U406" s="4">
        <v>70</v>
      </c>
      <c r="V406" s="6">
        <f>IF(ISERROR(VLOOKUP($S$406,'TAR FIN'!$A$1:$O$86,15,0)),0,VLOOKUP($S$406,'TAR FIN'!$A$1:$O$86,15,0))</f>
        <v>0</v>
      </c>
      <c r="W406" s="6">
        <f>IF(ISERROR(VLOOKUP($T$406,'TAR FIN'!$A$1:$O$86,15,0)),0,VLOOKUP($T$406,'TAR FIN'!$A$1:$O$86,15,0))</f>
        <v>285.56</v>
      </c>
      <c r="X406" s="6">
        <f>IF(ISERROR(VLOOKUP($U$406,'TAR FIN'!$A$1:$O$86,15,0)),0,VLOOKUP($U$406,'TAR FIN'!$A$1:$O$86,15,0))</f>
        <v>227.23</v>
      </c>
      <c r="Y406" s="6"/>
      <c r="Z406" s="6">
        <f ca="1">('TUSD BE'!$AM$34+'TUSD BF'!$AM$34+'TUSD CVA'!$AM$34)*(1-CUSTOS!$M$38)</f>
        <v>310.34682484351242</v>
      </c>
      <c r="AA406" s="6">
        <f>('TE BE'!$AB$24+'TE BF'!$AB$24+'TE CVA'!$AB$24)*(1-CUSTOS!$M$38)</f>
        <v>216.7476358676706</v>
      </c>
      <c r="AB406" s="6">
        <f t="shared" si="22"/>
        <v>0</v>
      </c>
      <c r="AC406" s="6">
        <f>(L406-M406)*(W406+X406)+($W$254+$X$254-$W$406-$X$406)*(L406)</f>
        <v>101320.02320000007</v>
      </c>
      <c r="AD406" s="6">
        <f t="shared" si="23"/>
        <v>0</v>
      </c>
      <c r="AE406" s="6">
        <f ca="1">(L406-M406)*(Z406+AA406)+($Z$254+$AA$254-$Z$406-$AA$406)*(L406)</f>
        <v>48753.489995723328</v>
      </c>
      <c r="AF406" s="4" t="s">
        <v>727</v>
      </c>
    </row>
    <row r="407" spans="1:32" ht="11.25" customHeight="1" x14ac:dyDescent="0.25">
      <c r="A407" s="4" t="s">
        <v>27</v>
      </c>
      <c r="B407" s="4" t="s">
        <v>42</v>
      </c>
      <c r="C407" s="4" t="s">
        <v>23</v>
      </c>
      <c r="D407" s="4" t="s">
        <v>43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44409</v>
      </c>
      <c r="J407" s="6">
        <v>0</v>
      </c>
      <c r="K407" s="6">
        <v>0</v>
      </c>
      <c r="L407" s="6">
        <v>-3.5960000000000001</v>
      </c>
      <c r="M407" s="6">
        <v>-3.5960000000000001</v>
      </c>
      <c r="N407" s="6">
        <v>-3.5960000000000001</v>
      </c>
      <c r="O407" s="6">
        <v>-3.5960000000000001</v>
      </c>
      <c r="P407" s="6">
        <v>0</v>
      </c>
      <c r="Q407" s="4" t="s">
        <v>26</v>
      </c>
      <c r="R407" s="4">
        <v>0</v>
      </c>
      <c r="S407" s="4">
        <v>0</v>
      </c>
      <c r="T407" s="4">
        <v>30</v>
      </c>
      <c r="U407" s="4">
        <v>70</v>
      </c>
      <c r="V407" s="6">
        <f>IF(ISERROR(VLOOKUP($S$407,'TAR FIN'!$A$1:$O$86,15,0)),0,VLOOKUP($S$407,'TAR FIN'!$A$1:$O$86,15,0))</f>
        <v>0</v>
      </c>
      <c r="W407" s="6">
        <f>IF(ISERROR(VLOOKUP($T$407,'TAR FIN'!$A$1:$O$86,15,0)),0,VLOOKUP($T$407,'TAR FIN'!$A$1:$O$86,15,0))</f>
        <v>285.56</v>
      </c>
      <c r="X407" s="6">
        <f>IF(ISERROR(VLOOKUP($U$407,'TAR FIN'!$A$1:$O$86,15,0)),0,VLOOKUP($U$407,'TAR FIN'!$A$1:$O$86,15,0))</f>
        <v>227.23</v>
      </c>
      <c r="Y407" s="6"/>
      <c r="Z407" s="6">
        <f ca="1">('TUSD BE'!$AM$34+'TUSD BF'!$AM$34+'TUSD CVA'!$AM$34)*(1-CUSTOS!$M$38)</f>
        <v>310.34682484351242</v>
      </c>
      <c r="AA407" s="6">
        <f>('TE BE'!$AB$24+'TE BF'!$AB$24+'TE CVA'!$AB$24)*(1-CUSTOS!$M$38)</f>
        <v>216.7476358676706</v>
      </c>
      <c r="AB407" s="6">
        <f t="shared" si="22"/>
        <v>0</v>
      </c>
      <c r="AC407" s="6">
        <f>(L407-M407)*(W407+X407)+($W$254+$X$254-$W$407-$X$407)*(L407)</f>
        <v>-251.43232000000017</v>
      </c>
      <c r="AD407" s="6">
        <f t="shared" si="23"/>
        <v>0</v>
      </c>
      <c r="AE407" s="6">
        <f ca="1">(L407-M407)*(Z407+AA407)+($Z$254+$AA$254-$Z$407-$AA$407)*(L407)</f>
        <v>-120.98500089685635</v>
      </c>
      <c r="AF407" s="4" t="s">
        <v>727</v>
      </c>
    </row>
    <row r="408" spans="1:32" ht="11.25" customHeight="1" x14ac:dyDescent="0.25">
      <c r="A408" s="4" t="s">
        <v>55</v>
      </c>
      <c r="B408" s="4" t="s">
        <v>42</v>
      </c>
      <c r="C408" s="4" t="s">
        <v>23</v>
      </c>
      <c r="D408" s="4" t="s">
        <v>43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44409</v>
      </c>
      <c r="J408" s="6">
        <v>0</v>
      </c>
      <c r="K408" s="6">
        <v>0</v>
      </c>
      <c r="L408" s="6">
        <v>50.58</v>
      </c>
      <c r="M408" s="6">
        <v>50.58</v>
      </c>
      <c r="N408" s="6">
        <v>50.58</v>
      </c>
      <c r="O408" s="6">
        <v>50.58</v>
      </c>
      <c r="P408" s="6">
        <v>140</v>
      </c>
      <c r="Q408" s="4" t="s">
        <v>26</v>
      </c>
      <c r="R408" s="4">
        <v>0</v>
      </c>
      <c r="S408" s="4">
        <v>0</v>
      </c>
      <c r="T408" s="4">
        <v>30</v>
      </c>
      <c r="U408" s="4">
        <v>70</v>
      </c>
      <c r="V408" s="6">
        <f>IF(ISERROR(VLOOKUP($S$408,'TAR FIN'!$A$1:$O$86,15,0)),0,VLOOKUP($S$408,'TAR FIN'!$A$1:$O$86,15,0))</f>
        <v>0</v>
      </c>
      <c r="W408" s="6">
        <f>IF(ISERROR(VLOOKUP($T$408,'TAR FIN'!$A$1:$O$86,15,0)),0,VLOOKUP($T$408,'TAR FIN'!$A$1:$O$86,15,0))</f>
        <v>285.56</v>
      </c>
      <c r="X408" s="6">
        <f>IF(ISERROR(VLOOKUP($U$408,'TAR FIN'!$A$1:$O$86,15,0)),0,VLOOKUP($U$408,'TAR FIN'!$A$1:$O$86,15,0))</f>
        <v>227.23</v>
      </c>
      <c r="Y408" s="6"/>
      <c r="Z408" s="6">
        <f ca="1">('TUSD BE'!$AM$34+'TUSD BF'!$AM$34+'TUSD CVA'!$AM$34)*(1-CUSTOS!$M$38)</f>
        <v>310.34682484351242</v>
      </c>
      <c r="AA408" s="6">
        <f>('TE BE'!$AB$24+'TE BF'!$AB$24+'TE CVA'!$AB$24)*(1-CUSTOS!$M$38)</f>
        <v>216.7476358676706</v>
      </c>
      <c r="AB408" s="6">
        <f t="shared" si="22"/>
        <v>0</v>
      </c>
      <c r="AC408" s="6">
        <f>(L408-M408)*(W408+X408)+($W$254+$X$254-$W$408-$X$408)*(L408)</f>
        <v>3536.553600000002</v>
      </c>
      <c r="AD408" s="6">
        <f t="shared" si="23"/>
        <v>0</v>
      </c>
      <c r="AE408" s="6">
        <f ca="1">(L408-M408)*(Z408+AA408)+($Z$254+$AA$254-$Z$408-$AA$408)*(L408)</f>
        <v>1701.7300737939361</v>
      </c>
      <c r="AF408" s="4" t="s">
        <v>727</v>
      </c>
    </row>
    <row r="409" spans="1:32" ht="11.25" customHeight="1" x14ac:dyDescent="0.25">
      <c r="A409" s="4" t="s">
        <v>55</v>
      </c>
      <c r="B409" s="4" t="s">
        <v>42</v>
      </c>
      <c r="C409" s="4" t="s">
        <v>23</v>
      </c>
      <c r="D409" s="4" t="s">
        <v>43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44409</v>
      </c>
      <c r="J409" s="6">
        <v>0</v>
      </c>
      <c r="K409" s="6">
        <v>0</v>
      </c>
      <c r="L409" s="6">
        <v>2.86</v>
      </c>
      <c r="M409" s="6">
        <v>2.86</v>
      </c>
      <c r="N409" s="6">
        <v>2.86</v>
      </c>
      <c r="O409" s="6">
        <v>2.86</v>
      </c>
      <c r="P409" s="6">
        <v>1</v>
      </c>
      <c r="Q409" s="4" t="s">
        <v>26</v>
      </c>
      <c r="R409" s="4">
        <v>0</v>
      </c>
      <c r="S409" s="4">
        <v>0</v>
      </c>
      <c r="T409" s="4">
        <v>30</v>
      </c>
      <c r="U409" s="4">
        <v>70</v>
      </c>
      <c r="V409" s="6">
        <f>IF(ISERROR(VLOOKUP($S$409,'TAR FIN'!$A$1:$O$86,15,0)),0,VLOOKUP($S$409,'TAR FIN'!$A$1:$O$86,15,0))</f>
        <v>0</v>
      </c>
      <c r="W409" s="6">
        <f>IF(ISERROR(VLOOKUP($T$409,'TAR FIN'!$A$1:$O$86,15,0)),0,VLOOKUP($T$409,'TAR FIN'!$A$1:$O$86,15,0))</f>
        <v>285.56</v>
      </c>
      <c r="X409" s="6">
        <f>IF(ISERROR(VLOOKUP($U$409,'TAR FIN'!$A$1:$O$86,15,0)),0,VLOOKUP($U$409,'TAR FIN'!$A$1:$O$86,15,0))</f>
        <v>227.23</v>
      </c>
      <c r="Y409" s="6"/>
      <c r="Z409" s="6">
        <f ca="1">('TUSD BE'!$AM$34+'TUSD BF'!$AM$34+'TUSD CVA'!$AM$34)*(1-CUSTOS!$M$38)</f>
        <v>310.34682484351242</v>
      </c>
      <c r="AA409" s="6">
        <f>('TE BE'!$AB$24+'TE BF'!$AB$24+'TE CVA'!$AB$24)*(1-CUSTOS!$M$38)</f>
        <v>216.7476358676706</v>
      </c>
      <c r="AB409" s="6">
        <f t="shared" si="22"/>
        <v>0</v>
      </c>
      <c r="AC409" s="6">
        <f>(L409-M409)*(W409+X409)+($W$254+$X$254-$W$409-$X$409)*(L409)</f>
        <v>199.97120000000012</v>
      </c>
      <c r="AD409" s="6">
        <f t="shared" si="23"/>
        <v>0</v>
      </c>
      <c r="AE409" s="6">
        <f ca="1">(L409-M409)*(Z409+AA409)+($Z$254+$AA$254-$Z$409-$AA$409)*(L409)</f>
        <v>96.222776019190533</v>
      </c>
      <c r="AF409" s="4" t="s">
        <v>727</v>
      </c>
    </row>
    <row r="410" spans="1:32" ht="11.25" customHeight="1" x14ac:dyDescent="0.25">
      <c r="A410" s="4" t="s">
        <v>21</v>
      </c>
      <c r="B410" s="4" t="s">
        <v>42</v>
      </c>
      <c r="C410" s="4" t="s">
        <v>23</v>
      </c>
      <c r="D410" s="4" t="s">
        <v>43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44440</v>
      </c>
      <c r="J410" s="6">
        <v>0</v>
      </c>
      <c r="K410" s="6">
        <v>0</v>
      </c>
      <c r="L410" s="6">
        <v>1487.13</v>
      </c>
      <c r="M410" s="6">
        <v>1487.13</v>
      </c>
      <c r="N410" s="6">
        <v>1487.13</v>
      </c>
      <c r="O410" s="6">
        <v>1487.13</v>
      </c>
      <c r="P410" s="6">
        <v>3587</v>
      </c>
      <c r="Q410" s="4" t="s">
        <v>26</v>
      </c>
      <c r="R410" s="4">
        <v>0</v>
      </c>
      <c r="S410" s="4">
        <v>0</v>
      </c>
      <c r="T410" s="4">
        <v>30</v>
      </c>
      <c r="U410" s="4">
        <v>70</v>
      </c>
      <c r="V410" s="6">
        <f>IF(ISERROR(VLOOKUP($S$410,'TAR FIN'!$A$1:$O$86,15,0)),0,VLOOKUP($S$410,'TAR FIN'!$A$1:$O$86,15,0))</f>
        <v>0</v>
      </c>
      <c r="W410" s="6">
        <f>IF(ISERROR(VLOOKUP($T$410,'TAR FIN'!$A$1:$O$86,15,0)),0,VLOOKUP($T$410,'TAR FIN'!$A$1:$O$86,15,0))</f>
        <v>285.56</v>
      </c>
      <c r="X410" s="6">
        <f>IF(ISERROR(VLOOKUP($U$410,'TAR FIN'!$A$1:$O$86,15,0)),0,VLOOKUP($U$410,'TAR FIN'!$A$1:$O$86,15,0))</f>
        <v>227.23</v>
      </c>
      <c r="Y410" s="6"/>
      <c r="Z410" s="6">
        <f ca="1">('TUSD BE'!$AM$34+'TUSD BF'!$AM$34+'TUSD CVA'!$AM$34)*(1-CUSTOS!$M$38)</f>
        <v>310.34682484351242</v>
      </c>
      <c r="AA410" s="6">
        <f>('TE BE'!$AB$24+'TE BF'!$AB$24+'TE CVA'!$AB$24)*(1-CUSTOS!$M$38)</f>
        <v>216.7476358676706</v>
      </c>
      <c r="AB410" s="6">
        <f t="shared" si="22"/>
        <v>0</v>
      </c>
      <c r="AC410" s="6">
        <f>(L410-M410)*(W410+X410)+($W$254+$X$254-$W$410-$X$410)*(L410)</f>
        <v>103980.12960000007</v>
      </c>
      <c r="AD410" s="6">
        <f t="shared" si="23"/>
        <v>0</v>
      </c>
      <c r="AE410" s="6">
        <f ca="1">(L410-M410)*(Z410+AA410)+($Z$254+$AA$254-$Z$410-$AA$410)*(L410)</f>
        <v>50033.488427069518</v>
      </c>
      <c r="AF410" s="4" t="s">
        <v>727</v>
      </c>
    </row>
    <row r="411" spans="1:32" ht="11.25" customHeight="1" x14ac:dyDescent="0.25">
      <c r="A411" s="4" t="s">
        <v>27</v>
      </c>
      <c r="B411" s="4" t="s">
        <v>42</v>
      </c>
      <c r="C411" s="4" t="s">
        <v>23</v>
      </c>
      <c r="D411" s="4" t="s">
        <v>43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44440</v>
      </c>
      <c r="J411" s="6">
        <v>0</v>
      </c>
      <c r="K411" s="6">
        <v>0</v>
      </c>
      <c r="L411" s="6">
        <v>-2.6749999999999998</v>
      </c>
      <c r="M411" s="6">
        <v>-2.6749999999999998</v>
      </c>
      <c r="N411" s="6">
        <v>-2.6749999999999998</v>
      </c>
      <c r="O411" s="6">
        <v>-2.6749999999999998</v>
      </c>
      <c r="P411" s="6">
        <v>0</v>
      </c>
      <c r="Q411" s="4" t="s">
        <v>26</v>
      </c>
      <c r="R411" s="4">
        <v>0</v>
      </c>
      <c r="S411" s="4">
        <v>0</v>
      </c>
      <c r="T411" s="4">
        <v>30</v>
      </c>
      <c r="U411" s="4">
        <v>70</v>
      </c>
      <c r="V411" s="6">
        <f>IF(ISERROR(VLOOKUP($S$411,'TAR FIN'!$A$1:$O$86,15,0)),0,VLOOKUP($S$411,'TAR FIN'!$A$1:$O$86,15,0))</f>
        <v>0</v>
      </c>
      <c r="W411" s="6">
        <f>IF(ISERROR(VLOOKUP($T$411,'TAR FIN'!$A$1:$O$86,15,0)),0,VLOOKUP($T$411,'TAR FIN'!$A$1:$O$86,15,0))</f>
        <v>285.56</v>
      </c>
      <c r="X411" s="6">
        <f>IF(ISERROR(VLOOKUP($U$411,'TAR FIN'!$A$1:$O$86,15,0)),0,VLOOKUP($U$411,'TAR FIN'!$A$1:$O$86,15,0))</f>
        <v>227.23</v>
      </c>
      <c r="Y411" s="6"/>
      <c r="Z411" s="6">
        <f ca="1">('TUSD BE'!$AM$34+'TUSD BF'!$AM$34+'TUSD CVA'!$AM$34)*(1-CUSTOS!$M$38)</f>
        <v>310.34682484351242</v>
      </c>
      <c r="AA411" s="6">
        <f>('TE BE'!$AB$24+'TE BF'!$AB$24+'TE CVA'!$AB$24)*(1-CUSTOS!$M$38)</f>
        <v>216.7476358676706</v>
      </c>
      <c r="AB411" s="6">
        <f t="shared" si="22"/>
        <v>0</v>
      </c>
      <c r="AC411" s="6">
        <f>(L411-M411)*(W411+X411)+($W$254+$X$254-$W$411-$X$411)*(L411)</f>
        <v>-187.03600000000012</v>
      </c>
      <c r="AD411" s="6">
        <f t="shared" si="23"/>
        <v>0</v>
      </c>
      <c r="AE411" s="6">
        <f ca="1">(L411-M411)*(Z411+AA411)+($Z$254+$AA$254-$Z$411-$AA$411)*(L411)</f>
        <v>-89.998575472494636</v>
      </c>
      <c r="AF411" s="4" t="s">
        <v>727</v>
      </c>
    </row>
    <row r="412" spans="1:32" ht="11.25" customHeight="1" x14ac:dyDescent="0.25">
      <c r="A412" s="4" t="s">
        <v>55</v>
      </c>
      <c r="B412" s="4" t="s">
        <v>42</v>
      </c>
      <c r="C412" s="4" t="s">
        <v>23</v>
      </c>
      <c r="D412" s="4" t="s">
        <v>43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44440</v>
      </c>
      <c r="J412" s="6">
        <v>0</v>
      </c>
      <c r="K412" s="6">
        <v>0</v>
      </c>
      <c r="L412" s="6">
        <v>42.877000000000002</v>
      </c>
      <c r="M412" s="6">
        <v>42.877000000000002</v>
      </c>
      <c r="N412" s="6">
        <v>42.877000000000002</v>
      </c>
      <c r="O412" s="6">
        <v>42.877000000000002</v>
      </c>
      <c r="P412" s="6">
        <v>142</v>
      </c>
      <c r="Q412" s="4" t="s">
        <v>26</v>
      </c>
      <c r="R412" s="4">
        <v>0</v>
      </c>
      <c r="S412" s="4">
        <v>0</v>
      </c>
      <c r="T412" s="4">
        <v>30</v>
      </c>
      <c r="U412" s="4">
        <v>70</v>
      </c>
      <c r="V412" s="6">
        <f>IF(ISERROR(VLOOKUP($S$412,'TAR FIN'!$A$1:$O$86,15,0)),0,VLOOKUP($S$412,'TAR FIN'!$A$1:$O$86,15,0))</f>
        <v>0</v>
      </c>
      <c r="W412" s="6">
        <f>IF(ISERROR(VLOOKUP($T$412,'TAR FIN'!$A$1:$O$86,15,0)),0,VLOOKUP($T$412,'TAR FIN'!$A$1:$O$86,15,0))</f>
        <v>285.56</v>
      </c>
      <c r="X412" s="6">
        <f>IF(ISERROR(VLOOKUP($U$412,'TAR FIN'!$A$1:$O$86,15,0)),0,VLOOKUP($U$412,'TAR FIN'!$A$1:$O$86,15,0))</f>
        <v>227.23</v>
      </c>
      <c r="Y412" s="6"/>
      <c r="Z412" s="6">
        <f ca="1">('TUSD BE'!$AM$34+'TUSD BF'!$AM$34+'TUSD CVA'!$AM$34)*(1-CUSTOS!$M$38)</f>
        <v>310.34682484351242</v>
      </c>
      <c r="AA412" s="6">
        <f>('TE BE'!$AB$24+'TE BF'!$AB$24+'TE CVA'!$AB$24)*(1-CUSTOS!$M$38)</f>
        <v>216.7476358676706</v>
      </c>
      <c r="AB412" s="6">
        <f t="shared" si="22"/>
        <v>0</v>
      </c>
      <c r="AC412" s="6">
        <f>(L412-M412)*(W412+X412)+($W$254+$X$254-$W$412-$X$412)*(L412)</f>
        <v>2997.9598400000023</v>
      </c>
      <c r="AD412" s="6">
        <f t="shared" si="23"/>
        <v>0</v>
      </c>
      <c r="AE412" s="6">
        <f ca="1">(L412-M412)*(Z412+AA412)+($Z$254+$AA$254-$Z$412-$AA$412)*(L412)</f>
        <v>1442.567820760431</v>
      </c>
      <c r="AF412" s="4" t="s">
        <v>727</v>
      </c>
    </row>
    <row r="413" spans="1:32" ht="11.25" customHeight="1" x14ac:dyDescent="0.25">
      <c r="A413" s="4" t="s">
        <v>21</v>
      </c>
      <c r="B413" s="4" t="s">
        <v>42</v>
      </c>
      <c r="C413" s="4" t="s">
        <v>23</v>
      </c>
      <c r="D413" s="4" t="s">
        <v>43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44470</v>
      </c>
      <c r="J413" s="6">
        <v>0</v>
      </c>
      <c r="K413" s="6">
        <v>0</v>
      </c>
      <c r="L413" s="6">
        <v>1471.472</v>
      </c>
      <c r="M413" s="6">
        <v>1471.472</v>
      </c>
      <c r="N413" s="6">
        <v>1471.472</v>
      </c>
      <c r="O413" s="6">
        <v>1471.472</v>
      </c>
      <c r="P413" s="6">
        <v>3564</v>
      </c>
      <c r="Q413" s="4" t="s">
        <v>26</v>
      </c>
      <c r="R413" s="4">
        <v>0</v>
      </c>
      <c r="S413" s="4">
        <v>0</v>
      </c>
      <c r="T413" s="4">
        <v>30</v>
      </c>
      <c r="U413" s="4">
        <v>70</v>
      </c>
      <c r="V413" s="6">
        <f>IF(ISERROR(VLOOKUP($S$413,'TAR FIN'!$A$1:$O$86,15,0)),0,VLOOKUP($S$413,'TAR FIN'!$A$1:$O$86,15,0))</f>
        <v>0</v>
      </c>
      <c r="W413" s="6">
        <f>IF(ISERROR(VLOOKUP($T$413,'TAR FIN'!$A$1:$O$86,15,0)),0,VLOOKUP($T$413,'TAR FIN'!$A$1:$O$86,15,0))</f>
        <v>285.56</v>
      </c>
      <c r="X413" s="6">
        <f>IF(ISERROR(VLOOKUP($U$413,'TAR FIN'!$A$1:$O$86,15,0)),0,VLOOKUP($U$413,'TAR FIN'!$A$1:$O$86,15,0))</f>
        <v>227.23</v>
      </c>
      <c r="Y413" s="6"/>
      <c r="Z413" s="6">
        <f ca="1">('TUSD BE'!$AM$34+'TUSD BF'!$AM$34+'TUSD CVA'!$AM$34)*(1-CUSTOS!$M$38)</f>
        <v>310.34682484351242</v>
      </c>
      <c r="AA413" s="6">
        <f>('TE BE'!$AB$24+'TE BF'!$AB$24+'TE CVA'!$AB$24)*(1-CUSTOS!$M$38)</f>
        <v>216.7476358676706</v>
      </c>
      <c r="AB413" s="6">
        <f t="shared" si="22"/>
        <v>0</v>
      </c>
      <c r="AC413" s="6">
        <f>(L413-M413)*(W413+X413)+($W$254+$X$254-$W$413-$X$413)*(L413)</f>
        <v>102885.32224000007</v>
      </c>
      <c r="AD413" s="6">
        <f t="shared" si="23"/>
        <v>0</v>
      </c>
      <c r="AE413" s="6">
        <f ca="1">(L413-M413)*(Z413+AA413)+($Z$254+$AA$254-$Z$413-$AA$413)*(L413)</f>
        <v>49506.685550528084</v>
      </c>
      <c r="AF413" s="4" t="s">
        <v>727</v>
      </c>
    </row>
    <row r="414" spans="1:32" ht="11.25" customHeight="1" x14ac:dyDescent="0.25">
      <c r="A414" s="4" t="s">
        <v>27</v>
      </c>
      <c r="B414" s="4" t="s">
        <v>42</v>
      </c>
      <c r="C414" s="4" t="s">
        <v>23</v>
      </c>
      <c r="D414" s="4" t="s">
        <v>43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44470</v>
      </c>
      <c r="J414" s="6">
        <v>0</v>
      </c>
      <c r="K414" s="6">
        <v>0</v>
      </c>
      <c r="L414" s="6">
        <v>-0.53800000000000003</v>
      </c>
      <c r="M414" s="6">
        <v>-0.53800000000000003</v>
      </c>
      <c r="N414" s="6">
        <v>-0.53800000000000003</v>
      </c>
      <c r="O414" s="6">
        <v>-0.53800000000000003</v>
      </c>
      <c r="P414" s="6">
        <v>0</v>
      </c>
      <c r="Q414" s="4" t="s">
        <v>26</v>
      </c>
      <c r="R414" s="4">
        <v>0</v>
      </c>
      <c r="S414" s="4">
        <v>0</v>
      </c>
      <c r="T414" s="4">
        <v>30</v>
      </c>
      <c r="U414" s="4">
        <v>70</v>
      </c>
      <c r="V414" s="6">
        <f>IF(ISERROR(VLOOKUP($S$414,'TAR FIN'!$A$1:$O$86,15,0)),0,VLOOKUP($S$414,'TAR FIN'!$A$1:$O$86,15,0))</f>
        <v>0</v>
      </c>
      <c r="W414" s="6">
        <f>IF(ISERROR(VLOOKUP($T$414,'TAR FIN'!$A$1:$O$86,15,0)),0,VLOOKUP($T$414,'TAR FIN'!$A$1:$O$86,15,0))</f>
        <v>285.56</v>
      </c>
      <c r="X414" s="6">
        <f>IF(ISERROR(VLOOKUP($U$414,'TAR FIN'!$A$1:$O$86,15,0)),0,VLOOKUP($U$414,'TAR FIN'!$A$1:$O$86,15,0))</f>
        <v>227.23</v>
      </c>
      <c r="Y414" s="6"/>
      <c r="Z414" s="6">
        <f ca="1">('TUSD BE'!$AM$34+'TUSD BF'!$AM$34+'TUSD CVA'!$AM$34)*(1-CUSTOS!$M$38)</f>
        <v>310.34682484351242</v>
      </c>
      <c r="AA414" s="6">
        <f>('TE BE'!$AB$24+'TE BF'!$AB$24+'TE CVA'!$AB$24)*(1-CUSTOS!$M$38)</f>
        <v>216.7476358676706</v>
      </c>
      <c r="AB414" s="6">
        <f t="shared" si="22"/>
        <v>0</v>
      </c>
      <c r="AC414" s="6">
        <f>(L414-M414)*(W414+X414)+($W$254+$X$254-$W$414-$X$414)*(L414)</f>
        <v>-37.616960000000027</v>
      </c>
      <c r="AD414" s="6">
        <f t="shared" si="23"/>
        <v>0</v>
      </c>
      <c r="AE414" s="6">
        <f ca="1">(L414-M414)*(Z414+AA414)+($Z$254+$AA$254-$Z$414-$AA$414)*(L414)</f>
        <v>-18.10064807633724</v>
      </c>
      <c r="AF414" s="4" t="s">
        <v>727</v>
      </c>
    </row>
    <row r="415" spans="1:32" ht="11.25" customHeight="1" x14ac:dyDescent="0.25">
      <c r="A415" s="4" t="s">
        <v>55</v>
      </c>
      <c r="B415" s="4" t="s">
        <v>42</v>
      </c>
      <c r="C415" s="4" t="s">
        <v>23</v>
      </c>
      <c r="D415" s="4" t="s">
        <v>43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44470</v>
      </c>
      <c r="J415" s="6">
        <v>0</v>
      </c>
      <c r="K415" s="6">
        <v>0</v>
      </c>
      <c r="L415" s="6">
        <v>153.453</v>
      </c>
      <c r="M415" s="6">
        <v>153.453</v>
      </c>
      <c r="N415" s="6">
        <v>153.453</v>
      </c>
      <c r="O415" s="6">
        <v>153.453</v>
      </c>
      <c r="P415" s="6">
        <v>154</v>
      </c>
      <c r="Q415" s="4" t="s">
        <v>26</v>
      </c>
      <c r="R415" s="4">
        <v>0</v>
      </c>
      <c r="S415" s="4">
        <v>0</v>
      </c>
      <c r="T415" s="4">
        <v>30</v>
      </c>
      <c r="U415" s="4">
        <v>70</v>
      </c>
      <c r="V415" s="6">
        <f>IF(ISERROR(VLOOKUP($S$415,'TAR FIN'!$A$1:$O$86,15,0)),0,VLOOKUP($S$415,'TAR FIN'!$A$1:$O$86,15,0))</f>
        <v>0</v>
      </c>
      <c r="W415" s="6">
        <f>IF(ISERROR(VLOOKUP($T$415,'TAR FIN'!$A$1:$O$86,15,0)),0,VLOOKUP($T$415,'TAR FIN'!$A$1:$O$86,15,0))</f>
        <v>285.56</v>
      </c>
      <c r="X415" s="6">
        <f>IF(ISERROR(VLOOKUP($U$415,'TAR FIN'!$A$1:$O$86,15,0)),0,VLOOKUP($U$415,'TAR FIN'!$A$1:$O$86,15,0))</f>
        <v>227.23</v>
      </c>
      <c r="Y415" s="6"/>
      <c r="Z415" s="6">
        <f ca="1">('TUSD BE'!$AM$34+'TUSD BF'!$AM$34+'TUSD CVA'!$AM$34)*(1-CUSTOS!$M$38)</f>
        <v>310.34682484351242</v>
      </c>
      <c r="AA415" s="6">
        <f>('TE BE'!$AB$24+'TE BF'!$AB$24+'TE CVA'!$AB$24)*(1-CUSTOS!$M$38)</f>
        <v>216.7476358676706</v>
      </c>
      <c r="AB415" s="6">
        <f t="shared" si="22"/>
        <v>0</v>
      </c>
      <c r="AC415" s="6">
        <f>(L415-M415)*(W415+X415)+($W$254+$X$254-$W$415-$X$415)*(L415)</f>
        <v>10729.433760000007</v>
      </c>
      <c r="AD415" s="6">
        <f t="shared" si="23"/>
        <v>0</v>
      </c>
      <c r="AE415" s="6">
        <f ca="1">(L415-M415)*(Z415+AA415)+($Z$254+$AA$254-$Z$415-$AA$415)*(L415)</f>
        <v>5162.8229540114844</v>
      </c>
      <c r="AF415" s="4" t="s">
        <v>727</v>
      </c>
    </row>
    <row r="416" spans="1:32" ht="11.25" customHeight="1" x14ac:dyDescent="0.25">
      <c r="A416" s="4" t="s">
        <v>55</v>
      </c>
      <c r="B416" s="4" t="s">
        <v>42</v>
      </c>
      <c r="C416" s="4" t="s">
        <v>23</v>
      </c>
      <c r="D416" s="4" t="s">
        <v>43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44470</v>
      </c>
      <c r="J416" s="6">
        <v>0</v>
      </c>
      <c r="K416" s="6">
        <v>0</v>
      </c>
      <c r="L416" s="6">
        <v>-99.662999999999997</v>
      </c>
      <c r="M416" s="6">
        <v>-99.662999999999997</v>
      </c>
      <c r="N416" s="6">
        <v>-99.662999999999997</v>
      </c>
      <c r="O416" s="6">
        <v>-99.662999999999997</v>
      </c>
      <c r="P416" s="6">
        <v>2</v>
      </c>
      <c r="Q416" s="4" t="s">
        <v>26</v>
      </c>
      <c r="R416" s="4">
        <v>0</v>
      </c>
      <c r="S416" s="4">
        <v>0</v>
      </c>
      <c r="T416" s="4">
        <v>30</v>
      </c>
      <c r="U416" s="4">
        <v>70</v>
      </c>
      <c r="V416" s="6">
        <f>IF(ISERROR(VLOOKUP($S$416,'TAR FIN'!$A$1:$O$86,15,0)),0,VLOOKUP($S$416,'TAR FIN'!$A$1:$O$86,15,0))</f>
        <v>0</v>
      </c>
      <c r="W416" s="6">
        <f>IF(ISERROR(VLOOKUP($T$416,'TAR FIN'!$A$1:$O$86,15,0)),0,VLOOKUP($T$416,'TAR FIN'!$A$1:$O$86,15,0))</f>
        <v>285.56</v>
      </c>
      <c r="X416" s="6">
        <f>IF(ISERROR(VLOOKUP($U$416,'TAR FIN'!$A$1:$O$86,15,0)),0,VLOOKUP($U$416,'TAR FIN'!$A$1:$O$86,15,0))</f>
        <v>227.23</v>
      </c>
      <c r="Y416" s="6"/>
      <c r="Z416" s="6">
        <f ca="1">('TUSD BE'!$AM$34+'TUSD BF'!$AM$34+'TUSD CVA'!$AM$34)*(1-CUSTOS!$M$38)</f>
        <v>310.34682484351242</v>
      </c>
      <c r="AA416" s="6">
        <f>('TE BE'!$AB$24+'TE BF'!$AB$24+'TE CVA'!$AB$24)*(1-CUSTOS!$M$38)</f>
        <v>216.7476358676706</v>
      </c>
      <c r="AB416" s="6">
        <f t="shared" si="22"/>
        <v>0</v>
      </c>
      <c r="AC416" s="6">
        <f>(L416-M416)*(W416+X416)+($W$254+$X$254-$W$416-$X$416)*(L416)</f>
        <v>-6968.4369600000045</v>
      </c>
      <c r="AD416" s="6">
        <f t="shared" si="23"/>
        <v>0</v>
      </c>
      <c r="AE416" s="6">
        <f ca="1">(L416-M416)*(Z416+AA416)+($Z$254+$AA$254-$Z$416-$AA$416)*(L416)</f>
        <v>-3353.0945896505546</v>
      </c>
      <c r="AF416" s="4" t="s">
        <v>727</v>
      </c>
    </row>
    <row r="417" spans="1:32" ht="11.25" customHeight="1" x14ac:dyDescent="0.25">
      <c r="A417" s="4" t="s">
        <v>21</v>
      </c>
      <c r="B417" s="4" t="s">
        <v>42</v>
      </c>
      <c r="C417" s="4" t="s">
        <v>23</v>
      </c>
      <c r="D417" s="4" t="s">
        <v>43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44501</v>
      </c>
      <c r="J417" s="6">
        <v>0</v>
      </c>
      <c r="K417" s="6">
        <v>0</v>
      </c>
      <c r="L417" s="6">
        <v>1486.4380000000001</v>
      </c>
      <c r="M417" s="6">
        <v>1486.4380000000001</v>
      </c>
      <c r="N417" s="6">
        <v>1486.4380000000001</v>
      </c>
      <c r="O417" s="6">
        <v>1486.4380000000001</v>
      </c>
      <c r="P417" s="6">
        <v>3541</v>
      </c>
      <c r="Q417" s="4" t="s">
        <v>26</v>
      </c>
      <c r="R417" s="4">
        <v>0</v>
      </c>
      <c r="S417" s="4">
        <v>0</v>
      </c>
      <c r="T417" s="4">
        <v>30</v>
      </c>
      <c r="U417" s="4">
        <v>70</v>
      </c>
      <c r="V417" s="6">
        <f>IF(ISERROR(VLOOKUP($S$417,'TAR FIN'!$A$1:$O$86,15,0)),0,VLOOKUP($S$417,'TAR FIN'!$A$1:$O$86,15,0))</f>
        <v>0</v>
      </c>
      <c r="W417" s="6">
        <f>IF(ISERROR(VLOOKUP($T$417,'TAR FIN'!$A$1:$O$86,15,0)),0,VLOOKUP($T$417,'TAR FIN'!$A$1:$O$86,15,0))</f>
        <v>285.56</v>
      </c>
      <c r="X417" s="6">
        <f>IF(ISERROR(VLOOKUP($U$417,'TAR FIN'!$A$1:$O$86,15,0)),0,VLOOKUP($U$417,'TAR FIN'!$A$1:$O$86,15,0))</f>
        <v>227.23</v>
      </c>
      <c r="Y417" s="6"/>
      <c r="Z417" s="6">
        <f ca="1">('TUSD BE'!$AM$34+'TUSD BF'!$AM$34+'TUSD CVA'!$AM$34)*(1-CUSTOS!$M$38)</f>
        <v>310.34682484351242</v>
      </c>
      <c r="AA417" s="6">
        <f>('TE BE'!$AB$24+'TE BF'!$AB$24+'TE CVA'!$AB$24)*(1-CUSTOS!$M$38)</f>
        <v>216.7476358676706</v>
      </c>
      <c r="AB417" s="6">
        <f t="shared" si="22"/>
        <v>0</v>
      </c>
      <c r="AC417" s="6">
        <f>(L417-M417)*(W417+X417)+($W$254+$X$254-$W$417-$X$417)*(L417)</f>
        <v>103931.74496000007</v>
      </c>
      <c r="AD417" s="6">
        <f t="shared" si="23"/>
        <v>0</v>
      </c>
      <c r="AE417" s="6">
        <f ca="1">(L417-M417)*(Z417+AA417)+($Z$254+$AA$254-$Z$417-$AA$417)*(L417)</f>
        <v>50010.20655259215</v>
      </c>
      <c r="AF417" s="4" t="s">
        <v>727</v>
      </c>
    </row>
    <row r="418" spans="1:32" ht="11.25" customHeight="1" x14ac:dyDescent="0.25">
      <c r="A418" s="4" t="s">
        <v>27</v>
      </c>
      <c r="B418" s="4" t="s">
        <v>42</v>
      </c>
      <c r="C418" s="4" t="s">
        <v>23</v>
      </c>
      <c r="D418" s="4" t="s">
        <v>43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44501</v>
      </c>
      <c r="J418" s="6">
        <v>0</v>
      </c>
      <c r="K418" s="6">
        <v>0</v>
      </c>
      <c r="L418" s="6">
        <v>-7.9989999999999997</v>
      </c>
      <c r="M418" s="6">
        <v>-7.9989999999999997</v>
      </c>
      <c r="N418" s="6">
        <v>-7.9989999999999997</v>
      </c>
      <c r="O418" s="6">
        <v>-7.9989999999999997</v>
      </c>
      <c r="P418" s="6">
        <v>0</v>
      </c>
      <c r="Q418" s="4" t="s">
        <v>26</v>
      </c>
      <c r="R418" s="4">
        <v>0</v>
      </c>
      <c r="S418" s="4">
        <v>0</v>
      </c>
      <c r="T418" s="4">
        <v>30</v>
      </c>
      <c r="U418" s="4">
        <v>70</v>
      </c>
      <c r="V418" s="6">
        <f>IF(ISERROR(VLOOKUP($S$418,'TAR FIN'!$A$1:$O$86,15,0)),0,VLOOKUP($S$418,'TAR FIN'!$A$1:$O$86,15,0))</f>
        <v>0</v>
      </c>
      <c r="W418" s="6">
        <f>IF(ISERROR(VLOOKUP($T$418,'TAR FIN'!$A$1:$O$86,15,0)),0,VLOOKUP($T$418,'TAR FIN'!$A$1:$O$86,15,0))</f>
        <v>285.56</v>
      </c>
      <c r="X418" s="6">
        <f>IF(ISERROR(VLOOKUP($U$418,'TAR FIN'!$A$1:$O$86,15,0)),0,VLOOKUP($U$418,'TAR FIN'!$A$1:$O$86,15,0))</f>
        <v>227.23</v>
      </c>
      <c r="Y418" s="6"/>
      <c r="Z418" s="6">
        <f ca="1">('TUSD BE'!$AM$34+'TUSD BF'!$AM$34+'TUSD CVA'!$AM$34)*(1-CUSTOS!$M$38)</f>
        <v>310.34682484351242</v>
      </c>
      <c r="AA418" s="6">
        <f>('TE BE'!$AB$24+'TE BF'!$AB$24+'TE CVA'!$AB$24)*(1-CUSTOS!$M$38)</f>
        <v>216.7476358676706</v>
      </c>
      <c r="AB418" s="6">
        <f t="shared" si="22"/>
        <v>0</v>
      </c>
      <c r="AC418" s="6">
        <f>(L418-M418)*(W418+X418)+($W$254+$X$254-$W$418-$X$418)*(L418)</f>
        <v>-559.29008000000033</v>
      </c>
      <c r="AD418" s="6">
        <f t="shared" si="23"/>
        <v>0</v>
      </c>
      <c r="AE418" s="6">
        <f ca="1">(L418-M418)*(Z418+AA418)+($Z$254+$AA$254-$Z$418-$AA$418)*(L418)</f>
        <v>-269.12097390821856</v>
      </c>
      <c r="AF418" s="4" t="s">
        <v>727</v>
      </c>
    </row>
    <row r="419" spans="1:32" ht="11.25" customHeight="1" x14ac:dyDescent="0.25">
      <c r="A419" s="4" t="s">
        <v>55</v>
      </c>
      <c r="B419" s="4" t="s">
        <v>42</v>
      </c>
      <c r="C419" s="4" t="s">
        <v>23</v>
      </c>
      <c r="D419" s="4" t="s">
        <v>43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44501</v>
      </c>
      <c r="J419" s="6">
        <v>0</v>
      </c>
      <c r="K419" s="6">
        <v>0</v>
      </c>
      <c r="L419" s="6">
        <v>48.371000000000002</v>
      </c>
      <c r="M419" s="6">
        <v>48.371000000000002</v>
      </c>
      <c r="N419" s="6">
        <v>48.371000000000002</v>
      </c>
      <c r="O419" s="6">
        <v>48.371000000000002</v>
      </c>
      <c r="P419" s="6">
        <v>175</v>
      </c>
      <c r="Q419" s="4" t="s">
        <v>26</v>
      </c>
      <c r="R419" s="4">
        <v>0</v>
      </c>
      <c r="S419" s="4">
        <v>0</v>
      </c>
      <c r="T419" s="4">
        <v>30</v>
      </c>
      <c r="U419" s="4">
        <v>70</v>
      </c>
      <c r="V419" s="6">
        <f>IF(ISERROR(VLOOKUP($S$419,'TAR FIN'!$A$1:$O$86,15,0)),0,VLOOKUP($S$419,'TAR FIN'!$A$1:$O$86,15,0))</f>
        <v>0</v>
      </c>
      <c r="W419" s="6">
        <f>IF(ISERROR(VLOOKUP($T$419,'TAR FIN'!$A$1:$O$86,15,0)),0,VLOOKUP($T$419,'TAR FIN'!$A$1:$O$86,15,0))</f>
        <v>285.56</v>
      </c>
      <c r="X419" s="6">
        <f>IF(ISERROR(VLOOKUP($U$419,'TAR FIN'!$A$1:$O$86,15,0)),0,VLOOKUP($U$419,'TAR FIN'!$A$1:$O$86,15,0))</f>
        <v>227.23</v>
      </c>
      <c r="Y419" s="6"/>
      <c r="Z419" s="6">
        <f ca="1">('TUSD BE'!$AM$34+'TUSD BF'!$AM$34+'TUSD CVA'!$AM$34)*(1-CUSTOS!$M$38)</f>
        <v>310.34682484351242</v>
      </c>
      <c r="AA419" s="6">
        <f>('TE BE'!$AB$24+'TE BF'!$AB$24+'TE CVA'!$AB$24)*(1-CUSTOS!$M$38)</f>
        <v>216.7476358676706</v>
      </c>
      <c r="AB419" s="6">
        <f t="shared" si="22"/>
        <v>0</v>
      </c>
      <c r="AC419" s="6">
        <f>(L419-M419)*(W419+X419)+($W$254+$X$254-$W$419-$X$419)*(L419)</f>
        <v>3382.1003200000023</v>
      </c>
      <c r="AD419" s="6">
        <f t="shared" si="23"/>
        <v>0</v>
      </c>
      <c r="AE419" s="6">
        <f ca="1">(L419-M419)*(Z419+AA419)+($Z$254+$AA$254-$Z$419-$AA$419)*(L419)</f>
        <v>1627.4097548336592</v>
      </c>
      <c r="AF419" s="4" t="s">
        <v>727</v>
      </c>
    </row>
    <row r="420" spans="1:32" ht="11.25" customHeight="1" x14ac:dyDescent="0.25">
      <c r="A420" s="4" t="s">
        <v>55</v>
      </c>
      <c r="B420" s="4" t="s">
        <v>42</v>
      </c>
      <c r="C420" s="4" t="s">
        <v>23</v>
      </c>
      <c r="D420" s="4" t="s">
        <v>43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44501</v>
      </c>
      <c r="J420" s="6">
        <v>0</v>
      </c>
      <c r="K420" s="6">
        <v>0</v>
      </c>
      <c r="L420" s="6">
        <v>-0.42099999999999999</v>
      </c>
      <c r="M420" s="6">
        <v>-0.42099999999999999</v>
      </c>
      <c r="N420" s="6">
        <v>-0.42099999999999999</v>
      </c>
      <c r="O420" s="6">
        <v>-0.42099999999999999</v>
      </c>
      <c r="P420" s="6">
        <v>3</v>
      </c>
      <c r="Q420" s="4" t="s">
        <v>26</v>
      </c>
      <c r="R420" s="4">
        <v>0</v>
      </c>
      <c r="S420" s="4">
        <v>0</v>
      </c>
      <c r="T420" s="4">
        <v>30</v>
      </c>
      <c r="U420" s="4">
        <v>70</v>
      </c>
      <c r="V420" s="6">
        <f>IF(ISERROR(VLOOKUP($S$420,'TAR FIN'!$A$1:$O$86,15,0)),0,VLOOKUP($S$420,'TAR FIN'!$A$1:$O$86,15,0))</f>
        <v>0</v>
      </c>
      <c r="W420" s="6">
        <f>IF(ISERROR(VLOOKUP($T$420,'TAR FIN'!$A$1:$O$86,15,0)),0,VLOOKUP($T$420,'TAR FIN'!$A$1:$O$86,15,0))</f>
        <v>285.56</v>
      </c>
      <c r="X420" s="6">
        <f>IF(ISERROR(VLOOKUP($U$420,'TAR FIN'!$A$1:$O$86,15,0)),0,VLOOKUP($U$420,'TAR FIN'!$A$1:$O$86,15,0))</f>
        <v>227.23</v>
      </c>
      <c r="Y420" s="6"/>
      <c r="Z420" s="6">
        <f ca="1">('TUSD BE'!$AM$34+'TUSD BF'!$AM$34+'TUSD CVA'!$AM$34)*(1-CUSTOS!$M$38)</f>
        <v>310.34682484351242</v>
      </c>
      <c r="AA420" s="6">
        <f>('TE BE'!$AB$24+'TE BF'!$AB$24+'TE CVA'!$AB$24)*(1-CUSTOS!$M$38)</f>
        <v>216.7476358676706</v>
      </c>
      <c r="AB420" s="6">
        <f t="shared" si="22"/>
        <v>0</v>
      </c>
      <c r="AC420" s="6">
        <f>(L420-M420)*(W420+X420)+($W$254+$X$254-$W$420-$X$420)*(L420)</f>
        <v>-29.436320000000016</v>
      </c>
      <c r="AD420" s="6">
        <f t="shared" si="23"/>
        <v>0</v>
      </c>
      <c r="AE420" s="6">
        <f ca="1">(L420-M420)*(Z420+AA420)+($Z$254+$AA$254-$Z$420-$AA$420)*(L420)</f>
        <v>-14.164261784643081</v>
      </c>
      <c r="AF420" s="4" t="s">
        <v>727</v>
      </c>
    </row>
    <row r="421" spans="1:32" ht="11.25" customHeight="1" x14ac:dyDescent="0.25">
      <c r="A421" s="4" t="s">
        <v>21</v>
      </c>
      <c r="B421" s="4" t="s">
        <v>42</v>
      </c>
      <c r="C421" s="4" t="s">
        <v>23</v>
      </c>
      <c r="D421" s="4" t="s">
        <v>43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44531</v>
      </c>
      <c r="J421" s="6">
        <v>0</v>
      </c>
      <c r="K421" s="6">
        <v>0</v>
      </c>
      <c r="L421" s="6">
        <v>1485.425</v>
      </c>
      <c r="M421" s="6">
        <v>1485.425</v>
      </c>
      <c r="N421" s="6">
        <v>1485.425</v>
      </c>
      <c r="O421" s="6">
        <v>1485.425</v>
      </c>
      <c r="P421" s="6">
        <v>3487</v>
      </c>
      <c r="Q421" s="4" t="s">
        <v>26</v>
      </c>
      <c r="R421" s="4">
        <v>0</v>
      </c>
      <c r="S421" s="4">
        <v>0</v>
      </c>
      <c r="T421" s="4">
        <v>30</v>
      </c>
      <c r="U421" s="4">
        <v>70</v>
      </c>
      <c r="V421" s="6">
        <f>IF(ISERROR(VLOOKUP($S$421,'TAR FIN'!$A$1:$O$86,15,0)),0,VLOOKUP($S$421,'TAR FIN'!$A$1:$O$86,15,0))</f>
        <v>0</v>
      </c>
      <c r="W421" s="6">
        <f>IF(ISERROR(VLOOKUP($T$421,'TAR FIN'!$A$1:$O$86,15,0)),0,VLOOKUP($T$421,'TAR FIN'!$A$1:$O$86,15,0))</f>
        <v>285.56</v>
      </c>
      <c r="X421" s="6">
        <f>IF(ISERROR(VLOOKUP($U$421,'TAR FIN'!$A$1:$O$86,15,0)),0,VLOOKUP($U$421,'TAR FIN'!$A$1:$O$86,15,0))</f>
        <v>227.23</v>
      </c>
      <c r="Y421" s="6"/>
      <c r="Z421" s="6">
        <f ca="1">('TUSD BE'!$AM$34+'TUSD BF'!$AM$34+'TUSD CVA'!$AM$34)*(1-CUSTOS!$M$38)</f>
        <v>310.34682484351242</v>
      </c>
      <c r="AA421" s="6">
        <f>('TE BE'!$AB$24+'TE BF'!$AB$24+'TE CVA'!$AB$24)*(1-CUSTOS!$M$38)</f>
        <v>216.7476358676706</v>
      </c>
      <c r="AB421" s="6">
        <f t="shared" si="22"/>
        <v>0</v>
      </c>
      <c r="AC421" s="6">
        <f>(L421-M421)*(W421+X421)+($W$254+$X$254-$W$421-$X$421)*(L421)</f>
        <v>103860.91600000006</v>
      </c>
      <c r="AD421" s="6">
        <f t="shared" si="23"/>
        <v>0</v>
      </c>
      <c r="AE421" s="6">
        <f ca="1">(L421-M421)*(Z421+AA421)+($Z$254+$AA$254-$Z$421-$AA$421)*(L421)</f>
        <v>49976.124849058077</v>
      </c>
      <c r="AF421" s="4" t="s">
        <v>727</v>
      </c>
    </row>
    <row r="422" spans="1:32" ht="11.25" customHeight="1" x14ac:dyDescent="0.25">
      <c r="A422" s="4" t="s">
        <v>27</v>
      </c>
      <c r="B422" s="4" t="s">
        <v>42</v>
      </c>
      <c r="C422" s="4" t="s">
        <v>23</v>
      </c>
      <c r="D422" s="4" t="s">
        <v>43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44531</v>
      </c>
      <c r="J422" s="6">
        <v>0</v>
      </c>
      <c r="K422" s="6">
        <v>0</v>
      </c>
      <c r="L422" s="6">
        <v>-4.8369999999999997</v>
      </c>
      <c r="M422" s="6">
        <v>-4.8369999999999997</v>
      </c>
      <c r="N422" s="6">
        <v>-4.8369999999999997</v>
      </c>
      <c r="O422" s="6">
        <v>-4.8369999999999997</v>
      </c>
      <c r="P422" s="6">
        <v>0</v>
      </c>
      <c r="Q422" s="4" t="s">
        <v>26</v>
      </c>
      <c r="R422" s="4">
        <v>0</v>
      </c>
      <c r="S422" s="4">
        <v>0</v>
      </c>
      <c r="T422" s="4">
        <v>30</v>
      </c>
      <c r="U422" s="4">
        <v>70</v>
      </c>
      <c r="V422" s="6">
        <f>IF(ISERROR(VLOOKUP($S$422,'TAR FIN'!$A$1:$O$86,15,0)),0,VLOOKUP($S$422,'TAR FIN'!$A$1:$O$86,15,0))</f>
        <v>0</v>
      </c>
      <c r="W422" s="6">
        <f>IF(ISERROR(VLOOKUP($T$422,'TAR FIN'!$A$1:$O$86,15,0)),0,VLOOKUP($T$422,'TAR FIN'!$A$1:$O$86,15,0))</f>
        <v>285.56</v>
      </c>
      <c r="X422" s="6">
        <f>IF(ISERROR(VLOOKUP($U$422,'TAR FIN'!$A$1:$O$86,15,0)),0,VLOOKUP($U$422,'TAR FIN'!$A$1:$O$86,15,0))</f>
        <v>227.23</v>
      </c>
      <c r="Y422" s="6"/>
      <c r="Z422" s="6">
        <f ca="1">('TUSD BE'!$AM$34+'TUSD BF'!$AM$34+'TUSD CVA'!$AM$34)*(1-CUSTOS!$M$38)</f>
        <v>310.34682484351242</v>
      </c>
      <c r="AA422" s="6">
        <f>('TE BE'!$AB$24+'TE BF'!$AB$24+'TE CVA'!$AB$24)*(1-CUSTOS!$M$38)</f>
        <v>216.7476358676706</v>
      </c>
      <c r="AB422" s="6">
        <f t="shared" si="22"/>
        <v>0</v>
      </c>
      <c r="AC422" s="6">
        <f>(L422-M422)*(W422+X422)+($W$254+$X$254-$W$422-$X$422)*(L422)</f>
        <v>-338.20304000000021</v>
      </c>
      <c r="AD422" s="6">
        <f t="shared" si="23"/>
        <v>0</v>
      </c>
      <c r="AE422" s="6">
        <f ca="1">(L422-M422)*(Z422+AA422)+($Z$254+$AA$254-$Z$422-$AA$422)*(L422)</f>
        <v>-162.73761105063795</v>
      </c>
      <c r="AF422" s="4" t="s">
        <v>727</v>
      </c>
    </row>
    <row r="423" spans="1:32" ht="11.25" customHeight="1" x14ac:dyDescent="0.25">
      <c r="A423" s="4" t="s">
        <v>55</v>
      </c>
      <c r="B423" s="4" t="s">
        <v>42</v>
      </c>
      <c r="C423" s="4" t="s">
        <v>23</v>
      </c>
      <c r="D423" s="4" t="s">
        <v>43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44531</v>
      </c>
      <c r="J423" s="6">
        <v>0</v>
      </c>
      <c r="K423" s="6">
        <v>0</v>
      </c>
      <c r="L423" s="6">
        <v>54.66</v>
      </c>
      <c r="M423" s="6">
        <v>54.66</v>
      </c>
      <c r="N423" s="6">
        <v>54.66</v>
      </c>
      <c r="O423" s="6">
        <v>54.66</v>
      </c>
      <c r="P423" s="6">
        <v>202</v>
      </c>
      <c r="Q423" s="4" t="s">
        <v>26</v>
      </c>
      <c r="R423" s="4">
        <v>0</v>
      </c>
      <c r="S423" s="4">
        <v>0</v>
      </c>
      <c r="T423" s="4">
        <v>30</v>
      </c>
      <c r="U423" s="4">
        <v>70</v>
      </c>
      <c r="V423" s="6">
        <f>IF(ISERROR(VLOOKUP($S$423,'TAR FIN'!$A$1:$O$86,15,0)),0,VLOOKUP($S$423,'TAR FIN'!$A$1:$O$86,15,0))</f>
        <v>0</v>
      </c>
      <c r="W423" s="6">
        <f>IF(ISERROR(VLOOKUP($T$423,'TAR FIN'!$A$1:$O$86,15,0)),0,VLOOKUP($T$423,'TAR FIN'!$A$1:$O$86,15,0))</f>
        <v>285.56</v>
      </c>
      <c r="X423" s="6">
        <f>IF(ISERROR(VLOOKUP($U$423,'TAR FIN'!$A$1:$O$86,15,0)),0,VLOOKUP($U$423,'TAR FIN'!$A$1:$O$86,15,0))</f>
        <v>227.23</v>
      </c>
      <c r="Y423" s="6"/>
      <c r="Z423" s="6">
        <f ca="1">('TUSD BE'!$AM$34+'TUSD BF'!$AM$34+'TUSD CVA'!$AM$34)*(1-CUSTOS!$M$38)</f>
        <v>310.34682484351242</v>
      </c>
      <c r="AA423" s="6">
        <f>('TE BE'!$AB$24+'TE BF'!$AB$24+'TE CVA'!$AB$24)*(1-CUSTOS!$M$38)</f>
        <v>216.7476358676706</v>
      </c>
      <c r="AB423" s="6">
        <f t="shared" si="22"/>
        <v>0</v>
      </c>
      <c r="AC423" s="6">
        <f>(L423-M423)*(W423+X423)+($W$254+$X$254-$W$423-$X$423)*(L423)</f>
        <v>3821.827200000002</v>
      </c>
      <c r="AD423" s="6">
        <f t="shared" si="23"/>
        <v>0</v>
      </c>
      <c r="AE423" s="6">
        <f ca="1">(L423-M423)*(Z423+AA423)+($Z$254+$AA$254-$Z$423-$AA$423)*(L423)</f>
        <v>1838.99892909404</v>
      </c>
      <c r="AF423" s="4" t="s">
        <v>727</v>
      </c>
    </row>
    <row r="424" spans="1:32" ht="11.25" customHeight="1" x14ac:dyDescent="0.25">
      <c r="A424" s="4" t="s">
        <v>55</v>
      </c>
      <c r="B424" s="4" t="s">
        <v>42</v>
      </c>
      <c r="C424" s="4" t="s">
        <v>23</v>
      </c>
      <c r="D424" s="4" t="s">
        <v>43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-3.8969999999999998</v>
      </c>
      <c r="M424" s="6">
        <v>-3.8969999999999998</v>
      </c>
      <c r="N424" s="6">
        <v>-3.8969999999999998</v>
      </c>
      <c r="O424" s="6">
        <v>-3.8969999999999998</v>
      </c>
      <c r="P424" s="6">
        <v>3</v>
      </c>
      <c r="Q424" s="4" t="s">
        <v>26</v>
      </c>
      <c r="R424" s="4">
        <v>0</v>
      </c>
      <c r="S424" s="4">
        <v>0</v>
      </c>
      <c r="T424" s="4">
        <v>30</v>
      </c>
      <c r="U424" s="4">
        <v>70</v>
      </c>
      <c r="V424" s="6">
        <f>IF(ISERROR(VLOOKUP($S$424,'TAR FIN'!$A$1:$O$86,15,0)),0,VLOOKUP($S$424,'TAR FIN'!$A$1:$O$86,15,0))</f>
        <v>0</v>
      </c>
      <c r="W424" s="6">
        <f>IF(ISERROR(VLOOKUP($T$424,'TAR FIN'!$A$1:$O$86,15,0)),0,VLOOKUP($T$424,'TAR FIN'!$A$1:$O$86,15,0))</f>
        <v>285.56</v>
      </c>
      <c r="X424" s="6">
        <f>IF(ISERROR(VLOOKUP($U$424,'TAR FIN'!$A$1:$O$86,15,0)),0,VLOOKUP($U$424,'TAR FIN'!$A$1:$O$86,15,0))</f>
        <v>227.23</v>
      </c>
      <c r="Y424" s="6"/>
      <c r="Z424" s="6">
        <f ca="1">('TUSD BE'!$AM$34+'TUSD BF'!$AM$34+'TUSD CVA'!$AM$34)*(1-CUSTOS!$M$38)</f>
        <v>310.34682484351242</v>
      </c>
      <c r="AA424" s="6">
        <f>('TE BE'!$AB$24+'TE BF'!$AB$24+'TE CVA'!$AB$24)*(1-CUSTOS!$M$38)</f>
        <v>216.7476358676706</v>
      </c>
      <c r="AB424" s="6">
        <f t="shared" si="22"/>
        <v>0</v>
      </c>
      <c r="AC424" s="6">
        <f>(L424-M424)*(W424+X424)+($W$254+$X$254-$W$424-$X$424)*(L424)</f>
        <v>-272.47824000000014</v>
      </c>
      <c r="AD424" s="6">
        <f t="shared" si="23"/>
        <v>0</v>
      </c>
      <c r="AE424" s="6">
        <f ca="1">(L424-M424)*(Z424+AA424)+($Z$254+$AA$254-$Z$424-$AA$424)*(L424)</f>
        <v>-131.11194340796695</v>
      </c>
      <c r="AF424" s="4" t="s">
        <v>727</v>
      </c>
    </row>
    <row r="425" spans="1:32" ht="11.25" customHeight="1" x14ac:dyDescent="0.25">
      <c r="A425" s="4" t="s">
        <v>21</v>
      </c>
      <c r="B425" s="4" t="s">
        <v>42</v>
      </c>
      <c r="C425" s="4" t="s">
        <v>23</v>
      </c>
      <c r="D425" s="4" t="s">
        <v>43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0</v>
      </c>
      <c r="K425" s="6">
        <v>0</v>
      </c>
      <c r="L425" s="6">
        <v>1602.441</v>
      </c>
      <c r="M425" s="6">
        <v>1602.441</v>
      </c>
      <c r="N425" s="6">
        <v>1602.441</v>
      </c>
      <c r="O425" s="6">
        <v>1602.441</v>
      </c>
      <c r="P425" s="6">
        <v>3483</v>
      </c>
      <c r="Q425" s="4" t="s">
        <v>26</v>
      </c>
      <c r="R425" s="4">
        <v>0</v>
      </c>
      <c r="S425" s="4">
        <v>0</v>
      </c>
      <c r="T425" s="4">
        <v>30</v>
      </c>
      <c r="U425" s="4">
        <v>70</v>
      </c>
      <c r="V425" s="6">
        <f>IF(ISERROR(VLOOKUP($S$425,'TAR FIN'!$A$1:$O$86,15,0)),0,VLOOKUP($S$425,'TAR FIN'!$A$1:$O$86,15,0))</f>
        <v>0</v>
      </c>
      <c r="W425" s="6">
        <f>IF(ISERROR(VLOOKUP($T$425,'TAR FIN'!$A$1:$O$86,15,0)),0,VLOOKUP($T$425,'TAR FIN'!$A$1:$O$86,15,0))</f>
        <v>285.56</v>
      </c>
      <c r="X425" s="6">
        <f>IF(ISERROR(VLOOKUP($U$425,'TAR FIN'!$A$1:$O$86,15,0)),0,VLOOKUP($U$425,'TAR FIN'!$A$1:$O$86,15,0))</f>
        <v>227.23</v>
      </c>
      <c r="Y425" s="6"/>
      <c r="Z425" s="6">
        <f ca="1">('TUSD BE'!$AM$34+'TUSD BF'!$AM$34+'TUSD CVA'!$AM$34)*(1-CUSTOS!$M$38)</f>
        <v>310.34682484351242</v>
      </c>
      <c r="AA425" s="6">
        <f>('TE BE'!$AB$24+'TE BF'!$AB$24+'TE CVA'!$AB$24)*(1-CUSTOS!$M$38)</f>
        <v>216.7476358676706</v>
      </c>
      <c r="AB425" s="6">
        <f t="shared" si="22"/>
        <v>0</v>
      </c>
      <c r="AC425" s="6">
        <f>(L425-M425)*(W425+X425)+($W$254+$X$254-$W$425-$X$425)*(L425)</f>
        <v>112042.67472000007</v>
      </c>
      <c r="AD425" s="6">
        <f t="shared" si="23"/>
        <v>0</v>
      </c>
      <c r="AE425" s="6">
        <f ca="1">(L425-M425)*(Z425+AA425)+($Z$254+$AA$254-$Z$425-$AA$425)*(L425)</f>
        <v>53913.049449988706</v>
      </c>
      <c r="AF425" s="4" t="s">
        <v>727</v>
      </c>
    </row>
    <row r="426" spans="1:32" ht="11.25" customHeight="1" x14ac:dyDescent="0.25">
      <c r="A426" s="4" t="s">
        <v>27</v>
      </c>
      <c r="B426" s="4" t="s">
        <v>42</v>
      </c>
      <c r="C426" s="4" t="s">
        <v>23</v>
      </c>
      <c r="D426" s="4" t="s">
        <v>43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-60.328000000000003</v>
      </c>
      <c r="M426" s="6">
        <v>-60.328000000000003</v>
      </c>
      <c r="N426" s="6">
        <v>-60.328000000000003</v>
      </c>
      <c r="O426" s="6">
        <v>-60.328000000000003</v>
      </c>
      <c r="P426" s="6">
        <v>0</v>
      </c>
      <c r="Q426" s="4" t="s">
        <v>26</v>
      </c>
      <c r="R426" s="4">
        <v>0</v>
      </c>
      <c r="S426" s="4">
        <v>0</v>
      </c>
      <c r="T426" s="4">
        <v>30</v>
      </c>
      <c r="U426" s="4">
        <v>70</v>
      </c>
      <c r="V426" s="6">
        <f>IF(ISERROR(VLOOKUP($S$426,'TAR FIN'!$A$1:$O$86,15,0)),0,VLOOKUP($S$426,'TAR FIN'!$A$1:$O$86,15,0))</f>
        <v>0</v>
      </c>
      <c r="W426" s="6">
        <f>IF(ISERROR(VLOOKUP($T$426,'TAR FIN'!$A$1:$O$86,15,0)),0,VLOOKUP($T$426,'TAR FIN'!$A$1:$O$86,15,0))</f>
        <v>285.56</v>
      </c>
      <c r="X426" s="6">
        <f>IF(ISERROR(VLOOKUP($U$426,'TAR FIN'!$A$1:$O$86,15,0)),0,VLOOKUP($U$426,'TAR FIN'!$A$1:$O$86,15,0))</f>
        <v>227.23</v>
      </c>
      <c r="Y426" s="6"/>
      <c r="Z426" s="6">
        <f ca="1">('TUSD BE'!$AM$34+'TUSD BF'!$AM$34+'TUSD CVA'!$AM$34)*(1-CUSTOS!$M$38)</f>
        <v>310.34682484351242</v>
      </c>
      <c r="AA426" s="6">
        <f>('TE BE'!$AB$24+'TE BF'!$AB$24+'TE CVA'!$AB$24)*(1-CUSTOS!$M$38)</f>
        <v>216.7476358676706</v>
      </c>
      <c r="AB426" s="6">
        <f t="shared" si="22"/>
        <v>0</v>
      </c>
      <c r="AC426" s="6">
        <f>(L426-M426)*(W426+X426)+($W$254+$X$254-$W$426-$X$426)*(L426)</f>
        <v>-4218.1337600000024</v>
      </c>
      <c r="AD426" s="6">
        <f t="shared" si="23"/>
        <v>0</v>
      </c>
      <c r="AE426" s="6">
        <f ca="1">(L426-M426)*(Z426+AA426)+($Z$254+$AA$254-$Z$426-$AA$426)*(L426)</f>
        <v>-2029.6949761138906</v>
      </c>
      <c r="AF426" s="4" t="s">
        <v>727</v>
      </c>
    </row>
    <row r="427" spans="1:32" ht="11.25" customHeight="1" x14ac:dyDescent="0.25">
      <c r="A427" s="4" t="s">
        <v>55</v>
      </c>
      <c r="B427" s="4" t="s">
        <v>42</v>
      </c>
      <c r="C427" s="4" t="s">
        <v>23</v>
      </c>
      <c r="D427" s="4" t="s">
        <v>43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48.277000000000001</v>
      </c>
      <c r="M427" s="6">
        <v>48.277000000000001</v>
      </c>
      <c r="N427" s="6">
        <v>48.277000000000001</v>
      </c>
      <c r="O427" s="6">
        <v>48.277000000000001</v>
      </c>
      <c r="P427" s="6">
        <v>205</v>
      </c>
      <c r="Q427" s="4" t="s">
        <v>26</v>
      </c>
      <c r="R427" s="4">
        <v>0</v>
      </c>
      <c r="S427" s="4">
        <v>0</v>
      </c>
      <c r="T427" s="4">
        <v>30</v>
      </c>
      <c r="U427" s="4">
        <v>70</v>
      </c>
      <c r="V427" s="6">
        <f>IF(ISERROR(VLOOKUP($S$427,'TAR FIN'!$A$1:$O$86,15,0)),0,VLOOKUP($S$427,'TAR FIN'!$A$1:$O$86,15,0))</f>
        <v>0</v>
      </c>
      <c r="W427" s="6">
        <f>IF(ISERROR(VLOOKUP($T$427,'TAR FIN'!$A$1:$O$86,15,0)),0,VLOOKUP($T$427,'TAR FIN'!$A$1:$O$86,15,0))</f>
        <v>285.56</v>
      </c>
      <c r="X427" s="6">
        <f>IF(ISERROR(VLOOKUP($U$427,'TAR FIN'!$A$1:$O$86,15,0)),0,VLOOKUP($U$427,'TAR FIN'!$A$1:$O$86,15,0))</f>
        <v>227.23</v>
      </c>
      <c r="Y427" s="6"/>
      <c r="Z427" s="6">
        <f ca="1">('TUSD BE'!$AM$34+'TUSD BF'!$AM$34+'TUSD CVA'!$AM$34)*(1-CUSTOS!$M$38)</f>
        <v>310.34682484351242</v>
      </c>
      <c r="AA427" s="6">
        <f>('TE BE'!$AB$24+'TE BF'!$AB$24+'TE CVA'!$AB$24)*(1-CUSTOS!$M$38)</f>
        <v>216.7476358676706</v>
      </c>
      <c r="AB427" s="6">
        <f t="shared" si="22"/>
        <v>0</v>
      </c>
      <c r="AC427" s="6">
        <f>(L427-M427)*(W427+X427)+($W$254+$X$254-$W$427-$X$427)*(L427)</f>
        <v>3375.527840000002</v>
      </c>
      <c r="AD427" s="6">
        <f t="shared" si="23"/>
        <v>0</v>
      </c>
      <c r="AE427" s="6">
        <f ca="1">(L427-M427)*(Z427+AA427)+($Z$254+$AA$254-$Z$427-$AA$427)*(L427)</f>
        <v>1624.247188069392</v>
      </c>
      <c r="AF427" s="4" t="s">
        <v>727</v>
      </c>
    </row>
    <row r="428" spans="1:32" ht="11.25" customHeight="1" x14ac:dyDescent="0.25">
      <c r="A428" s="4" t="s">
        <v>21</v>
      </c>
      <c r="B428" s="4" t="s">
        <v>42</v>
      </c>
      <c r="C428" s="4" t="s">
        <v>23</v>
      </c>
      <c r="D428" s="4" t="s">
        <v>43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1841.87</v>
      </c>
      <c r="M428" s="6">
        <v>1841.87</v>
      </c>
      <c r="N428" s="6">
        <v>1841.87</v>
      </c>
      <c r="O428" s="6">
        <v>1841.87</v>
      </c>
      <c r="P428" s="6">
        <v>3436</v>
      </c>
      <c r="Q428" s="4" t="s">
        <v>26</v>
      </c>
      <c r="R428" s="4">
        <v>0</v>
      </c>
      <c r="S428" s="4">
        <v>0</v>
      </c>
      <c r="T428" s="4">
        <v>30</v>
      </c>
      <c r="U428" s="4">
        <v>70</v>
      </c>
      <c r="V428" s="6">
        <f>IF(ISERROR(VLOOKUP($S$428,'TAR FIN'!$A$1:$O$86,15,0)),0,VLOOKUP($S$428,'TAR FIN'!$A$1:$O$86,15,0))</f>
        <v>0</v>
      </c>
      <c r="W428" s="6">
        <f>IF(ISERROR(VLOOKUP($T$428,'TAR FIN'!$A$1:$O$86,15,0)),0,VLOOKUP($T$428,'TAR FIN'!$A$1:$O$86,15,0))</f>
        <v>285.56</v>
      </c>
      <c r="X428" s="6">
        <f>IF(ISERROR(VLOOKUP($U$428,'TAR FIN'!$A$1:$O$86,15,0)),0,VLOOKUP($U$428,'TAR FIN'!$A$1:$O$86,15,0))</f>
        <v>227.23</v>
      </c>
      <c r="Y428" s="6"/>
      <c r="Z428" s="6">
        <f ca="1">('TUSD BE'!$AM$34+'TUSD BF'!$AM$34+'TUSD CVA'!$AM$34)*(1-CUSTOS!$M$38)</f>
        <v>310.34682484351242</v>
      </c>
      <c r="AA428" s="6">
        <f>('TE BE'!$AB$24+'TE BF'!$AB$24+'TE CVA'!$AB$24)*(1-CUSTOS!$M$38)</f>
        <v>216.7476358676706</v>
      </c>
      <c r="AB428" s="6">
        <f t="shared" si="22"/>
        <v>0</v>
      </c>
      <c r="AC428" s="6">
        <f>(L428-M428)*(W428+X428)+($W$254+$X$254-$W$428-$X$428)*(L428)</f>
        <v>128783.55040000008</v>
      </c>
      <c r="AD428" s="6">
        <f t="shared" si="23"/>
        <v>0</v>
      </c>
      <c r="AE428" s="6">
        <f ca="1">(L428-M428)*(Z428+AA428)+($Z$254+$AA$254-$Z$428-$AA$428)*(L428)</f>
        <v>61968.477086177081</v>
      </c>
      <c r="AF428" s="4" t="s">
        <v>727</v>
      </c>
    </row>
    <row r="429" spans="1:32" ht="11.25" customHeight="1" x14ac:dyDescent="0.25">
      <c r="A429" s="4" t="s">
        <v>27</v>
      </c>
      <c r="B429" s="4" t="s">
        <v>42</v>
      </c>
      <c r="C429" s="4" t="s">
        <v>23</v>
      </c>
      <c r="D429" s="4" t="s">
        <v>43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44593</v>
      </c>
      <c r="J429" s="6">
        <v>0</v>
      </c>
      <c r="K429" s="6">
        <v>0</v>
      </c>
      <c r="L429" s="6">
        <v>-1.823</v>
      </c>
      <c r="M429" s="6">
        <v>-1.823</v>
      </c>
      <c r="N429" s="6">
        <v>-1.823</v>
      </c>
      <c r="O429" s="6">
        <v>-1.823</v>
      </c>
      <c r="P429" s="6">
        <v>0</v>
      </c>
      <c r="Q429" s="4" t="s">
        <v>26</v>
      </c>
      <c r="R429" s="4">
        <v>0</v>
      </c>
      <c r="S429" s="4">
        <v>0</v>
      </c>
      <c r="T429" s="4">
        <v>30</v>
      </c>
      <c r="U429" s="4">
        <v>70</v>
      </c>
      <c r="V429" s="6">
        <f>IF(ISERROR(VLOOKUP($S$429,'TAR FIN'!$A$1:$O$86,15,0)),0,VLOOKUP($S$429,'TAR FIN'!$A$1:$O$86,15,0))</f>
        <v>0</v>
      </c>
      <c r="W429" s="6">
        <f>IF(ISERROR(VLOOKUP($T$429,'TAR FIN'!$A$1:$O$86,15,0)),0,VLOOKUP($T$429,'TAR FIN'!$A$1:$O$86,15,0))</f>
        <v>285.56</v>
      </c>
      <c r="X429" s="6">
        <f>IF(ISERROR(VLOOKUP($U$429,'TAR FIN'!$A$1:$O$86,15,0)),0,VLOOKUP($U$429,'TAR FIN'!$A$1:$O$86,15,0))</f>
        <v>227.23</v>
      </c>
      <c r="Y429" s="6"/>
      <c r="Z429" s="6">
        <f ca="1">('TUSD BE'!$AM$34+'TUSD BF'!$AM$34+'TUSD CVA'!$AM$34)*(1-CUSTOS!$M$38)</f>
        <v>310.34682484351242</v>
      </c>
      <c r="AA429" s="6">
        <f>('TE BE'!$AB$24+'TE BF'!$AB$24+'TE CVA'!$AB$24)*(1-CUSTOS!$M$38)</f>
        <v>216.7476358676706</v>
      </c>
      <c r="AB429" s="6">
        <f t="shared" si="22"/>
        <v>0</v>
      </c>
      <c r="AC429" s="6">
        <f>(L429-M429)*(W429+X429)+($W$254+$X$254-$W$429-$X$429)*(L429)</f>
        <v>-127.46416000000008</v>
      </c>
      <c r="AD429" s="6">
        <f t="shared" si="23"/>
        <v>0</v>
      </c>
      <c r="AE429" s="6">
        <f ca="1">(L429-M429)*(Z429+AA429)+($Z$254+$AA$254-$Z$429-$AA$429)*(L429)</f>
        <v>-61.333608630414105</v>
      </c>
      <c r="AF429" s="4" t="s">
        <v>727</v>
      </c>
    </row>
    <row r="430" spans="1:32" ht="11.25" customHeight="1" x14ac:dyDescent="0.25">
      <c r="A430" s="4" t="s">
        <v>55</v>
      </c>
      <c r="B430" s="4" t="s">
        <v>42</v>
      </c>
      <c r="C430" s="4" t="s">
        <v>23</v>
      </c>
      <c r="D430" s="4" t="s">
        <v>43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44593</v>
      </c>
      <c r="J430" s="6">
        <v>0</v>
      </c>
      <c r="K430" s="6">
        <v>0</v>
      </c>
      <c r="L430" s="6">
        <v>55.790999999999997</v>
      </c>
      <c r="M430" s="6">
        <v>55.790999999999997</v>
      </c>
      <c r="N430" s="6">
        <v>55.790999999999997</v>
      </c>
      <c r="O430" s="6">
        <v>55.790999999999997</v>
      </c>
      <c r="P430" s="6">
        <v>233</v>
      </c>
      <c r="Q430" s="4" t="s">
        <v>26</v>
      </c>
      <c r="R430" s="4">
        <v>0</v>
      </c>
      <c r="S430" s="4">
        <v>0</v>
      </c>
      <c r="T430" s="4">
        <v>30</v>
      </c>
      <c r="U430" s="4">
        <v>70</v>
      </c>
      <c r="V430" s="6">
        <f>IF(ISERROR(VLOOKUP($S$430,'TAR FIN'!$A$1:$O$86,15,0)),0,VLOOKUP($S$430,'TAR FIN'!$A$1:$O$86,15,0))</f>
        <v>0</v>
      </c>
      <c r="W430" s="6">
        <f>IF(ISERROR(VLOOKUP($T$430,'TAR FIN'!$A$1:$O$86,15,0)),0,VLOOKUP($T$430,'TAR FIN'!$A$1:$O$86,15,0))</f>
        <v>285.56</v>
      </c>
      <c r="X430" s="6">
        <f>IF(ISERROR(VLOOKUP($U$430,'TAR FIN'!$A$1:$O$86,15,0)),0,VLOOKUP($U$430,'TAR FIN'!$A$1:$O$86,15,0))</f>
        <v>227.23</v>
      </c>
      <c r="Y430" s="6"/>
      <c r="Z430" s="6">
        <f ca="1">('TUSD BE'!$AM$34+'TUSD BF'!$AM$34+'TUSD CVA'!$AM$34)*(1-CUSTOS!$M$38)</f>
        <v>310.34682484351242</v>
      </c>
      <c r="AA430" s="6">
        <f>('TE BE'!$AB$24+'TE BF'!$AB$24+'TE CVA'!$AB$24)*(1-CUSTOS!$M$38)</f>
        <v>216.7476358676706</v>
      </c>
      <c r="AB430" s="6">
        <f t="shared" si="22"/>
        <v>0</v>
      </c>
      <c r="AC430" s="6">
        <f>(L430-M430)*(W430+X430)+($W$254+$X$254-$W$430-$X$430)*(L430)</f>
        <v>3900.9067200000022</v>
      </c>
      <c r="AD430" s="6">
        <f t="shared" si="23"/>
        <v>0</v>
      </c>
      <c r="AE430" s="6">
        <f ca="1">(L430-M430)*(Z430+AA430)+($Z$254+$AA$254-$Z$430-$AA$430)*(L430)</f>
        <v>1877.0506632470835</v>
      </c>
      <c r="AF430" s="4" t="s">
        <v>727</v>
      </c>
    </row>
    <row r="431" spans="1:32" ht="11.25" customHeight="1" x14ac:dyDescent="0.25">
      <c r="A431" s="4" t="s">
        <v>21</v>
      </c>
      <c r="B431" s="4" t="s">
        <v>42</v>
      </c>
      <c r="C431" s="4" t="s">
        <v>23</v>
      </c>
      <c r="D431" s="4" t="s">
        <v>43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44621</v>
      </c>
      <c r="J431" s="6">
        <v>0</v>
      </c>
      <c r="K431" s="6">
        <v>0</v>
      </c>
      <c r="L431" s="6">
        <v>1456.9090000000001</v>
      </c>
      <c r="M431" s="6">
        <v>1456.9090000000001</v>
      </c>
      <c r="N431" s="6">
        <v>1456.9090000000001</v>
      </c>
      <c r="O431" s="6">
        <v>1456.9090000000001</v>
      </c>
      <c r="P431" s="6">
        <v>3418</v>
      </c>
      <c r="Q431" s="4" t="s">
        <v>26</v>
      </c>
      <c r="R431" s="4">
        <v>0</v>
      </c>
      <c r="S431" s="4">
        <v>0</v>
      </c>
      <c r="T431" s="4">
        <v>30</v>
      </c>
      <c r="U431" s="4">
        <v>70</v>
      </c>
      <c r="V431" s="6">
        <f>IF(ISERROR(VLOOKUP($S$431,'TAR FIN'!$A$1:$O$86,15,0)),0,VLOOKUP($S$431,'TAR FIN'!$A$1:$O$86,15,0))</f>
        <v>0</v>
      </c>
      <c r="W431" s="6">
        <f>IF(ISERROR(VLOOKUP($T$431,'TAR FIN'!$A$1:$O$86,15,0)),0,VLOOKUP($T$431,'TAR FIN'!$A$1:$O$86,15,0))</f>
        <v>285.56</v>
      </c>
      <c r="X431" s="6">
        <f>IF(ISERROR(VLOOKUP($U$431,'TAR FIN'!$A$1:$O$86,15,0)),0,VLOOKUP($U$431,'TAR FIN'!$A$1:$O$86,15,0))</f>
        <v>227.23</v>
      </c>
      <c r="Y431" s="6"/>
      <c r="Z431" s="6">
        <f ca="1">('TUSD BE'!$AM$34+'TUSD BF'!$AM$34+'TUSD CVA'!$AM$34)*(1-CUSTOS!$M$38)</f>
        <v>310.34682484351242</v>
      </c>
      <c r="AA431" s="6">
        <f>('TE BE'!$AB$24+'TE BF'!$AB$24+'TE CVA'!$AB$24)*(1-CUSTOS!$M$38)</f>
        <v>216.7476358676706</v>
      </c>
      <c r="AB431" s="6">
        <f t="shared" si="22"/>
        <v>0</v>
      </c>
      <c r="AC431" s="6">
        <f>(L431-M431)*(W431+X431)+($W$254+$X$254-$W$431-$X$431)*(L431)</f>
        <v>101867.07728000007</v>
      </c>
      <c r="AD431" s="6">
        <f t="shared" si="23"/>
        <v>0</v>
      </c>
      <c r="AE431" s="6">
        <f ca="1">(L431-M431)*(Z431+AA431)+($Z$254+$AA$254-$Z$431-$AA$431)*(L431)</f>
        <v>49016.723212357647</v>
      </c>
      <c r="AF431" s="4" t="s">
        <v>727</v>
      </c>
    </row>
    <row r="432" spans="1:32" ht="11.25" customHeight="1" x14ac:dyDescent="0.25">
      <c r="A432" s="4" t="s">
        <v>27</v>
      </c>
      <c r="B432" s="4" t="s">
        <v>42</v>
      </c>
      <c r="C432" s="4" t="s">
        <v>23</v>
      </c>
      <c r="D432" s="4" t="s">
        <v>43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44621</v>
      </c>
      <c r="J432" s="6">
        <v>0</v>
      </c>
      <c r="K432" s="6">
        <v>0</v>
      </c>
      <c r="L432" s="6">
        <v>-196.922</v>
      </c>
      <c r="M432" s="6">
        <v>-196.922</v>
      </c>
      <c r="N432" s="6">
        <v>-196.922</v>
      </c>
      <c r="O432" s="6">
        <v>-196.922</v>
      </c>
      <c r="P432" s="6">
        <v>0</v>
      </c>
      <c r="Q432" s="4" t="s">
        <v>26</v>
      </c>
      <c r="R432" s="4">
        <v>0</v>
      </c>
      <c r="S432" s="4">
        <v>0</v>
      </c>
      <c r="T432" s="4">
        <v>30</v>
      </c>
      <c r="U432" s="4">
        <v>70</v>
      </c>
      <c r="V432" s="6">
        <f>IF(ISERROR(VLOOKUP($S$432,'TAR FIN'!$A$1:$O$86,15,0)),0,VLOOKUP($S$432,'TAR FIN'!$A$1:$O$86,15,0))</f>
        <v>0</v>
      </c>
      <c r="W432" s="6">
        <f>IF(ISERROR(VLOOKUP($T$432,'TAR FIN'!$A$1:$O$86,15,0)),0,VLOOKUP($T$432,'TAR FIN'!$A$1:$O$86,15,0))</f>
        <v>285.56</v>
      </c>
      <c r="X432" s="6">
        <f>IF(ISERROR(VLOOKUP($U$432,'TAR FIN'!$A$1:$O$86,15,0)),0,VLOOKUP($U$432,'TAR FIN'!$A$1:$O$86,15,0))</f>
        <v>227.23</v>
      </c>
      <c r="Y432" s="6"/>
      <c r="Z432" s="6">
        <f ca="1">('TUSD BE'!$AM$34+'TUSD BF'!$AM$34+'TUSD CVA'!$AM$34)*(1-CUSTOS!$M$38)</f>
        <v>310.34682484351242</v>
      </c>
      <c r="AA432" s="6">
        <f>('TE BE'!$AB$24+'TE BF'!$AB$24+'TE CVA'!$AB$24)*(1-CUSTOS!$M$38)</f>
        <v>216.7476358676706</v>
      </c>
      <c r="AB432" s="6">
        <f t="shared" si="22"/>
        <v>0</v>
      </c>
      <c r="AC432" s="6">
        <f>(L432-M432)*(W432+X432)+($W$254+$X$254-$W$432-$X$432)*(L432)</f>
        <v>-13768.786240000009</v>
      </c>
      <c r="AD432" s="6">
        <f t="shared" si="23"/>
        <v>0</v>
      </c>
      <c r="AE432" s="6">
        <f ca="1">(L432-M432)*(Z432+AA432)+($Z$254+$AA$254-$Z$432-$AA$432)*(L432)</f>
        <v>-6625.3082165213418</v>
      </c>
      <c r="AF432" s="4" t="s">
        <v>727</v>
      </c>
    </row>
    <row r="433" spans="1:32" ht="11.25" customHeight="1" x14ac:dyDescent="0.25">
      <c r="A433" s="4" t="s">
        <v>55</v>
      </c>
      <c r="B433" s="4" t="s">
        <v>42</v>
      </c>
      <c r="C433" s="4" t="s">
        <v>23</v>
      </c>
      <c r="D433" s="4" t="s">
        <v>43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44621</v>
      </c>
      <c r="J433" s="6">
        <v>0</v>
      </c>
      <c r="K433" s="6">
        <v>0</v>
      </c>
      <c r="L433" s="6">
        <v>60.874000000000002</v>
      </c>
      <c r="M433" s="6">
        <v>60.874000000000002</v>
      </c>
      <c r="N433" s="6">
        <v>60.874000000000002</v>
      </c>
      <c r="O433" s="6">
        <v>60.874000000000002</v>
      </c>
      <c r="P433" s="6">
        <v>256</v>
      </c>
      <c r="Q433" s="4" t="s">
        <v>26</v>
      </c>
      <c r="R433" s="4">
        <v>0</v>
      </c>
      <c r="S433" s="4">
        <v>0</v>
      </c>
      <c r="T433" s="4">
        <v>30</v>
      </c>
      <c r="U433" s="4">
        <v>70</v>
      </c>
      <c r="V433" s="6">
        <f>IF(ISERROR(VLOOKUP($S$433,'TAR FIN'!$A$1:$O$86,15,0)),0,VLOOKUP($S$433,'TAR FIN'!$A$1:$O$86,15,0))</f>
        <v>0</v>
      </c>
      <c r="W433" s="6">
        <f>IF(ISERROR(VLOOKUP($T$433,'TAR FIN'!$A$1:$O$86,15,0)),0,VLOOKUP($T$433,'TAR FIN'!$A$1:$O$86,15,0))</f>
        <v>285.56</v>
      </c>
      <c r="X433" s="6">
        <f>IF(ISERROR(VLOOKUP($U$433,'TAR FIN'!$A$1:$O$86,15,0)),0,VLOOKUP($U$433,'TAR FIN'!$A$1:$O$86,15,0))</f>
        <v>227.23</v>
      </c>
      <c r="Y433" s="6"/>
      <c r="Z433" s="6">
        <f ca="1">('TUSD BE'!$AM$34+'TUSD BF'!$AM$34+'TUSD CVA'!$AM$34)*(1-CUSTOS!$M$38)</f>
        <v>310.34682484351242</v>
      </c>
      <c r="AA433" s="6">
        <f>('TE BE'!$AB$24+'TE BF'!$AB$24+'TE CVA'!$AB$24)*(1-CUSTOS!$M$38)</f>
        <v>216.7476358676706</v>
      </c>
      <c r="AB433" s="6">
        <f t="shared" si="22"/>
        <v>0</v>
      </c>
      <c r="AC433" s="6">
        <f>(L433-M433)*(W433+X433)+($W$254+$X$254-$W$433-$X$433)*(L433)</f>
        <v>4256.3100800000029</v>
      </c>
      <c r="AD433" s="6">
        <f t="shared" si="23"/>
        <v>0</v>
      </c>
      <c r="AE433" s="6">
        <f ca="1">(L433-M433)*(Z433+AA433)+($Z$254+$AA$254-$Z$433-$AA$433)*(L433)</f>
        <v>2048.064778808463</v>
      </c>
      <c r="AF433" s="4" t="s">
        <v>727</v>
      </c>
    </row>
    <row r="434" spans="1:32" ht="11.25" customHeight="1" x14ac:dyDescent="0.25">
      <c r="A434" s="4" t="s">
        <v>55</v>
      </c>
      <c r="B434" s="4" t="s">
        <v>42</v>
      </c>
      <c r="C434" s="4" t="s">
        <v>23</v>
      </c>
      <c r="D434" s="4" t="s">
        <v>43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44621</v>
      </c>
      <c r="J434" s="6">
        <v>0</v>
      </c>
      <c r="K434" s="6">
        <v>0</v>
      </c>
      <c r="L434" s="6">
        <v>0.2</v>
      </c>
      <c r="M434" s="6">
        <v>0.2</v>
      </c>
      <c r="N434" s="6">
        <v>0.2</v>
      </c>
      <c r="O434" s="6">
        <v>0.2</v>
      </c>
      <c r="P434" s="6">
        <v>2</v>
      </c>
      <c r="Q434" s="4" t="s">
        <v>26</v>
      </c>
      <c r="R434" s="4">
        <v>0</v>
      </c>
      <c r="S434" s="4">
        <v>0</v>
      </c>
      <c r="T434" s="4">
        <v>30</v>
      </c>
      <c r="U434" s="4">
        <v>70</v>
      </c>
      <c r="V434" s="6">
        <f>IF(ISERROR(VLOOKUP($S$434,'TAR FIN'!$A$1:$O$86,15,0)),0,VLOOKUP($S$434,'TAR FIN'!$A$1:$O$86,15,0))</f>
        <v>0</v>
      </c>
      <c r="W434" s="6">
        <f>IF(ISERROR(VLOOKUP($T$434,'TAR FIN'!$A$1:$O$86,15,0)),0,VLOOKUP($T$434,'TAR FIN'!$A$1:$O$86,15,0))</f>
        <v>285.56</v>
      </c>
      <c r="X434" s="6">
        <f>IF(ISERROR(VLOOKUP($U$434,'TAR FIN'!$A$1:$O$86,15,0)),0,VLOOKUP($U$434,'TAR FIN'!$A$1:$O$86,15,0))</f>
        <v>227.23</v>
      </c>
      <c r="Y434" s="6"/>
      <c r="Z434" s="6">
        <f ca="1">('TUSD BE'!$AM$34+'TUSD BF'!$AM$34+'TUSD CVA'!$AM$34)*(1-CUSTOS!$M$38)</f>
        <v>310.34682484351242</v>
      </c>
      <c r="AA434" s="6">
        <f>('TE BE'!$AB$24+'TE BF'!$AB$24+'TE CVA'!$AB$24)*(1-CUSTOS!$M$38)</f>
        <v>216.7476358676706</v>
      </c>
      <c r="AB434" s="6">
        <f t="shared" si="22"/>
        <v>0</v>
      </c>
      <c r="AC434" s="6">
        <f>(L434-M434)*(W434+X434)+($W$254+$X$254-$W$434-$X$434)*(L434)</f>
        <v>13.984000000000009</v>
      </c>
      <c r="AD434" s="6">
        <f t="shared" si="23"/>
        <v>0</v>
      </c>
      <c r="AE434" s="6">
        <f ca="1">(L434-M434)*(Z434+AA434)+($Z$254+$AA$254-$Z$434-$AA$434)*(L434)</f>
        <v>6.7288654558874503</v>
      </c>
      <c r="AF434" s="4" t="s">
        <v>727</v>
      </c>
    </row>
    <row r="435" spans="1:32" ht="11.25" customHeight="1" x14ac:dyDescent="0.25">
      <c r="A435" s="4" t="s">
        <v>21</v>
      </c>
      <c r="B435" s="4" t="s">
        <v>42</v>
      </c>
      <c r="C435" s="4" t="s">
        <v>23</v>
      </c>
      <c r="D435" s="4" t="s">
        <v>43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44652</v>
      </c>
      <c r="J435" s="6">
        <v>0</v>
      </c>
      <c r="K435" s="6">
        <v>0</v>
      </c>
      <c r="L435" s="6">
        <v>1410.451</v>
      </c>
      <c r="M435" s="6">
        <v>1410.451</v>
      </c>
      <c r="N435" s="6">
        <v>1410.451</v>
      </c>
      <c r="O435" s="6">
        <v>1410.451</v>
      </c>
      <c r="P435" s="6">
        <v>3394</v>
      </c>
      <c r="Q435" s="4" t="s">
        <v>26</v>
      </c>
      <c r="R435" s="4">
        <v>0</v>
      </c>
      <c r="S435" s="4">
        <v>0</v>
      </c>
      <c r="T435" s="4">
        <v>30</v>
      </c>
      <c r="U435" s="4">
        <v>70</v>
      </c>
      <c r="V435" s="6">
        <f>IF(ISERROR(VLOOKUP($S$435,'TAR FIN'!$A$1:$O$86,15,0)),0,VLOOKUP($S$435,'TAR FIN'!$A$1:$O$86,15,0))</f>
        <v>0</v>
      </c>
      <c r="W435" s="6">
        <f>IF(ISERROR(VLOOKUP($T$435,'TAR FIN'!$A$1:$O$86,15,0)),0,VLOOKUP($T$435,'TAR FIN'!$A$1:$O$86,15,0))</f>
        <v>285.56</v>
      </c>
      <c r="X435" s="6">
        <f>IF(ISERROR(VLOOKUP($U$435,'TAR FIN'!$A$1:$O$86,15,0)),0,VLOOKUP($U$435,'TAR FIN'!$A$1:$O$86,15,0))</f>
        <v>227.23</v>
      </c>
      <c r="Y435" s="6"/>
      <c r="Z435" s="6">
        <f ca="1">('TUSD BE'!$AM$34+'TUSD BF'!$AM$34+'TUSD CVA'!$AM$34)*(1-CUSTOS!$M$38)</f>
        <v>310.34682484351242</v>
      </c>
      <c r="AA435" s="6">
        <f>('TE BE'!$AB$24+'TE BF'!$AB$24+'TE CVA'!$AB$24)*(1-CUSTOS!$M$38)</f>
        <v>216.7476358676706</v>
      </c>
      <c r="AB435" s="6">
        <f t="shared" si="22"/>
        <v>0</v>
      </c>
      <c r="AC435" s="6">
        <f>(L435-M435)*(W435+X435)+($W$254+$X$254-$W$435-$X$435)*(L435)</f>
        <v>98618.733920000057</v>
      </c>
      <c r="AD435" s="6">
        <f t="shared" si="23"/>
        <v>0</v>
      </c>
      <c r="AE435" s="6">
        <f ca="1">(L435-M435)*(Z435+AA435)+($Z$254+$AA$254-$Z$435-$AA$435)*(L435)</f>
        <v>47453.67505560955</v>
      </c>
      <c r="AF435" s="4" t="s">
        <v>727</v>
      </c>
    </row>
    <row r="436" spans="1:32" ht="11.25" customHeight="1" x14ac:dyDescent="0.25">
      <c r="A436" s="4" t="s">
        <v>27</v>
      </c>
      <c r="B436" s="4" t="s">
        <v>42</v>
      </c>
      <c r="C436" s="4" t="s">
        <v>23</v>
      </c>
      <c r="D436" s="4" t="s">
        <v>43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44652</v>
      </c>
      <c r="J436" s="6">
        <v>0</v>
      </c>
      <c r="K436" s="6">
        <v>0</v>
      </c>
      <c r="L436" s="6">
        <v>-112.73</v>
      </c>
      <c r="M436" s="6">
        <v>-112.73</v>
      </c>
      <c r="N436" s="6">
        <v>-112.73</v>
      </c>
      <c r="O436" s="6">
        <v>-112.73</v>
      </c>
      <c r="P436" s="6">
        <v>0</v>
      </c>
      <c r="Q436" s="4" t="s">
        <v>26</v>
      </c>
      <c r="R436" s="4">
        <v>0</v>
      </c>
      <c r="S436" s="4">
        <v>0</v>
      </c>
      <c r="T436" s="4">
        <v>30</v>
      </c>
      <c r="U436" s="4">
        <v>70</v>
      </c>
      <c r="V436" s="6">
        <f>IF(ISERROR(VLOOKUP($S$436,'TAR FIN'!$A$1:$O$86,15,0)),0,VLOOKUP($S$436,'TAR FIN'!$A$1:$O$86,15,0))</f>
        <v>0</v>
      </c>
      <c r="W436" s="6">
        <f>IF(ISERROR(VLOOKUP($T$436,'TAR FIN'!$A$1:$O$86,15,0)),0,VLOOKUP($T$436,'TAR FIN'!$A$1:$O$86,15,0))</f>
        <v>285.56</v>
      </c>
      <c r="X436" s="6">
        <f>IF(ISERROR(VLOOKUP($U$436,'TAR FIN'!$A$1:$O$86,15,0)),0,VLOOKUP($U$436,'TAR FIN'!$A$1:$O$86,15,0))</f>
        <v>227.23</v>
      </c>
      <c r="Y436" s="6"/>
      <c r="Z436" s="6">
        <f ca="1">('TUSD BE'!$AM$34+'TUSD BF'!$AM$34+'TUSD CVA'!$AM$34)*(1-CUSTOS!$M$38)</f>
        <v>310.34682484351242</v>
      </c>
      <c r="AA436" s="6">
        <f>('TE BE'!$AB$24+'TE BF'!$AB$24+'TE CVA'!$AB$24)*(1-CUSTOS!$M$38)</f>
        <v>216.7476358676706</v>
      </c>
      <c r="AB436" s="6">
        <f t="shared" si="22"/>
        <v>0</v>
      </c>
      <c r="AC436" s="6">
        <f>(L436-M436)*(W436+X436)+($W$254+$X$254-$W$436-$X$436)*(L436)</f>
        <v>-7882.081600000005</v>
      </c>
      <c r="AD436" s="6">
        <f t="shared" si="23"/>
        <v>0</v>
      </c>
      <c r="AE436" s="6">
        <f ca="1">(L436-M436)*(Z436+AA436)+($Z$254+$AA$254-$Z$436-$AA$436)*(L436)</f>
        <v>-3792.725014210961</v>
      </c>
      <c r="AF436" s="4" t="s">
        <v>727</v>
      </c>
    </row>
    <row r="437" spans="1:32" ht="11.25" customHeight="1" x14ac:dyDescent="0.25">
      <c r="A437" s="4" t="s">
        <v>55</v>
      </c>
      <c r="B437" s="4" t="s">
        <v>42</v>
      </c>
      <c r="C437" s="4" t="s">
        <v>23</v>
      </c>
      <c r="D437" s="4" t="s">
        <v>43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44652</v>
      </c>
      <c r="J437" s="6">
        <v>0</v>
      </c>
      <c r="K437" s="6">
        <v>0</v>
      </c>
      <c r="L437" s="6">
        <v>95.173000000000002</v>
      </c>
      <c r="M437" s="6">
        <v>95.173000000000002</v>
      </c>
      <c r="N437" s="6">
        <v>95.173000000000002</v>
      </c>
      <c r="O437" s="6">
        <v>95.173000000000002</v>
      </c>
      <c r="P437" s="6">
        <v>276</v>
      </c>
      <c r="Q437" s="4" t="s">
        <v>26</v>
      </c>
      <c r="R437" s="4">
        <v>0</v>
      </c>
      <c r="S437" s="4">
        <v>0</v>
      </c>
      <c r="T437" s="4">
        <v>30</v>
      </c>
      <c r="U437" s="4">
        <v>70</v>
      </c>
      <c r="V437" s="6">
        <f>IF(ISERROR(VLOOKUP($S$437,'TAR FIN'!$A$1:$O$86,15,0)),0,VLOOKUP($S$437,'TAR FIN'!$A$1:$O$86,15,0))</f>
        <v>0</v>
      </c>
      <c r="W437" s="6">
        <f>IF(ISERROR(VLOOKUP($T$437,'TAR FIN'!$A$1:$O$86,15,0)),0,VLOOKUP($T$437,'TAR FIN'!$A$1:$O$86,15,0))</f>
        <v>285.56</v>
      </c>
      <c r="X437" s="6">
        <f>IF(ISERROR(VLOOKUP($U$437,'TAR FIN'!$A$1:$O$86,15,0)),0,VLOOKUP($U$437,'TAR FIN'!$A$1:$O$86,15,0))</f>
        <v>227.23</v>
      </c>
      <c r="Y437" s="6"/>
      <c r="Z437" s="6">
        <f ca="1">('TUSD BE'!$AM$34+'TUSD BF'!$AM$34+'TUSD CVA'!$AM$34)*(1-CUSTOS!$M$38)</f>
        <v>310.34682484351242</v>
      </c>
      <c r="AA437" s="6">
        <f>('TE BE'!$AB$24+'TE BF'!$AB$24+'TE CVA'!$AB$24)*(1-CUSTOS!$M$38)</f>
        <v>216.7476358676706</v>
      </c>
      <c r="AB437" s="6">
        <f t="shared" si="22"/>
        <v>0</v>
      </c>
      <c r="AC437" s="6">
        <f>(L437-M437)*(W437+X437)+($W$254+$X$254-$W$437-$X$437)*(L437)</f>
        <v>6654.4961600000042</v>
      </c>
      <c r="AD437" s="6">
        <f t="shared" si="23"/>
        <v>0</v>
      </c>
      <c r="AE437" s="6">
        <f ca="1">(L437-M437)*(Z437+AA437)+($Z$254+$AA$254-$Z$437-$AA$437)*(L437)</f>
        <v>3202.0315601658813</v>
      </c>
      <c r="AF437" s="4" t="s">
        <v>727</v>
      </c>
    </row>
    <row r="438" spans="1:32" ht="11.25" customHeight="1" x14ac:dyDescent="0.25">
      <c r="A438" s="4" t="s">
        <v>21</v>
      </c>
      <c r="B438" s="4" t="s">
        <v>42</v>
      </c>
      <c r="C438" s="4" t="s">
        <v>23</v>
      </c>
      <c r="D438" s="4" t="s">
        <v>43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44682</v>
      </c>
      <c r="J438" s="6">
        <v>0</v>
      </c>
      <c r="K438" s="6">
        <v>0</v>
      </c>
      <c r="L438" s="6">
        <v>1287.5889999999999</v>
      </c>
      <c r="M438" s="6">
        <v>1287.5889999999999</v>
      </c>
      <c r="N438" s="6">
        <v>1287.5889999999999</v>
      </c>
      <c r="O438" s="6">
        <v>1287.5889999999999</v>
      </c>
      <c r="P438" s="6">
        <v>3370</v>
      </c>
      <c r="Q438" s="4" t="s">
        <v>26</v>
      </c>
      <c r="R438" s="4">
        <v>0</v>
      </c>
      <c r="S438" s="4">
        <v>0</v>
      </c>
      <c r="T438" s="4">
        <v>30</v>
      </c>
      <c r="U438" s="4">
        <v>70</v>
      </c>
      <c r="V438" s="6">
        <f>IF(ISERROR(VLOOKUP($S$438,'TAR FIN'!$A$1:$O$86,15,0)),0,VLOOKUP($S$438,'TAR FIN'!$A$1:$O$86,15,0))</f>
        <v>0</v>
      </c>
      <c r="W438" s="6">
        <f>IF(ISERROR(VLOOKUP($T$438,'TAR FIN'!$A$1:$O$86,15,0)),0,VLOOKUP($T$438,'TAR FIN'!$A$1:$O$86,15,0))</f>
        <v>285.56</v>
      </c>
      <c r="X438" s="6">
        <f>IF(ISERROR(VLOOKUP($U$438,'TAR FIN'!$A$1:$O$86,15,0)),0,VLOOKUP($U$438,'TAR FIN'!$A$1:$O$86,15,0))</f>
        <v>227.23</v>
      </c>
      <c r="Y438" s="6"/>
      <c r="Z438" s="6">
        <f ca="1">('TUSD BE'!$AM$34+'TUSD BF'!$AM$34+'TUSD CVA'!$AM$34)*(1-CUSTOS!$M$38)</f>
        <v>310.34682484351242</v>
      </c>
      <c r="AA438" s="6">
        <f>('TE BE'!$AB$24+'TE BF'!$AB$24+'TE CVA'!$AB$24)*(1-CUSTOS!$M$38)</f>
        <v>216.7476358676706</v>
      </c>
      <c r="AB438" s="6">
        <f t="shared" si="22"/>
        <v>0</v>
      </c>
      <c r="AC438" s="6">
        <f>(L438-M438)*(W438+X438)+($W$254+$X$254-$W$438-$X$438)*(L438)</f>
        <v>90028.222880000059</v>
      </c>
      <c r="AD438" s="6">
        <f t="shared" si="23"/>
        <v>0</v>
      </c>
      <c r="AE438" s="6">
        <f ca="1">(L438-M438)*(Z438+AA438)+($Z$254+$AA$254-$Z$438-$AA$438)*(L438)</f>
        <v>43320.065717403326</v>
      </c>
      <c r="AF438" s="4" t="s">
        <v>727</v>
      </c>
    </row>
    <row r="439" spans="1:32" ht="11.25" customHeight="1" x14ac:dyDescent="0.25">
      <c r="A439" s="4" t="s">
        <v>27</v>
      </c>
      <c r="B439" s="4" t="s">
        <v>42</v>
      </c>
      <c r="C439" s="4" t="s">
        <v>23</v>
      </c>
      <c r="D439" s="4" t="s">
        <v>43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44682</v>
      </c>
      <c r="J439" s="6">
        <v>0</v>
      </c>
      <c r="K439" s="6">
        <v>0</v>
      </c>
      <c r="L439" s="6">
        <v>-4.1399999999999997</v>
      </c>
      <c r="M439" s="6">
        <v>-4.1399999999999997</v>
      </c>
      <c r="N439" s="6">
        <v>-4.1399999999999997</v>
      </c>
      <c r="O439" s="6">
        <v>-4.1399999999999997</v>
      </c>
      <c r="P439" s="6">
        <v>0</v>
      </c>
      <c r="Q439" s="4" t="s">
        <v>26</v>
      </c>
      <c r="R439" s="4">
        <v>0</v>
      </c>
      <c r="S439" s="4">
        <v>0</v>
      </c>
      <c r="T439" s="4">
        <v>30</v>
      </c>
      <c r="U439" s="4">
        <v>70</v>
      </c>
      <c r="V439" s="6">
        <f>IF(ISERROR(VLOOKUP($S$439,'TAR FIN'!$A$1:$O$86,15,0)),0,VLOOKUP($S$439,'TAR FIN'!$A$1:$O$86,15,0))</f>
        <v>0</v>
      </c>
      <c r="W439" s="6">
        <f>IF(ISERROR(VLOOKUP($T$439,'TAR FIN'!$A$1:$O$86,15,0)),0,VLOOKUP($T$439,'TAR FIN'!$A$1:$O$86,15,0))</f>
        <v>285.56</v>
      </c>
      <c r="X439" s="6">
        <f>IF(ISERROR(VLOOKUP($U$439,'TAR FIN'!$A$1:$O$86,15,0)),0,VLOOKUP($U$439,'TAR FIN'!$A$1:$O$86,15,0))</f>
        <v>227.23</v>
      </c>
      <c r="Y439" s="6"/>
      <c r="Z439" s="6">
        <f ca="1">('TUSD BE'!$AM$34+'TUSD BF'!$AM$34+'TUSD CVA'!$AM$34)*(1-CUSTOS!$M$38)</f>
        <v>310.34682484351242</v>
      </c>
      <c r="AA439" s="6">
        <f>('TE BE'!$AB$24+'TE BF'!$AB$24+'TE CVA'!$AB$24)*(1-CUSTOS!$M$38)</f>
        <v>216.7476358676706</v>
      </c>
      <c r="AB439" s="6">
        <f t="shared" si="22"/>
        <v>0</v>
      </c>
      <c r="AC439" s="6">
        <f>(L439-M439)*(W439+X439)+($W$254+$X$254-$W$439-$X$439)*(L439)</f>
        <v>-289.46880000000016</v>
      </c>
      <c r="AD439" s="6">
        <f t="shared" si="23"/>
        <v>0</v>
      </c>
      <c r="AE439" s="6">
        <f ca="1">(L439-M439)*(Z439+AA439)+($Z$254+$AA$254-$Z$439-$AA$439)*(L439)</f>
        <v>-139.2875149368702</v>
      </c>
      <c r="AF439" s="4" t="s">
        <v>727</v>
      </c>
    </row>
    <row r="440" spans="1:32" ht="11.25" customHeight="1" x14ac:dyDescent="0.25">
      <c r="A440" s="4" t="s">
        <v>55</v>
      </c>
      <c r="B440" s="4" t="s">
        <v>42</v>
      </c>
      <c r="C440" s="4" t="s">
        <v>23</v>
      </c>
      <c r="D440" s="4" t="s">
        <v>43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44682</v>
      </c>
      <c r="J440" s="6">
        <v>0</v>
      </c>
      <c r="K440" s="6">
        <v>0</v>
      </c>
      <c r="L440" s="6">
        <v>87.944000000000003</v>
      </c>
      <c r="M440" s="6">
        <v>87.944000000000003</v>
      </c>
      <c r="N440" s="6">
        <v>87.944000000000003</v>
      </c>
      <c r="O440" s="6">
        <v>87.944000000000003</v>
      </c>
      <c r="P440" s="6">
        <v>293</v>
      </c>
      <c r="Q440" s="4" t="s">
        <v>26</v>
      </c>
      <c r="R440" s="4">
        <v>0</v>
      </c>
      <c r="S440" s="4">
        <v>0</v>
      </c>
      <c r="T440" s="4">
        <v>30</v>
      </c>
      <c r="U440" s="4">
        <v>70</v>
      </c>
      <c r="V440" s="6">
        <f>IF(ISERROR(VLOOKUP($S$440,'TAR FIN'!$A$1:$O$86,15,0)),0,VLOOKUP($S$440,'TAR FIN'!$A$1:$O$86,15,0))</f>
        <v>0</v>
      </c>
      <c r="W440" s="6">
        <f>IF(ISERROR(VLOOKUP($T$440,'TAR FIN'!$A$1:$O$86,15,0)),0,VLOOKUP($T$440,'TAR FIN'!$A$1:$O$86,15,0))</f>
        <v>285.56</v>
      </c>
      <c r="X440" s="6">
        <f>IF(ISERROR(VLOOKUP($U$440,'TAR FIN'!$A$1:$O$86,15,0)),0,VLOOKUP($U$440,'TAR FIN'!$A$1:$O$86,15,0))</f>
        <v>227.23</v>
      </c>
      <c r="Y440" s="6"/>
      <c r="Z440" s="6">
        <f ca="1">('TUSD BE'!$AM$34+'TUSD BF'!$AM$34+'TUSD CVA'!$AM$34)*(1-CUSTOS!$M$38)</f>
        <v>310.34682484351242</v>
      </c>
      <c r="AA440" s="6">
        <f>('TE BE'!$AB$24+'TE BF'!$AB$24+'TE CVA'!$AB$24)*(1-CUSTOS!$M$38)</f>
        <v>216.7476358676706</v>
      </c>
      <c r="AB440" s="6">
        <f t="shared" si="22"/>
        <v>0</v>
      </c>
      <c r="AC440" s="6">
        <f>(L440-M440)*(W440+X440)+($W$254+$X$254-$W$440-$X$440)*(L440)</f>
        <v>6149.0444800000041</v>
      </c>
      <c r="AD440" s="6">
        <f t="shared" si="23"/>
        <v>0</v>
      </c>
      <c r="AE440" s="6">
        <f ca="1">(L440-M440)*(Z440+AA440)+($Z$254+$AA$254-$Z$440-$AA$440)*(L440)</f>
        <v>2958.8167182628295</v>
      </c>
      <c r="AF440" s="4" t="s">
        <v>727</v>
      </c>
    </row>
    <row r="441" spans="1:32" ht="11.25" customHeight="1" x14ac:dyDescent="0.25">
      <c r="A441" s="4" t="s">
        <v>55</v>
      </c>
      <c r="B441" s="4" t="s">
        <v>42</v>
      </c>
      <c r="C441" s="4" t="s">
        <v>23</v>
      </c>
      <c r="D441" s="4" t="s">
        <v>43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44682</v>
      </c>
      <c r="J441" s="6">
        <v>0</v>
      </c>
      <c r="K441" s="6">
        <v>0</v>
      </c>
      <c r="L441" s="6">
        <v>-0.11899999999999999</v>
      </c>
      <c r="M441" s="6">
        <v>-0.11899999999999999</v>
      </c>
      <c r="N441" s="6">
        <v>-0.11899999999999999</v>
      </c>
      <c r="O441" s="6">
        <v>-0.11899999999999999</v>
      </c>
      <c r="P441" s="6">
        <v>2</v>
      </c>
      <c r="Q441" s="4" t="s">
        <v>26</v>
      </c>
      <c r="R441" s="4">
        <v>0</v>
      </c>
      <c r="S441" s="4">
        <v>0</v>
      </c>
      <c r="T441" s="4">
        <v>30</v>
      </c>
      <c r="U441" s="4">
        <v>70</v>
      </c>
      <c r="V441" s="6">
        <f>IF(ISERROR(VLOOKUP($S$441,'TAR FIN'!$A$1:$O$86,15,0)),0,VLOOKUP($S$441,'TAR FIN'!$A$1:$O$86,15,0))</f>
        <v>0</v>
      </c>
      <c r="W441" s="6">
        <f>IF(ISERROR(VLOOKUP($T$441,'TAR FIN'!$A$1:$O$86,15,0)),0,VLOOKUP($T$441,'TAR FIN'!$A$1:$O$86,15,0))</f>
        <v>285.56</v>
      </c>
      <c r="X441" s="6">
        <f>IF(ISERROR(VLOOKUP($U$441,'TAR FIN'!$A$1:$O$86,15,0)),0,VLOOKUP($U$441,'TAR FIN'!$A$1:$O$86,15,0))</f>
        <v>227.23</v>
      </c>
      <c r="Y441" s="6"/>
      <c r="Z441" s="6">
        <f ca="1">('TUSD BE'!$AM$34+'TUSD BF'!$AM$34+'TUSD CVA'!$AM$34)*(1-CUSTOS!$M$38)</f>
        <v>310.34682484351242</v>
      </c>
      <c r="AA441" s="6">
        <f>('TE BE'!$AB$24+'TE BF'!$AB$24+'TE CVA'!$AB$24)*(1-CUSTOS!$M$38)</f>
        <v>216.7476358676706</v>
      </c>
      <c r="AB441" s="6">
        <f t="shared" si="22"/>
        <v>0</v>
      </c>
      <c r="AC441" s="6">
        <f>(L441-M441)*(W441+X441)+($W$254+$X$254-$W$441-$X$441)*(L441)</f>
        <v>-8.3204800000000052</v>
      </c>
      <c r="AD441" s="6">
        <f t="shared" si="23"/>
        <v>0</v>
      </c>
      <c r="AE441" s="6">
        <f ca="1">(L441-M441)*(Z441+AA441)+($Z$254+$AA$254-$Z$441-$AA$441)*(L441)</f>
        <v>-4.0036749462530326</v>
      </c>
      <c r="AF441" s="4" t="s">
        <v>727</v>
      </c>
    </row>
    <row r="442" spans="1:32" ht="11.25" customHeight="1" x14ac:dyDescent="0.25">
      <c r="A442" s="4" t="s">
        <v>56</v>
      </c>
      <c r="B442" s="4" t="s">
        <v>42</v>
      </c>
      <c r="C442" s="4" t="s">
        <v>23</v>
      </c>
      <c r="D442" s="4" t="s">
        <v>43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44713</v>
      </c>
      <c r="J442" s="6">
        <v>0</v>
      </c>
      <c r="K442" s="6">
        <v>0</v>
      </c>
      <c r="L442" s="6">
        <v>1287.5889999999999</v>
      </c>
      <c r="M442" s="6">
        <v>1287.5889999999999</v>
      </c>
      <c r="N442" s="6">
        <v>1287.5889999999999</v>
      </c>
      <c r="O442" s="6">
        <v>1287.5889999999999</v>
      </c>
      <c r="P442" s="6">
        <v>3370</v>
      </c>
      <c r="Q442" s="4" t="s">
        <v>26</v>
      </c>
      <c r="R442" s="4">
        <v>0</v>
      </c>
      <c r="S442" s="4">
        <v>0</v>
      </c>
      <c r="T442" s="4">
        <v>30</v>
      </c>
      <c r="U442" s="4">
        <v>70</v>
      </c>
      <c r="V442" s="6">
        <f>IF(ISERROR(VLOOKUP($S$442,'TAR FIN'!$A$1:$O$86,15,0)),0,VLOOKUP($S$442,'TAR FIN'!$A$1:$O$86,15,0))</f>
        <v>0</v>
      </c>
      <c r="W442" s="6">
        <f>IF(ISERROR(VLOOKUP($T$442,'TAR FIN'!$A$1:$O$86,15,0)),0,VLOOKUP($T$442,'TAR FIN'!$A$1:$O$86,15,0))</f>
        <v>285.56</v>
      </c>
      <c r="X442" s="6">
        <f>IF(ISERROR(VLOOKUP($U$442,'TAR FIN'!$A$1:$O$86,15,0)),0,VLOOKUP($U$442,'TAR FIN'!$A$1:$O$86,15,0))</f>
        <v>227.23</v>
      </c>
      <c r="Y442" s="6"/>
      <c r="Z442" s="6">
        <f ca="1">('TUSD BE'!$AM$34+'TUSD BF'!$AM$34+'TUSD CVA'!$AM$34)*(1-CUSTOS!$M$38)</f>
        <v>310.34682484351242</v>
      </c>
      <c r="AA442" s="6">
        <f>('TE BE'!$AB$24+'TE BF'!$AB$24+'TE CVA'!$AB$24)*(1-CUSTOS!$M$38)</f>
        <v>216.7476358676706</v>
      </c>
      <c r="AB442" s="6">
        <f t="shared" si="22"/>
        <v>0</v>
      </c>
      <c r="AC442" s="6">
        <f>(L442-M442)*(W442+X442)+($W$254+$X$254-$W$442-$X$442)*(L442)</f>
        <v>90028.222880000059</v>
      </c>
      <c r="AD442" s="6">
        <f t="shared" si="23"/>
        <v>0</v>
      </c>
      <c r="AE442" s="6">
        <f ca="1">(L442-M442)*(Z442+AA442)+($Z$254+$AA$254-$Z$442-$AA$442)*(L442)</f>
        <v>43320.065717403326</v>
      </c>
      <c r="AF442" s="4" t="s">
        <v>727</v>
      </c>
    </row>
    <row r="443" spans="1:32" ht="11.25" customHeight="1" x14ac:dyDescent="0.25">
      <c r="A443" s="4" t="s">
        <v>56</v>
      </c>
      <c r="B443" s="4" t="s">
        <v>42</v>
      </c>
      <c r="C443" s="4" t="s">
        <v>23</v>
      </c>
      <c r="D443" s="4" t="s">
        <v>43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44713</v>
      </c>
      <c r="J443" s="6">
        <v>0</v>
      </c>
      <c r="K443" s="6">
        <v>0</v>
      </c>
      <c r="L443" s="6">
        <v>-4.1399999999999997</v>
      </c>
      <c r="M443" s="6">
        <v>-4.1399999999999997</v>
      </c>
      <c r="N443" s="6">
        <v>-4.1399999999999997</v>
      </c>
      <c r="O443" s="6">
        <v>-4.1399999999999997</v>
      </c>
      <c r="P443" s="6">
        <v>0</v>
      </c>
      <c r="Q443" s="4" t="s">
        <v>26</v>
      </c>
      <c r="R443" s="4">
        <v>0</v>
      </c>
      <c r="S443" s="4">
        <v>0</v>
      </c>
      <c r="T443" s="4">
        <v>30</v>
      </c>
      <c r="U443" s="4">
        <v>70</v>
      </c>
      <c r="V443" s="6">
        <f>IF(ISERROR(VLOOKUP($S$443,'TAR FIN'!$A$1:$O$86,15,0)),0,VLOOKUP($S$443,'TAR FIN'!$A$1:$O$86,15,0))</f>
        <v>0</v>
      </c>
      <c r="W443" s="6">
        <f>IF(ISERROR(VLOOKUP($T$443,'TAR FIN'!$A$1:$O$86,15,0)),0,VLOOKUP($T$443,'TAR FIN'!$A$1:$O$86,15,0))</f>
        <v>285.56</v>
      </c>
      <c r="X443" s="6">
        <f>IF(ISERROR(VLOOKUP($U$443,'TAR FIN'!$A$1:$O$86,15,0)),0,VLOOKUP($U$443,'TAR FIN'!$A$1:$O$86,15,0))</f>
        <v>227.23</v>
      </c>
      <c r="Y443" s="6"/>
      <c r="Z443" s="6">
        <f ca="1">('TUSD BE'!$AM$34+'TUSD BF'!$AM$34+'TUSD CVA'!$AM$34)*(1-CUSTOS!$M$38)</f>
        <v>310.34682484351242</v>
      </c>
      <c r="AA443" s="6">
        <f>('TE BE'!$AB$24+'TE BF'!$AB$24+'TE CVA'!$AB$24)*(1-CUSTOS!$M$38)</f>
        <v>216.7476358676706</v>
      </c>
      <c r="AB443" s="6">
        <f t="shared" si="22"/>
        <v>0</v>
      </c>
      <c r="AC443" s="6">
        <f>(L443-M443)*(W443+X443)+($W$254+$X$254-$W$443-$X$443)*(L443)</f>
        <v>-289.46880000000016</v>
      </c>
      <c r="AD443" s="6">
        <f t="shared" si="23"/>
        <v>0</v>
      </c>
      <c r="AE443" s="6">
        <f ca="1">(L443-M443)*(Z443+AA443)+($Z$254+$AA$254-$Z$443-$AA$443)*(L443)</f>
        <v>-139.2875149368702</v>
      </c>
      <c r="AF443" s="4" t="s">
        <v>727</v>
      </c>
    </row>
    <row r="444" spans="1:32" ht="11.25" customHeight="1" x14ac:dyDescent="0.25">
      <c r="A444" s="4" t="s">
        <v>56</v>
      </c>
      <c r="B444" s="4" t="s">
        <v>42</v>
      </c>
      <c r="C444" s="4" t="s">
        <v>23</v>
      </c>
      <c r="D444" s="4" t="s">
        <v>43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44713</v>
      </c>
      <c r="J444" s="6">
        <v>0</v>
      </c>
      <c r="K444" s="6">
        <v>0</v>
      </c>
      <c r="L444" s="6">
        <v>87.944000000000003</v>
      </c>
      <c r="M444" s="6">
        <v>87.944000000000003</v>
      </c>
      <c r="N444" s="6">
        <v>87.944000000000003</v>
      </c>
      <c r="O444" s="6">
        <v>87.944000000000003</v>
      </c>
      <c r="P444" s="6">
        <v>293</v>
      </c>
      <c r="Q444" s="4" t="s">
        <v>26</v>
      </c>
      <c r="R444" s="4">
        <v>0</v>
      </c>
      <c r="S444" s="4">
        <v>0</v>
      </c>
      <c r="T444" s="4">
        <v>30</v>
      </c>
      <c r="U444" s="4">
        <v>70</v>
      </c>
      <c r="V444" s="6">
        <f>IF(ISERROR(VLOOKUP($S$444,'TAR FIN'!$A$1:$O$86,15,0)),0,VLOOKUP($S$444,'TAR FIN'!$A$1:$O$86,15,0))</f>
        <v>0</v>
      </c>
      <c r="W444" s="6">
        <f>IF(ISERROR(VLOOKUP($T$444,'TAR FIN'!$A$1:$O$86,15,0)),0,VLOOKUP($T$444,'TAR FIN'!$A$1:$O$86,15,0))</f>
        <v>285.56</v>
      </c>
      <c r="X444" s="6">
        <f>IF(ISERROR(VLOOKUP($U$444,'TAR FIN'!$A$1:$O$86,15,0)),0,VLOOKUP($U$444,'TAR FIN'!$A$1:$O$86,15,0))</f>
        <v>227.23</v>
      </c>
      <c r="Y444" s="6"/>
      <c r="Z444" s="6">
        <f ca="1">('TUSD BE'!$AM$34+'TUSD BF'!$AM$34+'TUSD CVA'!$AM$34)*(1-CUSTOS!$M$38)</f>
        <v>310.34682484351242</v>
      </c>
      <c r="AA444" s="6">
        <f>('TE BE'!$AB$24+'TE BF'!$AB$24+'TE CVA'!$AB$24)*(1-CUSTOS!$M$38)</f>
        <v>216.7476358676706</v>
      </c>
      <c r="AB444" s="6">
        <f t="shared" si="22"/>
        <v>0</v>
      </c>
      <c r="AC444" s="6">
        <f>(L444-M444)*(W444+X444)+($W$254+$X$254-$W$444-$X$444)*(L444)</f>
        <v>6149.0444800000041</v>
      </c>
      <c r="AD444" s="6">
        <f t="shared" si="23"/>
        <v>0</v>
      </c>
      <c r="AE444" s="6">
        <f ca="1">(L444-M444)*(Z444+AA444)+($Z$254+$AA$254-$Z$444-$AA$444)*(L444)</f>
        <v>2958.8167182628295</v>
      </c>
      <c r="AF444" s="4" t="s">
        <v>727</v>
      </c>
    </row>
    <row r="445" spans="1:32" ht="11.25" customHeight="1" x14ac:dyDescent="0.25">
      <c r="A445" s="4" t="s">
        <v>56</v>
      </c>
      <c r="B445" s="4" t="s">
        <v>42</v>
      </c>
      <c r="C445" s="4" t="s">
        <v>23</v>
      </c>
      <c r="D445" s="4" t="s">
        <v>43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44713</v>
      </c>
      <c r="J445" s="6">
        <v>0</v>
      </c>
      <c r="K445" s="6">
        <v>0</v>
      </c>
      <c r="L445" s="6">
        <v>-0.11899999999999999</v>
      </c>
      <c r="M445" s="6">
        <v>-0.11899999999999999</v>
      </c>
      <c r="N445" s="6">
        <v>-0.11899999999999999</v>
      </c>
      <c r="O445" s="6">
        <v>-0.11899999999999999</v>
      </c>
      <c r="P445" s="6">
        <v>2</v>
      </c>
      <c r="Q445" s="4" t="s">
        <v>26</v>
      </c>
      <c r="R445" s="4">
        <v>0</v>
      </c>
      <c r="S445" s="4">
        <v>0</v>
      </c>
      <c r="T445" s="4">
        <v>30</v>
      </c>
      <c r="U445" s="4">
        <v>70</v>
      </c>
      <c r="V445" s="6">
        <f>IF(ISERROR(VLOOKUP($S$445,'TAR FIN'!$A$1:$O$86,15,0)),0,VLOOKUP($S$445,'TAR FIN'!$A$1:$O$86,15,0))</f>
        <v>0</v>
      </c>
      <c r="W445" s="6">
        <f>IF(ISERROR(VLOOKUP($T$445,'TAR FIN'!$A$1:$O$86,15,0)),0,VLOOKUP($T$445,'TAR FIN'!$A$1:$O$86,15,0))</f>
        <v>285.56</v>
      </c>
      <c r="X445" s="6">
        <f>IF(ISERROR(VLOOKUP($U$445,'TAR FIN'!$A$1:$O$86,15,0)),0,VLOOKUP($U$445,'TAR FIN'!$A$1:$O$86,15,0))</f>
        <v>227.23</v>
      </c>
      <c r="Y445" s="6"/>
      <c r="Z445" s="6">
        <f ca="1">('TUSD BE'!$AM$34+'TUSD BF'!$AM$34+'TUSD CVA'!$AM$34)*(1-CUSTOS!$M$38)</f>
        <v>310.34682484351242</v>
      </c>
      <c r="AA445" s="6">
        <f>('TE BE'!$AB$24+'TE BF'!$AB$24+'TE CVA'!$AB$24)*(1-CUSTOS!$M$38)</f>
        <v>216.7476358676706</v>
      </c>
      <c r="AB445" s="6">
        <f t="shared" si="22"/>
        <v>0</v>
      </c>
      <c r="AC445" s="6">
        <f>(L445-M445)*(W445+X445)+($W$254+$X$254-$W$445-$X$445)*(L445)</f>
        <v>-8.3204800000000052</v>
      </c>
      <c r="AD445" s="6">
        <f t="shared" si="23"/>
        <v>0</v>
      </c>
      <c r="AE445" s="6">
        <f ca="1">(L445-M445)*(Z445+AA445)+($Z$254+$AA$254-$Z$445-$AA$445)*(L445)</f>
        <v>-4.0036749462530326</v>
      </c>
      <c r="AF445" s="4" t="s">
        <v>727</v>
      </c>
    </row>
    <row r="446" spans="1:32" ht="11.25" customHeight="1" x14ac:dyDescent="0.25">
      <c r="A446" s="4" t="s">
        <v>21</v>
      </c>
      <c r="B446" s="4" t="s">
        <v>36</v>
      </c>
      <c r="C446" s="4" t="s">
        <v>23</v>
      </c>
      <c r="D446" s="4" t="s">
        <v>48</v>
      </c>
      <c r="E446" s="4" t="s">
        <v>49</v>
      </c>
      <c r="F446" s="4" t="s">
        <v>25</v>
      </c>
      <c r="G446" s="4" t="s">
        <v>25</v>
      </c>
      <c r="H446" s="4" t="s">
        <v>25</v>
      </c>
      <c r="I446" s="5">
        <v>44378</v>
      </c>
      <c r="J446" s="6">
        <v>0</v>
      </c>
      <c r="K446" s="97">
        <v>0</v>
      </c>
      <c r="L446" s="6">
        <v>91.671000000000006</v>
      </c>
      <c r="M446" s="97">
        <v>91.671000000000006</v>
      </c>
      <c r="N446" s="6">
        <v>91.671000000000006</v>
      </c>
      <c r="O446" s="97">
        <v>91.671000000000006</v>
      </c>
      <c r="P446" s="6">
        <v>26</v>
      </c>
      <c r="Q446" s="4" t="s">
        <v>26</v>
      </c>
      <c r="R446" s="4">
        <v>0</v>
      </c>
      <c r="S446" s="4">
        <v>0</v>
      </c>
      <c r="T446" s="4">
        <v>34</v>
      </c>
      <c r="U446" s="4">
        <v>80</v>
      </c>
      <c r="V446" s="97">
        <f>IF(ISERROR(VLOOKUP($S$446,'TAR FIN'!$A$1:$O$86,15,0)),0,VLOOKUP($S$446,'TAR FIN'!$A$1:$O$86,15,0))</f>
        <v>0</v>
      </c>
      <c r="W446" s="97">
        <f>IF(ISERROR(VLOOKUP($T$446,'TAR FIN'!$A$1:$O$86,15,0)),0,VLOOKUP($T$446,'TAR FIN'!$A$1:$O$86,15,0))*(1-0.06)</f>
        <v>305.02999999999997</v>
      </c>
      <c r="X446" s="97">
        <f>IF(ISERROR(VLOOKUP($U$446,'TAR FIN'!$A$1:$O$86,15,0)),0,VLOOKUP($U$446,'TAR FIN'!$A$1:$O$86,15,0))*(1-0.06)</f>
        <v>242.71739999999997</v>
      </c>
      <c r="Y446" s="97"/>
      <c r="Z446" s="97">
        <f ca="1">('TUSD BE'!$AM$49+'TUSD BF'!$AM$49+'TUSD CVA'!$AM$49)*1*(1-0.03)</f>
        <v>320.25151074277346</v>
      </c>
      <c r="AA446" s="97">
        <f>('TE BE'!$AB$39+'TE BF'!$AB$39+'TE CVA'!$AB$39)*1*(1-0.03)</f>
        <v>223.66511360812819</v>
      </c>
      <c r="AB446" s="97">
        <f>(SUBSIDIO!$J$446*SUBSIDIO!$V$446)*(0.06)/(1-0.06)</f>
        <v>0</v>
      </c>
      <c r="AC446" s="97">
        <f>((SUBSIDIO!$L$446*SUBSIDIO!$W$446)+(SUBSIDIO!$N$446*SUBSIDIO!$X$446))*(0.06)/(1-0.06)</f>
        <v>3205.0565046000006</v>
      </c>
      <c r="AD446" s="97">
        <f>(SUBSIDIO!$J$446*SUBSIDIO!$Y$446)*(0.03)/(1-0.03)</f>
        <v>0</v>
      </c>
      <c r="AE446" s="97">
        <f ca="1">((SUBSIDIO!$L$446*SUBSIDIO!$Z$446)+(SUBSIDIO!$N$446*SUBSIDIO!$AA$446))*(0.03)/(1-0.03)</f>
        <v>1542.1045630166448</v>
      </c>
      <c r="AF446" s="4" t="s">
        <v>726</v>
      </c>
    </row>
    <row r="447" spans="1:32" ht="11.25" customHeight="1" x14ac:dyDescent="0.25">
      <c r="A447" s="4" t="s">
        <v>21</v>
      </c>
      <c r="B447" s="4" t="s">
        <v>36</v>
      </c>
      <c r="C447" s="4" t="s">
        <v>23</v>
      </c>
      <c r="D447" s="4" t="s">
        <v>48</v>
      </c>
      <c r="E447" s="4" t="s">
        <v>49</v>
      </c>
      <c r="F447" s="4" t="s">
        <v>25</v>
      </c>
      <c r="G447" s="4" t="s">
        <v>25</v>
      </c>
      <c r="H447" s="4" t="s">
        <v>25</v>
      </c>
      <c r="I447" s="5">
        <v>44409</v>
      </c>
      <c r="J447" s="6">
        <v>0</v>
      </c>
      <c r="K447" s="97">
        <v>0</v>
      </c>
      <c r="L447" s="6">
        <v>94.36</v>
      </c>
      <c r="M447" s="97">
        <v>94.36</v>
      </c>
      <c r="N447" s="6">
        <v>94.36</v>
      </c>
      <c r="O447" s="97">
        <v>94.36</v>
      </c>
      <c r="P447" s="6">
        <v>26</v>
      </c>
      <c r="Q447" s="4" t="s">
        <v>26</v>
      </c>
      <c r="R447" s="4">
        <v>0</v>
      </c>
      <c r="S447" s="4">
        <v>0</v>
      </c>
      <c r="T447" s="4">
        <v>34</v>
      </c>
      <c r="U447" s="4">
        <v>80</v>
      </c>
      <c r="V447" s="97">
        <f>IF(ISERROR(VLOOKUP($S$447,'TAR FIN'!$A$1:$O$86,15,0)),0,VLOOKUP($S$447,'TAR FIN'!$A$1:$O$86,15,0))</f>
        <v>0</v>
      </c>
      <c r="W447" s="97">
        <f>IF(ISERROR(VLOOKUP($T$447,'TAR FIN'!$A$1:$O$86,15,0)),0,VLOOKUP($T$447,'TAR FIN'!$A$1:$O$86,15,0))*(1-0.06)</f>
        <v>305.02999999999997</v>
      </c>
      <c r="X447" s="97">
        <f>IF(ISERROR(VLOOKUP($U$447,'TAR FIN'!$A$1:$O$86,15,0)),0,VLOOKUP($U$447,'TAR FIN'!$A$1:$O$86,15,0))*(1-0.06)</f>
        <v>242.71739999999997</v>
      </c>
      <c r="Y447" s="97"/>
      <c r="Z447" s="97">
        <f ca="1">('TUSD BE'!$AM$49+'TUSD BF'!$AM$49+'TUSD CVA'!$AM$49)*1*(1-0.03)</f>
        <v>320.25151074277346</v>
      </c>
      <c r="AA447" s="97">
        <f>('TE BE'!$AB$39+'TE BF'!$AB$39+'TE CVA'!$AB$39)*1*(1-0.03)</f>
        <v>223.66511360812819</v>
      </c>
      <c r="AB447" s="97">
        <f>(SUBSIDIO!$J$447*SUBSIDIO!$V$447)*(0.06)/(1-0.06)</f>
        <v>0</v>
      </c>
      <c r="AC447" s="97">
        <f>((SUBSIDIO!$L$447*SUBSIDIO!$W$447)+(SUBSIDIO!$N$447*SUBSIDIO!$X$447))*(0.06)/(1-0.06)</f>
        <v>3299.0709360000001</v>
      </c>
      <c r="AD447" s="97">
        <f>(SUBSIDIO!$J$447*SUBSIDIO!$Y$447)*(0.03)/(1-0.03)</f>
        <v>0</v>
      </c>
      <c r="AE447" s="97">
        <f ca="1">((SUBSIDIO!$L$447*SUBSIDIO!$Z$447)+(SUBSIDIO!$N$447*SUBSIDIO!$AA$447))*(0.03)/(1-0.03)</f>
        <v>1587.3393610438479</v>
      </c>
      <c r="AF447" s="4" t="s">
        <v>726</v>
      </c>
    </row>
    <row r="448" spans="1:32" ht="11.25" customHeight="1" x14ac:dyDescent="0.25">
      <c r="A448" s="4" t="s">
        <v>21</v>
      </c>
      <c r="B448" s="4" t="s">
        <v>36</v>
      </c>
      <c r="C448" s="4" t="s">
        <v>23</v>
      </c>
      <c r="D448" s="4" t="s">
        <v>48</v>
      </c>
      <c r="E448" s="4" t="s">
        <v>49</v>
      </c>
      <c r="F448" s="4" t="s">
        <v>25</v>
      </c>
      <c r="G448" s="4" t="s">
        <v>25</v>
      </c>
      <c r="H448" s="4" t="s">
        <v>25</v>
      </c>
      <c r="I448" s="5">
        <v>44440</v>
      </c>
      <c r="J448" s="6">
        <v>0</v>
      </c>
      <c r="K448" s="97">
        <v>0</v>
      </c>
      <c r="L448" s="6">
        <v>98.474999999999994</v>
      </c>
      <c r="M448" s="97">
        <v>98.474999999999994</v>
      </c>
      <c r="N448" s="6">
        <v>98.474999999999994</v>
      </c>
      <c r="O448" s="97">
        <v>98.474999999999994</v>
      </c>
      <c r="P448" s="6">
        <v>26</v>
      </c>
      <c r="Q448" s="4" t="s">
        <v>26</v>
      </c>
      <c r="R448" s="4">
        <v>0</v>
      </c>
      <c r="S448" s="4">
        <v>0</v>
      </c>
      <c r="T448" s="4">
        <v>34</v>
      </c>
      <c r="U448" s="4">
        <v>80</v>
      </c>
      <c r="V448" s="97">
        <f>IF(ISERROR(VLOOKUP($S$448,'TAR FIN'!$A$1:$O$86,15,0)),0,VLOOKUP($S$448,'TAR FIN'!$A$1:$O$86,15,0))</f>
        <v>0</v>
      </c>
      <c r="W448" s="97">
        <f>IF(ISERROR(VLOOKUP($T$448,'TAR FIN'!$A$1:$O$86,15,0)),0,VLOOKUP($T$448,'TAR FIN'!$A$1:$O$86,15,0))*(1-0.06)</f>
        <v>305.02999999999997</v>
      </c>
      <c r="X448" s="97">
        <f>IF(ISERROR(VLOOKUP($U$448,'TAR FIN'!$A$1:$O$86,15,0)),0,VLOOKUP($U$448,'TAR FIN'!$A$1:$O$86,15,0))*(1-0.06)</f>
        <v>242.71739999999997</v>
      </c>
      <c r="Y448" s="97"/>
      <c r="Z448" s="97">
        <f ca="1">('TUSD BE'!$AM$49+'TUSD BF'!$AM$49+'TUSD CVA'!$AM$49)*1*(1-0.03)</f>
        <v>320.25151074277346</v>
      </c>
      <c r="AA448" s="97">
        <f>('TE BE'!$AB$39+'TE BF'!$AB$39+'TE CVA'!$AB$39)*1*(1-0.03)</f>
        <v>223.66511360812819</v>
      </c>
      <c r="AB448" s="97">
        <f>(SUBSIDIO!$J$448*SUBSIDIO!$V$448)*(0.06)/(1-0.06)</f>
        <v>0</v>
      </c>
      <c r="AC448" s="97">
        <f>((SUBSIDIO!$L$448*SUBSIDIO!$W$448)+(SUBSIDIO!$N$448*SUBSIDIO!$X$448))*(0.06)/(1-0.06)</f>
        <v>3442.9420349999996</v>
      </c>
      <c r="AD448" s="97">
        <f>(SUBSIDIO!$J$448*SUBSIDIO!$Y$448)*(0.03)/(1-0.03)</f>
        <v>0</v>
      </c>
      <c r="AE448" s="97">
        <f ca="1">((SUBSIDIO!$L$448*SUBSIDIO!$Z$448)+(SUBSIDIO!$N$448*SUBSIDIO!$AA$448))*(0.03)/(1-0.03)</f>
        <v>1656.5625644212898</v>
      </c>
      <c r="AF448" s="4" t="s">
        <v>726</v>
      </c>
    </row>
    <row r="449" spans="1:32" ht="11.25" customHeight="1" x14ac:dyDescent="0.25">
      <c r="A449" s="4" t="s">
        <v>21</v>
      </c>
      <c r="B449" s="4" t="s">
        <v>36</v>
      </c>
      <c r="C449" s="4" t="s">
        <v>23</v>
      </c>
      <c r="D449" s="4" t="s">
        <v>48</v>
      </c>
      <c r="E449" s="4" t="s">
        <v>49</v>
      </c>
      <c r="F449" s="4" t="s">
        <v>25</v>
      </c>
      <c r="G449" s="4" t="s">
        <v>25</v>
      </c>
      <c r="H449" s="4" t="s">
        <v>25</v>
      </c>
      <c r="I449" s="5">
        <v>44470</v>
      </c>
      <c r="J449" s="6">
        <v>0</v>
      </c>
      <c r="K449" s="97">
        <v>0</v>
      </c>
      <c r="L449" s="6">
        <v>105.744</v>
      </c>
      <c r="M449" s="97">
        <v>105.744</v>
      </c>
      <c r="N449" s="6">
        <v>105.744</v>
      </c>
      <c r="O449" s="97">
        <v>105.744</v>
      </c>
      <c r="P449" s="6">
        <v>26</v>
      </c>
      <c r="Q449" s="4" t="s">
        <v>26</v>
      </c>
      <c r="R449" s="4">
        <v>0</v>
      </c>
      <c r="S449" s="4">
        <v>0</v>
      </c>
      <c r="T449" s="4">
        <v>34</v>
      </c>
      <c r="U449" s="4">
        <v>80</v>
      </c>
      <c r="V449" s="97">
        <f>IF(ISERROR(VLOOKUP($S$449,'TAR FIN'!$A$1:$O$86,15,0)),0,VLOOKUP($S$449,'TAR FIN'!$A$1:$O$86,15,0))</f>
        <v>0</v>
      </c>
      <c r="W449" s="97">
        <f>IF(ISERROR(VLOOKUP($T$449,'TAR FIN'!$A$1:$O$86,15,0)),0,VLOOKUP($T$449,'TAR FIN'!$A$1:$O$86,15,0))*(1-0.06)</f>
        <v>305.02999999999997</v>
      </c>
      <c r="X449" s="97">
        <f>IF(ISERROR(VLOOKUP($U$449,'TAR FIN'!$A$1:$O$86,15,0)),0,VLOOKUP($U$449,'TAR FIN'!$A$1:$O$86,15,0))*(1-0.06)</f>
        <v>242.71739999999997</v>
      </c>
      <c r="Y449" s="97"/>
      <c r="Z449" s="97">
        <f ca="1">('TUSD BE'!$AM$49+'TUSD BF'!$AM$49+'TUSD CVA'!$AM$49)*1*(1-0.03)</f>
        <v>320.25151074277346</v>
      </c>
      <c r="AA449" s="97">
        <f>('TE BE'!$AB$39+'TE BF'!$AB$39+'TE CVA'!$AB$39)*1*(1-0.03)</f>
        <v>223.66511360812819</v>
      </c>
      <c r="AB449" s="97">
        <f>(SUBSIDIO!$J$449*SUBSIDIO!$V$449)*(0.06)/(1-0.06)</f>
        <v>0</v>
      </c>
      <c r="AC449" s="97">
        <f>((SUBSIDIO!$L$449*SUBSIDIO!$W$449)+(SUBSIDIO!$N$449*SUBSIDIO!$X$449))*(0.06)/(1-0.06)</f>
        <v>3697.0851743999997</v>
      </c>
      <c r="AD449" s="97">
        <f>(SUBSIDIO!$J$449*SUBSIDIO!$Y$449)*(0.03)/(1-0.03)</f>
        <v>0</v>
      </c>
      <c r="AE449" s="97">
        <f ca="1">((SUBSIDIO!$L$449*SUBSIDIO!$Z$449)+(SUBSIDIO!$N$449*SUBSIDIO!$AA$449))*(0.03)/(1-0.03)</f>
        <v>1778.8428719184044</v>
      </c>
      <c r="AF449" s="4" t="s">
        <v>726</v>
      </c>
    </row>
    <row r="450" spans="1:32" ht="11.25" customHeight="1" x14ac:dyDescent="0.25">
      <c r="A450" s="4" t="s">
        <v>21</v>
      </c>
      <c r="B450" s="4" t="s">
        <v>36</v>
      </c>
      <c r="C450" s="4" t="s">
        <v>23</v>
      </c>
      <c r="D450" s="4" t="s">
        <v>48</v>
      </c>
      <c r="E450" s="4" t="s">
        <v>49</v>
      </c>
      <c r="F450" s="4" t="s">
        <v>25</v>
      </c>
      <c r="G450" s="4" t="s">
        <v>25</v>
      </c>
      <c r="H450" s="4" t="s">
        <v>25</v>
      </c>
      <c r="I450" s="5">
        <v>44501</v>
      </c>
      <c r="J450" s="6">
        <v>0</v>
      </c>
      <c r="K450" s="97">
        <v>0</v>
      </c>
      <c r="L450" s="6">
        <v>77.584999999999994</v>
      </c>
      <c r="M450" s="97">
        <v>77.584999999999994</v>
      </c>
      <c r="N450" s="6">
        <v>77.584999999999994</v>
      </c>
      <c r="O450" s="97">
        <v>77.584999999999994</v>
      </c>
      <c r="P450" s="6">
        <v>26</v>
      </c>
      <c r="Q450" s="4" t="s">
        <v>26</v>
      </c>
      <c r="R450" s="4">
        <v>0</v>
      </c>
      <c r="S450" s="4">
        <v>0</v>
      </c>
      <c r="T450" s="4">
        <v>34</v>
      </c>
      <c r="U450" s="4">
        <v>80</v>
      </c>
      <c r="V450" s="97">
        <f>IF(ISERROR(VLOOKUP($S$450,'TAR FIN'!$A$1:$O$86,15,0)),0,VLOOKUP($S$450,'TAR FIN'!$A$1:$O$86,15,0))</f>
        <v>0</v>
      </c>
      <c r="W450" s="97">
        <f>IF(ISERROR(VLOOKUP($T$450,'TAR FIN'!$A$1:$O$86,15,0)),0,VLOOKUP($T$450,'TAR FIN'!$A$1:$O$86,15,0))*(1-0.06)</f>
        <v>305.02999999999997</v>
      </c>
      <c r="X450" s="97">
        <f>IF(ISERROR(VLOOKUP($U$450,'TAR FIN'!$A$1:$O$86,15,0)),0,VLOOKUP($U$450,'TAR FIN'!$A$1:$O$86,15,0))*(1-0.06)</f>
        <v>242.71739999999997</v>
      </c>
      <c r="Y450" s="97"/>
      <c r="Z450" s="97">
        <f ca="1">('TUSD BE'!$AM$49+'TUSD BF'!$AM$49+'TUSD CVA'!$AM$49)*1*(1-0.03)</f>
        <v>320.25151074277346</v>
      </c>
      <c r="AA450" s="97">
        <f>('TE BE'!$AB$39+'TE BF'!$AB$39+'TE CVA'!$AB$39)*1*(1-0.03)</f>
        <v>223.66511360812819</v>
      </c>
      <c r="AB450" s="97">
        <f>(SUBSIDIO!$J$450*SUBSIDIO!$V$450)*(0.06)/(1-0.06)</f>
        <v>0</v>
      </c>
      <c r="AC450" s="97">
        <f>((SUBSIDIO!$L$450*SUBSIDIO!$W$450)+(SUBSIDIO!$N$450*SUBSIDIO!$X$450))*(0.06)/(1-0.06)</f>
        <v>2712.5733209999994</v>
      </c>
      <c r="AD450" s="97">
        <f>(SUBSIDIO!$J$450*SUBSIDIO!$Y$450)*(0.03)/(1-0.03)</f>
        <v>0</v>
      </c>
      <c r="AE450" s="97">
        <f ca="1">((SUBSIDIO!$L$450*SUBSIDIO!$Z$450)+(SUBSIDIO!$N$450*SUBSIDIO!$AA$450))*(0.03)/(1-0.03)</f>
        <v>1305.1475659875682</v>
      </c>
      <c r="AF450" s="4" t="s">
        <v>726</v>
      </c>
    </row>
    <row r="451" spans="1:32" ht="11.25" customHeight="1" x14ac:dyDescent="0.25">
      <c r="A451" s="4" t="s">
        <v>21</v>
      </c>
      <c r="B451" s="4" t="s">
        <v>36</v>
      </c>
      <c r="C451" s="4" t="s">
        <v>23</v>
      </c>
      <c r="D451" s="4" t="s">
        <v>48</v>
      </c>
      <c r="E451" s="4" t="s">
        <v>49</v>
      </c>
      <c r="F451" s="4" t="s">
        <v>25</v>
      </c>
      <c r="G451" s="4" t="s">
        <v>25</v>
      </c>
      <c r="H451" s="4" t="s">
        <v>25</v>
      </c>
      <c r="I451" s="5">
        <v>44531</v>
      </c>
      <c r="J451" s="6">
        <v>0</v>
      </c>
      <c r="K451" s="97">
        <v>0</v>
      </c>
      <c r="L451" s="6">
        <v>94.201999999999998</v>
      </c>
      <c r="M451" s="97">
        <v>94.201999999999998</v>
      </c>
      <c r="N451" s="6">
        <v>94.201999999999998</v>
      </c>
      <c r="O451" s="97">
        <v>94.201999999999998</v>
      </c>
      <c r="P451" s="6">
        <v>26</v>
      </c>
      <c r="Q451" s="4" t="s">
        <v>26</v>
      </c>
      <c r="R451" s="4">
        <v>0</v>
      </c>
      <c r="S451" s="4">
        <v>0</v>
      </c>
      <c r="T451" s="4">
        <v>34</v>
      </c>
      <c r="U451" s="4">
        <v>80</v>
      </c>
      <c r="V451" s="97">
        <f>IF(ISERROR(VLOOKUP($S$451,'TAR FIN'!$A$1:$O$86,15,0)),0,VLOOKUP($S$451,'TAR FIN'!$A$1:$O$86,15,0))</f>
        <v>0</v>
      </c>
      <c r="W451" s="97">
        <f>IF(ISERROR(VLOOKUP($T$451,'TAR FIN'!$A$1:$O$86,15,0)),0,VLOOKUP($T$451,'TAR FIN'!$A$1:$O$86,15,0))*(1-0.06)</f>
        <v>305.02999999999997</v>
      </c>
      <c r="X451" s="97">
        <f>IF(ISERROR(VLOOKUP($U$451,'TAR FIN'!$A$1:$O$86,15,0)),0,VLOOKUP($U$451,'TAR FIN'!$A$1:$O$86,15,0))*(1-0.06)</f>
        <v>242.71739999999997</v>
      </c>
      <c r="Y451" s="97"/>
      <c r="Z451" s="97">
        <f ca="1">('TUSD BE'!$AM$49+'TUSD BF'!$AM$49+'TUSD CVA'!$AM$49)*1*(1-0.03)</f>
        <v>320.25151074277346</v>
      </c>
      <c r="AA451" s="97">
        <f>('TE BE'!$AB$39+'TE BF'!$AB$39+'TE CVA'!$AB$39)*1*(1-0.03)</f>
        <v>223.66511360812819</v>
      </c>
      <c r="AB451" s="97">
        <f>(SUBSIDIO!$J$451*SUBSIDIO!$V$451)*(0.06)/(1-0.06)</f>
        <v>0</v>
      </c>
      <c r="AC451" s="97">
        <f>((SUBSIDIO!$L$451*SUBSIDIO!$W$451)+(SUBSIDIO!$N$451*SUBSIDIO!$X$451))*(0.06)/(1-0.06)</f>
        <v>3293.5468451999996</v>
      </c>
      <c r="AD451" s="97">
        <f>(SUBSIDIO!$J$451*SUBSIDIO!$Y$451)*(0.03)/(1-0.03)</f>
        <v>0</v>
      </c>
      <c r="AE451" s="97">
        <f ca="1">((SUBSIDIO!$L$451*SUBSIDIO!$Z$451)+(SUBSIDIO!$N$451*SUBSIDIO!$AA$451))*(0.03)/(1-0.03)</f>
        <v>1584.6814591887721</v>
      </c>
      <c r="AF451" s="4" t="s">
        <v>726</v>
      </c>
    </row>
    <row r="452" spans="1:32" ht="11.25" customHeight="1" x14ac:dyDescent="0.25">
      <c r="A452" s="4" t="s">
        <v>21</v>
      </c>
      <c r="B452" s="4" t="s">
        <v>36</v>
      </c>
      <c r="C452" s="4" t="s">
        <v>23</v>
      </c>
      <c r="D452" s="4" t="s">
        <v>48</v>
      </c>
      <c r="E452" s="4" t="s">
        <v>49</v>
      </c>
      <c r="F452" s="4" t="s">
        <v>25</v>
      </c>
      <c r="G452" s="4" t="s">
        <v>25</v>
      </c>
      <c r="H452" s="4" t="s">
        <v>25</v>
      </c>
      <c r="I452" s="5">
        <v>44562</v>
      </c>
      <c r="J452" s="6">
        <v>0</v>
      </c>
      <c r="K452" s="97">
        <v>0</v>
      </c>
      <c r="L452" s="6">
        <v>94.076999999999998</v>
      </c>
      <c r="M452" s="97">
        <v>94.076999999999998</v>
      </c>
      <c r="N452" s="6">
        <v>94.076999999999998</v>
      </c>
      <c r="O452" s="97">
        <v>94.076999999999998</v>
      </c>
      <c r="P452" s="6">
        <v>26</v>
      </c>
      <c r="Q452" s="4" t="s">
        <v>26</v>
      </c>
      <c r="R452" s="4">
        <v>0</v>
      </c>
      <c r="S452" s="4">
        <v>0</v>
      </c>
      <c r="T452" s="4">
        <v>34</v>
      </c>
      <c r="U452" s="4">
        <v>80</v>
      </c>
      <c r="V452" s="97">
        <f>IF(ISERROR(VLOOKUP($S$452,'TAR FIN'!$A$1:$O$86,15,0)),0,VLOOKUP($S$452,'TAR FIN'!$A$1:$O$86,15,0))</f>
        <v>0</v>
      </c>
      <c r="W452" s="97">
        <f>IF(ISERROR(VLOOKUP($T$452,'TAR FIN'!$A$1:$O$86,15,0)),0,VLOOKUP($T$452,'TAR FIN'!$A$1:$O$86,15,0))*(1-0.06)</f>
        <v>305.02999999999997</v>
      </c>
      <c r="X452" s="97">
        <f>IF(ISERROR(VLOOKUP($U$452,'TAR FIN'!$A$1:$O$86,15,0)),0,VLOOKUP($U$452,'TAR FIN'!$A$1:$O$86,15,0))*(1-0.06)</f>
        <v>242.71739999999997</v>
      </c>
      <c r="Y452" s="97"/>
      <c r="Z452" s="97">
        <f ca="1">('TUSD BE'!$AM$49+'TUSD BF'!$AM$49+'TUSD CVA'!$AM$49)*1*(1-0.03)</f>
        <v>320.25151074277346</v>
      </c>
      <c r="AA452" s="97">
        <f>('TE BE'!$AB$39+'TE BF'!$AB$39+'TE CVA'!$AB$39)*1*(1-0.03)</f>
        <v>223.66511360812819</v>
      </c>
      <c r="AB452" s="97">
        <f>(SUBSIDIO!$J$452*SUBSIDIO!$V$452)*(0.06)/(1-0.06)</f>
        <v>0</v>
      </c>
      <c r="AC452" s="97">
        <f>((SUBSIDIO!$L$452*SUBSIDIO!$W$452)+(SUBSIDIO!$N$452*SUBSIDIO!$X$452))*(0.06)/(1-0.06)</f>
        <v>3289.1765201999992</v>
      </c>
      <c r="AD452" s="97">
        <f>(SUBSIDIO!$J$452*SUBSIDIO!$Y$452)*(0.03)/(1-0.03)</f>
        <v>0</v>
      </c>
      <c r="AE452" s="97">
        <f ca="1">((SUBSIDIO!$L$452*SUBSIDIO!$Z$452)+(SUBSIDIO!$N$452*SUBSIDIO!$AA$452))*(0.03)/(1-0.03)</f>
        <v>1582.5786887338072</v>
      </c>
      <c r="AF452" s="4" t="s">
        <v>726</v>
      </c>
    </row>
    <row r="453" spans="1:32" ht="11.25" customHeight="1" x14ac:dyDescent="0.25">
      <c r="A453" s="4" t="s">
        <v>21</v>
      </c>
      <c r="B453" s="4" t="s">
        <v>36</v>
      </c>
      <c r="C453" s="4" t="s">
        <v>23</v>
      </c>
      <c r="D453" s="4" t="s">
        <v>48</v>
      </c>
      <c r="E453" s="4" t="s">
        <v>49</v>
      </c>
      <c r="F453" s="4" t="s">
        <v>25</v>
      </c>
      <c r="G453" s="4" t="s">
        <v>25</v>
      </c>
      <c r="H453" s="4" t="s">
        <v>25</v>
      </c>
      <c r="I453" s="5">
        <v>44593</v>
      </c>
      <c r="J453" s="6">
        <v>0</v>
      </c>
      <c r="K453" s="97">
        <v>0</v>
      </c>
      <c r="L453" s="6">
        <v>94.504000000000005</v>
      </c>
      <c r="M453" s="97">
        <v>94.504000000000005</v>
      </c>
      <c r="N453" s="6">
        <v>94.504000000000005</v>
      </c>
      <c r="O453" s="97">
        <v>94.504000000000005</v>
      </c>
      <c r="P453" s="6">
        <v>26</v>
      </c>
      <c r="Q453" s="4" t="s">
        <v>26</v>
      </c>
      <c r="R453" s="4">
        <v>0</v>
      </c>
      <c r="S453" s="4">
        <v>0</v>
      </c>
      <c r="T453" s="4">
        <v>34</v>
      </c>
      <c r="U453" s="4">
        <v>80</v>
      </c>
      <c r="V453" s="97">
        <f>IF(ISERROR(VLOOKUP($S$453,'TAR FIN'!$A$1:$O$86,15,0)),0,VLOOKUP($S$453,'TAR FIN'!$A$1:$O$86,15,0))</f>
        <v>0</v>
      </c>
      <c r="W453" s="97">
        <f>IF(ISERROR(VLOOKUP($T$453,'TAR FIN'!$A$1:$O$86,15,0)),0,VLOOKUP($T$453,'TAR FIN'!$A$1:$O$86,15,0))*(1-0.06)</f>
        <v>305.02999999999997</v>
      </c>
      <c r="X453" s="97">
        <f>IF(ISERROR(VLOOKUP($U$453,'TAR FIN'!$A$1:$O$86,15,0)),0,VLOOKUP($U$453,'TAR FIN'!$A$1:$O$86,15,0))*(1-0.06)</f>
        <v>242.71739999999997</v>
      </c>
      <c r="Y453" s="97"/>
      <c r="Z453" s="97">
        <f ca="1">('TUSD BE'!$AM$49+'TUSD BF'!$AM$49+'TUSD CVA'!$AM$49)*1*(1-0.03)</f>
        <v>320.25151074277346</v>
      </c>
      <c r="AA453" s="97">
        <f>('TE BE'!$AB$39+'TE BF'!$AB$39+'TE CVA'!$AB$39)*1*(1-0.03)</f>
        <v>223.66511360812819</v>
      </c>
      <c r="AB453" s="97">
        <f>(SUBSIDIO!$J$453*SUBSIDIO!$V$453)*(0.06)/(1-0.06)</f>
        <v>0</v>
      </c>
      <c r="AC453" s="97">
        <f>((SUBSIDIO!$L$453*SUBSIDIO!$W$453)+(SUBSIDIO!$N$453*SUBSIDIO!$X$453))*(0.06)/(1-0.06)</f>
        <v>3304.1055504000001</v>
      </c>
      <c r="AD453" s="97">
        <f>(SUBSIDIO!$J$453*SUBSIDIO!$Y$453)*(0.03)/(1-0.03)</f>
        <v>0</v>
      </c>
      <c r="AE453" s="97">
        <f ca="1">((SUBSIDIO!$L$453*SUBSIDIO!$Z$453)+(SUBSIDIO!$N$453*SUBSIDIO!$AA$453))*(0.03)/(1-0.03)</f>
        <v>1589.7617526079675</v>
      </c>
      <c r="AF453" s="4" t="s">
        <v>726</v>
      </c>
    </row>
    <row r="454" spans="1:32" ht="11.25" customHeight="1" x14ac:dyDescent="0.25">
      <c r="A454" s="4" t="s">
        <v>21</v>
      </c>
      <c r="B454" s="4" t="s">
        <v>36</v>
      </c>
      <c r="C454" s="4" t="s">
        <v>23</v>
      </c>
      <c r="D454" s="4" t="s">
        <v>48</v>
      </c>
      <c r="E454" s="4" t="s">
        <v>49</v>
      </c>
      <c r="F454" s="4" t="s">
        <v>25</v>
      </c>
      <c r="G454" s="4" t="s">
        <v>25</v>
      </c>
      <c r="H454" s="4" t="s">
        <v>25</v>
      </c>
      <c r="I454" s="5">
        <v>44621</v>
      </c>
      <c r="J454" s="6">
        <v>0</v>
      </c>
      <c r="K454" s="97">
        <v>0</v>
      </c>
      <c r="L454" s="6">
        <v>94.319000000000003</v>
      </c>
      <c r="M454" s="97">
        <v>94.319000000000003</v>
      </c>
      <c r="N454" s="6">
        <v>94.319000000000003</v>
      </c>
      <c r="O454" s="97">
        <v>94.319000000000003</v>
      </c>
      <c r="P454" s="6">
        <v>26</v>
      </c>
      <c r="Q454" s="4" t="s">
        <v>26</v>
      </c>
      <c r="R454" s="4">
        <v>0</v>
      </c>
      <c r="S454" s="4">
        <v>0</v>
      </c>
      <c r="T454" s="4">
        <v>34</v>
      </c>
      <c r="U454" s="4">
        <v>80</v>
      </c>
      <c r="V454" s="97">
        <f>IF(ISERROR(VLOOKUP($S$454,'TAR FIN'!$A$1:$O$86,15,0)),0,VLOOKUP($S$454,'TAR FIN'!$A$1:$O$86,15,0))</f>
        <v>0</v>
      </c>
      <c r="W454" s="97">
        <f>IF(ISERROR(VLOOKUP($T$454,'TAR FIN'!$A$1:$O$86,15,0)),0,VLOOKUP($T$454,'TAR FIN'!$A$1:$O$86,15,0))*(1-0.06)</f>
        <v>305.02999999999997</v>
      </c>
      <c r="X454" s="97">
        <f>IF(ISERROR(VLOOKUP($U$454,'TAR FIN'!$A$1:$O$86,15,0)),0,VLOOKUP($U$454,'TAR FIN'!$A$1:$O$86,15,0))*(1-0.06)</f>
        <v>242.71739999999997</v>
      </c>
      <c r="Y454" s="97"/>
      <c r="Z454" s="97">
        <f ca="1">('TUSD BE'!$AM$49+'TUSD BF'!$AM$49+'TUSD CVA'!$AM$49)*1*(1-0.03)</f>
        <v>320.25151074277346</v>
      </c>
      <c r="AA454" s="97">
        <f>('TE BE'!$AB$39+'TE BF'!$AB$39+'TE CVA'!$AB$39)*1*(1-0.03)</f>
        <v>223.66511360812819</v>
      </c>
      <c r="AB454" s="97">
        <f>(SUBSIDIO!$J$454*SUBSIDIO!$V$454)*(0.06)/(1-0.06)</f>
        <v>0</v>
      </c>
      <c r="AC454" s="97">
        <f>((SUBSIDIO!$L$454*SUBSIDIO!$W$454)+(SUBSIDIO!$N$454*SUBSIDIO!$X$454))*(0.06)/(1-0.06)</f>
        <v>3297.6374693999996</v>
      </c>
      <c r="AD454" s="97">
        <f>(SUBSIDIO!$J$454*SUBSIDIO!$Y$454)*(0.03)/(1-0.03)</f>
        <v>0</v>
      </c>
      <c r="AE454" s="97">
        <f ca="1">((SUBSIDIO!$L$454*SUBSIDIO!$Z$454)+(SUBSIDIO!$N$454*SUBSIDIO!$AA$454))*(0.03)/(1-0.03)</f>
        <v>1586.6496523346195</v>
      </c>
      <c r="AF454" s="4" t="s">
        <v>726</v>
      </c>
    </row>
    <row r="455" spans="1:32" ht="11.25" customHeight="1" x14ac:dyDescent="0.25">
      <c r="A455" s="4" t="s">
        <v>21</v>
      </c>
      <c r="B455" s="4" t="s">
        <v>36</v>
      </c>
      <c r="C455" s="4" t="s">
        <v>23</v>
      </c>
      <c r="D455" s="4" t="s">
        <v>48</v>
      </c>
      <c r="E455" s="4" t="s">
        <v>49</v>
      </c>
      <c r="F455" s="4" t="s">
        <v>25</v>
      </c>
      <c r="G455" s="4" t="s">
        <v>25</v>
      </c>
      <c r="H455" s="4" t="s">
        <v>25</v>
      </c>
      <c r="I455" s="5">
        <v>44652</v>
      </c>
      <c r="J455" s="6">
        <v>0</v>
      </c>
      <c r="K455" s="97">
        <v>0</v>
      </c>
      <c r="L455" s="6">
        <v>108.834</v>
      </c>
      <c r="M455" s="97">
        <v>108.834</v>
      </c>
      <c r="N455" s="6">
        <v>108.834</v>
      </c>
      <c r="O455" s="97">
        <v>108.834</v>
      </c>
      <c r="P455" s="6">
        <v>26</v>
      </c>
      <c r="Q455" s="4" t="s">
        <v>26</v>
      </c>
      <c r="R455" s="4">
        <v>0</v>
      </c>
      <c r="S455" s="4">
        <v>0</v>
      </c>
      <c r="T455" s="4">
        <v>34</v>
      </c>
      <c r="U455" s="4">
        <v>80</v>
      </c>
      <c r="V455" s="97">
        <f>IF(ISERROR(VLOOKUP($S$455,'TAR FIN'!$A$1:$O$86,15,0)),0,VLOOKUP($S$455,'TAR FIN'!$A$1:$O$86,15,0))</f>
        <v>0</v>
      </c>
      <c r="W455" s="97">
        <f>IF(ISERROR(VLOOKUP($T$455,'TAR FIN'!$A$1:$O$86,15,0)),0,VLOOKUP($T$455,'TAR FIN'!$A$1:$O$86,15,0))*(1-0.06)</f>
        <v>305.02999999999997</v>
      </c>
      <c r="X455" s="97">
        <f>IF(ISERROR(VLOOKUP($U$455,'TAR FIN'!$A$1:$O$86,15,0)),0,VLOOKUP($U$455,'TAR FIN'!$A$1:$O$86,15,0))*(1-0.06)</f>
        <v>242.71739999999997</v>
      </c>
      <c r="Y455" s="97"/>
      <c r="Z455" s="97">
        <f ca="1">('TUSD BE'!$AM$49+'TUSD BF'!$AM$49+'TUSD CVA'!$AM$49)*1*(1-0.03)</f>
        <v>320.25151074277346</v>
      </c>
      <c r="AA455" s="97">
        <f>('TE BE'!$AB$39+'TE BF'!$AB$39+'TE CVA'!$AB$39)*1*(1-0.03)</f>
        <v>223.66511360812819</v>
      </c>
      <c r="AB455" s="97">
        <f>(SUBSIDIO!$J$455*SUBSIDIO!$V$455)*(0.06)/(1-0.06)</f>
        <v>0</v>
      </c>
      <c r="AC455" s="97">
        <f>((SUBSIDIO!$L$455*SUBSIDIO!$W$455)+(SUBSIDIO!$N$455*SUBSIDIO!$X$455))*(0.06)/(1-0.06)</f>
        <v>3805.1196083999998</v>
      </c>
      <c r="AD455" s="97">
        <f>(SUBSIDIO!$J$455*SUBSIDIO!$Y$455)*(0.03)/(1-0.03)</f>
        <v>0</v>
      </c>
      <c r="AE455" s="97">
        <f ca="1">((SUBSIDIO!$L$455*SUBSIDIO!$Z$455)+(SUBSIDIO!$N$455*SUBSIDIO!$AA$455))*(0.03)/(1-0.03)</f>
        <v>1830.823357565135</v>
      </c>
      <c r="AF455" s="4" t="s">
        <v>726</v>
      </c>
    </row>
    <row r="456" spans="1:32" ht="11.25" customHeight="1" x14ac:dyDescent="0.25">
      <c r="A456" s="4" t="s">
        <v>21</v>
      </c>
      <c r="B456" s="4" t="s">
        <v>36</v>
      </c>
      <c r="C456" s="4" t="s">
        <v>23</v>
      </c>
      <c r="D456" s="4" t="s">
        <v>48</v>
      </c>
      <c r="E456" s="4" t="s">
        <v>49</v>
      </c>
      <c r="F456" s="4" t="s">
        <v>25</v>
      </c>
      <c r="G456" s="4" t="s">
        <v>25</v>
      </c>
      <c r="H456" s="4" t="s">
        <v>25</v>
      </c>
      <c r="I456" s="5">
        <v>44682</v>
      </c>
      <c r="J456" s="6">
        <v>0</v>
      </c>
      <c r="K456" s="97">
        <v>0</v>
      </c>
      <c r="L456" s="6">
        <v>92.935000000000002</v>
      </c>
      <c r="M456" s="97">
        <v>92.935000000000002</v>
      </c>
      <c r="N456" s="6">
        <v>92.935000000000002</v>
      </c>
      <c r="O456" s="97">
        <v>92.935000000000002</v>
      </c>
      <c r="P456" s="6">
        <v>26</v>
      </c>
      <c r="Q456" s="4" t="s">
        <v>26</v>
      </c>
      <c r="R456" s="4">
        <v>0</v>
      </c>
      <c r="S456" s="4">
        <v>0</v>
      </c>
      <c r="T456" s="4">
        <v>34</v>
      </c>
      <c r="U456" s="4">
        <v>80</v>
      </c>
      <c r="V456" s="97">
        <f>IF(ISERROR(VLOOKUP($S$456,'TAR FIN'!$A$1:$O$86,15,0)),0,VLOOKUP($S$456,'TAR FIN'!$A$1:$O$86,15,0))</f>
        <v>0</v>
      </c>
      <c r="W456" s="97">
        <f>IF(ISERROR(VLOOKUP($T$456,'TAR FIN'!$A$1:$O$86,15,0)),0,VLOOKUP($T$456,'TAR FIN'!$A$1:$O$86,15,0))*(1-0.06)</f>
        <v>305.02999999999997</v>
      </c>
      <c r="X456" s="97">
        <f>IF(ISERROR(VLOOKUP($U$456,'TAR FIN'!$A$1:$O$86,15,0)),0,VLOOKUP($U$456,'TAR FIN'!$A$1:$O$86,15,0))*(1-0.06)</f>
        <v>242.71739999999997</v>
      </c>
      <c r="Y456" s="97"/>
      <c r="Z456" s="97">
        <f ca="1">('TUSD BE'!$AM$49+'TUSD BF'!$AM$49+'TUSD CVA'!$AM$49)*1*(1-0.03)</f>
        <v>320.25151074277346</v>
      </c>
      <c r="AA456" s="97">
        <f>('TE BE'!$AB$39+'TE BF'!$AB$39+'TE CVA'!$AB$39)*1*(1-0.03)</f>
        <v>223.66511360812819</v>
      </c>
      <c r="AB456" s="97">
        <f>(SUBSIDIO!$J$456*SUBSIDIO!$V$456)*(0.06)/(1-0.06)</f>
        <v>0</v>
      </c>
      <c r="AC456" s="97">
        <f>((SUBSIDIO!$L$456*SUBSIDIO!$W$456)+(SUBSIDIO!$N$456*SUBSIDIO!$X$456))*(0.06)/(1-0.06)</f>
        <v>3249.2492309999993</v>
      </c>
      <c r="AD456" s="97">
        <f>(SUBSIDIO!$J$456*SUBSIDIO!$Y$456)*(0.03)/(1-0.03)</f>
        <v>0</v>
      </c>
      <c r="AE456" s="97">
        <f ca="1">((SUBSIDIO!$L$456*SUBSIDIO!$Z$456)+(SUBSIDIO!$N$456*SUBSIDIO!$AA$456))*(0.03)/(1-0.03)</f>
        <v>1563.3677778572489</v>
      </c>
      <c r="AF456" s="4" t="s">
        <v>726</v>
      </c>
    </row>
    <row r="457" spans="1:32" ht="11.25" customHeight="1" x14ac:dyDescent="0.25">
      <c r="A457" s="4" t="s">
        <v>56</v>
      </c>
      <c r="B457" s="4" t="s">
        <v>36</v>
      </c>
      <c r="C457" s="4" t="s">
        <v>23</v>
      </c>
      <c r="D457" s="4" t="s">
        <v>48</v>
      </c>
      <c r="E457" s="4" t="s">
        <v>49</v>
      </c>
      <c r="F457" s="4" t="s">
        <v>25</v>
      </c>
      <c r="G457" s="4" t="s">
        <v>25</v>
      </c>
      <c r="H457" s="4" t="s">
        <v>25</v>
      </c>
      <c r="I457" s="5">
        <v>44713</v>
      </c>
      <c r="J457" s="6">
        <v>0</v>
      </c>
      <c r="K457" s="97">
        <v>0</v>
      </c>
      <c r="L457" s="6">
        <v>92.935000000000002</v>
      </c>
      <c r="M457" s="97">
        <v>92.935000000000002</v>
      </c>
      <c r="N457" s="6">
        <v>92.935000000000002</v>
      </c>
      <c r="O457" s="97">
        <v>92.935000000000002</v>
      </c>
      <c r="P457" s="6">
        <v>26</v>
      </c>
      <c r="Q457" s="4" t="s">
        <v>26</v>
      </c>
      <c r="R457" s="4">
        <v>0</v>
      </c>
      <c r="S457" s="4">
        <v>0</v>
      </c>
      <c r="T457" s="4">
        <v>34</v>
      </c>
      <c r="U457" s="4">
        <v>80</v>
      </c>
      <c r="V457" s="97">
        <f>IF(ISERROR(VLOOKUP($S$457,'TAR FIN'!$A$1:$O$86,15,0)),0,VLOOKUP($S$457,'TAR FIN'!$A$1:$O$86,15,0))</f>
        <v>0</v>
      </c>
      <c r="W457" s="97">
        <f>IF(ISERROR(VLOOKUP($T$457,'TAR FIN'!$A$1:$O$86,15,0)),0,VLOOKUP($T$457,'TAR FIN'!$A$1:$O$86,15,0))*(1-0.06)</f>
        <v>305.02999999999997</v>
      </c>
      <c r="X457" s="97">
        <f>IF(ISERROR(VLOOKUP($U$457,'TAR FIN'!$A$1:$O$86,15,0)),0,VLOOKUP($U$457,'TAR FIN'!$A$1:$O$86,15,0))*(1-0.06)</f>
        <v>242.71739999999997</v>
      </c>
      <c r="Y457" s="97"/>
      <c r="Z457" s="97">
        <f ca="1">('TUSD BE'!$AM$49+'TUSD BF'!$AM$49+'TUSD CVA'!$AM$49)*1*(1-0.03)</f>
        <v>320.25151074277346</v>
      </c>
      <c r="AA457" s="97">
        <f>('TE BE'!$AB$39+'TE BF'!$AB$39+'TE CVA'!$AB$39)*1*(1-0.03)</f>
        <v>223.66511360812819</v>
      </c>
      <c r="AB457" s="97">
        <f>(SUBSIDIO!$J$457*SUBSIDIO!$V$457)*(0.06)/(1-0.06)</f>
        <v>0</v>
      </c>
      <c r="AC457" s="97">
        <f>((SUBSIDIO!$L$457*SUBSIDIO!$W$457)+(SUBSIDIO!$N$457*SUBSIDIO!$X$457))*(0.06)/(1-0.06)</f>
        <v>3249.2492309999993</v>
      </c>
      <c r="AD457" s="97">
        <f>(SUBSIDIO!$J$457*SUBSIDIO!$Y$457)*(0.03)/(1-0.03)</f>
        <v>0</v>
      </c>
      <c r="AE457" s="97">
        <f ca="1">((SUBSIDIO!$L$457*SUBSIDIO!$Z$457)+(SUBSIDIO!$N$457*SUBSIDIO!$AA$457))*(0.03)/(1-0.03)</f>
        <v>1563.3677778572489</v>
      </c>
      <c r="AF457" s="4" t="s">
        <v>726</v>
      </c>
    </row>
    <row r="458" spans="1:32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1:32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1:32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1:32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1:32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1:32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1:32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25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25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25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25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25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25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25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25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25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25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25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25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25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25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25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25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25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25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25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25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25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25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25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25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25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25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25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25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25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25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25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25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25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25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25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25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B8146-0A95-448B-B675-F6B93302E32F}">
  <dimension ref="A1:J868"/>
  <sheetViews>
    <sheetView showGridLines="0" workbookViewId="0">
      <selection activeCell="K36" sqref="K36"/>
    </sheetView>
  </sheetViews>
  <sheetFormatPr defaultRowHeight="11.25" customHeight="1" x14ac:dyDescent="0.2"/>
  <cols>
    <col min="1" max="1" width="15.85546875" style="14" bestFit="1" customWidth="1"/>
    <col min="2" max="2" width="24.5703125" style="17" bestFit="1" customWidth="1"/>
    <col min="3" max="3" width="25.5703125" style="17" bestFit="1" customWidth="1"/>
    <col min="4" max="4" width="26" style="17" bestFit="1" customWidth="1"/>
    <col min="5" max="5" width="26.85546875" style="17" bestFit="1" customWidth="1"/>
    <col min="6" max="6" width="23.7109375" style="17" bestFit="1" customWidth="1"/>
    <col min="7" max="7" width="24.5703125" style="17" bestFit="1" customWidth="1"/>
    <col min="8" max="8" width="18.28515625" style="18" bestFit="1" customWidth="1"/>
    <col min="9" max="9" width="16" style="18" bestFit="1" customWidth="1"/>
    <col min="10" max="10" width="13.85546875" style="18" bestFit="1" customWidth="1"/>
    <col min="11" max="16384" width="9.140625" style="14"/>
  </cols>
  <sheetData>
    <row r="1" spans="1:10" ht="11.25" customHeight="1" x14ac:dyDescent="0.2">
      <c r="A1" s="158" t="s">
        <v>709</v>
      </c>
      <c r="B1" s="159" t="s">
        <v>710</v>
      </c>
      <c r="C1" s="159" t="s">
        <v>711</v>
      </c>
      <c r="D1" s="159" t="s">
        <v>712</v>
      </c>
      <c r="E1" s="159" t="s">
        <v>713</v>
      </c>
      <c r="F1" s="159" t="s">
        <v>714</v>
      </c>
      <c r="G1" s="159" t="s">
        <v>715</v>
      </c>
      <c r="H1" s="160" t="s">
        <v>716</v>
      </c>
      <c r="I1" s="160" t="s">
        <v>717</v>
      </c>
      <c r="J1" s="160" t="s">
        <v>718</v>
      </c>
    </row>
    <row r="2" spans="1:10" ht="11.25" customHeight="1" x14ac:dyDescent="0.2">
      <c r="A2" s="161" t="s">
        <v>26</v>
      </c>
      <c r="B2" s="159">
        <v>4480439.7720000017</v>
      </c>
      <c r="C2" s="159">
        <v>3555496.0727308132</v>
      </c>
      <c r="D2" s="159">
        <v>39788528.214306794</v>
      </c>
      <c r="E2" s="159">
        <v>40990490.731316745</v>
      </c>
      <c r="F2" s="159">
        <v>35881664.001702592</v>
      </c>
      <c r="G2" s="159">
        <v>32349452.917719465</v>
      </c>
      <c r="H2" s="160">
        <v>6.2576299006220637E-3</v>
      </c>
      <c r="I2" s="160">
        <v>-9.8440559607701927E-2</v>
      </c>
      <c r="J2" s="160">
        <v>-4.0613432302434194E-2</v>
      </c>
    </row>
    <row r="3" spans="1:10" ht="11.25" customHeight="1" x14ac:dyDescent="0.2">
      <c r="A3" s="162" t="s">
        <v>38</v>
      </c>
      <c r="B3" s="159">
        <v>4480439.7720000017</v>
      </c>
      <c r="C3" s="159">
        <v>3555496.0727308132</v>
      </c>
      <c r="D3" s="159">
        <v>4184995.0928467996</v>
      </c>
      <c r="E3" s="159">
        <v>4421052.0555345872</v>
      </c>
      <c r="F3" s="159">
        <v>7482968.7324642036</v>
      </c>
      <c r="G3" s="159">
        <v>6724441.9122319417</v>
      </c>
      <c r="H3" s="160">
        <v>-7.9498230305326767E-2</v>
      </c>
      <c r="I3" s="160">
        <v>-0.10136709738495353</v>
      </c>
      <c r="J3" s="160">
        <v>-8.9631990437412656E-2</v>
      </c>
    </row>
    <row r="4" spans="1:10" ht="11.25" customHeight="1" x14ac:dyDescent="0.2">
      <c r="A4" s="163" t="s">
        <v>39</v>
      </c>
      <c r="B4" s="159">
        <v>719818.61679999996</v>
      </c>
      <c r="C4" s="159">
        <v>577376.41128022433</v>
      </c>
      <c r="D4" s="159">
        <v>399004.37954720005</v>
      </c>
      <c r="E4" s="159">
        <v>523225.06371698709</v>
      </c>
      <c r="F4" s="159">
        <v>1315470.6790766006</v>
      </c>
      <c r="G4" s="159">
        <v>1209420.738078462</v>
      </c>
      <c r="H4" s="160">
        <v>-1.6286330732814158E-2</v>
      </c>
      <c r="I4" s="160">
        <v>-8.0617487478003569E-2</v>
      </c>
      <c r="J4" s="160">
        <v>-5.1050316402967533E-2</v>
      </c>
    </row>
    <row r="5" spans="1:10" ht="11.25" customHeight="1" x14ac:dyDescent="0.2">
      <c r="A5" s="163" t="s">
        <v>40</v>
      </c>
      <c r="B5" s="159">
        <v>3760621.1552000018</v>
      </c>
      <c r="C5" s="159">
        <v>2978119.6614505891</v>
      </c>
      <c r="D5" s="159">
        <v>3785990.7132995995</v>
      </c>
      <c r="E5" s="159">
        <v>3897826.9918176006</v>
      </c>
      <c r="F5" s="159">
        <v>6167498.0533876028</v>
      </c>
      <c r="G5" s="159">
        <v>5515021.1741534797</v>
      </c>
      <c r="H5" s="160">
        <v>-8.8869710926944956E-2</v>
      </c>
      <c r="I5" s="160">
        <v>-0.1057927985685766</v>
      </c>
      <c r="J5" s="160">
        <v>-9.6480347758759799E-2</v>
      </c>
    </row>
    <row r="6" spans="1:10" ht="11.25" customHeight="1" x14ac:dyDescent="0.2">
      <c r="A6" s="162" t="s">
        <v>22</v>
      </c>
      <c r="B6" s="159">
        <v>0</v>
      </c>
      <c r="C6" s="159">
        <v>0</v>
      </c>
      <c r="D6" s="159">
        <v>20785708.223939992</v>
      </c>
      <c r="E6" s="159">
        <v>21115942.060696643</v>
      </c>
      <c r="F6" s="159">
        <v>16605050.589244992</v>
      </c>
      <c r="G6" s="159">
        <v>14828376.605175575</v>
      </c>
      <c r="H6" s="160">
        <v>1.5887543171432705E-2</v>
      </c>
      <c r="I6" s="160">
        <v>-0.10699599947139948</v>
      </c>
      <c r="J6" s="160">
        <v>-3.8684428806048277E-2</v>
      </c>
    </row>
    <row r="7" spans="1:10" ht="11.25" customHeight="1" x14ac:dyDescent="0.2">
      <c r="A7" s="163" t="s">
        <v>32</v>
      </c>
      <c r="B7" s="159">
        <v>0</v>
      </c>
      <c r="C7" s="159">
        <v>0</v>
      </c>
      <c r="D7" s="159">
        <v>3807.3696700000014</v>
      </c>
      <c r="E7" s="159">
        <v>3631.1528688149347</v>
      </c>
      <c r="F7" s="159">
        <v>3511.9894300000005</v>
      </c>
      <c r="G7" s="159">
        <v>3136.0227751625102</v>
      </c>
      <c r="H7" s="160">
        <v>-4.6283081617621513E-2</v>
      </c>
      <c r="I7" s="160">
        <v>-0.10705233097398315</v>
      </c>
      <c r="J7" s="160">
        <v>-7.5441503617790229E-2</v>
      </c>
    </row>
    <row r="8" spans="1:10" ht="11.25" customHeight="1" x14ac:dyDescent="0.2">
      <c r="A8" s="163" t="s">
        <v>23</v>
      </c>
      <c r="B8" s="159">
        <v>0</v>
      </c>
      <c r="C8" s="159">
        <v>0</v>
      </c>
      <c r="D8" s="159">
        <v>20781900.854269993</v>
      </c>
      <c r="E8" s="159">
        <v>21112310.907827828</v>
      </c>
      <c r="F8" s="159">
        <v>16601538.599814992</v>
      </c>
      <c r="G8" s="159">
        <v>14825240.582400413</v>
      </c>
      <c r="H8" s="160">
        <v>1.58989332051378E-2</v>
      </c>
      <c r="I8" s="160">
        <v>-0.10699598755469408</v>
      </c>
      <c r="J8" s="160">
        <v>-3.867723208381102E-2</v>
      </c>
    </row>
    <row r="9" spans="1:10" ht="11.25" customHeight="1" x14ac:dyDescent="0.2">
      <c r="A9" s="162" t="s">
        <v>42</v>
      </c>
      <c r="B9" s="159">
        <v>0</v>
      </c>
      <c r="C9" s="159">
        <v>0</v>
      </c>
      <c r="D9" s="159">
        <v>5306462.1051200004</v>
      </c>
      <c r="E9" s="159">
        <v>5767067.0453719422</v>
      </c>
      <c r="F9" s="159">
        <v>4222536.0139599992</v>
      </c>
      <c r="G9" s="159">
        <v>4027745.8891516407</v>
      </c>
      <c r="H9" s="160">
        <v>8.6800759362348323E-2</v>
      </c>
      <c r="I9" s="160">
        <v>-4.6131074824316221E-2</v>
      </c>
      <c r="J9" s="160">
        <v>2.7895358160616945E-2</v>
      </c>
    </row>
    <row r="10" spans="1:10" ht="11.25" customHeight="1" x14ac:dyDescent="0.2">
      <c r="A10" s="163" t="s">
        <v>23</v>
      </c>
      <c r="B10" s="159">
        <v>0</v>
      </c>
      <c r="C10" s="159">
        <v>0</v>
      </c>
      <c r="D10" s="159">
        <v>5306462.1051200004</v>
      </c>
      <c r="E10" s="159">
        <v>5767067.0453719422</v>
      </c>
      <c r="F10" s="159">
        <v>4222536.0139599992</v>
      </c>
      <c r="G10" s="159">
        <v>4027745.8891516407</v>
      </c>
      <c r="H10" s="160">
        <v>8.6800759362348323E-2</v>
      </c>
      <c r="I10" s="160">
        <v>-4.6131074824316221E-2</v>
      </c>
      <c r="J10" s="160">
        <v>2.7895358160616945E-2</v>
      </c>
    </row>
    <row r="11" spans="1:10" ht="11.25" customHeight="1" x14ac:dyDescent="0.2">
      <c r="A11" s="162" t="s">
        <v>36</v>
      </c>
      <c r="B11" s="159">
        <v>0</v>
      </c>
      <c r="C11" s="159">
        <v>0</v>
      </c>
      <c r="D11" s="159">
        <v>8534287.372360006</v>
      </c>
      <c r="E11" s="159">
        <v>8692295.38759863</v>
      </c>
      <c r="F11" s="159">
        <v>6793587.2273933999</v>
      </c>
      <c r="G11" s="159">
        <v>6074580.6708358433</v>
      </c>
      <c r="H11" s="160">
        <v>1.851449433849206E-2</v>
      </c>
      <c r="I11" s="160">
        <v>-0.10583606752826369</v>
      </c>
      <c r="J11" s="160">
        <v>-3.6599891111319449E-2</v>
      </c>
    </row>
    <row r="12" spans="1:10" ht="11.25" customHeight="1" x14ac:dyDescent="0.2">
      <c r="A12" s="163" t="s">
        <v>32</v>
      </c>
      <c r="B12" s="159">
        <v>0</v>
      </c>
      <c r="C12" s="159">
        <v>0</v>
      </c>
      <c r="D12" s="159">
        <v>78740.724130000017</v>
      </c>
      <c r="E12" s="159">
        <v>78076.56321558918</v>
      </c>
      <c r="F12" s="159">
        <v>65369.353619999994</v>
      </c>
      <c r="G12" s="159">
        <v>58371.012582466486</v>
      </c>
      <c r="H12" s="160">
        <v>-8.4347829125156482E-3</v>
      </c>
      <c r="I12" s="160">
        <v>-0.1070584402320347</v>
      </c>
      <c r="J12" s="160">
        <v>-5.3171173533311911E-2</v>
      </c>
    </row>
    <row r="13" spans="1:10" ht="11.25" customHeight="1" x14ac:dyDescent="0.2">
      <c r="A13" s="163" t="s">
        <v>23</v>
      </c>
      <c r="B13" s="159">
        <v>0</v>
      </c>
      <c r="C13" s="159">
        <v>0</v>
      </c>
      <c r="D13" s="159">
        <v>8455546.6482300051</v>
      </c>
      <c r="E13" s="159">
        <v>8614218.8243830409</v>
      </c>
      <c r="F13" s="159">
        <v>6728217.8737733997</v>
      </c>
      <c r="G13" s="159">
        <v>6016209.6582533764</v>
      </c>
      <c r="H13" s="160">
        <v>1.876545452992695E-2</v>
      </c>
      <c r="I13" s="160">
        <v>-0.10582419132047316</v>
      </c>
      <c r="J13" s="160">
        <v>-3.6442612012661635E-2</v>
      </c>
    </row>
    <row r="14" spans="1:10" ht="11.25" customHeight="1" x14ac:dyDescent="0.2">
      <c r="A14" s="162" t="s">
        <v>45</v>
      </c>
      <c r="B14" s="159">
        <v>0</v>
      </c>
      <c r="C14" s="159">
        <v>0</v>
      </c>
      <c r="D14" s="159">
        <v>977075.42004000011</v>
      </c>
      <c r="E14" s="159">
        <v>994134.18211494153</v>
      </c>
      <c r="F14" s="159">
        <v>777521.43864000007</v>
      </c>
      <c r="G14" s="159">
        <v>694307.84032446414</v>
      </c>
      <c r="H14" s="160">
        <v>1.7459002370812993E-2</v>
      </c>
      <c r="I14" s="160">
        <v>-0.10702418503223377</v>
      </c>
      <c r="J14" s="160">
        <v>-3.7703724313266629E-2</v>
      </c>
    </row>
    <row r="15" spans="1:10" ht="11.25" customHeight="1" x14ac:dyDescent="0.2">
      <c r="A15" s="163" t="s">
        <v>23</v>
      </c>
      <c r="B15" s="159">
        <v>0</v>
      </c>
      <c r="C15" s="159">
        <v>0</v>
      </c>
      <c r="D15" s="159">
        <v>977075.42004000011</v>
      </c>
      <c r="E15" s="159">
        <v>994134.18211494153</v>
      </c>
      <c r="F15" s="159">
        <v>777521.43864000007</v>
      </c>
      <c r="G15" s="159">
        <v>694307.84032446414</v>
      </c>
      <c r="H15" s="160">
        <v>1.7459002370812993E-2</v>
      </c>
      <c r="I15" s="160">
        <v>-0.10702418503223377</v>
      </c>
      <c r="J15" s="160">
        <v>-3.7703724313266629E-2</v>
      </c>
    </row>
    <row r="16" spans="1:10" ht="11.25" customHeight="1" x14ac:dyDescent="0.2">
      <c r="A16" s="161" t="s">
        <v>61</v>
      </c>
      <c r="B16" s="159">
        <v>244261.19999999998</v>
      </c>
      <c r="C16" s="159">
        <v>203884.02378909395</v>
      </c>
      <c r="D16" s="159">
        <v>0</v>
      </c>
      <c r="E16" s="159">
        <v>0</v>
      </c>
      <c r="F16" s="159">
        <v>0</v>
      </c>
      <c r="G16" s="159">
        <v>0</v>
      </c>
      <c r="H16" s="160">
        <v>-0.16530327457208116</v>
      </c>
      <c r="I16" s="160">
        <v>0</v>
      </c>
      <c r="J16" s="160">
        <v>-0.16530327457208116</v>
      </c>
    </row>
    <row r="17" spans="1:10" ht="11.25" customHeight="1" x14ac:dyDescent="0.2">
      <c r="A17" s="162" t="s">
        <v>62</v>
      </c>
      <c r="B17" s="159">
        <v>181746</v>
      </c>
      <c r="C17" s="159">
        <v>162021.00624697548</v>
      </c>
      <c r="D17" s="159">
        <v>0</v>
      </c>
      <c r="E17" s="159">
        <v>0</v>
      </c>
      <c r="F17" s="159">
        <v>0</v>
      </c>
      <c r="G17" s="159">
        <v>0</v>
      </c>
      <c r="H17" s="160">
        <v>-0.10853055227088637</v>
      </c>
      <c r="I17" s="160">
        <v>0</v>
      </c>
      <c r="J17" s="160">
        <v>-0.10853055227088637</v>
      </c>
    </row>
    <row r="18" spans="1:10" ht="11.25" customHeight="1" x14ac:dyDescent="0.2">
      <c r="A18" s="163" t="s">
        <v>59</v>
      </c>
      <c r="B18" s="159">
        <v>181746</v>
      </c>
      <c r="C18" s="159">
        <v>162021.00624697548</v>
      </c>
      <c r="D18" s="159">
        <v>0</v>
      </c>
      <c r="E18" s="159">
        <v>0</v>
      </c>
      <c r="F18" s="159">
        <v>0</v>
      </c>
      <c r="G18" s="159">
        <v>0</v>
      </c>
      <c r="H18" s="160">
        <v>-0.10853055227088637</v>
      </c>
      <c r="I18" s="160">
        <v>0</v>
      </c>
      <c r="J18" s="160">
        <v>-0.10853055227088637</v>
      </c>
    </row>
    <row r="19" spans="1:10" ht="11.25" customHeight="1" x14ac:dyDescent="0.2">
      <c r="A19" s="162" t="s">
        <v>38</v>
      </c>
      <c r="B19" s="159">
        <v>62515.19999999999</v>
      </c>
      <c r="C19" s="159">
        <v>41863.017542118469</v>
      </c>
      <c r="D19" s="159">
        <v>0</v>
      </c>
      <c r="E19" s="159">
        <v>0</v>
      </c>
      <c r="F19" s="159">
        <v>0</v>
      </c>
      <c r="G19" s="159">
        <v>0</v>
      </c>
      <c r="H19" s="160">
        <v>-0.33035457709295535</v>
      </c>
      <c r="I19" s="160">
        <v>0</v>
      </c>
      <c r="J19" s="160">
        <v>-0.33035457709295535</v>
      </c>
    </row>
    <row r="20" spans="1:10" ht="11.25" customHeight="1" x14ac:dyDescent="0.2">
      <c r="A20" s="163" t="s">
        <v>59</v>
      </c>
      <c r="B20" s="159">
        <v>62515.19999999999</v>
      </c>
      <c r="C20" s="159">
        <v>41863.017542118469</v>
      </c>
      <c r="D20" s="159">
        <v>0</v>
      </c>
      <c r="E20" s="159">
        <v>0</v>
      </c>
      <c r="F20" s="159">
        <v>0</v>
      </c>
      <c r="G20" s="159">
        <v>0</v>
      </c>
      <c r="H20" s="160">
        <v>-0.33035457709295535</v>
      </c>
      <c r="I20" s="160">
        <v>0</v>
      </c>
      <c r="J20" s="160">
        <v>-0.33035457709295535</v>
      </c>
    </row>
    <row r="21" spans="1:10" ht="11.25" customHeight="1" x14ac:dyDescent="0.2">
      <c r="A21" s="161" t="s">
        <v>58</v>
      </c>
      <c r="B21" s="159">
        <v>3024942.6963559994</v>
      </c>
      <c r="C21" s="159">
        <v>2375416.7831027475</v>
      </c>
      <c r="D21" s="159">
        <v>3381667.2938373508</v>
      </c>
      <c r="E21" s="159">
        <v>3647531.3229234074</v>
      </c>
      <c r="F21" s="159">
        <v>0</v>
      </c>
      <c r="G21" s="159">
        <v>0</v>
      </c>
      <c r="H21" s="160">
        <v>-5.9885319186663288E-2</v>
      </c>
      <c r="I21" s="160">
        <v>0</v>
      </c>
      <c r="J21" s="160">
        <v>-5.9885319186663288E-2</v>
      </c>
    </row>
    <row r="22" spans="1:10" ht="11.25" customHeight="1" x14ac:dyDescent="0.2">
      <c r="A22" s="162" t="s">
        <v>38</v>
      </c>
      <c r="B22" s="159">
        <v>3024942.6963559994</v>
      </c>
      <c r="C22" s="159">
        <v>2375416.7831027475</v>
      </c>
      <c r="D22" s="159">
        <v>3381667.2938373508</v>
      </c>
      <c r="E22" s="159">
        <v>3647531.3229234074</v>
      </c>
      <c r="F22" s="159">
        <v>0</v>
      </c>
      <c r="G22" s="159">
        <v>0</v>
      </c>
      <c r="H22" s="160">
        <v>-5.9885319186663288E-2</v>
      </c>
      <c r="I22" s="160">
        <v>0</v>
      </c>
      <c r="J22" s="160">
        <v>-5.9885319186663288E-2</v>
      </c>
    </row>
    <row r="23" spans="1:10" ht="11.25" customHeight="1" x14ac:dyDescent="0.2">
      <c r="A23" s="163" t="s">
        <v>39</v>
      </c>
      <c r="B23" s="159">
        <v>2295907.4099999997</v>
      </c>
      <c r="C23" s="159">
        <v>1799730.586204245</v>
      </c>
      <c r="D23" s="159">
        <v>1201066.1327000002</v>
      </c>
      <c r="E23" s="159">
        <v>1530146.6047949614</v>
      </c>
      <c r="F23" s="159">
        <v>0</v>
      </c>
      <c r="G23" s="159">
        <v>0</v>
      </c>
      <c r="H23" s="160">
        <v>-4.778313294637615E-2</v>
      </c>
      <c r="I23" s="160">
        <v>0</v>
      </c>
      <c r="J23" s="160">
        <v>-4.778313294637615E-2</v>
      </c>
    </row>
    <row r="24" spans="1:10" ht="11.25" customHeight="1" x14ac:dyDescent="0.2">
      <c r="A24" s="163" t="s">
        <v>40</v>
      </c>
      <c r="B24" s="159">
        <v>729035.28635599988</v>
      </c>
      <c r="C24" s="159">
        <v>575686.19689850241</v>
      </c>
      <c r="D24" s="159">
        <v>2180601.1611373504</v>
      </c>
      <c r="E24" s="159">
        <v>2117384.718128446</v>
      </c>
      <c r="F24" s="159">
        <v>0</v>
      </c>
      <c r="G24" s="159">
        <v>0</v>
      </c>
      <c r="H24" s="160">
        <v>-7.4430443931568502E-2</v>
      </c>
      <c r="I24" s="160">
        <v>0</v>
      </c>
      <c r="J24" s="160">
        <v>-7.4430443931568502E-2</v>
      </c>
    </row>
    <row r="25" spans="1:10" ht="11.25" customHeight="1" x14ac:dyDescent="0.2">
      <c r="A25"/>
      <c r="B25"/>
      <c r="C25"/>
      <c r="D25"/>
      <c r="E25"/>
      <c r="F25"/>
      <c r="G25"/>
      <c r="H25"/>
      <c r="I25"/>
      <c r="J25"/>
    </row>
    <row r="26" spans="1:10" ht="11.25" customHeight="1" x14ac:dyDescent="0.2">
      <c r="A26"/>
      <c r="B26"/>
      <c r="C26"/>
      <c r="D26"/>
      <c r="E26"/>
      <c r="F26"/>
      <c r="G26"/>
      <c r="H26"/>
      <c r="I26"/>
      <c r="J26"/>
    </row>
    <row r="27" spans="1:10" ht="11.25" customHeight="1" x14ac:dyDescent="0.2">
      <c r="A27"/>
      <c r="B27"/>
      <c r="C27"/>
      <c r="D27"/>
      <c r="E27"/>
      <c r="F27"/>
      <c r="G27"/>
      <c r="H27"/>
      <c r="I27"/>
      <c r="J27"/>
    </row>
    <row r="28" spans="1:10" ht="11.25" customHeight="1" x14ac:dyDescent="0.2">
      <c r="A28"/>
      <c r="B28"/>
      <c r="C28"/>
      <c r="D28"/>
      <c r="E28"/>
      <c r="F28"/>
      <c r="G28"/>
      <c r="H28"/>
      <c r="I28"/>
      <c r="J28"/>
    </row>
    <row r="29" spans="1:10" ht="11.25" customHeight="1" x14ac:dyDescent="0.2">
      <c r="A29"/>
      <c r="B29"/>
      <c r="C29"/>
      <c r="D29"/>
      <c r="E29"/>
      <c r="F29"/>
      <c r="G29"/>
      <c r="H29"/>
      <c r="I29"/>
      <c r="J29"/>
    </row>
    <row r="30" spans="1:10" ht="11.25" customHeight="1" x14ac:dyDescent="0.2">
      <c r="A30"/>
      <c r="B30"/>
      <c r="C30"/>
      <c r="D30"/>
      <c r="E30"/>
      <c r="F30"/>
      <c r="G30"/>
      <c r="H30"/>
      <c r="I30"/>
      <c r="J30"/>
    </row>
    <row r="31" spans="1:10" ht="11.25" customHeight="1" x14ac:dyDescent="0.2">
      <c r="A31"/>
      <c r="B31"/>
      <c r="C31"/>
      <c r="D31"/>
      <c r="E31"/>
      <c r="F31"/>
      <c r="G31"/>
      <c r="H31"/>
      <c r="I31"/>
      <c r="J31"/>
    </row>
    <row r="32" spans="1:10" ht="11.25" customHeight="1" x14ac:dyDescent="0.2">
      <c r="A32"/>
      <c r="B32"/>
      <c r="C32"/>
      <c r="D32"/>
      <c r="E32"/>
      <c r="F32"/>
      <c r="G32"/>
      <c r="H32"/>
      <c r="I32"/>
      <c r="J32"/>
    </row>
    <row r="33" spans="1:10" ht="11.25" customHeight="1" x14ac:dyDescent="0.2">
      <c r="A33"/>
      <c r="B33"/>
      <c r="C33"/>
      <c r="D33"/>
      <c r="E33"/>
      <c r="F33"/>
      <c r="G33"/>
      <c r="H33"/>
      <c r="I33"/>
      <c r="J33"/>
    </row>
    <row r="34" spans="1:10" ht="11.25" customHeight="1" x14ac:dyDescent="0.2">
      <c r="A34"/>
      <c r="B34"/>
      <c r="C34"/>
      <c r="D34"/>
      <c r="E34"/>
      <c r="F34"/>
      <c r="G34"/>
      <c r="H34"/>
      <c r="I34"/>
      <c r="J34"/>
    </row>
    <row r="35" spans="1:10" ht="11.25" customHeight="1" x14ac:dyDescent="0.2">
      <c r="A35"/>
      <c r="B35"/>
      <c r="C35"/>
      <c r="D35"/>
      <c r="E35"/>
      <c r="F35"/>
      <c r="G35"/>
      <c r="H35"/>
      <c r="I35"/>
      <c r="J35"/>
    </row>
    <row r="36" spans="1:10" ht="11.25" customHeight="1" x14ac:dyDescent="0.2">
      <c r="A36"/>
      <c r="B36"/>
      <c r="C36"/>
      <c r="D36"/>
      <c r="E36"/>
      <c r="F36"/>
      <c r="G36"/>
      <c r="H36"/>
      <c r="I36"/>
      <c r="J36"/>
    </row>
    <row r="37" spans="1:10" ht="11.25" customHeight="1" x14ac:dyDescent="0.2">
      <c r="A37"/>
      <c r="B37"/>
      <c r="C37"/>
      <c r="D37"/>
      <c r="E37"/>
      <c r="F37"/>
      <c r="G37"/>
      <c r="H37"/>
      <c r="I37"/>
      <c r="J37"/>
    </row>
    <row r="38" spans="1:10" ht="11.25" customHeight="1" x14ac:dyDescent="0.2">
      <c r="A38"/>
      <c r="B38"/>
      <c r="C38"/>
      <c r="D38"/>
      <c r="E38"/>
      <c r="F38"/>
      <c r="G38"/>
      <c r="H38"/>
      <c r="I38"/>
      <c r="J38"/>
    </row>
    <row r="39" spans="1:10" ht="11.25" customHeight="1" x14ac:dyDescent="0.2">
      <c r="A39"/>
      <c r="B39"/>
      <c r="C39"/>
      <c r="D39"/>
      <c r="E39"/>
      <c r="F39"/>
      <c r="G39"/>
      <c r="H39"/>
      <c r="I39"/>
      <c r="J39"/>
    </row>
    <row r="40" spans="1:10" ht="11.25" customHeight="1" x14ac:dyDescent="0.2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2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2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2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2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2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2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2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2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2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2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2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2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2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2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2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2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2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2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2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2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2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2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2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2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2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2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2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2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2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2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2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2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2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2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2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2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2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2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2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2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2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2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2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2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2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2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2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2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2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2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2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2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2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2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2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2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2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2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2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2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2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2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2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2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2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2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2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2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2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2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2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2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2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2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2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2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2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2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2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2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2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2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2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2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2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2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2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2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2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2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2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2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2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2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2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2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2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2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2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2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2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2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2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2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2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2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2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2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2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2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2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2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2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2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2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2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2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2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2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2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2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2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2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2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2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2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2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2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2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2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2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2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2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2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2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2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2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2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2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2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2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2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2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2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2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2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2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2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2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2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2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2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2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2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2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2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2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2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2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2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2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2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2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2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2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2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2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2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2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2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2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2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2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2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2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2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2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2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2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2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2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2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2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2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2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2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2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2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2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2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2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2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2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2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2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2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2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2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2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2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2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2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2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2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2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2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2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2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2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2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2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2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2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2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2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2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2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2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2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2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2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2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2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2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2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2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2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2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2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2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2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2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2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2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2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2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2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2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2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2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2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2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2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2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2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2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2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2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2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2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2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2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2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2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2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2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2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2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2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2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2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2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2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2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2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2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2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2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2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2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2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2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2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2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2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2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2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2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2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2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2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2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2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2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2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2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2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2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2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2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2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2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2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2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2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2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2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2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2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2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2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2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2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2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2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2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2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2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2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2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2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2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2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2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2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2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2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2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2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2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2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2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2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2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2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2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2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2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2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2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2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2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2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2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2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2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2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2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2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2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2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2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2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2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2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2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2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2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2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2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2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2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2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2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2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2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2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2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2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2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2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2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2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2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2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2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2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2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2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2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2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2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2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2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2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2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2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2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2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2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2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2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2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2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2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2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2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2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2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2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2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2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2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2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2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2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2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2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2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2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2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2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2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2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2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2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2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2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2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2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2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2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2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2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2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2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2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2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2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2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2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2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2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2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2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2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2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2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2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2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2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2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2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2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2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2">
      <c r="A476"/>
      <c r="B476"/>
      <c r="C476"/>
      <c r="D476"/>
      <c r="E476"/>
      <c r="F476"/>
      <c r="G476"/>
      <c r="H476"/>
      <c r="I476"/>
      <c r="J476"/>
    </row>
    <row r="477" spans="1:10" ht="11.25" customHeight="1" x14ac:dyDescent="0.2">
      <c r="A477"/>
      <c r="B477"/>
      <c r="C477"/>
      <c r="D477"/>
      <c r="E477"/>
      <c r="F477"/>
      <c r="G477"/>
      <c r="H477"/>
      <c r="I477"/>
      <c r="J477"/>
    </row>
    <row r="478" spans="1:10" ht="11.25" customHeight="1" x14ac:dyDescent="0.2">
      <c r="A478"/>
      <c r="B478"/>
      <c r="C478"/>
      <c r="D478"/>
      <c r="E478"/>
      <c r="F478"/>
      <c r="G478"/>
      <c r="H478"/>
      <c r="I478"/>
      <c r="J478"/>
    </row>
    <row r="479" spans="1:10" ht="11.25" customHeight="1" x14ac:dyDescent="0.2">
      <c r="A479"/>
      <c r="B479"/>
      <c r="C479"/>
      <c r="D479"/>
      <c r="E479"/>
      <c r="F479"/>
      <c r="G479"/>
      <c r="H479"/>
      <c r="I479"/>
      <c r="J479"/>
    </row>
    <row r="480" spans="1:10" ht="11.25" customHeight="1" x14ac:dyDescent="0.2">
      <c r="A480"/>
      <c r="B480"/>
      <c r="C480"/>
      <c r="D480"/>
      <c r="E480"/>
      <c r="F480"/>
      <c r="G480"/>
      <c r="H480"/>
      <c r="I480"/>
      <c r="J480"/>
    </row>
    <row r="481" spans="1:10" ht="11.25" customHeight="1" x14ac:dyDescent="0.2">
      <c r="A481"/>
      <c r="B481"/>
      <c r="C481"/>
      <c r="D481"/>
      <c r="E481"/>
      <c r="F481"/>
      <c r="G481"/>
      <c r="H481"/>
      <c r="I481"/>
      <c r="J481"/>
    </row>
    <row r="482" spans="1:10" ht="11.25" customHeight="1" x14ac:dyDescent="0.2">
      <c r="A482"/>
      <c r="B482"/>
      <c r="C482"/>
      <c r="D482"/>
      <c r="E482"/>
      <c r="F482"/>
      <c r="G482"/>
      <c r="H482"/>
      <c r="I482"/>
      <c r="J482"/>
    </row>
    <row r="483" spans="1:10" ht="11.25" customHeight="1" x14ac:dyDescent="0.2">
      <c r="A483"/>
      <c r="B483"/>
      <c r="C483"/>
      <c r="D483"/>
      <c r="E483"/>
      <c r="F483"/>
      <c r="G483"/>
      <c r="H483"/>
      <c r="I483"/>
      <c r="J483"/>
    </row>
    <row r="484" spans="1:10" ht="11.25" customHeight="1" x14ac:dyDescent="0.2">
      <c r="A484"/>
      <c r="B484"/>
      <c r="C484"/>
      <c r="D484"/>
      <c r="E484"/>
      <c r="F484"/>
      <c r="G484"/>
      <c r="H484"/>
      <c r="I484"/>
      <c r="J484"/>
    </row>
    <row r="485" spans="1:10" ht="11.25" customHeight="1" x14ac:dyDescent="0.2">
      <c r="A485"/>
      <c r="B485"/>
      <c r="C485"/>
      <c r="D485"/>
      <c r="E485"/>
      <c r="F485"/>
      <c r="G485"/>
      <c r="H485"/>
      <c r="I485"/>
      <c r="J485"/>
    </row>
    <row r="486" spans="1:10" ht="11.25" customHeight="1" x14ac:dyDescent="0.2">
      <c r="A486"/>
      <c r="B486"/>
      <c r="C486"/>
      <c r="D486"/>
      <c r="E486"/>
      <c r="F486"/>
      <c r="G486"/>
      <c r="H486"/>
      <c r="I486"/>
      <c r="J486"/>
    </row>
    <row r="487" spans="1:10" ht="11.25" customHeight="1" x14ac:dyDescent="0.2">
      <c r="A487"/>
      <c r="B487"/>
      <c r="C487"/>
      <c r="D487"/>
      <c r="E487"/>
      <c r="F487"/>
      <c r="G487"/>
      <c r="H487"/>
      <c r="I487"/>
      <c r="J487"/>
    </row>
    <row r="488" spans="1:10" ht="11.25" customHeight="1" x14ac:dyDescent="0.2">
      <c r="A488"/>
      <c r="B488"/>
      <c r="C488"/>
      <c r="D488"/>
      <c r="E488"/>
      <c r="F488"/>
      <c r="G488"/>
      <c r="H488"/>
      <c r="I488"/>
      <c r="J488"/>
    </row>
    <row r="489" spans="1:10" ht="11.25" customHeight="1" x14ac:dyDescent="0.2">
      <c r="A489"/>
      <c r="B489"/>
      <c r="C489"/>
      <c r="D489"/>
      <c r="E489"/>
      <c r="F489"/>
      <c r="G489"/>
      <c r="H489"/>
      <c r="I489"/>
      <c r="J489"/>
    </row>
    <row r="490" spans="1:10" ht="11.25" customHeight="1" x14ac:dyDescent="0.2">
      <c r="A490"/>
      <c r="B490"/>
      <c r="C490"/>
      <c r="D490"/>
      <c r="E490"/>
      <c r="F490"/>
      <c r="G490"/>
      <c r="H490"/>
      <c r="I490"/>
      <c r="J490"/>
    </row>
    <row r="491" spans="1:10" ht="11.25" customHeight="1" x14ac:dyDescent="0.2">
      <c r="A491"/>
      <c r="B491"/>
      <c r="C491"/>
      <c r="D491"/>
      <c r="E491"/>
      <c r="F491"/>
      <c r="G491"/>
      <c r="H491"/>
      <c r="I491"/>
      <c r="J491"/>
    </row>
    <row r="492" spans="1:10" ht="11.25" customHeight="1" x14ac:dyDescent="0.2">
      <c r="A492"/>
      <c r="B492"/>
      <c r="C492"/>
      <c r="D492"/>
      <c r="E492"/>
      <c r="F492"/>
      <c r="G492"/>
      <c r="H492"/>
      <c r="I492"/>
      <c r="J492"/>
    </row>
    <row r="493" spans="1:10" ht="11.25" customHeight="1" x14ac:dyDescent="0.2">
      <c r="A493"/>
      <c r="B493"/>
      <c r="C493"/>
      <c r="D493"/>
      <c r="E493"/>
      <c r="F493"/>
      <c r="G493"/>
      <c r="H493"/>
      <c r="I493"/>
      <c r="J493"/>
    </row>
    <row r="494" spans="1:10" ht="11.25" customHeight="1" x14ac:dyDescent="0.2">
      <c r="A494"/>
      <c r="B494"/>
      <c r="C494"/>
      <c r="D494"/>
      <c r="E494"/>
      <c r="F494"/>
      <c r="G494"/>
      <c r="H494"/>
      <c r="I494"/>
      <c r="J494"/>
    </row>
    <row r="495" spans="1:10" ht="11.25" customHeight="1" x14ac:dyDescent="0.2">
      <c r="A495"/>
      <c r="B495"/>
      <c r="C495"/>
      <c r="D495"/>
      <c r="E495"/>
      <c r="F495"/>
      <c r="G495"/>
      <c r="H495"/>
      <c r="I495"/>
      <c r="J495"/>
    </row>
    <row r="496" spans="1:10" ht="11.25" customHeight="1" x14ac:dyDescent="0.2">
      <c r="A496"/>
      <c r="B496"/>
      <c r="C496"/>
      <c r="D496"/>
      <c r="E496"/>
      <c r="F496"/>
      <c r="G496"/>
      <c r="H496"/>
      <c r="I496"/>
      <c r="J496"/>
    </row>
    <row r="497" spans="1:10" ht="11.25" customHeight="1" x14ac:dyDescent="0.2">
      <c r="A497"/>
      <c r="B497"/>
      <c r="C497"/>
      <c r="D497"/>
      <c r="E497"/>
      <c r="F497"/>
      <c r="G497"/>
      <c r="H497"/>
      <c r="I497"/>
      <c r="J497"/>
    </row>
    <row r="498" spans="1:10" ht="11.25" customHeight="1" x14ac:dyDescent="0.2">
      <c r="A498"/>
      <c r="B498"/>
      <c r="C498"/>
      <c r="D498"/>
      <c r="E498"/>
      <c r="F498"/>
      <c r="G498"/>
      <c r="H498"/>
      <c r="I498"/>
      <c r="J498"/>
    </row>
    <row r="499" spans="1:10" ht="11.25" customHeight="1" x14ac:dyDescent="0.2">
      <c r="A499"/>
      <c r="B499"/>
      <c r="C499"/>
      <c r="D499"/>
      <c r="E499"/>
      <c r="F499"/>
      <c r="G499"/>
      <c r="H499"/>
      <c r="I499"/>
      <c r="J499"/>
    </row>
    <row r="500" spans="1:10" ht="11.25" customHeight="1" x14ac:dyDescent="0.2">
      <c r="A500"/>
      <c r="B500"/>
      <c r="C500"/>
      <c r="D500"/>
      <c r="E500"/>
      <c r="F500"/>
      <c r="G500"/>
      <c r="H500"/>
      <c r="I500"/>
      <c r="J500"/>
    </row>
    <row r="501" spans="1:10" ht="11.25" customHeight="1" x14ac:dyDescent="0.2">
      <c r="A501"/>
      <c r="B501"/>
      <c r="C501"/>
      <c r="D501"/>
      <c r="E501"/>
      <c r="F501"/>
      <c r="G501"/>
      <c r="H501"/>
      <c r="I501"/>
      <c r="J501"/>
    </row>
    <row r="502" spans="1:10" ht="11.25" customHeight="1" x14ac:dyDescent="0.2">
      <c r="A502"/>
      <c r="B502"/>
      <c r="C502"/>
      <c r="D502"/>
      <c r="E502"/>
      <c r="F502"/>
      <c r="G502"/>
      <c r="H502"/>
      <c r="I502"/>
      <c r="J502"/>
    </row>
    <row r="503" spans="1:10" ht="11.25" customHeight="1" x14ac:dyDescent="0.2">
      <c r="A503"/>
      <c r="B503"/>
      <c r="C503"/>
      <c r="D503"/>
      <c r="E503"/>
      <c r="F503"/>
      <c r="G503"/>
      <c r="H503"/>
      <c r="I503"/>
      <c r="J503"/>
    </row>
    <row r="504" spans="1:10" ht="11.25" customHeight="1" x14ac:dyDescent="0.2">
      <c r="A504"/>
      <c r="B504"/>
      <c r="C504"/>
      <c r="D504"/>
      <c r="E504"/>
      <c r="F504"/>
      <c r="G504"/>
      <c r="H504"/>
      <c r="I504"/>
      <c r="J504"/>
    </row>
    <row r="505" spans="1:10" ht="11.25" customHeight="1" x14ac:dyDescent="0.2">
      <c r="A505"/>
      <c r="B505"/>
      <c r="C505"/>
      <c r="D505"/>
      <c r="E505"/>
      <c r="F505"/>
      <c r="G505"/>
      <c r="H505"/>
      <c r="I505"/>
      <c r="J505"/>
    </row>
    <row r="506" spans="1:10" ht="11.25" customHeight="1" x14ac:dyDescent="0.2">
      <c r="A506"/>
      <c r="B506"/>
      <c r="C506"/>
      <c r="D506"/>
      <c r="E506"/>
      <c r="F506"/>
      <c r="G506"/>
      <c r="H506"/>
      <c r="I506"/>
      <c r="J506"/>
    </row>
    <row r="507" spans="1:10" ht="11.25" customHeight="1" x14ac:dyDescent="0.2">
      <c r="A507"/>
      <c r="B507"/>
      <c r="C507"/>
      <c r="D507"/>
      <c r="E507"/>
      <c r="F507"/>
      <c r="G507"/>
      <c r="H507"/>
      <c r="I507"/>
      <c r="J507"/>
    </row>
    <row r="508" spans="1:10" ht="11.25" customHeight="1" x14ac:dyDescent="0.2">
      <c r="A508"/>
      <c r="B508"/>
      <c r="C508"/>
      <c r="D508"/>
      <c r="E508"/>
      <c r="F508"/>
      <c r="G508"/>
      <c r="H508"/>
      <c r="I508"/>
      <c r="J508"/>
    </row>
    <row r="509" spans="1:10" ht="11.25" customHeight="1" x14ac:dyDescent="0.2">
      <c r="A509"/>
      <c r="B509"/>
      <c r="C509"/>
      <c r="D509"/>
      <c r="E509"/>
      <c r="F509"/>
      <c r="G509"/>
      <c r="H509"/>
      <c r="I509"/>
      <c r="J509"/>
    </row>
    <row r="510" spans="1:10" ht="11.25" customHeight="1" x14ac:dyDescent="0.2">
      <c r="A510"/>
      <c r="B510"/>
      <c r="C510"/>
      <c r="D510"/>
      <c r="E510"/>
      <c r="F510"/>
      <c r="G510"/>
      <c r="H510"/>
      <c r="I510"/>
      <c r="J510"/>
    </row>
    <row r="511" spans="1:10" ht="11.25" customHeight="1" x14ac:dyDescent="0.2">
      <c r="A511"/>
      <c r="B511"/>
      <c r="C511"/>
      <c r="D511"/>
      <c r="E511"/>
      <c r="F511"/>
      <c r="G511"/>
      <c r="H511"/>
      <c r="I511"/>
      <c r="J511"/>
    </row>
    <row r="512" spans="1:10" ht="11.25" customHeight="1" x14ac:dyDescent="0.2">
      <c r="A512"/>
      <c r="B512"/>
      <c r="C512"/>
      <c r="D512"/>
      <c r="E512"/>
      <c r="F512"/>
      <c r="G512"/>
      <c r="H512"/>
      <c r="I512"/>
      <c r="J512"/>
    </row>
    <row r="513" spans="1:10" ht="11.25" customHeight="1" x14ac:dyDescent="0.2">
      <c r="A513"/>
      <c r="B513"/>
      <c r="C513"/>
      <c r="D513"/>
      <c r="E513"/>
      <c r="F513"/>
      <c r="G513"/>
      <c r="H513"/>
      <c r="I513"/>
      <c r="J513"/>
    </row>
    <row r="514" spans="1:10" ht="11.25" customHeight="1" x14ac:dyDescent="0.2">
      <c r="A514"/>
      <c r="B514"/>
      <c r="C514"/>
      <c r="D514"/>
      <c r="E514"/>
      <c r="F514"/>
      <c r="G514"/>
      <c r="H514"/>
      <c r="I514"/>
      <c r="J514"/>
    </row>
    <row r="515" spans="1:10" ht="11.25" customHeight="1" x14ac:dyDescent="0.2">
      <c r="A515"/>
      <c r="B515"/>
      <c r="C515"/>
      <c r="D515"/>
      <c r="E515"/>
      <c r="F515"/>
      <c r="G515"/>
      <c r="H515"/>
      <c r="I515"/>
      <c r="J515"/>
    </row>
    <row r="516" spans="1:10" ht="11.25" customHeight="1" x14ac:dyDescent="0.2">
      <c r="A516"/>
      <c r="B516"/>
      <c r="C516"/>
      <c r="D516"/>
      <c r="E516"/>
      <c r="F516"/>
      <c r="G516"/>
      <c r="H516"/>
      <c r="I516"/>
      <c r="J516"/>
    </row>
    <row r="517" spans="1:10" ht="11.25" customHeight="1" x14ac:dyDescent="0.2">
      <c r="A517"/>
      <c r="B517"/>
      <c r="C517"/>
      <c r="D517"/>
      <c r="E517"/>
      <c r="F517"/>
      <c r="G517"/>
      <c r="H517"/>
      <c r="I517"/>
      <c r="J517"/>
    </row>
    <row r="518" spans="1:10" ht="11.25" customHeight="1" x14ac:dyDescent="0.2">
      <c r="A518"/>
      <c r="B518"/>
      <c r="C518"/>
      <c r="D518"/>
      <c r="E518"/>
      <c r="F518"/>
      <c r="G518"/>
      <c r="H518"/>
      <c r="I518"/>
      <c r="J518"/>
    </row>
    <row r="519" spans="1:10" ht="11.25" customHeight="1" x14ac:dyDescent="0.2">
      <c r="A519"/>
      <c r="B519"/>
      <c r="C519"/>
      <c r="D519"/>
      <c r="E519"/>
      <c r="F519"/>
      <c r="G519"/>
      <c r="H519"/>
      <c r="I519"/>
      <c r="J519"/>
    </row>
    <row r="520" spans="1:10" ht="11.25" customHeight="1" x14ac:dyDescent="0.2">
      <c r="A520"/>
      <c r="B520"/>
      <c r="C520"/>
      <c r="D520"/>
      <c r="E520"/>
      <c r="F520"/>
      <c r="G520"/>
      <c r="H520"/>
      <c r="I520"/>
      <c r="J520"/>
    </row>
    <row r="521" spans="1:10" ht="11.25" customHeight="1" x14ac:dyDescent="0.2">
      <c r="A521"/>
      <c r="B521"/>
      <c r="C521"/>
      <c r="D521"/>
      <c r="E521"/>
      <c r="F521"/>
      <c r="G521"/>
      <c r="H521"/>
      <c r="I521"/>
      <c r="J521"/>
    </row>
    <row r="522" spans="1:10" ht="11.25" customHeight="1" x14ac:dyDescent="0.2">
      <c r="A522"/>
      <c r="B522"/>
      <c r="C522"/>
      <c r="D522"/>
      <c r="E522"/>
      <c r="F522"/>
      <c r="G522"/>
      <c r="H522"/>
      <c r="I522"/>
      <c r="J522"/>
    </row>
    <row r="523" spans="1:10" ht="11.25" customHeight="1" x14ac:dyDescent="0.2">
      <c r="A523"/>
      <c r="B523"/>
      <c r="C523"/>
      <c r="D523"/>
      <c r="E523"/>
      <c r="F523"/>
      <c r="G523"/>
      <c r="H523"/>
      <c r="I523"/>
      <c r="J523"/>
    </row>
    <row r="524" spans="1:10" ht="11.25" customHeight="1" x14ac:dyDescent="0.2">
      <c r="A524"/>
      <c r="B524"/>
      <c r="C524"/>
      <c r="D524"/>
      <c r="E524"/>
      <c r="F524"/>
      <c r="G524"/>
      <c r="H524"/>
      <c r="I524"/>
      <c r="J524"/>
    </row>
    <row r="525" spans="1:10" ht="11.25" customHeight="1" x14ac:dyDescent="0.2">
      <c r="A525"/>
      <c r="B525"/>
      <c r="C525"/>
      <c r="D525"/>
      <c r="E525"/>
      <c r="F525"/>
      <c r="G525"/>
      <c r="H525"/>
      <c r="I525"/>
      <c r="J525"/>
    </row>
    <row r="526" spans="1:10" ht="11.25" customHeight="1" x14ac:dyDescent="0.2">
      <c r="A526"/>
      <c r="B526"/>
      <c r="C526"/>
      <c r="D526"/>
      <c r="E526"/>
      <c r="F526"/>
      <c r="G526"/>
      <c r="H526"/>
      <c r="I526"/>
      <c r="J526"/>
    </row>
    <row r="527" spans="1:10" ht="11.25" customHeight="1" x14ac:dyDescent="0.2">
      <c r="A527"/>
      <c r="B527"/>
      <c r="C527"/>
      <c r="D527"/>
      <c r="E527"/>
      <c r="F527"/>
      <c r="G527"/>
      <c r="H527"/>
      <c r="I527"/>
      <c r="J527"/>
    </row>
    <row r="528" spans="1:10" ht="11.25" customHeight="1" x14ac:dyDescent="0.2">
      <c r="A528"/>
      <c r="B528"/>
      <c r="C528"/>
      <c r="D528"/>
      <c r="E528"/>
      <c r="F528"/>
      <c r="G528"/>
      <c r="H528"/>
      <c r="I528"/>
      <c r="J528"/>
    </row>
    <row r="529" spans="1:10" ht="11.25" customHeight="1" x14ac:dyDescent="0.2">
      <c r="A529"/>
      <c r="B529"/>
      <c r="C529"/>
      <c r="D529"/>
      <c r="E529"/>
      <c r="F529"/>
      <c r="G529"/>
      <c r="H529"/>
      <c r="I529"/>
      <c r="J529"/>
    </row>
    <row r="530" spans="1:10" ht="11.25" customHeight="1" x14ac:dyDescent="0.2">
      <c r="A530"/>
      <c r="B530"/>
      <c r="C530"/>
      <c r="D530"/>
      <c r="E530"/>
      <c r="F530"/>
      <c r="G530"/>
      <c r="H530"/>
      <c r="I530"/>
      <c r="J530"/>
    </row>
    <row r="531" spans="1:10" ht="11.25" customHeight="1" x14ac:dyDescent="0.2">
      <c r="A531"/>
      <c r="B531"/>
      <c r="C531"/>
      <c r="D531"/>
      <c r="E531"/>
      <c r="F531"/>
      <c r="G531"/>
      <c r="H531"/>
      <c r="I531"/>
      <c r="J531"/>
    </row>
    <row r="532" spans="1:10" ht="11.25" customHeight="1" x14ac:dyDescent="0.2">
      <c r="A532"/>
      <c r="B532"/>
      <c r="C532"/>
      <c r="D532"/>
      <c r="E532"/>
      <c r="F532"/>
      <c r="G532"/>
      <c r="H532"/>
      <c r="I532"/>
      <c r="J532"/>
    </row>
    <row r="533" spans="1:10" ht="11.25" customHeight="1" x14ac:dyDescent="0.2">
      <c r="A533"/>
      <c r="B533"/>
      <c r="C533"/>
      <c r="D533"/>
      <c r="E533"/>
      <c r="F533"/>
      <c r="G533"/>
      <c r="H533"/>
      <c r="I533"/>
      <c r="J533"/>
    </row>
    <row r="534" spans="1:10" ht="11.25" customHeight="1" x14ac:dyDescent="0.2">
      <c r="A534"/>
      <c r="B534"/>
      <c r="C534"/>
      <c r="D534"/>
      <c r="E534"/>
      <c r="F534"/>
      <c r="G534"/>
      <c r="H534"/>
      <c r="I534"/>
      <c r="J534"/>
    </row>
    <row r="535" spans="1:10" ht="11.25" customHeight="1" x14ac:dyDescent="0.2">
      <c r="A535"/>
      <c r="B535"/>
      <c r="C535"/>
      <c r="D535"/>
      <c r="E535"/>
      <c r="F535"/>
      <c r="G535"/>
      <c r="H535"/>
      <c r="I535"/>
      <c r="J535"/>
    </row>
    <row r="536" spans="1:10" ht="11.25" customHeight="1" x14ac:dyDescent="0.2">
      <c r="A536"/>
      <c r="B536"/>
      <c r="C536"/>
      <c r="D536"/>
      <c r="E536"/>
      <c r="F536"/>
      <c r="G536"/>
      <c r="H536"/>
      <c r="I536"/>
      <c r="J536"/>
    </row>
    <row r="537" spans="1:10" ht="11.25" customHeight="1" x14ac:dyDescent="0.2">
      <c r="A537"/>
      <c r="B537"/>
      <c r="C537"/>
      <c r="D537"/>
      <c r="E537"/>
      <c r="F537"/>
      <c r="G537"/>
      <c r="H537"/>
      <c r="I537"/>
      <c r="J537"/>
    </row>
    <row r="538" spans="1:10" ht="11.25" customHeight="1" x14ac:dyDescent="0.2">
      <c r="A538"/>
      <c r="B538"/>
      <c r="C538"/>
      <c r="D538"/>
      <c r="E538"/>
      <c r="F538"/>
      <c r="G538"/>
      <c r="H538"/>
      <c r="I538"/>
      <c r="J538"/>
    </row>
    <row r="539" spans="1:10" ht="11.25" customHeight="1" x14ac:dyDescent="0.2">
      <c r="A539"/>
      <c r="B539"/>
      <c r="C539"/>
      <c r="D539"/>
      <c r="E539"/>
      <c r="F539"/>
      <c r="G539"/>
      <c r="H539"/>
      <c r="I539"/>
      <c r="J539"/>
    </row>
    <row r="540" spans="1:10" ht="11.25" customHeight="1" x14ac:dyDescent="0.2">
      <c r="A540"/>
      <c r="B540"/>
      <c r="C540"/>
      <c r="D540"/>
      <c r="E540"/>
      <c r="F540"/>
      <c r="G540"/>
      <c r="H540"/>
      <c r="I540"/>
      <c r="J540"/>
    </row>
    <row r="541" spans="1:10" ht="11.25" customHeight="1" x14ac:dyDescent="0.2">
      <c r="A541"/>
      <c r="B541"/>
      <c r="C541"/>
      <c r="D541"/>
      <c r="E541"/>
      <c r="F541"/>
      <c r="G541"/>
      <c r="H541"/>
      <c r="I541"/>
      <c r="J541"/>
    </row>
    <row r="542" spans="1:10" ht="11.25" customHeight="1" x14ac:dyDescent="0.2">
      <c r="A542"/>
      <c r="B542"/>
      <c r="C542"/>
      <c r="D542"/>
      <c r="E542"/>
      <c r="F542"/>
      <c r="G542"/>
      <c r="H542"/>
      <c r="I542"/>
      <c r="J542"/>
    </row>
    <row r="543" spans="1:10" ht="11.25" customHeight="1" x14ac:dyDescent="0.2">
      <c r="A543"/>
      <c r="B543"/>
      <c r="C543"/>
      <c r="D543"/>
      <c r="E543"/>
      <c r="F543"/>
      <c r="G543"/>
      <c r="H543"/>
      <c r="I543"/>
      <c r="J543"/>
    </row>
    <row r="544" spans="1:10" ht="11.25" customHeight="1" x14ac:dyDescent="0.2">
      <c r="A544"/>
      <c r="B544"/>
      <c r="C544"/>
      <c r="D544"/>
      <c r="E544"/>
      <c r="F544"/>
      <c r="G544"/>
      <c r="H544"/>
      <c r="I544"/>
      <c r="J544"/>
    </row>
    <row r="545" spans="1:10" ht="11.25" customHeight="1" x14ac:dyDescent="0.2">
      <c r="A545"/>
      <c r="B545"/>
      <c r="C545"/>
      <c r="D545"/>
      <c r="E545"/>
      <c r="F545"/>
      <c r="G545"/>
      <c r="H545"/>
      <c r="I545"/>
      <c r="J545"/>
    </row>
    <row r="546" spans="1:10" ht="11.25" customHeight="1" x14ac:dyDescent="0.2">
      <c r="A546"/>
      <c r="B546"/>
      <c r="C546"/>
      <c r="D546"/>
      <c r="E546"/>
      <c r="F546"/>
      <c r="G546"/>
      <c r="H546"/>
      <c r="I546"/>
      <c r="J546"/>
    </row>
    <row r="547" spans="1:10" ht="11.25" customHeight="1" x14ac:dyDescent="0.2">
      <c r="A547"/>
      <c r="B547"/>
      <c r="C547"/>
      <c r="D547"/>
      <c r="E547"/>
      <c r="F547"/>
      <c r="G547"/>
      <c r="H547"/>
      <c r="I547"/>
      <c r="J547"/>
    </row>
    <row r="548" spans="1:10" ht="11.25" customHeight="1" x14ac:dyDescent="0.2">
      <c r="A548"/>
      <c r="B548"/>
      <c r="C548"/>
      <c r="D548"/>
      <c r="E548"/>
      <c r="F548"/>
      <c r="G548"/>
      <c r="H548"/>
      <c r="I548"/>
      <c r="J548"/>
    </row>
    <row r="549" spans="1:10" ht="11.25" customHeight="1" x14ac:dyDescent="0.2">
      <c r="A549"/>
      <c r="B549"/>
      <c r="C549"/>
      <c r="D549"/>
      <c r="E549"/>
      <c r="F549"/>
      <c r="G549"/>
      <c r="H549"/>
      <c r="I549"/>
      <c r="J549"/>
    </row>
    <row r="550" spans="1:10" ht="11.25" customHeight="1" x14ac:dyDescent="0.2">
      <c r="A550"/>
      <c r="B550"/>
      <c r="C550"/>
      <c r="D550"/>
      <c r="E550"/>
      <c r="F550"/>
      <c r="G550"/>
      <c r="H550"/>
      <c r="I550"/>
      <c r="J550"/>
    </row>
    <row r="551" spans="1:10" ht="11.25" customHeight="1" x14ac:dyDescent="0.2">
      <c r="A551"/>
      <c r="B551"/>
      <c r="C551"/>
      <c r="D551"/>
      <c r="E551"/>
      <c r="F551"/>
      <c r="G551"/>
      <c r="H551"/>
      <c r="I551"/>
      <c r="J551"/>
    </row>
    <row r="552" spans="1:10" ht="11.25" customHeight="1" x14ac:dyDescent="0.2">
      <c r="A552"/>
      <c r="B552"/>
      <c r="C552"/>
      <c r="D552"/>
      <c r="E552"/>
      <c r="F552"/>
      <c r="G552"/>
      <c r="H552"/>
      <c r="I552"/>
      <c r="J552"/>
    </row>
    <row r="553" spans="1:10" ht="11.25" customHeight="1" x14ac:dyDescent="0.2">
      <c r="A553"/>
      <c r="B553"/>
      <c r="C553"/>
      <c r="D553"/>
      <c r="E553"/>
      <c r="F553"/>
      <c r="G553"/>
      <c r="H553"/>
      <c r="I553"/>
      <c r="J553"/>
    </row>
    <row r="554" spans="1:10" ht="11.25" customHeight="1" x14ac:dyDescent="0.2">
      <c r="A554"/>
      <c r="B554"/>
      <c r="C554"/>
      <c r="D554"/>
      <c r="E554"/>
      <c r="F554"/>
      <c r="G554"/>
      <c r="H554"/>
      <c r="I554"/>
      <c r="J554"/>
    </row>
    <row r="555" spans="1:10" ht="11.25" customHeight="1" x14ac:dyDescent="0.2">
      <c r="A555"/>
      <c r="B555"/>
      <c r="C555"/>
      <c r="D555"/>
      <c r="E555"/>
      <c r="F555"/>
      <c r="G555"/>
      <c r="H555"/>
      <c r="I555"/>
      <c r="J555"/>
    </row>
    <row r="556" spans="1:10" ht="11.25" customHeight="1" x14ac:dyDescent="0.2">
      <c r="A556"/>
      <c r="B556"/>
      <c r="C556"/>
      <c r="D556"/>
      <c r="E556"/>
      <c r="F556"/>
      <c r="G556"/>
      <c r="H556"/>
      <c r="I556"/>
      <c r="J556"/>
    </row>
    <row r="557" spans="1:10" ht="11.25" customHeight="1" x14ac:dyDescent="0.2">
      <c r="A557"/>
      <c r="B557"/>
      <c r="C557"/>
      <c r="D557"/>
      <c r="E557"/>
      <c r="F557"/>
      <c r="G557"/>
      <c r="H557"/>
      <c r="I557"/>
      <c r="J557"/>
    </row>
    <row r="558" spans="1:10" ht="11.25" customHeight="1" x14ac:dyDescent="0.2">
      <c r="A558"/>
      <c r="B558"/>
      <c r="C558"/>
      <c r="D558"/>
      <c r="E558"/>
      <c r="F558"/>
      <c r="G558"/>
      <c r="H558"/>
      <c r="I558"/>
      <c r="J558"/>
    </row>
    <row r="559" spans="1:10" ht="11.25" customHeight="1" x14ac:dyDescent="0.2">
      <c r="A559"/>
      <c r="B559"/>
      <c r="C559"/>
      <c r="D559"/>
      <c r="E559"/>
      <c r="F559"/>
      <c r="G559"/>
      <c r="H559"/>
      <c r="I559"/>
      <c r="J559"/>
    </row>
    <row r="560" spans="1:10" ht="11.25" customHeight="1" x14ac:dyDescent="0.2">
      <c r="A560"/>
      <c r="B560"/>
      <c r="C560"/>
      <c r="D560"/>
      <c r="E560"/>
      <c r="F560"/>
      <c r="G560"/>
      <c r="H560"/>
      <c r="I560"/>
      <c r="J560"/>
    </row>
    <row r="561" spans="1:10" ht="11.25" customHeight="1" x14ac:dyDescent="0.2">
      <c r="A561"/>
      <c r="B561"/>
      <c r="C561"/>
      <c r="D561"/>
      <c r="E561"/>
      <c r="F561"/>
      <c r="G561"/>
      <c r="H561"/>
      <c r="I561"/>
      <c r="J561"/>
    </row>
    <row r="562" spans="1:10" ht="11.25" customHeight="1" x14ac:dyDescent="0.2">
      <c r="A562"/>
      <c r="B562"/>
      <c r="C562"/>
      <c r="D562"/>
      <c r="E562"/>
      <c r="F562"/>
      <c r="G562"/>
      <c r="H562"/>
      <c r="I562"/>
      <c r="J562"/>
    </row>
    <row r="563" spans="1:10" ht="11.25" customHeight="1" x14ac:dyDescent="0.2">
      <c r="A563"/>
      <c r="B563"/>
      <c r="C563"/>
      <c r="D563"/>
      <c r="E563"/>
      <c r="F563"/>
      <c r="G563"/>
      <c r="H563"/>
      <c r="I563"/>
      <c r="J563"/>
    </row>
    <row r="564" spans="1:10" ht="11.25" customHeight="1" x14ac:dyDescent="0.2">
      <c r="A564"/>
      <c r="B564"/>
      <c r="C564"/>
      <c r="D564"/>
      <c r="E564"/>
      <c r="F564"/>
      <c r="G564"/>
      <c r="H564"/>
      <c r="I564"/>
      <c r="J564"/>
    </row>
    <row r="565" spans="1:10" ht="11.25" customHeight="1" x14ac:dyDescent="0.2">
      <c r="A565"/>
      <c r="B565"/>
      <c r="C565"/>
      <c r="D565"/>
      <c r="E565"/>
      <c r="F565"/>
      <c r="G565"/>
      <c r="H565"/>
      <c r="I565"/>
      <c r="J565"/>
    </row>
    <row r="566" spans="1:10" ht="11.25" customHeight="1" x14ac:dyDescent="0.2">
      <c r="A566"/>
      <c r="B566"/>
      <c r="C566"/>
      <c r="D566"/>
      <c r="E566"/>
      <c r="F566"/>
      <c r="G566"/>
      <c r="H566"/>
      <c r="I566"/>
      <c r="J566"/>
    </row>
    <row r="567" spans="1:10" ht="11.25" customHeight="1" x14ac:dyDescent="0.2">
      <c r="A567"/>
      <c r="B567"/>
      <c r="C567"/>
      <c r="D567"/>
      <c r="E567"/>
      <c r="F567"/>
      <c r="G567"/>
      <c r="H567"/>
      <c r="I567"/>
      <c r="J567"/>
    </row>
    <row r="568" spans="1:10" ht="11.25" customHeight="1" x14ac:dyDescent="0.2">
      <c r="A568"/>
      <c r="B568"/>
      <c r="C568"/>
      <c r="D568"/>
      <c r="E568"/>
      <c r="F568"/>
      <c r="G568"/>
      <c r="H568"/>
      <c r="I568"/>
      <c r="J568"/>
    </row>
    <row r="569" spans="1:10" ht="11.25" customHeight="1" x14ac:dyDescent="0.2">
      <c r="A569"/>
      <c r="B569"/>
      <c r="C569"/>
      <c r="D569"/>
      <c r="E569"/>
      <c r="F569"/>
      <c r="G569"/>
      <c r="H569"/>
      <c r="I569"/>
      <c r="J569"/>
    </row>
    <row r="570" spans="1:10" ht="11.25" customHeight="1" x14ac:dyDescent="0.2">
      <c r="A570"/>
      <c r="B570"/>
      <c r="C570"/>
      <c r="D570"/>
      <c r="E570"/>
      <c r="F570"/>
      <c r="G570"/>
      <c r="H570"/>
      <c r="I570"/>
      <c r="J570"/>
    </row>
    <row r="571" spans="1:10" ht="11.25" customHeight="1" x14ac:dyDescent="0.2">
      <c r="A571"/>
      <c r="B571"/>
      <c r="C571"/>
      <c r="D571"/>
      <c r="E571"/>
      <c r="F571"/>
      <c r="G571"/>
      <c r="H571"/>
      <c r="I571"/>
      <c r="J571"/>
    </row>
    <row r="572" spans="1:10" ht="11.25" customHeight="1" x14ac:dyDescent="0.2">
      <c r="A572"/>
      <c r="B572"/>
      <c r="C572"/>
      <c r="D572"/>
      <c r="E572"/>
      <c r="F572"/>
      <c r="G572"/>
      <c r="H572"/>
      <c r="I572"/>
      <c r="J572"/>
    </row>
    <row r="573" spans="1:10" ht="11.25" customHeight="1" x14ac:dyDescent="0.2">
      <c r="A573"/>
      <c r="B573"/>
      <c r="C573"/>
      <c r="D573"/>
      <c r="E573"/>
      <c r="F573"/>
      <c r="G573"/>
      <c r="H573"/>
      <c r="I573"/>
      <c r="J573"/>
    </row>
    <row r="574" spans="1:10" ht="11.25" customHeight="1" x14ac:dyDescent="0.2">
      <c r="A574"/>
      <c r="B574"/>
      <c r="C574"/>
      <c r="D574"/>
      <c r="E574"/>
      <c r="F574"/>
      <c r="G574"/>
      <c r="H574"/>
      <c r="I574"/>
      <c r="J574"/>
    </row>
    <row r="575" spans="1:10" ht="11.25" customHeight="1" x14ac:dyDescent="0.2">
      <c r="A575"/>
      <c r="B575"/>
      <c r="C575"/>
      <c r="D575"/>
      <c r="E575"/>
      <c r="F575"/>
      <c r="G575"/>
      <c r="H575"/>
      <c r="I575"/>
      <c r="J575"/>
    </row>
    <row r="576" spans="1:10" ht="11.25" customHeight="1" x14ac:dyDescent="0.2">
      <c r="A576"/>
      <c r="B576"/>
      <c r="C576"/>
      <c r="D576"/>
      <c r="E576"/>
      <c r="F576"/>
      <c r="G576"/>
      <c r="H576"/>
      <c r="I576"/>
      <c r="J576"/>
    </row>
    <row r="577" spans="1:10" ht="11.25" customHeight="1" x14ac:dyDescent="0.2">
      <c r="A577"/>
      <c r="B577"/>
      <c r="C577"/>
      <c r="D577"/>
      <c r="E577"/>
      <c r="F577"/>
      <c r="G577"/>
      <c r="H577"/>
      <c r="I577"/>
      <c r="J577"/>
    </row>
    <row r="578" spans="1:10" ht="11.25" customHeight="1" x14ac:dyDescent="0.2">
      <c r="A578"/>
      <c r="B578"/>
      <c r="C578"/>
      <c r="D578"/>
      <c r="E578"/>
      <c r="F578"/>
      <c r="G578"/>
      <c r="H578"/>
      <c r="I578"/>
      <c r="J578"/>
    </row>
    <row r="579" spans="1:10" ht="11.25" customHeight="1" x14ac:dyDescent="0.2">
      <c r="A579"/>
      <c r="B579"/>
      <c r="C579"/>
      <c r="D579"/>
      <c r="E579"/>
      <c r="F579"/>
      <c r="G579"/>
      <c r="H579"/>
      <c r="I579"/>
      <c r="J579"/>
    </row>
    <row r="580" spans="1:10" ht="11.25" customHeight="1" x14ac:dyDescent="0.2">
      <c r="A580"/>
      <c r="B580"/>
      <c r="C580"/>
      <c r="D580"/>
      <c r="E580"/>
      <c r="F580"/>
      <c r="G580"/>
      <c r="H580"/>
      <c r="I580"/>
      <c r="J580"/>
    </row>
    <row r="581" spans="1:10" ht="11.25" customHeight="1" x14ac:dyDescent="0.2">
      <c r="A581"/>
      <c r="B581"/>
      <c r="C581"/>
      <c r="D581"/>
      <c r="E581"/>
      <c r="F581"/>
      <c r="G581"/>
      <c r="H581"/>
      <c r="I581"/>
      <c r="J581"/>
    </row>
    <row r="582" spans="1:10" ht="11.25" customHeight="1" x14ac:dyDescent="0.2">
      <c r="A582"/>
      <c r="B582"/>
      <c r="C582"/>
      <c r="D582"/>
      <c r="E582"/>
      <c r="F582"/>
      <c r="G582"/>
      <c r="H582"/>
      <c r="I582"/>
      <c r="J582"/>
    </row>
    <row r="583" spans="1:10" ht="11.25" customHeight="1" x14ac:dyDescent="0.2">
      <c r="A583"/>
      <c r="B583"/>
      <c r="C583"/>
      <c r="D583"/>
      <c r="E583"/>
      <c r="F583"/>
      <c r="G583"/>
      <c r="H583"/>
      <c r="I583"/>
      <c r="J583"/>
    </row>
    <row r="584" spans="1:10" ht="11.25" customHeight="1" x14ac:dyDescent="0.2">
      <c r="A584"/>
      <c r="B584"/>
      <c r="C584"/>
      <c r="D584"/>
      <c r="E584"/>
      <c r="F584"/>
      <c r="G584"/>
      <c r="H584"/>
      <c r="I584"/>
      <c r="J584"/>
    </row>
    <row r="585" spans="1:10" ht="11.25" customHeight="1" x14ac:dyDescent="0.2">
      <c r="A585"/>
      <c r="B585"/>
      <c r="C585"/>
      <c r="D585"/>
      <c r="E585"/>
      <c r="F585"/>
      <c r="G585"/>
      <c r="H585"/>
      <c r="I585"/>
      <c r="J585"/>
    </row>
    <row r="586" spans="1:10" ht="11.25" customHeight="1" x14ac:dyDescent="0.2">
      <c r="A586"/>
      <c r="B586"/>
      <c r="C586"/>
      <c r="D586"/>
      <c r="E586"/>
      <c r="F586"/>
      <c r="G586"/>
      <c r="H586"/>
      <c r="I586"/>
      <c r="J586"/>
    </row>
    <row r="587" spans="1:10" ht="11.25" customHeight="1" x14ac:dyDescent="0.2">
      <c r="A587"/>
      <c r="B587"/>
      <c r="C587"/>
      <c r="D587"/>
      <c r="E587"/>
      <c r="F587"/>
      <c r="G587"/>
      <c r="H587"/>
      <c r="I587"/>
      <c r="J587"/>
    </row>
    <row r="588" spans="1:10" ht="11.25" customHeight="1" x14ac:dyDescent="0.2">
      <c r="A588"/>
      <c r="B588"/>
      <c r="C588"/>
      <c r="D588"/>
      <c r="E588"/>
      <c r="F588"/>
      <c r="G588"/>
      <c r="H588"/>
      <c r="I588"/>
      <c r="J588"/>
    </row>
    <row r="589" spans="1:10" ht="11.25" customHeight="1" x14ac:dyDescent="0.2">
      <c r="A589"/>
      <c r="B589"/>
      <c r="C589"/>
      <c r="D589"/>
      <c r="E589"/>
      <c r="F589"/>
      <c r="G589"/>
      <c r="H589"/>
      <c r="I589"/>
      <c r="J589"/>
    </row>
    <row r="590" spans="1:10" ht="11.25" customHeight="1" x14ac:dyDescent="0.2">
      <c r="A590"/>
      <c r="B590"/>
      <c r="C590"/>
      <c r="D590"/>
      <c r="E590"/>
      <c r="F590"/>
      <c r="G590"/>
      <c r="H590"/>
      <c r="I590"/>
      <c r="J590"/>
    </row>
    <row r="591" spans="1:10" ht="11.25" customHeight="1" x14ac:dyDescent="0.2">
      <c r="A591"/>
      <c r="B591"/>
      <c r="C591"/>
      <c r="D591"/>
      <c r="E591"/>
      <c r="F591"/>
      <c r="G591"/>
      <c r="H591"/>
      <c r="I591"/>
      <c r="J591"/>
    </row>
    <row r="592" spans="1:10" ht="11.25" customHeight="1" x14ac:dyDescent="0.2">
      <c r="A592"/>
      <c r="B592"/>
      <c r="C592"/>
      <c r="D592"/>
      <c r="E592"/>
      <c r="F592"/>
      <c r="G592"/>
      <c r="H592"/>
      <c r="I592"/>
      <c r="J592"/>
    </row>
    <row r="593" spans="1:10" ht="11.25" customHeight="1" x14ac:dyDescent="0.2">
      <c r="A593"/>
      <c r="B593"/>
      <c r="C593"/>
      <c r="D593"/>
      <c r="E593"/>
      <c r="F593"/>
      <c r="G593"/>
      <c r="H593"/>
      <c r="I593"/>
      <c r="J593"/>
    </row>
    <row r="594" spans="1:10" ht="11.25" customHeight="1" x14ac:dyDescent="0.2">
      <c r="A594"/>
      <c r="B594"/>
      <c r="C594"/>
      <c r="D594"/>
      <c r="E594"/>
      <c r="F594"/>
      <c r="G594"/>
      <c r="H594"/>
      <c r="I594"/>
      <c r="J594"/>
    </row>
    <row r="595" spans="1:10" ht="11.25" customHeight="1" x14ac:dyDescent="0.2">
      <c r="A595"/>
      <c r="B595"/>
      <c r="C595"/>
      <c r="D595"/>
      <c r="E595"/>
      <c r="F595"/>
      <c r="G595"/>
      <c r="H595"/>
      <c r="I595"/>
      <c r="J595"/>
    </row>
    <row r="596" spans="1:10" ht="11.25" customHeight="1" x14ac:dyDescent="0.2">
      <c r="A596"/>
      <c r="B596"/>
      <c r="C596"/>
      <c r="D596"/>
      <c r="E596"/>
      <c r="F596"/>
      <c r="G596"/>
      <c r="H596"/>
      <c r="I596"/>
      <c r="J596"/>
    </row>
    <row r="597" spans="1:10" ht="11.25" customHeight="1" x14ac:dyDescent="0.2">
      <c r="A597"/>
      <c r="B597"/>
      <c r="C597"/>
      <c r="D597"/>
      <c r="E597"/>
      <c r="F597"/>
      <c r="G597"/>
      <c r="H597"/>
      <c r="I597"/>
      <c r="J597"/>
    </row>
    <row r="598" spans="1:10" ht="11.25" customHeight="1" x14ac:dyDescent="0.2">
      <c r="A598"/>
      <c r="B598"/>
      <c r="C598"/>
      <c r="D598"/>
      <c r="E598"/>
      <c r="F598"/>
      <c r="G598"/>
      <c r="H598"/>
      <c r="I598"/>
      <c r="J598"/>
    </row>
    <row r="599" spans="1:10" ht="11.25" customHeight="1" x14ac:dyDescent="0.2">
      <c r="A599"/>
      <c r="B599"/>
      <c r="C599"/>
      <c r="D599"/>
      <c r="E599"/>
      <c r="F599"/>
      <c r="G599"/>
      <c r="H599"/>
      <c r="I599"/>
      <c r="J599"/>
    </row>
    <row r="600" spans="1:10" ht="11.25" customHeight="1" x14ac:dyDescent="0.2">
      <c r="A600"/>
      <c r="B600"/>
      <c r="C600"/>
      <c r="D600"/>
      <c r="E600"/>
      <c r="F600"/>
      <c r="G600"/>
      <c r="H600"/>
      <c r="I600"/>
      <c r="J600"/>
    </row>
    <row r="601" spans="1:10" ht="11.25" customHeight="1" x14ac:dyDescent="0.2">
      <c r="A601"/>
      <c r="B601"/>
      <c r="C601"/>
      <c r="D601"/>
      <c r="E601"/>
      <c r="F601"/>
      <c r="G601"/>
      <c r="H601"/>
      <c r="I601"/>
      <c r="J601"/>
    </row>
    <row r="602" spans="1:10" ht="11.25" customHeight="1" x14ac:dyDescent="0.2">
      <c r="A602"/>
      <c r="B602"/>
      <c r="C602"/>
      <c r="D602"/>
      <c r="E602"/>
      <c r="F602"/>
      <c r="G602"/>
      <c r="H602"/>
      <c r="I602"/>
      <c r="J602"/>
    </row>
    <row r="603" spans="1:10" ht="11.25" customHeight="1" x14ac:dyDescent="0.2">
      <c r="A603"/>
      <c r="B603"/>
      <c r="C603"/>
      <c r="D603"/>
      <c r="E603"/>
      <c r="F603"/>
      <c r="G603"/>
      <c r="H603"/>
      <c r="I603"/>
      <c r="J603"/>
    </row>
    <row r="604" spans="1:10" ht="11.25" customHeight="1" x14ac:dyDescent="0.2">
      <c r="A604"/>
      <c r="B604"/>
      <c r="C604"/>
      <c r="D604"/>
      <c r="E604"/>
      <c r="F604"/>
      <c r="G604"/>
      <c r="H604"/>
      <c r="I604"/>
      <c r="J604"/>
    </row>
    <row r="605" spans="1:10" ht="11.25" customHeight="1" x14ac:dyDescent="0.2">
      <c r="A605"/>
      <c r="B605"/>
      <c r="C605"/>
      <c r="D605"/>
      <c r="E605"/>
      <c r="F605"/>
      <c r="G605"/>
      <c r="H605"/>
      <c r="I605"/>
      <c r="J605"/>
    </row>
    <row r="606" spans="1:10" ht="11.25" customHeight="1" x14ac:dyDescent="0.2">
      <c r="A606"/>
      <c r="B606"/>
      <c r="C606"/>
      <c r="D606"/>
      <c r="E606"/>
      <c r="F606"/>
      <c r="G606"/>
      <c r="H606"/>
      <c r="I606"/>
      <c r="J606"/>
    </row>
    <row r="607" spans="1:10" ht="11.25" customHeight="1" x14ac:dyDescent="0.2">
      <c r="A607"/>
      <c r="B607"/>
      <c r="C607"/>
      <c r="D607"/>
      <c r="E607"/>
      <c r="F607"/>
      <c r="G607"/>
      <c r="H607"/>
      <c r="I607"/>
      <c r="J607"/>
    </row>
    <row r="608" spans="1:10" ht="11.25" customHeight="1" x14ac:dyDescent="0.2">
      <c r="A608"/>
      <c r="B608"/>
      <c r="C608"/>
      <c r="D608"/>
      <c r="E608"/>
      <c r="F608"/>
      <c r="G608"/>
      <c r="H608"/>
      <c r="I608"/>
      <c r="J608"/>
    </row>
    <row r="609" spans="1:10" ht="11.25" customHeight="1" x14ac:dyDescent="0.2">
      <c r="A609"/>
      <c r="B609"/>
      <c r="C609"/>
      <c r="D609"/>
      <c r="E609"/>
      <c r="F609"/>
      <c r="G609"/>
      <c r="H609"/>
      <c r="I609"/>
      <c r="J609"/>
    </row>
    <row r="610" spans="1:10" ht="11.25" customHeight="1" x14ac:dyDescent="0.2">
      <c r="A610"/>
      <c r="B610"/>
      <c r="C610"/>
      <c r="D610"/>
      <c r="E610"/>
      <c r="F610"/>
      <c r="G610"/>
      <c r="H610"/>
      <c r="I610"/>
      <c r="J610"/>
    </row>
    <row r="611" spans="1:10" ht="11.25" customHeight="1" x14ac:dyDescent="0.2">
      <c r="A611"/>
      <c r="B611"/>
      <c r="C611"/>
      <c r="D611"/>
      <c r="E611"/>
      <c r="F611"/>
      <c r="G611"/>
      <c r="H611"/>
      <c r="I611"/>
      <c r="J611"/>
    </row>
    <row r="612" spans="1:10" ht="11.25" customHeight="1" x14ac:dyDescent="0.2">
      <c r="A612"/>
      <c r="B612"/>
      <c r="C612"/>
      <c r="D612"/>
      <c r="E612"/>
      <c r="F612"/>
      <c r="G612"/>
      <c r="H612"/>
      <c r="I612"/>
      <c r="J612"/>
    </row>
    <row r="613" spans="1:10" ht="11.25" customHeight="1" x14ac:dyDescent="0.2">
      <c r="A613"/>
      <c r="B613"/>
      <c r="C613"/>
      <c r="D613"/>
      <c r="E613"/>
      <c r="F613"/>
      <c r="G613"/>
      <c r="H613"/>
      <c r="I613"/>
      <c r="J613"/>
    </row>
    <row r="614" spans="1:10" ht="11.25" customHeight="1" x14ac:dyDescent="0.2">
      <c r="A614"/>
      <c r="B614"/>
      <c r="C614"/>
      <c r="D614"/>
      <c r="E614"/>
      <c r="F614"/>
      <c r="G614"/>
      <c r="H614"/>
      <c r="I614"/>
      <c r="J614"/>
    </row>
    <row r="615" spans="1:10" ht="11.25" customHeight="1" x14ac:dyDescent="0.2">
      <c r="A615"/>
      <c r="B615"/>
      <c r="C615"/>
      <c r="D615"/>
      <c r="E615"/>
      <c r="F615"/>
      <c r="G615"/>
      <c r="H615"/>
      <c r="I615"/>
      <c r="J615"/>
    </row>
    <row r="616" spans="1:10" ht="11.25" customHeight="1" x14ac:dyDescent="0.2">
      <c r="A616"/>
      <c r="B616"/>
      <c r="C616"/>
      <c r="D616"/>
      <c r="E616"/>
      <c r="F616"/>
      <c r="G616"/>
      <c r="H616"/>
      <c r="I616"/>
      <c r="J616"/>
    </row>
    <row r="617" spans="1:10" ht="11.25" customHeight="1" x14ac:dyDescent="0.2">
      <c r="A617"/>
      <c r="B617"/>
      <c r="C617"/>
      <c r="D617"/>
      <c r="E617"/>
      <c r="F617"/>
      <c r="G617"/>
      <c r="H617"/>
      <c r="I617"/>
      <c r="J617"/>
    </row>
    <row r="618" spans="1:10" ht="11.25" customHeight="1" x14ac:dyDescent="0.2">
      <c r="A618"/>
      <c r="B618"/>
      <c r="C618"/>
      <c r="D618"/>
      <c r="E618"/>
      <c r="F618"/>
      <c r="G618"/>
      <c r="H618"/>
      <c r="I618"/>
      <c r="J618"/>
    </row>
    <row r="619" spans="1:10" ht="11.25" customHeight="1" x14ac:dyDescent="0.2">
      <c r="A619"/>
      <c r="B619"/>
      <c r="C619"/>
      <c r="D619"/>
      <c r="E619"/>
      <c r="F619"/>
      <c r="G619"/>
      <c r="H619"/>
      <c r="I619"/>
      <c r="J619"/>
    </row>
    <row r="620" spans="1:10" ht="11.25" customHeight="1" x14ac:dyDescent="0.2">
      <c r="A620"/>
      <c r="B620"/>
      <c r="C620"/>
      <c r="D620"/>
      <c r="E620"/>
      <c r="F620"/>
      <c r="G620"/>
      <c r="H620"/>
      <c r="I620"/>
      <c r="J620"/>
    </row>
    <row r="621" spans="1:10" ht="11.25" customHeight="1" x14ac:dyDescent="0.2">
      <c r="A621"/>
      <c r="B621"/>
      <c r="C621"/>
      <c r="D621"/>
      <c r="E621"/>
      <c r="F621"/>
      <c r="G621"/>
      <c r="H621"/>
      <c r="I621"/>
      <c r="J621"/>
    </row>
    <row r="622" spans="1:10" ht="11.25" customHeight="1" x14ac:dyDescent="0.2">
      <c r="A622"/>
      <c r="B622"/>
      <c r="C622"/>
      <c r="D622"/>
      <c r="E622"/>
      <c r="F622"/>
      <c r="G622"/>
      <c r="H622"/>
      <c r="I622"/>
      <c r="J622"/>
    </row>
    <row r="623" spans="1:10" ht="11.25" customHeight="1" x14ac:dyDescent="0.2">
      <c r="A623"/>
      <c r="B623"/>
      <c r="C623"/>
      <c r="D623"/>
      <c r="E623"/>
      <c r="F623"/>
      <c r="G623"/>
      <c r="H623"/>
      <c r="I623"/>
      <c r="J623"/>
    </row>
    <row r="624" spans="1:10" ht="11.25" customHeight="1" x14ac:dyDescent="0.2">
      <c r="A624"/>
      <c r="B624"/>
      <c r="C624"/>
      <c r="D624"/>
      <c r="E624"/>
      <c r="F624"/>
      <c r="G624"/>
      <c r="H624"/>
      <c r="I624"/>
      <c r="J624"/>
    </row>
    <row r="625" spans="1:10" ht="11.25" customHeight="1" x14ac:dyDescent="0.2">
      <c r="A625"/>
      <c r="B625"/>
      <c r="C625"/>
      <c r="D625"/>
      <c r="E625"/>
      <c r="F625"/>
      <c r="G625"/>
      <c r="H625"/>
      <c r="I625"/>
      <c r="J625"/>
    </row>
    <row r="626" spans="1:10" ht="11.25" customHeight="1" x14ac:dyDescent="0.2">
      <c r="A626"/>
      <c r="B626"/>
      <c r="C626"/>
      <c r="D626"/>
      <c r="E626"/>
      <c r="F626"/>
      <c r="G626"/>
      <c r="H626"/>
      <c r="I626"/>
      <c r="J626"/>
    </row>
    <row r="627" spans="1:10" ht="11.25" customHeight="1" x14ac:dyDescent="0.2">
      <c r="A627"/>
      <c r="B627"/>
      <c r="C627"/>
      <c r="D627"/>
      <c r="E627"/>
      <c r="F627"/>
      <c r="G627"/>
      <c r="H627"/>
      <c r="I627"/>
      <c r="J627"/>
    </row>
    <row r="628" spans="1:10" ht="11.25" customHeight="1" x14ac:dyDescent="0.2">
      <c r="A628"/>
      <c r="B628"/>
      <c r="C628"/>
      <c r="D628"/>
      <c r="E628"/>
      <c r="F628"/>
      <c r="G628"/>
      <c r="H628"/>
      <c r="I628"/>
      <c r="J628"/>
    </row>
    <row r="629" spans="1:10" ht="11.25" customHeight="1" x14ac:dyDescent="0.2">
      <c r="A629"/>
      <c r="B629"/>
      <c r="C629"/>
      <c r="D629"/>
      <c r="E629"/>
      <c r="F629"/>
      <c r="G629"/>
      <c r="H629"/>
      <c r="I629"/>
      <c r="J629"/>
    </row>
    <row r="630" spans="1:10" ht="11.25" customHeight="1" x14ac:dyDescent="0.2">
      <c r="A630"/>
      <c r="B630"/>
      <c r="C630"/>
      <c r="D630"/>
      <c r="E630"/>
      <c r="F630"/>
      <c r="G630"/>
      <c r="H630"/>
      <c r="I630"/>
      <c r="J630"/>
    </row>
    <row r="631" spans="1:10" ht="11.25" customHeight="1" x14ac:dyDescent="0.2">
      <c r="A631"/>
      <c r="B631"/>
      <c r="C631"/>
      <c r="D631"/>
      <c r="E631"/>
      <c r="F631"/>
      <c r="G631"/>
      <c r="H631"/>
      <c r="I631"/>
      <c r="J631"/>
    </row>
    <row r="632" spans="1:10" ht="11.25" customHeight="1" x14ac:dyDescent="0.2">
      <c r="A632"/>
      <c r="B632"/>
      <c r="C632"/>
      <c r="D632"/>
      <c r="E632"/>
      <c r="F632"/>
      <c r="G632"/>
      <c r="H632"/>
      <c r="I632"/>
      <c r="J632"/>
    </row>
    <row r="633" spans="1:10" ht="11.25" customHeight="1" x14ac:dyDescent="0.2">
      <c r="A633"/>
      <c r="B633"/>
      <c r="C633"/>
      <c r="D633"/>
      <c r="E633"/>
      <c r="F633"/>
      <c r="G633"/>
      <c r="H633"/>
      <c r="I633"/>
      <c r="J633"/>
    </row>
    <row r="634" spans="1:10" ht="11.25" customHeight="1" x14ac:dyDescent="0.2">
      <c r="A634"/>
      <c r="B634"/>
      <c r="C634"/>
      <c r="D634"/>
      <c r="E634"/>
      <c r="F634"/>
      <c r="G634"/>
      <c r="H634"/>
      <c r="I634"/>
      <c r="J634"/>
    </row>
    <row r="635" spans="1:10" ht="11.25" customHeight="1" x14ac:dyDescent="0.2">
      <c r="A635"/>
      <c r="B635"/>
      <c r="C635"/>
      <c r="D635"/>
      <c r="E635"/>
      <c r="F635"/>
      <c r="G635"/>
      <c r="H635"/>
      <c r="I635"/>
      <c r="J635"/>
    </row>
    <row r="636" spans="1:10" ht="11.25" customHeight="1" x14ac:dyDescent="0.2">
      <c r="A636"/>
      <c r="B636"/>
      <c r="C636"/>
      <c r="D636"/>
      <c r="E636"/>
      <c r="F636"/>
      <c r="G636"/>
      <c r="H636"/>
      <c r="I636"/>
      <c r="J636"/>
    </row>
    <row r="637" spans="1:10" ht="11.25" customHeight="1" x14ac:dyDescent="0.2">
      <c r="A637"/>
      <c r="B637"/>
      <c r="C637"/>
      <c r="D637"/>
      <c r="E637"/>
      <c r="F637"/>
      <c r="G637"/>
      <c r="H637"/>
      <c r="I637"/>
      <c r="J637"/>
    </row>
    <row r="638" spans="1:10" ht="11.25" customHeight="1" x14ac:dyDescent="0.2">
      <c r="A638"/>
      <c r="B638"/>
      <c r="C638"/>
      <c r="D638"/>
      <c r="E638"/>
      <c r="F638"/>
      <c r="G638"/>
      <c r="H638"/>
      <c r="I638"/>
      <c r="J638"/>
    </row>
    <row r="639" spans="1:10" ht="11.25" customHeight="1" x14ac:dyDescent="0.2">
      <c r="A639"/>
      <c r="B639"/>
      <c r="C639"/>
      <c r="D639"/>
      <c r="E639"/>
      <c r="F639"/>
      <c r="G639"/>
      <c r="H639"/>
      <c r="I639"/>
      <c r="J639"/>
    </row>
    <row r="640" spans="1:10" ht="11.25" customHeight="1" x14ac:dyDescent="0.2">
      <c r="A640"/>
      <c r="B640"/>
      <c r="C640"/>
      <c r="D640"/>
      <c r="E640"/>
      <c r="F640"/>
      <c r="G640"/>
      <c r="H640"/>
      <c r="I640"/>
      <c r="J640"/>
    </row>
    <row r="641" spans="1:10" ht="11.25" customHeight="1" x14ac:dyDescent="0.2">
      <c r="A641"/>
      <c r="B641"/>
      <c r="C641"/>
      <c r="D641"/>
      <c r="E641"/>
      <c r="F641"/>
      <c r="G641"/>
      <c r="H641"/>
      <c r="I641"/>
      <c r="J641"/>
    </row>
    <row r="642" spans="1:10" ht="11.25" customHeight="1" x14ac:dyDescent="0.2">
      <c r="A642"/>
      <c r="B642"/>
      <c r="C642"/>
      <c r="D642"/>
      <c r="E642"/>
      <c r="F642"/>
      <c r="G642"/>
      <c r="H642"/>
      <c r="I642"/>
      <c r="J642"/>
    </row>
    <row r="643" spans="1:10" ht="11.25" customHeight="1" x14ac:dyDescent="0.2">
      <c r="A643"/>
      <c r="B643"/>
      <c r="C643"/>
      <c r="D643"/>
      <c r="E643"/>
      <c r="F643"/>
      <c r="G643"/>
      <c r="H643"/>
      <c r="I643"/>
      <c r="J643"/>
    </row>
    <row r="644" spans="1:10" ht="11.25" customHeight="1" x14ac:dyDescent="0.2">
      <c r="A644"/>
      <c r="B644"/>
      <c r="C644"/>
      <c r="D644"/>
      <c r="E644"/>
      <c r="F644"/>
      <c r="G644"/>
      <c r="H644"/>
      <c r="I644"/>
      <c r="J644"/>
    </row>
    <row r="645" spans="1:10" ht="11.25" customHeight="1" x14ac:dyDescent="0.2">
      <c r="A645"/>
      <c r="B645"/>
      <c r="C645"/>
      <c r="D645"/>
      <c r="E645"/>
      <c r="F645"/>
      <c r="G645"/>
      <c r="H645"/>
      <c r="I645"/>
      <c r="J645"/>
    </row>
    <row r="646" spans="1:10" ht="11.25" customHeight="1" x14ac:dyDescent="0.2">
      <c r="A646"/>
      <c r="B646"/>
      <c r="C646"/>
      <c r="D646"/>
      <c r="E646"/>
      <c r="F646"/>
      <c r="G646"/>
      <c r="H646"/>
      <c r="I646"/>
      <c r="J646"/>
    </row>
    <row r="647" spans="1:10" ht="11.25" customHeight="1" x14ac:dyDescent="0.2">
      <c r="A647"/>
      <c r="B647"/>
      <c r="C647"/>
      <c r="D647"/>
      <c r="E647"/>
      <c r="F647"/>
      <c r="G647"/>
      <c r="H647"/>
      <c r="I647"/>
      <c r="J647"/>
    </row>
    <row r="648" spans="1:10" ht="11.25" customHeight="1" x14ac:dyDescent="0.2">
      <c r="A648"/>
      <c r="B648"/>
      <c r="C648"/>
      <c r="D648"/>
      <c r="E648"/>
      <c r="F648"/>
      <c r="G648"/>
      <c r="H648"/>
      <c r="I648"/>
      <c r="J648"/>
    </row>
    <row r="649" spans="1:10" ht="11.25" customHeight="1" x14ac:dyDescent="0.2">
      <c r="A649"/>
      <c r="B649"/>
      <c r="C649"/>
      <c r="D649"/>
      <c r="E649"/>
      <c r="F649"/>
      <c r="G649"/>
      <c r="H649"/>
      <c r="I649"/>
      <c r="J649"/>
    </row>
    <row r="650" spans="1:10" ht="11.25" customHeight="1" x14ac:dyDescent="0.2">
      <c r="A650"/>
      <c r="B650"/>
      <c r="C650"/>
      <c r="D650"/>
      <c r="E650"/>
      <c r="F650"/>
      <c r="G650"/>
      <c r="H650"/>
      <c r="I650"/>
      <c r="J650"/>
    </row>
    <row r="651" spans="1:10" ht="11.25" customHeight="1" x14ac:dyDescent="0.2">
      <c r="A651"/>
      <c r="B651"/>
      <c r="C651"/>
      <c r="D651"/>
      <c r="E651"/>
      <c r="F651"/>
      <c r="G651"/>
      <c r="H651"/>
      <c r="I651"/>
      <c r="J651"/>
    </row>
    <row r="652" spans="1:10" ht="11.25" customHeight="1" x14ac:dyDescent="0.2">
      <c r="A652"/>
      <c r="B652"/>
      <c r="C652"/>
      <c r="D652"/>
      <c r="E652"/>
      <c r="F652"/>
      <c r="G652"/>
      <c r="H652"/>
      <c r="I652"/>
      <c r="J652"/>
    </row>
    <row r="653" spans="1:10" ht="11.25" customHeight="1" x14ac:dyDescent="0.2">
      <c r="A653"/>
      <c r="B653"/>
      <c r="C653"/>
      <c r="D653"/>
      <c r="E653"/>
      <c r="F653"/>
      <c r="G653"/>
      <c r="H653"/>
      <c r="I653"/>
      <c r="J653"/>
    </row>
    <row r="654" spans="1:10" ht="11.25" customHeight="1" x14ac:dyDescent="0.2">
      <c r="A654"/>
      <c r="B654"/>
      <c r="C654"/>
      <c r="D654"/>
      <c r="E654"/>
      <c r="F654"/>
      <c r="G654"/>
      <c r="H654"/>
      <c r="I654"/>
      <c r="J654"/>
    </row>
    <row r="655" spans="1:10" ht="11.25" customHeight="1" x14ac:dyDescent="0.2">
      <c r="A655"/>
      <c r="B655"/>
      <c r="C655"/>
      <c r="D655"/>
      <c r="E655"/>
      <c r="F655"/>
      <c r="G655"/>
      <c r="H655"/>
      <c r="I655"/>
      <c r="J655"/>
    </row>
    <row r="656" spans="1:10" ht="11.25" customHeight="1" x14ac:dyDescent="0.2">
      <c r="A656"/>
      <c r="B656"/>
      <c r="C656"/>
      <c r="D656"/>
      <c r="E656"/>
      <c r="F656"/>
      <c r="G656"/>
      <c r="H656"/>
      <c r="I656"/>
      <c r="J656"/>
    </row>
    <row r="657" spans="1:10" ht="11.25" customHeight="1" x14ac:dyDescent="0.2">
      <c r="A657"/>
      <c r="B657"/>
      <c r="C657"/>
      <c r="D657"/>
      <c r="E657"/>
      <c r="F657"/>
      <c r="G657"/>
      <c r="H657"/>
      <c r="I657"/>
      <c r="J657"/>
    </row>
    <row r="658" spans="1:10" ht="11.25" customHeight="1" x14ac:dyDescent="0.2">
      <c r="A658"/>
      <c r="B658"/>
      <c r="C658"/>
      <c r="D658"/>
      <c r="E658"/>
      <c r="F658"/>
      <c r="G658"/>
      <c r="H658"/>
      <c r="I658"/>
      <c r="J658"/>
    </row>
    <row r="659" spans="1:10" ht="11.25" customHeight="1" x14ac:dyDescent="0.2">
      <c r="A659"/>
      <c r="B659"/>
      <c r="C659"/>
      <c r="D659"/>
      <c r="E659"/>
      <c r="F659"/>
      <c r="G659"/>
      <c r="H659"/>
      <c r="I659"/>
      <c r="J659"/>
    </row>
    <row r="660" spans="1:10" ht="11.25" customHeight="1" x14ac:dyDescent="0.2">
      <c r="A660"/>
      <c r="B660"/>
      <c r="C660"/>
      <c r="D660"/>
      <c r="E660"/>
      <c r="F660"/>
      <c r="G660"/>
      <c r="H660"/>
      <c r="I660"/>
      <c r="J660"/>
    </row>
    <row r="661" spans="1:10" ht="11.25" customHeight="1" x14ac:dyDescent="0.2">
      <c r="A661"/>
      <c r="B661"/>
      <c r="C661"/>
      <c r="D661"/>
      <c r="E661"/>
      <c r="F661"/>
      <c r="G661"/>
      <c r="H661"/>
      <c r="I661"/>
      <c r="J661"/>
    </row>
    <row r="662" spans="1:10" ht="11.25" customHeight="1" x14ac:dyDescent="0.2">
      <c r="A662"/>
      <c r="B662"/>
      <c r="C662"/>
      <c r="D662"/>
      <c r="E662"/>
      <c r="F662"/>
      <c r="G662"/>
      <c r="H662"/>
      <c r="I662"/>
      <c r="J662"/>
    </row>
    <row r="663" spans="1:10" ht="11.25" customHeight="1" x14ac:dyDescent="0.2">
      <c r="A663"/>
      <c r="B663"/>
      <c r="C663"/>
      <c r="D663"/>
      <c r="E663"/>
      <c r="F663"/>
      <c r="G663"/>
      <c r="H663"/>
      <c r="I663"/>
      <c r="J663"/>
    </row>
    <row r="664" spans="1:10" ht="11.25" customHeight="1" x14ac:dyDescent="0.2">
      <c r="A664"/>
      <c r="B664"/>
      <c r="C664"/>
      <c r="D664"/>
      <c r="E664"/>
      <c r="F664"/>
      <c r="G664"/>
      <c r="H664"/>
      <c r="I664"/>
      <c r="J664"/>
    </row>
    <row r="665" spans="1:10" ht="11.25" customHeight="1" x14ac:dyDescent="0.2">
      <c r="A665"/>
      <c r="B665"/>
      <c r="C665"/>
      <c r="D665"/>
      <c r="E665"/>
      <c r="F665"/>
      <c r="G665"/>
      <c r="H665"/>
      <c r="I665"/>
      <c r="J665"/>
    </row>
    <row r="666" spans="1:10" ht="11.25" customHeight="1" x14ac:dyDescent="0.2">
      <c r="A666"/>
      <c r="B666"/>
      <c r="C666"/>
      <c r="D666"/>
      <c r="E666"/>
      <c r="F666"/>
      <c r="G666"/>
      <c r="H666"/>
      <c r="I666"/>
      <c r="J666"/>
    </row>
    <row r="667" spans="1:10" ht="11.25" customHeight="1" x14ac:dyDescent="0.2">
      <c r="A667"/>
      <c r="B667"/>
      <c r="C667"/>
      <c r="D667"/>
      <c r="E667"/>
      <c r="F667"/>
      <c r="G667"/>
      <c r="H667"/>
      <c r="I667"/>
      <c r="J667"/>
    </row>
    <row r="668" spans="1:10" ht="11.25" customHeight="1" x14ac:dyDescent="0.2">
      <c r="A668"/>
      <c r="B668"/>
      <c r="C668"/>
      <c r="D668"/>
      <c r="E668"/>
      <c r="F668"/>
      <c r="G668"/>
      <c r="H668"/>
      <c r="I668"/>
      <c r="J668"/>
    </row>
    <row r="669" spans="1:10" ht="11.25" customHeight="1" x14ac:dyDescent="0.2">
      <c r="A669"/>
      <c r="B669"/>
      <c r="C669"/>
      <c r="D669"/>
      <c r="E669"/>
      <c r="F669"/>
      <c r="G669"/>
      <c r="H669"/>
      <c r="I669"/>
      <c r="J669"/>
    </row>
    <row r="670" spans="1:10" ht="11.25" customHeight="1" x14ac:dyDescent="0.2">
      <c r="A670"/>
      <c r="B670"/>
      <c r="C670"/>
      <c r="D670"/>
      <c r="E670"/>
      <c r="F670"/>
      <c r="G670"/>
      <c r="H670"/>
      <c r="I670"/>
      <c r="J670"/>
    </row>
    <row r="671" spans="1:10" ht="11.25" customHeight="1" x14ac:dyDescent="0.2">
      <c r="A671"/>
      <c r="B671"/>
      <c r="C671"/>
      <c r="D671"/>
      <c r="E671"/>
      <c r="F671"/>
      <c r="G671"/>
      <c r="H671"/>
      <c r="I671"/>
      <c r="J671"/>
    </row>
    <row r="672" spans="1:10" ht="11.25" customHeight="1" x14ac:dyDescent="0.2">
      <c r="A672"/>
      <c r="B672"/>
      <c r="C672"/>
      <c r="D672"/>
      <c r="E672"/>
      <c r="F672"/>
      <c r="G672"/>
      <c r="H672"/>
      <c r="I672"/>
      <c r="J672"/>
    </row>
    <row r="673" spans="1:10" ht="11.25" customHeight="1" x14ac:dyDescent="0.2">
      <c r="A673"/>
      <c r="B673"/>
      <c r="C673"/>
      <c r="D673"/>
      <c r="E673"/>
      <c r="F673"/>
      <c r="G673"/>
      <c r="H673"/>
      <c r="I673"/>
      <c r="J673"/>
    </row>
    <row r="674" spans="1:10" ht="11.25" customHeight="1" x14ac:dyDescent="0.2">
      <c r="A674"/>
      <c r="B674"/>
      <c r="C674"/>
      <c r="D674"/>
      <c r="E674"/>
      <c r="F674"/>
      <c r="G674"/>
      <c r="H674"/>
      <c r="I674"/>
      <c r="J674"/>
    </row>
    <row r="675" spans="1:10" ht="11.25" customHeight="1" x14ac:dyDescent="0.2">
      <c r="A675"/>
      <c r="B675"/>
      <c r="C675"/>
      <c r="D675"/>
      <c r="E675"/>
      <c r="F675"/>
      <c r="G675"/>
      <c r="H675"/>
      <c r="I675"/>
      <c r="J675"/>
    </row>
    <row r="676" spans="1:10" ht="11.25" customHeight="1" x14ac:dyDescent="0.2">
      <c r="A676"/>
      <c r="B676"/>
      <c r="C676"/>
      <c r="D676"/>
      <c r="E676"/>
      <c r="F676"/>
      <c r="G676"/>
      <c r="H676"/>
      <c r="I676"/>
      <c r="J676"/>
    </row>
    <row r="677" spans="1:10" ht="11.25" customHeight="1" x14ac:dyDescent="0.2">
      <c r="A677"/>
      <c r="B677"/>
      <c r="C677"/>
      <c r="D677"/>
      <c r="E677"/>
      <c r="F677"/>
      <c r="G677"/>
      <c r="H677"/>
      <c r="I677"/>
      <c r="J677"/>
    </row>
    <row r="678" spans="1:10" ht="11.25" customHeight="1" x14ac:dyDescent="0.2">
      <c r="A678"/>
      <c r="B678"/>
      <c r="C678"/>
      <c r="D678"/>
      <c r="E678"/>
      <c r="F678"/>
      <c r="G678"/>
      <c r="H678"/>
      <c r="I678"/>
      <c r="J678"/>
    </row>
    <row r="679" spans="1:10" ht="11.25" customHeight="1" x14ac:dyDescent="0.2">
      <c r="A679"/>
      <c r="B679"/>
      <c r="C679"/>
      <c r="D679"/>
      <c r="E679"/>
      <c r="F679"/>
      <c r="G679"/>
      <c r="H679"/>
      <c r="I679"/>
      <c r="J679"/>
    </row>
    <row r="680" spans="1:10" ht="11.25" customHeight="1" x14ac:dyDescent="0.2">
      <c r="A680"/>
      <c r="B680"/>
      <c r="C680"/>
      <c r="D680"/>
      <c r="E680"/>
      <c r="F680"/>
      <c r="G680"/>
      <c r="H680"/>
      <c r="I680"/>
      <c r="J680"/>
    </row>
    <row r="681" spans="1:10" ht="11.25" customHeight="1" x14ac:dyDescent="0.2">
      <c r="A681"/>
      <c r="B681"/>
      <c r="C681"/>
      <c r="D681"/>
      <c r="E681"/>
      <c r="F681"/>
      <c r="G681"/>
      <c r="H681"/>
      <c r="I681"/>
      <c r="J681"/>
    </row>
    <row r="682" spans="1:10" ht="11.25" customHeight="1" x14ac:dyDescent="0.2">
      <c r="A682"/>
      <c r="B682"/>
      <c r="C682"/>
      <c r="D682"/>
      <c r="E682"/>
      <c r="F682"/>
      <c r="G682"/>
      <c r="H682"/>
      <c r="I682"/>
      <c r="J682"/>
    </row>
    <row r="683" spans="1:10" ht="11.25" customHeight="1" x14ac:dyDescent="0.2">
      <c r="A683"/>
      <c r="B683"/>
      <c r="C683"/>
      <c r="D683"/>
      <c r="E683"/>
      <c r="F683"/>
      <c r="G683"/>
      <c r="H683"/>
      <c r="I683"/>
      <c r="J683"/>
    </row>
    <row r="684" spans="1:10" ht="11.25" customHeight="1" x14ac:dyDescent="0.2">
      <c r="A684"/>
      <c r="B684"/>
      <c r="C684"/>
      <c r="D684"/>
      <c r="E684"/>
      <c r="F684"/>
      <c r="G684"/>
      <c r="H684"/>
      <c r="I684"/>
      <c r="J684"/>
    </row>
    <row r="685" spans="1:10" ht="11.25" customHeight="1" x14ac:dyDescent="0.2">
      <c r="A685"/>
      <c r="B685"/>
      <c r="C685"/>
      <c r="D685"/>
      <c r="E685"/>
      <c r="F685"/>
      <c r="G685"/>
      <c r="H685"/>
      <c r="I685"/>
      <c r="J685"/>
    </row>
    <row r="686" spans="1:10" ht="11.25" customHeight="1" x14ac:dyDescent="0.2">
      <c r="A686"/>
      <c r="B686"/>
      <c r="C686"/>
      <c r="D686"/>
      <c r="E686"/>
      <c r="F686"/>
      <c r="G686"/>
      <c r="H686"/>
      <c r="I686"/>
      <c r="J686"/>
    </row>
    <row r="687" spans="1:10" ht="11.25" customHeight="1" x14ac:dyDescent="0.2">
      <c r="A687"/>
      <c r="B687"/>
      <c r="C687"/>
      <c r="D687"/>
      <c r="E687"/>
      <c r="F687"/>
      <c r="G687"/>
      <c r="H687"/>
      <c r="I687"/>
      <c r="J687"/>
    </row>
    <row r="688" spans="1:10" ht="11.25" customHeight="1" x14ac:dyDescent="0.2">
      <c r="A688"/>
      <c r="B688"/>
      <c r="C688"/>
      <c r="D688"/>
      <c r="E688"/>
      <c r="F688"/>
      <c r="G688"/>
      <c r="H688"/>
      <c r="I688"/>
      <c r="J688"/>
    </row>
    <row r="689" spans="1:10" ht="11.25" customHeight="1" x14ac:dyDescent="0.2">
      <c r="A689"/>
      <c r="B689"/>
      <c r="C689"/>
      <c r="D689"/>
      <c r="E689"/>
      <c r="F689"/>
      <c r="G689"/>
      <c r="H689"/>
      <c r="I689"/>
      <c r="J689"/>
    </row>
    <row r="690" spans="1:10" ht="11.25" customHeight="1" x14ac:dyDescent="0.2">
      <c r="A690"/>
      <c r="B690"/>
      <c r="C690"/>
      <c r="D690"/>
      <c r="E690"/>
      <c r="F690"/>
      <c r="G690"/>
      <c r="H690"/>
      <c r="I690"/>
      <c r="J690"/>
    </row>
    <row r="691" spans="1:10" ht="11.25" customHeight="1" x14ac:dyDescent="0.2">
      <c r="A691"/>
      <c r="B691"/>
      <c r="C691"/>
      <c r="D691"/>
      <c r="E691"/>
      <c r="F691"/>
      <c r="G691"/>
      <c r="H691"/>
      <c r="I691"/>
      <c r="J691"/>
    </row>
    <row r="692" spans="1:10" ht="11.25" customHeight="1" x14ac:dyDescent="0.2">
      <c r="A692"/>
      <c r="B692"/>
      <c r="C692"/>
      <c r="D692"/>
      <c r="E692"/>
      <c r="F692"/>
      <c r="G692"/>
      <c r="H692"/>
      <c r="I692"/>
      <c r="J692"/>
    </row>
    <row r="693" spans="1:10" ht="11.25" customHeight="1" x14ac:dyDescent="0.2">
      <c r="A693"/>
      <c r="B693"/>
      <c r="C693"/>
      <c r="D693"/>
      <c r="E693"/>
      <c r="F693"/>
      <c r="G693"/>
      <c r="H693"/>
      <c r="I693"/>
      <c r="J693"/>
    </row>
    <row r="694" spans="1:10" ht="11.25" customHeight="1" x14ac:dyDescent="0.2">
      <c r="A694"/>
      <c r="B694"/>
      <c r="C694"/>
      <c r="D694"/>
      <c r="E694"/>
      <c r="F694"/>
      <c r="G694"/>
      <c r="H694"/>
      <c r="I694"/>
      <c r="J694"/>
    </row>
    <row r="695" spans="1:10" ht="11.25" customHeight="1" x14ac:dyDescent="0.2">
      <c r="A695"/>
      <c r="B695"/>
      <c r="C695"/>
      <c r="D695"/>
      <c r="E695"/>
      <c r="F695"/>
      <c r="G695"/>
      <c r="H695"/>
      <c r="I695"/>
      <c r="J695"/>
    </row>
    <row r="696" spans="1:10" ht="11.25" customHeight="1" x14ac:dyDescent="0.2">
      <c r="A696"/>
      <c r="B696"/>
      <c r="C696"/>
      <c r="D696"/>
      <c r="E696"/>
      <c r="F696"/>
      <c r="G696"/>
      <c r="H696"/>
      <c r="I696"/>
      <c r="J696"/>
    </row>
    <row r="697" spans="1:10" ht="11.25" customHeight="1" x14ac:dyDescent="0.2">
      <c r="A697"/>
      <c r="B697"/>
      <c r="C697"/>
      <c r="D697"/>
      <c r="E697"/>
      <c r="F697"/>
      <c r="G697"/>
      <c r="H697"/>
      <c r="I697"/>
      <c r="J697"/>
    </row>
    <row r="698" spans="1:10" ht="11.25" customHeight="1" x14ac:dyDescent="0.2">
      <c r="A698"/>
      <c r="B698"/>
      <c r="C698"/>
      <c r="D698"/>
      <c r="E698"/>
      <c r="F698"/>
      <c r="G698"/>
      <c r="H698"/>
      <c r="I698"/>
      <c r="J698"/>
    </row>
    <row r="699" spans="1:10" ht="11.25" customHeight="1" x14ac:dyDescent="0.2">
      <c r="A699"/>
      <c r="B699"/>
      <c r="C699"/>
      <c r="D699"/>
      <c r="E699"/>
      <c r="F699"/>
      <c r="G699"/>
      <c r="H699"/>
      <c r="I699"/>
      <c r="J699"/>
    </row>
    <row r="700" spans="1:10" ht="11.25" customHeight="1" x14ac:dyDescent="0.2">
      <c r="A700"/>
      <c r="B700"/>
      <c r="C700"/>
      <c r="D700"/>
      <c r="E700"/>
      <c r="F700"/>
      <c r="G700"/>
      <c r="H700"/>
      <c r="I700"/>
      <c r="J700"/>
    </row>
    <row r="701" spans="1:10" ht="11.25" customHeight="1" x14ac:dyDescent="0.2">
      <c r="A701"/>
      <c r="B701"/>
      <c r="C701"/>
      <c r="D701"/>
      <c r="E701"/>
      <c r="F701"/>
      <c r="G701"/>
      <c r="H701"/>
      <c r="I701"/>
      <c r="J701"/>
    </row>
    <row r="702" spans="1:10" ht="11.25" customHeight="1" x14ac:dyDescent="0.2">
      <c r="A702"/>
      <c r="B702"/>
      <c r="C702"/>
      <c r="D702"/>
      <c r="E702"/>
      <c r="F702"/>
      <c r="G702"/>
      <c r="H702"/>
      <c r="I702"/>
      <c r="J702"/>
    </row>
    <row r="703" spans="1:10" ht="11.25" customHeight="1" x14ac:dyDescent="0.2">
      <c r="A703"/>
      <c r="B703"/>
      <c r="C703"/>
      <c r="D703"/>
      <c r="E703"/>
      <c r="F703"/>
      <c r="G703"/>
      <c r="H703"/>
      <c r="I703"/>
      <c r="J703"/>
    </row>
    <row r="704" spans="1:10" ht="11.25" customHeight="1" x14ac:dyDescent="0.2">
      <c r="A704"/>
      <c r="B704"/>
      <c r="C704"/>
      <c r="D704"/>
      <c r="E704"/>
      <c r="F704"/>
      <c r="G704"/>
      <c r="H704"/>
      <c r="I704"/>
      <c r="J704"/>
    </row>
    <row r="705" spans="1:10" ht="11.25" customHeight="1" x14ac:dyDescent="0.2">
      <c r="A705"/>
      <c r="B705"/>
      <c r="C705"/>
      <c r="D705"/>
      <c r="E705"/>
      <c r="F705"/>
      <c r="G705"/>
      <c r="H705"/>
      <c r="I705"/>
      <c r="J705"/>
    </row>
    <row r="706" spans="1:10" ht="11.25" customHeight="1" x14ac:dyDescent="0.2">
      <c r="A706"/>
      <c r="B706"/>
      <c r="C706"/>
      <c r="D706"/>
      <c r="E706"/>
      <c r="F706"/>
      <c r="G706"/>
      <c r="H706"/>
      <c r="I706"/>
      <c r="J706"/>
    </row>
    <row r="707" spans="1:10" ht="11.25" customHeight="1" x14ac:dyDescent="0.2">
      <c r="A707"/>
      <c r="B707"/>
      <c r="C707"/>
      <c r="D707"/>
      <c r="E707"/>
      <c r="F707"/>
      <c r="G707"/>
      <c r="H707"/>
      <c r="I707"/>
      <c r="J707"/>
    </row>
    <row r="708" spans="1:10" ht="11.25" customHeight="1" x14ac:dyDescent="0.2">
      <c r="A708"/>
      <c r="B708"/>
      <c r="C708"/>
      <c r="D708"/>
      <c r="E708"/>
      <c r="F708"/>
      <c r="G708"/>
      <c r="H708"/>
      <c r="I708"/>
      <c r="J708"/>
    </row>
    <row r="709" spans="1:10" ht="11.25" customHeight="1" x14ac:dyDescent="0.2">
      <c r="A709"/>
      <c r="B709"/>
      <c r="C709"/>
      <c r="D709"/>
      <c r="E709"/>
      <c r="F709"/>
      <c r="G709"/>
      <c r="H709"/>
      <c r="I709"/>
      <c r="J709"/>
    </row>
    <row r="710" spans="1:10" ht="11.25" customHeight="1" x14ac:dyDescent="0.2">
      <c r="A710"/>
      <c r="B710"/>
      <c r="C710"/>
      <c r="D710"/>
      <c r="E710"/>
      <c r="F710"/>
      <c r="G710"/>
      <c r="H710"/>
      <c r="I710"/>
      <c r="J710"/>
    </row>
    <row r="711" spans="1:10" ht="11.25" customHeight="1" x14ac:dyDescent="0.2">
      <c r="A711"/>
      <c r="B711"/>
      <c r="C711"/>
      <c r="D711"/>
      <c r="E711"/>
      <c r="F711"/>
      <c r="G711"/>
      <c r="H711"/>
      <c r="I711"/>
      <c r="J711"/>
    </row>
    <row r="712" spans="1:10" ht="11.25" customHeight="1" x14ac:dyDescent="0.2">
      <c r="A712"/>
      <c r="B712"/>
      <c r="C712"/>
      <c r="D712"/>
      <c r="E712"/>
      <c r="F712"/>
      <c r="G712"/>
      <c r="H712"/>
      <c r="I712"/>
      <c r="J712"/>
    </row>
    <row r="713" spans="1:10" ht="11.25" customHeight="1" x14ac:dyDescent="0.2">
      <c r="A713"/>
      <c r="B713"/>
      <c r="C713"/>
      <c r="D713"/>
      <c r="E713"/>
      <c r="F713"/>
      <c r="G713"/>
      <c r="H713"/>
      <c r="I713"/>
      <c r="J713"/>
    </row>
    <row r="714" spans="1:10" ht="11.25" customHeight="1" x14ac:dyDescent="0.2">
      <c r="A714"/>
      <c r="B714"/>
      <c r="C714"/>
      <c r="D714"/>
      <c r="E714"/>
      <c r="F714"/>
      <c r="G714"/>
      <c r="H714"/>
      <c r="I714"/>
      <c r="J714"/>
    </row>
    <row r="715" spans="1:10" ht="11.25" customHeight="1" x14ac:dyDescent="0.2">
      <c r="A715"/>
      <c r="B715"/>
      <c r="C715"/>
      <c r="D715"/>
      <c r="E715"/>
      <c r="F715"/>
      <c r="G715"/>
      <c r="H715"/>
      <c r="I715"/>
      <c r="J715"/>
    </row>
    <row r="716" spans="1:10" ht="11.25" customHeight="1" x14ac:dyDescent="0.2">
      <c r="A716"/>
      <c r="B716"/>
      <c r="C716"/>
      <c r="D716"/>
      <c r="E716"/>
      <c r="F716"/>
      <c r="G716"/>
      <c r="H716"/>
      <c r="I716"/>
      <c r="J716"/>
    </row>
    <row r="717" spans="1:10" ht="11.25" customHeight="1" x14ac:dyDescent="0.2">
      <c r="A717"/>
      <c r="B717"/>
      <c r="C717"/>
      <c r="D717"/>
      <c r="E717"/>
      <c r="F717"/>
      <c r="G717"/>
      <c r="H717"/>
      <c r="I717"/>
      <c r="J717"/>
    </row>
    <row r="718" spans="1:10" ht="11.25" customHeight="1" x14ac:dyDescent="0.2">
      <c r="A718"/>
      <c r="B718"/>
      <c r="C718"/>
      <c r="D718"/>
      <c r="E718"/>
      <c r="F718"/>
      <c r="G718"/>
      <c r="H718"/>
      <c r="I718"/>
      <c r="J718"/>
    </row>
    <row r="719" spans="1:10" ht="11.25" customHeight="1" x14ac:dyDescent="0.2">
      <c r="A719"/>
      <c r="B719"/>
      <c r="C719"/>
      <c r="D719"/>
      <c r="E719"/>
      <c r="F719"/>
      <c r="G719"/>
      <c r="H719"/>
      <c r="I719"/>
      <c r="J719"/>
    </row>
    <row r="720" spans="1:10" ht="11.25" customHeight="1" x14ac:dyDescent="0.2">
      <c r="A720"/>
      <c r="B720"/>
      <c r="C720"/>
      <c r="D720"/>
      <c r="E720"/>
      <c r="F720"/>
      <c r="G720"/>
      <c r="H720"/>
      <c r="I720"/>
      <c r="J720"/>
    </row>
    <row r="721" spans="1:10" ht="11.25" customHeight="1" x14ac:dyDescent="0.2">
      <c r="A721"/>
      <c r="B721"/>
      <c r="C721"/>
      <c r="D721"/>
      <c r="E721"/>
      <c r="F721"/>
      <c r="G721"/>
      <c r="H721"/>
      <c r="I721"/>
      <c r="J721"/>
    </row>
    <row r="722" spans="1:10" ht="11.25" customHeight="1" x14ac:dyDescent="0.2">
      <c r="A722"/>
      <c r="B722"/>
      <c r="C722"/>
      <c r="D722"/>
      <c r="E722"/>
      <c r="F722"/>
      <c r="G722"/>
      <c r="H722"/>
      <c r="I722"/>
      <c r="J722"/>
    </row>
    <row r="723" spans="1:10" ht="11.25" customHeight="1" x14ac:dyDescent="0.2">
      <c r="A723"/>
      <c r="B723"/>
      <c r="C723"/>
      <c r="D723"/>
      <c r="E723"/>
      <c r="F723"/>
      <c r="G723"/>
      <c r="H723"/>
      <c r="I723"/>
      <c r="J723"/>
    </row>
    <row r="724" spans="1:10" ht="11.25" customHeight="1" x14ac:dyDescent="0.2">
      <c r="A724"/>
      <c r="B724"/>
      <c r="C724"/>
      <c r="D724"/>
      <c r="E724"/>
      <c r="F724"/>
      <c r="G724"/>
      <c r="H724"/>
      <c r="I724"/>
      <c r="J724"/>
    </row>
    <row r="725" spans="1:10" ht="11.25" customHeight="1" x14ac:dyDescent="0.2">
      <c r="A725"/>
      <c r="B725"/>
      <c r="C725"/>
      <c r="D725"/>
      <c r="E725"/>
      <c r="F725"/>
      <c r="G725"/>
      <c r="H725"/>
      <c r="I725"/>
      <c r="J725"/>
    </row>
    <row r="726" spans="1:10" ht="11.25" customHeight="1" x14ac:dyDescent="0.2">
      <c r="A726"/>
      <c r="B726"/>
      <c r="C726"/>
      <c r="D726"/>
      <c r="E726"/>
      <c r="F726"/>
      <c r="G726"/>
      <c r="H726"/>
      <c r="I726"/>
      <c r="J726"/>
    </row>
    <row r="727" spans="1:10" ht="11.25" customHeight="1" x14ac:dyDescent="0.2">
      <c r="A727"/>
      <c r="B727"/>
      <c r="C727"/>
      <c r="D727"/>
      <c r="E727"/>
      <c r="F727"/>
      <c r="G727"/>
      <c r="H727"/>
      <c r="I727"/>
      <c r="J727"/>
    </row>
    <row r="728" spans="1:10" ht="11.25" customHeight="1" x14ac:dyDescent="0.2">
      <c r="A728"/>
      <c r="B728"/>
      <c r="C728"/>
      <c r="D728"/>
      <c r="E728"/>
      <c r="F728"/>
      <c r="G728"/>
      <c r="H728"/>
      <c r="I728"/>
      <c r="J728"/>
    </row>
    <row r="729" spans="1:10" ht="11.25" customHeight="1" x14ac:dyDescent="0.2">
      <c r="A729"/>
      <c r="B729"/>
      <c r="C729"/>
      <c r="D729"/>
      <c r="E729"/>
      <c r="F729"/>
      <c r="G729"/>
      <c r="H729"/>
      <c r="I729"/>
      <c r="J729"/>
    </row>
    <row r="730" spans="1:10" ht="11.25" customHeight="1" x14ac:dyDescent="0.2">
      <c r="A730"/>
      <c r="B730"/>
      <c r="C730"/>
      <c r="D730"/>
      <c r="E730"/>
      <c r="F730"/>
      <c r="G730"/>
      <c r="H730"/>
      <c r="I730"/>
      <c r="J730"/>
    </row>
    <row r="731" spans="1:10" ht="11.25" customHeight="1" x14ac:dyDescent="0.2">
      <c r="A731"/>
      <c r="B731"/>
      <c r="C731"/>
      <c r="D731"/>
      <c r="E731"/>
      <c r="F731"/>
      <c r="G731"/>
      <c r="H731"/>
      <c r="I731"/>
      <c r="J731"/>
    </row>
    <row r="732" spans="1:10" ht="11.25" customHeight="1" x14ac:dyDescent="0.2">
      <c r="A732"/>
      <c r="B732"/>
      <c r="C732"/>
      <c r="D732"/>
      <c r="E732"/>
      <c r="F732"/>
      <c r="G732"/>
      <c r="H732"/>
      <c r="I732"/>
      <c r="J732"/>
    </row>
    <row r="733" spans="1:10" ht="11.25" customHeight="1" x14ac:dyDescent="0.2">
      <c r="A733"/>
      <c r="B733"/>
      <c r="C733"/>
      <c r="D733"/>
      <c r="E733"/>
      <c r="F733"/>
      <c r="G733"/>
      <c r="H733"/>
      <c r="I733"/>
      <c r="J733"/>
    </row>
    <row r="734" spans="1:10" ht="11.25" customHeight="1" x14ac:dyDescent="0.2">
      <c r="A734"/>
      <c r="B734"/>
      <c r="C734"/>
      <c r="D734"/>
      <c r="E734"/>
      <c r="F734"/>
      <c r="G734"/>
      <c r="H734"/>
      <c r="I734"/>
      <c r="J734"/>
    </row>
    <row r="735" spans="1:10" ht="11.25" customHeight="1" x14ac:dyDescent="0.2">
      <c r="A735"/>
      <c r="B735"/>
      <c r="C735"/>
      <c r="D735"/>
      <c r="E735"/>
      <c r="F735"/>
      <c r="G735"/>
      <c r="H735"/>
      <c r="I735"/>
      <c r="J735"/>
    </row>
    <row r="736" spans="1:10" ht="11.25" customHeight="1" x14ac:dyDescent="0.2">
      <c r="A736"/>
      <c r="B736"/>
      <c r="C736"/>
      <c r="D736"/>
      <c r="E736"/>
      <c r="F736"/>
      <c r="G736"/>
      <c r="H736"/>
      <c r="I736"/>
      <c r="J736"/>
    </row>
    <row r="737" spans="1:10" ht="11.25" customHeight="1" x14ac:dyDescent="0.2">
      <c r="A737"/>
      <c r="B737"/>
      <c r="C737"/>
      <c r="D737"/>
      <c r="E737"/>
      <c r="F737"/>
      <c r="G737"/>
      <c r="H737"/>
      <c r="I737"/>
      <c r="J737"/>
    </row>
    <row r="738" spans="1:10" ht="11.25" customHeight="1" x14ac:dyDescent="0.2">
      <c r="A738"/>
      <c r="B738"/>
      <c r="C738"/>
      <c r="D738"/>
      <c r="E738"/>
      <c r="F738"/>
      <c r="G738"/>
      <c r="H738"/>
      <c r="I738"/>
      <c r="J738"/>
    </row>
    <row r="739" spans="1:10" ht="11.25" customHeight="1" x14ac:dyDescent="0.2">
      <c r="A739"/>
      <c r="B739"/>
      <c r="C739"/>
      <c r="D739"/>
      <c r="E739"/>
      <c r="F739"/>
      <c r="G739"/>
      <c r="H739"/>
      <c r="I739"/>
      <c r="J739"/>
    </row>
    <row r="740" spans="1:10" ht="11.25" customHeight="1" x14ac:dyDescent="0.2">
      <c r="A740"/>
      <c r="B740"/>
      <c r="C740"/>
      <c r="D740"/>
      <c r="E740"/>
      <c r="F740"/>
      <c r="G740"/>
      <c r="H740"/>
      <c r="I740"/>
      <c r="J740"/>
    </row>
    <row r="741" spans="1:10" ht="11.25" customHeight="1" x14ac:dyDescent="0.2">
      <c r="A741"/>
      <c r="B741"/>
      <c r="C741"/>
      <c r="D741"/>
      <c r="E741"/>
      <c r="F741"/>
      <c r="G741"/>
      <c r="H741"/>
      <c r="I741"/>
      <c r="J741"/>
    </row>
    <row r="742" spans="1:10" ht="11.25" customHeight="1" x14ac:dyDescent="0.2">
      <c r="A742"/>
      <c r="B742"/>
      <c r="C742"/>
      <c r="D742"/>
      <c r="E742"/>
      <c r="F742"/>
      <c r="G742"/>
      <c r="H742"/>
      <c r="I742"/>
      <c r="J742"/>
    </row>
    <row r="743" spans="1:10" ht="11.25" customHeight="1" x14ac:dyDescent="0.2">
      <c r="A743"/>
      <c r="B743"/>
      <c r="C743"/>
      <c r="D743"/>
      <c r="E743"/>
      <c r="F743"/>
      <c r="G743"/>
      <c r="H743"/>
      <c r="I743"/>
      <c r="J743"/>
    </row>
    <row r="744" spans="1:10" ht="11.25" customHeight="1" x14ac:dyDescent="0.2">
      <c r="A744"/>
      <c r="B744"/>
      <c r="C744"/>
      <c r="D744"/>
      <c r="E744"/>
      <c r="F744"/>
      <c r="G744"/>
      <c r="H744"/>
      <c r="I744"/>
      <c r="J744"/>
    </row>
    <row r="745" spans="1:10" ht="11.25" customHeight="1" x14ac:dyDescent="0.2">
      <c r="A745"/>
      <c r="B745"/>
      <c r="C745"/>
      <c r="D745"/>
      <c r="E745"/>
      <c r="F745"/>
      <c r="G745"/>
      <c r="H745"/>
      <c r="I745"/>
      <c r="J745"/>
    </row>
    <row r="746" spans="1:10" ht="11.25" customHeight="1" x14ac:dyDescent="0.2">
      <c r="A746"/>
      <c r="B746"/>
      <c r="C746"/>
      <c r="D746"/>
      <c r="E746"/>
      <c r="F746"/>
      <c r="G746"/>
      <c r="H746"/>
      <c r="I746"/>
      <c r="J746"/>
    </row>
    <row r="747" spans="1:10" ht="11.25" customHeight="1" x14ac:dyDescent="0.2">
      <c r="A747"/>
      <c r="B747"/>
      <c r="C747"/>
      <c r="D747"/>
      <c r="E747"/>
      <c r="F747"/>
      <c r="G747"/>
      <c r="H747"/>
      <c r="I747"/>
      <c r="J747"/>
    </row>
    <row r="748" spans="1:10" ht="11.25" customHeight="1" x14ac:dyDescent="0.2">
      <c r="A748"/>
      <c r="B748"/>
      <c r="C748"/>
      <c r="D748"/>
      <c r="E748"/>
      <c r="F748"/>
      <c r="G748"/>
      <c r="H748"/>
      <c r="I748"/>
      <c r="J748"/>
    </row>
    <row r="749" spans="1:10" ht="11.25" customHeight="1" x14ac:dyDescent="0.2">
      <c r="A749"/>
      <c r="B749"/>
      <c r="C749"/>
      <c r="D749"/>
      <c r="E749"/>
      <c r="F749"/>
      <c r="G749"/>
      <c r="H749"/>
      <c r="I749"/>
      <c r="J749"/>
    </row>
    <row r="750" spans="1:10" ht="11.25" customHeight="1" x14ac:dyDescent="0.2">
      <c r="A750"/>
      <c r="B750"/>
      <c r="C750"/>
      <c r="D750"/>
      <c r="E750"/>
      <c r="F750"/>
      <c r="G750"/>
      <c r="H750"/>
      <c r="I750"/>
      <c r="J750"/>
    </row>
    <row r="751" spans="1:10" ht="11.25" customHeight="1" x14ac:dyDescent="0.2">
      <c r="A751"/>
      <c r="B751"/>
      <c r="C751"/>
      <c r="D751"/>
      <c r="E751"/>
      <c r="F751"/>
      <c r="G751"/>
      <c r="H751"/>
      <c r="I751"/>
      <c r="J751"/>
    </row>
    <row r="752" spans="1:10" ht="11.25" customHeight="1" x14ac:dyDescent="0.2">
      <c r="A752"/>
      <c r="B752"/>
      <c r="C752"/>
      <c r="D752"/>
      <c r="E752"/>
      <c r="F752"/>
      <c r="G752"/>
      <c r="H752"/>
      <c r="I752"/>
      <c r="J752"/>
    </row>
    <row r="753" spans="1:10" ht="11.25" customHeight="1" x14ac:dyDescent="0.2">
      <c r="A753"/>
      <c r="B753"/>
      <c r="C753"/>
      <c r="D753"/>
      <c r="E753"/>
      <c r="F753"/>
      <c r="G753"/>
      <c r="H753"/>
      <c r="I753"/>
      <c r="J753"/>
    </row>
    <row r="754" spans="1:10" ht="11.25" customHeight="1" x14ac:dyDescent="0.2">
      <c r="A754"/>
      <c r="B754"/>
      <c r="C754"/>
      <c r="D754"/>
      <c r="E754"/>
      <c r="F754"/>
      <c r="G754"/>
      <c r="H754"/>
      <c r="I754"/>
      <c r="J754"/>
    </row>
    <row r="755" spans="1:10" ht="11.25" customHeight="1" x14ac:dyDescent="0.2">
      <c r="A755"/>
      <c r="B755"/>
      <c r="C755"/>
      <c r="D755"/>
      <c r="E755"/>
      <c r="F755"/>
      <c r="G755"/>
      <c r="H755"/>
      <c r="I755"/>
      <c r="J755"/>
    </row>
    <row r="756" spans="1:10" ht="11.25" customHeight="1" x14ac:dyDescent="0.2">
      <c r="A756"/>
      <c r="B756"/>
      <c r="C756"/>
      <c r="D756"/>
      <c r="E756"/>
      <c r="F756"/>
      <c r="G756"/>
      <c r="H756"/>
      <c r="I756"/>
      <c r="J756"/>
    </row>
    <row r="757" spans="1:10" ht="11.25" customHeight="1" x14ac:dyDescent="0.2">
      <c r="A757"/>
      <c r="B757"/>
      <c r="C757"/>
      <c r="D757"/>
      <c r="E757"/>
      <c r="F757"/>
      <c r="G757"/>
      <c r="H757"/>
      <c r="I757"/>
      <c r="J757"/>
    </row>
    <row r="758" spans="1:10" ht="11.25" customHeight="1" x14ac:dyDescent="0.2">
      <c r="A758"/>
      <c r="B758"/>
      <c r="C758"/>
      <c r="D758"/>
      <c r="E758"/>
      <c r="F758"/>
      <c r="G758"/>
      <c r="H758"/>
      <c r="I758"/>
      <c r="J758"/>
    </row>
    <row r="759" spans="1:10" ht="11.25" customHeight="1" x14ac:dyDescent="0.2">
      <c r="A759"/>
      <c r="B759"/>
      <c r="C759"/>
      <c r="D759"/>
      <c r="E759"/>
      <c r="F759"/>
      <c r="G759"/>
      <c r="H759"/>
      <c r="I759"/>
      <c r="J759"/>
    </row>
    <row r="760" spans="1:10" ht="11.25" customHeight="1" x14ac:dyDescent="0.2">
      <c r="A760"/>
      <c r="B760"/>
      <c r="C760"/>
      <c r="D760"/>
      <c r="E760"/>
      <c r="F760"/>
      <c r="G760"/>
      <c r="H760"/>
      <c r="I760"/>
      <c r="J760"/>
    </row>
    <row r="761" spans="1:10" ht="11.25" customHeight="1" x14ac:dyDescent="0.2">
      <c r="A761"/>
      <c r="B761"/>
      <c r="C761"/>
      <c r="D761"/>
      <c r="E761"/>
      <c r="F761"/>
      <c r="G761"/>
      <c r="H761"/>
      <c r="I761"/>
      <c r="J761"/>
    </row>
    <row r="762" spans="1:10" ht="11.25" customHeight="1" x14ac:dyDescent="0.2">
      <c r="A762"/>
      <c r="B762"/>
      <c r="C762"/>
      <c r="D762"/>
      <c r="E762"/>
      <c r="F762"/>
      <c r="G762"/>
      <c r="H762"/>
      <c r="I762"/>
      <c r="J762"/>
    </row>
    <row r="763" spans="1:10" ht="11.25" customHeight="1" x14ac:dyDescent="0.2">
      <c r="A763"/>
      <c r="B763"/>
      <c r="C763"/>
      <c r="D763"/>
      <c r="E763"/>
      <c r="F763"/>
      <c r="G763"/>
      <c r="H763"/>
      <c r="I763"/>
      <c r="J763"/>
    </row>
    <row r="764" spans="1:10" ht="11.25" customHeight="1" x14ac:dyDescent="0.2">
      <c r="A764"/>
      <c r="B764"/>
      <c r="C764"/>
      <c r="D764"/>
      <c r="E764"/>
      <c r="F764"/>
      <c r="G764"/>
      <c r="H764"/>
      <c r="I764"/>
      <c r="J764"/>
    </row>
    <row r="765" spans="1:10" ht="11.25" customHeight="1" x14ac:dyDescent="0.2">
      <c r="A765"/>
      <c r="B765"/>
      <c r="C765"/>
      <c r="D765"/>
      <c r="E765"/>
      <c r="F765"/>
      <c r="G765"/>
      <c r="H765"/>
      <c r="I765"/>
      <c r="J765"/>
    </row>
    <row r="766" spans="1:10" ht="11.25" customHeight="1" x14ac:dyDescent="0.2">
      <c r="A766"/>
      <c r="B766"/>
      <c r="C766"/>
      <c r="D766"/>
      <c r="E766"/>
      <c r="F766"/>
      <c r="G766"/>
      <c r="H766"/>
      <c r="I766"/>
      <c r="J766"/>
    </row>
    <row r="767" spans="1:10" ht="11.25" customHeight="1" x14ac:dyDescent="0.2">
      <c r="A767"/>
      <c r="B767"/>
      <c r="C767"/>
      <c r="D767"/>
      <c r="E767"/>
      <c r="F767"/>
      <c r="G767"/>
      <c r="H767"/>
      <c r="I767"/>
      <c r="J767"/>
    </row>
    <row r="768" spans="1:10" ht="11.25" customHeight="1" x14ac:dyDescent="0.2">
      <c r="A768"/>
      <c r="B768"/>
      <c r="C768"/>
      <c r="D768"/>
      <c r="E768"/>
      <c r="F768"/>
      <c r="G768"/>
      <c r="H768"/>
      <c r="I768"/>
      <c r="J768"/>
    </row>
    <row r="769" spans="1:10" ht="11.25" customHeight="1" x14ac:dyDescent="0.2">
      <c r="A769"/>
      <c r="B769"/>
      <c r="C769"/>
      <c r="D769"/>
      <c r="E769"/>
      <c r="F769"/>
      <c r="G769"/>
      <c r="H769"/>
      <c r="I769"/>
      <c r="J769"/>
    </row>
    <row r="770" spans="1:10" ht="11.25" customHeight="1" x14ac:dyDescent="0.2">
      <c r="A770"/>
      <c r="B770"/>
      <c r="C770"/>
      <c r="D770"/>
      <c r="E770"/>
      <c r="F770"/>
      <c r="G770"/>
      <c r="H770"/>
      <c r="I770"/>
      <c r="J770"/>
    </row>
    <row r="771" spans="1:10" ht="11.25" customHeight="1" x14ac:dyDescent="0.2">
      <c r="A771"/>
      <c r="B771"/>
      <c r="C771"/>
      <c r="D771"/>
      <c r="E771"/>
      <c r="F771"/>
      <c r="G771"/>
      <c r="H771"/>
      <c r="I771"/>
      <c r="J771"/>
    </row>
    <row r="772" spans="1:10" ht="11.25" customHeight="1" x14ac:dyDescent="0.2">
      <c r="A772"/>
      <c r="B772"/>
      <c r="C772"/>
      <c r="D772"/>
      <c r="E772"/>
      <c r="F772"/>
      <c r="G772"/>
      <c r="H772"/>
      <c r="I772"/>
      <c r="J772"/>
    </row>
    <row r="773" spans="1:10" ht="11.25" customHeight="1" x14ac:dyDescent="0.2">
      <c r="A773"/>
      <c r="B773"/>
      <c r="C773"/>
      <c r="D773"/>
      <c r="E773"/>
      <c r="F773"/>
      <c r="G773"/>
      <c r="H773"/>
      <c r="I773"/>
      <c r="J773"/>
    </row>
    <row r="774" spans="1:10" ht="11.25" customHeight="1" x14ac:dyDescent="0.2">
      <c r="A774"/>
      <c r="B774"/>
      <c r="C774"/>
      <c r="D774"/>
      <c r="E774"/>
      <c r="F774"/>
      <c r="G774"/>
      <c r="H774"/>
      <c r="I774"/>
      <c r="J774"/>
    </row>
    <row r="775" spans="1:10" ht="11.25" customHeight="1" x14ac:dyDescent="0.2">
      <c r="A775"/>
      <c r="B775"/>
      <c r="C775"/>
      <c r="D775"/>
      <c r="E775"/>
      <c r="F775"/>
      <c r="G775"/>
      <c r="H775"/>
      <c r="I775"/>
      <c r="J775"/>
    </row>
    <row r="776" spans="1:10" ht="11.25" customHeight="1" x14ac:dyDescent="0.2">
      <c r="A776"/>
      <c r="B776"/>
      <c r="C776"/>
      <c r="D776"/>
      <c r="E776"/>
      <c r="F776"/>
      <c r="G776"/>
      <c r="H776"/>
      <c r="I776"/>
      <c r="J776"/>
    </row>
    <row r="777" spans="1:10" ht="11.25" customHeight="1" x14ac:dyDescent="0.2">
      <c r="A777"/>
      <c r="B777"/>
      <c r="C777"/>
      <c r="D777"/>
      <c r="E777"/>
      <c r="F777"/>
      <c r="G777"/>
      <c r="H777"/>
      <c r="I777"/>
      <c r="J777"/>
    </row>
    <row r="778" spans="1:10" ht="11.25" customHeight="1" x14ac:dyDescent="0.2">
      <c r="A778"/>
      <c r="B778"/>
      <c r="C778"/>
      <c r="D778"/>
      <c r="E778"/>
      <c r="F778"/>
      <c r="G778"/>
      <c r="H778"/>
      <c r="I778"/>
      <c r="J778"/>
    </row>
    <row r="779" spans="1:10" ht="11.25" customHeight="1" x14ac:dyDescent="0.2">
      <c r="A779"/>
      <c r="B779"/>
      <c r="C779"/>
      <c r="D779"/>
      <c r="E779"/>
      <c r="F779"/>
      <c r="G779"/>
      <c r="H779"/>
      <c r="I779"/>
      <c r="J779"/>
    </row>
    <row r="780" spans="1:10" ht="11.25" customHeight="1" x14ac:dyDescent="0.2">
      <c r="A780"/>
      <c r="B780"/>
      <c r="C780"/>
      <c r="D780"/>
      <c r="E780"/>
      <c r="F780"/>
      <c r="G780"/>
      <c r="H780"/>
      <c r="I780"/>
      <c r="J780"/>
    </row>
    <row r="781" spans="1:10" ht="11.25" customHeight="1" x14ac:dyDescent="0.2">
      <c r="A781"/>
      <c r="B781"/>
      <c r="C781"/>
      <c r="D781"/>
      <c r="E781"/>
      <c r="F781"/>
      <c r="G781"/>
      <c r="H781"/>
      <c r="I781"/>
      <c r="J781"/>
    </row>
    <row r="782" spans="1:10" ht="11.25" customHeight="1" x14ac:dyDescent="0.2">
      <c r="A782"/>
      <c r="B782"/>
      <c r="C782"/>
      <c r="D782"/>
      <c r="E782"/>
      <c r="F782"/>
      <c r="G782"/>
      <c r="H782"/>
      <c r="I782"/>
      <c r="J782"/>
    </row>
    <row r="783" spans="1:10" ht="11.25" customHeight="1" x14ac:dyDescent="0.2">
      <c r="A783"/>
      <c r="B783"/>
      <c r="C783"/>
      <c r="D783"/>
      <c r="E783"/>
      <c r="F783"/>
      <c r="G783"/>
      <c r="H783"/>
      <c r="I783"/>
      <c r="J783"/>
    </row>
    <row r="784" spans="1:10" ht="11.25" customHeight="1" x14ac:dyDescent="0.2">
      <c r="A784"/>
      <c r="B784"/>
      <c r="C784"/>
      <c r="D784"/>
      <c r="E784"/>
      <c r="F784"/>
      <c r="G784"/>
      <c r="H784"/>
      <c r="I784"/>
      <c r="J784"/>
    </row>
    <row r="785" spans="1:10" ht="11.25" customHeight="1" x14ac:dyDescent="0.2">
      <c r="A785"/>
      <c r="B785"/>
      <c r="C785"/>
      <c r="D785"/>
      <c r="E785"/>
      <c r="F785"/>
      <c r="G785"/>
      <c r="H785"/>
      <c r="I785"/>
      <c r="J785"/>
    </row>
    <row r="786" spans="1:10" ht="11.25" customHeight="1" x14ac:dyDescent="0.2">
      <c r="A786"/>
      <c r="B786"/>
      <c r="C786"/>
      <c r="D786"/>
      <c r="E786"/>
      <c r="F786"/>
      <c r="G786"/>
      <c r="H786"/>
      <c r="I786"/>
      <c r="J786"/>
    </row>
    <row r="787" spans="1:10" ht="11.25" customHeight="1" x14ac:dyDescent="0.2">
      <c r="A787"/>
      <c r="B787"/>
      <c r="C787"/>
      <c r="D787"/>
      <c r="E787"/>
      <c r="F787"/>
      <c r="G787"/>
      <c r="H787"/>
      <c r="I787"/>
      <c r="J787"/>
    </row>
    <row r="788" spans="1:10" ht="11.25" customHeight="1" x14ac:dyDescent="0.2">
      <c r="A788"/>
      <c r="B788"/>
      <c r="C788"/>
      <c r="D788"/>
      <c r="E788"/>
      <c r="F788"/>
      <c r="G788"/>
      <c r="H788"/>
      <c r="I788"/>
      <c r="J788"/>
    </row>
    <row r="789" spans="1:10" ht="11.25" customHeight="1" x14ac:dyDescent="0.2">
      <c r="A789"/>
      <c r="B789"/>
      <c r="C789"/>
      <c r="D789"/>
      <c r="E789"/>
      <c r="F789"/>
      <c r="G789"/>
      <c r="H789"/>
      <c r="I789"/>
      <c r="J789"/>
    </row>
    <row r="790" spans="1:10" ht="11.25" customHeight="1" x14ac:dyDescent="0.2">
      <c r="A790"/>
      <c r="B790"/>
      <c r="C790"/>
      <c r="D790"/>
      <c r="E790"/>
      <c r="F790"/>
      <c r="G790"/>
      <c r="H790"/>
      <c r="I790"/>
      <c r="J790"/>
    </row>
    <row r="791" spans="1:10" ht="11.25" customHeight="1" x14ac:dyDescent="0.2">
      <c r="A791"/>
      <c r="B791"/>
      <c r="C791"/>
      <c r="D791"/>
      <c r="E791"/>
      <c r="F791"/>
      <c r="G791"/>
      <c r="H791"/>
      <c r="I791"/>
      <c r="J791"/>
    </row>
    <row r="792" spans="1:10" ht="11.25" customHeight="1" x14ac:dyDescent="0.2">
      <c r="A792"/>
      <c r="B792"/>
      <c r="C792"/>
      <c r="D792"/>
      <c r="E792"/>
      <c r="F792"/>
      <c r="G792"/>
      <c r="H792"/>
      <c r="I792"/>
      <c r="J792"/>
    </row>
    <row r="793" spans="1:10" ht="11.25" customHeight="1" x14ac:dyDescent="0.2">
      <c r="A793"/>
      <c r="B793"/>
      <c r="C793"/>
      <c r="D793"/>
      <c r="E793"/>
      <c r="F793"/>
      <c r="G793"/>
      <c r="H793"/>
      <c r="I793"/>
      <c r="J793"/>
    </row>
    <row r="794" spans="1:10" ht="11.25" customHeight="1" x14ac:dyDescent="0.2">
      <c r="A794"/>
      <c r="B794"/>
      <c r="C794"/>
      <c r="D794"/>
      <c r="E794"/>
      <c r="F794"/>
      <c r="G794"/>
      <c r="H794"/>
      <c r="I794"/>
      <c r="J794"/>
    </row>
    <row r="795" spans="1:10" ht="11.25" customHeight="1" x14ac:dyDescent="0.2">
      <c r="A795"/>
      <c r="B795"/>
      <c r="C795"/>
      <c r="D795"/>
      <c r="E795"/>
      <c r="F795"/>
      <c r="G795"/>
      <c r="H795"/>
      <c r="I795"/>
      <c r="J795"/>
    </row>
    <row r="796" spans="1:10" ht="11.25" customHeight="1" x14ac:dyDescent="0.2">
      <c r="A796"/>
      <c r="B796"/>
      <c r="C796"/>
      <c r="D796"/>
      <c r="E796"/>
      <c r="F796"/>
      <c r="G796"/>
      <c r="H796"/>
      <c r="I796"/>
      <c r="J796"/>
    </row>
    <row r="797" spans="1:10" ht="11.25" customHeight="1" x14ac:dyDescent="0.2">
      <c r="A797"/>
      <c r="B797"/>
      <c r="C797"/>
      <c r="D797"/>
      <c r="E797"/>
      <c r="F797"/>
      <c r="G797"/>
      <c r="H797"/>
      <c r="I797"/>
      <c r="J797"/>
    </row>
    <row r="798" spans="1:10" ht="11.25" customHeight="1" x14ac:dyDescent="0.2">
      <c r="A798"/>
      <c r="B798"/>
      <c r="C798"/>
      <c r="D798"/>
      <c r="E798"/>
      <c r="F798"/>
      <c r="G798"/>
      <c r="H798"/>
      <c r="I798"/>
      <c r="J798"/>
    </row>
    <row r="799" spans="1:10" ht="11.25" customHeight="1" x14ac:dyDescent="0.2">
      <c r="A799"/>
      <c r="B799"/>
      <c r="C799"/>
      <c r="D799"/>
      <c r="E799"/>
      <c r="F799"/>
      <c r="G799"/>
      <c r="H799"/>
      <c r="I799"/>
      <c r="J799"/>
    </row>
    <row r="800" spans="1:10" ht="11.25" customHeight="1" x14ac:dyDescent="0.2">
      <c r="A800"/>
      <c r="B800"/>
      <c r="C800"/>
      <c r="D800"/>
      <c r="E800"/>
      <c r="F800"/>
      <c r="G800"/>
      <c r="H800"/>
      <c r="I800"/>
      <c r="J800"/>
    </row>
    <row r="801" spans="1:10" ht="11.25" customHeight="1" x14ac:dyDescent="0.2">
      <c r="A801"/>
      <c r="B801"/>
      <c r="C801"/>
      <c r="D801"/>
      <c r="E801"/>
      <c r="F801"/>
      <c r="G801"/>
      <c r="H801"/>
      <c r="I801"/>
      <c r="J801"/>
    </row>
    <row r="802" spans="1:10" ht="11.25" customHeight="1" x14ac:dyDescent="0.2">
      <c r="A802"/>
      <c r="B802"/>
      <c r="C802"/>
      <c r="D802"/>
      <c r="E802"/>
      <c r="F802"/>
      <c r="G802"/>
      <c r="H802"/>
      <c r="I802"/>
      <c r="J802"/>
    </row>
    <row r="803" spans="1:10" ht="11.25" customHeight="1" x14ac:dyDescent="0.2">
      <c r="A803"/>
      <c r="B803"/>
      <c r="C803"/>
      <c r="D803"/>
      <c r="E803"/>
      <c r="F803"/>
      <c r="G803"/>
      <c r="H803"/>
      <c r="I803"/>
      <c r="J803"/>
    </row>
    <row r="804" spans="1:10" ht="11.25" customHeight="1" x14ac:dyDescent="0.2">
      <c r="A804"/>
      <c r="B804"/>
      <c r="C804"/>
      <c r="D804"/>
      <c r="E804"/>
      <c r="F804"/>
      <c r="G804"/>
      <c r="H804"/>
      <c r="I804"/>
      <c r="J804"/>
    </row>
    <row r="805" spans="1:10" ht="11.25" customHeight="1" x14ac:dyDescent="0.2">
      <c r="A805"/>
      <c r="B805"/>
      <c r="C805"/>
      <c r="D805"/>
      <c r="E805"/>
      <c r="F805"/>
      <c r="G805"/>
      <c r="H805"/>
      <c r="I805"/>
      <c r="J805"/>
    </row>
    <row r="806" spans="1:10" ht="11.25" customHeight="1" x14ac:dyDescent="0.2">
      <c r="A806"/>
      <c r="B806"/>
      <c r="C806"/>
      <c r="D806"/>
      <c r="E806"/>
      <c r="F806"/>
      <c r="G806"/>
      <c r="H806"/>
      <c r="I806"/>
      <c r="J806"/>
    </row>
    <row r="807" spans="1:10" ht="11.25" customHeight="1" x14ac:dyDescent="0.2">
      <c r="A807"/>
      <c r="B807"/>
      <c r="C807"/>
      <c r="D807"/>
      <c r="E807"/>
      <c r="F807"/>
      <c r="G807"/>
      <c r="H807"/>
      <c r="I807"/>
      <c r="J807"/>
    </row>
    <row r="808" spans="1:10" ht="11.25" customHeight="1" x14ac:dyDescent="0.2">
      <c r="A808"/>
      <c r="B808"/>
      <c r="C808"/>
      <c r="D808"/>
      <c r="E808"/>
      <c r="F808"/>
      <c r="G808"/>
      <c r="H808"/>
      <c r="I808"/>
      <c r="J808"/>
    </row>
    <row r="809" spans="1:10" ht="11.25" customHeight="1" x14ac:dyDescent="0.2">
      <c r="A809"/>
      <c r="B809"/>
      <c r="C809"/>
      <c r="D809"/>
      <c r="E809"/>
      <c r="F809"/>
      <c r="G809"/>
      <c r="H809"/>
      <c r="I809"/>
      <c r="J809"/>
    </row>
    <row r="810" spans="1:10" ht="11.25" customHeight="1" x14ac:dyDescent="0.2">
      <c r="A810"/>
      <c r="B810"/>
      <c r="C810"/>
      <c r="D810"/>
      <c r="E810"/>
      <c r="F810"/>
      <c r="G810"/>
      <c r="H810"/>
      <c r="I810"/>
      <c r="J810"/>
    </row>
    <row r="811" spans="1:10" ht="11.25" customHeight="1" x14ac:dyDescent="0.2">
      <c r="A811"/>
      <c r="B811"/>
      <c r="C811"/>
      <c r="D811"/>
      <c r="E811"/>
      <c r="F811"/>
      <c r="G811"/>
      <c r="H811"/>
      <c r="I811"/>
      <c r="J811"/>
    </row>
    <row r="812" spans="1:10" ht="11.25" customHeight="1" x14ac:dyDescent="0.2">
      <c r="A812"/>
      <c r="B812"/>
      <c r="C812"/>
      <c r="D812"/>
      <c r="E812"/>
      <c r="F812"/>
      <c r="G812"/>
      <c r="H812"/>
      <c r="I812"/>
      <c r="J812"/>
    </row>
    <row r="813" spans="1:10" ht="11.25" customHeight="1" x14ac:dyDescent="0.2">
      <c r="A813"/>
      <c r="B813"/>
      <c r="C813"/>
      <c r="D813"/>
      <c r="E813"/>
      <c r="F813"/>
      <c r="G813"/>
      <c r="H813"/>
      <c r="I813"/>
      <c r="J813"/>
    </row>
    <row r="814" spans="1:10" ht="11.25" customHeight="1" x14ac:dyDescent="0.2">
      <c r="A814"/>
      <c r="B814"/>
      <c r="C814"/>
      <c r="D814"/>
      <c r="E814"/>
      <c r="F814"/>
      <c r="G814"/>
      <c r="H814"/>
      <c r="I814"/>
      <c r="J814"/>
    </row>
    <row r="815" spans="1:10" ht="11.25" customHeight="1" x14ac:dyDescent="0.2">
      <c r="A815"/>
      <c r="B815"/>
      <c r="C815"/>
      <c r="D815"/>
      <c r="E815"/>
      <c r="F815"/>
      <c r="G815"/>
      <c r="H815"/>
      <c r="I815"/>
      <c r="J815"/>
    </row>
    <row r="816" spans="1:10" ht="11.25" customHeight="1" x14ac:dyDescent="0.2">
      <c r="A816"/>
      <c r="B816"/>
      <c r="C816"/>
      <c r="D816"/>
      <c r="E816"/>
      <c r="F816"/>
      <c r="G816"/>
      <c r="H816"/>
      <c r="I816"/>
      <c r="J816"/>
    </row>
    <row r="817" spans="1:10" ht="11.25" customHeight="1" x14ac:dyDescent="0.2">
      <c r="A817"/>
      <c r="B817"/>
      <c r="C817"/>
      <c r="D817"/>
      <c r="E817"/>
      <c r="F817"/>
      <c r="G817"/>
      <c r="H817"/>
      <c r="I817"/>
      <c r="J817"/>
    </row>
    <row r="818" spans="1:10" ht="11.25" customHeight="1" x14ac:dyDescent="0.2">
      <c r="A818"/>
      <c r="B818"/>
      <c r="C818"/>
      <c r="D818"/>
      <c r="E818"/>
      <c r="F818"/>
      <c r="G818"/>
      <c r="H818"/>
      <c r="I818"/>
      <c r="J818"/>
    </row>
    <row r="819" spans="1:10" ht="11.25" customHeight="1" x14ac:dyDescent="0.2">
      <c r="A819"/>
      <c r="B819"/>
      <c r="C819"/>
      <c r="D819"/>
      <c r="E819"/>
      <c r="F819"/>
      <c r="G819"/>
      <c r="H819"/>
      <c r="I819"/>
      <c r="J819"/>
    </row>
    <row r="820" spans="1:10" ht="11.25" customHeight="1" x14ac:dyDescent="0.2">
      <c r="A820"/>
      <c r="B820"/>
      <c r="C820"/>
      <c r="D820"/>
      <c r="E820"/>
      <c r="F820"/>
      <c r="G820"/>
      <c r="H820"/>
      <c r="I820"/>
      <c r="J820"/>
    </row>
    <row r="821" spans="1:10" ht="11.25" customHeight="1" x14ac:dyDescent="0.2">
      <c r="A821"/>
      <c r="B821"/>
      <c r="C821"/>
      <c r="D821"/>
      <c r="E821"/>
      <c r="F821"/>
      <c r="G821"/>
      <c r="H821"/>
      <c r="I821"/>
      <c r="J821"/>
    </row>
    <row r="822" spans="1:10" ht="11.25" customHeight="1" x14ac:dyDescent="0.2">
      <c r="A822"/>
      <c r="B822"/>
      <c r="C822"/>
      <c r="D822"/>
      <c r="E822"/>
      <c r="F822"/>
      <c r="G822"/>
      <c r="H822"/>
      <c r="I822"/>
      <c r="J822"/>
    </row>
    <row r="823" spans="1:10" ht="11.25" customHeight="1" x14ac:dyDescent="0.2">
      <c r="A823"/>
      <c r="B823"/>
      <c r="C823"/>
      <c r="D823"/>
      <c r="E823"/>
      <c r="F823"/>
      <c r="G823"/>
      <c r="H823"/>
      <c r="I823"/>
      <c r="J823"/>
    </row>
    <row r="824" spans="1:10" ht="11.25" customHeight="1" x14ac:dyDescent="0.2">
      <c r="A824"/>
      <c r="B824"/>
      <c r="C824"/>
      <c r="D824"/>
      <c r="E824"/>
      <c r="F824"/>
      <c r="G824"/>
      <c r="H824"/>
      <c r="I824"/>
      <c r="J824"/>
    </row>
    <row r="825" spans="1:10" ht="11.25" customHeight="1" x14ac:dyDescent="0.2">
      <c r="A825"/>
      <c r="B825"/>
      <c r="C825"/>
      <c r="D825"/>
      <c r="E825"/>
      <c r="F825"/>
      <c r="G825"/>
      <c r="H825"/>
      <c r="I825"/>
      <c r="J825"/>
    </row>
    <row r="826" spans="1:10" ht="11.25" customHeight="1" x14ac:dyDescent="0.2">
      <c r="A826"/>
      <c r="B826"/>
      <c r="C826"/>
      <c r="D826"/>
      <c r="E826"/>
      <c r="F826"/>
      <c r="G826"/>
      <c r="H826"/>
      <c r="I826"/>
      <c r="J826"/>
    </row>
    <row r="827" spans="1:10" ht="11.25" customHeight="1" x14ac:dyDescent="0.2">
      <c r="A827"/>
      <c r="B827"/>
      <c r="C827"/>
      <c r="D827"/>
      <c r="E827"/>
      <c r="F827"/>
      <c r="G827"/>
      <c r="H827"/>
      <c r="I827"/>
      <c r="J827"/>
    </row>
    <row r="828" spans="1:10" ht="11.25" customHeight="1" x14ac:dyDescent="0.2">
      <c r="A828"/>
      <c r="B828"/>
      <c r="C828"/>
      <c r="D828"/>
      <c r="E828"/>
      <c r="F828"/>
      <c r="G828"/>
      <c r="H828"/>
      <c r="I828"/>
      <c r="J828"/>
    </row>
    <row r="829" spans="1:10" ht="11.25" customHeight="1" x14ac:dyDescent="0.2">
      <c r="A829"/>
      <c r="B829"/>
      <c r="C829"/>
      <c r="D829"/>
      <c r="E829"/>
      <c r="F829"/>
      <c r="G829"/>
      <c r="H829"/>
      <c r="I829"/>
      <c r="J829"/>
    </row>
    <row r="830" spans="1:10" ht="11.25" customHeight="1" x14ac:dyDescent="0.2">
      <c r="A830"/>
      <c r="B830"/>
      <c r="C830"/>
      <c r="D830"/>
      <c r="E830"/>
      <c r="F830"/>
      <c r="G830"/>
      <c r="H830"/>
      <c r="I830"/>
      <c r="J830"/>
    </row>
    <row r="831" spans="1:10" ht="11.25" customHeight="1" x14ac:dyDescent="0.2">
      <c r="A831"/>
      <c r="B831"/>
      <c r="C831"/>
      <c r="D831"/>
      <c r="E831"/>
      <c r="F831"/>
      <c r="G831"/>
      <c r="H831"/>
      <c r="I831"/>
      <c r="J831"/>
    </row>
    <row r="832" spans="1:10" ht="11.25" customHeight="1" x14ac:dyDescent="0.2">
      <c r="A832"/>
      <c r="B832"/>
      <c r="C832"/>
      <c r="D832"/>
      <c r="E832"/>
      <c r="F832"/>
      <c r="G832"/>
      <c r="H832"/>
      <c r="I832"/>
      <c r="J832"/>
    </row>
    <row r="833" spans="1:10" ht="11.25" customHeight="1" x14ac:dyDescent="0.2">
      <c r="A833"/>
      <c r="B833"/>
      <c r="C833"/>
      <c r="D833"/>
      <c r="E833"/>
      <c r="F833"/>
      <c r="G833"/>
      <c r="H833"/>
      <c r="I833"/>
      <c r="J833"/>
    </row>
    <row r="834" spans="1:10" ht="11.25" customHeight="1" x14ac:dyDescent="0.2">
      <c r="A834"/>
      <c r="B834"/>
      <c r="C834"/>
      <c r="D834"/>
      <c r="E834"/>
      <c r="F834"/>
      <c r="G834"/>
      <c r="H834"/>
      <c r="I834"/>
      <c r="J834"/>
    </row>
    <row r="835" spans="1:10" ht="11.25" customHeight="1" x14ac:dyDescent="0.2">
      <c r="A835"/>
      <c r="B835"/>
      <c r="C835"/>
      <c r="D835"/>
      <c r="E835"/>
      <c r="F835"/>
      <c r="G835"/>
      <c r="H835"/>
      <c r="I835"/>
      <c r="J835"/>
    </row>
    <row r="836" spans="1:10" ht="11.25" customHeight="1" x14ac:dyDescent="0.2">
      <c r="A836"/>
      <c r="B836"/>
      <c r="C836"/>
      <c r="D836"/>
      <c r="E836"/>
      <c r="F836"/>
      <c r="G836"/>
      <c r="H836"/>
      <c r="I836"/>
      <c r="J836"/>
    </row>
    <row r="837" spans="1:10" ht="11.25" customHeight="1" x14ac:dyDescent="0.2">
      <c r="A837"/>
      <c r="B837"/>
      <c r="C837"/>
      <c r="D837"/>
      <c r="E837"/>
      <c r="F837"/>
      <c r="G837"/>
      <c r="H837"/>
      <c r="I837"/>
      <c r="J837"/>
    </row>
    <row r="838" spans="1:10" ht="11.25" customHeight="1" x14ac:dyDescent="0.2">
      <c r="A838"/>
      <c r="B838"/>
      <c r="C838"/>
      <c r="D838"/>
      <c r="E838"/>
      <c r="F838"/>
      <c r="G838"/>
      <c r="H838"/>
      <c r="I838"/>
      <c r="J838"/>
    </row>
    <row r="839" spans="1:10" ht="11.25" customHeight="1" x14ac:dyDescent="0.2">
      <c r="A839"/>
      <c r="B839"/>
      <c r="C839"/>
      <c r="D839"/>
      <c r="E839"/>
      <c r="F839"/>
      <c r="G839"/>
      <c r="H839"/>
      <c r="I839"/>
      <c r="J839"/>
    </row>
    <row r="840" spans="1:10" ht="11.25" customHeight="1" x14ac:dyDescent="0.2">
      <c r="A840"/>
      <c r="B840"/>
      <c r="C840"/>
      <c r="D840"/>
      <c r="E840"/>
      <c r="F840"/>
      <c r="G840"/>
      <c r="H840"/>
      <c r="I840"/>
      <c r="J840"/>
    </row>
    <row r="841" spans="1:10" ht="11.25" customHeight="1" x14ac:dyDescent="0.2">
      <c r="A841"/>
      <c r="B841"/>
      <c r="C841"/>
      <c r="D841"/>
      <c r="E841"/>
      <c r="F841"/>
      <c r="G841"/>
      <c r="H841"/>
      <c r="I841"/>
      <c r="J841"/>
    </row>
    <row r="842" spans="1:10" ht="11.25" customHeight="1" x14ac:dyDescent="0.2">
      <c r="A842"/>
      <c r="B842"/>
      <c r="C842"/>
      <c r="D842"/>
      <c r="E842"/>
      <c r="F842"/>
      <c r="G842"/>
      <c r="H842"/>
      <c r="I842"/>
      <c r="J842"/>
    </row>
    <row r="843" spans="1:10" ht="11.25" customHeight="1" x14ac:dyDescent="0.2">
      <c r="A843"/>
      <c r="B843"/>
      <c r="C843"/>
      <c r="D843"/>
      <c r="E843"/>
      <c r="F843"/>
      <c r="G843"/>
      <c r="H843"/>
      <c r="I843"/>
      <c r="J843"/>
    </row>
    <row r="844" spans="1:10" ht="11.25" customHeight="1" x14ac:dyDescent="0.2">
      <c r="A844"/>
      <c r="B844"/>
      <c r="C844"/>
      <c r="D844"/>
      <c r="E844"/>
      <c r="F844"/>
      <c r="G844"/>
      <c r="H844"/>
      <c r="I844"/>
      <c r="J844"/>
    </row>
    <row r="845" spans="1:10" ht="11.25" customHeight="1" x14ac:dyDescent="0.2">
      <c r="A845"/>
      <c r="B845"/>
      <c r="C845"/>
      <c r="D845"/>
      <c r="E845"/>
      <c r="F845"/>
      <c r="G845"/>
      <c r="H845"/>
      <c r="I845"/>
      <c r="J845"/>
    </row>
    <row r="846" spans="1:10" ht="11.25" customHeight="1" x14ac:dyDescent="0.2">
      <c r="A846"/>
      <c r="B846"/>
      <c r="C846"/>
      <c r="D846"/>
      <c r="E846"/>
      <c r="F846"/>
      <c r="G846"/>
      <c r="H846"/>
      <c r="I846"/>
      <c r="J846"/>
    </row>
    <row r="847" spans="1:10" ht="11.25" customHeight="1" x14ac:dyDescent="0.2">
      <c r="A847"/>
      <c r="B847"/>
      <c r="C847"/>
      <c r="D847"/>
      <c r="E847"/>
      <c r="F847"/>
      <c r="G847"/>
      <c r="H847"/>
      <c r="I847"/>
      <c r="J847"/>
    </row>
    <row r="848" spans="1:10" ht="11.25" customHeight="1" x14ac:dyDescent="0.2">
      <c r="A848"/>
      <c r="B848"/>
      <c r="C848"/>
      <c r="D848"/>
      <c r="E848"/>
      <c r="F848"/>
      <c r="G848"/>
      <c r="H848"/>
      <c r="I848"/>
      <c r="J848"/>
    </row>
    <row r="849" spans="1:10" ht="11.25" customHeight="1" x14ac:dyDescent="0.2">
      <c r="A849"/>
      <c r="B849"/>
      <c r="C849"/>
      <c r="D849"/>
      <c r="E849"/>
      <c r="F849"/>
      <c r="G849"/>
      <c r="H849"/>
      <c r="I849"/>
      <c r="J849"/>
    </row>
    <row r="850" spans="1:10" ht="11.25" customHeight="1" x14ac:dyDescent="0.2">
      <c r="A850"/>
      <c r="B850"/>
      <c r="C850"/>
      <c r="D850"/>
      <c r="E850"/>
      <c r="F850"/>
      <c r="G850"/>
      <c r="H850"/>
      <c r="I850"/>
      <c r="J850"/>
    </row>
    <row r="851" spans="1:10" ht="11.25" customHeight="1" x14ac:dyDescent="0.2">
      <c r="A851"/>
      <c r="B851"/>
      <c r="C851"/>
      <c r="D851"/>
      <c r="E851"/>
      <c r="F851"/>
      <c r="G851"/>
      <c r="H851"/>
      <c r="I851"/>
      <c r="J851"/>
    </row>
    <row r="852" spans="1:10" ht="11.25" customHeight="1" x14ac:dyDescent="0.2">
      <c r="A852"/>
      <c r="B852"/>
      <c r="C852"/>
      <c r="D852"/>
      <c r="E852"/>
      <c r="F852"/>
      <c r="G852"/>
      <c r="H852"/>
      <c r="I852"/>
      <c r="J852"/>
    </row>
    <row r="853" spans="1:10" ht="11.25" customHeight="1" x14ac:dyDescent="0.2">
      <c r="A853"/>
      <c r="B853"/>
      <c r="C853"/>
      <c r="D853"/>
      <c r="E853"/>
      <c r="F853"/>
      <c r="G853"/>
      <c r="H853"/>
      <c r="I853"/>
      <c r="J853"/>
    </row>
    <row r="854" spans="1:10" ht="11.25" customHeight="1" x14ac:dyDescent="0.2">
      <c r="A854"/>
      <c r="B854"/>
      <c r="C854"/>
      <c r="D854"/>
      <c r="E854"/>
      <c r="F854"/>
      <c r="G854"/>
      <c r="H854"/>
      <c r="I854"/>
      <c r="J854"/>
    </row>
    <row r="855" spans="1:10" ht="11.25" customHeight="1" x14ac:dyDescent="0.2">
      <c r="A855"/>
      <c r="B855"/>
      <c r="C855"/>
      <c r="D855"/>
      <c r="E855"/>
      <c r="F855"/>
      <c r="G855"/>
      <c r="H855"/>
      <c r="I855"/>
      <c r="J855"/>
    </row>
    <row r="856" spans="1:10" ht="11.25" customHeight="1" x14ac:dyDescent="0.2">
      <c r="A856"/>
      <c r="B856"/>
      <c r="C856"/>
      <c r="D856"/>
      <c r="E856"/>
      <c r="F856"/>
      <c r="G856"/>
      <c r="H856"/>
      <c r="I856"/>
      <c r="J856"/>
    </row>
    <row r="857" spans="1:10" ht="11.25" customHeight="1" x14ac:dyDescent="0.2">
      <c r="A857"/>
      <c r="B857"/>
      <c r="C857"/>
      <c r="D857"/>
      <c r="E857"/>
      <c r="F857"/>
      <c r="G857"/>
      <c r="H857"/>
      <c r="I857"/>
      <c r="J857"/>
    </row>
    <row r="858" spans="1:10" ht="11.25" customHeight="1" x14ac:dyDescent="0.2">
      <c r="A858"/>
      <c r="B858"/>
      <c r="C858"/>
      <c r="D858"/>
      <c r="E858"/>
      <c r="F858"/>
      <c r="G858"/>
      <c r="H858"/>
      <c r="I858"/>
      <c r="J858"/>
    </row>
    <row r="859" spans="1:10" ht="11.25" customHeight="1" x14ac:dyDescent="0.2">
      <c r="A859"/>
      <c r="B859"/>
      <c r="C859"/>
      <c r="D859"/>
      <c r="E859"/>
      <c r="F859"/>
      <c r="G859"/>
      <c r="H859"/>
      <c r="I859"/>
      <c r="J859"/>
    </row>
    <row r="860" spans="1:10" ht="11.25" customHeight="1" x14ac:dyDescent="0.2">
      <c r="A860"/>
      <c r="B860"/>
      <c r="C860"/>
      <c r="D860"/>
      <c r="E860"/>
      <c r="F860"/>
      <c r="G860"/>
      <c r="H860"/>
      <c r="I860"/>
      <c r="J860"/>
    </row>
    <row r="861" spans="1:10" ht="11.25" customHeight="1" x14ac:dyDescent="0.2">
      <c r="A861"/>
      <c r="B861"/>
      <c r="C861"/>
      <c r="D861"/>
      <c r="E861"/>
      <c r="F861"/>
      <c r="G861"/>
      <c r="H861"/>
      <c r="I861"/>
      <c r="J861"/>
    </row>
    <row r="862" spans="1:10" ht="11.25" customHeight="1" x14ac:dyDescent="0.2">
      <c r="A862"/>
      <c r="B862"/>
      <c r="C862"/>
      <c r="D862"/>
      <c r="E862"/>
      <c r="F862"/>
      <c r="G862"/>
      <c r="H862"/>
      <c r="I862"/>
      <c r="J862"/>
    </row>
    <row r="863" spans="1:10" ht="11.25" customHeight="1" x14ac:dyDescent="0.2">
      <c r="A863"/>
      <c r="B863"/>
      <c r="C863"/>
      <c r="D863"/>
      <c r="E863"/>
      <c r="F863"/>
      <c r="G863"/>
      <c r="H863"/>
      <c r="I863"/>
      <c r="J863"/>
    </row>
    <row r="864" spans="1:10" ht="11.25" customHeight="1" x14ac:dyDescent="0.2">
      <c r="A864"/>
      <c r="B864"/>
      <c r="C864"/>
      <c r="D864"/>
      <c r="E864"/>
      <c r="F864"/>
      <c r="G864"/>
      <c r="H864"/>
      <c r="I864"/>
      <c r="J864"/>
    </row>
    <row r="865" spans="1:10" ht="11.25" customHeight="1" x14ac:dyDescent="0.2">
      <c r="A865"/>
      <c r="B865"/>
      <c r="C865"/>
      <c r="D865"/>
      <c r="E865"/>
      <c r="F865"/>
      <c r="G865"/>
      <c r="H865"/>
      <c r="I865"/>
      <c r="J865"/>
    </row>
    <row r="866" spans="1:10" ht="11.25" customHeight="1" x14ac:dyDescent="0.2">
      <c r="A866"/>
      <c r="B866"/>
      <c r="C866"/>
      <c r="D866"/>
      <c r="E866"/>
      <c r="F866"/>
      <c r="G866"/>
      <c r="H866"/>
      <c r="I866"/>
      <c r="J866"/>
    </row>
    <row r="867" spans="1:10" ht="11.25" customHeight="1" x14ac:dyDescent="0.2">
      <c r="A867"/>
      <c r="B867"/>
      <c r="C867"/>
      <c r="D867"/>
      <c r="E867"/>
      <c r="F867"/>
      <c r="G867"/>
      <c r="H867"/>
      <c r="I867"/>
      <c r="J867"/>
    </row>
    <row r="868" spans="1:10" ht="11.25" customHeight="1" x14ac:dyDescent="0.2">
      <c r="A868"/>
      <c r="B868"/>
      <c r="C868"/>
      <c r="D868"/>
      <c r="E868"/>
      <c r="F868"/>
      <c r="G868"/>
      <c r="H868"/>
      <c r="I868"/>
      <c r="J868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C3D41-FA53-4FF6-8B2E-E9C8AC7D7A09}">
  <dimension ref="A1:G488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17" bestFit="1" customWidth="1"/>
    <col min="3" max="3" width="21.85546875" style="17" bestFit="1" customWidth="1"/>
    <col min="4" max="4" width="20.28515625" style="17" bestFit="1" customWidth="1"/>
    <col min="5" max="5" width="21.7109375" style="17" bestFit="1" customWidth="1"/>
    <col min="6" max="6" width="14.85546875" style="17" bestFit="1" customWidth="1"/>
    <col min="7" max="7" width="14.7109375" style="17" bestFit="1" customWidth="1"/>
    <col min="8" max="16384" width="9.140625" style="14"/>
  </cols>
  <sheetData>
    <row r="1" spans="1:7" ht="11.25" customHeight="1" x14ac:dyDescent="0.2">
      <c r="A1" s="16" t="s">
        <v>709</v>
      </c>
      <c r="B1" s="17" t="s">
        <v>735</v>
      </c>
      <c r="C1" s="17" t="s">
        <v>736</v>
      </c>
      <c r="D1" s="17" t="s">
        <v>737</v>
      </c>
      <c r="E1" s="17" t="s">
        <v>738</v>
      </c>
      <c r="F1" s="17" t="s">
        <v>739</v>
      </c>
      <c r="G1" s="17" t="s">
        <v>740</v>
      </c>
    </row>
    <row r="2" spans="1:7" ht="11.25" customHeight="1" x14ac:dyDescent="0.2">
      <c r="A2" s="19" t="s">
        <v>726</v>
      </c>
      <c r="B2" s="17">
        <v>83526.858000000007</v>
      </c>
      <c r="C2" s="17">
        <v>140304.59960280001</v>
      </c>
      <c r="D2" s="17">
        <v>58922.139674017366</v>
      </c>
      <c r="E2" s="17">
        <v>137699.4717063086</v>
      </c>
      <c r="F2" s="17">
        <v>223831.45760280002</v>
      </c>
      <c r="G2" s="17">
        <v>196621.61138032598</v>
      </c>
    </row>
    <row r="3" spans="1:7" ht="11.25" customHeight="1" x14ac:dyDescent="0.2">
      <c r="A3" s="20" t="s">
        <v>38</v>
      </c>
      <c r="B3" s="17">
        <v>83526.858000000007</v>
      </c>
      <c r="C3" s="17">
        <v>100459.7871762</v>
      </c>
      <c r="D3" s="17">
        <v>58922.139674017366</v>
      </c>
      <c r="E3" s="17">
        <v>98585.023947917885</v>
      </c>
      <c r="F3" s="17">
        <v>183986.64517620002</v>
      </c>
      <c r="G3" s="17">
        <v>157507.16362193524</v>
      </c>
    </row>
    <row r="4" spans="1:7" ht="11.25" customHeight="1" x14ac:dyDescent="0.2">
      <c r="A4" s="21" t="s">
        <v>39</v>
      </c>
      <c r="B4" s="17">
        <v>83526.858000000007</v>
      </c>
      <c r="C4" s="17">
        <v>100459.7871762</v>
      </c>
      <c r="D4" s="17">
        <v>58922.139674017366</v>
      </c>
      <c r="E4" s="17">
        <v>98585.023947917885</v>
      </c>
      <c r="F4" s="17">
        <v>183986.64517620002</v>
      </c>
      <c r="G4" s="17">
        <v>157507.16362193524</v>
      </c>
    </row>
    <row r="5" spans="1:7" ht="11.25" customHeight="1" x14ac:dyDescent="0.2">
      <c r="A5" s="22" t="s">
        <v>48</v>
      </c>
      <c r="B5" s="17">
        <v>83526.858000000007</v>
      </c>
      <c r="C5" s="17">
        <v>100459.7871762</v>
      </c>
      <c r="D5" s="17">
        <v>58922.139674017366</v>
      </c>
      <c r="E5" s="17">
        <v>98585.023947917885</v>
      </c>
      <c r="F5" s="17">
        <v>183986.64517620002</v>
      </c>
      <c r="G5" s="17">
        <v>157507.16362193524</v>
      </c>
    </row>
    <row r="6" spans="1:7" ht="11.25" customHeight="1" x14ac:dyDescent="0.2">
      <c r="A6" s="23" t="s">
        <v>49</v>
      </c>
      <c r="B6" s="17">
        <v>83526.858000000007</v>
      </c>
      <c r="C6" s="17">
        <v>100459.7871762</v>
      </c>
      <c r="D6" s="17">
        <v>58922.139674017366</v>
      </c>
      <c r="E6" s="17">
        <v>98585.023947917885</v>
      </c>
      <c r="F6" s="17">
        <v>183986.64517620002</v>
      </c>
      <c r="G6" s="17">
        <v>157507.16362193524</v>
      </c>
    </row>
    <row r="7" spans="1:7" ht="11.25" customHeight="1" x14ac:dyDescent="0.2">
      <c r="A7" s="24" t="s">
        <v>25</v>
      </c>
      <c r="B7" s="17">
        <v>83526.858000000007</v>
      </c>
      <c r="C7" s="17">
        <v>100459.7871762</v>
      </c>
      <c r="D7" s="17">
        <v>58922.139674017366</v>
      </c>
      <c r="E7" s="17">
        <v>98585.023947917885</v>
      </c>
      <c r="F7" s="17">
        <v>183986.64517620002</v>
      </c>
      <c r="G7" s="17">
        <v>157507.16362193524</v>
      </c>
    </row>
    <row r="8" spans="1:7" ht="11.25" customHeight="1" x14ac:dyDescent="0.2">
      <c r="A8" s="25" t="s">
        <v>25</v>
      </c>
      <c r="B8" s="17">
        <v>83526.858000000007</v>
      </c>
      <c r="C8" s="17">
        <v>100459.7871762</v>
      </c>
      <c r="D8" s="17">
        <v>58922.139674017366</v>
      </c>
      <c r="E8" s="17">
        <v>98585.023947917885</v>
      </c>
      <c r="F8" s="17">
        <v>183986.64517620002</v>
      </c>
      <c r="G8" s="17">
        <v>157507.16362193524</v>
      </c>
    </row>
    <row r="9" spans="1:7" ht="11.25" customHeight="1" x14ac:dyDescent="0.2">
      <c r="A9" s="26" t="s">
        <v>34</v>
      </c>
      <c r="B9" s="17">
        <v>23099.544000000002</v>
      </c>
      <c r="C9" s="17">
        <v>87814.152219599986</v>
      </c>
      <c r="D9" s="17">
        <v>16492.938337238131</v>
      </c>
      <c r="E9" s="17">
        <v>86325.147464342837</v>
      </c>
      <c r="F9" s="17">
        <v>110913.69621959998</v>
      </c>
      <c r="G9" s="17">
        <v>102818.08580158096</v>
      </c>
    </row>
    <row r="10" spans="1:7" ht="11.25" customHeight="1" x14ac:dyDescent="0.2">
      <c r="A10" s="27">
        <v>44378</v>
      </c>
      <c r="B10" s="17">
        <v>1953.8220000000013</v>
      </c>
      <c r="C10" s="17">
        <v>7073.3456904000086</v>
      </c>
      <c r="D10" s="17">
        <v>1395.0173980897323</v>
      </c>
      <c r="E10" s="17">
        <v>6953.4077862880958</v>
      </c>
      <c r="F10" s="17">
        <v>9027.1676904000105</v>
      </c>
      <c r="G10" s="17">
        <v>8348.4251843778275</v>
      </c>
    </row>
    <row r="11" spans="1:7" ht="11.25" customHeight="1" x14ac:dyDescent="0.2">
      <c r="A11" s="27">
        <v>44409</v>
      </c>
      <c r="B11" s="17">
        <v>1852.8120000000013</v>
      </c>
      <c r="C11" s="17">
        <v>7036.3174691999857</v>
      </c>
      <c r="D11" s="17">
        <v>1322.8968531367921</v>
      </c>
      <c r="E11" s="17">
        <v>6917.0074274092585</v>
      </c>
      <c r="F11" s="17">
        <v>8889.1294691999865</v>
      </c>
      <c r="G11" s="17">
        <v>8239.9042805460504</v>
      </c>
    </row>
    <row r="12" spans="1:7" ht="11.25" customHeight="1" x14ac:dyDescent="0.2">
      <c r="A12" s="27">
        <v>44440</v>
      </c>
      <c r="B12" s="17">
        <v>1852.8120000000013</v>
      </c>
      <c r="C12" s="17">
        <v>6826.2958944000093</v>
      </c>
      <c r="D12" s="17">
        <v>1322.8968531367921</v>
      </c>
      <c r="E12" s="17">
        <v>6710.5470453746775</v>
      </c>
      <c r="F12" s="17">
        <v>8679.107894400011</v>
      </c>
      <c r="G12" s="17">
        <v>8033.4438985114693</v>
      </c>
    </row>
    <row r="13" spans="1:7" ht="11.25" customHeight="1" x14ac:dyDescent="0.2">
      <c r="A13" s="27">
        <v>44470</v>
      </c>
      <c r="B13" s="17">
        <v>1847.04</v>
      </c>
      <c r="C13" s="17">
        <v>7075.217575199993</v>
      </c>
      <c r="D13" s="17">
        <v>1318.7756791394802</v>
      </c>
      <c r="E13" s="17">
        <v>6955.2479308127604</v>
      </c>
      <c r="F13" s="17">
        <v>8922.2575751999939</v>
      </c>
      <c r="G13" s="17">
        <v>8274.0236099522408</v>
      </c>
    </row>
    <row r="14" spans="1:7" ht="11.25" customHeight="1" x14ac:dyDescent="0.2">
      <c r="A14" s="27">
        <v>44501</v>
      </c>
      <c r="B14" s="17">
        <v>1881.6720000000012</v>
      </c>
      <c r="C14" s="17">
        <v>7161.6947531999913</v>
      </c>
      <c r="D14" s="17">
        <v>1343.5027231233464</v>
      </c>
      <c r="E14" s="17">
        <v>7040.2587742185206</v>
      </c>
      <c r="F14" s="17">
        <v>9043.3667531999927</v>
      </c>
      <c r="G14" s="17">
        <v>8383.7614973418677</v>
      </c>
    </row>
    <row r="15" spans="1:7" ht="11.25" customHeight="1" x14ac:dyDescent="0.2">
      <c r="A15" s="27">
        <v>44531</v>
      </c>
      <c r="B15" s="17">
        <v>1887.4440000000002</v>
      </c>
      <c r="C15" s="17">
        <v>7621.8469343999841</v>
      </c>
      <c r="D15" s="17">
        <v>1347.6238971206567</v>
      </c>
      <c r="E15" s="17">
        <v>7492.6084683634053</v>
      </c>
      <c r="F15" s="17">
        <v>9509.2909343999836</v>
      </c>
      <c r="G15" s="17">
        <v>8840.232365484062</v>
      </c>
    </row>
    <row r="16" spans="1:7" ht="11.25" customHeight="1" x14ac:dyDescent="0.2">
      <c r="A16" s="27">
        <v>44562</v>
      </c>
      <c r="B16" s="17">
        <v>1930.7340000000004</v>
      </c>
      <c r="C16" s="17">
        <v>7766.7620160000033</v>
      </c>
      <c r="D16" s="17">
        <v>1378.5327021004882</v>
      </c>
      <c r="E16" s="17">
        <v>7635.0663236490218</v>
      </c>
      <c r="F16" s="17">
        <v>9697.4960160000046</v>
      </c>
      <c r="G16" s="17">
        <v>9013.5990257495105</v>
      </c>
    </row>
    <row r="17" spans="1:7" ht="11.25" customHeight="1" x14ac:dyDescent="0.2">
      <c r="A17" s="27">
        <v>44593</v>
      </c>
      <c r="B17" s="17">
        <v>1974.0240000000003</v>
      </c>
      <c r="C17" s="17">
        <v>7025.8856111999994</v>
      </c>
      <c r="D17" s="17">
        <v>1409.4415070803198</v>
      </c>
      <c r="E17" s="17">
        <v>6906.7524553186104</v>
      </c>
      <c r="F17" s="17">
        <v>8999.9096112000007</v>
      </c>
      <c r="G17" s="17">
        <v>8316.193962398931</v>
      </c>
    </row>
    <row r="18" spans="1:7" ht="11.25" customHeight="1" x14ac:dyDescent="0.2">
      <c r="A18" s="27">
        <v>44621</v>
      </c>
      <c r="B18" s="17">
        <v>2046.1740000000002</v>
      </c>
      <c r="C18" s="17">
        <v>7724.9955863999903</v>
      </c>
      <c r="D18" s="17">
        <v>1460.9561820467056</v>
      </c>
      <c r="E18" s="17">
        <v>7594.0080989421003</v>
      </c>
      <c r="F18" s="17">
        <v>9771.1695863999903</v>
      </c>
      <c r="G18" s="17">
        <v>9054.9642809888064</v>
      </c>
    </row>
    <row r="19" spans="1:7" ht="11.25" customHeight="1" x14ac:dyDescent="0.2">
      <c r="A19" s="27">
        <v>44652</v>
      </c>
      <c r="B19" s="17">
        <v>1930.7340000000004</v>
      </c>
      <c r="C19" s="17">
        <v>7499.5699596000022</v>
      </c>
      <c r="D19" s="17">
        <v>1378.5327021004882</v>
      </c>
      <c r="E19" s="17">
        <v>7372.4048609231668</v>
      </c>
      <c r="F19" s="17">
        <v>9430.3039596000017</v>
      </c>
      <c r="G19" s="17">
        <v>8750.9375630236555</v>
      </c>
    </row>
    <row r="20" spans="1:7" ht="11.25" customHeight="1" x14ac:dyDescent="0.2">
      <c r="A20" s="27">
        <v>44682</v>
      </c>
      <c r="B20" s="17">
        <v>1971.1380000000006</v>
      </c>
      <c r="C20" s="17">
        <v>7501.1103648000108</v>
      </c>
      <c r="D20" s="17">
        <v>1407.3809200816647</v>
      </c>
      <c r="E20" s="17">
        <v>7373.9191465216081</v>
      </c>
      <c r="F20" s="17">
        <v>9472.2483648000107</v>
      </c>
      <c r="G20" s="17">
        <v>8781.3000666032731</v>
      </c>
    </row>
    <row r="21" spans="1:7" ht="11.25" customHeight="1" x14ac:dyDescent="0.2">
      <c r="A21" s="27">
        <v>44713</v>
      </c>
      <c r="B21" s="17">
        <v>1971.1380000000006</v>
      </c>
      <c r="C21" s="17">
        <v>7501.1103648000108</v>
      </c>
      <c r="D21" s="17">
        <v>1407.3809200816647</v>
      </c>
      <c r="E21" s="17">
        <v>7373.9191465216081</v>
      </c>
      <c r="F21" s="17">
        <v>9472.2483648000107</v>
      </c>
      <c r="G21" s="17">
        <v>8781.3000666032731</v>
      </c>
    </row>
    <row r="22" spans="1:7" ht="11.25" customHeight="1" x14ac:dyDescent="0.2">
      <c r="A22" s="26" t="s">
        <v>33</v>
      </c>
      <c r="B22" s="17">
        <v>60427.313999999998</v>
      </c>
      <c r="C22" s="17">
        <v>12645.63495660001</v>
      </c>
      <c r="D22" s="17">
        <v>42429.201336779239</v>
      </c>
      <c r="E22" s="17">
        <v>12259.876483575048</v>
      </c>
      <c r="F22" s="17">
        <v>73072.948956600012</v>
      </c>
      <c r="G22" s="17">
        <v>54689.077820354287</v>
      </c>
    </row>
    <row r="23" spans="1:7" ht="11.25" customHeight="1" x14ac:dyDescent="0.2">
      <c r="A23" s="27">
        <v>44378</v>
      </c>
      <c r="B23" s="17">
        <v>4935.3599999999997</v>
      </c>
      <c r="C23" s="17">
        <v>1054.9141518000013</v>
      </c>
      <c r="D23" s="17">
        <v>3465.3763215337813</v>
      </c>
      <c r="E23" s="17">
        <v>1022.7337137462836</v>
      </c>
      <c r="F23" s="17">
        <v>5990.2741518000012</v>
      </c>
      <c r="G23" s="17">
        <v>4488.1100352800649</v>
      </c>
    </row>
    <row r="24" spans="1:7" ht="11.25" customHeight="1" x14ac:dyDescent="0.2">
      <c r="A24" s="27">
        <v>44409</v>
      </c>
      <c r="B24" s="17">
        <v>4935.3599999999997</v>
      </c>
      <c r="C24" s="17">
        <v>1050.3943343999995</v>
      </c>
      <c r="D24" s="17">
        <v>3465.3763215337813</v>
      </c>
      <c r="E24" s="17">
        <v>1018.3517745836783</v>
      </c>
      <c r="F24" s="17">
        <v>5985.7543343999987</v>
      </c>
      <c r="G24" s="17">
        <v>4483.7280961174592</v>
      </c>
    </row>
    <row r="25" spans="1:7" ht="11.25" customHeight="1" x14ac:dyDescent="0.2">
      <c r="A25" s="27">
        <v>44440</v>
      </c>
      <c r="B25" s="17">
        <v>4935.3599999999997</v>
      </c>
      <c r="C25" s="17">
        <v>1011.6811157999989</v>
      </c>
      <c r="D25" s="17">
        <v>3465.3763215337813</v>
      </c>
      <c r="E25" s="17">
        <v>980.81951306050883</v>
      </c>
      <c r="F25" s="17">
        <v>5947.0411157999988</v>
      </c>
      <c r="G25" s="17">
        <v>4446.1958345942903</v>
      </c>
    </row>
    <row r="26" spans="1:7" ht="11.25" customHeight="1" x14ac:dyDescent="0.2">
      <c r="A26" s="27">
        <v>44470</v>
      </c>
      <c r="B26" s="17">
        <v>4935.3599999999997</v>
      </c>
      <c r="C26" s="17">
        <v>946.21394699999894</v>
      </c>
      <c r="D26" s="17">
        <v>3465.3763215337813</v>
      </c>
      <c r="E26" s="17">
        <v>917.34943773633904</v>
      </c>
      <c r="F26" s="17">
        <v>5881.573946999999</v>
      </c>
      <c r="G26" s="17">
        <v>4382.7257592701208</v>
      </c>
    </row>
    <row r="27" spans="1:7" ht="11.25" customHeight="1" x14ac:dyDescent="0.2">
      <c r="A27" s="27">
        <v>44501</v>
      </c>
      <c r="B27" s="17">
        <v>4997.0520000000024</v>
      </c>
      <c r="C27" s="17">
        <v>983.38312860000303</v>
      </c>
      <c r="D27" s="17">
        <v>3508.6935255529552</v>
      </c>
      <c r="E27" s="17">
        <v>953.3847635207344</v>
      </c>
      <c r="F27" s="17">
        <v>5980.4351286000056</v>
      </c>
      <c r="G27" s="17">
        <v>4462.07828907369</v>
      </c>
    </row>
    <row r="28" spans="1:7" ht="11.25" customHeight="1" x14ac:dyDescent="0.2">
      <c r="A28" s="27">
        <v>44531</v>
      </c>
      <c r="B28" s="17">
        <v>5020.1864999999989</v>
      </c>
      <c r="C28" s="17">
        <v>1175.3209644000008</v>
      </c>
      <c r="D28" s="17">
        <v>3524.9374770601421</v>
      </c>
      <c r="E28" s="17">
        <v>1139.4674843575031</v>
      </c>
      <c r="F28" s="17">
        <v>6195.5074643999997</v>
      </c>
      <c r="G28" s="17">
        <v>4664.4049614176456</v>
      </c>
    </row>
    <row r="29" spans="1:7" ht="11.25" customHeight="1" x14ac:dyDescent="0.2">
      <c r="A29" s="27">
        <v>44562</v>
      </c>
      <c r="B29" s="17">
        <v>5051.0324999999993</v>
      </c>
      <c r="C29" s="17">
        <v>1070.9440632000028</v>
      </c>
      <c r="D29" s="17">
        <v>3546.5960790697291</v>
      </c>
      <c r="E29" s="17">
        <v>1038.2746284161399</v>
      </c>
      <c r="F29" s="17">
        <v>6121.9765632000017</v>
      </c>
      <c r="G29" s="17">
        <v>4584.8707074858685</v>
      </c>
    </row>
    <row r="30" spans="1:7" ht="11.25" customHeight="1" x14ac:dyDescent="0.2">
      <c r="A30" s="27">
        <v>44593</v>
      </c>
      <c r="B30" s="17">
        <v>5266.9545000000016</v>
      </c>
      <c r="C30" s="17">
        <v>1027.7391005999996</v>
      </c>
      <c r="D30" s="17">
        <v>3698.2062931368337</v>
      </c>
      <c r="E30" s="17">
        <v>996.38764474379627</v>
      </c>
      <c r="F30" s="17">
        <v>6294.6936006000014</v>
      </c>
      <c r="G30" s="17">
        <v>4694.5939378806297</v>
      </c>
    </row>
    <row r="31" spans="1:7" ht="11.25" customHeight="1" x14ac:dyDescent="0.2">
      <c r="A31" s="27">
        <v>44621</v>
      </c>
      <c r="B31" s="17">
        <v>5020.1864999999989</v>
      </c>
      <c r="C31" s="17">
        <v>1121.6165502000026</v>
      </c>
      <c r="D31" s="17">
        <v>3524.9374770601421</v>
      </c>
      <c r="E31" s="17">
        <v>1087.4013376614769</v>
      </c>
      <c r="F31" s="17">
        <v>6141.803050200002</v>
      </c>
      <c r="G31" s="17">
        <v>4612.3388147216192</v>
      </c>
    </row>
    <row r="32" spans="1:7" ht="11.25" customHeight="1" x14ac:dyDescent="0.2">
      <c r="A32" s="27">
        <v>44652</v>
      </c>
      <c r="B32" s="17">
        <v>5012.4749999999995</v>
      </c>
      <c r="C32" s="17">
        <v>976.25248500000032</v>
      </c>
      <c r="D32" s="17">
        <v>3519.5228265577466</v>
      </c>
      <c r="E32" s="17">
        <v>946.47164210892265</v>
      </c>
      <c r="F32" s="17">
        <v>5988.7274849999994</v>
      </c>
      <c r="G32" s="17">
        <v>4465.9944686666695</v>
      </c>
    </row>
    <row r="33" spans="1:7" ht="11.25" customHeight="1" x14ac:dyDescent="0.2">
      <c r="A33" s="27">
        <v>44682</v>
      </c>
      <c r="B33" s="17">
        <v>5158.9935000000005</v>
      </c>
      <c r="C33" s="17">
        <v>1113.5875578000007</v>
      </c>
      <c r="D33" s="17">
        <v>3622.4011861032814</v>
      </c>
      <c r="E33" s="17">
        <v>1079.6172718198316</v>
      </c>
      <c r="F33" s="17">
        <v>6272.581057800001</v>
      </c>
      <c r="G33" s="17">
        <v>4702.0184579231127</v>
      </c>
    </row>
    <row r="34" spans="1:7" ht="11.25" customHeight="1" x14ac:dyDescent="0.2">
      <c r="A34" s="27">
        <v>44713</v>
      </c>
      <c r="B34" s="17">
        <v>5158.9935000000005</v>
      </c>
      <c r="C34" s="17">
        <v>1113.5875578000007</v>
      </c>
      <c r="D34" s="17">
        <v>3622.4011861032814</v>
      </c>
      <c r="E34" s="17">
        <v>1079.6172718198316</v>
      </c>
      <c r="F34" s="17">
        <v>6272.581057800001</v>
      </c>
      <c r="G34" s="17">
        <v>4702.0184579231127</v>
      </c>
    </row>
    <row r="35" spans="1:7" ht="11.25" customHeight="1" x14ac:dyDescent="0.2">
      <c r="A35" s="20" t="s">
        <v>36</v>
      </c>
      <c r="B35" s="17">
        <v>0</v>
      </c>
      <c r="C35" s="17">
        <v>39844.812426599994</v>
      </c>
      <c r="D35" s="17">
        <v>0</v>
      </c>
      <c r="E35" s="17">
        <v>39114.447758390721</v>
      </c>
      <c r="F35" s="17">
        <v>39844.812426599994</v>
      </c>
      <c r="G35" s="17">
        <v>39114.447758390721</v>
      </c>
    </row>
    <row r="36" spans="1:7" ht="11.25" customHeight="1" x14ac:dyDescent="0.2">
      <c r="A36" s="21" t="s">
        <v>23</v>
      </c>
      <c r="B36" s="17">
        <v>0</v>
      </c>
      <c r="C36" s="17">
        <v>39844.812426599994</v>
      </c>
      <c r="D36" s="17">
        <v>0</v>
      </c>
      <c r="E36" s="17">
        <v>39114.447758390721</v>
      </c>
      <c r="F36" s="17">
        <v>39844.812426599994</v>
      </c>
      <c r="G36" s="17">
        <v>39114.447758390721</v>
      </c>
    </row>
    <row r="37" spans="1:7" ht="11.25" customHeight="1" x14ac:dyDescent="0.2">
      <c r="A37" s="22" t="s">
        <v>48</v>
      </c>
      <c r="B37" s="17">
        <v>0</v>
      </c>
      <c r="C37" s="17">
        <v>39844.812426599994</v>
      </c>
      <c r="D37" s="17">
        <v>0</v>
      </c>
      <c r="E37" s="17">
        <v>39114.447758390721</v>
      </c>
      <c r="F37" s="17">
        <v>39844.812426599994</v>
      </c>
      <c r="G37" s="17">
        <v>39114.447758390721</v>
      </c>
    </row>
    <row r="38" spans="1:7" ht="11.25" customHeight="1" x14ac:dyDescent="0.2">
      <c r="A38" s="23" t="s">
        <v>49</v>
      </c>
      <c r="B38" s="17">
        <v>0</v>
      </c>
      <c r="C38" s="17">
        <v>39844.812426599994</v>
      </c>
      <c r="D38" s="17">
        <v>0</v>
      </c>
      <c r="E38" s="17">
        <v>39114.447758390721</v>
      </c>
      <c r="F38" s="17">
        <v>39844.812426599994</v>
      </c>
      <c r="G38" s="17">
        <v>39114.447758390721</v>
      </c>
    </row>
    <row r="39" spans="1:7" ht="11.25" customHeight="1" x14ac:dyDescent="0.2">
      <c r="A39" s="24" t="s">
        <v>25</v>
      </c>
      <c r="B39" s="17">
        <v>0</v>
      </c>
      <c r="C39" s="17">
        <v>39844.812426599994</v>
      </c>
      <c r="D39" s="17">
        <v>0</v>
      </c>
      <c r="E39" s="17">
        <v>39114.447758390721</v>
      </c>
      <c r="F39" s="17">
        <v>39844.812426599994</v>
      </c>
      <c r="G39" s="17">
        <v>39114.447758390721</v>
      </c>
    </row>
    <row r="40" spans="1:7" ht="11.25" customHeight="1" x14ac:dyDescent="0.2">
      <c r="A40" s="25" t="s">
        <v>25</v>
      </c>
      <c r="B40" s="17">
        <v>0</v>
      </c>
      <c r="C40" s="17">
        <v>39844.812426599994</v>
      </c>
      <c r="D40" s="17">
        <v>0</v>
      </c>
      <c r="E40" s="17">
        <v>39114.447758390721</v>
      </c>
      <c r="F40" s="17">
        <v>39844.812426599994</v>
      </c>
      <c r="G40" s="17">
        <v>39114.447758390721</v>
      </c>
    </row>
    <row r="41" spans="1:7" ht="11.25" customHeight="1" x14ac:dyDescent="0.2">
      <c r="A41" s="26" t="s">
        <v>25</v>
      </c>
      <c r="B41" s="17">
        <v>0</v>
      </c>
      <c r="C41" s="17">
        <v>39844.812426599994</v>
      </c>
      <c r="D41" s="17">
        <v>0</v>
      </c>
      <c r="E41" s="17">
        <v>39114.447758390721</v>
      </c>
      <c r="F41" s="17">
        <v>39844.812426599994</v>
      </c>
      <c r="G41" s="17">
        <v>39114.447758390721</v>
      </c>
    </row>
    <row r="42" spans="1:7" ht="11.25" customHeight="1" x14ac:dyDescent="0.2">
      <c r="A42" s="27">
        <v>44378</v>
      </c>
      <c r="B42" s="17">
        <v>0</v>
      </c>
      <c r="C42" s="17">
        <v>3205.0565046000065</v>
      </c>
      <c r="D42" s="17">
        <v>0</v>
      </c>
      <c r="E42" s="17">
        <v>3146.3070742974705</v>
      </c>
      <c r="F42" s="17">
        <v>3205.0565046000065</v>
      </c>
      <c r="G42" s="17">
        <v>3146.3070742974705</v>
      </c>
    </row>
    <row r="43" spans="1:7" ht="11.25" customHeight="1" x14ac:dyDescent="0.2">
      <c r="A43" s="27">
        <v>44409</v>
      </c>
      <c r="B43" s="17">
        <v>0</v>
      </c>
      <c r="C43" s="17">
        <v>3299.0709360000037</v>
      </c>
      <c r="D43" s="17">
        <v>0</v>
      </c>
      <c r="E43" s="17">
        <v>3238.5981993292216</v>
      </c>
      <c r="F43" s="17">
        <v>3299.0709360000037</v>
      </c>
      <c r="G43" s="17">
        <v>3238.5981993292216</v>
      </c>
    </row>
    <row r="44" spans="1:7" ht="11.25" customHeight="1" x14ac:dyDescent="0.2">
      <c r="A44" s="27">
        <v>44440</v>
      </c>
      <c r="B44" s="17">
        <v>0</v>
      </c>
      <c r="C44" s="17">
        <v>3442.9420349999937</v>
      </c>
      <c r="D44" s="17">
        <v>0</v>
      </c>
      <c r="E44" s="17">
        <v>3379.832107661553</v>
      </c>
      <c r="F44" s="17">
        <v>3442.9420349999937</v>
      </c>
      <c r="G44" s="17">
        <v>3379.832107661553</v>
      </c>
    </row>
    <row r="45" spans="1:7" ht="11.25" customHeight="1" x14ac:dyDescent="0.2">
      <c r="A45" s="27">
        <v>44470</v>
      </c>
      <c r="B45" s="17">
        <v>0</v>
      </c>
      <c r="C45" s="17">
        <v>3697.0851743999983</v>
      </c>
      <c r="D45" s="17">
        <v>0</v>
      </c>
      <c r="E45" s="17">
        <v>3629.3167442758445</v>
      </c>
      <c r="F45" s="17">
        <v>3697.0851743999983</v>
      </c>
      <c r="G45" s="17">
        <v>3629.3167442758445</v>
      </c>
    </row>
    <row r="46" spans="1:7" ht="11.25" customHeight="1" x14ac:dyDescent="0.2">
      <c r="A46" s="27">
        <v>44501</v>
      </c>
      <c r="B46" s="17">
        <v>0</v>
      </c>
      <c r="C46" s="17">
        <v>2712.5733209999944</v>
      </c>
      <c r="D46" s="17">
        <v>0</v>
      </c>
      <c r="E46" s="17">
        <v>2662.8512218626202</v>
      </c>
      <c r="F46" s="17">
        <v>2712.5733209999944</v>
      </c>
      <c r="G46" s="17">
        <v>2662.8512218626202</v>
      </c>
    </row>
    <row r="47" spans="1:7" ht="11.25" customHeight="1" x14ac:dyDescent="0.2">
      <c r="A47" s="27">
        <v>44531</v>
      </c>
      <c r="B47" s="17">
        <v>0</v>
      </c>
      <c r="C47" s="17">
        <v>3293.5468451999977</v>
      </c>
      <c r="D47" s="17">
        <v>0</v>
      </c>
      <c r="E47" s="17">
        <v>3233.1753663968921</v>
      </c>
      <c r="F47" s="17">
        <v>3293.5468451999977</v>
      </c>
      <c r="G47" s="17">
        <v>3233.1753663968921</v>
      </c>
    </row>
    <row r="48" spans="1:7" ht="11.25" customHeight="1" x14ac:dyDescent="0.2">
      <c r="A48" s="27">
        <v>44562</v>
      </c>
      <c r="B48" s="17">
        <v>0</v>
      </c>
      <c r="C48" s="17">
        <v>3289.1765202000015</v>
      </c>
      <c r="D48" s="17">
        <v>0</v>
      </c>
      <c r="E48" s="17">
        <v>3228.8851504694253</v>
      </c>
      <c r="F48" s="17">
        <v>3289.1765202000015</v>
      </c>
      <c r="G48" s="17">
        <v>3228.8851504694253</v>
      </c>
    </row>
    <row r="49" spans="1:7" ht="11.25" customHeight="1" x14ac:dyDescent="0.2">
      <c r="A49" s="27">
        <v>44593</v>
      </c>
      <c r="B49" s="17">
        <v>0</v>
      </c>
      <c r="C49" s="17">
        <v>3304.1055504000042</v>
      </c>
      <c r="D49" s="17">
        <v>0</v>
      </c>
      <c r="E49" s="17">
        <v>3243.5405280776677</v>
      </c>
      <c r="F49" s="17">
        <v>3304.1055504000042</v>
      </c>
      <c r="G49" s="17">
        <v>3243.5405280776677</v>
      </c>
    </row>
    <row r="50" spans="1:7" ht="11.25" customHeight="1" x14ac:dyDescent="0.2">
      <c r="A50" s="27">
        <v>44621</v>
      </c>
      <c r="B50" s="17">
        <v>0</v>
      </c>
      <c r="C50" s="17">
        <v>3297.6374694000042</v>
      </c>
      <c r="D50" s="17">
        <v>0</v>
      </c>
      <c r="E50" s="17">
        <v>3237.1910085050113</v>
      </c>
      <c r="F50" s="17">
        <v>3297.6374694000042</v>
      </c>
      <c r="G50" s="17">
        <v>3237.1910085050113</v>
      </c>
    </row>
    <row r="51" spans="1:7" ht="11.25" customHeight="1" x14ac:dyDescent="0.2">
      <c r="A51" s="27">
        <v>44652</v>
      </c>
      <c r="B51" s="17">
        <v>0</v>
      </c>
      <c r="C51" s="17">
        <v>3805.1196083999998</v>
      </c>
      <c r="D51" s="17">
        <v>0</v>
      </c>
      <c r="E51" s="17">
        <v>3735.3708820029256</v>
      </c>
      <c r="F51" s="17">
        <v>3805.1196083999998</v>
      </c>
      <c r="G51" s="17">
        <v>3735.3708820029256</v>
      </c>
    </row>
    <row r="52" spans="1:7" ht="11.25" customHeight="1" x14ac:dyDescent="0.2">
      <c r="A52" s="27">
        <v>44682</v>
      </c>
      <c r="B52" s="17">
        <v>0</v>
      </c>
      <c r="C52" s="17">
        <v>3249.249230999998</v>
      </c>
      <c r="D52" s="17">
        <v>0</v>
      </c>
      <c r="E52" s="17">
        <v>3189.6897377560476</v>
      </c>
      <c r="F52" s="17">
        <v>3249.249230999998</v>
      </c>
      <c r="G52" s="17">
        <v>3189.6897377560476</v>
      </c>
    </row>
    <row r="53" spans="1:7" ht="11.25" customHeight="1" x14ac:dyDescent="0.2">
      <c r="A53" s="27">
        <v>44713</v>
      </c>
      <c r="B53" s="17">
        <v>0</v>
      </c>
      <c r="C53" s="17">
        <v>3249.249230999998</v>
      </c>
      <c r="D53" s="17">
        <v>0</v>
      </c>
      <c r="E53" s="17">
        <v>3189.6897377560476</v>
      </c>
      <c r="F53" s="17">
        <v>3249.249230999998</v>
      </c>
      <c r="G53" s="17">
        <v>3189.6897377560476</v>
      </c>
    </row>
    <row r="54" spans="1:7" ht="11.25" customHeight="1" x14ac:dyDescent="0.2">
      <c r="A54" s="19" t="s">
        <v>729</v>
      </c>
      <c r="B54" s="17">
        <v>0</v>
      </c>
      <c r="C54" s="17">
        <v>223282.496835</v>
      </c>
      <c r="D54" s="17">
        <v>0</v>
      </c>
      <c r="E54" s="17">
        <v>205062.52949994992</v>
      </c>
      <c r="F54" s="17">
        <v>223282.49683499994</v>
      </c>
      <c r="G54" s="17">
        <v>205062.52949994989</v>
      </c>
    </row>
    <row r="55" spans="1:7" ht="11.25" customHeight="1" x14ac:dyDescent="0.2">
      <c r="A55" s="20" t="s">
        <v>22</v>
      </c>
      <c r="B55" s="17">
        <v>0</v>
      </c>
      <c r="C55" s="17">
        <v>223282.496835</v>
      </c>
      <c r="D55" s="17">
        <v>0</v>
      </c>
      <c r="E55" s="17">
        <v>205062.52949994992</v>
      </c>
      <c r="F55" s="17">
        <v>223282.49683499994</v>
      </c>
      <c r="G55" s="17">
        <v>205062.52949994989</v>
      </c>
    </row>
    <row r="56" spans="1:7" ht="11.25" customHeight="1" x14ac:dyDescent="0.2">
      <c r="A56" s="21" t="s">
        <v>23</v>
      </c>
      <c r="B56" s="17">
        <v>0</v>
      </c>
      <c r="C56" s="17">
        <v>223282.496835</v>
      </c>
      <c r="D56" s="17">
        <v>0</v>
      </c>
      <c r="E56" s="17">
        <v>205062.52949994992</v>
      </c>
      <c r="F56" s="17">
        <v>223282.49683499994</v>
      </c>
      <c r="G56" s="17">
        <v>205062.52949994989</v>
      </c>
    </row>
    <row r="57" spans="1:7" ht="11.25" customHeight="1" x14ac:dyDescent="0.2">
      <c r="A57" s="22" t="s">
        <v>24</v>
      </c>
      <c r="B57" s="17">
        <v>0</v>
      </c>
      <c r="C57" s="17">
        <v>223282.496835</v>
      </c>
      <c r="D57" s="17">
        <v>0</v>
      </c>
      <c r="E57" s="17">
        <v>205062.52949994992</v>
      </c>
      <c r="F57" s="17">
        <v>223282.49683499994</v>
      </c>
      <c r="G57" s="17">
        <v>205062.52949994989</v>
      </c>
    </row>
    <row r="58" spans="1:7" ht="11.25" customHeight="1" x14ac:dyDescent="0.2">
      <c r="A58" s="23" t="s">
        <v>28</v>
      </c>
      <c r="B58" s="17">
        <v>0</v>
      </c>
      <c r="C58" s="17">
        <v>85128.154735000004</v>
      </c>
      <c r="D58" s="17">
        <v>0</v>
      </c>
      <c r="E58" s="17">
        <v>78177.857584685262</v>
      </c>
      <c r="F58" s="17">
        <v>85128.15473499996</v>
      </c>
      <c r="G58" s="17">
        <v>78177.857584685218</v>
      </c>
    </row>
    <row r="59" spans="1:7" ht="11.25" customHeight="1" x14ac:dyDescent="0.2">
      <c r="A59" s="24" t="s">
        <v>25</v>
      </c>
      <c r="B59" s="17">
        <v>0</v>
      </c>
      <c r="C59" s="17">
        <v>85128.154735000004</v>
      </c>
      <c r="D59" s="17">
        <v>0</v>
      </c>
      <c r="E59" s="17">
        <v>78177.857584685262</v>
      </c>
      <c r="F59" s="17">
        <v>85128.15473499996</v>
      </c>
      <c r="G59" s="17">
        <v>78177.857584685218</v>
      </c>
    </row>
    <row r="60" spans="1:7" ht="11.25" customHeight="1" x14ac:dyDescent="0.2">
      <c r="A60" s="25" t="s">
        <v>25</v>
      </c>
      <c r="B60" s="17">
        <v>0</v>
      </c>
      <c r="C60" s="17">
        <v>85128.154735000004</v>
      </c>
      <c r="D60" s="17">
        <v>0</v>
      </c>
      <c r="E60" s="17">
        <v>78177.857584685262</v>
      </c>
      <c r="F60" s="17">
        <v>85128.15473499996</v>
      </c>
      <c r="G60" s="17">
        <v>78177.857584685218</v>
      </c>
    </row>
    <row r="61" spans="1:7" ht="11.25" customHeight="1" x14ac:dyDescent="0.2">
      <c r="A61" s="26" t="s">
        <v>25</v>
      </c>
      <c r="B61" s="17">
        <v>0</v>
      </c>
      <c r="C61" s="17">
        <v>85128.154735000004</v>
      </c>
      <c r="D61" s="17">
        <v>0</v>
      </c>
      <c r="E61" s="17">
        <v>78177.857584685262</v>
      </c>
      <c r="F61" s="17">
        <v>85128.15473499996</v>
      </c>
      <c r="G61" s="17">
        <v>78177.857584685218</v>
      </c>
    </row>
    <row r="62" spans="1:7" ht="11.25" customHeight="1" x14ac:dyDescent="0.2">
      <c r="A62" s="27">
        <v>44378</v>
      </c>
      <c r="B62" s="17">
        <v>0</v>
      </c>
      <c r="C62" s="17">
        <v>6864.9266399999988</v>
      </c>
      <c r="D62" s="17">
        <v>0</v>
      </c>
      <c r="E62" s="17">
        <v>6304.4388618218609</v>
      </c>
      <c r="F62" s="17">
        <v>6864.9266399999988</v>
      </c>
      <c r="G62" s="17">
        <v>6304.4388618218609</v>
      </c>
    </row>
    <row r="63" spans="1:7" ht="11.25" customHeight="1" x14ac:dyDescent="0.2">
      <c r="A63" s="27">
        <v>44409</v>
      </c>
      <c r="B63" s="17">
        <v>0</v>
      </c>
      <c r="C63" s="17">
        <v>6883.7183999999988</v>
      </c>
      <c r="D63" s="17">
        <v>0</v>
      </c>
      <c r="E63" s="17">
        <v>6321.6963662700118</v>
      </c>
      <c r="F63" s="17">
        <v>6883.7183999999988</v>
      </c>
      <c r="G63" s="17">
        <v>6321.6963662700118</v>
      </c>
    </row>
    <row r="64" spans="1:7" ht="11.25" customHeight="1" x14ac:dyDescent="0.2">
      <c r="A64" s="27">
        <v>44440</v>
      </c>
      <c r="B64" s="17">
        <v>0</v>
      </c>
      <c r="C64" s="17">
        <v>6884.0644144999997</v>
      </c>
      <c r="D64" s="17">
        <v>0</v>
      </c>
      <c r="E64" s="17">
        <v>6322.0142676677424</v>
      </c>
      <c r="F64" s="17">
        <v>6884.0644144999997</v>
      </c>
      <c r="G64" s="17">
        <v>6322.0142676677424</v>
      </c>
    </row>
    <row r="65" spans="1:7" ht="11.25" customHeight="1" x14ac:dyDescent="0.2">
      <c r="A65" s="27">
        <v>44470</v>
      </c>
      <c r="B65" s="17">
        <v>0</v>
      </c>
      <c r="C65" s="17">
        <v>6962.8415999999988</v>
      </c>
      <c r="D65" s="17">
        <v>0</v>
      </c>
      <c r="E65" s="17">
        <v>6394.3595428938061</v>
      </c>
      <c r="F65" s="17">
        <v>6962.8415999999988</v>
      </c>
      <c r="G65" s="17">
        <v>6394.3595428938061</v>
      </c>
    </row>
    <row r="66" spans="1:7" ht="11.25" customHeight="1" x14ac:dyDescent="0.2">
      <c r="A66" s="27">
        <v>44501</v>
      </c>
      <c r="B66" s="17">
        <v>0</v>
      </c>
      <c r="C66" s="17">
        <v>7057.6244049999996</v>
      </c>
      <c r="D66" s="17">
        <v>0</v>
      </c>
      <c r="E66" s="17">
        <v>6481.4039732243909</v>
      </c>
      <c r="F66" s="17">
        <v>7057.6244049999996</v>
      </c>
      <c r="G66" s="17">
        <v>6481.4039732243909</v>
      </c>
    </row>
    <row r="67" spans="1:7" ht="11.25" customHeight="1" x14ac:dyDescent="0.2">
      <c r="A67" s="27">
        <v>44531</v>
      </c>
      <c r="B67" s="17">
        <v>0</v>
      </c>
      <c r="C67" s="17">
        <v>7039.6404454999983</v>
      </c>
      <c r="D67" s="17">
        <v>0</v>
      </c>
      <c r="E67" s="17">
        <v>6464.888238704274</v>
      </c>
      <c r="F67" s="17">
        <v>7039.6404454999983</v>
      </c>
      <c r="G67" s="17">
        <v>6464.888238704274</v>
      </c>
    </row>
    <row r="68" spans="1:7" ht="11.25" customHeight="1" x14ac:dyDescent="0.2">
      <c r="A68" s="27">
        <v>44562</v>
      </c>
      <c r="B68" s="17">
        <v>0</v>
      </c>
      <c r="C68" s="17">
        <v>7055.316644999999</v>
      </c>
      <c r="D68" s="17">
        <v>0</v>
      </c>
      <c r="E68" s="17">
        <v>6479.2846305728635</v>
      </c>
      <c r="F68" s="17">
        <v>7055.316644999999</v>
      </c>
      <c r="G68" s="17">
        <v>6479.2846305728635</v>
      </c>
    </row>
    <row r="69" spans="1:7" ht="11.25" customHeight="1" x14ac:dyDescent="0.2">
      <c r="A69" s="27">
        <v>44593</v>
      </c>
      <c r="B69" s="17">
        <v>0</v>
      </c>
      <c r="C69" s="17">
        <v>7066.1960849999996</v>
      </c>
      <c r="D69" s="17">
        <v>0</v>
      </c>
      <c r="E69" s="17">
        <v>6489.2758173586353</v>
      </c>
      <c r="F69" s="17">
        <v>7066.1960849999996</v>
      </c>
      <c r="G69" s="17">
        <v>6489.2758173586353</v>
      </c>
    </row>
    <row r="70" spans="1:7" ht="11.25" customHeight="1" x14ac:dyDescent="0.2">
      <c r="A70" s="27">
        <v>44621</v>
      </c>
      <c r="B70" s="17">
        <v>0</v>
      </c>
      <c r="C70" s="17">
        <v>7203.6726449999987</v>
      </c>
      <c r="D70" s="17">
        <v>0</v>
      </c>
      <c r="E70" s="17">
        <v>6615.5280867424754</v>
      </c>
      <c r="F70" s="17">
        <v>7203.6726449999987</v>
      </c>
      <c r="G70" s="17">
        <v>6615.5280867424754</v>
      </c>
    </row>
    <row r="71" spans="1:7" ht="11.25" customHeight="1" x14ac:dyDescent="0.2">
      <c r="A71" s="27">
        <v>44652</v>
      </c>
      <c r="B71" s="17">
        <v>0</v>
      </c>
      <c r="C71" s="17">
        <v>7352.0286449999994</v>
      </c>
      <c r="D71" s="17">
        <v>0</v>
      </c>
      <c r="E71" s="17">
        <v>6751.771542912089</v>
      </c>
      <c r="F71" s="17">
        <v>7352.0286449999994</v>
      </c>
      <c r="G71" s="17">
        <v>6751.771542912089</v>
      </c>
    </row>
    <row r="72" spans="1:7" ht="11.25" customHeight="1" x14ac:dyDescent="0.2">
      <c r="A72" s="27">
        <v>44682</v>
      </c>
      <c r="B72" s="17">
        <v>0</v>
      </c>
      <c r="C72" s="17">
        <v>7379.0624049999988</v>
      </c>
      <c r="D72" s="17">
        <v>0</v>
      </c>
      <c r="E72" s="17">
        <v>6776.5981282585508</v>
      </c>
      <c r="F72" s="17">
        <v>7379.0624049999988</v>
      </c>
      <c r="G72" s="17">
        <v>6776.5981282585508</v>
      </c>
    </row>
    <row r="73" spans="1:7" ht="11.25" customHeight="1" x14ac:dyDescent="0.2">
      <c r="A73" s="27">
        <v>44713</v>
      </c>
      <c r="B73" s="17">
        <v>0</v>
      </c>
      <c r="C73" s="17">
        <v>7379.0624049999988</v>
      </c>
      <c r="D73" s="17">
        <v>0</v>
      </c>
      <c r="E73" s="17">
        <v>6776.5981282585508</v>
      </c>
      <c r="F73" s="17">
        <v>7379.0624049999988</v>
      </c>
      <c r="G73" s="17">
        <v>6776.5981282585508</v>
      </c>
    </row>
    <row r="74" spans="1:7" ht="11.25" customHeight="1" x14ac:dyDescent="0.2">
      <c r="A74" s="23" t="s">
        <v>29</v>
      </c>
      <c r="B74" s="17">
        <v>0</v>
      </c>
      <c r="C74" s="17">
        <v>110884.88746999996</v>
      </c>
      <c r="D74" s="17">
        <v>0</v>
      </c>
      <c r="E74" s="17">
        <v>101836.69677489628</v>
      </c>
      <c r="F74" s="17">
        <v>110884.88746999996</v>
      </c>
      <c r="G74" s="17">
        <v>101836.69677489628</v>
      </c>
    </row>
    <row r="75" spans="1:7" ht="11.25" customHeight="1" x14ac:dyDescent="0.2">
      <c r="A75" s="24" t="s">
        <v>25</v>
      </c>
      <c r="B75" s="17">
        <v>0</v>
      </c>
      <c r="C75" s="17">
        <v>110884.88746999996</v>
      </c>
      <c r="D75" s="17">
        <v>0</v>
      </c>
      <c r="E75" s="17">
        <v>101836.69677489628</v>
      </c>
      <c r="F75" s="17">
        <v>110884.88746999996</v>
      </c>
      <c r="G75" s="17">
        <v>101836.69677489628</v>
      </c>
    </row>
    <row r="76" spans="1:7" ht="11.25" customHeight="1" x14ac:dyDescent="0.2">
      <c r="A76" s="25" t="s">
        <v>25</v>
      </c>
      <c r="B76" s="17">
        <v>0</v>
      </c>
      <c r="C76" s="17">
        <v>110884.88746999996</v>
      </c>
      <c r="D76" s="17">
        <v>0</v>
      </c>
      <c r="E76" s="17">
        <v>101836.69677489628</v>
      </c>
      <c r="F76" s="17">
        <v>110884.88746999996</v>
      </c>
      <c r="G76" s="17">
        <v>101836.69677489628</v>
      </c>
    </row>
    <row r="77" spans="1:7" ht="11.25" customHeight="1" x14ac:dyDescent="0.2">
      <c r="A77" s="26" t="s">
        <v>25</v>
      </c>
      <c r="B77" s="17">
        <v>0</v>
      </c>
      <c r="C77" s="17">
        <v>110884.88746999996</v>
      </c>
      <c r="D77" s="17">
        <v>0</v>
      </c>
      <c r="E77" s="17">
        <v>101836.69677489628</v>
      </c>
      <c r="F77" s="17">
        <v>110884.88746999996</v>
      </c>
      <c r="G77" s="17">
        <v>101836.69677489628</v>
      </c>
    </row>
    <row r="78" spans="1:7" ht="11.25" customHeight="1" x14ac:dyDescent="0.2">
      <c r="A78" s="27">
        <v>44378</v>
      </c>
      <c r="B78" s="17">
        <v>0</v>
      </c>
      <c r="C78" s="17">
        <v>8696.8340299999982</v>
      </c>
      <c r="D78" s="17">
        <v>0</v>
      </c>
      <c r="E78" s="17">
        <v>7987.1736376548552</v>
      </c>
      <c r="F78" s="17">
        <v>8696.8340299999982</v>
      </c>
      <c r="G78" s="17">
        <v>7987.1736376548552</v>
      </c>
    </row>
    <row r="79" spans="1:7" ht="11.25" customHeight="1" x14ac:dyDescent="0.2">
      <c r="A79" s="27">
        <v>44409</v>
      </c>
      <c r="B79" s="17">
        <v>0</v>
      </c>
      <c r="C79" s="17">
        <v>8825.4536099999968</v>
      </c>
      <c r="D79" s="17">
        <v>0</v>
      </c>
      <c r="E79" s="17">
        <v>8105.2978786278927</v>
      </c>
      <c r="F79" s="17">
        <v>8825.4536099999968</v>
      </c>
      <c r="G79" s="17">
        <v>8105.2978786278927</v>
      </c>
    </row>
    <row r="80" spans="1:7" ht="11.25" customHeight="1" x14ac:dyDescent="0.2">
      <c r="A80" s="27">
        <v>44440</v>
      </c>
      <c r="B80" s="17">
        <v>0</v>
      </c>
      <c r="C80" s="17">
        <v>8896.6609799999969</v>
      </c>
      <c r="D80" s="17">
        <v>0</v>
      </c>
      <c r="E80" s="17">
        <v>8170.6947375893069</v>
      </c>
      <c r="F80" s="17">
        <v>8896.6609799999969</v>
      </c>
      <c r="G80" s="17">
        <v>8170.6947375893069</v>
      </c>
    </row>
    <row r="81" spans="1:7" ht="11.25" customHeight="1" x14ac:dyDescent="0.2">
      <c r="A81" s="27">
        <v>44470</v>
      </c>
      <c r="B81" s="17">
        <v>0</v>
      </c>
      <c r="C81" s="17">
        <v>9080.0554599999978</v>
      </c>
      <c r="D81" s="17">
        <v>0</v>
      </c>
      <c r="E81" s="17">
        <v>8339.1242546865105</v>
      </c>
      <c r="F81" s="17">
        <v>9080.0554599999978</v>
      </c>
      <c r="G81" s="17">
        <v>8339.1242546865105</v>
      </c>
    </row>
    <row r="82" spans="1:7" ht="11.25" customHeight="1" x14ac:dyDescent="0.2">
      <c r="A82" s="27">
        <v>44501</v>
      </c>
      <c r="B82" s="17">
        <v>0</v>
      </c>
      <c r="C82" s="17">
        <v>9284.9541599999975</v>
      </c>
      <c r="D82" s="17">
        <v>0</v>
      </c>
      <c r="E82" s="17">
        <v>8527.3032505583851</v>
      </c>
      <c r="F82" s="17">
        <v>9284.9541599999975</v>
      </c>
      <c r="G82" s="17">
        <v>8527.3032505583851</v>
      </c>
    </row>
    <row r="83" spans="1:7" ht="11.25" customHeight="1" x14ac:dyDescent="0.2">
      <c r="A83" s="27">
        <v>44531</v>
      </c>
      <c r="B83" s="17">
        <v>0</v>
      </c>
      <c r="C83" s="17">
        <v>9338.9175799999975</v>
      </c>
      <c r="D83" s="17">
        <v>0</v>
      </c>
      <c r="E83" s="17">
        <v>8576.8632633325615</v>
      </c>
      <c r="F83" s="17">
        <v>9338.9175799999975</v>
      </c>
      <c r="G83" s="17">
        <v>8576.8632633325615</v>
      </c>
    </row>
    <row r="84" spans="1:7" ht="11.25" customHeight="1" x14ac:dyDescent="0.2">
      <c r="A84" s="27">
        <v>44562</v>
      </c>
      <c r="B84" s="17">
        <v>0</v>
      </c>
      <c r="C84" s="17">
        <v>9520.0804899999966</v>
      </c>
      <c r="D84" s="17">
        <v>0</v>
      </c>
      <c r="E84" s="17">
        <v>8743.2433062172986</v>
      </c>
      <c r="F84" s="17">
        <v>9520.0804899999966</v>
      </c>
      <c r="G84" s="17">
        <v>8743.2433062172986</v>
      </c>
    </row>
    <row r="85" spans="1:7" ht="11.25" customHeight="1" x14ac:dyDescent="0.2">
      <c r="A85" s="27">
        <v>44593</v>
      </c>
      <c r="B85" s="17">
        <v>0</v>
      </c>
      <c r="C85" s="17">
        <v>9455.9735699999965</v>
      </c>
      <c r="D85" s="17">
        <v>0</v>
      </c>
      <c r="E85" s="17">
        <v>8684.3675015682766</v>
      </c>
      <c r="F85" s="17">
        <v>9455.9735699999965</v>
      </c>
      <c r="G85" s="17">
        <v>8684.3675015682766</v>
      </c>
    </row>
    <row r="86" spans="1:7" ht="11.25" customHeight="1" x14ac:dyDescent="0.2">
      <c r="A86" s="27">
        <v>44621</v>
      </c>
      <c r="B86" s="17">
        <v>0</v>
      </c>
      <c r="C86" s="17">
        <v>9431.8320399999975</v>
      </c>
      <c r="D86" s="17">
        <v>0</v>
      </c>
      <c r="E86" s="17">
        <v>8662.1959169061447</v>
      </c>
      <c r="F86" s="17">
        <v>9431.8320399999975</v>
      </c>
      <c r="G86" s="17">
        <v>8662.1959169061447</v>
      </c>
    </row>
    <row r="87" spans="1:7" ht="11.25" customHeight="1" x14ac:dyDescent="0.2">
      <c r="A87" s="27">
        <v>44652</v>
      </c>
      <c r="B87" s="17">
        <v>0</v>
      </c>
      <c r="C87" s="17">
        <v>9484.7811099999981</v>
      </c>
      <c r="D87" s="17">
        <v>0</v>
      </c>
      <c r="E87" s="17">
        <v>8710.8243504928378</v>
      </c>
      <c r="F87" s="17">
        <v>9484.7811099999981</v>
      </c>
      <c r="G87" s="17">
        <v>8710.8243504928378</v>
      </c>
    </row>
    <row r="88" spans="1:7" ht="11.25" customHeight="1" x14ac:dyDescent="0.2">
      <c r="A88" s="27">
        <v>44682</v>
      </c>
      <c r="B88" s="17">
        <v>0</v>
      </c>
      <c r="C88" s="17">
        <v>9434.6722199999967</v>
      </c>
      <c r="D88" s="17">
        <v>0</v>
      </c>
      <c r="E88" s="17">
        <v>8664.8043386311019</v>
      </c>
      <c r="F88" s="17">
        <v>9434.6722199999967</v>
      </c>
      <c r="G88" s="17">
        <v>8664.8043386311019</v>
      </c>
    </row>
    <row r="89" spans="1:7" ht="11.25" customHeight="1" x14ac:dyDescent="0.2">
      <c r="A89" s="27">
        <v>44713</v>
      </c>
      <c r="B89" s="17">
        <v>0</v>
      </c>
      <c r="C89" s="17">
        <v>9434.6722199999967</v>
      </c>
      <c r="D89" s="17">
        <v>0</v>
      </c>
      <c r="E89" s="17">
        <v>8664.8043386311019</v>
      </c>
      <c r="F89" s="17">
        <v>9434.6722199999967</v>
      </c>
      <c r="G89" s="17">
        <v>8664.8043386311019</v>
      </c>
    </row>
    <row r="90" spans="1:7" ht="11.25" customHeight="1" x14ac:dyDescent="0.2">
      <c r="A90" s="23" t="s">
        <v>30</v>
      </c>
      <c r="B90" s="17">
        <v>0</v>
      </c>
      <c r="C90" s="17">
        <v>27269.454629999957</v>
      </c>
      <c r="D90" s="17">
        <v>0</v>
      </c>
      <c r="E90" s="17">
        <v>25047.975140368373</v>
      </c>
      <c r="F90" s="17">
        <v>27269.454629999957</v>
      </c>
      <c r="G90" s="17">
        <v>25047.975140368373</v>
      </c>
    </row>
    <row r="91" spans="1:7" ht="11.25" customHeight="1" x14ac:dyDescent="0.2">
      <c r="A91" s="24" t="s">
        <v>25</v>
      </c>
      <c r="B91" s="17">
        <v>0</v>
      </c>
      <c r="C91" s="17">
        <v>27269.454629999957</v>
      </c>
      <c r="D91" s="17">
        <v>0</v>
      </c>
      <c r="E91" s="17">
        <v>25047.975140368373</v>
      </c>
      <c r="F91" s="17">
        <v>27269.454629999957</v>
      </c>
      <c r="G91" s="17">
        <v>25047.975140368373</v>
      </c>
    </row>
    <row r="92" spans="1:7" ht="11.25" customHeight="1" x14ac:dyDescent="0.2">
      <c r="A92" s="25" t="s">
        <v>25</v>
      </c>
      <c r="B92" s="17">
        <v>0</v>
      </c>
      <c r="C92" s="17">
        <v>27269.454629999957</v>
      </c>
      <c r="D92" s="17">
        <v>0</v>
      </c>
      <c r="E92" s="17">
        <v>25047.975140368373</v>
      </c>
      <c r="F92" s="17">
        <v>27269.454629999957</v>
      </c>
      <c r="G92" s="17">
        <v>25047.975140368373</v>
      </c>
    </row>
    <row r="93" spans="1:7" ht="11.25" customHeight="1" x14ac:dyDescent="0.2">
      <c r="A93" s="26" t="s">
        <v>25</v>
      </c>
      <c r="B93" s="17">
        <v>0</v>
      </c>
      <c r="C93" s="17">
        <v>27269.454629999957</v>
      </c>
      <c r="D93" s="17">
        <v>0</v>
      </c>
      <c r="E93" s="17">
        <v>25047.975140368373</v>
      </c>
      <c r="F93" s="17">
        <v>27269.454629999957</v>
      </c>
      <c r="G93" s="17">
        <v>25047.975140368373</v>
      </c>
    </row>
    <row r="94" spans="1:7" ht="11.25" customHeight="1" x14ac:dyDescent="0.2">
      <c r="A94" s="27">
        <v>44378</v>
      </c>
      <c r="B94" s="17">
        <v>0</v>
      </c>
      <c r="C94" s="17">
        <v>2141.5340099999967</v>
      </c>
      <c r="D94" s="17">
        <v>0</v>
      </c>
      <c r="E94" s="17">
        <v>1967.0760333329551</v>
      </c>
      <c r="F94" s="17">
        <v>2141.5340099999967</v>
      </c>
      <c r="G94" s="17">
        <v>1967.0760333329551</v>
      </c>
    </row>
    <row r="95" spans="1:7" ht="11.25" customHeight="1" x14ac:dyDescent="0.2">
      <c r="A95" s="27">
        <v>44409</v>
      </c>
      <c r="B95" s="17">
        <v>0</v>
      </c>
      <c r="C95" s="17">
        <v>2190.4691599999965</v>
      </c>
      <c r="D95" s="17">
        <v>0</v>
      </c>
      <c r="E95" s="17">
        <v>2012.0247291290834</v>
      </c>
      <c r="F95" s="17">
        <v>2190.4691599999965</v>
      </c>
      <c r="G95" s="17">
        <v>2012.0247291290834</v>
      </c>
    </row>
    <row r="96" spans="1:7" ht="11.25" customHeight="1" x14ac:dyDescent="0.2">
      <c r="A96" s="27">
        <v>44440</v>
      </c>
      <c r="B96" s="17">
        <v>0</v>
      </c>
      <c r="C96" s="17">
        <v>2117.3960499999966</v>
      </c>
      <c r="D96" s="17">
        <v>0</v>
      </c>
      <c r="E96" s="17">
        <v>1944.9044486708233</v>
      </c>
      <c r="F96" s="17">
        <v>2117.3960499999966</v>
      </c>
      <c r="G96" s="17">
        <v>1944.9044486708233</v>
      </c>
    </row>
    <row r="97" spans="1:7" ht="11.25" customHeight="1" x14ac:dyDescent="0.2">
      <c r="A97" s="27">
        <v>44470</v>
      </c>
      <c r="B97" s="17">
        <v>0</v>
      </c>
      <c r="C97" s="17">
        <v>2192.0918799999968</v>
      </c>
      <c r="D97" s="17">
        <v>0</v>
      </c>
      <c r="E97" s="17">
        <v>2013.515255829059</v>
      </c>
      <c r="F97" s="17">
        <v>2192.0918799999968</v>
      </c>
      <c r="G97" s="17">
        <v>2013.515255829059</v>
      </c>
    </row>
    <row r="98" spans="1:7" ht="11.25" customHeight="1" x14ac:dyDescent="0.2">
      <c r="A98" s="27">
        <v>44501</v>
      </c>
      <c r="B98" s="17">
        <v>0</v>
      </c>
      <c r="C98" s="17">
        <v>2331.9500599999965</v>
      </c>
      <c r="D98" s="17">
        <v>0</v>
      </c>
      <c r="E98" s="17">
        <v>2141.9800257831753</v>
      </c>
      <c r="F98" s="17">
        <v>2331.9500599999965</v>
      </c>
      <c r="G98" s="17">
        <v>2141.9800257831753</v>
      </c>
    </row>
    <row r="99" spans="1:7" ht="11.25" customHeight="1" x14ac:dyDescent="0.2">
      <c r="A99" s="27">
        <v>44531</v>
      </c>
      <c r="B99" s="17">
        <v>0</v>
      </c>
      <c r="C99" s="17">
        <v>2309.6376599999962</v>
      </c>
      <c r="D99" s="17">
        <v>0</v>
      </c>
      <c r="E99" s="17">
        <v>2121.4852836585155</v>
      </c>
      <c r="F99" s="17">
        <v>2309.6376599999962</v>
      </c>
      <c r="G99" s="17">
        <v>2121.4852836585155</v>
      </c>
    </row>
    <row r="100" spans="1:7" ht="11.25" customHeight="1" x14ac:dyDescent="0.2">
      <c r="A100" s="27">
        <v>44562</v>
      </c>
      <c r="B100" s="17">
        <v>0</v>
      </c>
      <c r="C100" s="17">
        <v>2604.9219899999962</v>
      </c>
      <c r="D100" s="17">
        <v>0</v>
      </c>
      <c r="E100" s="17">
        <v>2392.714564094636</v>
      </c>
      <c r="F100" s="17">
        <v>2604.9219899999962</v>
      </c>
      <c r="G100" s="17">
        <v>2392.714564094636</v>
      </c>
    </row>
    <row r="101" spans="1:7" ht="11.25" customHeight="1" x14ac:dyDescent="0.2">
      <c r="A101" s="27">
        <v>44593</v>
      </c>
      <c r="B101" s="17">
        <v>0</v>
      </c>
      <c r="C101" s="17">
        <v>2497.5689199999965</v>
      </c>
      <c r="D101" s="17">
        <v>0</v>
      </c>
      <c r="E101" s="17">
        <v>2294.106907099399</v>
      </c>
      <c r="F101" s="17">
        <v>2497.5689199999965</v>
      </c>
      <c r="G101" s="17">
        <v>2294.106907099399</v>
      </c>
    </row>
    <row r="102" spans="1:7" ht="11.25" customHeight="1" x14ac:dyDescent="0.2">
      <c r="A102" s="27">
        <v>44621</v>
      </c>
      <c r="B102" s="17">
        <v>0</v>
      </c>
      <c r="C102" s="17">
        <v>2549.698799999996</v>
      </c>
      <c r="D102" s="17">
        <v>0</v>
      </c>
      <c r="E102" s="17">
        <v>2341.9900773361032</v>
      </c>
      <c r="F102" s="17">
        <v>2549.698799999996</v>
      </c>
      <c r="G102" s="17">
        <v>2341.9900773361032</v>
      </c>
    </row>
    <row r="103" spans="1:7" ht="11.25" customHeight="1" x14ac:dyDescent="0.2">
      <c r="A103" s="27">
        <v>44652</v>
      </c>
      <c r="B103" s="17">
        <v>0</v>
      </c>
      <c r="C103" s="17">
        <v>2128.1972799999971</v>
      </c>
      <c r="D103" s="17">
        <v>0</v>
      </c>
      <c r="E103" s="17">
        <v>1954.8257670175337</v>
      </c>
      <c r="F103" s="17">
        <v>2128.1972799999971</v>
      </c>
      <c r="G103" s="17">
        <v>1954.8257670175337</v>
      </c>
    </row>
    <row r="104" spans="1:7" ht="11.25" customHeight="1" x14ac:dyDescent="0.2">
      <c r="A104" s="27">
        <v>44682</v>
      </c>
      <c r="B104" s="17">
        <v>0</v>
      </c>
      <c r="C104" s="17">
        <v>2102.9944099999966</v>
      </c>
      <c r="D104" s="17">
        <v>0</v>
      </c>
      <c r="E104" s="17">
        <v>1931.6760242085429</v>
      </c>
      <c r="F104" s="17">
        <v>2102.9944099999966</v>
      </c>
      <c r="G104" s="17">
        <v>1931.6760242085429</v>
      </c>
    </row>
    <row r="105" spans="1:7" ht="11.25" customHeight="1" x14ac:dyDescent="0.2">
      <c r="A105" s="27">
        <v>44713</v>
      </c>
      <c r="B105" s="17">
        <v>0</v>
      </c>
      <c r="C105" s="17">
        <v>2102.9944099999966</v>
      </c>
      <c r="D105" s="17">
        <v>0</v>
      </c>
      <c r="E105" s="17">
        <v>1931.6760242085429</v>
      </c>
      <c r="F105" s="17">
        <v>2102.9944099999966</v>
      </c>
      <c r="G105" s="17">
        <v>1931.6760242085429</v>
      </c>
    </row>
    <row r="106" spans="1:7" ht="11.25" customHeight="1" x14ac:dyDescent="0.2">
      <c r="A106" s="23" t="s">
        <v>31</v>
      </c>
      <c r="B106" s="17">
        <v>0</v>
      </c>
      <c r="C106" s="17">
        <v>-1.0237840797344688E-11</v>
      </c>
      <c r="D106" s="17">
        <v>0</v>
      </c>
      <c r="E106" s="17">
        <v>0</v>
      </c>
      <c r="F106" s="17">
        <v>-1.0237840797344688E-11</v>
      </c>
      <c r="G106" s="17">
        <v>0</v>
      </c>
    </row>
    <row r="107" spans="1:7" ht="11.25" customHeight="1" x14ac:dyDescent="0.2">
      <c r="A107" s="24" t="s">
        <v>25</v>
      </c>
      <c r="B107" s="17">
        <v>0</v>
      </c>
      <c r="C107" s="17">
        <v>-1.0237840797344688E-11</v>
      </c>
      <c r="D107" s="17">
        <v>0</v>
      </c>
      <c r="E107" s="17">
        <v>0</v>
      </c>
      <c r="F107" s="17">
        <v>-1.0237840797344688E-11</v>
      </c>
      <c r="G107" s="17">
        <v>0</v>
      </c>
    </row>
    <row r="108" spans="1:7" ht="11.25" customHeight="1" x14ac:dyDescent="0.2">
      <c r="A108" s="25" t="s">
        <v>25</v>
      </c>
      <c r="B108" s="17">
        <v>0</v>
      </c>
      <c r="C108" s="17">
        <v>-1.0237840797344688E-11</v>
      </c>
      <c r="D108" s="17">
        <v>0</v>
      </c>
      <c r="E108" s="17">
        <v>0</v>
      </c>
      <c r="F108" s="17">
        <v>-1.0237840797344688E-11</v>
      </c>
      <c r="G108" s="17">
        <v>0</v>
      </c>
    </row>
    <row r="109" spans="1:7" ht="11.25" customHeight="1" x14ac:dyDescent="0.2">
      <c r="A109" s="26" t="s">
        <v>25</v>
      </c>
      <c r="B109" s="17">
        <v>0</v>
      </c>
      <c r="C109" s="17">
        <v>-1.0237840797344688E-11</v>
      </c>
      <c r="D109" s="17">
        <v>0</v>
      </c>
      <c r="E109" s="17">
        <v>0</v>
      </c>
      <c r="F109" s="17">
        <v>-1.0237840797344688E-11</v>
      </c>
      <c r="G109" s="17">
        <v>0</v>
      </c>
    </row>
    <row r="110" spans="1:7" ht="11.25" customHeight="1" x14ac:dyDescent="0.2">
      <c r="A110" s="27">
        <v>44378</v>
      </c>
      <c r="B110" s="17">
        <v>0</v>
      </c>
      <c r="C110" s="17">
        <v>-9.3450580607168384E-13</v>
      </c>
      <c r="D110" s="17">
        <v>0</v>
      </c>
      <c r="E110" s="17">
        <v>0</v>
      </c>
      <c r="F110" s="17">
        <v>-9.3450580607168384E-13</v>
      </c>
      <c r="G110" s="17">
        <v>0</v>
      </c>
    </row>
    <row r="111" spans="1:7" ht="11.25" customHeight="1" x14ac:dyDescent="0.2">
      <c r="A111" s="27">
        <v>44409</v>
      </c>
      <c r="B111" s="17">
        <v>0</v>
      </c>
      <c r="C111" s="17">
        <v>-8.487859304295853E-13</v>
      </c>
      <c r="D111" s="17">
        <v>0</v>
      </c>
      <c r="E111" s="17">
        <v>0</v>
      </c>
      <c r="F111" s="17">
        <v>-8.487859304295853E-13</v>
      </c>
      <c r="G111" s="17">
        <v>0</v>
      </c>
    </row>
    <row r="112" spans="1:7" ht="11.25" customHeight="1" x14ac:dyDescent="0.2">
      <c r="A112" s="27">
        <v>44440</v>
      </c>
      <c r="B112" s="17">
        <v>0</v>
      </c>
      <c r="C112" s="17">
        <v>-7.1048589234123941E-13</v>
      </c>
      <c r="D112" s="17">
        <v>0</v>
      </c>
      <c r="E112" s="17">
        <v>0</v>
      </c>
      <c r="F112" s="17">
        <v>-7.1048589234123941E-13</v>
      </c>
      <c r="G112" s="17">
        <v>0</v>
      </c>
    </row>
    <row r="113" spans="1:7" ht="11.25" customHeight="1" x14ac:dyDescent="0.2">
      <c r="A113" s="27">
        <v>44470</v>
      </c>
      <c r="B113" s="17">
        <v>0</v>
      </c>
      <c r="C113" s="17">
        <v>-7.2122929850593213E-13</v>
      </c>
      <c r="D113" s="17">
        <v>0</v>
      </c>
      <c r="E113" s="17">
        <v>0</v>
      </c>
      <c r="F113" s="17">
        <v>-7.2122929850593213E-13</v>
      </c>
      <c r="G113" s="17">
        <v>0</v>
      </c>
    </row>
    <row r="114" spans="1:7" ht="11.25" customHeight="1" x14ac:dyDescent="0.2">
      <c r="A114" s="27">
        <v>44501</v>
      </c>
      <c r="B114" s="17">
        <v>0</v>
      </c>
      <c r="C114" s="17">
        <v>-8.3332452049944551E-13</v>
      </c>
      <c r="D114" s="17">
        <v>0</v>
      </c>
      <c r="E114" s="17">
        <v>0</v>
      </c>
      <c r="F114" s="17">
        <v>-8.3332452049944551E-13</v>
      </c>
      <c r="G114" s="17">
        <v>0</v>
      </c>
    </row>
    <row r="115" spans="1:7" ht="11.25" customHeight="1" x14ac:dyDescent="0.2">
      <c r="A115" s="27">
        <v>44531</v>
      </c>
      <c r="B115" s="17">
        <v>0</v>
      </c>
      <c r="C115" s="17">
        <v>-7.4902573032886719E-13</v>
      </c>
      <c r="D115" s="17">
        <v>0</v>
      </c>
      <c r="E115" s="17">
        <v>0</v>
      </c>
      <c r="F115" s="17">
        <v>-7.4902573032886719E-13</v>
      </c>
      <c r="G115" s="17">
        <v>0</v>
      </c>
    </row>
    <row r="116" spans="1:7" ht="11.25" customHeight="1" x14ac:dyDescent="0.2">
      <c r="A116" s="27">
        <v>44562</v>
      </c>
      <c r="B116" s="17">
        <v>0</v>
      </c>
      <c r="C116" s="17">
        <v>-1.1702354640874546E-12</v>
      </c>
      <c r="D116" s="17">
        <v>0</v>
      </c>
      <c r="E116" s="17">
        <v>0</v>
      </c>
      <c r="F116" s="17">
        <v>-1.1702354640874546E-12</v>
      </c>
      <c r="G116" s="17">
        <v>0</v>
      </c>
    </row>
    <row r="117" spans="1:7" ht="11.25" customHeight="1" x14ac:dyDescent="0.2">
      <c r="A117" s="27">
        <v>44593</v>
      </c>
      <c r="B117" s="17">
        <v>0</v>
      </c>
      <c r="C117" s="17">
        <v>-1.049897946359124E-12</v>
      </c>
      <c r="D117" s="17">
        <v>0</v>
      </c>
      <c r="E117" s="17">
        <v>0</v>
      </c>
      <c r="F117" s="17">
        <v>-1.049897946359124E-12</v>
      </c>
      <c r="G117" s="17">
        <v>0</v>
      </c>
    </row>
    <row r="118" spans="1:7" ht="11.25" customHeight="1" x14ac:dyDescent="0.2">
      <c r="A118" s="27">
        <v>44621</v>
      </c>
      <c r="B118" s="17">
        <v>0</v>
      </c>
      <c r="C118" s="17">
        <v>-1.2411760508257431E-12</v>
      </c>
      <c r="D118" s="17">
        <v>0</v>
      </c>
      <c r="E118" s="17">
        <v>0</v>
      </c>
      <c r="F118" s="17">
        <v>-1.2411760508257431E-12</v>
      </c>
      <c r="G118" s="17">
        <v>0</v>
      </c>
    </row>
    <row r="119" spans="1:7" ht="11.25" customHeight="1" x14ac:dyDescent="0.2">
      <c r="A119" s="27">
        <v>44652</v>
      </c>
      <c r="B119" s="17">
        <v>0</v>
      </c>
      <c r="C119" s="17">
        <v>-6.077698344597593E-13</v>
      </c>
      <c r="D119" s="17">
        <v>0</v>
      </c>
      <c r="E119" s="17">
        <v>0</v>
      </c>
      <c r="F119" s="17">
        <v>-6.077698344597593E-13</v>
      </c>
      <c r="G119" s="17">
        <v>0</v>
      </c>
    </row>
    <row r="120" spans="1:7" ht="11.25" customHeight="1" x14ac:dyDescent="0.2">
      <c r="A120" s="27">
        <v>44682</v>
      </c>
      <c r="B120" s="17">
        <v>0</v>
      </c>
      <c r="C120" s="17">
        <v>-6.8570216171792712E-13</v>
      </c>
      <c r="D120" s="17">
        <v>0</v>
      </c>
      <c r="E120" s="17">
        <v>0</v>
      </c>
      <c r="F120" s="17">
        <v>-6.8570216171792712E-13</v>
      </c>
      <c r="G120" s="17">
        <v>0</v>
      </c>
    </row>
    <row r="121" spans="1:7" ht="11.25" customHeight="1" x14ac:dyDescent="0.2">
      <c r="A121" s="27">
        <v>44713</v>
      </c>
      <c r="B121" s="17">
        <v>0</v>
      </c>
      <c r="C121" s="17">
        <v>-6.8570216171792712E-13</v>
      </c>
      <c r="D121" s="17">
        <v>0</v>
      </c>
      <c r="E121" s="17">
        <v>0</v>
      </c>
      <c r="F121" s="17">
        <v>-6.8570216171792712E-13</v>
      </c>
      <c r="G121" s="17">
        <v>0</v>
      </c>
    </row>
    <row r="122" spans="1:7" ht="11.25" customHeight="1" x14ac:dyDescent="0.2">
      <c r="A122" s="19" t="s">
        <v>725</v>
      </c>
      <c r="B122" s="17">
        <v>3331699.6036439994</v>
      </c>
      <c r="C122" s="17">
        <v>4273384.0683826497</v>
      </c>
      <c r="D122" s="17">
        <v>2359309.6000021859</v>
      </c>
      <c r="E122" s="17">
        <v>4359141.7298012683</v>
      </c>
      <c r="F122" s="17">
        <v>7605083.6720266491</v>
      </c>
      <c r="G122" s="17">
        <v>6718451.3298034538</v>
      </c>
    </row>
    <row r="123" spans="1:7" ht="11.25" customHeight="1" x14ac:dyDescent="0.2">
      <c r="A123" s="20" t="s">
        <v>38</v>
      </c>
      <c r="B123" s="17">
        <v>3331699.6036439994</v>
      </c>
      <c r="C123" s="17">
        <v>4273384.0683826497</v>
      </c>
      <c r="D123" s="17">
        <v>2359309.6000021859</v>
      </c>
      <c r="E123" s="17">
        <v>4359141.7298012683</v>
      </c>
      <c r="F123" s="17">
        <v>7605083.6720266491</v>
      </c>
      <c r="G123" s="17">
        <v>6718451.3298034538</v>
      </c>
    </row>
    <row r="124" spans="1:7" ht="11.25" customHeight="1" x14ac:dyDescent="0.2">
      <c r="A124" s="21" t="s">
        <v>39</v>
      </c>
      <c r="B124" s="17">
        <v>2295907.4099999997</v>
      </c>
      <c r="C124" s="17">
        <v>1201066.1327000002</v>
      </c>
      <c r="D124" s="17">
        <v>1619760.0755629546</v>
      </c>
      <c r="E124" s="17">
        <v>1527526.0808540378</v>
      </c>
      <c r="F124" s="17">
        <v>3496973.5427000001</v>
      </c>
      <c r="G124" s="17">
        <v>3147286.1564169927</v>
      </c>
    </row>
    <row r="125" spans="1:7" ht="11.25" customHeight="1" x14ac:dyDescent="0.2">
      <c r="A125" s="22" t="s">
        <v>37</v>
      </c>
      <c r="B125" s="17">
        <v>2295907.4099999997</v>
      </c>
      <c r="C125" s="17">
        <v>1201066.1327000002</v>
      </c>
      <c r="D125" s="17">
        <v>1619760.0755629546</v>
      </c>
      <c r="E125" s="17">
        <v>1527526.0808540378</v>
      </c>
      <c r="F125" s="17">
        <v>3496973.5427000001</v>
      </c>
      <c r="G125" s="17">
        <v>3147286.1564169927</v>
      </c>
    </row>
    <row r="126" spans="1:7" ht="11.25" customHeight="1" x14ac:dyDescent="0.2">
      <c r="A126" s="23" t="s">
        <v>25</v>
      </c>
      <c r="B126" s="17">
        <v>2295907.4099999997</v>
      </c>
      <c r="C126" s="17">
        <v>1201066.1327000002</v>
      </c>
      <c r="D126" s="17">
        <v>1619760.0755629546</v>
      </c>
      <c r="E126" s="17">
        <v>1527526.0808540378</v>
      </c>
      <c r="F126" s="17">
        <v>3496973.5427000001</v>
      </c>
      <c r="G126" s="17">
        <v>3147286.1564169927</v>
      </c>
    </row>
    <row r="127" spans="1:7" ht="11.25" customHeight="1" x14ac:dyDescent="0.2">
      <c r="A127" s="24" t="s">
        <v>57</v>
      </c>
      <c r="B127" s="17">
        <v>2295907.4099999997</v>
      </c>
      <c r="C127" s="17">
        <v>1201066.1327000002</v>
      </c>
      <c r="D127" s="17">
        <v>1619760.0755629546</v>
      </c>
      <c r="E127" s="17">
        <v>1527526.0808540378</v>
      </c>
      <c r="F127" s="17">
        <v>3496973.5427000001</v>
      </c>
      <c r="G127" s="17">
        <v>3147286.1564169927</v>
      </c>
    </row>
    <row r="128" spans="1:7" ht="11.25" customHeight="1" x14ac:dyDescent="0.2">
      <c r="A128" s="25" t="s">
        <v>25</v>
      </c>
      <c r="B128" s="17">
        <v>2295907.4099999997</v>
      </c>
      <c r="C128" s="17">
        <v>1201066.1327000002</v>
      </c>
      <c r="D128" s="17">
        <v>1619760.0755629546</v>
      </c>
      <c r="E128" s="17">
        <v>1527526.0808540378</v>
      </c>
      <c r="F128" s="17">
        <v>3496973.5427000001</v>
      </c>
      <c r="G128" s="17">
        <v>3147286.1564169927</v>
      </c>
    </row>
    <row r="129" spans="1:7" ht="11.25" customHeight="1" x14ac:dyDescent="0.2">
      <c r="A129" s="26" t="s">
        <v>34</v>
      </c>
      <c r="B129" s="17">
        <v>648782.41999999993</v>
      </c>
      <c r="C129" s="17">
        <v>0</v>
      </c>
      <c r="D129" s="17">
        <v>463226.82592107134</v>
      </c>
      <c r="E129" s="17">
        <v>0</v>
      </c>
      <c r="F129" s="17">
        <v>648782.41999999993</v>
      </c>
      <c r="G129" s="17">
        <v>463226.82592107134</v>
      </c>
    </row>
    <row r="130" spans="1:7" ht="11.25" customHeight="1" x14ac:dyDescent="0.2">
      <c r="A130" s="27">
        <v>44378</v>
      </c>
      <c r="B130" s="17">
        <v>53054.299999999996</v>
      </c>
      <c r="C130" s="17">
        <v>0</v>
      </c>
      <c r="D130" s="17">
        <v>37880.4576586158</v>
      </c>
      <c r="E130" s="17">
        <v>0</v>
      </c>
      <c r="F130" s="17">
        <v>53054.299999999996</v>
      </c>
      <c r="G130" s="17">
        <v>37880.4576586158</v>
      </c>
    </row>
    <row r="131" spans="1:7" ht="11.25" customHeight="1" x14ac:dyDescent="0.2">
      <c r="A131" s="27">
        <v>44409</v>
      </c>
      <c r="B131" s="17">
        <v>53660.359999999993</v>
      </c>
      <c r="C131" s="17">
        <v>0</v>
      </c>
      <c r="D131" s="17">
        <v>38313.180928333437</v>
      </c>
      <c r="E131" s="17">
        <v>0</v>
      </c>
      <c r="F131" s="17">
        <v>53660.359999999993</v>
      </c>
      <c r="G131" s="17">
        <v>38313.180928333437</v>
      </c>
    </row>
    <row r="132" spans="1:7" ht="11.25" customHeight="1" x14ac:dyDescent="0.2">
      <c r="A132" s="27">
        <v>44440</v>
      </c>
      <c r="B132" s="17">
        <v>53390.999999999993</v>
      </c>
      <c r="C132" s="17">
        <v>0</v>
      </c>
      <c r="D132" s="17">
        <v>38120.859475125602</v>
      </c>
      <c r="E132" s="17">
        <v>0</v>
      </c>
      <c r="F132" s="17">
        <v>53390.999999999993</v>
      </c>
      <c r="G132" s="17">
        <v>38120.859475125602</v>
      </c>
    </row>
    <row r="133" spans="1:7" ht="11.25" customHeight="1" x14ac:dyDescent="0.2">
      <c r="A133" s="27">
        <v>44470</v>
      </c>
      <c r="B133" s="17">
        <v>53583.399999999994</v>
      </c>
      <c r="C133" s="17">
        <v>0</v>
      </c>
      <c r="D133" s="17">
        <v>38258.23194170263</v>
      </c>
      <c r="E133" s="17">
        <v>0</v>
      </c>
      <c r="F133" s="17">
        <v>53583.399999999994</v>
      </c>
      <c r="G133" s="17">
        <v>38258.23194170263</v>
      </c>
    </row>
    <row r="134" spans="1:7" ht="11.25" customHeight="1" x14ac:dyDescent="0.2">
      <c r="A134" s="27">
        <v>44501</v>
      </c>
      <c r="B134" s="17">
        <v>54016.299999999996</v>
      </c>
      <c r="C134" s="17">
        <v>0</v>
      </c>
      <c r="D134" s="17">
        <v>38567.319991500946</v>
      </c>
      <c r="E134" s="17">
        <v>0</v>
      </c>
      <c r="F134" s="17">
        <v>54016.299999999996</v>
      </c>
      <c r="G134" s="17">
        <v>38567.319991500946</v>
      </c>
    </row>
    <row r="135" spans="1:7" ht="11.25" customHeight="1" x14ac:dyDescent="0.2">
      <c r="A135" s="27">
        <v>44531</v>
      </c>
      <c r="B135" s="17">
        <v>54333.759999999995</v>
      </c>
      <c r="C135" s="17">
        <v>0</v>
      </c>
      <c r="D135" s="17">
        <v>38793.984561353041</v>
      </c>
      <c r="E135" s="17">
        <v>0</v>
      </c>
      <c r="F135" s="17">
        <v>54333.759999999995</v>
      </c>
      <c r="G135" s="17">
        <v>38793.984561353041</v>
      </c>
    </row>
    <row r="136" spans="1:7" ht="11.25" customHeight="1" x14ac:dyDescent="0.2">
      <c r="A136" s="27">
        <v>44562</v>
      </c>
      <c r="B136" s="17">
        <v>54987.92</v>
      </c>
      <c r="C136" s="17">
        <v>0</v>
      </c>
      <c r="D136" s="17">
        <v>39261.050947714939</v>
      </c>
      <c r="E136" s="17">
        <v>0</v>
      </c>
      <c r="F136" s="17">
        <v>54987.92</v>
      </c>
      <c r="G136" s="17">
        <v>39261.050947714939</v>
      </c>
    </row>
    <row r="137" spans="1:7" ht="11.25" customHeight="1" x14ac:dyDescent="0.2">
      <c r="A137" s="27">
        <v>44593</v>
      </c>
      <c r="B137" s="17">
        <v>54256.799999999996</v>
      </c>
      <c r="C137" s="17">
        <v>0</v>
      </c>
      <c r="D137" s="17">
        <v>38739.035574722227</v>
      </c>
      <c r="E137" s="17">
        <v>0</v>
      </c>
      <c r="F137" s="17">
        <v>54256.799999999996</v>
      </c>
      <c r="G137" s="17">
        <v>38739.035574722227</v>
      </c>
    </row>
    <row r="138" spans="1:7" ht="11.25" customHeight="1" x14ac:dyDescent="0.2">
      <c r="A138" s="27">
        <v>44621</v>
      </c>
      <c r="B138" s="17">
        <v>54285.659999999996</v>
      </c>
      <c r="C138" s="17">
        <v>0</v>
      </c>
      <c r="D138" s="17">
        <v>38759.641444708788</v>
      </c>
      <c r="E138" s="17">
        <v>0</v>
      </c>
      <c r="F138" s="17">
        <v>54285.659999999996</v>
      </c>
      <c r="G138" s="17">
        <v>38759.641444708788</v>
      </c>
    </row>
    <row r="139" spans="1:7" ht="11.25" customHeight="1" x14ac:dyDescent="0.2">
      <c r="A139" s="27">
        <v>44652</v>
      </c>
      <c r="B139" s="17">
        <v>54045.159999999996</v>
      </c>
      <c r="C139" s="17">
        <v>0</v>
      </c>
      <c r="D139" s="17">
        <v>38587.9258614875</v>
      </c>
      <c r="E139" s="17">
        <v>0</v>
      </c>
      <c r="F139" s="17">
        <v>54045.159999999996</v>
      </c>
      <c r="G139" s="17">
        <v>38587.9258614875</v>
      </c>
    </row>
    <row r="140" spans="1:7" ht="11.25" customHeight="1" x14ac:dyDescent="0.2">
      <c r="A140" s="27">
        <v>44682</v>
      </c>
      <c r="B140" s="17">
        <v>54583.88</v>
      </c>
      <c r="C140" s="17">
        <v>0</v>
      </c>
      <c r="D140" s="17">
        <v>38972.568767903183</v>
      </c>
      <c r="E140" s="17">
        <v>0</v>
      </c>
      <c r="F140" s="17">
        <v>54583.88</v>
      </c>
      <c r="G140" s="17">
        <v>38972.568767903183</v>
      </c>
    </row>
    <row r="141" spans="1:7" ht="11.25" customHeight="1" x14ac:dyDescent="0.2">
      <c r="A141" s="27">
        <v>44713</v>
      </c>
      <c r="B141" s="17">
        <v>54583.88</v>
      </c>
      <c r="C141" s="17">
        <v>0</v>
      </c>
      <c r="D141" s="17">
        <v>38972.568767903183</v>
      </c>
      <c r="E141" s="17">
        <v>0</v>
      </c>
      <c r="F141" s="17">
        <v>54583.88</v>
      </c>
      <c r="G141" s="17">
        <v>38972.568767903183</v>
      </c>
    </row>
    <row r="142" spans="1:7" ht="11.25" customHeight="1" x14ac:dyDescent="0.2">
      <c r="A142" s="26" t="s">
        <v>25</v>
      </c>
      <c r="B142" s="17">
        <v>0</v>
      </c>
      <c r="C142" s="17">
        <v>1201066.1327000002</v>
      </c>
      <c r="D142" s="17">
        <v>0</v>
      </c>
      <c r="E142" s="17">
        <v>1527526.0808540378</v>
      </c>
      <c r="F142" s="17">
        <v>1201066.1327000002</v>
      </c>
      <c r="G142" s="17">
        <v>1527526.0808540378</v>
      </c>
    </row>
    <row r="143" spans="1:7" ht="11.25" customHeight="1" x14ac:dyDescent="0.2">
      <c r="A143" s="27">
        <v>44378</v>
      </c>
      <c r="B143" s="17">
        <v>0</v>
      </c>
      <c r="C143" s="17">
        <v>99423.470579999994</v>
      </c>
      <c r="D143" s="17">
        <v>0</v>
      </c>
      <c r="E143" s="17">
        <v>126447.61202163414</v>
      </c>
      <c r="F143" s="17">
        <v>99423.470579999994</v>
      </c>
      <c r="G143" s="17">
        <v>126447.61202163414</v>
      </c>
    </row>
    <row r="144" spans="1:7" ht="11.25" customHeight="1" x14ac:dyDescent="0.2">
      <c r="A144" s="27">
        <v>44409</v>
      </c>
      <c r="B144" s="17">
        <v>0</v>
      </c>
      <c r="C144" s="17">
        <v>102202.7629</v>
      </c>
      <c r="D144" s="17">
        <v>0</v>
      </c>
      <c r="E144" s="17">
        <v>129982.33953540857</v>
      </c>
      <c r="F144" s="17">
        <v>102202.7629</v>
      </c>
      <c r="G144" s="17">
        <v>129982.33953540857</v>
      </c>
    </row>
    <row r="145" spans="1:7" ht="11.25" customHeight="1" x14ac:dyDescent="0.2">
      <c r="A145" s="27">
        <v>44440</v>
      </c>
      <c r="B145" s="17">
        <v>0</v>
      </c>
      <c r="C145" s="17">
        <v>100208.10688000001</v>
      </c>
      <c r="D145" s="17">
        <v>0</v>
      </c>
      <c r="E145" s="17">
        <v>127445.51911401087</v>
      </c>
      <c r="F145" s="17">
        <v>100208.10688000001</v>
      </c>
      <c r="G145" s="17">
        <v>127445.51911401087</v>
      </c>
    </row>
    <row r="146" spans="1:7" ht="11.25" customHeight="1" x14ac:dyDescent="0.2">
      <c r="A146" s="27">
        <v>44470</v>
      </c>
      <c r="B146" s="17">
        <v>0</v>
      </c>
      <c r="C146" s="17">
        <v>98124.621140000017</v>
      </c>
      <c r="D146" s="17">
        <v>0</v>
      </c>
      <c r="E146" s="17">
        <v>124795.72430231053</v>
      </c>
      <c r="F146" s="17">
        <v>98124.621140000017</v>
      </c>
      <c r="G146" s="17">
        <v>124795.72430231053</v>
      </c>
    </row>
    <row r="147" spans="1:7" ht="11.25" customHeight="1" x14ac:dyDescent="0.2">
      <c r="A147" s="27">
        <v>44501</v>
      </c>
      <c r="B147" s="17">
        <v>0</v>
      </c>
      <c r="C147" s="17">
        <v>98100.977800000008</v>
      </c>
      <c r="D147" s="17">
        <v>0</v>
      </c>
      <c r="E147" s="17">
        <v>124765.65450223438</v>
      </c>
      <c r="F147" s="17">
        <v>98100.977800000008</v>
      </c>
      <c r="G147" s="17">
        <v>124765.65450223438</v>
      </c>
    </row>
    <row r="148" spans="1:7" ht="11.25" customHeight="1" x14ac:dyDescent="0.2">
      <c r="A148" s="27">
        <v>44531</v>
      </c>
      <c r="B148" s="17">
        <v>0</v>
      </c>
      <c r="C148" s="17">
        <v>109696.36412000001</v>
      </c>
      <c r="D148" s="17">
        <v>0</v>
      </c>
      <c r="E148" s="17">
        <v>139512.76503940433</v>
      </c>
      <c r="F148" s="17">
        <v>109696.36412000001</v>
      </c>
      <c r="G148" s="17">
        <v>139512.76503940433</v>
      </c>
    </row>
    <row r="149" spans="1:7" ht="11.25" customHeight="1" x14ac:dyDescent="0.2">
      <c r="A149" s="27">
        <v>44562</v>
      </c>
      <c r="B149" s="17">
        <v>0</v>
      </c>
      <c r="C149" s="17">
        <v>110179.7347</v>
      </c>
      <c r="D149" s="17">
        <v>0</v>
      </c>
      <c r="E149" s="17">
        <v>140127.51983730018</v>
      </c>
      <c r="F149" s="17">
        <v>110179.7347</v>
      </c>
      <c r="G149" s="17">
        <v>140127.51983730018</v>
      </c>
    </row>
    <row r="150" spans="1:7" ht="11.25" customHeight="1" x14ac:dyDescent="0.2">
      <c r="A150" s="27">
        <v>44593</v>
      </c>
      <c r="B150" s="17">
        <v>0</v>
      </c>
      <c r="C150" s="17">
        <v>97450.962980000011</v>
      </c>
      <c r="D150" s="17">
        <v>0</v>
      </c>
      <c r="E150" s="17">
        <v>123938.96014839428</v>
      </c>
      <c r="F150" s="17">
        <v>97450.962980000011</v>
      </c>
      <c r="G150" s="17">
        <v>123938.96014839428</v>
      </c>
    </row>
    <row r="151" spans="1:7" ht="11.25" customHeight="1" x14ac:dyDescent="0.2">
      <c r="A151" s="27">
        <v>44621</v>
      </c>
      <c r="B151" s="17">
        <v>0</v>
      </c>
      <c r="C151" s="17">
        <v>106861.60240000002</v>
      </c>
      <c r="D151" s="17">
        <v>0</v>
      </c>
      <c r="E151" s="17">
        <v>135907.49107287228</v>
      </c>
      <c r="F151" s="17">
        <v>106861.60240000002</v>
      </c>
      <c r="G151" s="17">
        <v>135907.49107287228</v>
      </c>
    </row>
    <row r="152" spans="1:7" ht="11.25" customHeight="1" x14ac:dyDescent="0.2">
      <c r="A152" s="27">
        <v>44652</v>
      </c>
      <c r="B152" s="17">
        <v>0</v>
      </c>
      <c r="C152" s="17">
        <v>92737.676920000013</v>
      </c>
      <c r="D152" s="17">
        <v>0</v>
      </c>
      <c r="E152" s="17">
        <v>117944.56301474862</v>
      </c>
      <c r="F152" s="17">
        <v>92737.676920000013</v>
      </c>
      <c r="G152" s="17">
        <v>117944.56301474862</v>
      </c>
    </row>
    <row r="153" spans="1:7" ht="11.25" customHeight="1" x14ac:dyDescent="0.2">
      <c r="A153" s="27">
        <v>44682</v>
      </c>
      <c r="B153" s="17">
        <v>0</v>
      </c>
      <c r="C153" s="17">
        <v>93039.92614000001</v>
      </c>
      <c r="D153" s="17">
        <v>0</v>
      </c>
      <c r="E153" s="17">
        <v>118328.96613285995</v>
      </c>
      <c r="F153" s="17">
        <v>93039.92614000001</v>
      </c>
      <c r="G153" s="17">
        <v>118328.96613285995</v>
      </c>
    </row>
    <row r="154" spans="1:7" ht="11.25" customHeight="1" x14ac:dyDescent="0.2">
      <c r="A154" s="27">
        <v>44713</v>
      </c>
      <c r="B154" s="17">
        <v>0</v>
      </c>
      <c r="C154" s="17">
        <v>93039.92614000001</v>
      </c>
      <c r="D154" s="17">
        <v>0</v>
      </c>
      <c r="E154" s="17">
        <v>118328.96613285995</v>
      </c>
      <c r="F154" s="17">
        <v>93039.92614000001</v>
      </c>
      <c r="G154" s="17">
        <v>118328.96613285995</v>
      </c>
    </row>
    <row r="155" spans="1:7" ht="11.25" customHeight="1" x14ac:dyDescent="0.2">
      <c r="A155" s="26" t="s">
        <v>33</v>
      </c>
      <c r="B155" s="17">
        <v>1647124.9900000002</v>
      </c>
      <c r="C155" s="17">
        <v>0</v>
      </c>
      <c r="D155" s="17">
        <v>1156533.2496418834</v>
      </c>
      <c r="E155" s="17">
        <v>0</v>
      </c>
      <c r="F155" s="17">
        <v>1647124.9900000002</v>
      </c>
      <c r="G155" s="17">
        <v>1156533.2496418834</v>
      </c>
    </row>
    <row r="156" spans="1:7" ht="11.25" customHeight="1" x14ac:dyDescent="0.2">
      <c r="A156" s="27">
        <v>44378</v>
      </c>
      <c r="B156" s="17">
        <v>134488.56</v>
      </c>
      <c r="C156" s="17">
        <v>0</v>
      </c>
      <c r="D156" s="17">
        <v>94431.504761795542</v>
      </c>
      <c r="E156" s="17">
        <v>0</v>
      </c>
      <c r="F156" s="17">
        <v>134488.56</v>
      </c>
      <c r="G156" s="17">
        <v>94431.504761795542</v>
      </c>
    </row>
    <row r="157" spans="1:7" ht="11.25" customHeight="1" x14ac:dyDescent="0.2">
      <c r="A157" s="27">
        <v>44409</v>
      </c>
      <c r="B157" s="17">
        <v>135876.63</v>
      </c>
      <c r="C157" s="17">
        <v>0</v>
      </c>
      <c r="D157" s="17">
        <v>95406.141852226909</v>
      </c>
      <c r="E157" s="17">
        <v>0</v>
      </c>
      <c r="F157" s="17">
        <v>135876.63</v>
      </c>
      <c r="G157" s="17">
        <v>95406.141852226909</v>
      </c>
    </row>
    <row r="158" spans="1:7" ht="11.25" customHeight="1" x14ac:dyDescent="0.2">
      <c r="A158" s="27">
        <v>44440</v>
      </c>
      <c r="B158" s="17">
        <v>136005.155</v>
      </c>
      <c r="C158" s="17">
        <v>0</v>
      </c>
      <c r="D158" s="17">
        <v>95496.386027266853</v>
      </c>
      <c r="E158" s="17">
        <v>0</v>
      </c>
      <c r="F158" s="17">
        <v>136005.155</v>
      </c>
      <c r="G158" s="17">
        <v>95496.386027266853</v>
      </c>
    </row>
    <row r="159" spans="1:7" ht="11.25" customHeight="1" x14ac:dyDescent="0.2">
      <c r="A159" s="27">
        <v>44470</v>
      </c>
      <c r="B159" s="17">
        <v>136493.54999999999</v>
      </c>
      <c r="C159" s="17">
        <v>0</v>
      </c>
      <c r="D159" s="17">
        <v>95839.313892418635</v>
      </c>
      <c r="E159" s="17">
        <v>0</v>
      </c>
      <c r="F159" s="17">
        <v>136493.54999999999</v>
      </c>
      <c r="G159" s="17">
        <v>95839.313892418635</v>
      </c>
    </row>
    <row r="160" spans="1:7" ht="11.25" customHeight="1" x14ac:dyDescent="0.2">
      <c r="A160" s="27">
        <v>44501</v>
      </c>
      <c r="B160" s="17">
        <v>136544.95999999999</v>
      </c>
      <c r="C160" s="17">
        <v>0</v>
      </c>
      <c r="D160" s="17">
        <v>95875.411562434616</v>
      </c>
      <c r="E160" s="17">
        <v>0</v>
      </c>
      <c r="F160" s="17">
        <v>136544.95999999999</v>
      </c>
      <c r="G160" s="17">
        <v>95875.411562434616</v>
      </c>
    </row>
    <row r="161" spans="1:7" ht="11.25" customHeight="1" x14ac:dyDescent="0.2">
      <c r="A161" s="27">
        <v>44531</v>
      </c>
      <c r="B161" s="17">
        <v>137701.685</v>
      </c>
      <c r="C161" s="17">
        <v>0</v>
      </c>
      <c r="D161" s="17">
        <v>96687.60913779409</v>
      </c>
      <c r="E161" s="17">
        <v>0</v>
      </c>
      <c r="F161" s="17">
        <v>137701.685</v>
      </c>
      <c r="G161" s="17">
        <v>96687.60913779409</v>
      </c>
    </row>
    <row r="162" spans="1:7" ht="11.25" customHeight="1" x14ac:dyDescent="0.2">
      <c r="A162" s="27">
        <v>44562</v>
      </c>
      <c r="B162" s="17">
        <v>138961.22999999998</v>
      </c>
      <c r="C162" s="17">
        <v>0</v>
      </c>
      <c r="D162" s="17">
        <v>97572.002053185526</v>
      </c>
      <c r="E162" s="17">
        <v>0</v>
      </c>
      <c r="F162" s="17">
        <v>138961.22999999998</v>
      </c>
      <c r="G162" s="17">
        <v>97572.002053185526</v>
      </c>
    </row>
    <row r="163" spans="1:7" ht="11.25" customHeight="1" x14ac:dyDescent="0.2">
      <c r="A163" s="27">
        <v>44593</v>
      </c>
      <c r="B163" s="17">
        <v>138472.83499999999</v>
      </c>
      <c r="C163" s="17">
        <v>0</v>
      </c>
      <c r="D163" s="17">
        <v>97229.074188033745</v>
      </c>
      <c r="E163" s="17">
        <v>0</v>
      </c>
      <c r="F163" s="17">
        <v>138472.83499999999</v>
      </c>
      <c r="G163" s="17">
        <v>97229.074188033745</v>
      </c>
    </row>
    <row r="164" spans="1:7" ht="11.25" customHeight="1" x14ac:dyDescent="0.2">
      <c r="A164" s="27">
        <v>44621</v>
      </c>
      <c r="B164" s="17">
        <v>138678.47499999998</v>
      </c>
      <c r="C164" s="17">
        <v>0</v>
      </c>
      <c r="D164" s="17">
        <v>97373.464868097653</v>
      </c>
      <c r="E164" s="17">
        <v>0</v>
      </c>
      <c r="F164" s="17">
        <v>138678.47499999998</v>
      </c>
      <c r="G164" s="17">
        <v>97373.464868097653</v>
      </c>
    </row>
    <row r="165" spans="1:7" ht="11.25" customHeight="1" x14ac:dyDescent="0.2">
      <c r="A165" s="27">
        <v>44652</v>
      </c>
      <c r="B165" s="17">
        <v>137059.06</v>
      </c>
      <c r="C165" s="17">
        <v>0</v>
      </c>
      <c r="D165" s="17">
        <v>96236.388262594381</v>
      </c>
      <c r="E165" s="17">
        <v>0</v>
      </c>
      <c r="F165" s="17">
        <v>137059.06</v>
      </c>
      <c r="G165" s="17">
        <v>96236.388262594381</v>
      </c>
    </row>
    <row r="166" spans="1:7" ht="11.25" customHeight="1" x14ac:dyDescent="0.2">
      <c r="A166" s="27">
        <v>44682</v>
      </c>
      <c r="B166" s="17">
        <v>138421.42499999999</v>
      </c>
      <c r="C166" s="17">
        <v>0</v>
      </c>
      <c r="D166" s="17">
        <v>97192.976518017778</v>
      </c>
      <c r="E166" s="17">
        <v>0</v>
      </c>
      <c r="F166" s="17">
        <v>138421.42499999999</v>
      </c>
      <c r="G166" s="17">
        <v>97192.976518017778</v>
      </c>
    </row>
    <row r="167" spans="1:7" ht="11.25" customHeight="1" x14ac:dyDescent="0.2">
      <c r="A167" s="27">
        <v>44713</v>
      </c>
      <c r="B167" s="17">
        <v>138421.42499999999</v>
      </c>
      <c r="C167" s="17">
        <v>0</v>
      </c>
      <c r="D167" s="17">
        <v>97192.976518017778</v>
      </c>
      <c r="E167" s="17">
        <v>0</v>
      </c>
      <c r="F167" s="17">
        <v>138421.42499999999</v>
      </c>
      <c r="G167" s="17">
        <v>97192.976518017778</v>
      </c>
    </row>
    <row r="168" spans="1:7" ht="11.25" customHeight="1" x14ac:dyDescent="0.2">
      <c r="A168" s="21" t="s">
        <v>40</v>
      </c>
      <c r="B168" s="17">
        <v>1035792.193644</v>
      </c>
      <c r="C168" s="17">
        <v>3072317.9356826497</v>
      </c>
      <c r="D168" s="17">
        <v>739549.52443923149</v>
      </c>
      <c r="E168" s="17">
        <v>2831615.6489472301</v>
      </c>
      <c r="F168" s="17">
        <v>4108110.1293266499</v>
      </c>
      <c r="G168" s="17">
        <v>3571165.1733864616</v>
      </c>
    </row>
    <row r="169" spans="1:7" ht="11.25" customHeight="1" x14ac:dyDescent="0.2">
      <c r="A169" s="22" t="s">
        <v>37</v>
      </c>
      <c r="B169" s="17">
        <v>1035792.193644</v>
      </c>
      <c r="C169" s="17">
        <v>3072317.9356826497</v>
      </c>
      <c r="D169" s="17">
        <v>739549.52443923149</v>
      </c>
      <c r="E169" s="17">
        <v>2831615.6489472301</v>
      </c>
      <c r="F169" s="17">
        <v>4108110.1293266499</v>
      </c>
      <c r="G169" s="17">
        <v>3571165.1733864616</v>
      </c>
    </row>
    <row r="170" spans="1:7" ht="11.25" customHeight="1" x14ac:dyDescent="0.2">
      <c r="A170" s="23" t="s">
        <v>25</v>
      </c>
      <c r="B170" s="17">
        <v>1035792.193644</v>
      </c>
      <c r="C170" s="17">
        <v>3072317.9356826497</v>
      </c>
      <c r="D170" s="17">
        <v>739549.52443923149</v>
      </c>
      <c r="E170" s="17">
        <v>2831615.6489472301</v>
      </c>
      <c r="F170" s="17">
        <v>4108110.1293266499</v>
      </c>
      <c r="G170" s="17">
        <v>3571165.1733864616</v>
      </c>
    </row>
    <row r="171" spans="1:7" ht="11.25" customHeight="1" x14ac:dyDescent="0.2">
      <c r="A171" s="24" t="s">
        <v>57</v>
      </c>
      <c r="B171" s="17">
        <v>1035792.193644</v>
      </c>
      <c r="C171" s="17">
        <v>3072317.9356826497</v>
      </c>
      <c r="D171" s="17">
        <v>739549.52443923149</v>
      </c>
      <c r="E171" s="17">
        <v>2831615.6489472301</v>
      </c>
      <c r="F171" s="17">
        <v>4108110.1293266499</v>
      </c>
      <c r="G171" s="17">
        <v>3571165.1733864616</v>
      </c>
    </row>
    <row r="172" spans="1:7" ht="11.25" customHeight="1" x14ac:dyDescent="0.2">
      <c r="A172" s="25" t="s">
        <v>25</v>
      </c>
      <c r="B172" s="17">
        <v>1035792.193644</v>
      </c>
      <c r="C172" s="17">
        <v>3072317.9356826497</v>
      </c>
      <c r="D172" s="17">
        <v>739549.52443923149</v>
      </c>
      <c r="E172" s="17">
        <v>2831615.6489472301</v>
      </c>
      <c r="F172" s="17">
        <v>4108110.1293266499</v>
      </c>
      <c r="G172" s="17">
        <v>3571165.1733864616</v>
      </c>
    </row>
    <row r="173" spans="1:7" ht="11.25" customHeight="1" x14ac:dyDescent="0.2">
      <c r="A173" s="26" t="s">
        <v>34</v>
      </c>
      <c r="B173" s="17">
        <v>0</v>
      </c>
      <c r="C173" s="17">
        <v>1074402.5297216121</v>
      </c>
      <c r="D173" s="17">
        <v>0</v>
      </c>
      <c r="E173" s="17">
        <v>1366434.2377184059</v>
      </c>
      <c r="F173" s="17">
        <v>1074402.5297216121</v>
      </c>
      <c r="G173" s="17">
        <v>1366434.2377184059</v>
      </c>
    </row>
    <row r="174" spans="1:7" ht="11.25" customHeight="1" x14ac:dyDescent="0.2">
      <c r="A174" s="27">
        <v>44378</v>
      </c>
      <c r="B174" s="17">
        <v>0</v>
      </c>
      <c r="C174" s="17">
        <v>86455.15419315602</v>
      </c>
      <c r="D174" s="17">
        <v>0</v>
      </c>
      <c r="E174" s="17">
        <v>109954.39739644168</v>
      </c>
      <c r="F174" s="17">
        <v>86455.15419315602</v>
      </c>
      <c r="G174" s="17">
        <v>109954.39739644168</v>
      </c>
    </row>
    <row r="175" spans="1:7" ht="11.25" customHeight="1" x14ac:dyDescent="0.2">
      <c r="A175" s="27">
        <v>44409</v>
      </c>
      <c r="B175" s="17">
        <v>0</v>
      </c>
      <c r="C175" s="17">
        <v>88822.093618412022</v>
      </c>
      <c r="D175" s="17">
        <v>0</v>
      </c>
      <c r="E175" s="17">
        <v>112964.69100596376</v>
      </c>
      <c r="F175" s="17">
        <v>88822.093618412022</v>
      </c>
      <c r="G175" s="17">
        <v>112964.69100596376</v>
      </c>
    </row>
    <row r="176" spans="1:7" ht="11.25" customHeight="1" x14ac:dyDescent="0.2">
      <c r="A176" s="27">
        <v>44440</v>
      </c>
      <c r="B176" s="17">
        <v>0</v>
      </c>
      <c r="C176" s="17">
        <v>84463.077319292017</v>
      </c>
      <c r="D176" s="17">
        <v>0</v>
      </c>
      <c r="E176" s="17">
        <v>107420.85715494565</v>
      </c>
      <c r="F176" s="17">
        <v>84463.077319292017</v>
      </c>
      <c r="G176" s="17">
        <v>107420.85715494565</v>
      </c>
    </row>
    <row r="177" spans="1:7" ht="11.25" customHeight="1" x14ac:dyDescent="0.2">
      <c r="A177" s="27">
        <v>44470</v>
      </c>
      <c r="B177" s="17">
        <v>0</v>
      </c>
      <c r="C177" s="17">
        <v>81984.95160609603</v>
      </c>
      <c r="D177" s="17">
        <v>0</v>
      </c>
      <c r="E177" s="17">
        <v>104269.15588264994</v>
      </c>
      <c r="F177" s="17">
        <v>81984.95160609603</v>
      </c>
      <c r="G177" s="17">
        <v>104269.15588264994</v>
      </c>
    </row>
    <row r="178" spans="1:7" ht="11.25" customHeight="1" x14ac:dyDescent="0.2">
      <c r="A178" s="27">
        <v>44501</v>
      </c>
      <c r="B178" s="17">
        <v>0</v>
      </c>
      <c r="C178" s="17">
        <v>93806.525049999997</v>
      </c>
      <c r="D178" s="17">
        <v>0</v>
      </c>
      <c r="E178" s="17">
        <v>119303.93311985412</v>
      </c>
      <c r="F178" s="17">
        <v>93806.525049999997</v>
      </c>
      <c r="G178" s="17">
        <v>119303.93311985412</v>
      </c>
    </row>
    <row r="179" spans="1:7" ht="11.25" customHeight="1" x14ac:dyDescent="0.2">
      <c r="A179" s="27">
        <v>44531</v>
      </c>
      <c r="B179" s="17">
        <v>0</v>
      </c>
      <c r="C179" s="17">
        <v>82348.557858364002</v>
      </c>
      <c r="D179" s="17">
        <v>0</v>
      </c>
      <c r="E179" s="17">
        <v>104731.59339410684</v>
      </c>
      <c r="F179" s="17">
        <v>82348.557858364002</v>
      </c>
      <c r="G179" s="17">
        <v>104731.59339410684</v>
      </c>
    </row>
    <row r="180" spans="1:7" ht="11.25" customHeight="1" x14ac:dyDescent="0.2">
      <c r="A180" s="27">
        <v>44562</v>
      </c>
      <c r="B180" s="17">
        <v>0</v>
      </c>
      <c r="C180" s="17">
        <v>78291.068016895995</v>
      </c>
      <c r="D180" s="17">
        <v>0</v>
      </c>
      <c r="E180" s="17">
        <v>99571.243445923916</v>
      </c>
      <c r="F180" s="17">
        <v>78291.068016895995</v>
      </c>
      <c r="G180" s="17">
        <v>99571.243445923916</v>
      </c>
    </row>
    <row r="181" spans="1:7" ht="11.25" customHeight="1" x14ac:dyDescent="0.2">
      <c r="A181" s="27">
        <v>44593</v>
      </c>
      <c r="B181" s="17">
        <v>0</v>
      </c>
      <c r="C181" s="17">
        <v>89272.286840884015</v>
      </c>
      <c r="D181" s="17">
        <v>0</v>
      </c>
      <c r="E181" s="17">
        <v>113537.2505595362</v>
      </c>
      <c r="F181" s="17">
        <v>89272.286840884015</v>
      </c>
      <c r="G181" s="17">
        <v>113537.2505595362</v>
      </c>
    </row>
    <row r="182" spans="1:7" ht="11.25" customHeight="1" x14ac:dyDescent="0.2">
      <c r="A182" s="27">
        <v>44621</v>
      </c>
      <c r="B182" s="17">
        <v>0</v>
      </c>
      <c r="C182" s="17">
        <v>106177.15582723198</v>
      </c>
      <c r="D182" s="17">
        <v>0</v>
      </c>
      <c r="E182" s="17">
        <v>135037.00612421753</v>
      </c>
      <c r="F182" s="17">
        <v>106177.15582723198</v>
      </c>
      <c r="G182" s="17">
        <v>135037.00612421753</v>
      </c>
    </row>
    <row r="183" spans="1:7" ht="11.25" customHeight="1" x14ac:dyDescent="0.2">
      <c r="A183" s="27">
        <v>44652</v>
      </c>
      <c r="B183" s="17">
        <v>0</v>
      </c>
      <c r="C183" s="17">
        <v>87527.835683568002</v>
      </c>
      <c r="D183" s="17">
        <v>0</v>
      </c>
      <c r="E183" s="17">
        <v>111318.64280178853</v>
      </c>
      <c r="F183" s="17">
        <v>87527.835683568002</v>
      </c>
      <c r="G183" s="17">
        <v>111318.64280178853</v>
      </c>
    </row>
    <row r="184" spans="1:7" ht="11.25" customHeight="1" x14ac:dyDescent="0.2">
      <c r="A184" s="27">
        <v>44682</v>
      </c>
      <c r="B184" s="17">
        <v>0</v>
      </c>
      <c r="C184" s="17">
        <v>97626.911853856014</v>
      </c>
      <c r="D184" s="17">
        <v>0</v>
      </c>
      <c r="E184" s="17">
        <v>124162.73341648883</v>
      </c>
      <c r="F184" s="17">
        <v>97626.911853856014</v>
      </c>
      <c r="G184" s="17">
        <v>124162.73341648883</v>
      </c>
    </row>
    <row r="185" spans="1:7" ht="11.25" customHeight="1" x14ac:dyDescent="0.2">
      <c r="A185" s="27">
        <v>44713</v>
      </c>
      <c r="B185" s="17">
        <v>0</v>
      </c>
      <c r="C185" s="17">
        <v>97626.911853856014</v>
      </c>
      <c r="D185" s="17">
        <v>0</v>
      </c>
      <c r="E185" s="17">
        <v>124162.73341648883</v>
      </c>
      <c r="F185" s="17">
        <v>97626.911853856014</v>
      </c>
      <c r="G185" s="17">
        <v>124162.73341648883</v>
      </c>
    </row>
    <row r="186" spans="1:7" ht="11.25" customHeight="1" x14ac:dyDescent="0.2">
      <c r="A186" s="26" t="s">
        <v>25</v>
      </c>
      <c r="B186" s="17">
        <v>1035792.193644</v>
      </c>
      <c r="C186" s="17">
        <v>0</v>
      </c>
      <c r="D186" s="17">
        <v>739549.52443923149</v>
      </c>
      <c r="E186" s="17">
        <v>0</v>
      </c>
      <c r="F186" s="17">
        <v>1035792.193644</v>
      </c>
      <c r="G186" s="17">
        <v>739549.52443923149</v>
      </c>
    </row>
    <row r="187" spans="1:7" ht="11.25" customHeight="1" x14ac:dyDescent="0.2">
      <c r="A187" s="27">
        <v>44378</v>
      </c>
      <c r="B187" s="17">
        <v>84001.849619999994</v>
      </c>
      <c r="C187" s="17">
        <v>0</v>
      </c>
      <c r="D187" s="17">
        <v>59976.82577615427</v>
      </c>
      <c r="E187" s="17">
        <v>0</v>
      </c>
      <c r="F187" s="17">
        <v>84001.849619999994</v>
      </c>
      <c r="G187" s="17">
        <v>59976.82577615427</v>
      </c>
    </row>
    <row r="188" spans="1:7" ht="11.25" customHeight="1" x14ac:dyDescent="0.2">
      <c r="A188" s="27">
        <v>44409</v>
      </c>
      <c r="B188" s="17">
        <v>82026.655828000003</v>
      </c>
      <c r="C188" s="17">
        <v>0</v>
      </c>
      <c r="D188" s="17">
        <v>58566.549044477171</v>
      </c>
      <c r="E188" s="17">
        <v>0</v>
      </c>
      <c r="F188" s="17">
        <v>82026.655828000003</v>
      </c>
      <c r="G188" s="17">
        <v>58566.549044477171</v>
      </c>
    </row>
    <row r="189" spans="1:7" ht="11.25" customHeight="1" x14ac:dyDescent="0.2">
      <c r="A189" s="27">
        <v>44440</v>
      </c>
      <c r="B189" s="17">
        <v>82599.013119999989</v>
      </c>
      <c r="C189" s="17">
        <v>0</v>
      </c>
      <c r="D189" s="17">
        <v>58975.208779224507</v>
      </c>
      <c r="E189" s="17">
        <v>0</v>
      </c>
      <c r="F189" s="17">
        <v>82599.013119999989</v>
      </c>
      <c r="G189" s="17">
        <v>58975.208779224507</v>
      </c>
    </row>
    <row r="190" spans="1:7" ht="11.25" customHeight="1" x14ac:dyDescent="0.2">
      <c r="A190" s="27">
        <v>44470</v>
      </c>
      <c r="B190" s="17">
        <v>82632.681196000005</v>
      </c>
      <c r="C190" s="17">
        <v>0</v>
      </c>
      <c r="D190" s="17">
        <v>58999.247587150829</v>
      </c>
      <c r="E190" s="17">
        <v>0</v>
      </c>
      <c r="F190" s="17">
        <v>82632.681196000005</v>
      </c>
      <c r="G190" s="17">
        <v>58999.247587150829</v>
      </c>
    </row>
    <row r="191" spans="1:7" ht="11.25" customHeight="1" x14ac:dyDescent="0.2">
      <c r="A191" s="27">
        <v>44501</v>
      </c>
      <c r="B191" s="17">
        <v>91125.45</v>
      </c>
      <c r="C191" s="17">
        <v>0</v>
      </c>
      <c r="D191" s="17">
        <v>65063.034482545445</v>
      </c>
      <c r="E191" s="17">
        <v>0</v>
      </c>
      <c r="F191" s="17">
        <v>91125.45</v>
      </c>
      <c r="G191" s="17">
        <v>65063.034482545445</v>
      </c>
    </row>
    <row r="192" spans="1:7" ht="11.25" customHeight="1" x14ac:dyDescent="0.2">
      <c r="A192" s="27">
        <v>44531</v>
      </c>
      <c r="B192" s="17">
        <v>85261.665579999986</v>
      </c>
      <c r="C192" s="17">
        <v>0</v>
      </c>
      <c r="D192" s="17">
        <v>60876.326950053997</v>
      </c>
      <c r="E192" s="17">
        <v>0</v>
      </c>
      <c r="F192" s="17">
        <v>85261.665579999986</v>
      </c>
      <c r="G192" s="17">
        <v>60876.326950053997</v>
      </c>
    </row>
    <row r="193" spans="1:7" ht="11.25" customHeight="1" x14ac:dyDescent="0.2">
      <c r="A193" s="27">
        <v>44562</v>
      </c>
      <c r="B193" s="17">
        <v>90369.471919999996</v>
      </c>
      <c r="C193" s="17">
        <v>0</v>
      </c>
      <c r="D193" s="17">
        <v>64523.270586870996</v>
      </c>
      <c r="E193" s="17">
        <v>0</v>
      </c>
      <c r="F193" s="17">
        <v>90369.471919999996</v>
      </c>
      <c r="G193" s="17">
        <v>64523.270586870996</v>
      </c>
    </row>
    <row r="194" spans="1:7" ht="11.25" customHeight="1" x14ac:dyDescent="0.2">
      <c r="A194" s="27">
        <v>44593</v>
      </c>
      <c r="B194" s="17">
        <v>87032.613303999999</v>
      </c>
      <c r="C194" s="17">
        <v>0</v>
      </c>
      <c r="D194" s="17">
        <v>62140.773192386943</v>
      </c>
      <c r="E194" s="17">
        <v>0</v>
      </c>
      <c r="F194" s="17">
        <v>87032.613303999999</v>
      </c>
      <c r="G194" s="17">
        <v>62140.773192386943</v>
      </c>
    </row>
    <row r="195" spans="1:7" ht="11.25" customHeight="1" x14ac:dyDescent="0.2">
      <c r="A195" s="27">
        <v>44621</v>
      </c>
      <c r="B195" s="17">
        <v>88648.044107999987</v>
      </c>
      <c r="C195" s="17">
        <v>0</v>
      </c>
      <c r="D195" s="17">
        <v>63294.181269985645</v>
      </c>
      <c r="E195" s="17">
        <v>0</v>
      </c>
      <c r="F195" s="17">
        <v>88648.044107999987</v>
      </c>
      <c r="G195" s="17">
        <v>63294.181269985645</v>
      </c>
    </row>
    <row r="196" spans="1:7" ht="11.25" customHeight="1" x14ac:dyDescent="0.2">
      <c r="A196" s="27">
        <v>44652</v>
      </c>
      <c r="B196" s="17">
        <v>88861.275255999994</v>
      </c>
      <c r="C196" s="17">
        <v>0</v>
      </c>
      <c r="D196" s="17">
        <v>63446.427053518979</v>
      </c>
      <c r="E196" s="17">
        <v>0</v>
      </c>
      <c r="F196" s="17">
        <v>88861.275255999994</v>
      </c>
      <c r="G196" s="17">
        <v>63446.427053518979</v>
      </c>
    </row>
    <row r="197" spans="1:7" ht="11.25" customHeight="1" x14ac:dyDescent="0.2">
      <c r="A197" s="27">
        <v>44682</v>
      </c>
      <c r="B197" s="17">
        <v>86616.736856000003</v>
      </c>
      <c r="C197" s="17">
        <v>0</v>
      </c>
      <c r="D197" s="17">
        <v>61843.839858431355</v>
      </c>
      <c r="E197" s="17">
        <v>0</v>
      </c>
      <c r="F197" s="17">
        <v>86616.736856000003</v>
      </c>
      <c r="G197" s="17">
        <v>61843.839858431355</v>
      </c>
    </row>
    <row r="198" spans="1:7" ht="11.25" customHeight="1" x14ac:dyDescent="0.2">
      <c r="A198" s="27">
        <v>44713</v>
      </c>
      <c r="B198" s="17">
        <v>86616.736856000003</v>
      </c>
      <c r="C198" s="17">
        <v>0</v>
      </c>
      <c r="D198" s="17">
        <v>61843.839858431355</v>
      </c>
      <c r="E198" s="17">
        <v>0</v>
      </c>
      <c r="F198" s="17">
        <v>86616.736856000003</v>
      </c>
      <c r="G198" s="17">
        <v>61843.839858431355</v>
      </c>
    </row>
    <row r="199" spans="1:7" ht="11.25" customHeight="1" x14ac:dyDescent="0.2">
      <c r="A199" s="26" t="s">
        <v>33</v>
      </c>
      <c r="B199" s="17">
        <v>0</v>
      </c>
      <c r="C199" s="17">
        <v>1997915.4059610376</v>
      </c>
      <c r="D199" s="17">
        <v>0</v>
      </c>
      <c r="E199" s="17">
        <v>1465181.4112288239</v>
      </c>
      <c r="F199" s="17">
        <v>1997915.4059610376</v>
      </c>
      <c r="G199" s="17">
        <v>1465181.4112288239</v>
      </c>
    </row>
    <row r="200" spans="1:7" ht="11.25" customHeight="1" x14ac:dyDescent="0.2">
      <c r="A200" s="27">
        <v>44378</v>
      </c>
      <c r="B200" s="17">
        <v>0</v>
      </c>
      <c r="C200" s="17">
        <v>169947.931893809</v>
      </c>
      <c r="D200" s="17">
        <v>0</v>
      </c>
      <c r="E200" s="17">
        <v>124632.17909259518</v>
      </c>
      <c r="F200" s="17">
        <v>169947.931893809</v>
      </c>
      <c r="G200" s="17">
        <v>124632.17909259518</v>
      </c>
    </row>
    <row r="201" spans="1:7" ht="11.25" customHeight="1" x14ac:dyDescent="0.2">
      <c r="A201" s="27">
        <v>44409</v>
      </c>
      <c r="B201" s="17">
        <v>0</v>
      </c>
      <c r="C201" s="17">
        <v>171425.44324726402</v>
      </c>
      <c r="D201" s="17">
        <v>0</v>
      </c>
      <c r="E201" s="17">
        <v>125715.71954856384</v>
      </c>
      <c r="F201" s="17">
        <v>171425.44324726402</v>
      </c>
      <c r="G201" s="17">
        <v>125715.71954856384</v>
      </c>
    </row>
    <row r="202" spans="1:7" ht="11.25" customHeight="1" x14ac:dyDescent="0.2">
      <c r="A202" s="27">
        <v>44440</v>
      </c>
      <c r="B202" s="17">
        <v>0</v>
      </c>
      <c r="C202" s="17">
        <v>160376.29535155799</v>
      </c>
      <c r="D202" s="17">
        <v>0</v>
      </c>
      <c r="E202" s="17">
        <v>117612.7708158975</v>
      </c>
      <c r="F202" s="17">
        <v>160376.29535155799</v>
      </c>
      <c r="G202" s="17">
        <v>117612.7708158975</v>
      </c>
    </row>
    <row r="203" spans="1:7" ht="11.25" customHeight="1" x14ac:dyDescent="0.2">
      <c r="A203" s="27">
        <v>44470</v>
      </c>
      <c r="B203" s="17">
        <v>0</v>
      </c>
      <c r="C203" s="17">
        <v>136697.03017409999</v>
      </c>
      <c r="D203" s="17">
        <v>0</v>
      </c>
      <c r="E203" s="17">
        <v>100247.46142088799</v>
      </c>
      <c r="F203" s="17">
        <v>136697.03017409999</v>
      </c>
      <c r="G203" s="17">
        <v>100247.46142088799</v>
      </c>
    </row>
    <row r="204" spans="1:7" ht="11.25" customHeight="1" x14ac:dyDescent="0.2">
      <c r="A204" s="27">
        <v>44501</v>
      </c>
      <c r="B204" s="17">
        <v>0</v>
      </c>
      <c r="C204" s="17">
        <v>177909.01495625</v>
      </c>
      <c r="D204" s="17">
        <v>0</v>
      </c>
      <c r="E204" s="17">
        <v>130470.47979418388</v>
      </c>
      <c r="F204" s="17">
        <v>177909.01495625</v>
      </c>
      <c r="G204" s="17">
        <v>130470.47979418388</v>
      </c>
    </row>
    <row r="205" spans="1:7" ht="11.25" customHeight="1" x14ac:dyDescent="0.2">
      <c r="A205" s="27">
        <v>44531</v>
      </c>
      <c r="B205" s="17">
        <v>0</v>
      </c>
      <c r="C205" s="17">
        <v>164385.40836635401</v>
      </c>
      <c r="D205" s="17">
        <v>0</v>
      </c>
      <c r="E205" s="17">
        <v>120552.87420929874</v>
      </c>
      <c r="F205" s="17">
        <v>164385.40836635401</v>
      </c>
      <c r="G205" s="17">
        <v>120552.87420929874</v>
      </c>
    </row>
    <row r="206" spans="1:7" ht="11.25" customHeight="1" x14ac:dyDescent="0.2">
      <c r="A206" s="27">
        <v>44562</v>
      </c>
      <c r="B206" s="17">
        <v>0</v>
      </c>
      <c r="C206" s="17">
        <v>126067.15408872801</v>
      </c>
      <c r="D206" s="17">
        <v>0</v>
      </c>
      <c r="E206" s="17">
        <v>92451.987799991068</v>
      </c>
      <c r="F206" s="17">
        <v>126067.15408872801</v>
      </c>
      <c r="G206" s="17">
        <v>92451.987799991068</v>
      </c>
    </row>
    <row r="207" spans="1:7" ht="11.25" customHeight="1" x14ac:dyDescent="0.2">
      <c r="A207" s="27">
        <v>44593</v>
      </c>
      <c r="B207" s="17">
        <v>0</v>
      </c>
      <c r="C207" s="17">
        <v>172420.78647411102</v>
      </c>
      <c r="D207" s="17">
        <v>0</v>
      </c>
      <c r="E207" s="17">
        <v>126445.65955974627</v>
      </c>
      <c r="F207" s="17">
        <v>172420.78647411102</v>
      </c>
      <c r="G207" s="17">
        <v>126445.65955974627</v>
      </c>
    </row>
    <row r="208" spans="1:7" ht="11.25" customHeight="1" x14ac:dyDescent="0.2">
      <c r="A208" s="27">
        <v>44621</v>
      </c>
      <c r="B208" s="17">
        <v>0</v>
      </c>
      <c r="C208" s="17">
        <v>204247.13639976198</v>
      </c>
      <c r="D208" s="17">
        <v>0</v>
      </c>
      <c r="E208" s="17">
        <v>149785.67493737282</v>
      </c>
      <c r="F208" s="17">
        <v>204247.13639976198</v>
      </c>
      <c r="G208" s="17">
        <v>149785.67493737282</v>
      </c>
    </row>
    <row r="209" spans="1:7" ht="11.25" customHeight="1" x14ac:dyDescent="0.2">
      <c r="A209" s="27">
        <v>44652</v>
      </c>
      <c r="B209" s="17">
        <v>0</v>
      </c>
      <c r="C209" s="17">
        <v>135088.74670691401</v>
      </c>
      <c r="D209" s="17">
        <v>0</v>
      </c>
      <c r="E209" s="17">
        <v>99068.018571067209</v>
      </c>
      <c r="F209" s="17">
        <v>135088.74670691401</v>
      </c>
      <c r="G209" s="17">
        <v>99068.018571067209</v>
      </c>
    </row>
    <row r="210" spans="1:7" ht="11.25" customHeight="1" x14ac:dyDescent="0.2">
      <c r="A210" s="27">
        <v>44682</v>
      </c>
      <c r="B210" s="17">
        <v>0</v>
      </c>
      <c r="C210" s="17">
        <v>189675.22915109398</v>
      </c>
      <c r="D210" s="17">
        <v>0</v>
      </c>
      <c r="E210" s="17">
        <v>139099.29273960961</v>
      </c>
      <c r="F210" s="17">
        <v>189675.22915109398</v>
      </c>
      <c r="G210" s="17">
        <v>139099.29273960961</v>
      </c>
    </row>
    <row r="211" spans="1:7" ht="11.25" customHeight="1" x14ac:dyDescent="0.2">
      <c r="A211" s="27">
        <v>44713</v>
      </c>
      <c r="B211" s="17">
        <v>0</v>
      </c>
      <c r="C211" s="17">
        <v>189675.22915109398</v>
      </c>
      <c r="D211" s="17">
        <v>0</v>
      </c>
      <c r="E211" s="17">
        <v>139099.29273960961</v>
      </c>
      <c r="F211" s="17">
        <v>189675.22915109398</v>
      </c>
      <c r="G211" s="17">
        <v>139099.29273960961</v>
      </c>
    </row>
    <row r="212" spans="1:7" ht="11.25" customHeight="1" x14ac:dyDescent="0.2">
      <c r="A212" s="19" t="s">
        <v>724</v>
      </c>
      <c r="B212" s="17">
        <v>244261.20000000007</v>
      </c>
      <c r="C212" s="17">
        <v>0</v>
      </c>
      <c r="D212" s="17">
        <v>195927.61561905264</v>
      </c>
      <c r="E212" s="17">
        <v>0</v>
      </c>
      <c r="F212" s="17">
        <v>244261.20000000007</v>
      </c>
      <c r="G212" s="17">
        <v>195927.61561905264</v>
      </c>
    </row>
    <row r="213" spans="1:7" ht="11.25" customHeight="1" x14ac:dyDescent="0.2">
      <c r="A213" s="20" t="s">
        <v>62</v>
      </c>
      <c r="B213" s="17">
        <v>181746</v>
      </c>
      <c r="C213" s="17">
        <v>0</v>
      </c>
      <c r="D213" s="17">
        <v>162021.00624697548</v>
      </c>
      <c r="E213" s="17">
        <v>0</v>
      </c>
      <c r="F213" s="17">
        <v>181746</v>
      </c>
      <c r="G213" s="17">
        <v>162021.00624697548</v>
      </c>
    </row>
    <row r="214" spans="1:7" ht="11.25" customHeight="1" x14ac:dyDescent="0.2">
      <c r="A214" s="21" t="s">
        <v>59</v>
      </c>
      <c r="B214" s="17">
        <v>181746</v>
      </c>
      <c r="C214" s="17">
        <v>0</v>
      </c>
      <c r="D214" s="17">
        <v>162021.00624697548</v>
      </c>
      <c r="E214" s="17">
        <v>0</v>
      </c>
      <c r="F214" s="17">
        <v>181746</v>
      </c>
      <c r="G214" s="17">
        <v>162021.00624697548</v>
      </c>
    </row>
    <row r="215" spans="1:7" ht="11.25" customHeight="1" x14ac:dyDescent="0.2">
      <c r="A215" s="22" t="s">
        <v>25</v>
      </c>
      <c r="B215" s="17">
        <v>181746</v>
      </c>
      <c r="C215" s="17">
        <v>0</v>
      </c>
      <c r="D215" s="17">
        <v>162021.00624697548</v>
      </c>
      <c r="E215" s="17">
        <v>0</v>
      </c>
      <c r="F215" s="17">
        <v>181746</v>
      </c>
      <c r="G215" s="17">
        <v>162021.00624697548</v>
      </c>
    </row>
    <row r="216" spans="1:7" ht="11.25" customHeight="1" x14ac:dyDescent="0.2">
      <c r="A216" s="23" t="s">
        <v>25</v>
      </c>
      <c r="B216" s="17">
        <v>181746</v>
      </c>
      <c r="C216" s="17">
        <v>0</v>
      </c>
      <c r="D216" s="17">
        <v>162021.00624697548</v>
      </c>
      <c r="E216" s="17">
        <v>0</v>
      </c>
      <c r="F216" s="17">
        <v>181746</v>
      </c>
      <c r="G216" s="17">
        <v>162021.00624697548</v>
      </c>
    </row>
    <row r="217" spans="1:7" ht="11.25" customHeight="1" x14ac:dyDescent="0.2">
      <c r="A217" s="24" t="s">
        <v>25</v>
      </c>
      <c r="B217" s="17">
        <v>181746</v>
      </c>
      <c r="C217" s="17">
        <v>0</v>
      </c>
      <c r="D217" s="17">
        <v>162021.00624697548</v>
      </c>
      <c r="E217" s="17">
        <v>0</v>
      </c>
      <c r="F217" s="17">
        <v>181746</v>
      </c>
      <c r="G217" s="17">
        <v>162021.00624697548</v>
      </c>
    </row>
    <row r="218" spans="1:7" ht="11.25" customHeight="1" x14ac:dyDescent="0.2">
      <c r="A218" s="25" t="s">
        <v>63</v>
      </c>
      <c r="B218" s="17">
        <v>181746</v>
      </c>
      <c r="C218" s="17">
        <v>0</v>
      </c>
      <c r="D218" s="17">
        <v>162021.00624697548</v>
      </c>
      <c r="E218" s="17">
        <v>0</v>
      </c>
      <c r="F218" s="17">
        <v>181746</v>
      </c>
      <c r="G218" s="17">
        <v>162021.00624697548</v>
      </c>
    </row>
    <row r="219" spans="1:7" ht="11.25" customHeight="1" x14ac:dyDescent="0.2">
      <c r="A219" s="26" t="s">
        <v>25</v>
      </c>
      <c r="B219" s="17">
        <v>181746</v>
      </c>
      <c r="C219" s="17">
        <v>0</v>
      </c>
      <c r="D219" s="17">
        <v>162021.00624697548</v>
      </c>
      <c r="E219" s="17">
        <v>0</v>
      </c>
      <c r="F219" s="17">
        <v>181746</v>
      </c>
      <c r="G219" s="17">
        <v>162021.00624697548</v>
      </c>
    </row>
    <row r="220" spans="1:7" ht="11.25" customHeight="1" x14ac:dyDescent="0.2">
      <c r="A220" s="27">
        <v>44378</v>
      </c>
      <c r="B220" s="17">
        <v>15145.5</v>
      </c>
      <c r="C220" s="17">
        <v>0</v>
      </c>
      <c r="D220" s="17">
        <v>13501.75052058129</v>
      </c>
      <c r="E220" s="17">
        <v>0</v>
      </c>
      <c r="F220" s="17">
        <v>15145.5</v>
      </c>
      <c r="G220" s="17">
        <v>13501.75052058129</v>
      </c>
    </row>
    <row r="221" spans="1:7" ht="11.25" customHeight="1" x14ac:dyDescent="0.2">
      <c r="A221" s="27">
        <v>44409</v>
      </c>
      <c r="B221" s="17">
        <v>15145.5</v>
      </c>
      <c r="C221" s="17">
        <v>0</v>
      </c>
      <c r="D221" s="17">
        <v>13501.75052058129</v>
      </c>
      <c r="E221" s="17">
        <v>0</v>
      </c>
      <c r="F221" s="17">
        <v>15145.5</v>
      </c>
      <c r="G221" s="17">
        <v>13501.75052058129</v>
      </c>
    </row>
    <row r="222" spans="1:7" ht="11.25" customHeight="1" x14ac:dyDescent="0.2">
      <c r="A222" s="27">
        <v>44440</v>
      </c>
      <c r="B222" s="17">
        <v>15145.5</v>
      </c>
      <c r="C222" s="17">
        <v>0</v>
      </c>
      <c r="D222" s="17">
        <v>13501.75052058129</v>
      </c>
      <c r="E222" s="17">
        <v>0</v>
      </c>
      <c r="F222" s="17">
        <v>15145.5</v>
      </c>
      <c r="G222" s="17">
        <v>13501.75052058129</v>
      </c>
    </row>
    <row r="223" spans="1:7" ht="11.25" customHeight="1" x14ac:dyDescent="0.2">
      <c r="A223" s="27">
        <v>44470</v>
      </c>
      <c r="B223" s="17">
        <v>15145.5</v>
      </c>
      <c r="C223" s="17">
        <v>0</v>
      </c>
      <c r="D223" s="17">
        <v>13501.75052058129</v>
      </c>
      <c r="E223" s="17">
        <v>0</v>
      </c>
      <c r="F223" s="17">
        <v>15145.5</v>
      </c>
      <c r="G223" s="17">
        <v>13501.75052058129</v>
      </c>
    </row>
    <row r="224" spans="1:7" ht="11.25" customHeight="1" x14ac:dyDescent="0.2">
      <c r="A224" s="27">
        <v>44501</v>
      </c>
      <c r="B224" s="17">
        <v>15145.5</v>
      </c>
      <c r="C224" s="17">
        <v>0</v>
      </c>
      <c r="D224" s="17">
        <v>13501.75052058129</v>
      </c>
      <c r="E224" s="17">
        <v>0</v>
      </c>
      <c r="F224" s="17">
        <v>15145.5</v>
      </c>
      <c r="G224" s="17">
        <v>13501.75052058129</v>
      </c>
    </row>
    <row r="225" spans="1:7" ht="11.25" customHeight="1" x14ac:dyDescent="0.2">
      <c r="A225" s="27">
        <v>44531</v>
      </c>
      <c r="B225" s="17">
        <v>15145.5</v>
      </c>
      <c r="C225" s="17">
        <v>0</v>
      </c>
      <c r="D225" s="17">
        <v>13501.75052058129</v>
      </c>
      <c r="E225" s="17">
        <v>0</v>
      </c>
      <c r="F225" s="17">
        <v>15145.5</v>
      </c>
      <c r="G225" s="17">
        <v>13501.75052058129</v>
      </c>
    </row>
    <row r="226" spans="1:7" ht="11.25" customHeight="1" x14ac:dyDescent="0.2">
      <c r="A226" s="27">
        <v>44562</v>
      </c>
      <c r="B226" s="17">
        <v>15145.5</v>
      </c>
      <c r="C226" s="17">
        <v>0</v>
      </c>
      <c r="D226" s="17">
        <v>13501.75052058129</v>
      </c>
      <c r="E226" s="17">
        <v>0</v>
      </c>
      <c r="F226" s="17">
        <v>15145.5</v>
      </c>
      <c r="G226" s="17">
        <v>13501.75052058129</v>
      </c>
    </row>
    <row r="227" spans="1:7" ht="11.25" customHeight="1" x14ac:dyDescent="0.2">
      <c r="A227" s="27">
        <v>44593</v>
      </c>
      <c r="B227" s="17">
        <v>15145.5</v>
      </c>
      <c r="C227" s="17">
        <v>0</v>
      </c>
      <c r="D227" s="17">
        <v>13501.75052058129</v>
      </c>
      <c r="E227" s="17">
        <v>0</v>
      </c>
      <c r="F227" s="17">
        <v>15145.5</v>
      </c>
      <c r="G227" s="17">
        <v>13501.75052058129</v>
      </c>
    </row>
    <row r="228" spans="1:7" ht="11.25" customHeight="1" x14ac:dyDescent="0.2">
      <c r="A228" s="27">
        <v>44621</v>
      </c>
      <c r="B228" s="17">
        <v>15145.5</v>
      </c>
      <c r="C228" s="17">
        <v>0</v>
      </c>
      <c r="D228" s="17">
        <v>13501.75052058129</v>
      </c>
      <c r="E228" s="17">
        <v>0</v>
      </c>
      <c r="F228" s="17">
        <v>15145.5</v>
      </c>
      <c r="G228" s="17">
        <v>13501.75052058129</v>
      </c>
    </row>
    <row r="229" spans="1:7" ht="11.25" customHeight="1" x14ac:dyDescent="0.2">
      <c r="A229" s="27">
        <v>44652</v>
      </c>
      <c r="B229" s="17">
        <v>15145.5</v>
      </c>
      <c r="C229" s="17">
        <v>0</v>
      </c>
      <c r="D229" s="17">
        <v>13501.75052058129</v>
      </c>
      <c r="E229" s="17">
        <v>0</v>
      </c>
      <c r="F229" s="17">
        <v>15145.5</v>
      </c>
      <c r="G229" s="17">
        <v>13501.75052058129</v>
      </c>
    </row>
    <row r="230" spans="1:7" ht="11.25" customHeight="1" x14ac:dyDescent="0.2">
      <c r="A230" s="27">
        <v>44682</v>
      </c>
      <c r="B230" s="17">
        <v>15145.5</v>
      </c>
      <c r="C230" s="17">
        <v>0</v>
      </c>
      <c r="D230" s="17">
        <v>13501.75052058129</v>
      </c>
      <c r="E230" s="17">
        <v>0</v>
      </c>
      <c r="F230" s="17">
        <v>15145.5</v>
      </c>
      <c r="G230" s="17">
        <v>13501.75052058129</v>
      </c>
    </row>
    <row r="231" spans="1:7" ht="11.25" customHeight="1" x14ac:dyDescent="0.2">
      <c r="A231" s="27">
        <v>44713</v>
      </c>
      <c r="B231" s="17">
        <v>15145.5</v>
      </c>
      <c r="C231" s="17">
        <v>0</v>
      </c>
      <c r="D231" s="17">
        <v>13501.75052058129</v>
      </c>
      <c r="E231" s="17">
        <v>0</v>
      </c>
      <c r="F231" s="17">
        <v>15145.5</v>
      </c>
      <c r="G231" s="17">
        <v>13501.75052058129</v>
      </c>
    </row>
    <row r="232" spans="1:7" ht="11.25" customHeight="1" x14ac:dyDescent="0.2">
      <c r="A232" s="20" t="s">
        <v>38</v>
      </c>
      <c r="B232" s="17">
        <v>62515.19999999999</v>
      </c>
      <c r="C232" s="17">
        <v>0</v>
      </c>
      <c r="D232" s="17">
        <v>33906.609372077175</v>
      </c>
      <c r="E232" s="17">
        <v>0</v>
      </c>
      <c r="F232" s="17">
        <v>62515.19999999999</v>
      </c>
      <c r="G232" s="17">
        <v>33906.609372077175</v>
      </c>
    </row>
    <row r="233" spans="1:7" ht="11.25" customHeight="1" x14ac:dyDescent="0.2">
      <c r="A233" s="21" t="s">
        <v>59</v>
      </c>
      <c r="B233" s="17">
        <v>62515.19999999999</v>
      </c>
      <c r="C233" s="17">
        <v>0</v>
      </c>
      <c r="D233" s="17">
        <v>33906.609372077175</v>
      </c>
      <c r="E233" s="17">
        <v>0</v>
      </c>
      <c r="F233" s="17">
        <v>62515.19999999999</v>
      </c>
      <c r="G233" s="17">
        <v>33906.609372077175</v>
      </c>
    </row>
    <row r="234" spans="1:7" ht="11.25" customHeight="1" x14ac:dyDescent="0.2">
      <c r="A234" s="22" t="s">
        <v>25</v>
      </c>
      <c r="B234" s="17">
        <v>62515.19999999999</v>
      </c>
      <c r="C234" s="17">
        <v>0</v>
      </c>
      <c r="D234" s="17">
        <v>33906.609372077175</v>
      </c>
      <c r="E234" s="17">
        <v>0</v>
      </c>
      <c r="F234" s="17">
        <v>62515.19999999999</v>
      </c>
      <c r="G234" s="17">
        <v>33906.609372077175</v>
      </c>
    </row>
    <row r="235" spans="1:7" ht="11.25" customHeight="1" x14ac:dyDescent="0.2">
      <c r="A235" s="23" t="s">
        <v>25</v>
      </c>
      <c r="B235" s="17">
        <v>62515.19999999999</v>
      </c>
      <c r="C235" s="17">
        <v>0</v>
      </c>
      <c r="D235" s="17">
        <v>33906.609372077175</v>
      </c>
      <c r="E235" s="17">
        <v>0</v>
      </c>
      <c r="F235" s="17">
        <v>62515.19999999999</v>
      </c>
      <c r="G235" s="17">
        <v>33906.609372077175</v>
      </c>
    </row>
    <row r="236" spans="1:7" ht="11.25" customHeight="1" x14ac:dyDescent="0.2">
      <c r="A236" s="24" t="s">
        <v>25</v>
      </c>
      <c r="B236" s="17">
        <v>62515.19999999999</v>
      </c>
      <c r="C236" s="17">
        <v>0</v>
      </c>
      <c r="D236" s="17">
        <v>33906.609372077175</v>
      </c>
      <c r="E236" s="17">
        <v>0</v>
      </c>
      <c r="F236" s="17">
        <v>62515.19999999999</v>
      </c>
      <c r="G236" s="17">
        <v>33906.609372077175</v>
      </c>
    </row>
    <row r="237" spans="1:7" ht="11.25" customHeight="1" x14ac:dyDescent="0.2">
      <c r="A237" s="25" t="s">
        <v>60</v>
      </c>
      <c r="B237" s="17">
        <v>48840.000000000007</v>
      </c>
      <c r="C237" s="17">
        <v>0</v>
      </c>
      <c r="D237" s="17">
        <v>26489.538571935307</v>
      </c>
      <c r="E237" s="17">
        <v>0</v>
      </c>
      <c r="F237" s="17">
        <v>48840.000000000007</v>
      </c>
      <c r="G237" s="17">
        <v>26489.538571935307</v>
      </c>
    </row>
    <row r="238" spans="1:7" ht="11.25" customHeight="1" x14ac:dyDescent="0.2">
      <c r="A238" s="26" t="s">
        <v>25</v>
      </c>
      <c r="B238" s="17">
        <v>48840.000000000007</v>
      </c>
      <c r="C238" s="17">
        <v>0</v>
      </c>
      <c r="D238" s="17">
        <v>26489.538571935307</v>
      </c>
      <c r="E238" s="17">
        <v>0</v>
      </c>
      <c r="F238" s="17">
        <v>48840.000000000007</v>
      </c>
      <c r="G238" s="17">
        <v>26489.538571935307</v>
      </c>
    </row>
    <row r="239" spans="1:7" ht="11.25" customHeight="1" x14ac:dyDescent="0.2">
      <c r="A239" s="27">
        <v>44378</v>
      </c>
      <c r="B239" s="17">
        <v>4070.0000000000005</v>
      </c>
      <c r="C239" s="17">
        <v>0</v>
      </c>
      <c r="D239" s="17">
        <v>2207.4615476612762</v>
      </c>
      <c r="E239" s="17">
        <v>0</v>
      </c>
      <c r="F239" s="17">
        <v>4070.0000000000005</v>
      </c>
      <c r="G239" s="17">
        <v>2207.4615476612762</v>
      </c>
    </row>
    <row r="240" spans="1:7" ht="11.25" customHeight="1" x14ac:dyDescent="0.2">
      <c r="A240" s="27">
        <v>44409</v>
      </c>
      <c r="B240" s="17">
        <v>4070.0000000000005</v>
      </c>
      <c r="C240" s="17">
        <v>0</v>
      </c>
      <c r="D240" s="17">
        <v>2207.4615476612762</v>
      </c>
      <c r="E240" s="17">
        <v>0</v>
      </c>
      <c r="F240" s="17">
        <v>4070.0000000000005</v>
      </c>
      <c r="G240" s="17">
        <v>2207.4615476612762</v>
      </c>
    </row>
    <row r="241" spans="1:7" ht="11.25" customHeight="1" x14ac:dyDescent="0.2">
      <c r="A241" s="27">
        <v>44440</v>
      </c>
      <c r="B241" s="17">
        <v>4070.0000000000005</v>
      </c>
      <c r="C241" s="17">
        <v>0</v>
      </c>
      <c r="D241" s="17">
        <v>2207.4615476612762</v>
      </c>
      <c r="E241" s="17">
        <v>0</v>
      </c>
      <c r="F241" s="17">
        <v>4070.0000000000005</v>
      </c>
      <c r="G241" s="17">
        <v>2207.4615476612762</v>
      </c>
    </row>
    <row r="242" spans="1:7" ht="11.25" customHeight="1" x14ac:dyDescent="0.2">
      <c r="A242" s="27">
        <v>44470</v>
      </c>
      <c r="B242" s="17">
        <v>4070.0000000000005</v>
      </c>
      <c r="C242" s="17">
        <v>0</v>
      </c>
      <c r="D242" s="17">
        <v>2207.4615476612762</v>
      </c>
      <c r="E242" s="17">
        <v>0</v>
      </c>
      <c r="F242" s="17">
        <v>4070.0000000000005</v>
      </c>
      <c r="G242" s="17">
        <v>2207.4615476612762</v>
      </c>
    </row>
    <row r="243" spans="1:7" ht="11.25" customHeight="1" x14ac:dyDescent="0.2">
      <c r="A243" s="27">
        <v>44501</v>
      </c>
      <c r="B243" s="17">
        <v>4070.0000000000005</v>
      </c>
      <c r="C243" s="17">
        <v>0</v>
      </c>
      <c r="D243" s="17">
        <v>2207.4615476612762</v>
      </c>
      <c r="E243" s="17">
        <v>0</v>
      </c>
      <c r="F243" s="17">
        <v>4070.0000000000005</v>
      </c>
      <c r="G243" s="17">
        <v>2207.4615476612762</v>
      </c>
    </row>
    <row r="244" spans="1:7" ht="11.25" customHeight="1" x14ac:dyDescent="0.2">
      <c r="A244" s="27">
        <v>44531</v>
      </c>
      <c r="B244" s="17">
        <v>4070.0000000000005</v>
      </c>
      <c r="C244" s="17">
        <v>0</v>
      </c>
      <c r="D244" s="17">
        <v>2207.4615476612762</v>
      </c>
      <c r="E244" s="17">
        <v>0</v>
      </c>
      <c r="F244" s="17">
        <v>4070.0000000000005</v>
      </c>
      <c r="G244" s="17">
        <v>2207.4615476612762</v>
      </c>
    </row>
    <row r="245" spans="1:7" ht="11.25" customHeight="1" x14ac:dyDescent="0.2">
      <c r="A245" s="27">
        <v>44562</v>
      </c>
      <c r="B245" s="17">
        <v>4070.0000000000005</v>
      </c>
      <c r="C245" s="17">
        <v>0</v>
      </c>
      <c r="D245" s="17">
        <v>2207.4615476612762</v>
      </c>
      <c r="E245" s="17">
        <v>0</v>
      </c>
      <c r="F245" s="17">
        <v>4070.0000000000005</v>
      </c>
      <c r="G245" s="17">
        <v>2207.4615476612762</v>
      </c>
    </row>
    <row r="246" spans="1:7" ht="11.25" customHeight="1" x14ac:dyDescent="0.2">
      <c r="A246" s="27">
        <v>44593</v>
      </c>
      <c r="B246" s="17">
        <v>4070.0000000000005</v>
      </c>
      <c r="C246" s="17">
        <v>0</v>
      </c>
      <c r="D246" s="17">
        <v>2207.4615476612762</v>
      </c>
      <c r="E246" s="17">
        <v>0</v>
      </c>
      <c r="F246" s="17">
        <v>4070.0000000000005</v>
      </c>
      <c r="G246" s="17">
        <v>2207.4615476612762</v>
      </c>
    </row>
    <row r="247" spans="1:7" ht="11.25" customHeight="1" x14ac:dyDescent="0.2">
      <c r="A247" s="27">
        <v>44621</v>
      </c>
      <c r="B247" s="17">
        <v>4070.0000000000005</v>
      </c>
      <c r="C247" s="17">
        <v>0</v>
      </c>
      <c r="D247" s="17">
        <v>2207.4615476612762</v>
      </c>
      <c r="E247" s="17">
        <v>0</v>
      </c>
      <c r="F247" s="17">
        <v>4070.0000000000005</v>
      </c>
      <c r="G247" s="17">
        <v>2207.4615476612762</v>
      </c>
    </row>
    <row r="248" spans="1:7" ht="11.25" customHeight="1" x14ac:dyDescent="0.2">
      <c r="A248" s="27">
        <v>44652</v>
      </c>
      <c r="B248" s="17">
        <v>4070.0000000000005</v>
      </c>
      <c r="C248" s="17">
        <v>0</v>
      </c>
      <c r="D248" s="17">
        <v>2207.4615476612762</v>
      </c>
      <c r="E248" s="17">
        <v>0</v>
      </c>
      <c r="F248" s="17">
        <v>4070.0000000000005</v>
      </c>
      <c r="G248" s="17">
        <v>2207.4615476612762</v>
      </c>
    </row>
    <row r="249" spans="1:7" ht="11.25" customHeight="1" x14ac:dyDescent="0.2">
      <c r="A249" s="27">
        <v>44682</v>
      </c>
      <c r="B249" s="17">
        <v>4070.0000000000005</v>
      </c>
      <c r="C249" s="17">
        <v>0</v>
      </c>
      <c r="D249" s="17">
        <v>2207.4615476612762</v>
      </c>
      <c r="E249" s="17">
        <v>0</v>
      </c>
      <c r="F249" s="17">
        <v>4070.0000000000005</v>
      </c>
      <c r="G249" s="17">
        <v>2207.4615476612762</v>
      </c>
    </row>
    <row r="250" spans="1:7" ht="11.25" customHeight="1" x14ac:dyDescent="0.2">
      <c r="A250" s="27">
        <v>44713</v>
      </c>
      <c r="B250" s="17">
        <v>4070.0000000000005</v>
      </c>
      <c r="C250" s="17">
        <v>0</v>
      </c>
      <c r="D250" s="17">
        <v>2207.4615476612762</v>
      </c>
      <c r="E250" s="17">
        <v>0</v>
      </c>
      <c r="F250" s="17">
        <v>4070.0000000000005</v>
      </c>
      <c r="G250" s="17">
        <v>2207.4615476612762</v>
      </c>
    </row>
    <row r="251" spans="1:7" ht="11.25" customHeight="1" x14ac:dyDescent="0.2">
      <c r="A251" s="25" t="s">
        <v>64</v>
      </c>
      <c r="B251" s="17">
        <v>13675.200000000003</v>
      </c>
      <c r="C251" s="17">
        <v>0</v>
      </c>
      <c r="D251" s="17">
        <v>7417.0708001418889</v>
      </c>
      <c r="E251" s="17">
        <v>0</v>
      </c>
      <c r="F251" s="17">
        <v>13675.200000000003</v>
      </c>
      <c r="G251" s="17">
        <v>7417.0708001418889</v>
      </c>
    </row>
    <row r="252" spans="1:7" ht="11.25" customHeight="1" x14ac:dyDescent="0.2">
      <c r="A252" s="26" t="s">
        <v>25</v>
      </c>
      <c r="B252" s="17">
        <v>13675.200000000003</v>
      </c>
      <c r="C252" s="17">
        <v>0</v>
      </c>
      <c r="D252" s="17">
        <v>7417.0708001418889</v>
      </c>
      <c r="E252" s="17">
        <v>0</v>
      </c>
      <c r="F252" s="17">
        <v>13675.200000000003</v>
      </c>
      <c r="G252" s="17">
        <v>7417.0708001418889</v>
      </c>
    </row>
    <row r="253" spans="1:7" ht="11.25" customHeight="1" x14ac:dyDescent="0.2">
      <c r="A253" s="27">
        <v>44378</v>
      </c>
      <c r="B253" s="17">
        <v>1139.6000000000001</v>
      </c>
      <c r="C253" s="17">
        <v>0</v>
      </c>
      <c r="D253" s="17">
        <v>618.08923334515737</v>
      </c>
      <c r="E253" s="17">
        <v>0</v>
      </c>
      <c r="F253" s="17">
        <v>1139.6000000000001</v>
      </c>
      <c r="G253" s="17">
        <v>618.08923334515737</v>
      </c>
    </row>
    <row r="254" spans="1:7" ht="11.25" customHeight="1" x14ac:dyDescent="0.2">
      <c r="A254" s="27">
        <v>44409</v>
      </c>
      <c r="B254" s="17">
        <v>1139.6000000000001</v>
      </c>
      <c r="C254" s="17">
        <v>0</v>
      </c>
      <c r="D254" s="17">
        <v>618.08923334515737</v>
      </c>
      <c r="E254" s="17">
        <v>0</v>
      </c>
      <c r="F254" s="17">
        <v>1139.6000000000001</v>
      </c>
      <c r="G254" s="17">
        <v>618.08923334515737</v>
      </c>
    </row>
    <row r="255" spans="1:7" ht="11.25" customHeight="1" x14ac:dyDescent="0.2">
      <c r="A255" s="27">
        <v>44440</v>
      </c>
      <c r="B255" s="17">
        <v>1139.6000000000001</v>
      </c>
      <c r="C255" s="17">
        <v>0</v>
      </c>
      <c r="D255" s="17">
        <v>618.08923334515737</v>
      </c>
      <c r="E255" s="17">
        <v>0</v>
      </c>
      <c r="F255" s="17">
        <v>1139.6000000000001</v>
      </c>
      <c r="G255" s="17">
        <v>618.08923334515737</v>
      </c>
    </row>
    <row r="256" spans="1:7" ht="11.25" customHeight="1" x14ac:dyDescent="0.2">
      <c r="A256" s="27">
        <v>44470</v>
      </c>
      <c r="B256" s="17">
        <v>1139.6000000000001</v>
      </c>
      <c r="C256" s="17">
        <v>0</v>
      </c>
      <c r="D256" s="17">
        <v>618.08923334515737</v>
      </c>
      <c r="E256" s="17">
        <v>0</v>
      </c>
      <c r="F256" s="17">
        <v>1139.6000000000001</v>
      </c>
      <c r="G256" s="17">
        <v>618.08923334515737</v>
      </c>
    </row>
    <row r="257" spans="1:7" ht="11.25" customHeight="1" x14ac:dyDescent="0.2">
      <c r="A257" s="27">
        <v>44501</v>
      </c>
      <c r="B257" s="17">
        <v>1139.6000000000001</v>
      </c>
      <c r="C257" s="17">
        <v>0</v>
      </c>
      <c r="D257" s="17">
        <v>618.08923334515737</v>
      </c>
      <c r="E257" s="17">
        <v>0</v>
      </c>
      <c r="F257" s="17">
        <v>1139.6000000000001</v>
      </c>
      <c r="G257" s="17">
        <v>618.08923334515737</v>
      </c>
    </row>
    <row r="258" spans="1:7" ht="11.25" customHeight="1" x14ac:dyDescent="0.2">
      <c r="A258" s="27">
        <v>44531</v>
      </c>
      <c r="B258" s="17">
        <v>1139.6000000000001</v>
      </c>
      <c r="C258" s="17">
        <v>0</v>
      </c>
      <c r="D258" s="17">
        <v>618.08923334515737</v>
      </c>
      <c r="E258" s="17">
        <v>0</v>
      </c>
      <c r="F258" s="17">
        <v>1139.6000000000001</v>
      </c>
      <c r="G258" s="17">
        <v>618.08923334515737</v>
      </c>
    </row>
    <row r="259" spans="1:7" ht="11.25" customHeight="1" x14ac:dyDescent="0.2">
      <c r="A259" s="27">
        <v>44562</v>
      </c>
      <c r="B259" s="17">
        <v>1139.6000000000001</v>
      </c>
      <c r="C259" s="17">
        <v>0</v>
      </c>
      <c r="D259" s="17">
        <v>618.08923334515737</v>
      </c>
      <c r="E259" s="17">
        <v>0</v>
      </c>
      <c r="F259" s="17">
        <v>1139.6000000000001</v>
      </c>
      <c r="G259" s="17">
        <v>618.08923334515737</v>
      </c>
    </row>
    <row r="260" spans="1:7" ht="11.25" customHeight="1" x14ac:dyDescent="0.2">
      <c r="A260" s="27">
        <v>44593</v>
      </c>
      <c r="B260" s="17">
        <v>1139.6000000000001</v>
      </c>
      <c r="C260" s="17">
        <v>0</v>
      </c>
      <c r="D260" s="17">
        <v>618.08923334515737</v>
      </c>
      <c r="E260" s="17">
        <v>0</v>
      </c>
      <c r="F260" s="17">
        <v>1139.6000000000001</v>
      </c>
      <c r="G260" s="17">
        <v>618.08923334515737</v>
      </c>
    </row>
    <row r="261" spans="1:7" ht="11.25" customHeight="1" x14ac:dyDescent="0.2">
      <c r="A261" s="27">
        <v>44621</v>
      </c>
      <c r="B261" s="17">
        <v>1139.6000000000001</v>
      </c>
      <c r="C261" s="17">
        <v>0</v>
      </c>
      <c r="D261" s="17">
        <v>618.08923334515737</v>
      </c>
      <c r="E261" s="17">
        <v>0</v>
      </c>
      <c r="F261" s="17">
        <v>1139.6000000000001</v>
      </c>
      <c r="G261" s="17">
        <v>618.08923334515737</v>
      </c>
    </row>
    <row r="262" spans="1:7" ht="11.25" customHeight="1" x14ac:dyDescent="0.2">
      <c r="A262" s="27">
        <v>44652</v>
      </c>
      <c r="B262" s="17">
        <v>1139.6000000000001</v>
      </c>
      <c r="C262" s="17">
        <v>0</v>
      </c>
      <c r="D262" s="17">
        <v>618.08923334515737</v>
      </c>
      <c r="E262" s="17">
        <v>0</v>
      </c>
      <c r="F262" s="17">
        <v>1139.6000000000001</v>
      </c>
      <c r="G262" s="17">
        <v>618.08923334515737</v>
      </c>
    </row>
    <row r="263" spans="1:7" ht="11.25" customHeight="1" x14ac:dyDescent="0.2">
      <c r="A263" s="27">
        <v>44682</v>
      </c>
      <c r="B263" s="17">
        <v>1139.6000000000001</v>
      </c>
      <c r="C263" s="17">
        <v>0</v>
      </c>
      <c r="D263" s="17">
        <v>618.08923334515737</v>
      </c>
      <c r="E263" s="17">
        <v>0</v>
      </c>
      <c r="F263" s="17">
        <v>1139.6000000000001</v>
      </c>
      <c r="G263" s="17">
        <v>618.08923334515737</v>
      </c>
    </row>
    <row r="264" spans="1:7" ht="11.25" customHeight="1" x14ac:dyDescent="0.2">
      <c r="A264" s="27">
        <v>44713</v>
      </c>
      <c r="B264" s="17">
        <v>1139.6000000000001</v>
      </c>
      <c r="C264" s="17">
        <v>0</v>
      </c>
      <c r="D264" s="17">
        <v>618.08923334515737</v>
      </c>
      <c r="E264" s="17">
        <v>0</v>
      </c>
      <c r="F264" s="17">
        <v>1139.6000000000001</v>
      </c>
      <c r="G264" s="17">
        <v>618.08923334515737</v>
      </c>
    </row>
    <row r="265" spans="1:7" ht="11.25" customHeight="1" x14ac:dyDescent="0.2">
      <c r="A265" s="19" t="s">
        <v>728</v>
      </c>
      <c r="B265" s="17">
        <v>0</v>
      </c>
      <c r="C265" s="17">
        <v>376274.43435400008</v>
      </c>
      <c r="D265" s="17">
        <v>0</v>
      </c>
      <c r="E265" s="17">
        <v>366456.28411254112</v>
      </c>
      <c r="F265" s="17">
        <v>376274.43435400003</v>
      </c>
      <c r="G265" s="17">
        <v>366456.28411254106</v>
      </c>
    </row>
    <row r="266" spans="1:7" ht="11.25" customHeight="1" x14ac:dyDescent="0.2">
      <c r="A266" s="20" t="s">
        <v>38</v>
      </c>
      <c r="B266" s="17">
        <v>0</v>
      </c>
      <c r="C266" s="17">
        <v>285147.78636400006</v>
      </c>
      <c r="D266" s="17">
        <v>0</v>
      </c>
      <c r="E266" s="17">
        <v>280312.72960930661</v>
      </c>
      <c r="F266" s="17">
        <v>285147.78636400006</v>
      </c>
      <c r="G266" s="17">
        <v>280312.72960930661</v>
      </c>
    </row>
    <row r="267" spans="1:7" ht="11.25" customHeight="1" x14ac:dyDescent="0.2">
      <c r="A267" s="21" t="s">
        <v>40</v>
      </c>
      <c r="B267" s="17">
        <v>0</v>
      </c>
      <c r="C267" s="17">
        <v>285147.78636400006</v>
      </c>
      <c r="D267" s="17">
        <v>0</v>
      </c>
      <c r="E267" s="17">
        <v>280312.72960930661</v>
      </c>
      <c r="F267" s="17">
        <v>285147.78636400006</v>
      </c>
      <c r="G267" s="17">
        <v>280312.72960930661</v>
      </c>
    </row>
    <row r="268" spans="1:7" ht="11.25" customHeight="1" x14ac:dyDescent="0.2">
      <c r="A268" s="22" t="s">
        <v>43</v>
      </c>
      <c r="B268" s="17">
        <v>0</v>
      </c>
      <c r="C268" s="17">
        <v>285147.78636400006</v>
      </c>
      <c r="D268" s="17">
        <v>0</v>
      </c>
      <c r="E268" s="17">
        <v>280312.72960930661</v>
      </c>
      <c r="F268" s="17">
        <v>285147.78636400006</v>
      </c>
      <c r="G268" s="17">
        <v>280312.72960930661</v>
      </c>
    </row>
    <row r="269" spans="1:7" ht="11.25" customHeight="1" x14ac:dyDescent="0.2">
      <c r="A269" s="23" t="s">
        <v>51</v>
      </c>
      <c r="B269" s="17">
        <v>0</v>
      </c>
      <c r="C269" s="17">
        <v>285147.78636400006</v>
      </c>
      <c r="D269" s="17">
        <v>0</v>
      </c>
      <c r="E269" s="17">
        <v>280312.72960930661</v>
      </c>
      <c r="F269" s="17">
        <v>285147.78636400006</v>
      </c>
      <c r="G269" s="17">
        <v>280312.72960930661</v>
      </c>
    </row>
    <row r="270" spans="1:7" ht="11.25" customHeight="1" x14ac:dyDescent="0.2">
      <c r="A270" s="24" t="s">
        <v>53</v>
      </c>
      <c r="B270" s="17">
        <v>0</v>
      </c>
      <c r="C270" s="17">
        <v>285147.78636400006</v>
      </c>
      <c r="D270" s="17">
        <v>0</v>
      </c>
      <c r="E270" s="17">
        <v>280312.72960930661</v>
      </c>
      <c r="F270" s="17">
        <v>285147.78636400006</v>
      </c>
      <c r="G270" s="17">
        <v>280312.72960930661</v>
      </c>
    </row>
    <row r="271" spans="1:7" ht="11.25" customHeight="1" x14ac:dyDescent="0.2">
      <c r="A271" s="25" t="s">
        <v>25</v>
      </c>
      <c r="B271" s="17">
        <v>0</v>
      </c>
      <c r="C271" s="17">
        <v>285147.78636400006</v>
      </c>
      <c r="D271" s="17">
        <v>0</v>
      </c>
      <c r="E271" s="17">
        <v>280312.72960930661</v>
      </c>
      <c r="F271" s="17">
        <v>285147.78636400006</v>
      </c>
      <c r="G271" s="17">
        <v>280312.72960930661</v>
      </c>
    </row>
    <row r="272" spans="1:7" ht="11.25" customHeight="1" x14ac:dyDescent="0.2">
      <c r="A272" s="26" t="s">
        <v>34</v>
      </c>
      <c r="B272" s="17">
        <v>0</v>
      </c>
      <c r="C272" s="17">
        <v>285147.78636400006</v>
      </c>
      <c r="D272" s="17">
        <v>0</v>
      </c>
      <c r="E272" s="17">
        <v>280312.72960930661</v>
      </c>
      <c r="F272" s="17">
        <v>285147.78636400006</v>
      </c>
      <c r="G272" s="17">
        <v>280312.72960930661</v>
      </c>
    </row>
    <row r="273" spans="1:7" ht="11.25" customHeight="1" x14ac:dyDescent="0.2">
      <c r="A273" s="27">
        <v>44378</v>
      </c>
      <c r="B273" s="17">
        <v>0</v>
      </c>
      <c r="C273" s="17">
        <v>2050.7862900000005</v>
      </c>
      <c r="D273" s="17">
        <v>0</v>
      </c>
      <c r="E273" s="17">
        <v>2016.0125039912277</v>
      </c>
      <c r="F273" s="17">
        <v>2050.7862900000005</v>
      </c>
      <c r="G273" s="17">
        <v>2016.0125039912277</v>
      </c>
    </row>
    <row r="274" spans="1:7" ht="11.25" customHeight="1" x14ac:dyDescent="0.2">
      <c r="A274" s="27">
        <v>44409</v>
      </c>
      <c r="B274" s="17">
        <v>0</v>
      </c>
      <c r="C274" s="17">
        <v>2066.2553380000004</v>
      </c>
      <c r="D274" s="17">
        <v>0</v>
      </c>
      <c r="E274" s="17">
        <v>2031.2192538826753</v>
      </c>
      <c r="F274" s="17">
        <v>2066.2553380000004</v>
      </c>
      <c r="G274" s="17">
        <v>2031.2192538826753</v>
      </c>
    </row>
    <row r="275" spans="1:7" ht="11.25" customHeight="1" x14ac:dyDescent="0.2">
      <c r="A275" s="27">
        <v>44440</v>
      </c>
      <c r="B275" s="17">
        <v>0</v>
      </c>
      <c r="C275" s="17">
        <v>1832.6272159999999</v>
      </c>
      <c r="D275" s="17">
        <v>0</v>
      </c>
      <c r="E275" s="17">
        <v>1801.5526047868357</v>
      </c>
      <c r="F275" s="17">
        <v>1832.6272159999999</v>
      </c>
      <c r="G275" s="17">
        <v>1801.5526047868357</v>
      </c>
    </row>
    <row r="276" spans="1:7" ht="11.25" customHeight="1" x14ac:dyDescent="0.2">
      <c r="A276" s="27">
        <v>44470</v>
      </c>
      <c r="B276" s="17">
        <v>0</v>
      </c>
      <c r="C276" s="17">
        <v>4231.4670859999997</v>
      </c>
      <c r="D276" s="17">
        <v>0</v>
      </c>
      <c r="E276" s="17">
        <v>4159.7169813356422</v>
      </c>
      <c r="F276" s="17">
        <v>4231.4670859999997</v>
      </c>
      <c r="G276" s="17">
        <v>4159.7169813356422</v>
      </c>
    </row>
    <row r="277" spans="1:7" ht="11.25" customHeight="1" x14ac:dyDescent="0.2">
      <c r="A277" s="27">
        <v>44501</v>
      </c>
      <c r="B277" s="17">
        <v>0</v>
      </c>
      <c r="C277" s="17">
        <v>45036.768336000008</v>
      </c>
      <c r="D277" s="17">
        <v>0</v>
      </c>
      <c r="E277" s="17">
        <v>44273.11053690152</v>
      </c>
      <c r="F277" s="17">
        <v>45036.768336000008</v>
      </c>
      <c r="G277" s="17">
        <v>44273.11053690152</v>
      </c>
    </row>
    <row r="278" spans="1:7" ht="11.25" customHeight="1" x14ac:dyDescent="0.2">
      <c r="A278" s="27">
        <v>44531</v>
      </c>
      <c r="B278" s="17">
        <v>0</v>
      </c>
      <c r="C278" s="17">
        <v>109805.44482599999</v>
      </c>
      <c r="D278" s="17">
        <v>0</v>
      </c>
      <c r="E278" s="17">
        <v>107943.54870371928</v>
      </c>
      <c r="F278" s="17">
        <v>109805.44482599999</v>
      </c>
      <c r="G278" s="17">
        <v>107943.54870371928</v>
      </c>
    </row>
    <row r="279" spans="1:7" ht="11.25" customHeight="1" x14ac:dyDescent="0.2">
      <c r="A279" s="27">
        <v>44562</v>
      </c>
      <c r="B279" s="17">
        <v>0</v>
      </c>
      <c r="C279" s="17">
        <v>69371.173242000004</v>
      </c>
      <c r="D279" s="17">
        <v>0</v>
      </c>
      <c r="E279" s="17">
        <v>68194.893516873301</v>
      </c>
      <c r="F279" s="17">
        <v>69371.173242000004</v>
      </c>
      <c r="G279" s="17">
        <v>68194.893516873301</v>
      </c>
    </row>
    <row r="280" spans="1:7" ht="11.25" customHeight="1" x14ac:dyDescent="0.2">
      <c r="A280" s="27">
        <v>44593</v>
      </c>
      <c r="B280" s="17">
        <v>0</v>
      </c>
      <c r="C280" s="17">
        <v>40258.652392000004</v>
      </c>
      <c r="D280" s="17">
        <v>0</v>
      </c>
      <c r="E280" s="17">
        <v>39576.01384984309</v>
      </c>
      <c r="F280" s="17">
        <v>40258.652392000004</v>
      </c>
      <c r="G280" s="17">
        <v>39576.01384984309</v>
      </c>
    </row>
    <row r="281" spans="1:7" ht="11.25" customHeight="1" x14ac:dyDescent="0.2">
      <c r="A281" s="27">
        <v>44621</v>
      </c>
      <c r="B281" s="17">
        <v>0</v>
      </c>
      <c r="C281" s="17">
        <v>3426.3941319999999</v>
      </c>
      <c r="D281" s="17">
        <v>0</v>
      </c>
      <c r="E281" s="17">
        <v>3368.2951009557246</v>
      </c>
      <c r="F281" s="17">
        <v>3426.3941319999999</v>
      </c>
      <c r="G281" s="17">
        <v>3368.2951009557246</v>
      </c>
    </row>
    <row r="282" spans="1:7" ht="11.25" customHeight="1" x14ac:dyDescent="0.2">
      <c r="A282" s="27">
        <v>44652</v>
      </c>
      <c r="B282" s="17">
        <v>0</v>
      </c>
      <c r="C282" s="17">
        <v>1588.5347380000001</v>
      </c>
      <c r="D282" s="17">
        <v>0</v>
      </c>
      <c r="E282" s="17">
        <v>1561.5990366467818</v>
      </c>
      <c r="F282" s="17">
        <v>1588.5347380000001</v>
      </c>
      <c r="G282" s="17">
        <v>1561.5990366467818</v>
      </c>
    </row>
    <row r="283" spans="1:7" ht="11.25" customHeight="1" x14ac:dyDescent="0.2">
      <c r="A283" s="27">
        <v>44682</v>
      </c>
      <c r="B283" s="17">
        <v>0</v>
      </c>
      <c r="C283" s="17">
        <v>2739.8413840000007</v>
      </c>
      <c r="D283" s="17">
        <v>0</v>
      </c>
      <c r="E283" s="17">
        <v>2693.3837601852852</v>
      </c>
      <c r="F283" s="17">
        <v>2739.8413840000007</v>
      </c>
      <c r="G283" s="17">
        <v>2693.3837601852852</v>
      </c>
    </row>
    <row r="284" spans="1:7" ht="11.25" customHeight="1" x14ac:dyDescent="0.2">
      <c r="A284" s="27">
        <v>44713</v>
      </c>
      <c r="B284" s="17">
        <v>0</v>
      </c>
      <c r="C284" s="17">
        <v>2739.8413840000007</v>
      </c>
      <c r="D284" s="17">
        <v>0</v>
      </c>
      <c r="E284" s="17">
        <v>2693.3837601852852</v>
      </c>
      <c r="F284" s="17">
        <v>2739.8413840000007</v>
      </c>
      <c r="G284" s="17">
        <v>2693.3837601852852</v>
      </c>
    </row>
    <row r="285" spans="1:7" ht="11.25" customHeight="1" x14ac:dyDescent="0.2">
      <c r="A285" s="20" t="s">
        <v>42</v>
      </c>
      <c r="B285" s="17">
        <v>0</v>
      </c>
      <c r="C285" s="17">
        <v>91126.647989999998</v>
      </c>
      <c r="D285" s="17">
        <v>0</v>
      </c>
      <c r="E285" s="17">
        <v>86143.554503234613</v>
      </c>
      <c r="F285" s="17">
        <v>91126.647990000027</v>
      </c>
      <c r="G285" s="17">
        <v>86143.554503234598</v>
      </c>
    </row>
    <row r="286" spans="1:7" ht="11.25" customHeight="1" x14ac:dyDescent="0.2">
      <c r="A286" s="21" t="s">
        <v>23</v>
      </c>
      <c r="B286" s="17">
        <v>0</v>
      </c>
      <c r="C286" s="17">
        <v>91126.647989999998</v>
      </c>
      <c r="D286" s="17">
        <v>0</v>
      </c>
      <c r="E286" s="17">
        <v>86143.554503234613</v>
      </c>
      <c r="F286" s="17">
        <v>91126.647990000027</v>
      </c>
      <c r="G286" s="17">
        <v>86143.554503234598</v>
      </c>
    </row>
    <row r="287" spans="1:7" ht="11.25" customHeight="1" x14ac:dyDescent="0.2">
      <c r="A287" s="22" t="s">
        <v>43</v>
      </c>
      <c r="B287" s="17">
        <v>0</v>
      </c>
      <c r="C287" s="17">
        <v>91126.647989999998</v>
      </c>
      <c r="D287" s="17">
        <v>0</v>
      </c>
      <c r="E287" s="17">
        <v>86143.554503234613</v>
      </c>
      <c r="F287" s="17">
        <v>91126.647990000027</v>
      </c>
      <c r="G287" s="17">
        <v>86143.554503234598</v>
      </c>
    </row>
    <row r="288" spans="1:7" ht="11.25" customHeight="1" x14ac:dyDescent="0.2">
      <c r="A288" s="23" t="s">
        <v>51</v>
      </c>
      <c r="B288" s="17">
        <v>0</v>
      </c>
      <c r="C288" s="17">
        <v>80396.93688600001</v>
      </c>
      <c r="D288" s="17">
        <v>0</v>
      </c>
      <c r="E288" s="17">
        <v>76000.577957089539</v>
      </c>
      <c r="F288" s="17">
        <v>80396.93688600001</v>
      </c>
      <c r="G288" s="17">
        <v>76000.577957089539</v>
      </c>
    </row>
    <row r="289" spans="1:7" ht="11.25" customHeight="1" x14ac:dyDescent="0.2">
      <c r="A289" s="24" t="s">
        <v>53</v>
      </c>
      <c r="B289" s="17">
        <v>0</v>
      </c>
      <c r="C289" s="17">
        <v>80396.93688600001</v>
      </c>
      <c r="D289" s="17">
        <v>0</v>
      </c>
      <c r="E289" s="17">
        <v>76000.577957089539</v>
      </c>
      <c r="F289" s="17">
        <v>80396.93688600001</v>
      </c>
      <c r="G289" s="17">
        <v>76000.577957089539</v>
      </c>
    </row>
    <row r="290" spans="1:7" ht="11.25" customHeight="1" x14ac:dyDescent="0.2">
      <c r="A290" s="25" t="s">
        <v>25</v>
      </c>
      <c r="B290" s="17">
        <v>0</v>
      </c>
      <c r="C290" s="17">
        <v>80396.93688600001</v>
      </c>
      <c r="D290" s="17">
        <v>0</v>
      </c>
      <c r="E290" s="17">
        <v>76000.577957089539</v>
      </c>
      <c r="F290" s="17">
        <v>80396.93688600001</v>
      </c>
      <c r="G290" s="17">
        <v>76000.577957089539</v>
      </c>
    </row>
    <row r="291" spans="1:7" ht="11.25" customHeight="1" x14ac:dyDescent="0.2">
      <c r="A291" s="26" t="s">
        <v>25</v>
      </c>
      <c r="B291" s="17">
        <v>0</v>
      </c>
      <c r="C291" s="17">
        <v>80396.93688600001</v>
      </c>
      <c r="D291" s="17">
        <v>0</v>
      </c>
      <c r="E291" s="17">
        <v>76000.577957089539</v>
      </c>
      <c r="F291" s="17">
        <v>80396.93688600001</v>
      </c>
      <c r="G291" s="17">
        <v>76000.577957089539</v>
      </c>
    </row>
    <row r="292" spans="1:7" ht="11.25" customHeight="1" x14ac:dyDescent="0.2">
      <c r="A292" s="27">
        <v>44378</v>
      </c>
      <c r="B292" s="17">
        <v>0</v>
      </c>
      <c r="C292" s="17">
        <v>484.07550800000001</v>
      </c>
      <c r="D292" s="17">
        <v>0</v>
      </c>
      <c r="E292" s="17">
        <v>457.60472734227005</v>
      </c>
      <c r="F292" s="17">
        <v>484.07550800000001</v>
      </c>
      <c r="G292" s="17">
        <v>457.60472734227005</v>
      </c>
    </row>
    <row r="293" spans="1:7" ht="11.25" customHeight="1" x14ac:dyDescent="0.2">
      <c r="A293" s="27">
        <v>44409</v>
      </c>
      <c r="B293" s="17">
        <v>0</v>
      </c>
      <c r="C293" s="17">
        <v>348.89685600000007</v>
      </c>
      <c r="D293" s="17">
        <v>0</v>
      </c>
      <c r="E293" s="17">
        <v>329.81807181299337</v>
      </c>
      <c r="F293" s="17">
        <v>348.89685600000007</v>
      </c>
      <c r="G293" s="17">
        <v>329.81807181299337</v>
      </c>
    </row>
    <row r="294" spans="1:7" ht="11.25" customHeight="1" x14ac:dyDescent="0.2">
      <c r="A294" s="27">
        <v>44440</v>
      </c>
      <c r="B294" s="17">
        <v>0</v>
      </c>
      <c r="C294" s="17">
        <v>599.61927200000014</v>
      </c>
      <c r="D294" s="17">
        <v>0</v>
      </c>
      <c r="E294" s="17">
        <v>566.83019268293663</v>
      </c>
      <c r="F294" s="17">
        <v>599.61927200000014</v>
      </c>
      <c r="G294" s="17">
        <v>566.83019268293663</v>
      </c>
    </row>
    <row r="295" spans="1:7" ht="11.25" customHeight="1" x14ac:dyDescent="0.2">
      <c r="A295" s="27">
        <v>44470</v>
      </c>
      <c r="B295" s="17">
        <v>0</v>
      </c>
      <c r="C295" s="17">
        <v>522.59009600000002</v>
      </c>
      <c r="D295" s="17">
        <v>0</v>
      </c>
      <c r="E295" s="17">
        <v>494.01321578915883</v>
      </c>
      <c r="F295" s="17">
        <v>522.59009600000002</v>
      </c>
      <c r="G295" s="17">
        <v>494.01321578915883</v>
      </c>
    </row>
    <row r="296" spans="1:7" ht="11.25" customHeight="1" x14ac:dyDescent="0.2">
      <c r="A296" s="27">
        <v>44501</v>
      </c>
      <c r="B296" s="17">
        <v>0</v>
      </c>
      <c r="C296" s="17">
        <v>8399.5785300000007</v>
      </c>
      <c r="D296" s="17">
        <v>0</v>
      </c>
      <c r="E296" s="17">
        <v>7940.2629951082663</v>
      </c>
      <c r="F296" s="17">
        <v>8399.5785300000007</v>
      </c>
      <c r="G296" s="17">
        <v>7940.2629951082663</v>
      </c>
    </row>
    <row r="297" spans="1:7" ht="11.25" customHeight="1" x14ac:dyDescent="0.2">
      <c r="A297" s="27">
        <v>44531</v>
      </c>
      <c r="B297" s="17">
        <v>0</v>
      </c>
      <c r="C297" s="17">
        <v>13898.102358000002</v>
      </c>
      <c r="D297" s="17">
        <v>0</v>
      </c>
      <c r="E297" s="17">
        <v>13138.110139849403</v>
      </c>
      <c r="F297" s="17">
        <v>13898.102358000002</v>
      </c>
      <c r="G297" s="17">
        <v>13138.110139849403</v>
      </c>
    </row>
    <row r="298" spans="1:7" ht="11.25" customHeight="1" x14ac:dyDescent="0.2">
      <c r="A298" s="27">
        <v>44562</v>
      </c>
      <c r="B298" s="17">
        <v>0</v>
      </c>
      <c r="C298" s="17">
        <v>29889.208257999999</v>
      </c>
      <c r="D298" s="17">
        <v>0</v>
      </c>
      <c r="E298" s="17">
        <v>28254.771764611593</v>
      </c>
      <c r="F298" s="17">
        <v>29889.208257999999</v>
      </c>
      <c r="G298" s="17">
        <v>28254.771764611593</v>
      </c>
    </row>
    <row r="299" spans="1:7" ht="11.25" customHeight="1" x14ac:dyDescent="0.2">
      <c r="A299" s="27">
        <v>44593</v>
      </c>
      <c r="B299" s="17">
        <v>0</v>
      </c>
      <c r="C299" s="17">
        <v>10292.457251999998</v>
      </c>
      <c r="D299" s="17">
        <v>0</v>
      </c>
      <c r="E299" s="17">
        <v>9729.6331184833016</v>
      </c>
      <c r="F299" s="17">
        <v>10292.457251999998</v>
      </c>
      <c r="G299" s="17">
        <v>9729.6331184833016</v>
      </c>
    </row>
    <row r="300" spans="1:7" ht="11.25" customHeight="1" x14ac:dyDescent="0.2">
      <c r="A300" s="27">
        <v>44621</v>
      </c>
      <c r="B300" s="17">
        <v>0</v>
      </c>
      <c r="C300" s="17">
        <v>9901.6474620000008</v>
      </c>
      <c r="D300" s="17">
        <v>0</v>
      </c>
      <c r="E300" s="17">
        <v>9360.194044536931</v>
      </c>
      <c r="F300" s="17">
        <v>9901.6474620000008</v>
      </c>
      <c r="G300" s="17">
        <v>9360.194044536931</v>
      </c>
    </row>
    <row r="301" spans="1:7" ht="11.25" customHeight="1" x14ac:dyDescent="0.2">
      <c r="A301" s="27">
        <v>44652</v>
      </c>
      <c r="B301" s="17">
        <v>0</v>
      </c>
      <c r="C301" s="17">
        <v>910.37913400000014</v>
      </c>
      <c r="D301" s="17">
        <v>0</v>
      </c>
      <c r="E301" s="17">
        <v>860.59672201420676</v>
      </c>
      <c r="F301" s="17">
        <v>910.37913400000014</v>
      </c>
      <c r="G301" s="17">
        <v>860.59672201420676</v>
      </c>
    </row>
    <row r="302" spans="1:7" ht="11.25" customHeight="1" x14ac:dyDescent="0.2">
      <c r="A302" s="27">
        <v>44682</v>
      </c>
      <c r="B302" s="17">
        <v>0</v>
      </c>
      <c r="C302" s="17">
        <v>2575.1910800000005</v>
      </c>
      <c r="D302" s="17">
        <v>0</v>
      </c>
      <c r="E302" s="17">
        <v>2434.3714824292374</v>
      </c>
      <c r="F302" s="17">
        <v>2575.1910800000005</v>
      </c>
      <c r="G302" s="17">
        <v>2434.3714824292374</v>
      </c>
    </row>
    <row r="303" spans="1:7" ht="11.25" customHeight="1" x14ac:dyDescent="0.2">
      <c r="A303" s="27">
        <v>44713</v>
      </c>
      <c r="B303" s="17">
        <v>0</v>
      </c>
      <c r="C303" s="17">
        <v>2575.1910800000005</v>
      </c>
      <c r="D303" s="17">
        <v>0</v>
      </c>
      <c r="E303" s="17">
        <v>2434.3714824292374</v>
      </c>
      <c r="F303" s="17">
        <v>2575.1910800000005</v>
      </c>
      <c r="G303" s="17">
        <v>2434.3714824292374</v>
      </c>
    </row>
    <row r="304" spans="1:7" ht="11.25" customHeight="1" x14ac:dyDescent="0.2">
      <c r="A304" s="23" t="s">
        <v>54</v>
      </c>
      <c r="B304" s="17">
        <v>0</v>
      </c>
      <c r="C304" s="17">
        <v>10729.711104000002</v>
      </c>
      <c r="D304" s="17">
        <v>0</v>
      </c>
      <c r="E304" s="17">
        <v>10142.976546145042</v>
      </c>
      <c r="F304" s="17">
        <v>10729.711104000002</v>
      </c>
      <c r="G304" s="17">
        <v>10142.976546145042</v>
      </c>
    </row>
    <row r="305" spans="1:7" ht="11.25" customHeight="1" x14ac:dyDescent="0.2">
      <c r="A305" s="24" t="s">
        <v>53</v>
      </c>
      <c r="B305" s="17">
        <v>0</v>
      </c>
      <c r="C305" s="17">
        <v>10729.711104000002</v>
      </c>
      <c r="D305" s="17">
        <v>0</v>
      </c>
      <c r="E305" s="17">
        <v>10142.976546145042</v>
      </c>
      <c r="F305" s="17">
        <v>10729.711104000002</v>
      </c>
      <c r="G305" s="17">
        <v>10142.976546145042</v>
      </c>
    </row>
    <row r="306" spans="1:7" ht="11.25" customHeight="1" x14ac:dyDescent="0.2">
      <c r="A306" s="25" t="s">
        <v>25</v>
      </c>
      <c r="B306" s="17">
        <v>0</v>
      </c>
      <c r="C306" s="17">
        <v>10729.711104000002</v>
      </c>
      <c r="D306" s="17">
        <v>0</v>
      </c>
      <c r="E306" s="17">
        <v>10142.976546145042</v>
      </c>
      <c r="F306" s="17">
        <v>10729.711104000002</v>
      </c>
      <c r="G306" s="17">
        <v>10142.976546145042</v>
      </c>
    </row>
    <row r="307" spans="1:7" ht="11.25" customHeight="1" x14ac:dyDescent="0.2">
      <c r="A307" s="26" t="s">
        <v>25</v>
      </c>
      <c r="B307" s="17">
        <v>0</v>
      </c>
      <c r="C307" s="17">
        <v>10729.711104000002</v>
      </c>
      <c r="D307" s="17">
        <v>0</v>
      </c>
      <c r="E307" s="17">
        <v>10142.976546145042</v>
      </c>
      <c r="F307" s="17">
        <v>10729.711104000002</v>
      </c>
      <c r="G307" s="17">
        <v>10142.976546145042</v>
      </c>
    </row>
    <row r="308" spans="1:7" ht="11.25" customHeight="1" x14ac:dyDescent="0.2">
      <c r="A308" s="27">
        <v>44378</v>
      </c>
      <c r="B308" s="17">
        <v>0</v>
      </c>
      <c r="C308" s="17">
        <v>663.81025199999999</v>
      </c>
      <c r="D308" s="17">
        <v>0</v>
      </c>
      <c r="E308" s="17">
        <v>627.51100676108479</v>
      </c>
      <c r="F308" s="17">
        <v>663.81025199999999</v>
      </c>
      <c r="G308" s="17">
        <v>627.51100676108479</v>
      </c>
    </row>
    <row r="309" spans="1:7" ht="11.25" customHeight="1" x14ac:dyDescent="0.2">
      <c r="A309" s="27">
        <v>44409</v>
      </c>
      <c r="B309" s="17">
        <v>0</v>
      </c>
      <c r="C309" s="17">
        <v>279.41955999999999</v>
      </c>
      <c r="D309" s="17">
        <v>0</v>
      </c>
      <c r="E309" s="17">
        <v>264.1400142225271</v>
      </c>
      <c r="F309" s="17">
        <v>279.41955999999999</v>
      </c>
      <c r="G309" s="17">
        <v>264.1400142225271</v>
      </c>
    </row>
    <row r="310" spans="1:7" ht="11.25" customHeight="1" x14ac:dyDescent="0.2">
      <c r="A310" s="27">
        <v>44440</v>
      </c>
      <c r="B310" s="17">
        <v>0</v>
      </c>
      <c r="C310" s="17">
        <v>904.33762999999999</v>
      </c>
      <c r="D310" s="17">
        <v>0</v>
      </c>
      <c r="E310" s="17">
        <v>854.88558657155738</v>
      </c>
      <c r="F310" s="17">
        <v>904.33762999999999</v>
      </c>
      <c r="G310" s="17">
        <v>854.88558657155738</v>
      </c>
    </row>
    <row r="311" spans="1:7" ht="11.25" customHeight="1" x14ac:dyDescent="0.2">
      <c r="A311" s="27">
        <v>44470</v>
      </c>
      <c r="B311" s="17">
        <v>0</v>
      </c>
      <c r="C311" s="17">
        <v>902.44966000000011</v>
      </c>
      <c r="D311" s="17">
        <v>0</v>
      </c>
      <c r="E311" s="17">
        <v>853.10085674572974</v>
      </c>
      <c r="F311" s="17">
        <v>902.44966000000011</v>
      </c>
      <c r="G311" s="17">
        <v>853.10085674572974</v>
      </c>
    </row>
    <row r="312" spans="1:7" ht="11.25" customHeight="1" x14ac:dyDescent="0.2">
      <c r="A312" s="27">
        <v>44501</v>
      </c>
      <c r="B312" s="17">
        <v>0</v>
      </c>
      <c r="C312" s="17">
        <v>436.12107000000003</v>
      </c>
      <c r="D312" s="17">
        <v>0</v>
      </c>
      <c r="E312" s="17">
        <v>412.27258976624171</v>
      </c>
      <c r="F312" s="17">
        <v>436.12107000000003</v>
      </c>
      <c r="G312" s="17">
        <v>412.27258976624171</v>
      </c>
    </row>
    <row r="313" spans="1:7" ht="11.25" customHeight="1" x14ac:dyDescent="0.2">
      <c r="A313" s="27">
        <v>44531</v>
      </c>
      <c r="B313" s="17">
        <v>0</v>
      </c>
      <c r="C313" s="17">
        <v>898.29612599999996</v>
      </c>
      <c r="D313" s="17">
        <v>0</v>
      </c>
      <c r="E313" s="17">
        <v>849.17445112890823</v>
      </c>
      <c r="F313" s="17">
        <v>898.29612599999996</v>
      </c>
      <c r="G313" s="17">
        <v>849.17445112890823</v>
      </c>
    </row>
    <row r="314" spans="1:7" ht="11.25" customHeight="1" x14ac:dyDescent="0.2">
      <c r="A314" s="27">
        <v>44562</v>
      </c>
      <c r="B314" s="17">
        <v>0</v>
      </c>
      <c r="C314" s="17">
        <v>2640.514842</v>
      </c>
      <c r="D314" s="17">
        <v>0</v>
      </c>
      <c r="E314" s="17">
        <v>2496.1231344028815</v>
      </c>
      <c r="F314" s="17">
        <v>2640.514842</v>
      </c>
      <c r="G314" s="17">
        <v>2496.1231344028815</v>
      </c>
    </row>
    <row r="315" spans="1:7" ht="11.25" customHeight="1" x14ac:dyDescent="0.2">
      <c r="A315" s="27">
        <v>44593</v>
      </c>
      <c r="B315" s="17">
        <v>0</v>
      </c>
      <c r="C315" s="17">
        <v>372.30768399999999</v>
      </c>
      <c r="D315" s="17">
        <v>0</v>
      </c>
      <c r="E315" s="17">
        <v>351.94872165325916</v>
      </c>
      <c r="F315" s="17">
        <v>372.30768399999999</v>
      </c>
      <c r="G315" s="17">
        <v>351.94872165325916</v>
      </c>
    </row>
    <row r="316" spans="1:7" ht="11.25" customHeight="1" x14ac:dyDescent="0.2">
      <c r="A316" s="27">
        <v>44621</v>
      </c>
      <c r="B316" s="17">
        <v>0</v>
      </c>
      <c r="C316" s="17">
        <v>893.38740400000017</v>
      </c>
      <c r="D316" s="17">
        <v>0</v>
      </c>
      <c r="E316" s="17">
        <v>844.53415358175585</v>
      </c>
      <c r="F316" s="17">
        <v>893.38740400000017</v>
      </c>
      <c r="G316" s="17">
        <v>844.53415358175585</v>
      </c>
    </row>
    <row r="317" spans="1:7" ht="11.25" customHeight="1" x14ac:dyDescent="0.2">
      <c r="A317" s="27">
        <v>44652</v>
      </c>
      <c r="B317" s="17">
        <v>0</v>
      </c>
      <c r="C317" s="17">
        <v>1520.9486319999996</v>
      </c>
      <c r="D317" s="17">
        <v>0</v>
      </c>
      <c r="E317" s="17">
        <v>1437.7783476869447</v>
      </c>
      <c r="F317" s="17">
        <v>1520.9486319999996</v>
      </c>
      <c r="G317" s="17">
        <v>1437.7783476869447</v>
      </c>
    </row>
    <row r="318" spans="1:7" ht="11.25" customHeight="1" x14ac:dyDescent="0.2">
      <c r="A318" s="27">
        <v>44682</v>
      </c>
      <c r="B318" s="17">
        <v>0</v>
      </c>
      <c r="C318" s="17">
        <v>609.059122</v>
      </c>
      <c r="D318" s="17">
        <v>0</v>
      </c>
      <c r="E318" s="17">
        <v>575.75384181207608</v>
      </c>
      <c r="F318" s="17">
        <v>609.059122</v>
      </c>
      <c r="G318" s="17">
        <v>575.75384181207608</v>
      </c>
    </row>
    <row r="319" spans="1:7" ht="11.25" customHeight="1" x14ac:dyDescent="0.2">
      <c r="A319" s="27">
        <v>44713</v>
      </c>
      <c r="B319" s="17">
        <v>0</v>
      </c>
      <c r="C319" s="17">
        <v>609.059122</v>
      </c>
      <c r="D319" s="17">
        <v>0</v>
      </c>
      <c r="E319" s="17">
        <v>575.75384181207608</v>
      </c>
      <c r="F319" s="17">
        <v>609.059122</v>
      </c>
      <c r="G319" s="17">
        <v>575.75384181207608</v>
      </c>
    </row>
    <row r="320" spans="1:7" ht="11.25" customHeight="1" x14ac:dyDescent="0.2">
      <c r="A320" s="19" t="s">
        <v>727</v>
      </c>
      <c r="B320" s="17">
        <v>21597.284800000005</v>
      </c>
      <c r="C320" s="17">
        <v>1332301.2798088007</v>
      </c>
      <c r="D320" s="17">
        <v>15420.334118204682</v>
      </c>
      <c r="E320" s="17">
        <v>671133.21957436367</v>
      </c>
      <c r="F320" s="17">
        <v>1353898.5646088009</v>
      </c>
      <c r="G320" s="17">
        <v>686553.55369256844</v>
      </c>
    </row>
    <row r="321" spans="1:7" ht="11.25" customHeight="1" x14ac:dyDescent="0.2">
      <c r="A321" s="20" t="s">
        <v>38</v>
      </c>
      <c r="B321" s="17">
        <v>21597.284800000005</v>
      </c>
      <c r="C321" s="17">
        <v>39751.90924880001</v>
      </c>
      <c r="D321" s="17">
        <v>15420.334118204682</v>
      </c>
      <c r="E321" s="17">
        <v>36657.716528712815</v>
      </c>
      <c r="F321" s="17">
        <v>61349.194048800025</v>
      </c>
      <c r="G321" s="17">
        <v>52078.050646917502</v>
      </c>
    </row>
    <row r="322" spans="1:7" ht="11.25" customHeight="1" x14ac:dyDescent="0.2">
      <c r="A322" s="21" t="s">
        <v>40</v>
      </c>
      <c r="B322" s="17">
        <v>21597.284800000005</v>
      </c>
      <c r="C322" s="17">
        <v>39751.90924880001</v>
      </c>
      <c r="D322" s="17">
        <v>15420.334118204682</v>
      </c>
      <c r="E322" s="17">
        <v>36657.716528712815</v>
      </c>
      <c r="F322" s="17">
        <v>61349.194048800025</v>
      </c>
      <c r="G322" s="17">
        <v>52078.050646917502</v>
      </c>
    </row>
    <row r="323" spans="1:7" ht="11.25" customHeight="1" x14ac:dyDescent="0.2">
      <c r="A323" s="22" t="s">
        <v>43</v>
      </c>
      <c r="B323" s="17">
        <v>21597.284800000005</v>
      </c>
      <c r="C323" s="17">
        <v>39751.90924880001</v>
      </c>
      <c r="D323" s="17">
        <v>15420.334118204682</v>
      </c>
      <c r="E323" s="17">
        <v>36657.716528712815</v>
      </c>
      <c r="F323" s="17">
        <v>61349.194048800025</v>
      </c>
      <c r="G323" s="17">
        <v>52078.050646917502</v>
      </c>
    </row>
    <row r="324" spans="1:7" ht="11.25" customHeight="1" x14ac:dyDescent="0.2">
      <c r="A324" s="23" t="s">
        <v>51</v>
      </c>
      <c r="B324" s="17">
        <v>15575.164799999999</v>
      </c>
      <c r="C324" s="17">
        <v>19684.780012800005</v>
      </c>
      <c r="D324" s="17">
        <v>11120.575914343668</v>
      </c>
      <c r="E324" s="17">
        <v>18521.463876117035</v>
      </c>
      <c r="F324" s="17">
        <v>35259.944812800015</v>
      </c>
      <c r="G324" s="17">
        <v>29642.039790460709</v>
      </c>
    </row>
    <row r="325" spans="1:7" ht="11.25" customHeight="1" x14ac:dyDescent="0.2">
      <c r="A325" s="24" t="s">
        <v>25</v>
      </c>
      <c r="B325" s="17">
        <v>15575.164799999999</v>
      </c>
      <c r="C325" s="17">
        <v>19684.780012800005</v>
      </c>
      <c r="D325" s="17">
        <v>11120.575914343668</v>
      </c>
      <c r="E325" s="17">
        <v>18521.463876117035</v>
      </c>
      <c r="F325" s="17">
        <v>35259.944812800015</v>
      </c>
      <c r="G325" s="17">
        <v>29642.039790460709</v>
      </c>
    </row>
    <row r="326" spans="1:7" ht="11.25" customHeight="1" x14ac:dyDescent="0.2">
      <c r="A326" s="25" t="s">
        <v>25</v>
      </c>
      <c r="B326" s="17">
        <v>15575.164799999999</v>
      </c>
      <c r="C326" s="17">
        <v>19684.780012800005</v>
      </c>
      <c r="D326" s="17">
        <v>11120.575914343668</v>
      </c>
      <c r="E326" s="17">
        <v>18521.463876117035</v>
      </c>
      <c r="F326" s="17">
        <v>35259.944812800015</v>
      </c>
      <c r="G326" s="17">
        <v>29642.039790460709</v>
      </c>
    </row>
    <row r="327" spans="1:7" ht="11.25" customHeight="1" x14ac:dyDescent="0.2">
      <c r="A327" s="26" t="s">
        <v>34</v>
      </c>
      <c r="B327" s="17">
        <v>0</v>
      </c>
      <c r="C327" s="17">
        <v>15735.687590400006</v>
      </c>
      <c r="D327" s="17">
        <v>0</v>
      </c>
      <c r="E327" s="17">
        <v>15468.868255963422</v>
      </c>
      <c r="F327" s="17">
        <v>15735.68759040001</v>
      </c>
      <c r="G327" s="17">
        <v>15468.868255963427</v>
      </c>
    </row>
    <row r="328" spans="1:7" ht="11.25" customHeight="1" x14ac:dyDescent="0.2">
      <c r="A328" s="27">
        <v>44378</v>
      </c>
      <c r="B328" s="17">
        <v>0</v>
      </c>
      <c r="C328" s="17">
        <v>166.87073040000041</v>
      </c>
      <c r="D328" s="17">
        <v>0</v>
      </c>
      <c r="E328" s="17">
        <v>164.04121710631773</v>
      </c>
      <c r="F328" s="17">
        <v>166.87073040000041</v>
      </c>
      <c r="G328" s="17">
        <v>164.04121710631773</v>
      </c>
    </row>
    <row r="329" spans="1:7" ht="11.25" customHeight="1" x14ac:dyDescent="0.2">
      <c r="A329" s="27">
        <v>44409</v>
      </c>
      <c r="B329" s="17">
        <v>0</v>
      </c>
      <c r="C329" s="17">
        <v>221.41537360000066</v>
      </c>
      <c r="D329" s="17">
        <v>0</v>
      </c>
      <c r="E329" s="17">
        <v>217.66098395044878</v>
      </c>
      <c r="F329" s="17">
        <v>221.41537360000066</v>
      </c>
      <c r="G329" s="17">
        <v>217.66098395044878</v>
      </c>
    </row>
    <row r="330" spans="1:7" ht="11.25" customHeight="1" x14ac:dyDescent="0.2">
      <c r="A330" s="27">
        <v>44440</v>
      </c>
      <c r="B330" s="17">
        <v>0</v>
      </c>
      <c r="C330" s="17">
        <v>206.93426480000008</v>
      </c>
      <c r="D330" s="17">
        <v>0</v>
      </c>
      <c r="E330" s="17">
        <v>203.42542144702549</v>
      </c>
      <c r="F330" s="17">
        <v>206.93426480000008</v>
      </c>
      <c r="G330" s="17">
        <v>203.42542144702549</v>
      </c>
    </row>
    <row r="331" spans="1:7" ht="11.25" customHeight="1" x14ac:dyDescent="0.2">
      <c r="A331" s="27">
        <v>44470</v>
      </c>
      <c r="B331" s="17">
        <v>0</v>
      </c>
      <c r="C331" s="17">
        <v>340.98201520000009</v>
      </c>
      <c r="D331" s="17">
        <v>0</v>
      </c>
      <c r="E331" s="17">
        <v>335.200215464346</v>
      </c>
      <c r="F331" s="17">
        <v>340.98201520000009</v>
      </c>
      <c r="G331" s="17">
        <v>335.200215464346</v>
      </c>
    </row>
    <row r="332" spans="1:7" ht="11.25" customHeight="1" x14ac:dyDescent="0.2">
      <c r="A332" s="27">
        <v>44501</v>
      </c>
      <c r="B332" s="17">
        <v>0</v>
      </c>
      <c r="C332" s="17">
        <v>3032.6223656000016</v>
      </c>
      <c r="D332" s="17">
        <v>0</v>
      </c>
      <c r="E332" s="17">
        <v>2981.2002541391366</v>
      </c>
      <c r="F332" s="17">
        <v>3032.6223656000016</v>
      </c>
      <c r="G332" s="17">
        <v>2981.2002541391366</v>
      </c>
    </row>
    <row r="333" spans="1:7" ht="11.25" customHeight="1" x14ac:dyDescent="0.2">
      <c r="A333" s="27">
        <v>44531</v>
      </c>
      <c r="B333" s="17">
        <v>0</v>
      </c>
      <c r="C333" s="17">
        <v>5930.4820247999978</v>
      </c>
      <c r="D333" s="17">
        <v>0</v>
      </c>
      <c r="E333" s="17">
        <v>5829.9228812827714</v>
      </c>
      <c r="F333" s="17">
        <v>5930.4820247999978</v>
      </c>
      <c r="G333" s="17">
        <v>5829.9228812827714</v>
      </c>
    </row>
    <row r="334" spans="1:7" ht="11.25" customHeight="1" x14ac:dyDescent="0.2">
      <c r="A334" s="27">
        <v>44562</v>
      </c>
      <c r="B334" s="17">
        <v>0</v>
      </c>
      <c r="C334" s="17">
        <v>3356.4324376000054</v>
      </c>
      <c r="D334" s="17">
        <v>0</v>
      </c>
      <c r="E334" s="17">
        <v>3299.5196993458376</v>
      </c>
      <c r="F334" s="17">
        <v>3356.4324376000054</v>
      </c>
      <c r="G334" s="17">
        <v>3299.5196993458376</v>
      </c>
    </row>
    <row r="335" spans="1:7" ht="11.25" customHeight="1" x14ac:dyDescent="0.2">
      <c r="A335" s="27">
        <v>44593</v>
      </c>
      <c r="B335" s="17">
        <v>0</v>
      </c>
      <c r="C335" s="17">
        <v>1638.2371792000022</v>
      </c>
      <c r="D335" s="17">
        <v>0</v>
      </c>
      <c r="E335" s="17">
        <v>1610.4587074114493</v>
      </c>
      <c r="F335" s="17">
        <v>1638.2371792000022</v>
      </c>
      <c r="G335" s="17">
        <v>1610.4587074114493</v>
      </c>
    </row>
    <row r="336" spans="1:7" ht="11.25" customHeight="1" x14ac:dyDescent="0.2">
      <c r="A336" s="27">
        <v>44621</v>
      </c>
      <c r="B336" s="17">
        <v>0</v>
      </c>
      <c r="C336" s="17">
        <v>295.60180800000029</v>
      </c>
      <c r="D336" s="17">
        <v>0</v>
      </c>
      <c r="E336" s="17">
        <v>290.58948952229179</v>
      </c>
      <c r="F336" s="17">
        <v>295.60180800000029</v>
      </c>
      <c r="G336" s="17">
        <v>290.58948952229179</v>
      </c>
    </row>
    <row r="337" spans="1:7" ht="11.25" customHeight="1" x14ac:dyDescent="0.2">
      <c r="A337" s="27">
        <v>44652</v>
      </c>
      <c r="B337" s="17">
        <v>0</v>
      </c>
      <c r="C337" s="17">
        <v>131.64289839999978</v>
      </c>
      <c r="D337" s="17">
        <v>0</v>
      </c>
      <c r="E337" s="17">
        <v>129.41071945436414</v>
      </c>
      <c r="F337" s="17">
        <v>131.64289839999978</v>
      </c>
      <c r="G337" s="17">
        <v>129.41071945436414</v>
      </c>
    </row>
    <row r="338" spans="1:7" ht="11.25" customHeight="1" x14ac:dyDescent="0.2">
      <c r="A338" s="27">
        <v>44682</v>
      </c>
      <c r="B338" s="17">
        <v>0</v>
      </c>
      <c r="C338" s="17">
        <v>207.23324639999979</v>
      </c>
      <c r="D338" s="17">
        <v>0</v>
      </c>
      <c r="E338" s="17">
        <v>203.71933341971709</v>
      </c>
      <c r="F338" s="17">
        <v>207.23324639999979</v>
      </c>
      <c r="G338" s="17">
        <v>203.71933341971709</v>
      </c>
    </row>
    <row r="339" spans="1:7" ht="11.25" customHeight="1" x14ac:dyDescent="0.2">
      <c r="A339" s="27">
        <v>44713</v>
      </c>
      <c r="B339" s="17">
        <v>0</v>
      </c>
      <c r="C339" s="17">
        <v>207.23324639999979</v>
      </c>
      <c r="D339" s="17">
        <v>0</v>
      </c>
      <c r="E339" s="17">
        <v>203.71933341971709</v>
      </c>
      <c r="F339" s="17">
        <v>207.23324639999979</v>
      </c>
      <c r="G339" s="17">
        <v>203.71933341971709</v>
      </c>
    </row>
    <row r="340" spans="1:7" ht="11.25" customHeight="1" x14ac:dyDescent="0.2">
      <c r="A340" s="26" t="s">
        <v>25</v>
      </c>
      <c r="B340" s="17">
        <v>15575.164799999999</v>
      </c>
      <c r="C340" s="17">
        <v>0</v>
      </c>
      <c r="D340" s="17">
        <v>11120.575914343668</v>
      </c>
      <c r="E340" s="17">
        <v>0</v>
      </c>
      <c r="F340" s="17">
        <v>15575.164800000002</v>
      </c>
      <c r="G340" s="17">
        <v>11120.575914343668</v>
      </c>
    </row>
    <row r="341" spans="1:7" ht="11.25" customHeight="1" x14ac:dyDescent="0.2">
      <c r="A341" s="27">
        <v>44378</v>
      </c>
      <c r="B341" s="17">
        <v>346.32</v>
      </c>
      <c r="C341" s="17">
        <v>0</v>
      </c>
      <c r="D341" s="17">
        <v>247.27043983865252</v>
      </c>
      <c r="E341" s="17">
        <v>0</v>
      </c>
      <c r="F341" s="17">
        <v>346.32</v>
      </c>
      <c r="G341" s="17">
        <v>247.27043983865252</v>
      </c>
    </row>
    <row r="342" spans="1:7" ht="11.25" customHeight="1" x14ac:dyDescent="0.2">
      <c r="A342" s="27">
        <v>44409</v>
      </c>
      <c r="B342" s="17">
        <v>507.16640000000012</v>
      </c>
      <c r="C342" s="17">
        <v>0</v>
      </c>
      <c r="D342" s="17">
        <v>362.11382189704904</v>
      </c>
      <c r="E342" s="17">
        <v>0</v>
      </c>
      <c r="F342" s="17">
        <v>507.16640000000012</v>
      </c>
      <c r="G342" s="17">
        <v>362.11382189704904</v>
      </c>
    </row>
    <row r="343" spans="1:7" ht="11.25" customHeight="1" x14ac:dyDescent="0.2">
      <c r="A343" s="27">
        <v>44440</v>
      </c>
      <c r="B343" s="17">
        <v>684.94400000000041</v>
      </c>
      <c r="C343" s="17">
        <v>0</v>
      </c>
      <c r="D343" s="17">
        <v>489.0459810142242</v>
      </c>
      <c r="E343" s="17">
        <v>0</v>
      </c>
      <c r="F343" s="17">
        <v>684.94400000000041</v>
      </c>
      <c r="G343" s="17">
        <v>489.0459810142242</v>
      </c>
    </row>
    <row r="344" spans="1:7" ht="11.25" customHeight="1" x14ac:dyDescent="0.2">
      <c r="A344" s="27">
        <v>44470</v>
      </c>
      <c r="B344" s="17">
        <v>1064.3567999999998</v>
      </c>
      <c r="C344" s="17">
        <v>0</v>
      </c>
      <c r="D344" s="17">
        <v>759.94448510412531</v>
      </c>
      <c r="E344" s="17">
        <v>0</v>
      </c>
      <c r="F344" s="17">
        <v>1064.3567999999998</v>
      </c>
      <c r="G344" s="17">
        <v>759.94448510412531</v>
      </c>
    </row>
    <row r="345" spans="1:7" ht="11.25" customHeight="1" x14ac:dyDescent="0.2">
      <c r="A345" s="27">
        <v>44501</v>
      </c>
      <c r="B345" s="17">
        <v>2398.0736000000043</v>
      </c>
      <c r="C345" s="17">
        <v>0</v>
      </c>
      <c r="D345" s="17">
        <v>1712.2104234160947</v>
      </c>
      <c r="E345" s="17">
        <v>0</v>
      </c>
      <c r="F345" s="17">
        <v>2398.0736000000043</v>
      </c>
      <c r="G345" s="17">
        <v>1712.2104234160947</v>
      </c>
    </row>
    <row r="346" spans="1:7" ht="11.25" customHeight="1" x14ac:dyDescent="0.2">
      <c r="A346" s="27">
        <v>44531</v>
      </c>
      <c r="B346" s="17">
        <v>2979.8911999999959</v>
      </c>
      <c r="C346" s="17">
        <v>0</v>
      </c>
      <c r="D346" s="17">
        <v>2127.6247623450254</v>
      </c>
      <c r="E346" s="17">
        <v>0</v>
      </c>
      <c r="F346" s="17">
        <v>2979.8911999999959</v>
      </c>
      <c r="G346" s="17">
        <v>2127.6247623450254</v>
      </c>
    </row>
    <row r="347" spans="1:7" ht="11.25" customHeight="1" x14ac:dyDescent="0.2">
      <c r="A347" s="27">
        <v>44562</v>
      </c>
      <c r="B347" s="17">
        <v>2927.5583999999999</v>
      </c>
      <c r="C347" s="17">
        <v>0</v>
      </c>
      <c r="D347" s="17">
        <v>2090.2594514360758</v>
      </c>
      <c r="E347" s="17">
        <v>0</v>
      </c>
      <c r="F347" s="17">
        <v>2927.5583999999999</v>
      </c>
      <c r="G347" s="17">
        <v>2090.2594514360758</v>
      </c>
    </row>
    <row r="348" spans="1:7" ht="11.25" customHeight="1" x14ac:dyDescent="0.2">
      <c r="A348" s="27">
        <v>44593</v>
      </c>
      <c r="B348" s="17">
        <v>2448.8672000000029</v>
      </c>
      <c r="C348" s="17">
        <v>0</v>
      </c>
      <c r="D348" s="17">
        <v>1748.4767545924296</v>
      </c>
      <c r="E348" s="17">
        <v>0</v>
      </c>
      <c r="F348" s="17">
        <v>2448.8672000000029</v>
      </c>
      <c r="G348" s="17">
        <v>1748.4767545924296</v>
      </c>
    </row>
    <row r="349" spans="1:7" ht="11.25" customHeight="1" x14ac:dyDescent="0.2">
      <c r="A349" s="27">
        <v>44621</v>
      </c>
      <c r="B349" s="17">
        <v>825.78079999999898</v>
      </c>
      <c r="C349" s="17">
        <v>0</v>
      </c>
      <c r="D349" s="17">
        <v>589.60262654860855</v>
      </c>
      <c r="E349" s="17">
        <v>0</v>
      </c>
      <c r="F349" s="17">
        <v>825.78079999999898</v>
      </c>
      <c r="G349" s="17">
        <v>589.60262654860855</v>
      </c>
    </row>
    <row r="350" spans="1:7" ht="11.25" customHeight="1" x14ac:dyDescent="0.2">
      <c r="A350" s="27">
        <v>44652</v>
      </c>
      <c r="B350" s="17">
        <v>364.02080000000058</v>
      </c>
      <c r="C350" s="17">
        <v>0</v>
      </c>
      <c r="D350" s="17">
        <v>259.90870676373964</v>
      </c>
      <c r="E350" s="17">
        <v>0</v>
      </c>
      <c r="F350" s="17">
        <v>364.02080000000058</v>
      </c>
      <c r="G350" s="17">
        <v>259.90870676373964</v>
      </c>
    </row>
    <row r="351" spans="1:7" ht="11.25" customHeight="1" x14ac:dyDescent="0.2">
      <c r="A351" s="27">
        <v>44682</v>
      </c>
      <c r="B351" s="17">
        <v>514.09279999999899</v>
      </c>
      <c r="C351" s="17">
        <v>0</v>
      </c>
      <c r="D351" s="17">
        <v>367.05923069382129</v>
      </c>
      <c r="E351" s="17">
        <v>0</v>
      </c>
      <c r="F351" s="17">
        <v>514.09279999999899</v>
      </c>
      <c r="G351" s="17">
        <v>367.05923069382129</v>
      </c>
    </row>
    <row r="352" spans="1:7" ht="11.25" customHeight="1" x14ac:dyDescent="0.2">
      <c r="A352" s="27">
        <v>44713</v>
      </c>
      <c r="B352" s="17">
        <v>514.09279999999899</v>
      </c>
      <c r="C352" s="17">
        <v>0</v>
      </c>
      <c r="D352" s="17">
        <v>367.05923069382129</v>
      </c>
      <c r="E352" s="17">
        <v>0</v>
      </c>
      <c r="F352" s="17">
        <v>514.09279999999899</v>
      </c>
      <c r="G352" s="17">
        <v>367.05923069382129</v>
      </c>
    </row>
    <row r="353" spans="1:7" ht="11.25" customHeight="1" x14ac:dyDescent="0.2">
      <c r="A353" s="26" t="s">
        <v>33</v>
      </c>
      <c r="B353" s="17">
        <v>0</v>
      </c>
      <c r="C353" s="17">
        <v>3949.092422400005</v>
      </c>
      <c r="D353" s="17">
        <v>0</v>
      </c>
      <c r="E353" s="17">
        <v>3052.5956201536137</v>
      </c>
      <c r="F353" s="17">
        <v>3949.0924224000055</v>
      </c>
      <c r="G353" s="17">
        <v>3052.5956201536137</v>
      </c>
    </row>
    <row r="354" spans="1:7" ht="11.25" customHeight="1" x14ac:dyDescent="0.2">
      <c r="A354" s="27">
        <v>44378</v>
      </c>
      <c r="B354" s="17">
        <v>0</v>
      </c>
      <c r="C354" s="17">
        <v>99.21375359999999</v>
      </c>
      <c r="D354" s="17">
        <v>0</v>
      </c>
      <c r="E354" s="17">
        <v>76.690904467184197</v>
      </c>
      <c r="F354" s="17">
        <v>99.21375359999999</v>
      </c>
      <c r="G354" s="17">
        <v>76.690904467184197</v>
      </c>
    </row>
    <row r="355" spans="1:7" ht="11.25" customHeight="1" x14ac:dyDescent="0.2">
      <c r="A355" s="27">
        <v>44409</v>
      </c>
      <c r="B355" s="17">
        <v>0</v>
      </c>
      <c r="C355" s="17">
        <v>124.99695360000025</v>
      </c>
      <c r="D355" s="17">
        <v>0</v>
      </c>
      <c r="E355" s="17">
        <v>96.620973195662629</v>
      </c>
      <c r="F355" s="17">
        <v>124.99695360000025</v>
      </c>
      <c r="G355" s="17">
        <v>96.620973195662629</v>
      </c>
    </row>
    <row r="356" spans="1:7" ht="11.25" customHeight="1" x14ac:dyDescent="0.2">
      <c r="A356" s="27">
        <v>44440</v>
      </c>
      <c r="B356" s="17">
        <v>0</v>
      </c>
      <c r="C356" s="17">
        <v>123.20931839999994</v>
      </c>
      <c r="D356" s="17">
        <v>0</v>
      </c>
      <c r="E356" s="17">
        <v>95.239155097154566</v>
      </c>
      <c r="F356" s="17">
        <v>123.20931839999994</v>
      </c>
      <c r="G356" s="17">
        <v>95.239155097154566</v>
      </c>
    </row>
    <row r="357" spans="1:7" ht="11.25" customHeight="1" x14ac:dyDescent="0.2">
      <c r="A357" s="27">
        <v>44470</v>
      </c>
      <c r="B357" s="17">
        <v>0</v>
      </c>
      <c r="C357" s="17">
        <v>122.17799040000025</v>
      </c>
      <c r="D357" s="17">
        <v>0</v>
      </c>
      <c r="E357" s="17">
        <v>94.441952348015676</v>
      </c>
      <c r="F357" s="17">
        <v>122.17799040000025</v>
      </c>
      <c r="G357" s="17">
        <v>94.441952348015676</v>
      </c>
    </row>
    <row r="358" spans="1:7" ht="11.25" customHeight="1" x14ac:dyDescent="0.2">
      <c r="A358" s="27">
        <v>44501</v>
      </c>
      <c r="B358" s="17">
        <v>0</v>
      </c>
      <c r="C358" s="17">
        <v>350.58276480000023</v>
      </c>
      <c r="D358" s="17">
        <v>0</v>
      </c>
      <c r="E358" s="17">
        <v>270.99578785736145</v>
      </c>
      <c r="F358" s="17">
        <v>350.58276480000023</v>
      </c>
      <c r="G358" s="17">
        <v>270.99578785736145</v>
      </c>
    </row>
    <row r="359" spans="1:7" ht="11.25" customHeight="1" x14ac:dyDescent="0.2">
      <c r="A359" s="27">
        <v>44531</v>
      </c>
      <c r="B359" s="17">
        <v>0</v>
      </c>
      <c r="C359" s="17">
        <v>1277.7466368000034</v>
      </c>
      <c r="D359" s="17">
        <v>0</v>
      </c>
      <c r="E359" s="17">
        <v>987.68105933344088</v>
      </c>
      <c r="F359" s="17">
        <v>1277.7466368000034</v>
      </c>
      <c r="G359" s="17">
        <v>987.68105933344088</v>
      </c>
    </row>
    <row r="360" spans="1:7" ht="11.25" customHeight="1" x14ac:dyDescent="0.2">
      <c r="A360" s="27">
        <v>44562</v>
      </c>
      <c r="B360" s="17">
        <v>0</v>
      </c>
      <c r="C360" s="17">
        <v>722.75466240000162</v>
      </c>
      <c r="D360" s="17">
        <v>0</v>
      </c>
      <c r="E360" s="17">
        <v>558.67968659670282</v>
      </c>
      <c r="F360" s="17">
        <v>722.75466240000162</v>
      </c>
      <c r="G360" s="17">
        <v>558.67968659670282</v>
      </c>
    </row>
    <row r="361" spans="1:7" ht="11.25" customHeight="1" x14ac:dyDescent="0.2">
      <c r="A361" s="27">
        <v>44593</v>
      </c>
      <c r="B361" s="17">
        <v>0</v>
      </c>
      <c r="C361" s="17">
        <v>494.7624191999991</v>
      </c>
      <c r="D361" s="17">
        <v>0</v>
      </c>
      <c r="E361" s="17">
        <v>382.4447321870108</v>
      </c>
      <c r="F361" s="17">
        <v>494.7624191999991</v>
      </c>
      <c r="G361" s="17">
        <v>382.4447321870108</v>
      </c>
    </row>
    <row r="362" spans="1:7" ht="11.25" customHeight="1" x14ac:dyDescent="0.2">
      <c r="A362" s="27">
        <v>44621</v>
      </c>
      <c r="B362" s="17">
        <v>0</v>
      </c>
      <c r="C362" s="17">
        <v>124.99695360000007</v>
      </c>
      <c r="D362" s="17">
        <v>0</v>
      </c>
      <c r="E362" s="17">
        <v>96.620973195662472</v>
      </c>
      <c r="F362" s="17">
        <v>124.99695360000007</v>
      </c>
      <c r="G362" s="17">
        <v>96.620973195662472</v>
      </c>
    </row>
    <row r="363" spans="1:7" ht="11.25" customHeight="1" x14ac:dyDescent="0.2">
      <c r="A363" s="27">
        <v>44652</v>
      </c>
      <c r="B363" s="17">
        <v>0</v>
      </c>
      <c r="C363" s="17">
        <v>99.557529600000166</v>
      </c>
      <c r="D363" s="17">
        <v>0</v>
      </c>
      <c r="E363" s="17">
        <v>76.956638716897373</v>
      </c>
      <c r="F363" s="17">
        <v>99.557529600000166</v>
      </c>
      <c r="G363" s="17">
        <v>76.956638716897373</v>
      </c>
    </row>
    <row r="364" spans="1:7" ht="11.25" customHeight="1" x14ac:dyDescent="0.2">
      <c r="A364" s="27">
        <v>44682</v>
      </c>
      <c r="B364" s="17">
        <v>0</v>
      </c>
      <c r="C364" s="17">
        <v>204.54672000000022</v>
      </c>
      <c r="D364" s="17">
        <v>0</v>
      </c>
      <c r="E364" s="17">
        <v>158.11187857926075</v>
      </c>
      <c r="F364" s="17">
        <v>204.54672000000022</v>
      </c>
      <c r="G364" s="17">
        <v>158.11187857926075</v>
      </c>
    </row>
    <row r="365" spans="1:7" ht="11.25" customHeight="1" x14ac:dyDescent="0.2">
      <c r="A365" s="27">
        <v>44713</v>
      </c>
      <c r="B365" s="17">
        <v>0</v>
      </c>
      <c r="C365" s="17">
        <v>204.54672000000022</v>
      </c>
      <c r="D365" s="17">
        <v>0</v>
      </c>
      <c r="E365" s="17">
        <v>158.11187857926075</v>
      </c>
      <c r="F365" s="17">
        <v>204.54672000000022</v>
      </c>
      <c r="G365" s="17">
        <v>158.11187857926075</v>
      </c>
    </row>
    <row r="366" spans="1:7" ht="11.25" customHeight="1" x14ac:dyDescent="0.2">
      <c r="A366" s="23" t="s">
        <v>25</v>
      </c>
      <c r="B366" s="17">
        <v>6022.1200000000017</v>
      </c>
      <c r="C366" s="17">
        <v>20067.129235999997</v>
      </c>
      <c r="D366" s="17">
        <v>4299.7582038610153</v>
      </c>
      <c r="E366" s="17">
        <v>18136.252652595795</v>
      </c>
      <c r="F366" s="17">
        <v>26089.249236</v>
      </c>
      <c r="G366" s="17">
        <v>22436.010856456811</v>
      </c>
    </row>
    <row r="367" spans="1:7" ht="11.25" customHeight="1" x14ac:dyDescent="0.2">
      <c r="A367" s="24" t="s">
        <v>25</v>
      </c>
      <c r="B367" s="17">
        <v>6022.1200000000017</v>
      </c>
      <c r="C367" s="17">
        <v>20067.129235999997</v>
      </c>
      <c r="D367" s="17">
        <v>4299.7582038610153</v>
      </c>
      <c r="E367" s="17">
        <v>18136.252652595795</v>
      </c>
      <c r="F367" s="17">
        <v>26089.249236</v>
      </c>
      <c r="G367" s="17">
        <v>22436.010856456811</v>
      </c>
    </row>
    <row r="368" spans="1:7" ht="11.25" customHeight="1" x14ac:dyDescent="0.2">
      <c r="A368" s="25" t="s">
        <v>25</v>
      </c>
      <c r="B368" s="17">
        <v>6022.1200000000017</v>
      </c>
      <c r="C368" s="17">
        <v>20067.129235999997</v>
      </c>
      <c r="D368" s="17">
        <v>4299.7582038610153</v>
      </c>
      <c r="E368" s="17">
        <v>18136.252652595795</v>
      </c>
      <c r="F368" s="17">
        <v>26089.249236</v>
      </c>
      <c r="G368" s="17">
        <v>22436.010856456811</v>
      </c>
    </row>
    <row r="369" spans="1:7" ht="11.25" customHeight="1" x14ac:dyDescent="0.2">
      <c r="A369" s="26" t="s">
        <v>34</v>
      </c>
      <c r="B369" s="17">
        <v>0</v>
      </c>
      <c r="C369" s="17">
        <v>12494.844039199994</v>
      </c>
      <c r="D369" s="17">
        <v>0</v>
      </c>
      <c r="E369" s="17">
        <v>12282.977481016529</v>
      </c>
      <c r="F369" s="17">
        <v>12494.844039199994</v>
      </c>
      <c r="G369" s="17">
        <v>12282.977481016529</v>
      </c>
    </row>
    <row r="370" spans="1:7" ht="11.25" customHeight="1" x14ac:dyDescent="0.2">
      <c r="A370" s="27">
        <v>44378</v>
      </c>
      <c r="B370" s="17">
        <v>0</v>
      </c>
      <c r="C370" s="17">
        <v>789.8313919999996</v>
      </c>
      <c r="D370" s="17">
        <v>0</v>
      </c>
      <c r="E370" s="17">
        <v>776.43875916334309</v>
      </c>
      <c r="F370" s="17">
        <v>789.8313919999996</v>
      </c>
      <c r="G370" s="17">
        <v>776.43875916334309</v>
      </c>
    </row>
    <row r="371" spans="1:7" ht="11.25" customHeight="1" x14ac:dyDescent="0.2">
      <c r="A371" s="27">
        <v>44409</v>
      </c>
      <c r="B371" s="17">
        <v>0</v>
      </c>
      <c r="C371" s="17">
        <v>494.48956799999985</v>
      </c>
      <c r="D371" s="17">
        <v>0</v>
      </c>
      <c r="E371" s="17">
        <v>486.10484526947948</v>
      </c>
      <c r="F371" s="17">
        <v>494.48956799999985</v>
      </c>
      <c r="G371" s="17">
        <v>486.10484526947948</v>
      </c>
    </row>
    <row r="372" spans="1:7" ht="11.25" customHeight="1" x14ac:dyDescent="0.2">
      <c r="A372" s="27">
        <v>44440</v>
      </c>
      <c r="B372" s="17">
        <v>0</v>
      </c>
      <c r="C372" s="17">
        <v>484.88315920000093</v>
      </c>
      <c r="D372" s="17">
        <v>0</v>
      </c>
      <c r="E372" s="17">
        <v>476.66132579907719</v>
      </c>
      <c r="F372" s="17">
        <v>484.88315920000093</v>
      </c>
      <c r="G372" s="17">
        <v>476.66132579907719</v>
      </c>
    </row>
    <row r="373" spans="1:7" ht="11.25" customHeight="1" x14ac:dyDescent="0.2">
      <c r="A373" s="27">
        <v>44470</v>
      </c>
      <c r="B373" s="17">
        <v>0</v>
      </c>
      <c r="C373" s="17">
        <v>790.91032560000031</v>
      </c>
      <c r="D373" s="17">
        <v>0</v>
      </c>
      <c r="E373" s="17">
        <v>777.49939802131871</v>
      </c>
      <c r="F373" s="17">
        <v>790.91032560000031</v>
      </c>
      <c r="G373" s="17">
        <v>777.49939802131871</v>
      </c>
    </row>
    <row r="374" spans="1:7" ht="11.25" customHeight="1" x14ac:dyDescent="0.2">
      <c r="A374" s="27">
        <v>44501</v>
      </c>
      <c r="B374" s="17">
        <v>0</v>
      </c>
      <c r="C374" s="17">
        <v>1478.9189839999985</v>
      </c>
      <c r="D374" s="17">
        <v>0</v>
      </c>
      <c r="E374" s="17">
        <v>1453.8419623109528</v>
      </c>
      <c r="F374" s="17">
        <v>1478.9189839999985</v>
      </c>
      <c r="G374" s="17">
        <v>1453.8419623109528</v>
      </c>
    </row>
    <row r="375" spans="1:7" ht="11.25" customHeight="1" x14ac:dyDescent="0.2">
      <c r="A375" s="27">
        <v>44531</v>
      </c>
      <c r="B375" s="17">
        <v>0</v>
      </c>
      <c r="C375" s="17">
        <v>780.27697999999884</v>
      </c>
      <c r="D375" s="17">
        <v>0</v>
      </c>
      <c r="E375" s="17">
        <v>767.04635481862431</v>
      </c>
      <c r="F375" s="17">
        <v>780.27697999999884</v>
      </c>
      <c r="G375" s="17">
        <v>767.04635481862431</v>
      </c>
    </row>
    <row r="376" spans="1:7" ht="11.25" customHeight="1" x14ac:dyDescent="0.2">
      <c r="A376" s="27">
        <v>44562</v>
      </c>
      <c r="B376" s="17">
        <v>0</v>
      </c>
      <c r="C376" s="17">
        <v>2142.9831160000003</v>
      </c>
      <c r="D376" s="17">
        <v>0</v>
      </c>
      <c r="E376" s="17">
        <v>2106.6460112223995</v>
      </c>
      <c r="F376" s="17">
        <v>2142.9831160000003</v>
      </c>
      <c r="G376" s="17">
        <v>2106.6460112223995</v>
      </c>
    </row>
    <row r="377" spans="1:7" ht="11.25" customHeight="1" x14ac:dyDescent="0.2">
      <c r="A377" s="27">
        <v>44593</v>
      </c>
      <c r="B377" s="17">
        <v>0</v>
      </c>
      <c r="C377" s="17">
        <v>579.07536239999808</v>
      </c>
      <c r="D377" s="17">
        <v>0</v>
      </c>
      <c r="E377" s="17">
        <v>569.25637597842888</v>
      </c>
      <c r="F377" s="17">
        <v>579.07536239999808</v>
      </c>
      <c r="G377" s="17">
        <v>569.25637597842888</v>
      </c>
    </row>
    <row r="378" spans="1:7" ht="11.25" customHeight="1" x14ac:dyDescent="0.2">
      <c r="A378" s="27">
        <v>44621</v>
      </c>
      <c r="B378" s="17">
        <v>0</v>
      </c>
      <c r="C378" s="17">
        <v>921.0323175999996</v>
      </c>
      <c r="D378" s="17">
        <v>0</v>
      </c>
      <c r="E378" s="17">
        <v>905.4150000493803</v>
      </c>
      <c r="F378" s="17">
        <v>921.0323175999996</v>
      </c>
      <c r="G378" s="17">
        <v>905.4150000493803</v>
      </c>
    </row>
    <row r="379" spans="1:7" ht="11.25" customHeight="1" x14ac:dyDescent="0.2">
      <c r="A379" s="27">
        <v>44652</v>
      </c>
      <c r="B379" s="17">
        <v>0</v>
      </c>
      <c r="C379" s="17">
        <v>2013.9270584000001</v>
      </c>
      <c r="D379" s="17">
        <v>0</v>
      </c>
      <c r="E379" s="17">
        <v>1979.7782692708906</v>
      </c>
      <c r="F379" s="17">
        <v>2013.9270584000001</v>
      </c>
      <c r="G379" s="17">
        <v>1979.7782692708906</v>
      </c>
    </row>
    <row r="380" spans="1:7" ht="11.25" customHeight="1" x14ac:dyDescent="0.2">
      <c r="A380" s="27">
        <v>44682</v>
      </c>
      <c r="B380" s="17">
        <v>0</v>
      </c>
      <c r="C380" s="17">
        <v>1009.2578879999986</v>
      </c>
      <c r="D380" s="17">
        <v>0</v>
      </c>
      <c r="E380" s="17">
        <v>992.14458955631824</v>
      </c>
      <c r="F380" s="17">
        <v>1009.2578879999986</v>
      </c>
      <c r="G380" s="17">
        <v>992.14458955631824</v>
      </c>
    </row>
    <row r="381" spans="1:7" ht="11.25" customHeight="1" x14ac:dyDescent="0.2">
      <c r="A381" s="27">
        <v>44713</v>
      </c>
      <c r="B381" s="17">
        <v>0</v>
      </c>
      <c r="C381" s="17">
        <v>1009.2578879999986</v>
      </c>
      <c r="D381" s="17">
        <v>0</v>
      </c>
      <c r="E381" s="17">
        <v>992.14458955631824</v>
      </c>
      <c r="F381" s="17">
        <v>1009.2578879999986</v>
      </c>
      <c r="G381" s="17">
        <v>992.14458955631824</v>
      </c>
    </row>
    <row r="382" spans="1:7" ht="11.25" customHeight="1" x14ac:dyDescent="0.2">
      <c r="A382" s="26" t="s">
        <v>25</v>
      </c>
      <c r="B382" s="17">
        <v>6022.1200000000017</v>
      </c>
      <c r="C382" s="17">
        <v>0</v>
      </c>
      <c r="D382" s="17">
        <v>4299.7582038610153</v>
      </c>
      <c r="E382" s="17">
        <v>0</v>
      </c>
      <c r="F382" s="17">
        <v>6022.1200000000017</v>
      </c>
      <c r="G382" s="17">
        <v>4299.7582038610153</v>
      </c>
    </row>
    <row r="383" spans="1:7" ht="11.25" customHeight="1" x14ac:dyDescent="0.2">
      <c r="A383" s="27">
        <v>44378</v>
      </c>
      <c r="B383" s="17">
        <v>425.58880000000005</v>
      </c>
      <c r="C383" s="17">
        <v>0</v>
      </c>
      <c r="D383" s="17">
        <v>303.86789606838863</v>
      </c>
      <c r="E383" s="17">
        <v>0</v>
      </c>
      <c r="F383" s="17">
        <v>425.58880000000005</v>
      </c>
      <c r="G383" s="17">
        <v>303.86789606838863</v>
      </c>
    </row>
    <row r="384" spans="1:7" ht="11.25" customHeight="1" x14ac:dyDescent="0.2">
      <c r="A384" s="27">
        <v>44409</v>
      </c>
      <c r="B384" s="17">
        <v>434.05439999999891</v>
      </c>
      <c r="C384" s="17">
        <v>0</v>
      </c>
      <c r="D384" s="17">
        <v>309.9122845977771</v>
      </c>
      <c r="E384" s="17">
        <v>0</v>
      </c>
      <c r="F384" s="17">
        <v>434.05439999999891</v>
      </c>
      <c r="G384" s="17">
        <v>309.9122845977771</v>
      </c>
    </row>
    <row r="385" spans="1:7" ht="11.25" customHeight="1" x14ac:dyDescent="0.2">
      <c r="A385" s="27">
        <v>44440</v>
      </c>
      <c r="B385" s="17">
        <v>422.51040000000069</v>
      </c>
      <c r="C385" s="17">
        <v>0</v>
      </c>
      <c r="D385" s="17">
        <v>301.6699366031566</v>
      </c>
      <c r="E385" s="17">
        <v>0</v>
      </c>
      <c r="F385" s="17">
        <v>422.51040000000069</v>
      </c>
      <c r="G385" s="17">
        <v>301.6699366031566</v>
      </c>
    </row>
    <row r="386" spans="1:7" ht="11.25" customHeight="1" x14ac:dyDescent="0.2">
      <c r="A386" s="27">
        <v>44470</v>
      </c>
      <c r="B386" s="17">
        <v>431.74560000000099</v>
      </c>
      <c r="C386" s="17">
        <v>0</v>
      </c>
      <c r="D386" s="17">
        <v>308.26381499885423</v>
      </c>
      <c r="E386" s="17">
        <v>0</v>
      </c>
      <c r="F386" s="17">
        <v>431.74560000000099</v>
      </c>
      <c r="G386" s="17">
        <v>308.26381499885423</v>
      </c>
    </row>
    <row r="387" spans="1:7" ht="11.25" customHeight="1" x14ac:dyDescent="0.2">
      <c r="A387" s="27">
        <v>44501</v>
      </c>
      <c r="B387" s="17">
        <v>506.39680000000089</v>
      </c>
      <c r="C387" s="17">
        <v>0</v>
      </c>
      <c r="D387" s="17">
        <v>361.56433203074153</v>
      </c>
      <c r="E387" s="17">
        <v>0</v>
      </c>
      <c r="F387" s="17">
        <v>506.39680000000089</v>
      </c>
      <c r="G387" s="17">
        <v>361.56433203074153</v>
      </c>
    </row>
    <row r="388" spans="1:7" ht="11.25" customHeight="1" x14ac:dyDescent="0.2">
      <c r="A388" s="27">
        <v>44531</v>
      </c>
      <c r="B388" s="17">
        <v>449.44640000000021</v>
      </c>
      <c r="C388" s="17">
        <v>0</v>
      </c>
      <c r="D388" s="17">
        <v>320.90208192394039</v>
      </c>
      <c r="E388" s="17">
        <v>0</v>
      </c>
      <c r="F388" s="17">
        <v>449.44640000000021</v>
      </c>
      <c r="G388" s="17">
        <v>320.90208192394039</v>
      </c>
    </row>
    <row r="389" spans="1:7" ht="11.25" customHeight="1" x14ac:dyDescent="0.2">
      <c r="A389" s="27">
        <v>44562</v>
      </c>
      <c r="B389" s="17">
        <v>1244.443199999999</v>
      </c>
      <c r="C389" s="17">
        <v>0</v>
      </c>
      <c r="D389" s="17">
        <v>888.52511382022408</v>
      </c>
      <c r="E389" s="17">
        <v>0</v>
      </c>
      <c r="F389" s="17">
        <v>1244.443199999999</v>
      </c>
      <c r="G389" s="17">
        <v>888.52511382022408</v>
      </c>
    </row>
    <row r="390" spans="1:7" ht="11.25" customHeight="1" x14ac:dyDescent="0.2">
      <c r="A390" s="27">
        <v>44593</v>
      </c>
      <c r="B390" s="17">
        <v>354.78559999999993</v>
      </c>
      <c r="C390" s="17">
        <v>0</v>
      </c>
      <c r="D390" s="17">
        <v>253.31482836804179</v>
      </c>
      <c r="E390" s="17">
        <v>0</v>
      </c>
      <c r="F390" s="17">
        <v>354.78559999999993</v>
      </c>
      <c r="G390" s="17">
        <v>253.31482836804179</v>
      </c>
    </row>
    <row r="391" spans="1:7" ht="11.25" customHeight="1" x14ac:dyDescent="0.2">
      <c r="A391" s="27">
        <v>44621</v>
      </c>
      <c r="B391" s="17">
        <v>404.80960000000039</v>
      </c>
      <c r="C391" s="17">
        <v>0</v>
      </c>
      <c r="D391" s="17">
        <v>289.0316696780697</v>
      </c>
      <c r="E391" s="17">
        <v>0</v>
      </c>
      <c r="F391" s="17">
        <v>404.80960000000039</v>
      </c>
      <c r="G391" s="17">
        <v>289.0316696780697</v>
      </c>
    </row>
    <row r="392" spans="1:7" ht="11.25" customHeight="1" x14ac:dyDescent="0.2">
      <c r="A392" s="27">
        <v>44652</v>
      </c>
      <c r="B392" s="17">
        <v>426.35839999999934</v>
      </c>
      <c r="C392" s="17">
        <v>0</v>
      </c>
      <c r="D392" s="17">
        <v>304.41738593469626</v>
      </c>
      <c r="E392" s="17">
        <v>0</v>
      </c>
      <c r="F392" s="17">
        <v>426.35839999999934</v>
      </c>
      <c r="G392" s="17">
        <v>304.41738593469626</v>
      </c>
    </row>
    <row r="393" spans="1:7" ht="11.25" customHeight="1" x14ac:dyDescent="0.2">
      <c r="A393" s="27">
        <v>44682</v>
      </c>
      <c r="B393" s="17">
        <v>460.99040000000065</v>
      </c>
      <c r="C393" s="17">
        <v>0</v>
      </c>
      <c r="D393" s="17">
        <v>329.14442991856242</v>
      </c>
      <c r="E393" s="17">
        <v>0</v>
      </c>
      <c r="F393" s="17">
        <v>460.99040000000065</v>
      </c>
      <c r="G393" s="17">
        <v>329.14442991856242</v>
      </c>
    </row>
    <row r="394" spans="1:7" ht="11.25" customHeight="1" x14ac:dyDescent="0.2">
      <c r="A394" s="27">
        <v>44713</v>
      </c>
      <c r="B394" s="17">
        <v>460.99040000000065</v>
      </c>
      <c r="C394" s="17">
        <v>0</v>
      </c>
      <c r="D394" s="17">
        <v>329.14442991856242</v>
      </c>
      <c r="E394" s="17">
        <v>0</v>
      </c>
      <c r="F394" s="17">
        <v>460.99040000000065</v>
      </c>
      <c r="G394" s="17">
        <v>329.14442991856242</v>
      </c>
    </row>
    <row r="395" spans="1:7" ht="11.25" customHeight="1" x14ac:dyDescent="0.2">
      <c r="A395" s="26" t="s">
        <v>33</v>
      </c>
      <c r="B395" s="17">
        <v>0</v>
      </c>
      <c r="C395" s="17">
        <v>7572.2851968000059</v>
      </c>
      <c r="D395" s="17">
        <v>0</v>
      </c>
      <c r="E395" s="17">
        <v>5853.275171579261</v>
      </c>
      <c r="F395" s="17">
        <v>7572.2851968000059</v>
      </c>
      <c r="G395" s="17">
        <v>5853.275171579261</v>
      </c>
    </row>
    <row r="396" spans="1:7" ht="11.25" customHeight="1" x14ac:dyDescent="0.2">
      <c r="A396" s="27">
        <v>44378</v>
      </c>
      <c r="B396" s="17">
        <v>0</v>
      </c>
      <c r="C396" s="17">
        <v>360.20849279999959</v>
      </c>
      <c r="D396" s="17">
        <v>0</v>
      </c>
      <c r="E396" s="17">
        <v>278.43634684932613</v>
      </c>
      <c r="F396" s="17">
        <v>360.20849279999959</v>
      </c>
      <c r="G396" s="17">
        <v>278.43634684932613</v>
      </c>
    </row>
    <row r="397" spans="1:7" ht="11.25" customHeight="1" x14ac:dyDescent="0.2">
      <c r="A397" s="27">
        <v>44409</v>
      </c>
      <c r="B397" s="17">
        <v>0</v>
      </c>
      <c r="C397" s="17">
        <v>312.49238399999996</v>
      </c>
      <c r="D397" s="17">
        <v>0</v>
      </c>
      <c r="E397" s="17">
        <v>241.55243298915605</v>
      </c>
      <c r="F397" s="17">
        <v>312.49238399999996</v>
      </c>
      <c r="G397" s="17">
        <v>241.55243298915605</v>
      </c>
    </row>
    <row r="398" spans="1:7" ht="11.25" customHeight="1" x14ac:dyDescent="0.2">
      <c r="A398" s="27">
        <v>44440</v>
      </c>
      <c r="B398" s="17">
        <v>0</v>
      </c>
      <c r="C398" s="17">
        <v>328.23732480000081</v>
      </c>
      <c r="D398" s="17">
        <v>0</v>
      </c>
      <c r="E398" s="17">
        <v>253.72306162601407</v>
      </c>
      <c r="F398" s="17">
        <v>328.23732480000081</v>
      </c>
      <c r="G398" s="17">
        <v>253.72306162601407</v>
      </c>
    </row>
    <row r="399" spans="1:7" ht="11.25" customHeight="1" x14ac:dyDescent="0.2">
      <c r="A399" s="27">
        <v>44470</v>
      </c>
      <c r="B399" s="17">
        <v>0</v>
      </c>
      <c r="C399" s="17">
        <v>566.47409280000124</v>
      </c>
      <c r="D399" s="17">
        <v>0</v>
      </c>
      <c r="E399" s="17">
        <v>437.87689667715324</v>
      </c>
      <c r="F399" s="17">
        <v>566.47409280000124</v>
      </c>
      <c r="G399" s="17">
        <v>437.87689667715324</v>
      </c>
    </row>
    <row r="400" spans="1:7" ht="11.25" customHeight="1" x14ac:dyDescent="0.2">
      <c r="A400" s="27">
        <v>44501</v>
      </c>
      <c r="B400" s="17">
        <v>0</v>
      </c>
      <c r="C400" s="17">
        <v>779.95898879999845</v>
      </c>
      <c r="D400" s="17">
        <v>0</v>
      </c>
      <c r="E400" s="17">
        <v>602.89786574895072</v>
      </c>
      <c r="F400" s="17">
        <v>779.95898879999845</v>
      </c>
      <c r="G400" s="17">
        <v>602.89786574895072</v>
      </c>
    </row>
    <row r="401" spans="1:7" ht="11.25" customHeight="1" x14ac:dyDescent="0.2">
      <c r="A401" s="27">
        <v>44531</v>
      </c>
      <c r="B401" s="17">
        <v>0</v>
      </c>
      <c r="C401" s="17">
        <v>505.48823040000025</v>
      </c>
      <c r="D401" s="17">
        <v>0</v>
      </c>
      <c r="E401" s="17">
        <v>390.73564077805855</v>
      </c>
      <c r="F401" s="17">
        <v>505.48823040000025</v>
      </c>
      <c r="G401" s="17">
        <v>390.73564077805855</v>
      </c>
    </row>
    <row r="402" spans="1:7" ht="11.25" customHeight="1" x14ac:dyDescent="0.2">
      <c r="A402" s="27">
        <v>44562</v>
      </c>
      <c r="B402" s="17">
        <v>0</v>
      </c>
      <c r="C402" s="17">
        <v>1207.5475776000028</v>
      </c>
      <c r="D402" s="17">
        <v>0</v>
      </c>
      <c r="E402" s="17">
        <v>933.41812554203693</v>
      </c>
      <c r="F402" s="17">
        <v>1207.5475776000028</v>
      </c>
      <c r="G402" s="17">
        <v>933.41812554203693</v>
      </c>
    </row>
    <row r="403" spans="1:7" ht="11.25" customHeight="1" x14ac:dyDescent="0.2">
      <c r="A403" s="27">
        <v>44593</v>
      </c>
      <c r="B403" s="17">
        <v>0</v>
      </c>
      <c r="C403" s="17">
        <v>402.69920640000009</v>
      </c>
      <c r="D403" s="17">
        <v>0</v>
      </c>
      <c r="E403" s="17">
        <v>311.28110011385866</v>
      </c>
      <c r="F403" s="17">
        <v>402.69920640000009</v>
      </c>
      <c r="G403" s="17">
        <v>311.28110011385866</v>
      </c>
    </row>
    <row r="404" spans="1:7" ht="11.25" customHeight="1" x14ac:dyDescent="0.2">
      <c r="A404" s="27">
        <v>44621</v>
      </c>
      <c r="B404" s="17">
        <v>0</v>
      </c>
      <c r="C404" s="17">
        <v>660.11867520000101</v>
      </c>
      <c r="D404" s="17">
        <v>0</v>
      </c>
      <c r="E404" s="17">
        <v>510.26290629898597</v>
      </c>
      <c r="F404" s="17">
        <v>660.11867520000101</v>
      </c>
      <c r="G404" s="17">
        <v>510.26290629898597</v>
      </c>
    </row>
    <row r="405" spans="1:7" ht="11.25" customHeight="1" x14ac:dyDescent="0.2">
      <c r="A405" s="27">
        <v>44652</v>
      </c>
      <c r="B405" s="17">
        <v>0</v>
      </c>
      <c r="C405" s="17">
        <v>972.47354880000159</v>
      </c>
      <c r="D405" s="17">
        <v>0</v>
      </c>
      <c r="E405" s="17">
        <v>751.70904558825725</v>
      </c>
      <c r="F405" s="17">
        <v>972.47354880000159</v>
      </c>
      <c r="G405" s="17">
        <v>751.70904558825725</v>
      </c>
    </row>
    <row r="406" spans="1:7" ht="11.25" customHeight="1" x14ac:dyDescent="0.2">
      <c r="A406" s="27">
        <v>44682</v>
      </c>
      <c r="B406" s="17">
        <v>0</v>
      </c>
      <c r="C406" s="17">
        <v>738.29333760000031</v>
      </c>
      <c r="D406" s="17">
        <v>0</v>
      </c>
      <c r="E406" s="17">
        <v>570.69087468373129</v>
      </c>
      <c r="F406" s="17">
        <v>738.29333760000031</v>
      </c>
      <c r="G406" s="17">
        <v>570.69087468373129</v>
      </c>
    </row>
    <row r="407" spans="1:7" ht="11.25" customHeight="1" x14ac:dyDescent="0.2">
      <c r="A407" s="27">
        <v>44713</v>
      </c>
      <c r="B407" s="17">
        <v>0</v>
      </c>
      <c r="C407" s="17">
        <v>738.29333760000031</v>
      </c>
      <c r="D407" s="17">
        <v>0</v>
      </c>
      <c r="E407" s="17">
        <v>570.69087468373129</v>
      </c>
      <c r="F407" s="17">
        <v>738.29333760000031</v>
      </c>
      <c r="G407" s="17">
        <v>570.69087468373129</v>
      </c>
    </row>
    <row r="408" spans="1:7" ht="11.25" customHeight="1" x14ac:dyDescent="0.2">
      <c r="A408" s="20" t="s">
        <v>42</v>
      </c>
      <c r="B408" s="17">
        <v>0</v>
      </c>
      <c r="C408" s="17">
        <v>1292549.3705600007</v>
      </c>
      <c r="D408" s="17">
        <v>0</v>
      </c>
      <c r="E408" s="17">
        <v>634475.50304565078</v>
      </c>
      <c r="F408" s="17">
        <v>1292549.3705600009</v>
      </c>
      <c r="G408" s="17">
        <v>634475.50304565101</v>
      </c>
    </row>
    <row r="409" spans="1:7" ht="11.25" customHeight="1" x14ac:dyDescent="0.2">
      <c r="A409" s="21" t="s">
        <v>23</v>
      </c>
      <c r="B409" s="17">
        <v>0</v>
      </c>
      <c r="C409" s="17">
        <v>1292549.3705600007</v>
      </c>
      <c r="D409" s="17">
        <v>0</v>
      </c>
      <c r="E409" s="17">
        <v>634475.50304565078</v>
      </c>
      <c r="F409" s="17">
        <v>1292549.3705600009</v>
      </c>
      <c r="G409" s="17">
        <v>634475.50304565101</v>
      </c>
    </row>
    <row r="410" spans="1:7" ht="11.25" customHeight="1" x14ac:dyDescent="0.2">
      <c r="A410" s="22" t="s">
        <v>43</v>
      </c>
      <c r="B410" s="17">
        <v>0</v>
      </c>
      <c r="C410" s="17">
        <v>1292549.3705600007</v>
      </c>
      <c r="D410" s="17">
        <v>0</v>
      </c>
      <c r="E410" s="17">
        <v>634475.50304565078</v>
      </c>
      <c r="F410" s="17">
        <v>1292549.3705600009</v>
      </c>
      <c r="G410" s="17">
        <v>634475.50304565101</v>
      </c>
    </row>
    <row r="411" spans="1:7" ht="11.25" customHeight="1" x14ac:dyDescent="0.2">
      <c r="A411" s="23" t="s">
        <v>51</v>
      </c>
      <c r="B411" s="17">
        <v>0</v>
      </c>
      <c r="C411" s="17">
        <v>15947.213760000011</v>
      </c>
      <c r="D411" s="17">
        <v>0</v>
      </c>
      <c r="E411" s="17">
        <v>7828.0309464456504</v>
      </c>
      <c r="F411" s="17">
        <v>15947.21376000001</v>
      </c>
      <c r="G411" s="17">
        <v>7828.0309464456504</v>
      </c>
    </row>
    <row r="412" spans="1:7" ht="11.25" customHeight="1" x14ac:dyDescent="0.2">
      <c r="A412" s="24" t="s">
        <v>52</v>
      </c>
      <c r="B412" s="17">
        <v>0</v>
      </c>
      <c r="C412" s="17">
        <v>15856.66736000001</v>
      </c>
      <c r="D412" s="17">
        <v>0</v>
      </c>
      <c r="E412" s="17">
        <v>7783.5843094370521</v>
      </c>
      <c r="F412" s="17">
        <v>15856.667360000009</v>
      </c>
      <c r="G412" s="17">
        <v>7783.5843094370521</v>
      </c>
    </row>
    <row r="413" spans="1:7" ht="11.25" customHeight="1" x14ac:dyDescent="0.2">
      <c r="A413" s="25" t="s">
        <v>25</v>
      </c>
      <c r="B413" s="17">
        <v>0</v>
      </c>
      <c r="C413" s="17">
        <v>15856.66736000001</v>
      </c>
      <c r="D413" s="17">
        <v>0</v>
      </c>
      <c r="E413" s="17">
        <v>7783.5843094370521</v>
      </c>
      <c r="F413" s="17">
        <v>15856.667360000009</v>
      </c>
      <c r="G413" s="17">
        <v>7783.5843094370521</v>
      </c>
    </row>
    <row r="414" spans="1:7" ht="11.25" customHeight="1" x14ac:dyDescent="0.2">
      <c r="A414" s="26" t="s">
        <v>25</v>
      </c>
      <c r="B414" s="17">
        <v>0</v>
      </c>
      <c r="C414" s="17">
        <v>15856.66736000001</v>
      </c>
      <c r="D414" s="17">
        <v>0</v>
      </c>
      <c r="E414" s="17">
        <v>7783.5843094370521</v>
      </c>
      <c r="F414" s="17">
        <v>15856.667360000009</v>
      </c>
      <c r="G414" s="17">
        <v>7783.5843094370521</v>
      </c>
    </row>
    <row r="415" spans="1:7" ht="11.25" customHeight="1" x14ac:dyDescent="0.2">
      <c r="A415" s="27">
        <v>44378</v>
      </c>
      <c r="B415" s="17">
        <v>0</v>
      </c>
      <c r="C415" s="17">
        <v>655.77968000000044</v>
      </c>
      <c r="D415" s="17">
        <v>0</v>
      </c>
      <c r="E415" s="17">
        <v>321.903481469996</v>
      </c>
      <c r="F415" s="17">
        <v>655.77968000000044</v>
      </c>
      <c r="G415" s="17">
        <v>321.903481469996</v>
      </c>
    </row>
    <row r="416" spans="1:7" ht="11.25" customHeight="1" x14ac:dyDescent="0.2">
      <c r="A416" s="27">
        <v>44409</v>
      </c>
      <c r="B416" s="17">
        <v>0</v>
      </c>
      <c r="C416" s="17">
        <v>575.23184000000037</v>
      </c>
      <c r="D416" s="17">
        <v>0</v>
      </c>
      <c r="E416" s="17">
        <v>282.36485148242434</v>
      </c>
      <c r="F416" s="17">
        <v>575.23184000000037</v>
      </c>
      <c r="G416" s="17">
        <v>282.36485148242434</v>
      </c>
    </row>
    <row r="417" spans="1:7" ht="11.25" customHeight="1" x14ac:dyDescent="0.2">
      <c r="A417" s="27">
        <v>44440</v>
      </c>
      <c r="B417" s="17">
        <v>0</v>
      </c>
      <c r="C417" s="17">
        <v>637.25088000000028</v>
      </c>
      <c r="D417" s="17">
        <v>0</v>
      </c>
      <c r="E417" s="17">
        <v>312.80822370375773</v>
      </c>
      <c r="F417" s="17">
        <v>637.25088000000028</v>
      </c>
      <c r="G417" s="17">
        <v>312.80822370375773</v>
      </c>
    </row>
    <row r="418" spans="1:7" ht="11.25" customHeight="1" x14ac:dyDescent="0.2">
      <c r="A418" s="27">
        <v>44470</v>
      </c>
      <c r="B418" s="17">
        <v>0</v>
      </c>
      <c r="C418" s="17">
        <v>694.58528000000058</v>
      </c>
      <c r="D418" s="17">
        <v>0</v>
      </c>
      <c r="E418" s="17">
        <v>340.95204018796682</v>
      </c>
      <c r="F418" s="17">
        <v>694.58528000000058</v>
      </c>
      <c r="G418" s="17">
        <v>340.95204018796682</v>
      </c>
    </row>
    <row r="419" spans="1:7" ht="11.25" customHeight="1" x14ac:dyDescent="0.2">
      <c r="A419" s="27">
        <v>44501</v>
      </c>
      <c r="B419" s="17">
        <v>0</v>
      </c>
      <c r="C419" s="17">
        <v>759.12144000000058</v>
      </c>
      <c r="D419" s="17">
        <v>0</v>
      </c>
      <c r="E419" s="17">
        <v>372.63099459641194</v>
      </c>
      <c r="F419" s="17">
        <v>759.12144000000058</v>
      </c>
      <c r="G419" s="17">
        <v>372.63099459641194</v>
      </c>
    </row>
    <row r="420" spans="1:7" ht="11.25" customHeight="1" x14ac:dyDescent="0.2">
      <c r="A420" s="27">
        <v>44531</v>
      </c>
      <c r="B420" s="17">
        <v>0</v>
      </c>
      <c r="C420" s="17">
        <v>2491.3195200000018</v>
      </c>
      <c r="D420" s="17">
        <v>0</v>
      </c>
      <c r="E420" s="17">
        <v>1222.917469693723</v>
      </c>
      <c r="F420" s="17">
        <v>2491.3195200000018</v>
      </c>
      <c r="G420" s="17">
        <v>1222.917469693723</v>
      </c>
    </row>
    <row r="421" spans="1:7" ht="11.25" customHeight="1" x14ac:dyDescent="0.2">
      <c r="A421" s="27">
        <v>44562</v>
      </c>
      <c r="B421" s="17">
        <v>0</v>
      </c>
      <c r="C421" s="17">
        <v>4716.3137600000027</v>
      </c>
      <c r="D421" s="17">
        <v>0</v>
      </c>
      <c r="E421" s="17">
        <v>2315.1034796455533</v>
      </c>
      <c r="F421" s="17">
        <v>4716.3137600000027</v>
      </c>
      <c r="G421" s="17">
        <v>2315.1034796455533</v>
      </c>
    </row>
    <row r="422" spans="1:7" ht="11.25" customHeight="1" x14ac:dyDescent="0.2">
      <c r="A422" s="27">
        <v>44593</v>
      </c>
      <c r="B422" s="17">
        <v>0</v>
      </c>
      <c r="C422" s="17">
        <v>2305.4022400000017</v>
      </c>
      <c r="D422" s="17">
        <v>0</v>
      </c>
      <c r="E422" s="17">
        <v>1131.6559964845621</v>
      </c>
      <c r="F422" s="17">
        <v>2305.4022400000017</v>
      </c>
      <c r="G422" s="17">
        <v>1131.6559964845621</v>
      </c>
    </row>
    <row r="423" spans="1:7" ht="11.25" customHeight="1" x14ac:dyDescent="0.2">
      <c r="A423" s="27">
        <v>44621</v>
      </c>
      <c r="B423" s="17">
        <v>0</v>
      </c>
      <c r="C423" s="17">
        <v>1626.688800000001</v>
      </c>
      <c r="D423" s="17">
        <v>0</v>
      </c>
      <c r="E423" s="17">
        <v>798.49498842088258</v>
      </c>
      <c r="F423" s="17">
        <v>1626.688800000001</v>
      </c>
      <c r="G423" s="17">
        <v>798.49498842088258</v>
      </c>
    </row>
    <row r="424" spans="1:7" ht="11.25" customHeight="1" x14ac:dyDescent="0.2">
      <c r="A424" s="27">
        <v>44652</v>
      </c>
      <c r="B424" s="17">
        <v>0</v>
      </c>
      <c r="C424" s="17">
        <v>529.92368000000045</v>
      </c>
      <c r="D424" s="17">
        <v>0</v>
      </c>
      <c r="E424" s="17">
        <v>260.12437211441517</v>
      </c>
      <c r="F424" s="17">
        <v>529.92368000000045</v>
      </c>
      <c r="G424" s="17">
        <v>260.12437211441517</v>
      </c>
    </row>
    <row r="425" spans="1:7" ht="11.25" customHeight="1" x14ac:dyDescent="0.2">
      <c r="A425" s="27">
        <v>44682</v>
      </c>
      <c r="B425" s="17">
        <v>0</v>
      </c>
      <c r="C425" s="17">
        <v>432.52512000000024</v>
      </c>
      <c r="D425" s="17">
        <v>0</v>
      </c>
      <c r="E425" s="17">
        <v>212.31420581867954</v>
      </c>
      <c r="F425" s="17">
        <v>432.52512000000024</v>
      </c>
      <c r="G425" s="17">
        <v>212.31420581867954</v>
      </c>
    </row>
    <row r="426" spans="1:7" ht="11.25" customHeight="1" x14ac:dyDescent="0.2">
      <c r="A426" s="27">
        <v>44713</v>
      </c>
      <c r="B426" s="17">
        <v>0</v>
      </c>
      <c r="C426" s="17">
        <v>432.52512000000024</v>
      </c>
      <c r="D426" s="17">
        <v>0</v>
      </c>
      <c r="E426" s="17">
        <v>212.31420581867954</v>
      </c>
      <c r="F426" s="17">
        <v>432.52512000000024</v>
      </c>
      <c r="G426" s="17">
        <v>212.31420581867954</v>
      </c>
    </row>
    <row r="427" spans="1:7" ht="11.25" customHeight="1" x14ac:dyDescent="0.2">
      <c r="A427" s="24" t="s">
        <v>53</v>
      </c>
      <c r="B427" s="17">
        <v>0</v>
      </c>
      <c r="C427" s="17">
        <v>90.546400000000062</v>
      </c>
      <c r="D427" s="17">
        <v>0</v>
      </c>
      <c r="E427" s="17">
        <v>44.446637008598451</v>
      </c>
      <c r="F427" s="17">
        <v>90.546400000000062</v>
      </c>
      <c r="G427" s="17">
        <v>44.446637008598451</v>
      </c>
    </row>
    <row r="428" spans="1:7" ht="11.25" customHeight="1" x14ac:dyDescent="0.2">
      <c r="A428" s="25" t="s">
        <v>25</v>
      </c>
      <c r="B428" s="17">
        <v>0</v>
      </c>
      <c r="C428" s="17">
        <v>90.546400000000062</v>
      </c>
      <c r="D428" s="17">
        <v>0</v>
      </c>
      <c r="E428" s="17">
        <v>44.446637008598451</v>
      </c>
      <c r="F428" s="17">
        <v>90.546400000000062</v>
      </c>
      <c r="G428" s="17">
        <v>44.446637008598451</v>
      </c>
    </row>
    <row r="429" spans="1:7" ht="11.25" customHeight="1" x14ac:dyDescent="0.2">
      <c r="A429" s="26" t="s">
        <v>25</v>
      </c>
      <c r="B429" s="17">
        <v>0</v>
      </c>
      <c r="C429" s="17">
        <v>90.546400000000062</v>
      </c>
      <c r="D429" s="17">
        <v>0</v>
      </c>
      <c r="E429" s="17">
        <v>44.446637008598451</v>
      </c>
      <c r="F429" s="17">
        <v>90.546400000000062</v>
      </c>
      <c r="G429" s="17">
        <v>44.446637008598451</v>
      </c>
    </row>
    <row r="430" spans="1:7" ht="11.25" customHeight="1" x14ac:dyDescent="0.2">
      <c r="A430" s="27">
        <v>44409</v>
      </c>
      <c r="B430" s="17">
        <v>0</v>
      </c>
      <c r="C430" s="17">
        <v>6.6424000000000039</v>
      </c>
      <c r="D430" s="17">
        <v>0</v>
      </c>
      <c r="E430" s="17">
        <v>3.2605641048778784</v>
      </c>
      <c r="F430" s="17">
        <v>6.6424000000000039</v>
      </c>
      <c r="G430" s="17">
        <v>3.2605641048778784</v>
      </c>
    </row>
    <row r="431" spans="1:7" ht="11.25" customHeight="1" x14ac:dyDescent="0.2">
      <c r="A431" s="27">
        <v>44531</v>
      </c>
      <c r="B431" s="17">
        <v>0</v>
      </c>
      <c r="C431" s="17">
        <v>38.456000000000024</v>
      </c>
      <c r="D431" s="17">
        <v>0</v>
      </c>
      <c r="E431" s="17">
        <v>18.876950080871929</v>
      </c>
      <c r="F431" s="17">
        <v>38.456000000000024</v>
      </c>
      <c r="G431" s="17">
        <v>18.876950080871929</v>
      </c>
    </row>
    <row r="432" spans="1:7" ht="11.25" customHeight="1" x14ac:dyDescent="0.2">
      <c r="A432" s="27">
        <v>44593</v>
      </c>
      <c r="B432" s="17">
        <v>0</v>
      </c>
      <c r="C432" s="17">
        <v>27.968000000000018</v>
      </c>
      <c r="D432" s="17">
        <v>0</v>
      </c>
      <c r="E432" s="17">
        <v>13.728690967906857</v>
      </c>
      <c r="F432" s="17">
        <v>27.968000000000018</v>
      </c>
      <c r="G432" s="17">
        <v>13.728690967906857</v>
      </c>
    </row>
    <row r="433" spans="1:7" ht="11.25" customHeight="1" x14ac:dyDescent="0.2">
      <c r="A433" s="27">
        <v>44621</v>
      </c>
      <c r="B433" s="17">
        <v>0</v>
      </c>
      <c r="C433" s="17">
        <v>17.480000000000011</v>
      </c>
      <c r="D433" s="17">
        <v>0</v>
      </c>
      <c r="E433" s="17">
        <v>8.5804318549417857</v>
      </c>
      <c r="F433" s="17">
        <v>17.480000000000011</v>
      </c>
      <c r="G433" s="17">
        <v>8.5804318549417857</v>
      </c>
    </row>
    <row r="434" spans="1:7" ht="11.25" customHeight="1" x14ac:dyDescent="0.2">
      <c r="A434" s="23" t="s">
        <v>54</v>
      </c>
      <c r="B434" s="17">
        <v>0</v>
      </c>
      <c r="C434" s="17">
        <v>17364.632000000009</v>
      </c>
      <c r="D434" s="17">
        <v>0</v>
      </c>
      <c r="E434" s="17">
        <v>8523.8010046991712</v>
      </c>
      <c r="F434" s="17">
        <v>17364.632000000009</v>
      </c>
      <c r="G434" s="17">
        <v>8523.8010046991712</v>
      </c>
    </row>
    <row r="435" spans="1:7" ht="11.25" customHeight="1" x14ac:dyDescent="0.2">
      <c r="A435" s="24" t="s">
        <v>52</v>
      </c>
      <c r="B435" s="17">
        <v>0</v>
      </c>
      <c r="C435" s="17">
        <v>10285.581600000007</v>
      </c>
      <c r="D435" s="17">
        <v>0</v>
      </c>
      <c r="E435" s="17">
        <v>5048.8977120848449</v>
      </c>
      <c r="F435" s="17">
        <v>10285.581600000007</v>
      </c>
      <c r="G435" s="17">
        <v>5048.8977120848449</v>
      </c>
    </row>
    <row r="436" spans="1:7" ht="11.25" customHeight="1" x14ac:dyDescent="0.2">
      <c r="A436" s="25" t="s">
        <v>25</v>
      </c>
      <c r="B436" s="17">
        <v>0</v>
      </c>
      <c r="C436" s="17">
        <v>10285.581600000007</v>
      </c>
      <c r="D436" s="17">
        <v>0</v>
      </c>
      <c r="E436" s="17">
        <v>5048.8977120848449</v>
      </c>
      <c r="F436" s="17">
        <v>10285.581600000007</v>
      </c>
      <c r="G436" s="17">
        <v>5048.8977120848449</v>
      </c>
    </row>
    <row r="437" spans="1:7" ht="11.25" customHeight="1" x14ac:dyDescent="0.2">
      <c r="A437" s="26" t="s">
        <v>25</v>
      </c>
      <c r="B437" s="17">
        <v>0</v>
      </c>
      <c r="C437" s="17">
        <v>10285.581600000007</v>
      </c>
      <c r="D437" s="17">
        <v>0</v>
      </c>
      <c r="E437" s="17">
        <v>5048.8977120848449</v>
      </c>
      <c r="F437" s="17">
        <v>10285.581600000007</v>
      </c>
      <c r="G437" s="17">
        <v>5048.8977120848449</v>
      </c>
    </row>
    <row r="438" spans="1:7" ht="11.25" customHeight="1" x14ac:dyDescent="0.2">
      <c r="A438" s="27">
        <v>44378</v>
      </c>
      <c r="B438" s="17">
        <v>0</v>
      </c>
      <c r="C438" s="17">
        <v>324.35888000000023</v>
      </c>
      <c r="D438" s="17">
        <v>0</v>
      </c>
      <c r="E438" s="17">
        <v>159.21849350029979</v>
      </c>
      <c r="F438" s="17">
        <v>324.35888000000023</v>
      </c>
      <c r="G438" s="17">
        <v>159.21849350029979</v>
      </c>
    </row>
    <row r="439" spans="1:7" ht="11.25" customHeight="1" x14ac:dyDescent="0.2">
      <c r="A439" s="27">
        <v>44409</v>
      </c>
      <c r="B439" s="17">
        <v>0</v>
      </c>
      <c r="C439" s="17">
        <v>328.69392000000022</v>
      </c>
      <c r="D439" s="17">
        <v>0</v>
      </c>
      <c r="E439" s="17">
        <v>161.34644060032534</v>
      </c>
      <c r="F439" s="17">
        <v>328.69392000000022</v>
      </c>
      <c r="G439" s="17">
        <v>161.34644060032534</v>
      </c>
    </row>
    <row r="440" spans="1:7" ht="11.25" customHeight="1" x14ac:dyDescent="0.2">
      <c r="A440" s="27">
        <v>44440</v>
      </c>
      <c r="B440" s="17">
        <v>0</v>
      </c>
      <c r="C440" s="17">
        <v>734.92912000000047</v>
      </c>
      <c r="D440" s="17">
        <v>0</v>
      </c>
      <c r="E440" s="17">
        <v>360.75567690917245</v>
      </c>
      <c r="F440" s="17">
        <v>734.92912000000047</v>
      </c>
      <c r="G440" s="17">
        <v>360.75567690917245</v>
      </c>
    </row>
    <row r="441" spans="1:7" ht="11.25" customHeight="1" x14ac:dyDescent="0.2">
      <c r="A441" s="27">
        <v>44470</v>
      </c>
      <c r="B441" s="17">
        <v>0</v>
      </c>
      <c r="C441" s="17">
        <v>830.64960000000053</v>
      </c>
      <c r="D441" s="17">
        <v>0</v>
      </c>
      <c r="E441" s="17">
        <v>407.74212174683362</v>
      </c>
      <c r="F441" s="17">
        <v>830.64960000000053</v>
      </c>
      <c r="G441" s="17">
        <v>407.74212174683362</v>
      </c>
    </row>
    <row r="442" spans="1:7" ht="11.25" customHeight="1" x14ac:dyDescent="0.2">
      <c r="A442" s="27">
        <v>44501</v>
      </c>
      <c r="B442" s="17">
        <v>0</v>
      </c>
      <c r="C442" s="17">
        <v>667.5961600000004</v>
      </c>
      <c r="D442" s="17">
        <v>0</v>
      </c>
      <c r="E442" s="17">
        <v>327.70385340393671</v>
      </c>
      <c r="F442" s="17">
        <v>667.5961600000004</v>
      </c>
      <c r="G442" s="17">
        <v>327.70385340393671</v>
      </c>
    </row>
    <row r="443" spans="1:7" ht="11.25" customHeight="1" x14ac:dyDescent="0.2">
      <c r="A443" s="27">
        <v>44531</v>
      </c>
      <c r="B443" s="17">
        <v>0</v>
      </c>
      <c r="C443" s="17">
        <v>912.10640000000058</v>
      </c>
      <c r="D443" s="17">
        <v>0</v>
      </c>
      <c r="E443" s="17">
        <v>447.72693419086238</v>
      </c>
      <c r="F443" s="17">
        <v>912.10640000000058</v>
      </c>
      <c r="G443" s="17">
        <v>447.72693419086238</v>
      </c>
    </row>
    <row r="444" spans="1:7" ht="11.25" customHeight="1" x14ac:dyDescent="0.2">
      <c r="A444" s="27">
        <v>44562</v>
      </c>
      <c r="B444" s="17">
        <v>0</v>
      </c>
      <c r="C444" s="17">
        <v>1013.5603200000006</v>
      </c>
      <c r="D444" s="17">
        <v>0</v>
      </c>
      <c r="E444" s="17">
        <v>497.52776067694447</v>
      </c>
      <c r="F444" s="17">
        <v>1013.5603200000006</v>
      </c>
      <c r="G444" s="17">
        <v>497.52776067694447</v>
      </c>
    </row>
    <row r="445" spans="1:7" ht="11.25" customHeight="1" x14ac:dyDescent="0.2">
      <c r="A445" s="27">
        <v>44593</v>
      </c>
      <c r="B445" s="17">
        <v>0</v>
      </c>
      <c r="C445" s="17">
        <v>1050.7577600000006</v>
      </c>
      <c r="D445" s="17">
        <v>0</v>
      </c>
      <c r="E445" s="17">
        <v>515.78691966426061</v>
      </c>
      <c r="F445" s="17">
        <v>1050.7577600000006</v>
      </c>
      <c r="G445" s="17">
        <v>515.78691966426061</v>
      </c>
    </row>
    <row r="446" spans="1:7" ht="11.25" customHeight="1" x14ac:dyDescent="0.2">
      <c r="A446" s="27">
        <v>44621</v>
      </c>
      <c r="B446" s="17">
        <v>0</v>
      </c>
      <c r="C446" s="17">
        <v>1002.7227200000007</v>
      </c>
      <c r="D446" s="17">
        <v>0</v>
      </c>
      <c r="E446" s="17">
        <v>492.20789292688062</v>
      </c>
      <c r="F446" s="17">
        <v>1002.7227200000007</v>
      </c>
      <c r="G446" s="17">
        <v>492.20789292688062</v>
      </c>
    </row>
    <row r="447" spans="1:7" ht="11.25" customHeight="1" x14ac:dyDescent="0.2">
      <c r="A447" s="27">
        <v>44652</v>
      </c>
      <c r="B447" s="17">
        <v>0</v>
      </c>
      <c r="C447" s="17">
        <v>1116.2028800000007</v>
      </c>
      <c r="D447" s="17">
        <v>0</v>
      </c>
      <c r="E447" s="17">
        <v>547.91205652916267</v>
      </c>
      <c r="F447" s="17">
        <v>1116.2028800000007</v>
      </c>
      <c r="G447" s="17">
        <v>547.91205652916267</v>
      </c>
    </row>
    <row r="448" spans="1:7" ht="11.25" customHeight="1" x14ac:dyDescent="0.2">
      <c r="A448" s="27">
        <v>44682</v>
      </c>
      <c r="B448" s="17">
        <v>0</v>
      </c>
      <c r="C448" s="17">
        <v>1152.0019200000006</v>
      </c>
      <c r="D448" s="17">
        <v>0</v>
      </c>
      <c r="E448" s="17">
        <v>565.48478096808344</v>
      </c>
      <c r="F448" s="17">
        <v>1152.0019200000006</v>
      </c>
      <c r="G448" s="17">
        <v>565.48478096808344</v>
      </c>
    </row>
    <row r="449" spans="1:7" ht="11.25" customHeight="1" x14ac:dyDescent="0.2">
      <c r="A449" s="27">
        <v>44713</v>
      </c>
      <c r="B449" s="17">
        <v>0</v>
      </c>
      <c r="C449" s="17">
        <v>1152.0019200000006</v>
      </c>
      <c r="D449" s="17">
        <v>0</v>
      </c>
      <c r="E449" s="17">
        <v>565.48478096808344</v>
      </c>
      <c r="F449" s="17">
        <v>1152.0019200000006</v>
      </c>
      <c r="G449" s="17">
        <v>565.48478096808344</v>
      </c>
    </row>
    <row r="450" spans="1:7" ht="11.25" customHeight="1" x14ac:dyDescent="0.2">
      <c r="A450" s="24" t="s">
        <v>53</v>
      </c>
      <c r="B450" s="17">
        <v>0</v>
      </c>
      <c r="C450" s="17">
        <v>7079.0504000000055</v>
      </c>
      <c r="D450" s="17">
        <v>0</v>
      </c>
      <c r="E450" s="17">
        <v>3474.9032926143241</v>
      </c>
      <c r="F450" s="17">
        <v>7079.0504000000055</v>
      </c>
      <c r="G450" s="17">
        <v>3474.9032926143241</v>
      </c>
    </row>
    <row r="451" spans="1:7" ht="11.25" customHeight="1" x14ac:dyDescent="0.2">
      <c r="A451" s="25" t="s">
        <v>25</v>
      </c>
      <c r="B451" s="17">
        <v>0</v>
      </c>
      <c r="C451" s="17">
        <v>7079.0504000000055</v>
      </c>
      <c r="D451" s="17">
        <v>0</v>
      </c>
      <c r="E451" s="17">
        <v>3474.9032926143241</v>
      </c>
      <c r="F451" s="17">
        <v>7079.0504000000055</v>
      </c>
      <c r="G451" s="17">
        <v>3474.9032926143241</v>
      </c>
    </row>
    <row r="452" spans="1:7" ht="11.25" customHeight="1" x14ac:dyDescent="0.2">
      <c r="A452" s="26" t="s">
        <v>25</v>
      </c>
      <c r="B452" s="17">
        <v>0</v>
      </c>
      <c r="C452" s="17">
        <v>7079.0504000000055</v>
      </c>
      <c r="D452" s="17">
        <v>0</v>
      </c>
      <c r="E452" s="17">
        <v>3474.9032926143241</v>
      </c>
      <c r="F452" s="17">
        <v>7079.0504000000055</v>
      </c>
      <c r="G452" s="17">
        <v>3474.9032926143241</v>
      </c>
    </row>
    <row r="453" spans="1:7" ht="11.25" customHeight="1" x14ac:dyDescent="0.2">
      <c r="A453" s="27">
        <v>44409</v>
      </c>
      <c r="B453" s="17">
        <v>0</v>
      </c>
      <c r="C453" s="17">
        <v>437.00000000000028</v>
      </c>
      <c r="D453" s="17">
        <v>0</v>
      </c>
      <c r="E453" s="17">
        <v>214.51079637354465</v>
      </c>
      <c r="F453" s="17">
        <v>437.00000000000028</v>
      </c>
      <c r="G453" s="17">
        <v>214.51079637354465</v>
      </c>
    </row>
    <row r="454" spans="1:7" ht="11.25" customHeight="1" x14ac:dyDescent="0.2">
      <c r="A454" s="27">
        <v>44440</v>
      </c>
      <c r="B454" s="17">
        <v>0</v>
      </c>
      <c r="C454" s="17">
        <v>709.75792000000047</v>
      </c>
      <c r="D454" s="17">
        <v>0</v>
      </c>
      <c r="E454" s="17">
        <v>348.39985503805627</v>
      </c>
      <c r="F454" s="17">
        <v>709.75792000000047</v>
      </c>
      <c r="G454" s="17">
        <v>348.39985503805627</v>
      </c>
    </row>
    <row r="455" spans="1:7" ht="11.25" customHeight="1" x14ac:dyDescent="0.2">
      <c r="A455" s="27">
        <v>44470</v>
      </c>
      <c r="B455" s="17">
        <v>0</v>
      </c>
      <c r="C455" s="17">
        <v>655.15040000000033</v>
      </c>
      <c r="D455" s="17">
        <v>0</v>
      </c>
      <c r="E455" s="17">
        <v>321.59458592321812</v>
      </c>
      <c r="F455" s="17">
        <v>655.15040000000033</v>
      </c>
      <c r="G455" s="17">
        <v>321.59458592321812</v>
      </c>
    </row>
    <row r="456" spans="1:7" ht="11.25" customHeight="1" x14ac:dyDescent="0.2">
      <c r="A456" s="27">
        <v>44501</v>
      </c>
      <c r="B456" s="17">
        <v>0</v>
      </c>
      <c r="C456" s="17">
        <v>688.71200000000044</v>
      </c>
      <c r="D456" s="17">
        <v>0</v>
      </c>
      <c r="E456" s="17">
        <v>338.06901508470634</v>
      </c>
      <c r="F456" s="17">
        <v>688.71200000000044</v>
      </c>
      <c r="G456" s="17">
        <v>338.06901508470634</v>
      </c>
    </row>
    <row r="457" spans="1:7" ht="11.25" customHeight="1" x14ac:dyDescent="0.2">
      <c r="A457" s="27">
        <v>44531</v>
      </c>
      <c r="B457" s="17">
        <v>0</v>
      </c>
      <c r="C457" s="17">
        <v>711.22624000000053</v>
      </c>
      <c r="D457" s="17">
        <v>0</v>
      </c>
      <c r="E457" s="17">
        <v>349.12061131387139</v>
      </c>
      <c r="F457" s="17">
        <v>711.22624000000053</v>
      </c>
      <c r="G457" s="17">
        <v>349.12061131387139</v>
      </c>
    </row>
    <row r="458" spans="1:7" ht="11.25" customHeight="1" x14ac:dyDescent="0.2">
      <c r="A458" s="27">
        <v>44562</v>
      </c>
      <c r="B458" s="17">
        <v>0</v>
      </c>
      <c r="C458" s="17">
        <v>697.80160000000046</v>
      </c>
      <c r="D458" s="17">
        <v>0</v>
      </c>
      <c r="E458" s="17">
        <v>342.53083964927612</v>
      </c>
      <c r="F458" s="17">
        <v>697.80160000000046</v>
      </c>
      <c r="G458" s="17">
        <v>342.53083964927612</v>
      </c>
    </row>
    <row r="459" spans="1:7" ht="11.25" customHeight="1" x14ac:dyDescent="0.2">
      <c r="A459" s="27">
        <v>44593</v>
      </c>
      <c r="B459" s="17">
        <v>0</v>
      </c>
      <c r="C459" s="17">
        <v>730.8737600000004</v>
      </c>
      <c r="D459" s="17">
        <v>0</v>
      </c>
      <c r="E459" s="17">
        <v>358.7650167188259</v>
      </c>
      <c r="F459" s="17">
        <v>730.8737600000004</v>
      </c>
      <c r="G459" s="17">
        <v>358.7650167188259</v>
      </c>
    </row>
    <row r="460" spans="1:7" ht="11.25" customHeight="1" x14ac:dyDescent="0.2">
      <c r="A460" s="27">
        <v>44621</v>
      </c>
      <c r="B460" s="17">
        <v>0</v>
      </c>
      <c r="C460" s="17">
        <v>650.74544000000049</v>
      </c>
      <c r="D460" s="17">
        <v>0</v>
      </c>
      <c r="E460" s="17">
        <v>319.43231709577282</v>
      </c>
      <c r="F460" s="17">
        <v>650.74544000000049</v>
      </c>
      <c r="G460" s="17">
        <v>319.43231709577282</v>
      </c>
    </row>
    <row r="461" spans="1:7" ht="11.25" customHeight="1" x14ac:dyDescent="0.2">
      <c r="A461" s="27">
        <v>44652</v>
      </c>
      <c r="B461" s="17">
        <v>0</v>
      </c>
      <c r="C461" s="17">
        <v>688.01280000000042</v>
      </c>
      <c r="D461" s="17">
        <v>0</v>
      </c>
      <c r="E461" s="17">
        <v>337.72579781050871</v>
      </c>
      <c r="F461" s="17">
        <v>688.01280000000042</v>
      </c>
      <c r="G461" s="17">
        <v>337.72579781050871</v>
      </c>
    </row>
    <row r="462" spans="1:7" ht="11.25" customHeight="1" x14ac:dyDescent="0.2">
      <c r="A462" s="27">
        <v>44682</v>
      </c>
      <c r="B462" s="17">
        <v>0</v>
      </c>
      <c r="C462" s="17">
        <v>554.88512000000037</v>
      </c>
      <c r="D462" s="17">
        <v>0</v>
      </c>
      <c r="E462" s="17">
        <v>272.37722880327203</v>
      </c>
      <c r="F462" s="17">
        <v>554.88512000000037</v>
      </c>
      <c r="G462" s="17">
        <v>272.37722880327203</v>
      </c>
    </row>
    <row r="463" spans="1:7" ht="11.25" customHeight="1" x14ac:dyDescent="0.2">
      <c r="A463" s="27">
        <v>44713</v>
      </c>
      <c r="B463" s="17">
        <v>0</v>
      </c>
      <c r="C463" s="17">
        <v>554.88512000000037</v>
      </c>
      <c r="D463" s="17">
        <v>0</v>
      </c>
      <c r="E463" s="17">
        <v>272.37722880327203</v>
      </c>
      <c r="F463" s="17">
        <v>554.88512000000037</v>
      </c>
      <c r="G463" s="17">
        <v>272.37722880327203</v>
      </c>
    </row>
    <row r="464" spans="1:7" ht="11.25" customHeight="1" x14ac:dyDescent="0.2">
      <c r="A464" s="23" t="s">
        <v>25</v>
      </c>
      <c r="B464" s="17">
        <v>0</v>
      </c>
      <c r="C464" s="17">
        <v>1259237.5248000005</v>
      </c>
      <c r="D464" s="17">
        <v>0</v>
      </c>
      <c r="E464" s="17">
        <v>618123.67109450593</v>
      </c>
      <c r="F464" s="17">
        <v>1259237.5248000009</v>
      </c>
      <c r="G464" s="17">
        <v>618123.6710945064</v>
      </c>
    </row>
    <row r="465" spans="1:7" ht="11.25" customHeight="1" x14ac:dyDescent="0.2">
      <c r="A465" s="24" t="s">
        <v>25</v>
      </c>
      <c r="B465" s="17">
        <v>0</v>
      </c>
      <c r="C465" s="17">
        <v>1259237.5248000005</v>
      </c>
      <c r="D465" s="17">
        <v>0</v>
      </c>
      <c r="E465" s="17">
        <v>618123.67109450593</v>
      </c>
      <c r="F465" s="17">
        <v>1259237.5248000009</v>
      </c>
      <c r="G465" s="17">
        <v>618123.6710945064</v>
      </c>
    </row>
    <row r="466" spans="1:7" ht="11.25" customHeight="1" x14ac:dyDescent="0.2">
      <c r="A466" s="25" t="s">
        <v>25</v>
      </c>
      <c r="B466" s="17">
        <v>0</v>
      </c>
      <c r="C466" s="17">
        <v>1259237.5248000005</v>
      </c>
      <c r="D466" s="17">
        <v>0</v>
      </c>
      <c r="E466" s="17">
        <v>618123.67109450593</v>
      </c>
      <c r="F466" s="17">
        <v>1259237.5248000009</v>
      </c>
      <c r="G466" s="17">
        <v>618123.6710945064</v>
      </c>
    </row>
    <row r="467" spans="1:7" ht="11.25" customHeight="1" x14ac:dyDescent="0.2">
      <c r="A467" s="26" t="s">
        <v>25</v>
      </c>
      <c r="B467" s="17">
        <v>0</v>
      </c>
      <c r="C467" s="17">
        <v>1259237.5248000005</v>
      </c>
      <c r="D467" s="17">
        <v>0</v>
      </c>
      <c r="E467" s="17">
        <v>618123.67109450593</v>
      </c>
      <c r="F467" s="17">
        <v>1259237.5248000009</v>
      </c>
      <c r="G467" s="17">
        <v>618123.6710945064</v>
      </c>
    </row>
    <row r="468" spans="1:7" ht="11.25" customHeight="1" x14ac:dyDescent="0.2">
      <c r="A468" s="27">
        <v>44378</v>
      </c>
      <c r="B468" s="17">
        <v>0</v>
      </c>
      <c r="C468" s="17">
        <v>101959.72128000006</v>
      </c>
      <c r="D468" s="17">
        <v>0</v>
      </c>
      <c r="E468" s="17">
        <v>50049.109862236721</v>
      </c>
      <c r="F468" s="17">
        <v>101959.72128000006</v>
      </c>
      <c r="G468" s="17">
        <v>50049.109862236721</v>
      </c>
    </row>
    <row r="469" spans="1:7" ht="11.25" customHeight="1" x14ac:dyDescent="0.2">
      <c r="A469" s="27">
        <v>44409</v>
      </c>
      <c r="B469" s="17">
        <v>0</v>
      </c>
      <c r="C469" s="17">
        <v>104805.11568000006</v>
      </c>
      <c r="D469" s="17">
        <v>0</v>
      </c>
      <c r="E469" s="17">
        <v>51445.832559584145</v>
      </c>
      <c r="F469" s="17">
        <v>104805.11568000006</v>
      </c>
      <c r="G469" s="17">
        <v>51445.832559584145</v>
      </c>
    </row>
    <row r="470" spans="1:7" ht="11.25" customHeight="1" x14ac:dyDescent="0.2">
      <c r="A470" s="27">
        <v>44440</v>
      </c>
      <c r="B470" s="17">
        <v>0</v>
      </c>
      <c r="C470" s="17">
        <v>106791.05344000006</v>
      </c>
      <c r="D470" s="17">
        <v>0</v>
      </c>
      <c r="E470" s="17">
        <v>52420.672583487794</v>
      </c>
      <c r="F470" s="17">
        <v>106791.05344000006</v>
      </c>
      <c r="G470" s="17">
        <v>52420.672583487794</v>
      </c>
    </row>
    <row r="471" spans="1:7" ht="11.25" customHeight="1" x14ac:dyDescent="0.2">
      <c r="A471" s="27">
        <v>44470</v>
      </c>
      <c r="B471" s="17">
        <v>0</v>
      </c>
      <c r="C471" s="17">
        <v>106608.70208000006</v>
      </c>
      <c r="D471" s="17">
        <v>0</v>
      </c>
      <c r="E471" s="17">
        <v>52331.161518377034</v>
      </c>
      <c r="F471" s="17">
        <v>106608.70208000006</v>
      </c>
      <c r="G471" s="17">
        <v>52331.161518377034</v>
      </c>
    </row>
    <row r="472" spans="1:7" ht="11.25" customHeight="1" x14ac:dyDescent="0.2">
      <c r="A472" s="27">
        <v>44501</v>
      </c>
      <c r="B472" s="17">
        <v>0</v>
      </c>
      <c r="C472" s="17">
        <v>106725.11888000007</v>
      </c>
      <c r="D472" s="17">
        <v>0</v>
      </c>
      <c r="E472" s="17">
        <v>52388.307194530957</v>
      </c>
      <c r="F472" s="17">
        <v>106725.11888000007</v>
      </c>
      <c r="G472" s="17">
        <v>52388.307194530957</v>
      </c>
    </row>
    <row r="473" spans="1:7" ht="11.25" customHeight="1" x14ac:dyDescent="0.2">
      <c r="A473" s="27">
        <v>44531</v>
      </c>
      <c r="B473" s="17">
        <v>0</v>
      </c>
      <c r="C473" s="17">
        <v>107072.06192000007</v>
      </c>
      <c r="D473" s="17">
        <v>0</v>
      </c>
      <c r="E473" s="17">
        <v>52558.611605987826</v>
      </c>
      <c r="F473" s="17">
        <v>107072.06192000007</v>
      </c>
      <c r="G473" s="17">
        <v>52558.611605987826</v>
      </c>
    </row>
    <row r="474" spans="1:7" ht="11.25" customHeight="1" x14ac:dyDescent="0.2">
      <c r="A474" s="27">
        <v>44562</v>
      </c>
      <c r="B474" s="17">
        <v>0</v>
      </c>
      <c r="C474" s="17">
        <v>111200.06880000007</v>
      </c>
      <c r="D474" s="17">
        <v>0</v>
      </c>
      <c r="E474" s="17">
        <v>54584.932071123461</v>
      </c>
      <c r="F474" s="17">
        <v>111200.06880000007</v>
      </c>
      <c r="G474" s="17">
        <v>54584.932071123461</v>
      </c>
    </row>
    <row r="475" spans="1:7" ht="11.25" customHeight="1" x14ac:dyDescent="0.2">
      <c r="A475" s="27">
        <v>44593</v>
      </c>
      <c r="B475" s="17">
        <v>0</v>
      </c>
      <c r="C475" s="17">
        <v>132556.99296000009</v>
      </c>
      <c r="D475" s="17">
        <v>0</v>
      </c>
      <c r="E475" s="17">
        <v>65068.435068036495</v>
      </c>
      <c r="F475" s="17">
        <v>132556.99296000009</v>
      </c>
      <c r="G475" s="17">
        <v>65068.435068036495</v>
      </c>
    </row>
    <row r="476" spans="1:7" ht="11.25" customHeight="1" x14ac:dyDescent="0.2">
      <c r="A476" s="27">
        <v>44621</v>
      </c>
      <c r="B476" s="17">
        <v>0</v>
      </c>
      <c r="C476" s="17">
        <v>92368.585120000062</v>
      </c>
      <c r="D476" s="17">
        <v>0</v>
      </c>
      <c r="E476" s="17">
        <v>45341.095546885008</v>
      </c>
      <c r="F476" s="17">
        <v>92368.585120000062</v>
      </c>
      <c r="G476" s="17">
        <v>45341.095546885008</v>
      </c>
    </row>
    <row r="477" spans="1:7" ht="11.25" customHeight="1" x14ac:dyDescent="0.2">
      <c r="A477" s="27">
        <v>44652</v>
      </c>
      <c r="B477" s="17">
        <v>0</v>
      </c>
      <c r="C477" s="17">
        <v>97391.148480000062</v>
      </c>
      <c r="D477" s="17">
        <v>0</v>
      </c>
      <c r="E477" s="17">
        <v>47806.528192629135</v>
      </c>
      <c r="F477" s="17">
        <v>97391.148480000062</v>
      </c>
      <c r="G477" s="17">
        <v>47806.528192629135</v>
      </c>
    </row>
    <row r="478" spans="1:7" ht="11.25" customHeight="1" x14ac:dyDescent="0.2">
      <c r="A478" s="27">
        <v>44682</v>
      </c>
      <c r="B478" s="17">
        <v>0</v>
      </c>
      <c r="C478" s="17">
        <v>95879.478080000059</v>
      </c>
      <c r="D478" s="17">
        <v>0</v>
      </c>
      <c r="E478" s="17">
        <v>47064.492445813761</v>
      </c>
      <c r="F478" s="17">
        <v>95879.478080000059</v>
      </c>
      <c r="G478" s="17">
        <v>47064.492445813761</v>
      </c>
    </row>
    <row r="479" spans="1:7" ht="11.25" customHeight="1" x14ac:dyDescent="0.2">
      <c r="A479" s="27">
        <v>44713</v>
      </c>
      <c r="B479" s="17">
        <v>0</v>
      </c>
      <c r="C479" s="17">
        <v>95879.478080000059</v>
      </c>
      <c r="D479" s="17">
        <v>0</v>
      </c>
      <c r="E479" s="17">
        <v>47064.492445813761</v>
      </c>
      <c r="F479" s="17">
        <v>95879.478080000059</v>
      </c>
      <c r="G479" s="17">
        <v>47064.492445813761</v>
      </c>
    </row>
    <row r="480" spans="1:7" ht="11.25" customHeight="1" x14ac:dyDescent="0.2">
      <c r="A480" s="19" t="s">
        <v>734</v>
      </c>
      <c r="B480" s="17">
        <v>0</v>
      </c>
      <c r="C480" s="17">
        <v>0</v>
      </c>
      <c r="D480" s="17">
        <v>0</v>
      </c>
      <c r="E480" s="17">
        <v>0</v>
      </c>
      <c r="F480" s="17">
        <v>0</v>
      </c>
      <c r="G480" s="17">
        <v>0</v>
      </c>
    </row>
    <row r="481" spans="1:7" ht="11.25" customHeight="1" x14ac:dyDescent="0.2">
      <c r="A481" s="20" t="s">
        <v>22</v>
      </c>
      <c r="B481" s="17">
        <v>0</v>
      </c>
      <c r="C481" s="17">
        <v>0</v>
      </c>
      <c r="D481" s="17">
        <v>0</v>
      </c>
      <c r="E481" s="17">
        <v>0</v>
      </c>
      <c r="F481" s="17">
        <v>0</v>
      </c>
      <c r="G481" s="17">
        <v>0</v>
      </c>
    </row>
    <row r="482" spans="1:7" ht="11.25" customHeight="1" x14ac:dyDescent="0.2">
      <c r="A482" s="21" t="s">
        <v>23</v>
      </c>
      <c r="B482" s="17">
        <v>0</v>
      </c>
      <c r="C482" s="17">
        <v>0</v>
      </c>
      <c r="D482" s="17">
        <v>0</v>
      </c>
      <c r="E482" s="17">
        <v>0</v>
      </c>
      <c r="F482" s="17">
        <v>0</v>
      </c>
      <c r="G482" s="17">
        <v>0</v>
      </c>
    </row>
    <row r="483" spans="1:7" ht="11.25" customHeight="1" x14ac:dyDescent="0.2">
      <c r="A483" s="22" t="s">
        <v>24</v>
      </c>
      <c r="B483" s="17">
        <v>0</v>
      </c>
      <c r="C483" s="17">
        <v>0</v>
      </c>
      <c r="D483" s="17">
        <v>0</v>
      </c>
      <c r="E483" s="17">
        <v>0</v>
      </c>
      <c r="F483" s="17">
        <v>0</v>
      </c>
      <c r="G483" s="17">
        <v>0</v>
      </c>
    </row>
    <row r="484" spans="1:7" ht="11.25" customHeight="1" x14ac:dyDescent="0.2">
      <c r="A484" s="23" t="s">
        <v>24</v>
      </c>
      <c r="B484" s="17">
        <v>0</v>
      </c>
      <c r="C484" s="17">
        <v>0</v>
      </c>
      <c r="D484" s="17">
        <v>0</v>
      </c>
      <c r="E484" s="17">
        <v>0</v>
      </c>
      <c r="F484" s="17">
        <v>0</v>
      </c>
      <c r="G484" s="17">
        <v>0</v>
      </c>
    </row>
    <row r="485" spans="1:7" ht="11.25" customHeight="1" x14ac:dyDescent="0.2">
      <c r="A485" s="24" t="s">
        <v>25</v>
      </c>
      <c r="B485" s="17">
        <v>0</v>
      </c>
      <c r="C485" s="17">
        <v>0</v>
      </c>
      <c r="D485" s="17">
        <v>0</v>
      </c>
      <c r="E485" s="17">
        <v>0</v>
      </c>
      <c r="F485" s="17">
        <v>0</v>
      </c>
      <c r="G485" s="17">
        <v>0</v>
      </c>
    </row>
    <row r="486" spans="1:7" ht="11.25" customHeight="1" x14ac:dyDescent="0.2">
      <c r="A486" s="25" t="s">
        <v>25</v>
      </c>
      <c r="B486" s="17">
        <v>0</v>
      </c>
      <c r="C486" s="17">
        <v>0</v>
      </c>
      <c r="D486" s="17">
        <v>0</v>
      </c>
      <c r="E486" s="17">
        <v>0</v>
      </c>
      <c r="F486" s="17">
        <v>0</v>
      </c>
      <c r="G486" s="17">
        <v>0</v>
      </c>
    </row>
    <row r="487" spans="1:7" ht="11.25" customHeight="1" x14ac:dyDescent="0.2">
      <c r="A487" s="26" t="s">
        <v>25</v>
      </c>
      <c r="B487" s="17">
        <v>0</v>
      </c>
      <c r="C487" s="17">
        <v>0</v>
      </c>
      <c r="D487" s="17">
        <v>0</v>
      </c>
      <c r="E487" s="17">
        <v>0</v>
      </c>
      <c r="F487" s="17">
        <v>0</v>
      </c>
      <c r="G487" s="17">
        <v>0</v>
      </c>
    </row>
    <row r="488" spans="1:7" ht="11.25" customHeight="1" x14ac:dyDescent="0.2">
      <c r="A488" s="27">
        <v>44378</v>
      </c>
      <c r="B488" s="17">
        <v>0</v>
      </c>
      <c r="C488" s="17">
        <v>0</v>
      </c>
      <c r="D488" s="17">
        <v>0</v>
      </c>
      <c r="E488" s="17">
        <v>0</v>
      </c>
      <c r="F488" s="17">
        <v>0</v>
      </c>
      <c r="G488" s="1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22F5-CC04-4E39-A427-C959DA7B95BF}">
  <dimension ref="A1:W35"/>
  <sheetViews>
    <sheetView showGridLines="0" workbookViewId="0">
      <selection activeCell="W12" sqref="W12:W14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3" ht="11.25" customHeight="1" x14ac:dyDescent="0.25">
      <c r="A1" s="125" t="s">
        <v>804</v>
      </c>
      <c r="B1" s="149"/>
      <c r="C1" s="149"/>
      <c r="D1" s="149"/>
      <c r="E1" s="149"/>
      <c r="F1" s="149"/>
      <c r="G1" s="149"/>
      <c r="H1" s="149"/>
      <c r="I1" s="149"/>
      <c r="J1" s="149"/>
      <c r="L1" s="125" t="s">
        <v>814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23" ht="11.25" customHeight="1" x14ac:dyDescent="0.25">
      <c r="A2" s="141" t="s">
        <v>71</v>
      </c>
      <c r="B2" s="141" t="s">
        <v>72</v>
      </c>
      <c r="C2" s="141" t="s">
        <v>805</v>
      </c>
      <c r="D2" s="141" t="s">
        <v>77</v>
      </c>
      <c r="E2" s="141" t="s">
        <v>806</v>
      </c>
      <c r="F2" s="147"/>
      <c r="G2" s="147"/>
      <c r="H2" s="141" t="s">
        <v>604</v>
      </c>
      <c r="I2" s="147"/>
      <c r="J2" s="147"/>
      <c r="L2" s="141" t="s">
        <v>71</v>
      </c>
      <c r="M2" s="141" t="s">
        <v>72</v>
      </c>
      <c r="N2" s="141" t="s">
        <v>73</v>
      </c>
      <c r="O2" s="141" t="s">
        <v>74</v>
      </c>
      <c r="P2" s="141" t="s">
        <v>77</v>
      </c>
      <c r="Q2" s="141" t="s">
        <v>806</v>
      </c>
      <c r="R2" s="148"/>
      <c r="S2" s="148"/>
      <c r="T2" s="141" t="s">
        <v>604</v>
      </c>
      <c r="U2" s="148"/>
      <c r="V2" s="148"/>
    </row>
    <row r="3" spans="1:23" ht="11.25" customHeight="1" x14ac:dyDescent="0.25">
      <c r="A3" s="147"/>
      <c r="B3" s="147"/>
      <c r="C3" s="147"/>
      <c r="D3" s="147"/>
      <c r="E3" s="141" t="s">
        <v>562</v>
      </c>
      <c r="F3" s="147"/>
      <c r="G3" s="86" t="s">
        <v>590</v>
      </c>
      <c r="H3" s="141" t="s">
        <v>562</v>
      </c>
      <c r="I3" s="147"/>
      <c r="J3" s="86" t="s">
        <v>590</v>
      </c>
      <c r="L3" s="148"/>
      <c r="M3" s="148"/>
      <c r="N3" s="148"/>
      <c r="O3" s="148"/>
      <c r="P3" s="148"/>
      <c r="Q3" s="141" t="s">
        <v>562</v>
      </c>
      <c r="R3" s="148"/>
      <c r="S3" s="86" t="s">
        <v>590</v>
      </c>
      <c r="T3" s="141" t="s">
        <v>562</v>
      </c>
      <c r="U3" s="148"/>
      <c r="V3" s="86" t="s">
        <v>590</v>
      </c>
    </row>
    <row r="4" spans="1:23" ht="11.25" customHeight="1" x14ac:dyDescent="0.25">
      <c r="A4" s="147"/>
      <c r="B4" s="147"/>
      <c r="C4" s="147"/>
      <c r="D4" s="147"/>
      <c r="E4" s="86" t="s">
        <v>807</v>
      </c>
      <c r="F4" s="86" t="s">
        <v>808</v>
      </c>
      <c r="G4" s="86" t="s">
        <v>808</v>
      </c>
      <c r="H4" s="86" t="s">
        <v>807</v>
      </c>
      <c r="I4" s="86" t="s">
        <v>808</v>
      </c>
      <c r="J4" s="86" t="s">
        <v>808</v>
      </c>
      <c r="L4" s="148"/>
      <c r="M4" s="148"/>
      <c r="N4" s="148"/>
      <c r="O4" s="148"/>
      <c r="P4" s="148"/>
      <c r="Q4" s="86" t="s">
        <v>807</v>
      </c>
      <c r="R4" s="86" t="s">
        <v>808</v>
      </c>
      <c r="S4" s="86" t="s">
        <v>808</v>
      </c>
      <c r="T4" s="86" t="s">
        <v>807</v>
      </c>
      <c r="U4" s="86" t="s">
        <v>808</v>
      </c>
      <c r="V4" s="86" t="s">
        <v>808</v>
      </c>
    </row>
    <row r="5" spans="1:23" ht="11.25" customHeight="1" x14ac:dyDescent="0.25">
      <c r="A5" s="87" t="s">
        <v>62</v>
      </c>
      <c r="B5" s="87" t="s">
        <v>59</v>
      </c>
      <c r="C5" s="87" t="s">
        <v>25</v>
      </c>
      <c r="D5" s="87" t="s">
        <v>809</v>
      </c>
      <c r="E5" s="85">
        <f ca="1">ROUND('TUSD BE'!$AM$5+'TUSD BF'!$AM$5+'TUSD CVA'!$AM$5,2)</f>
        <v>11.74</v>
      </c>
      <c r="F5" s="85">
        <v>0</v>
      </c>
      <c r="G5" s="85">
        <v>0</v>
      </c>
      <c r="H5" s="85">
        <f>ROUND('TUSD BE'!$AM$5,2)</f>
        <v>14.58</v>
      </c>
      <c r="I5" s="85">
        <v>0</v>
      </c>
      <c r="J5" s="85">
        <v>0</v>
      </c>
      <c r="L5" s="143" t="s">
        <v>22</v>
      </c>
      <c r="M5" s="143" t="s">
        <v>815</v>
      </c>
      <c r="N5" s="143" t="s">
        <v>816</v>
      </c>
      <c r="O5" s="143" t="s">
        <v>816</v>
      </c>
      <c r="P5" s="87" t="s">
        <v>810</v>
      </c>
      <c r="Q5" s="85">
        <v>0</v>
      </c>
      <c r="R5" s="85">
        <f ca="1">ROUND('TUSD BE'!$AM$18+'TUSD BF'!$AM$18+'TUSD CVA'!$AM$18,2)</f>
        <v>864.6</v>
      </c>
      <c r="S5" s="85">
        <f>ROUND('TE BE'!$AB$8+'TE BF'!$AB$8+'TE CVA'!$AB$8,2)</f>
        <v>353.55</v>
      </c>
      <c r="T5" s="85">
        <v>0</v>
      </c>
      <c r="U5" s="85">
        <f ca="1">ROUND('TUSD BE'!$AM$18,2)</f>
        <v>1038.8699999999999</v>
      </c>
      <c r="V5" s="85">
        <f>ROUND('TE BE'!$AB$8,2)</f>
        <v>390.36</v>
      </c>
      <c r="W5" s="164">
        <f ca="1">R5+S5</f>
        <v>1218.1500000000001</v>
      </c>
    </row>
    <row r="6" spans="1:23" ht="11.25" customHeight="1" x14ac:dyDescent="0.25">
      <c r="A6" s="146" t="s">
        <v>38</v>
      </c>
      <c r="B6" s="146" t="s">
        <v>39</v>
      </c>
      <c r="C6" s="146" t="s">
        <v>25</v>
      </c>
      <c r="D6" s="87" t="s">
        <v>810</v>
      </c>
      <c r="E6" s="85">
        <f ca="1">ROUND('TUSD BE'!$AM$6+'TUSD BF'!$AM$6+'TUSD CVA'!$AM$6,2)</f>
        <v>40.18</v>
      </c>
      <c r="F6" s="85">
        <f ca="1">ROUND('TUSD BE'!$AM$8+'TUSD BF'!$AM$8+'TUSD CVA'!$AM$8,2)</f>
        <v>100.24</v>
      </c>
      <c r="G6" s="85">
        <f>ROUND('TE BE'!$AB$5+'TE BF'!$AB$5+'TE CVA'!$AB$5,2)</f>
        <v>353.55</v>
      </c>
      <c r="H6" s="85">
        <f ca="1">ROUND('TUSD BE'!$AM$6,2)</f>
        <v>49.29</v>
      </c>
      <c r="I6" s="85">
        <f ca="1">ROUND('TUSD BE'!$AM$8,2)</f>
        <v>103.06</v>
      </c>
      <c r="J6" s="85">
        <f>ROUND('TE BE'!$AB$5,2)</f>
        <v>390.36</v>
      </c>
      <c r="L6" s="144"/>
      <c r="M6" s="144"/>
      <c r="N6" s="144"/>
      <c r="O6" s="144"/>
      <c r="P6" s="87" t="s">
        <v>817</v>
      </c>
      <c r="Q6" s="85">
        <v>0</v>
      </c>
      <c r="R6" s="85">
        <f ca="1">ROUND('TUSD BE'!$AM$19+'TUSD BF'!$AM$19+'TUSD CVA'!$AM$19,2)</f>
        <v>494.6</v>
      </c>
      <c r="S6" s="85">
        <f>ROUND('TE BE'!$AB$9+'TE BF'!$AB$9+'TE CVA'!$AB$9,2)</f>
        <v>219.4</v>
      </c>
      <c r="T6" s="85">
        <v>0</v>
      </c>
      <c r="U6" s="85">
        <f ca="1">ROUND('TUSD BE'!$AM$19,2)</f>
        <v>583.80999999999995</v>
      </c>
      <c r="V6" s="85">
        <f>ROUND('TE BE'!$AB$9,2)</f>
        <v>241.59</v>
      </c>
      <c r="W6" s="164">
        <f t="shared" ref="W6:W35" ca="1" si="0">R6+S6</f>
        <v>714</v>
      </c>
    </row>
    <row r="7" spans="1:23" ht="11.25" customHeight="1" x14ac:dyDescent="0.25">
      <c r="A7" s="147"/>
      <c r="B7" s="147"/>
      <c r="C7" s="147"/>
      <c r="D7" s="87" t="s">
        <v>811</v>
      </c>
      <c r="E7" s="85">
        <f ca="1">ROUND('TUSD BE'!$AM$7+'TUSD BF'!$AM$7+'TUSD CVA'!$AM$7,2)</f>
        <v>15.19</v>
      </c>
      <c r="F7" s="85">
        <f ca="1">ROUND('TUSD BE'!$AM$8+'TUSD BF'!$AM$8+'TUSD CVA'!$AM$8,2)</f>
        <v>100.24</v>
      </c>
      <c r="G7" s="85">
        <f>ROUND('TE BE'!$AB$6+'TE BF'!$AB$6+'TE CVA'!$AB$6,2)</f>
        <v>219.4</v>
      </c>
      <c r="H7" s="85">
        <f ca="1">ROUND('TUSD BE'!$AM$7,2)</f>
        <v>18.47</v>
      </c>
      <c r="I7" s="85">
        <f ca="1">ROUND('TUSD BE'!$AM$8,2)</f>
        <v>103.06</v>
      </c>
      <c r="J7" s="85">
        <f>ROUND('TE BE'!$AB$6,2)</f>
        <v>241.59</v>
      </c>
      <c r="L7" s="144"/>
      <c r="M7" s="145"/>
      <c r="N7" s="145"/>
      <c r="O7" s="145"/>
      <c r="P7" s="87" t="s">
        <v>811</v>
      </c>
      <c r="Q7" s="85">
        <v>0</v>
      </c>
      <c r="R7" s="85">
        <f ca="1">ROUND('TUSD BE'!$AM$20+'TUSD BF'!$AM$20+'TUSD CVA'!$AM$20,2)</f>
        <v>198.6</v>
      </c>
      <c r="S7" s="85">
        <f>ROUND('TE BE'!$AB$10+'TE BF'!$AB$10+'TE CVA'!$AB$10,2)</f>
        <v>219.4</v>
      </c>
      <c r="T7" s="85">
        <v>0</v>
      </c>
      <c r="U7" s="85">
        <f ca="1">ROUND('TUSD BE'!$AM$20,2)</f>
        <v>219.76</v>
      </c>
      <c r="V7" s="85">
        <f>ROUND('TE BE'!$AB$10,2)</f>
        <v>241.59</v>
      </c>
      <c r="W7" s="164">
        <f t="shared" ca="1" si="0"/>
        <v>418</v>
      </c>
    </row>
    <row r="8" spans="1:23" ht="11.25" customHeight="1" x14ac:dyDescent="0.25">
      <c r="A8" s="147"/>
      <c r="B8" s="146" t="s">
        <v>812</v>
      </c>
      <c r="C8" s="146" t="s">
        <v>25</v>
      </c>
      <c r="D8" s="87" t="s">
        <v>810</v>
      </c>
      <c r="E8" s="85">
        <f ca="1">ROUND('TUSD BE'!$AM$6+'TUSD BF'!$AM$6+'TUSD CVA'!$AM$6,2)</f>
        <v>40.18</v>
      </c>
      <c r="F8" s="85">
        <f ca="1">ROUND('TUSD BE'!$AM$9+'TUSD BF'!$AM$9+'TUSD CVA'!$AM$9,2)</f>
        <v>8.89</v>
      </c>
      <c r="G8" s="85">
        <v>0</v>
      </c>
      <c r="H8" s="85">
        <f ca="1">ROUND('TUSD BE'!$AM$6,2)</f>
        <v>49.29</v>
      </c>
      <c r="I8" s="85">
        <f ca="1">ROUND('TUSD BE'!$AM$9,2)</f>
        <v>9.9600000000000009</v>
      </c>
      <c r="J8" s="85">
        <v>0</v>
      </c>
      <c r="L8" s="144"/>
      <c r="M8" s="87" t="s">
        <v>818</v>
      </c>
      <c r="N8" s="87" t="s">
        <v>816</v>
      </c>
      <c r="O8" s="87" t="s">
        <v>816</v>
      </c>
      <c r="P8" s="87" t="s">
        <v>809</v>
      </c>
      <c r="Q8" s="85">
        <v>0</v>
      </c>
      <c r="R8" s="85">
        <f ca="1">ROUND('TUSD BE'!$AM$26+'TUSD BF'!$AM$26+'TUSD CVA'!$AM$26,2)</f>
        <v>330.16</v>
      </c>
      <c r="S8" s="85">
        <f>ROUND('TE BE'!$AB$16+'TE BF'!$AB$16+'TE CVA'!$AB$16,2)</f>
        <v>230.58</v>
      </c>
      <c r="T8" s="85">
        <v>0</v>
      </c>
      <c r="U8" s="85">
        <f ca="1">ROUND('TUSD BE'!$AM$26,2)</f>
        <v>381.56</v>
      </c>
      <c r="V8" s="85">
        <f>ROUND('TE BE'!$AB$16,2)</f>
        <v>253.98</v>
      </c>
      <c r="W8" s="164">
        <f t="shared" ca="1" si="0"/>
        <v>560.74</v>
      </c>
    </row>
    <row r="9" spans="1:23" ht="11.25" customHeight="1" x14ac:dyDescent="0.25">
      <c r="A9" s="147"/>
      <c r="B9" s="147"/>
      <c r="C9" s="147"/>
      <c r="D9" s="87" t="s">
        <v>811</v>
      </c>
      <c r="E9" s="85">
        <f ca="1">ROUND('TUSD BE'!$AM$7+'TUSD BF'!$AM$7+'TUSD CVA'!$AM$7,2)</f>
        <v>15.19</v>
      </c>
      <c r="F9" s="85">
        <f ca="1">ROUND('TUSD BE'!$AM$9+'TUSD BF'!$AM$9+'TUSD CVA'!$AM$9,2)</f>
        <v>8.89</v>
      </c>
      <c r="G9" s="85">
        <v>0</v>
      </c>
      <c r="H9" s="85">
        <f ca="1">ROUND('TUSD BE'!$AM$7,2)</f>
        <v>18.47</v>
      </c>
      <c r="I9" s="85">
        <f ca="1">ROUND('TUSD BE'!$AM$9,2)</f>
        <v>9.9600000000000009</v>
      </c>
      <c r="J9" s="85">
        <v>0</v>
      </c>
      <c r="L9" s="144"/>
      <c r="M9" s="87" t="s">
        <v>820</v>
      </c>
      <c r="N9" s="87" t="s">
        <v>816</v>
      </c>
      <c r="O9" s="87" t="s">
        <v>816</v>
      </c>
      <c r="P9" s="87" t="s">
        <v>809</v>
      </c>
      <c r="Q9" s="85">
        <v>0</v>
      </c>
      <c r="R9" s="85">
        <f ca="1">ROUND('TUSD BE'!$AM$21+'TUSD BF'!$AM$21+'TUSD CVA'!$AM$21,2)</f>
        <v>330.16</v>
      </c>
      <c r="S9" s="85">
        <f>ROUND('TE BE'!$AB$11+'TE BF'!$AB$11+'TE CVA'!$AB$11,2)</f>
        <v>230.58</v>
      </c>
      <c r="T9" s="85">
        <v>0</v>
      </c>
      <c r="U9" s="85">
        <f ca="1">ROUND('TUSD BE'!$AM$21,2)</f>
        <v>381.56</v>
      </c>
      <c r="V9" s="85">
        <f>ROUND('TE BE'!$AB$11,2)</f>
        <v>253.98</v>
      </c>
      <c r="W9" s="164">
        <f t="shared" ca="1" si="0"/>
        <v>560.74</v>
      </c>
    </row>
    <row r="10" spans="1:23" ht="11.25" customHeight="1" x14ac:dyDescent="0.25">
      <c r="A10" s="147"/>
      <c r="B10" s="146" t="s">
        <v>40</v>
      </c>
      <c r="C10" s="146" t="s">
        <v>25</v>
      </c>
      <c r="D10" s="87" t="s">
        <v>809</v>
      </c>
      <c r="E10" s="85">
        <f ca="1">ROUND('TUSD BE'!$AM$11+'TUSD BF'!$AM$11+'TUSD CVA'!$AM$11,2)</f>
        <v>15.19</v>
      </c>
      <c r="F10" s="85">
        <v>0</v>
      </c>
      <c r="G10" s="85">
        <v>0</v>
      </c>
      <c r="H10" s="85">
        <f ca="1">ROUND('TUSD BE'!$AM$11,2)</f>
        <v>18.47</v>
      </c>
      <c r="I10" s="85">
        <v>0</v>
      </c>
      <c r="J10" s="85">
        <v>0</v>
      </c>
      <c r="L10" s="144"/>
      <c r="M10" s="87" t="s">
        <v>818</v>
      </c>
      <c r="N10" s="87" t="s">
        <v>816</v>
      </c>
      <c r="O10" s="87" t="s">
        <v>819</v>
      </c>
      <c r="P10" s="87" t="s">
        <v>809</v>
      </c>
      <c r="Q10" s="85">
        <v>0</v>
      </c>
      <c r="R10" s="85">
        <f ca="1">ROUND('TUSD BE'!$AM$27+'TUSD BF'!$AM$27+'TUSD CVA'!$AM$27,2)</f>
        <v>223.92</v>
      </c>
      <c r="S10" s="85">
        <f>ROUND('TE BE'!$AB$17+'TE BF'!$AB$17+'TE CVA'!$AB$17,2)</f>
        <v>230.58</v>
      </c>
      <c r="T10" s="85">
        <v>0</v>
      </c>
      <c r="U10" s="85">
        <f ca="1">ROUND('TUSD BE'!$AM$27,2)</f>
        <v>273.37</v>
      </c>
      <c r="V10" s="85">
        <f>ROUND('TE BE'!$AB$17,2)</f>
        <v>253.98</v>
      </c>
      <c r="W10" s="164">
        <f t="shared" ca="1" si="0"/>
        <v>454.5</v>
      </c>
    </row>
    <row r="11" spans="1:23" ht="11.25" customHeight="1" x14ac:dyDescent="0.25">
      <c r="A11" s="147"/>
      <c r="B11" s="147"/>
      <c r="C11" s="147"/>
      <c r="D11" s="87" t="s">
        <v>810</v>
      </c>
      <c r="E11" s="85">
        <v>0</v>
      </c>
      <c r="F11" s="85">
        <f ca="1">ROUND('TUSD BE'!$AM$12+'TUSD BF'!$AM$12+'TUSD CVA'!$AM$12,2)</f>
        <v>1074.3599999999999</v>
      </c>
      <c r="G11" s="85">
        <f>ROUND('TE BE'!$AB$5+'TE BF'!$AB$5+'TE CVA'!$AB$5,2)</f>
        <v>353.55</v>
      </c>
      <c r="H11" s="85">
        <v>0</v>
      </c>
      <c r="I11" s="85">
        <f ca="1">ROUND('TUSD BE'!$AM$12,2)</f>
        <v>1298.03</v>
      </c>
      <c r="J11" s="85">
        <f>ROUND('TE BE'!$AB$5,2)</f>
        <v>390.36</v>
      </c>
      <c r="L11" s="145"/>
      <c r="M11" s="87" t="s">
        <v>820</v>
      </c>
      <c r="N11" s="87" t="s">
        <v>816</v>
      </c>
      <c r="O11" s="87" t="s">
        <v>819</v>
      </c>
      <c r="P11" s="87" t="s">
        <v>809</v>
      </c>
      <c r="Q11" s="85">
        <v>0</v>
      </c>
      <c r="R11" s="85">
        <f ca="1">ROUND('TUSD BE'!$AM$22+'TUSD BF'!$AM$22+'TUSD CVA'!$AM$22,2)</f>
        <v>223.92</v>
      </c>
      <c r="S11" s="85">
        <f>ROUND('TE BE'!$AB$12+'TE BF'!$AB$12+'TE CVA'!$AB$12,2)</f>
        <v>230.58</v>
      </c>
      <c r="T11" s="85">
        <v>0</v>
      </c>
      <c r="U11" s="85">
        <f ca="1">ROUND('TUSD BE'!$AM$22,2)</f>
        <v>273.37</v>
      </c>
      <c r="V11" s="85">
        <f>ROUND('TE BE'!$AB$12,2)</f>
        <v>253.98</v>
      </c>
      <c r="W11" s="164">
        <f t="shared" ca="1" si="0"/>
        <v>454.5</v>
      </c>
    </row>
    <row r="12" spans="1:23" ht="11.25" customHeight="1" x14ac:dyDescent="0.25">
      <c r="A12" s="147"/>
      <c r="B12" s="147"/>
      <c r="C12" s="147"/>
      <c r="D12" s="87" t="s">
        <v>811</v>
      </c>
      <c r="E12" s="85">
        <v>0</v>
      </c>
      <c r="F12" s="85">
        <f ca="1">ROUND('TUSD BE'!$AM$13+'TUSD BF'!$AM$13+'TUSD CVA'!$AM$13,2)</f>
        <v>100.24</v>
      </c>
      <c r="G12" s="85">
        <f>ROUND('TE BE'!$AB$6+'TE BF'!$AB$6+'TE CVA'!$AB$6,2)</f>
        <v>219.4</v>
      </c>
      <c r="H12" s="85">
        <v>0</v>
      </c>
      <c r="I12" s="85">
        <f ca="1">ROUND('TUSD BE'!$AM$13,2)</f>
        <v>103.06</v>
      </c>
      <c r="J12" s="85">
        <f>ROUND('TE BE'!$AB$6,2)</f>
        <v>241.59</v>
      </c>
      <c r="L12" s="143" t="s">
        <v>42</v>
      </c>
      <c r="M12" s="143" t="s">
        <v>815</v>
      </c>
      <c r="N12" s="143" t="s">
        <v>821</v>
      </c>
      <c r="O12" s="143" t="s">
        <v>822</v>
      </c>
      <c r="P12" s="87" t="s">
        <v>810</v>
      </c>
      <c r="Q12" s="85">
        <v>0</v>
      </c>
      <c r="R12" s="85">
        <f ca="1">ROUND(('TUSD BE'!$AM$31+'TUSD BF'!$AM$31+'TUSD CVA'!$AM$31)*(1-CUSTOS!$M$38),2)</f>
        <v>909.33</v>
      </c>
      <c r="S12" s="85">
        <f>ROUND(('TE BE'!$AB$21+'TE BF'!$AB$21+'TE CVA'!$AB$21)*(1-CUSTOS!$M$38),2)</f>
        <v>332.34</v>
      </c>
      <c r="T12" s="85">
        <v>0</v>
      </c>
      <c r="U12" s="85">
        <f ca="1">ROUND('TUSD BE'!$AM$31*(1-CUSTOS!$M$38),2)</f>
        <v>1095.3599999999999</v>
      </c>
      <c r="V12" s="85">
        <f>ROUND('TE BE'!$AB$21*(1-CUSTOS!$M$38),2)</f>
        <v>366.94</v>
      </c>
      <c r="W12" s="164">
        <f t="shared" ca="1" si="0"/>
        <v>1241.67</v>
      </c>
    </row>
    <row r="13" spans="1:23" ht="11.25" customHeight="1" x14ac:dyDescent="0.25">
      <c r="A13" s="147"/>
      <c r="B13" s="146" t="s">
        <v>813</v>
      </c>
      <c r="C13" s="146" t="s">
        <v>25</v>
      </c>
      <c r="D13" s="87" t="s">
        <v>809</v>
      </c>
      <c r="E13" s="85">
        <f ca="1">ROUND('TUSD BE'!$AM$11+'TUSD BF'!$AM$11+'TUSD CVA'!$AM$11,2)</f>
        <v>15.19</v>
      </c>
      <c r="F13" s="85">
        <v>0</v>
      </c>
      <c r="G13" s="85">
        <v>0</v>
      </c>
      <c r="H13" s="85">
        <f ca="1">ROUND('TUSD BE'!$AM$11,2)</f>
        <v>18.47</v>
      </c>
      <c r="I13" s="85">
        <v>0</v>
      </c>
      <c r="J13" s="85">
        <v>0</v>
      </c>
      <c r="L13" s="144"/>
      <c r="M13" s="144"/>
      <c r="N13" s="144"/>
      <c r="O13" s="144"/>
      <c r="P13" s="87" t="s">
        <v>817</v>
      </c>
      <c r="Q13" s="85">
        <v>0</v>
      </c>
      <c r="R13" s="85">
        <f ca="1">ROUND(('TUSD BE'!$AM$32+'TUSD BF'!$AM$32+'TUSD CVA'!$AM$32)*(1-CUSTOS!$M$38),2)</f>
        <v>513.23</v>
      </c>
      <c r="S13" s="85">
        <f>ROUND(('TE BE'!$AB$22+'TE BF'!$AB$22+'TE CVA'!$AB$22)*(1-CUSTOS!$M$38),2)</f>
        <v>206.24</v>
      </c>
      <c r="T13" s="85">
        <v>0</v>
      </c>
      <c r="U13" s="85">
        <f ca="1">ROUND('TUSD BE'!$AM$32*(1-CUSTOS!$M$38),2)</f>
        <v>608.19000000000005</v>
      </c>
      <c r="V13" s="85">
        <f>ROUND('TE BE'!$AB$22*(1-CUSTOS!$M$38),2)</f>
        <v>227.09</v>
      </c>
      <c r="W13" s="164">
        <f t="shared" ca="1" si="0"/>
        <v>719.47</v>
      </c>
    </row>
    <row r="14" spans="1:23" ht="11.25" customHeight="1" x14ac:dyDescent="0.25">
      <c r="A14" s="147"/>
      <c r="B14" s="147"/>
      <c r="C14" s="147"/>
      <c r="D14" s="87" t="s">
        <v>810</v>
      </c>
      <c r="E14" s="85">
        <v>0</v>
      </c>
      <c r="F14" s="85">
        <f ca="1">ROUND('TUSD BE'!$AM$14+'TUSD BF'!$AM$14+'TUSD CVA'!$AM$14,2)</f>
        <v>983.01</v>
      </c>
      <c r="G14" s="85">
        <v>0</v>
      </c>
      <c r="H14" s="85">
        <v>0</v>
      </c>
      <c r="I14" s="85">
        <f ca="1">ROUND('TUSD BE'!$AM$14,2)</f>
        <v>1204.93</v>
      </c>
      <c r="J14" s="85">
        <v>0</v>
      </c>
      <c r="L14" s="144"/>
      <c r="M14" s="145"/>
      <c r="N14" s="145"/>
      <c r="O14" s="145"/>
      <c r="P14" s="87" t="s">
        <v>811</v>
      </c>
      <c r="Q14" s="85">
        <v>0</v>
      </c>
      <c r="R14" s="85">
        <f ca="1">ROUND(('TUSD BE'!$AM$33+'TUSD BF'!$AM$33+'TUSD CVA'!$AM$33)*(1-CUSTOS!$M$38),2)</f>
        <v>196.35</v>
      </c>
      <c r="S14" s="85">
        <f>ROUND(('TE BE'!$AB$23+'TE BF'!$AB$23+'TE CVA'!$AB$23)*(1-CUSTOS!$M$38),2)</f>
        <v>206.24</v>
      </c>
      <c r="T14" s="85">
        <v>0</v>
      </c>
      <c r="U14" s="85">
        <f ca="1">ROUND('TUSD BE'!$AM$33*(1-CUSTOS!$M$38),2)</f>
        <v>218.45</v>
      </c>
      <c r="V14" s="85">
        <f>ROUND('TE BE'!$AB$23*(1-CUSTOS!$M$38),2)</f>
        <v>227.09</v>
      </c>
      <c r="W14" s="164">
        <f t="shared" ca="1" si="0"/>
        <v>402.59000000000003</v>
      </c>
    </row>
    <row r="15" spans="1:23" ht="11.25" customHeight="1" x14ac:dyDescent="0.25">
      <c r="A15" s="147"/>
      <c r="B15" s="147"/>
      <c r="C15" s="147"/>
      <c r="D15" s="87" t="s">
        <v>811</v>
      </c>
      <c r="E15" s="85">
        <v>0</v>
      </c>
      <c r="F15" s="85">
        <f ca="1">ROUND('TUSD BE'!$AM$15+'TUSD BF'!$AM$15+'TUSD CVA'!$AM$15,2)</f>
        <v>8.89</v>
      </c>
      <c r="G15" s="85">
        <v>0</v>
      </c>
      <c r="H15" s="85">
        <v>0</v>
      </c>
      <c r="I15" s="85">
        <f ca="1">ROUND('TUSD BE'!$AM$15,2)</f>
        <v>9.9600000000000009</v>
      </c>
      <c r="J15" s="85">
        <v>0</v>
      </c>
      <c r="L15" s="144"/>
      <c r="M15" s="87" t="s">
        <v>818</v>
      </c>
      <c r="N15" s="87" t="s">
        <v>821</v>
      </c>
      <c r="O15" s="87" t="s">
        <v>822</v>
      </c>
      <c r="P15" s="87" t="s">
        <v>809</v>
      </c>
      <c r="Q15" s="85">
        <v>0</v>
      </c>
      <c r="R15" s="85">
        <f ca="1">ROUND(('TUSD BE'!$AM$43+'TUSD BF'!$AM$43+'TUSD CVA'!$AM$43)*(1-CUSTOS!$M$38),2)</f>
        <v>310.35000000000002</v>
      </c>
      <c r="S15" s="85">
        <f>ROUND(('TE BE'!$AB$33+'TE BF'!$AB$33+'TE CVA'!$AB$33)*(1-CUSTOS!$M$38),2)</f>
        <v>216.75</v>
      </c>
      <c r="T15" s="85">
        <v>0</v>
      </c>
      <c r="U15" s="85">
        <f ca="1">ROUND(('TUSD BE'!$AM$43)*(1-CUSTOS!$M$38),2)</f>
        <v>358.66</v>
      </c>
      <c r="V15" s="85">
        <f>ROUND(('TE BE'!$AB$33)*(1-CUSTOS!$M$38),2)</f>
        <v>238.75</v>
      </c>
      <c r="W15" s="164">
        <f t="shared" ca="1" si="0"/>
        <v>527.1</v>
      </c>
    </row>
    <row r="16" spans="1:23" ht="11.25" customHeight="1" x14ac:dyDescent="0.25">
      <c r="A16" s="147"/>
      <c r="B16" s="87" t="s">
        <v>59</v>
      </c>
      <c r="C16" s="87" t="s">
        <v>25</v>
      </c>
      <c r="D16" s="87" t="s">
        <v>809</v>
      </c>
      <c r="E16" s="85">
        <f ca="1">ROUND('TUSD BE'!$AM$10+'TUSD BF'!$AM$10+'TUSD CVA'!$AM$10,2)</f>
        <v>5.45</v>
      </c>
      <c r="F16" s="85">
        <v>0</v>
      </c>
      <c r="G16" s="85">
        <v>0</v>
      </c>
      <c r="H16" s="85">
        <f ca="1">ROUND('TUSD BE'!$AM$10,2)</f>
        <v>6.77</v>
      </c>
      <c r="I16" s="85">
        <v>0</v>
      </c>
      <c r="J16" s="85">
        <v>0</v>
      </c>
      <c r="L16" s="144"/>
      <c r="M16" s="87" t="s">
        <v>820</v>
      </c>
      <c r="N16" s="87" t="s">
        <v>821</v>
      </c>
      <c r="O16" s="87" t="s">
        <v>822</v>
      </c>
      <c r="P16" s="87" t="s">
        <v>809</v>
      </c>
      <c r="Q16" s="85">
        <v>0</v>
      </c>
      <c r="R16" s="85">
        <f ca="1">ROUND(('TUSD BE'!$AM$34+'TUSD BF'!$AM$34+'TUSD CVA'!$AM$34)*(1-CUSTOS!$M$38),2)</f>
        <v>310.35000000000002</v>
      </c>
      <c r="S16" s="85">
        <f>ROUND(('TE BE'!$AB$24+'TE BF'!$AB$24+'TE CVA'!$AB$24)*(1-CUSTOS!$M$38),2)</f>
        <v>216.75</v>
      </c>
      <c r="T16" s="85">
        <v>0</v>
      </c>
      <c r="U16" s="85">
        <f ca="1">ROUND(('TUSD BE'!$AM$34)*(1-CUSTOS!$M$38),2)</f>
        <v>358.66</v>
      </c>
      <c r="V16" s="85">
        <f>ROUND(('TE BE'!$AB$24)*(1-CUSTOS!$M$38),2)</f>
        <v>238.75</v>
      </c>
      <c r="W16" s="164">
        <f t="shared" ca="1" si="0"/>
        <v>527.1</v>
      </c>
    </row>
    <row r="17" spans="12:23" ht="11.25" customHeight="1" x14ac:dyDescent="0.25">
      <c r="L17" s="144"/>
      <c r="M17" s="143" t="s">
        <v>815</v>
      </c>
      <c r="N17" s="143" t="s">
        <v>821</v>
      </c>
      <c r="O17" s="143" t="s">
        <v>823</v>
      </c>
      <c r="P17" s="87" t="s">
        <v>810</v>
      </c>
      <c r="Q17" s="85">
        <v>0</v>
      </c>
      <c r="R17" s="85">
        <f ca="1">ROUND(('TUSD BE'!$AM$35+'TUSD BF'!$AM$35+'TUSD CVA'!$AM$35)*(1-CUSTOS!$M$39),2)</f>
        <v>909.33</v>
      </c>
      <c r="S17" s="85">
        <f>ROUND(('TE BE'!$AB$25+'TE BF'!$AB$25+'TE CVA'!$AB$25)*(1-CUSTOS!$M$39),2)</f>
        <v>332.34</v>
      </c>
      <c r="T17" s="85">
        <v>0</v>
      </c>
      <c r="U17" s="85">
        <f ca="1">ROUND('TUSD BE'!$AM$35*(1-CUSTOS!$M$39),2)</f>
        <v>1095.3599999999999</v>
      </c>
      <c r="V17" s="85">
        <f>ROUND('TE BE'!$AB$25*(1-CUSTOS!$M$39),2)</f>
        <v>366.94</v>
      </c>
      <c r="W17" s="164">
        <f t="shared" ca="1" si="0"/>
        <v>1241.67</v>
      </c>
    </row>
    <row r="18" spans="12:23" ht="11.25" customHeight="1" x14ac:dyDescent="0.25">
      <c r="L18" s="144"/>
      <c r="M18" s="144"/>
      <c r="N18" s="144"/>
      <c r="O18" s="144"/>
      <c r="P18" s="87" t="s">
        <v>817</v>
      </c>
      <c r="Q18" s="85">
        <v>0</v>
      </c>
      <c r="R18" s="85">
        <f ca="1">ROUND(('TUSD BE'!$AM$36+'TUSD BF'!$AM$36+'TUSD CVA'!$AM$36)*(1-CUSTOS!$M$39),2)</f>
        <v>513.23</v>
      </c>
      <c r="S18" s="85">
        <f>ROUND(('TE BE'!$AB$26+'TE BF'!$AB$26+'TE CVA'!$AB$26)*(1-CUSTOS!$M$39),2)</f>
        <v>206.24</v>
      </c>
      <c r="T18" s="85">
        <v>0</v>
      </c>
      <c r="U18" s="85">
        <f ca="1">ROUND('TUSD BE'!$AM$36*(1-CUSTOS!$M$39),2)</f>
        <v>608.19000000000005</v>
      </c>
      <c r="V18" s="85">
        <f>ROUND('TE BE'!$AB$26*(1-CUSTOS!$M$39),2)</f>
        <v>227.09</v>
      </c>
      <c r="W18" s="164">
        <f t="shared" ca="1" si="0"/>
        <v>719.47</v>
      </c>
    </row>
    <row r="19" spans="12:23" ht="11.25" customHeight="1" x14ac:dyDescent="0.25">
      <c r="L19" s="144"/>
      <c r="M19" s="145"/>
      <c r="N19" s="145"/>
      <c r="O19" s="145"/>
      <c r="P19" s="87" t="s">
        <v>811</v>
      </c>
      <c r="Q19" s="85">
        <v>0</v>
      </c>
      <c r="R19" s="85">
        <f ca="1">ROUND(('TUSD BE'!$AM$37+'TUSD BF'!$AM$37+'TUSD CVA'!$AM$37)*(1-CUSTOS!$M$39),2)</f>
        <v>196.35</v>
      </c>
      <c r="S19" s="85">
        <f>ROUND(('TE BE'!$AB$27+'TE BF'!$AB$27+'TE CVA'!$AB$27)*(1-CUSTOS!$M$39),2)</f>
        <v>206.24</v>
      </c>
      <c r="T19" s="85">
        <v>0</v>
      </c>
      <c r="U19" s="85">
        <f ca="1">ROUND('TUSD BE'!$AM$37*(1-CUSTOS!$M$39),2)</f>
        <v>218.45</v>
      </c>
      <c r="V19" s="85">
        <f>ROUND('TE BE'!$AB$27*(1-CUSTOS!$M$39),2)</f>
        <v>227.09</v>
      </c>
      <c r="W19" s="164">
        <f t="shared" ca="1" si="0"/>
        <v>402.59000000000003</v>
      </c>
    </row>
    <row r="20" spans="12:23" ht="11.25" customHeight="1" x14ac:dyDescent="0.25">
      <c r="L20" s="144"/>
      <c r="M20" s="87" t="s">
        <v>818</v>
      </c>
      <c r="N20" s="87" t="s">
        <v>821</v>
      </c>
      <c r="O20" s="87" t="s">
        <v>823</v>
      </c>
      <c r="P20" s="87" t="s">
        <v>809</v>
      </c>
      <c r="Q20" s="85">
        <v>0</v>
      </c>
      <c r="R20" s="85">
        <f ca="1">ROUND(('TUSD BE'!$AM$43+'TUSD BF'!$AM$43+'TUSD CVA'!$AM$43)*(1-CUSTOS!$M$39),2)</f>
        <v>310.35000000000002</v>
      </c>
      <c r="S20" s="85">
        <f>ROUND(('TE BE'!$AB$33+'TE BF'!$AB$33+'TE CVA'!$AB$33)*(1-CUSTOS!$M$39),2)</f>
        <v>216.75</v>
      </c>
      <c r="T20" s="85">
        <v>0</v>
      </c>
      <c r="U20" s="85">
        <f ca="1">ROUND(('TUSD BE'!$AM$43)*(1-CUSTOS!$M$39),2)</f>
        <v>358.66</v>
      </c>
      <c r="V20" s="85">
        <f>ROUND(('TE BE'!$AB$33)*(1-CUSTOS!$M$39),2)</f>
        <v>238.75</v>
      </c>
      <c r="W20" s="164">
        <f t="shared" ca="1" si="0"/>
        <v>527.1</v>
      </c>
    </row>
    <row r="21" spans="12:23" ht="11.25" customHeight="1" x14ac:dyDescent="0.25">
      <c r="L21" s="144"/>
      <c r="M21" s="87" t="s">
        <v>820</v>
      </c>
      <c r="N21" s="87" t="s">
        <v>821</v>
      </c>
      <c r="O21" s="87" t="s">
        <v>823</v>
      </c>
      <c r="P21" s="87" t="s">
        <v>809</v>
      </c>
      <c r="Q21" s="85">
        <v>0</v>
      </c>
      <c r="R21" s="85">
        <f ca="1">ROUND(('TUSD BE'!$AM$34+'TUSD BF'!$AM$34+'TUSD CVA'!$AM$34)*(1-CUSTOS!$M$39),2)</f>
        <v>310.35000000000002</v>
      </c>
      <c r="S21" s="85">
        <f>ROUND(('TE BE'!$AB$24+'TE BF'!$AB$24+'TE CVA'!$AB$24)*(1-CUSTOS!$M$39),2)</f>
        <v>216.75</v>
      </c>
      <c r="T21" s="85">
        <v>0</v>
      </c>
      <c r="U21" s="85">
        <f ca="1">ROUND(('TUSD BE'!$AM$34)*(1-CUSTOS!$M$39),2)</f>
        <v>358.66</v>
      </c>
      <c r="V21" s="85">
        <f>ROUND(('TE BE'!$AB$24)*(1-CUSTOS!$M$39),2)</f>
        <v>238.75</v>
      </c>
      <c r="W21" s="164">
        <f t="shared" ca="1" si="0"/>
        <v>527.1</v>
      </c>
    </row>
    <row r="22" spans="12:23" ht="11.25" customHeight="1" x14ac:dyDescent="0.25">
      <c r="L22" s="144"/>
      <c r="M22" s="143" t="s">
        <v>815</v>
      </c>
      <c r="N22" s="143" t="s">
        <v>821</v>
      </c>
      <c r="O22" s="143" t="s">
        <v>824</v>
      </c>
      <c r="P22" s="87" t="s">
        <v>810</v>
      </c>
      <c r="Q22" s="85">
        <v>0</v>
      </c>
      <c r="R22" s="85">
        <f ca="1">ROUND(('TUSD BE'!$AM$39+'TUSD BF'!$AM$39+'TUSD CVA'!$AM$39)*(1-CUSTOS!$M$40),2)</f>
        <v>889.98</v>
      </c>
      <c r="S22" s="85">
        <f>ROUND(('TE BE'!$AB$29+'TE BF'!$AB$29+'TE CVA'!$AB$29)*(1-CUSTOS!$M$40),2)</f>
        <v>325.27</v>
      </c>
      <c r="T22" s="85">
        <v>0</v>
      </c>
      <c r="U22" s="85">
        <f ca="1">ROUND('TUSD BE'!$AM$39*(1-CUSTOS!$M$40),2)</f>
        <v>1072.06</v>
      </c>
      <c r="V22" s="85">
        <f>ROUND('TE BE'!$AB$29*(1-CUSTOS!$M$40),2)</f>
        <v>359.13</v>
      </c>
      <c r="W22" s="164">
        <f t="shared" ca="1" si="0"/>
        <v>1215.25</v>
      </c>
    </row>
    <row r="23" spans="12:23" ht="11.25" customHeight="1" x14ac:dyDescent="0.25">
      <c r="L23" s="144"/>
      <c r="M23" s="144"/>
      <c r="N23" s="144"/>
      <c r="O23" s="144"/>
      <c r="P23" s="87" t="s">
        <v>817</v>
      </c>
      <c r="Q23" s="85">
        <v>0</v>
      </c>
      <c r="R23" s="85">
        <f ca="1">ROUND(('TUSD BE'!$AM$40+'TUSD BF'!$AM$40+'TUSD CVA'!$AM$40)*(1-CUSTOS!$M$40),2)</f>
        <v>502.31</v>
      </c>
      <c r="S23" s="85">
        <f>ROUND(('TE BE'!$AB$30+'TE BF'!$AB$30+'TE CVA'!$AB$30)*(1-CUSTOS!$M$40),2)</f>
        <v>201.85</v>
      </c>
      <c r="T23" s="85">
        <v>0</v>
      </c>
      <c r="U23" s="85">
        <f ca="1">ROUND('TUSD BE'!$AM$40*(1-CUSTOS!$M$40),2)</f>
        <v>595.25</v>
      </c>
      <c r="V23" s="85">
        <f>ROUND('TE BE'!$AB$30*(1-CUSTOS!$M$40),2)</f>
        <v>222.26</v>
      </c>
      <c r="W23" s="164">
        <f t="shared" ca="1" si="0"/>
        <v>704.16</v>
      </c>
    </row>
    <row r="24" spans="12:23" ht="11.25" customHeight="1" x14ac:dyDescent="0.25">
      <c r="L24" s="144"/>
      <c r="M24" s="145"/>
      <c r="N24" s="145"/>
      <c r="O24" s="145"/>
      <c r="P24" s="87" t="s">
        <v>811</v>
      </c>
      <c r="Q24" s="85">
        <v>0</v>
      </c>
      <c r="R24" s="85">
        <f ca="1">ROUND(('TUSD BE'!$AM$41+'TUSD BF'!$AM$41+'TUSD CVA'!$AM$41)*(1-CUSTOS!$M$40),2)</f>
        <v>192.17</v>
      </c>
      <c r="S24" s="85">
        <f>ROUND(('TE BE'!$AB$31+'TE BF'!$AB$31+'TE CVA'!$AB$31)*(1-CUSTOS!$M$40),2)</f>
        <v>201.85</v>
      </c>
      <c r="T24" s="85">
        <v>0</v>
      </c>
      <c r="U24" s="85">
        <f ca="1">ROUND('TUSD BE'!$AM$41*(1-CUSTOS!$M$40),2)</f>
        <v>213.81</v>
      </c>
      <c r="V24" s="85">
        <f>ROUND('TE BE'!$AB$31*(1-CUSTOS!$M$40),2)</f>
        <v>222.26</v>
      </c>
      <c r="W24" s="164">
        <f t="shared" ca="1" si="0"/>
        <v>394.02</v>
      </c>
    </row>
    <row r="25" spans="12:23" ht="11.25" customHeight="1" x14ac:dyDescent="0.25">
      <c r="L25" s="144"/>
      <c r="M25" s="87" t="s">
        <v>818</v>
      </c>
      <c r="N25" s="87" t="s">
        <v>821</v>
      </c>
      <c r="O25" s="87" t="s">
        <v>824</v>
      </c>
      <c r="P25" s="87" t="s">
        <v>809</v>
      </c>
      <c r="Q25" s="85">
        <v>0</v>
      </c>
      <c r="R25" s="85">
        <f ca="1">ROUND(('TUSD BE'!$AM$43+'TUSD BF'!$AM$43+'TUSD CVA'!$AM$43)*(1-CUSTOS!$M$40),2)</f>
        <v>303.74</v>
      </c>
      <c r="S25" s="85">
        <f>ROUND(('TE BE'!$AB$33+'TE BF'!$AB$33+'TE CVA'!$AB$33)*(1-CUSTOS!$M$40),2)</f>
        <v>212.14</v>
      </c>
      <c r="T25" s="85">
        <v>0</v>
      </c>
      <c r="U25" s="85">
        <f ca="1">ROUND(('TUSD BE'!$AM$43)*(1-CUSTOS!$M$40),2)</f>
        <v>351.03</v>
      </c>
      <c r="V25" s="85">
        <f>ROUND(('TE BE'!$AB$33)*(1-CUSTOS!$M$40),2)</f>
        <v>233.67</v>
      </c>
      <c r="W25" s="164">
        <f t="shared" ca="1" si="0"/>
        <v>515.88</v>
      </c>
    </row>
    <row r="26" spans="12:23" ht="11.25" customHeight="1" x14ac:dyDescent="0.25">
      <c r="L26" s="145"/>
      <c r="M26" s="87" t="s">
        <v>820</v>
      </c>
      <c r="N26" s="87" t="s">
        <v>821</v>
      </c>
      <c r="O26" s="87" t="s">
        <v>824</v>
      </c>
      <c r="P26" s="87" t="s">
        <v>809</v>
      </c>
      <c r="Q26" s="85">
        <v>0</v>
      </c>
      <c r="R26" s="85">
        <f ca="1">ROUND(('TUSD BE'!$AM$34+'TUSD BF'!$AM$34+'TUSD CVA'!$AM$34)*(1-CUSTOS!$M$40),2)</f>
        <v>303.74</v>
      </c>
      <c r="S26" s="85">
        <f>ROUND(('TE BE'!$AB$24+'TE BF'!$AB$24+'TE CVA'!$AB$24)*(1-CUSTOS!$M$40),2)</f>
        <v>212.14</v>
      </c>
      <c r="T26" s="85">
        <v>0</v>
      </c>
      <c r="U26" s="85">
        <f ca="1">ROUND(('TUSD BE'!$AM$34)*(1-CUSTOS!$M$40),2)</f>
        <v>351.03</v>
      </c>
      <c r="V26" s="85">
        <f>ROUND(('TE BE'!$AB$24)*(1-CUSTOS!$M$40),2)</f>
        <v>233.67</v>
      </c>
      <c r="W26" s="164">
        <f t="shared" ca="1" si="0"/>
        <v>515.88</v>
      </c>
    </row>
    <row r="27" spans="12:23" ht="11.25" customHeight="1" x14ac:dyDescent="0.25">
      <c r="L27" s="143" t="s">
        <v>36</v>
      </c>
      <c r="M27" s="143" t="s">
        <v>815</v>
      </c>
      <c r="N27" s="143" t="s">
        <v>809</v>
      </c>
      <c r="O27" s="143" t="s">
        <v>809</v>
      </c>
      <c r="P27" s="87" t="s">
        <v>810</v>
      </c>
      <c r="Q27" s="85">
        <v>0</v>
      </c>
      <c r="R27" s="85">
        <f ca="1">ROUND(('TUSD BE'!$AM$46+'TUSD BF'!$AM$46+'TUSD CVA'!$AM$46)*(1-CUSTOS!$M$31),2)</f>
        <v>1111.26</v>
      </c>
      <c r="S27" s="85">
        <f>ROUND(('TE BE'!$AB$36+'TE BF'!$AB$36+'TE CVA'!$AB$36)*(1-CUSTOS!$M$31),2)</f>
        <v>353.55</v>
      </c>
      <c r="T27" s="85">
        <v>0</v>
      </c>
      <c r="U27" s="85">
        <f ca="1">ROUND('TUSD BE'!$AM$46*(1-CUSTOS!$M$31),2)</f>
        <v>1342.25</v>
      </c>
      <c r="V27" s="85">
        <f>ROUND('TE BE'!$AB$36*(1-CUSTOS!$M$31),2)</f>
        <v>390.36</v>
      </c>
      <c r="W27" s="164">
        <f t="shared" ca="1" si="0"/>
        <v>1464.81</v>
      </c>
    </row>
    <row r="28" spans="12:23" ht="11.25" customHeight="1" x14ac:dyDescent="0.25">
      <c r="L28" s="144"/>
      <c r="M28" s="144"/>
      <c r="N28" s="144"/>
      <c r="O28" s="144"/>
      <c r="P28" s="87" t="s">
        <v>817</v>
      </c>
      <c r="Q28" s="85">
        <v>0</v>
      </c>
      <c r="R28" s="85">
        <f ca="1">ROUND(('TUSD BE'!$AM$47+'TUSD BF'!$AM$47+'TUSD CVA'!$AM$47)*(1-CUSTOS!$M$31),2)</f>
        <v>420.6</v>
      </c>
      <c r="S28" s="85">
        <f>ROUND(('TE BE'!$AB$37+'TE BF'!$AB$37+'TE CVA'!$AB$37)*(1-CUSTOS!$M$31),2)</f>
        <v>219.4</v>
      </c>
      <c r="T28" s="85">
        <v>0</v>
      </c>
      <c r="U28" s="85">
        <f ca="1">ROUND('TUSD BE'!$AM$47*(1-CUSTOS!$M$31),2)</f>
        <v>492.8</v>
      </c>
      <c r="V28" s="85">
        <f>ROUND('TE BE'!$AB$37*(1-CUSTOS!$M$31),2)</f>
        <v>241.59</v>
      </c>
      <c r="W28" s="164">
        <f t="shared" ca="1" si="0"/>
        <v>640</v>
      </c>
    </row>
    <row r="29" spans="12:23" ht="11.25" customHeight="1" x14ac:dyDescent="0.25">
      <c r="L29" s="144"/>
      <c r="M29" s="145"/>
      <c r="N29" s="145"/>
      <c r="O29" s="145"/>
      <c r="P29" s="87" t="s">
        <v>811</v>
      </c>
      <c r="Q29" s="85">
        <v>0</v>
      </c>
      <c r="R29" s="85">
        <f ca="1">ROUND(('TUSD BE'!$AM$48+'TUSD BF'!$AM$48+'TUSD CVA'!$AM$48)*(1-CUSTOS!$M$31),2)</f>
        <v>223.27</v>
      </c>
      <c r="S29" s="85">
        <f>ROUND(('TE BE'!$AB$38+'TE BF'!$AB$38+'TE CVA'!$AB$38)*(1-CUSTOS!$M$31),2)</f>
        <v>219.4</v>
      </c>
      <c r="T29" s="85">
        <v>0</v>
      </c>
      <c r="U29" s="85">
        <f ca="1">ROUND('TUSD BE'!$AM$48*(1-CUSTOS!$M$31),2)</f>
        <v>250.1</v>
      </c>
      <c r="V29" s="85">
        <f>ROUND('TE BE'!$AB$38*(1-CUSTOS!$M$31),2)</f>
        <v>241.59</v>
      </c>
      <c r="W29" s="164">
        <f t="shared" ca="1" si="0"/>
        <v>442.67</v>
      </c>
    </row>
    <row r="30" spans="12:23" ht="11.25" customHeight="1" x14ac:dyDescent="0.25">
      <c r="L30" s="144"/>
      <c r="M30" s="87" t="s">
        <v>818</v>
      </c>
      <c r="N30" s="87" t="s">
        <v>809</v>
      </c>
      <c r="O30" s="87" t="s">
        <v>809</v>
      </c>
      <c r="P30" s="87" t="s">
        <v>809</v>
      </c>
      <c r="Q30" s="85">
        <v>0</v>
      </c>
      <c r="R30" s="85">
        <f ca="1">ROUND(('TUSD BE'!$AM$50+'TUSD BF'!$AM$50+'TUSD CVA'!$AM$50)*(1-CUSTOS!$M$31),2)</f>
        <v>330.16</v>
      </c>
      <c r="S30" s="85">
        <f>ROUND(('TE BE'!$AB$40+'TE BF'!$AB$40+'TE CVA'!$AB$40)*(1-CUSTOS!$M$31),2)</f>
        <v>230.58</v>
      </c>
      <c r="T30" s="85">
        <v>0</v>
      </c>
      <c r="U30" s="85">
        <f ca="1">ROUND(('TUSD BE'!$AM$50)*(1-CUSTOS!$M$31),2)</f>
        <v>381.56</v>
      </c>
      <c r="V30" s="85">
        <f>ROUND(('TE BE'!$AB$40)*(1-CUSTOS!$M$31),2)</f>
        <v>253.98</v>
      </c>
      <c r="W30" s="164">
        <f t="shared" ca="1" si="0"/>
        <v>560.74</v>
      </c>
    </row>
    <row r="31" spans="12:23" ht="11.25" customHeight="1" x14ac:dyDescent="0.25">
      <c r="L31" s="145"/>
      <c r="M31" s="87" t="s">
        <v>820</v>
      </c>
      <c r="N31" s="87" t="s">
        <v>809</v>
      </c>
      <c r="O31" s="87" t="s">
        <v>809</v>
      </c>
      <c r="P31" s="87" t="s">
        <v>809</v>
      </c>
      <c r="Q31" s="85">
        <v>0</v>
      </c>
      <c r="R31" s="85">
        <f ca="1">ROUND(('TUSD BE'!$AM$49+'TUSD BF'!$AM$49+'TUSD CVA'!$AM$49)*(1-CUSTOS!$M$31),2)</f>
        <v>330.16</v>
      </c>
      <c r="S31" s="85">
        <f>ROUND(('TE BE'!$AB$39+'TE BF'!$AB$39+'TE CVA'!$AB$39)*(1-CUSTOS!$M$31),2)</f>
        <v>230.58</v>
      </c>
      <c r="T31" s="85">
        <v>0</v>
      </c>
      <c r="U31" s="85">
        <f ca="1">ROUND(('TUSD BE'!$AM$49)*(1-CUSTOS!$M$31),2)</f>
        <v>381.56</v>
      </c>
      <c r="V31" s="85">
        <f>ROUND(('TE BE'!$AB$39)*(1-CUSTOS!$M$31),2)</f>
        <v>253.98</v>
      </c>
      <c r="W31" s="164">
        <f t="shared" ca="1" si="0"/>
        <v>560.74</v>
      </c>
    </row>
    <row r="32" spans="12:23" ht="11.25" customHeight="1" x14ac:dyDescent="0.25">
      <c r="L32" s="143" t="s">
        <v>45</v>
      </c>
      <c r="M32" s="143" t="s">
        <v>820</v>
      </c>
      <c r="N32" s="143" t="s">
        <v>825</v>
      </c>
      <c r="O32" s="87" t="s">
        <v>826</v>
      </c>
      <c r="P32" s="87" t="s">
        <v>809</v>
      </c>
      <c r="Q32" s="85">
        <v>0</v>
      </c>
      <c r="R32" s="85">
        <f ca="1">ROUND(('TUSD BE'!$AM$51+'TUSD BF'!$AM$51+'TUSD CVA'!$AM$51),2)</f>
        <v>181.59</v>
      </c>
      <c r="S32" s="85">
        <f>ROUND(('TE BE'!$AB$41+'TE BF'!$AB$41+'TE CVA'!$AB$41),2)</f>
        <v>126.82</v>
      </c>
      <c r="T32" s="85">
        <v>0</v>
      </c>
      <c r="U32" s="85">
        <f ca="1">ROUND(('TUSD BE'!$AM$51),2)</f>
        <v>209.86</v>
      </c>
      <c r="V32" s="85">
        <f>ROUND(('TE BE'!$AB$41),2)</f>
        <v>139.69</v>
      </c>
      <c r="W32" s="164">
        <f t="shared" ca="1" si="0"/>
        <v>308.40999999999997</v>
      </c>
    </row>
    <row r="33" spans="12:23" ht="11.25" customHeight="1" x14ac:dyDescent="0.25">
      <c r="L33" s="145"/>
      <c r="M33" s="145"/>
      <c r="N33" s="145"/>
      <c r="O33" s="87" t="s">
        <v>827</v>
      </c>
      <c r="P33" s="87" t="s">
        <v>809</v>
      </c>
      <c r="Q33" s="85">
        <v>0</v>
      </c>
      <c r="R33" s="85">
        <f ca="1">ROUND(('TUSD BE'!$AM$52+'TUSD BF'!$AM$52+'TUSD CVA'!$AM$52),2)</f>
        <v>198.09</v>
      </c>
      <c r="S33" s="85">
        <f>ROUND(('TE BE'!$AB$42+'TE BF'!$AB$42+'TE CVA'!$AB$42),2)</f>
        <v>138.35</v>
      </c>
      <c r="T33" s="85">
        <v>0</v>
      </c>
      <c r="U33" s="85">
        <f ca="1">ROUND(('TUSD BE'!$AM$52),2)</f>
        <v>228.93</v>
      </c>
      <c r="V33" s="85">
        <f>ROUND(('TE BE'!$AB$42),2)</f>
        <v>152.38999999999999</v>
      </c>
      <c r="W33" s="164">
        <f t="shared" ca="1" si="0"/>
        <v>336.44</v>
      </c>
    </row>
    <row r="34" spans="12:23" ht="11.25" customHeight="1" x14ac:dyDescent="0.25">
      <c r="L34" s="143" t="s">
        <v>90</v>
      </c>
      <c r="M34" s="143" t="s">
        <v>61</v>
      </c>
      <c r="N34" s="87" t="s">
        <v>91</v>
      </c>
      <c r="O34" s="87" t="s">
        <v>809</v>
      </c>
      <c r="P34" s="87" t="s">
        <v>809</v>
      </c>
      <c r="Q34" s="85">
        <f ca="1">ROUND(('TUSD BE'!$AM$16+'TUSD BF'!$AM$16+'TUSD CVA'!$AM$16),2)</f>
        <v>2.94</v>
      </c>
      <c r="R34" s="85">
        <v>0</v>
      </c>
      <c r="S34" s="85">
        <v>0</v>
      </c>
      <c r="T34" s="85">
        <f ca="1">ROUND(('TUSD BE'!$AM$16),2)</f>
        <v>3.65</v>
      </c>
      <c r="U34" s="85">
        <v>0</v>
      </c>
      <c r="V34" s="85">
        <v>0</v>
      </c>
      <c r="W34" s="164">
        <f t="shared" si="0"/>
        <v>0</v>
      </c>
    </row>
    <row r="35" spans="12:23" ht="11.25" customHeight="1" x14ac:dyDescent="0.25">
      <c r="L35" s="145"/>
      <c r="M35" s="145"/>
      <c r="N35" s="87" t="s">
        <v>92</v>
      </c>
      <c r="O35" s="87" t="s">
        <v>809</v>
      </c>
      <c r="P35" s="87" t="s">
        <v>809</v>
      </c>
      <c r="Q35" s="85">
        <f ca="1">ROUND(('TUSD BE'!$AM$17+'TUSD BF'!$AM$17+'TUSD CVA'!$AM$17),2)</f>
        <v>9</v>
      </c>
      <c r="R35" s="85">
        <v>0</v>
      </c>
      <c r="S35" s="85">
        <v>0</v>
      </c>
      <c r="T35" s="85">
        <f ca="1">ROUND(('TUSD BE'!$AM$17),2)</f>
        <v>11.18</v>
      </c>
      <c r="U35" s="85">
        <v>0</v>
      </c>
      <c r="V35" s="85">
        <v>0</v>
      </c>
      <c r="W35" s="164">
        <f t="shared" si="0"/>
        <v>0</v>
      </c>
    </row>
  </sheetData>
  <mergeCells count="51">
    <mergeCell ref="C6:C7"/>
    <mergeCell ref="C8:C9"/>
    <mergeCell ref="C10:C12"/>
    <mergeCell ref="C13:C15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6:A16"/>
    <mergeCell ref="B6:B7"/>
    <mergeCell ref="B8:B9"/>
    <mergeCell ref="B10:B12"/>
    <mergeCell ref="B13:B15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5330-A35F-4F44-9BAF-FD03C5AD433C}">
  <dimension ref="A1:AN921"/>
  <sheetViews>
    <sheetView showGridLines="0" workbookViewId="0">
      <selection sqref="A1:O921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8.710937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90" t="s">
        <v>0</v>
      </c>
      <c r="B1" s="90" t="s">
        <v>1</v>
      </c>
      <c r="C1" s="90" t="s">
        <v>2</v>
      </c>
      <c r="D1" s="90" t="s">
        <v>3</v>
      </c>
      <c r="E1" s="90" t="s">
        <v>4</v>
      </c>
      <c r="F1" s="90" t="s">
        <v>5</v>
      </c>
      <c r="G1" s="90" t="s">
        <v>6</v>
      </c>
      <c r="H1" s="90" t="s">
        <v>7</v>
      </c>
      <c r="I1" s="98" t="s">
        <v>8</v>
      </c>
      <c r="J1" s="86" t="s">
        <v>775</v>
      </c>
      <c r="K1" s="86" t="s">
        <v>776</v>
      </c>
      <c r="L1" s="86" t="s">
        <v>777</v>
      </c>
      <c r="M1" s="86" t="s">
        <v>778</v>
      </c>
      <c r="N1" s="86" t="s">
        <v>779</v>
      </c>
      <c r="O1" s="86" t="s">
        <v>780</v>
      </c>
      <c r="P1" s="7"/>
      <c r="Q1" s="141" t="s">
        <v>781</v>
      </c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L1" s="90" t="s">
        <v>802</v>
      </c>
      <c r="AM1" s="90" t="s">
        <v>68</v>
      </c>
      <c r="AN1" s="90" t="s">
        <v>803</v>
      </c>
    </row>
    <row r="2" spans="1:40" ht="11.25" customHeight="1" x14ac:dyDescent="0.2">
      <c r="A2" s="91" t="s">
        <v>21</v>
      </c>
      <c r="B2" s="91" t="s">
        <v>62</v>
      </c>
      <c r="C2" s="91" t="s">
        <v>59</v>
      </c>
      <c r="D2" s="91" t="s">
        <v>25</v>
      </c>
      <c r="E2" s="91" t="s">
        <v>25</v>
      </c>
      <c r="F2" s="91" t="s">
        <v>25</v>
      </c>
      <c r="G2" s="91" t="s">
        <v>63</v>
      </c>
      <c r="H2" s="91" t="s">
        <v>25</v>
      </c>
      <c r="I2" s="99">
        <v>44378</v>
      </c>
      <c r="J2" s="100">
        <f ca="1">EFEITO!$J$2*EFEITO!$Y$2</f>
        <v>27003.501041162581</v>
      </c>
      <c r="K2" s="100">
        <f>EFEITO!$L$2*EFEITO!$Z$2</f>
        <v>0</v>
      </c>
      <c r="L2" s="100">
        <f>EFEITO!$N$2*EFEITO!$AA$2</f>
        <v>0</v>
      </c>
      <c r="M2" s="100">
        <f ca="1">$J$2-EFEITO!$K$2*EFEITO!$Y$2</f>
        <v>13501.75052058129</v>
      </c>
      <c r="N2" s="100">
        <f>$K$2-EFEITO!$M$2*EFEITO!$Z$2</f>
        <v>0</v>
      </c>
      <c r="O2" s="100">
        <f>$L$2-EFEITO!$O$2*EFEITO!$AA$2</f>
        <v>0</v>
      </c>
      <c r="P2" s="17"/>
      <c r="Q2" s="84" t="s">
        <v>71</v>
      </c>
      <c r="R2" s="84" t="s">
        <v>783</v>
      </c>
      <c r="S2" s="84" t="s">
        <v>784</v>
      </c>
      <c r="T2" s="84" t="s">
        <v>785</v>
      </c>
      <c r="U2" s="84" t="s">
        <v>786</v>
      </c>
      <c r="V2" s="84" t="s">
        <v>787</v>
      </c>
      <c r="W2" s="84" t="s">
        <v>788</v>
      </c>
      <c r="X2" s="101" t="s">
        <v>789</v>
      </c>
      <c r="Y2" s="101" t="s">
        <v>790</v>
      </c>
      <c r="Z2" s="101" t="s">
        <v>791</v>
      </c>
      <c r="AA2" s="101" t="s">
        <v>792</v>
      </c>
      <c r="AB2" s="101" t="s">
        <v>793</v>
      </c>
      <c r="AC2" s="101" t="s">
        <v>794</v>
      </c>
      <c r="AD2" s="101" t="s">
        <v>795</v>
      </c>
      <c r="AE2" s="101" t="s">
        <v>796</v>
      </c>
      <c r="AF2" s="101" t="s">
        <v>797</v>
      </c>
      <c r="AG2" s="101" t="s">
        <v>798</v>
      </c>
      <c r="AH2" s="101" t="s">
        <v>799</v>
      </c>
      <c r="AI2" s="101" t="s">
        <v>800</v>
      </c>
      <c r="AJ2" s="101" t="s">
        <v>801</v>
      </c>
      <c r="AL2" s="91"/>
      <c r="AM2" s="91"/>
      <c r="AN2" s="91"/>
    </row>
    <row r="3" spans="1:40" ht="11.25" customHeight="1" x14ac:dyDescent="0.2">
      <c r="A3" s="91" t="s">
        <v>21</v>
      </c>
      <c r="B3" s="91" t="s">
        <v>62</v>
      </c>
      <c r="C3" s="91" t="s">
        <v>59</v>
      </c>
      <c r="D3" s="91" t="s">
        <v>25</v>
      </c>
      <c r="E3" s="91" t="s">
        <v>25</v>
      </c>
      <c r="F3" s="91" t="s">
        <v>25</v>
      </c>
      <c r="G3" s="91" t="s">
        <v>63</v>
      </c>
      <c r="H3" s="91" t="s">
        <v>25</v>
      </c>
      <c r="I3" s="99">
        <v>44409</v>
      </c>
      <c r="J3" s="100">
        <f ca="1">EFEITO!$J$3*EFEITO!$Y$3</f>
        <v>27003.501041162581</v>
      </c>
      <c r="K3" s="100">
        <f>EFEITO!$L$3*EFEITO!$Z$3</f>
        <v>0</v>
      </c>
      <c r="L3" s="100">
        <f>EFEITO!$N$3*EFEITO!$AA$3</f>
        <v>0</v>
      </c>
      <c r="M3" s="100">
        <f ca="1">$J$3-EFEITO!$K$3*EFEITO!$Y$3</f>
        <v>13501.75052058129</v>
      </c>
      <c r="N3" s="100">
        <f>$K$3-EFEITO!$M$3*EFEITO!$Z$3</f>
        <v>0</v>
      </c>
      <c r="O3" s="100">
        <f>$L$3-EFEITO!$O$3*EFEITO!$AA$3</f>
        <v>0</v>
      </c>
      <c r="P3" s="17"/>
      <c r="Q3" s="100" t="s">
        <v>782</v>
      </c>
      <c r="R3" s="100">
        <f>SUMIF($B$2:$B$921,$Q$3,$J$2:$J$921)</f>
        <v>0</v>
      </c>
      <c r="S3" s="100">
        <f>SUMIF($B$2:$B$921,$Q$3,$K$2:$K$921)</f>
        <v>0</v>
      </c>
      <c r="T3" s="100">
        <f>SUMIF($B$2:$B$921,$Q$3,$L$2:$L$921)</f>
        <v>0</v>
      </c>
      <c r="U3" s="100">
        <f>SUMIF($B$2:$B$921,$Q$3,$M$2:$M$921)</f>
        <v>0</v>
      </c>
      <c r="V3" s="100">
        <f>SUMIF($B$2:$B$921,$Q$3,$N$2:$N$921)</f>
        <v>0</v>
      </c>
      <c r="W3" s="100">
        <f>SUMIF($B$2:$B$921,$Q$3,$O$2:$O$921)</f>
        <v>0</v>
      </c>
      <c r="X3" s="92">
        <f>$R$3-$U$3</f>
        <v>0</v>
      </c>
      <c r="Y3" s="92">
        <f>$S$3-$V$3</f>
        <v>0</v>
      </c>
      <c r="Z3" s="92">
        <f>$T$3-$W$3</f>
        <v>0</v>
      </c>
      <c r="AA3" s="92">
        <f>SUMIF(EFEITO!$B$2:$B$921,$Q$3,EFEITO!$AE$2:$AE$921)</f>
        <v>0</v>
      </c>
      <c r="AB3" s="92">
        <f>SUMIF(EFEITO!$B$2:$B$921,$Q$3,EFEITO!$AF$2:$AF$921)</f>
        <v>0</v>
      </c>
      <c r="AC3" s="92">
        <f>SUMIF(EFEITO!$B$2:$B$921,$Q$3,EFEITO!$AG$2:$AH$921)</f>
        <v>0</v>
      </c>
      <c r="AD3" s="92">
        <f>SUMIF(SUBSIDIO!$B$2:$B$921,$Q$3,SUBSIDIO!$AD$2:$AD$921)</f>
        <v>0</v>
      </c>
      <c r="AE3" s="92">
        <f>SUMIF(SUBSIDIO!$B$2:$B$921,$Q$3,SUBSIDIO!$AE$2:$AE$921)</f>
        <v>0</v>
      </c>
      <c r="AF3" s="92" t="str">
        <f>IF(ABS($X$3-$AA$3)&lt;0.01,"OK","ERRO")</f>
        <v>OK</v>
      </c>
      <c r="AG3" s="92" t="str">
        <f>IF(ABS($Y$3-$AB$3)&lt;0.01,"OK","ERRO")</f>
        <v>OK</v>
      </c>
      <c r="AH3" s="92" t="str">
        <f>IF(ABS($Z$3-$AC$3)&lt;0.01,"OK","ERRO")</f>
        <v>OK</v>
      </c>
      <c r="AI3" s="92" t="str">
        <f>IF(ABS($U$3-$AD$3)&lt;0.01,"OK","ERRO")</f>
        <v>OK</v>
      </c>
      <c r="AJ3" s="92" t="str">
        <f>IF(ABS(($V$3+$W$3)-$AE$3)&lt;0.01,"OK","ERRO")</f>
        <v>OK</v>
      </c>
    </row>
    <row r="4" spans="1:40" ht="11.25" customHeight="1" x14ac:dyDescent="0.2">
      <c r="A4" s="91" t="s">
        <v>21</v>
      </c>
      <c r="B4" s="91" t="s">
        <v>62</v>
      </c>
      <c r="C4" s="91" t="s">
        <v>59</v>
      </c>
      <c r="D4" s="91" t="s">
        <v>25</v>
      </c>
      <c r="E4" s="91" t="s">
        <v>25</v>
      </c>
      <c r="F4" s="91" t="s">
        <v>25</v>
      </c>
      <c r="G4" s="91" t="s">
        <v>63</v>
      </c>
      <c r="H4" s="91" t="s">
        <v>25</v>
      </c>
      <c r="I4" s="99">
        <v>44440</v>
      </c>
      <c r="J4" s="100">
        <f ca="1">EFEITO!$J$4*EFEITO!$Y$4</f>
        <v>27003.501041162581</v>
      </c>
      <c r="K4" s="100">
        <f>EFEITO!$L$4*EFEITO!$Z$4</f>
        <v>0</v>
      </c>
      <c r="L4" s="100">
        <f>EFEITO!$N$4*EFEITO!$AA$4</f>
        <v>0</v>
      </c>
      <c r="M4" s="100">
        <f ca="1">$J$4-EFEITO!$K$4*EFEITO!$Y$4</f>
        <v>13501.75052058129</v>
      </c>
      <c r="N4" s="100">
        <f>$K$4-EFEITO!$M$4*EFEITO!$Z$4</f>
        <v>0</v>
      </c>
      <c r="O4" s="100">
        <f>$L$4-EFEITO!$O$4*EFEITO!$AA$4</f>
        <v>0</v>
      </c>
      <c r="P4" s="17"/>
      <c r="Q4" s="100" t="s">
        <v>675</v>
      </c>
      <c r="R4" s="100">
        <f>SUMIF($B$2:$B$921,$Q$4,$J$2:$J$921)</f>
        <v>0</v>
      </c>
      <c r="S4" s="100">
        <f>SUMIF($B$2:$B$921,$Q$4,$K$2:$K$921)</f>
        <v>0</v>
      </c>
      <c r="T4" s="100">
        <f>SUMIF($B$2:$B$921,$Q$4,$L$2:$L$921)</f>
        <v>0</v>
      </c>
      <c r="U4" s="100">
        <f>SUMIF($B$2:$B$921,$Q$4,$M$2:$M$921)</f>
        <v>0</v>
      </c>
      <c r="V4" s="100">
        <f>SUMIF($B$2:$B$921,$Q$4,$N$2:$N$921)</f>
        <v>0</v>
      </c>
      <c r="W4" s="100">
        <f>SUMIF($B$2:$B$921,$Q$4,$O$2:$O$921)</f>
        <v>0</v>
      </c>
      <c r="X4" s="92">
        <f>$R$4-$U$4</f>
        <v>0</v>
      </c>
      <c r="Y4" s="92">
        <f>$S$4-$V$4</f>
        <v>0</v>
      </c>
      <c r="Z4" s="92">
        <f>$T$4-$W$4</f>
        <v>0</v>
      </c>
      <c r="AA4" s="92">
        <f>SUMIF(EFEITO!$B$2:$B$921,$Q$4,EFEITO!$AE$2:$AE$921)</f>
        <v>0</v>
      </c>
      <c r="AB4" s="92">
        <f>SUMIF(EFEITO!$B$2:$B$921,$Q$4,EFEITO!$AF$2:$AF$921)</f>
        <v>0</v>
      </c>
      <c r="AC4" s="92">
        <f>SUMIF(EFEITO!$B$2:$B$921,$Q$4,EFEITO!$AG$2:$AH$921)</f>
        <v>0</v>
      </c>
      <c r="AD4" s="92">
        <f>SUMIF(SUBSIDIO!$B$2:$B$921,$Q$4,SUBSIDIO!$AD$2:$AD$921)</f>
        <v>0</v>
      </c>
      <c r="AE4" s="92">
        <f>SUMIF(SUBSIDIO!$B$2:$B$921,$Q$4,SUBSIDIO!$AE$2:$AE$921)</f>
        <v>0</v>
      </c>
      <c r="AF4" s="92" t="str">
        <f>IF(ABS($X$4-$AA$4)&lt;0.01,"OK","ERRO")</f>
        <v>OK</v>
      </c>
      <c r="AG4" s="92" t="str">
        <f>IF(ABS($Y$4-$AB$4)&lt;0.01,"OK","ERRO")</f>
        <v>OK</v>
      </c>
      <c r="AH4" s="92" t="str">
        <f>IF(ABS($Z$4-$AC$4)&lt;0.01,"OK","ERRO")</f>
        <v>OK</v>
      </c>
      <c r="AI4" s="92" t="str">
        <f>IF(ABS($U$4-$AD$4)&lt;0.01,"OK","ERRO")</f>
        <v>OK</v>
      </c>
      <c r="AJ4" s="92" t="str">
        <f>IF(ABS(($V$4+$W$4)-$AE$4)&lt;0.01,"OK","ERRO")</f>
        <v>OK</v>
      </c>
    </row>
    <row r="5" spans="1:40" ht="11.25" customHeight="1" x14ac:dyDescent="0.2">
      <c r="A5" s="91" t="s">
        <v>21</v>
      </c>
      <c r="B5" s="91" t="s">
        <v>62</v>
      </c>
      <c r="C5" s="91" t="s">
        <v>59</v>
      </c>
      <c r="D5" s="91" t="s">
        <v>25</v>
      </c>
      <c r="E5" s="91" t="s">
        <v>25</v>
      </c>
      <c r="F5" s="91" t="s">
        <v>25</v>
      </c>
      <c r="G5" s="91" t="s">
        <v>63</v>
      </c>
      <c r="H5" s="91" t="s">
        <v>25</v>
      </c>
      <c r="I5" s="99">
        <v>44470</v>
      </c>
      <c r="J5" s="100">
        <f ca="1">EFEITO!$J$5*EFEITO!$Y$5</f>
        <v>27003.501041162581</v>
      </c>
      <c r="K5" s="100">
        <f>EFEITO!$L$5*EFEITO!$Z$5</f>
        <v>0</v>
      </c>
      <c r="L5" s="100">
        <f>EFEITO!$N$5*EFEITO!$AA$5</f>
        <v>0</v>
      </c>
      <c r="M5" s="100">
        <f ca="1">$J$5-EFEITO!$K$5*EFEITO!$Y$5</f>
        <v>13501.75052058129</v>
      </c>
      <c r="N5" s="100">
        <f>$K$5-EFEITO!$M$5*EFEITO!$Z$5</f>
        <v>0</v>
      </c>
      <c r="O5" s="100">
        <f>$L$5-EFEITO!$O$5*EFEITO!$AA$5</f>
        <v>0</v>
      </c>
      <c r="P5" s="17"/>
      <c r="Q5" s="100" t="s">
        <v>62</v>
      </c>
      <c r="R5" s="100">
        <f ca="1">SUMIF($B$2:$B$921,$Q$5,$J$2:$J$921)</f>
        <v>324042.01249395096</v>
      </c>
      <c r="S5" s="100">
        <f>SUMIF($B$2:$B$921,$Q$5,$K$2:$K$921)</f>
        <v>0</v>
      </c>
      <c r="T5" s="100">
        <f>SUMIF($B$2:$B$921,$Q$5,$L$2:$L$921)</f>
        <v>0</v>
      </c>
      <c r="U5" s="100">
        <f ca="1">SUMIF($B$2:$B$921,$Q$5,$M$2:$M$921)</f>
        <v>162021.00624697548</v>
      </c>
      <c r="V5" s="100">
        <f>SUMIF($B$2:$B$921,$Q$5,$N$2:$N$921)</f>
        <v>0</v>
      </c>
      <c r="W5" s="100">
        <f>SUMIF($B$2:$B$921,$Q$5,$O$2:$O$921)</f>
        <v>0</v>
      </c>
      <c r="X5" s="92">
        <f ca="1">$R$5-$U$5</f>
        <v>162021.00624697548</v>
      </c>
      <c r="Y5" s="92">
        <f>$S$5-$V$5</f>
        <v>0</v>
      </c>
      <c r="Z5" s="92">
        <f>$T$5-$W$5</f>
        <v>0</v>
      </c>
      <c r="AA5" s="92">
        <f ca="1">SUMIF(EFEITO!$B$2:$B$921,$Q$5,EFEITO!$AE$2:$AE$921)</f>
        <v>162021.00624697548</v>
      </c>
      <c r="AB5" s="92">
        <f>SUMIF(EFEITO!$B$2:$B$921,$Q$5,EFEITO!$AF$2:$AF$921)</f>
        <v>0</v>
      </c>
      <c r="AC5" s="92">
        <f>SUMIF(EFEITO!$B$2:$B$921,$Q$5,EFEITO!$AG$2:$AH$921)</f>
        <v>0</v>
      </c>
      <c r="AD5" s="92">
        <f ca="1">SUMIF(SUBSIDIO!$B$2:$B$921,$Q$5,SUBSIDIO!$AD$2:$AD$921)</f>
        <v>162021.00624697548</v>
      </c>
      <c r="AE5" s="92">
        <f>SUMIF(SUBSIDIO!$B$2:$B$921,$Q$5,SUBSIDIO!$AE$2:$AE$921)</f>
        <v>0</v>
      </c>
      <c r="AF5" s="92" t="str">
        <f ca="1">IF(ABS($X$5-$AA$5)&lt;0.01,"OK","ERRO")</f>
        <v>OK</v>
      </c>
      <c r="AG5" s="92" t="str">
        <f>IF(ABS($Y$5-$AB$5)&lt;0.01,"OK","ERRO")</f>
        <v>OK</v>
      </c>
      <c r="AH5" s="92" t="str">
        <f>IF(ABS($Z$5-$AC$5)&lt;0.01,"OK","ERRO")</f>
        <v>OK</v>
      </c>
      <c r="AI5" s="92" t="str">
        <f ca="1">IF(ABS($U$5-$AD$5)&lt;0.01,"OK","ERRO")</f>
        <v>OK</v>
      </c>
      <c r="AJ5" s="92" t="str">
        <f>IF(ABS(($V$5+$W$5)-$AE$5)&lt;0.01,"OK","ERRO")</f>
        <v>OK</v>
      </c>
    </row>
    <row r="6" spans="1:40" ht="11.25" customHeight="1" x14ac:dyDescent="0.2">
      <c r="A6" s="91" t="s">
        <v>21</v>
      </c>
      <c r="B6" s="91" t="s">
        <v>62</v>
      </c>
      <c r="C6" s="91" t="s">
        <v>59</v>
      </c>
      <c r="D6" s="91" t="s">
        <v>25</v>
      </c>
      <c r="E6" s="91" t="s">
        <v>25</v>
      </c>
      <c r="F6" s="91" t="s">
        <v>25</v>
      </c>
      <c r="G6" s="91" t="s">
        <v>63</v>
      </c>
      <c r="H6" s="91" t="s">
        <v>25</v>
      </c>
      <c r="I6" s="99">
        <v>44501</v>
      </c>
      <c r="J6" s="100">
        <f ca="1">EFEITO!$J$6*EFEITO!$Y$6</f>
        <v>27003.501041162581</v>
      </c>
      <c r="K6" s="100">
        <f>EFEITO!$L$6*EFEITO!$Z$6</f>
        <v>0</v>
      </c>
      <c r="L6" s="100">
        <f>EFEITO!$N$6*EFEITO!$AA$6</f>
        <v>0</v>
      </c>
      <c r="M6" s="100">
        <f ca="1">$J$6-EFEITO!$K$6*EFEITO!$Y$6</f>
        <v>13501.75052058129</v>
      </c>
      <c r="N6" s="100">
        <f>$K$6-EFEITO!$M$6*EFEITO!$Z$6</f>
        <v>0</v>
      </c>
      <c r="O6" s="100">
        <f>$L$6-EFEITO!$O$6*EFEITO!$AA$6</f>
        <v>0</v>
      </c>
      <c r="P6" s="17"/>
      <c r="Q6" s="100" t="s">
        <v>676</v>
      </c>
      <c r="R6" s="100">
        <f>SUMIF($B$2:$B$921,$Q$6,$J$2:$J$921)</f>
        <v>0</v>
      </c>
      <c r="S6" s="100">
        <f>SUMIF($B$2:$B$921,$Q$6,$K$2:$K$921)</f>
        <v>0</v>
      </c>
      <c r="T6" s="100">
        <f>SUMIF($B$2:$B$921,$Q$6,$L$2:$L$921)</f>
        <v>0</v>
      </c>
      <c r="U6" s="100">
        <f>SUMIF($B$2:$B$921,$Q$6,$M$2:$M$921)</f>
        <v>0</v>
      </c>
      <c r="V6" s="100">
        <f>SUMIF($B$2:$B$921,$Q$6,$N$2:$N$921)</f>
        <v>0</v>
      </c>
      <c r="W6" s="100">
        <f>SUMIF($B$2:$B$921,$Q$6,$O$2:$O$921)</f>
        <v>0</v>
      </c>
      <c r="X6" s="92">
        <f>$R$6-$U$6</f>
        <v>0</v>
      </c>
      <c r="Y6" s="92">
        <f>$S$6-$V$6</f>
        <v>0</v>
      </c>
      <c r="Z6" s="92">
        <f>$T$6-$W$6</f>
        <v>0</v>
      </c>
      <c r="AA6" s="92">
        <f>SUMIF(EFEITO!$B$2:$B$921,$Q$6,EFEITO!$AE$2:$AE$921)</f>
        <v>0</v>
      </c>
      <c r="AB6" s="92">
        <f>SUMIF(EFEITO!$B$2:$B$921,$Q$6,EFEITO!$AF$2:$AF$921)</f>
        <v>0</v>
      </c>
      <c r="AC6" s="92">
        <f>SUMIF(EFEITO!$B$2:$B$921,$Q$6,EFEITO!$AG$2:$AH$921)</f>
        <v>0</v>
      </c>
      <c r="AD6" s="92">
        <f>SUMIF(SUBSIDIO!$B$2:$B$921,$Q$6,SUBSIDIO!$AD$2:$AD$921)</f>
        <v>0</v>
      </c>
      <c r="AE6" s="92">
        <f>SUMIF(SUBSIDIO!$B$2:$B$921,$Q$6,SUBSIDIO!$AE$2:$AE$921)</f>
        <v>0</v>
      </c>
      <c r="AF6" s="92" t="str">
        <f>IF(ABS($X$6-$AA$6)&lt;0.01,"OK","ERRO")</f>
        <v>OK</v>
      </c>
      <c r="AG6" s="92" t="str">
        <f>IF(ABS($Y$6-$AB$6)&lt;0.01,"OK","ERRO")</f>
        <v>OK</v>
      </c>
      <c r="AH6" s="92" t="str">
        <f>IF(ABS($Z$6-$AC$6)&lt;0.01,"OK","ERRO")</f>
        <v>OK</v>
      </c>
      <c r="AI6" s="92" t="str">
        <f>IF(ABS($U$6-$AD$6)&lt;0.01,"OK","ERRO")</f>
        <v>OK</v>
      </c>
      <c r="AJ6" s="92" t="str">
        <f>IF(ABS(($V$6+$W$6)-$AE$6)&lt;0.01,"OK","ERRO")</f>
        <v>OK</v>
      </c>
    </row>
    <row r="7" spans="1:40" ht="11.25" customHeight="1" x14ac:dyDescent="0.2">
      <c r="A7" s="91" t="s">
        <v>21</v>
      </c>
      <c r="B7" s="91" t="s">
        <v>62</v>
      </c>
      <c r="C7" s="91" t="s">
        <v>59</v>
      </c>
      <c r="D7" s="91" t="s">
        <v>25</v>
      </c>
      <c r="E7" s="91" t="s">
        <v>25</v>
      </c>
      <c r="F7" s="91" t="s">
        <v>25</v>
      </c>
      <c r="G7" s="91" t="s">
        <v>63</v>
      </c>
      <c r="H7" s="91" t="s">
        <v>25</v>
      </c>
      <c r="I7" s="99">
        <v>44531</v>
      </c>
      <c r="J7" s="100">
        <f ca="1">EFEITO!$J$7*EFEITO!$Y$7</f>
        <v>27003.501041162581</v>
      </c>
      <c r="K7" s="100">
        <f>EFEITO!$L$7*EFEITO!$Z$7</f>
        <v>0</v>
      </c>
      <c r="L7" s="100">
        <f>EFEITO!$N$7*EFEITO!$AA$7</f>
        <v>0</v>
      </c>
      <c r="M7" s="100">
        <f ca="1">$J$7-EFEITO!$K$7*EFEITO!$Y$7</f>
        <v>13501.75052058129</v>
      </c>
      <c r="N7" s="100">
        <f>$K$7-EFEITO!$M$7*EFEITO!$Z$7</f>
        <v>0</v>
      </c>
      <c r="O7" s="100">
        <f>$L$7-EFEITO!$O$7*EFEITO!$AA$7</f>
        <v>0</v>
      </c>
      <c r="P7" s="17"/>
      <c r="Q7" s="100" t="s">
        <v>38</v>
      </c>
      <c r="R7" s="100">
        <f ca="1">SUMIF($B$2:$B$921,$Q$7,$J$2:$J$921)</f>
        <v>8653909.2346014194</v>
      </c>
      <c r="S7" s="100">
        <f ca="1">SUMIF($B$2:$B$921,$Q$7,$K$2:$K$921)</f>
        <v>12692609.242647387</v>
      </c>
      <c r="T7" s="100">
        <f>SUMIF($B$2:$B$921,$Q$7,$L$2:$L$921)</f>
        <v>6962088.851641641</v>
      </c>
      <c r="U7" s="100">
        <f ca="1">SUMIF($B$2:$B$921,$Q$7,$M$2:$M$921)</f>
        <v>2681133.3612257419</v>
      </c>
      <c r="V7" s="100">
        <f ca="1">SUMIF($B$2:$B$921,$Q$7,$N$2:$N$921)</f>
        <v>4624025.8641893938</v>
      </c>
      <c r="W7" s="100">
        <f>SUMIF($B$2:$B$921,$Q$7,$O$2:$O$921)</f>
        <v>237646.93940970348</v>
      </c>
      <c r="X7" s="92">
        <f ca="1">$R$7-$U$7</f>
        <v>5972775.8733756775</v>
      </c>
      <c r="Y7" s="92">
        <f ca="1">$S$7-$V$7</f>
        <v>8068583.3784579933</v>
      </c>
      <c r="Z7" s="92">
        <f>$T$7-$W$7</f>
        <v>6724441.9122319371</v>
      </c>
      <c r="AA7" s="92">
        <f ca="1">SUMIF(EFEITO!$B$2:$B$921,$Q$7,EFEITO!$AE$2:$AE$921)</f>
        <v>5972775.8733756738</v>
      </c>
      <c r="AB7" s="92">
        <f ca="1">SUMIF(EFEITO!$B$2:$B$921,$Q$7,EFEITO!$AF$2:$AF$921)</f>
        <v>8068583.3784579979</v>
      </c>
      <c r="AC7" s="92">
        <f>SUMIF(EFEITO!$B$2:$B$921,$Q$7,EFEITO!$AG$2:$AH$921)</f>
        <v>6724441.9122319408</v>
      </c>
      <c r="AD7" s="92">
        <f ca="1">SUMIF(SUBSIDIO!$B$2:$B$921,$Q$7,SUBSIDIO!$AD$2:$AD$921)</f>
        <v>2681133.3612257419</v>
      </c>
      <c r="AE7" s="92">
        <f ca="1">SUMIF(SUBSIDIO!$B$2:$B$921,$Q$7,SUBSIDIO!$AE$2:$AE$921)</f>
        <v>4861672.8035991015</v>
      </c>
      <c r="AF7" s="92" t="str">
        <f ca="1">IF(ABS($X$7-$AA$7)&lt;0.01,"OK","ERRO")</f>
        <v>OK</v>
      </c>
      <c r="AG7" s="92" t="str">
        <f ca="1">IF(ABS($Y$7-$AB$7)&lt;0.01,"OK","ERRO")</f>
        <v>OK</v>
      </c>
      <c r="AH7" s="92" t="str">
        <f>IF(ABS($Z$7-$AC$7)&lt;0.01,"OK","ERRO")</f>
        <v>OK</v>
      </c>
      <c r="AI7" s="92" t="str">
        <f ca="1">IF(ABS($U$7-$AD$7)&lt;0.01,"OK","ERRO")</f>
        <v>OK</v>
      </c>
      <c r="AJ7" s="92" t="str">
        <f ca="1">IF(ABS(($V$7+$W$7)-$AE$7)&lt;0.01,"OK","ERRO")</f>
        <v>OK</v>
      </c>
    </row>
    <row r="8" spans="1:40" ht="11.25" customHeight="1" x14ac:dyDescent="0.2">
      <c r="A8" s="91" t="s">
        <v>21</v>
      </c>
      <c r="B8" s="91" t="s">
        <v>62</v>
      </c>
      <c r="C8" s="91" t="s">
        <v>59</v>
      </c>
      <c r="D8" s="91" t="s">
        <v>25</v>
      </c>
      <c r="E8" s="91" t="s">
        <v>25</v>
      </c>
      <c r="F8" s="91" t="s">
        <v>25</v>
      </c>
      <c r="G8" s="91" t="s">
        <v>63</v>
      </c>
      <c r="H8" s="91" t="s">
        <v>25</v>
      </c>
      <c r="I8" s="99">
        <v>44562</v>
      </c>
      <c r="J8" s="100">
        <f ca="1">EFEITO!$J$8*EFEITO!$Y$8</f>
        <v>27003.501041162581</v>
      </c>
      <c r="K8" s="100">
        <f>EFEITO!$L$8*EFEITO!$Z$8</f>
        <v>0</v>
      </c>
      <c r="L8" s="100">
        <f>EFEITO!$N$8*EFEITO!$AA$8</f>
        <v>0</v>
      </c>
      <c r="M8" s="100">
        <f ca="1">$J$8-EFEITO!$K$8*EFEITO!$Y$8</f>
        <v>13501.75052058129</v>
      </c>
      <c r="N8" s="100">
        <f>$K$8-EFEITO!$M$8*EFEITO!$Z$8</f>
        <v>0</v>
      </c>
      <c r="O8" s="100">
        <f>$L$8-EFEITO!$O$8*EFEITO!$AA$8</f>
        <v>0</v>
      </c>
      <c r="P8" s="17"/>
      <c r="Q8" s="100" t="s">
        <v>677</v>
      </c>
      <c r="R8" s="100">
        <f>SUMIF($B$2:$B$921,$Q$8,$J$2:$J$921)</f>
        <v>0</v>
      </c>
      <c r="S8" s="100">
        <f>SUMIF($B$2:$B$921,$Q$8,$K$2:$K$921)</f>
        <v>0</v>
      </c>
      <c r="T8" s="100">
        <f>SUMIF($B$2:$B$921,$Q$8,$L$2:$L$921)</f>
        <v>0</v>
      </c>
      <c r="U8" s="100">
        <f>SUMIF($B$2:$B$921,$Q$8,$M$2:$M$921)</f>
        <v>0</v>
      </c>
      <c r="V8" s="100">
        <f>SUMIF($B$2:$B$921,$Q$8,$N$2:$N$921)</f>
        <v>0</v>
      </c>
      <c r="W8" s="100">
        <f>SUMIF($B$2:$B$921,$Q$8,$O$2:$O$921)</f>
        <v>0</v>
      </c>
      <c r="X8" s="92">
        <f>$R$8-$U$8</f>
        <v>0</v>
      </c>
      <c r="Y8" s="92">
        <f>$S$8-$V$8</f>
        <v>0</v>
      </c>
      <c r="Z8" s="92">
        <f>$T$8-$W$8</f>
        <v>0</v>
      </c>
      <c r="AA8" s="92">
        <f>SUMIF(EFEITO!$B$2:$B$921,$Q$8,EFEITO!$AE$2:$AE$921)</f>
        <v>0</v>
      </c>
      <c r="AB8" s="92">
        <f>SUMIF(EFEITO!$B$2:$B$921,$Q$8,EFEITO!$AF$2:$AF$921)</f>
        <v>0</v>
      </c>
      <c r="AC8" s="92">
        <f>SUMIF(EFEITO!$B$2:$B$921,$Q$8,EFEITO!$AG$2:$AH$921)</f>
        <v>0</v>
      </c>
      <c r="AD8" s="92">
        <f>SUMIF(SUBSIDIO!$B$2:$B$921,$Q$8,SUBSIDIO!$AD$2:$AD$921)</f>
        <v>0</v>
      </c>
      <c r="AE8" s="92">
        <f>SUMIF(SUBSIDIO!$B$2:$B$921,$Q$8,SUBSIDIO!$AE$2:$AE$921)</f>
        <v>0</v>
      </c>
      <c r="AF8" s="92" t="str">
        <f>IF(ABS($X$8-$AA$8)&lt;0.01,"OK","ERRO")</f>
        <v>OK</v>
      </c>
      <c r="AG8" s="92" t="str">
        <f>IF(ABS($Y$8-$AB$8)&lt;0.01,"OK","ERRO")</f>
        <v>OK</v>
      </c>
      <c r="AH8" s="92" t="str">
        <f>IF(ABS($Z$8-$AC$8)&lt;0.01,"OK","ERRO")</f>
        <v>OK</v>
      </c>
      <c r="AI8" s="92" t="str">
        <f>IF(ABS($U$8-$AD$8)&lt;0.01,"OK","ERRO")</f>
        <v>OK</v>
      </c>
      <c r="AJ8" s="92" t="str">
        <f>IF(ABS(($V$8+$W$8)-$AE$8)&lt;0.01,"OK","ERRO")</f>
        <v>OK</v>
      </c>
    </row>
    <row r="9" spans="1:40" ht="11.25" customHeight="1" x14ac:dyDescent="0.2">
      <c r="A9" s="91" t="s">
        <v>21</v>
      </c>
      <c r="B9" s="91" t="s">
        <v>62</v>
      </c>
      <c r="C9" s="91" t="s">
        <v>59</v>
      </c>
      <c r="D9" s="91" t="s">
        <v>25</v>
      </c>
      <c r="E9" s="91" t="s">
        <v>25</v>
      </c>
      <c r="F9" s="91" t="s">
        <v>25</v>
      </c>
      <c r="G9" s="91" t="s">
        <v>63</v>
      </c>
      <c r="H9" s="91" t="s">
        <v>25</v>
      </c>
      <c r="I9" s="99">
        <v>44593</v>
      </c>
      <c r="J9" s="100">
        <f ca="1">EFEITO!$J$9*EFEITO!$Y$9</f>
        <v>27003.501041162581</v>
      </c>
      <c r="K9" s="100">
        <f>EFEITO!$L$9*EFEITO!$Z$9</f>
        <v>0</v>
      </c>
      <c r="L9" s="100">
        <f>EFEITO!$N$9*EFEITO!$AA$9</f>
        <v>0</v>
      </c>
      <c r="M9" s="100">
        <f ca="1">$J$9-EFEITO!$K$9*EFEITO!$Y$9</f>
        <v>13501.75052058129</v>
      </c>
      <c r="N9" s="100">
        <f>$K$9-EFEITO!$M$9*EFEITO!$Z$9</f>
        <v>0</v>
      </c>
      <c r="O9" s="100">
        <f>$L$9-EFEITO!$O$9*EFEITO!$AA$9</f>
        <v>0</v>
      </c>
      <c r="P9" s="17"/>
      <c r="Q9" s="100" t="s">
        <v>22</v>
      </c>
      <c r="R9" s="100">
        <f>SUMIF($B$2:$B$921,$Q$9,$J$2:$J$921)</f>
        <v>0</v>
      </c>
      <c r="S9" s="100">
        <f ca="1">SUMIF($B$2:$B$921,$Q$9,$K$2:$K$921)</f>
        <v>21214520.532666478</v>
      </c>
      <c r="T9" s="100">
        <f>SUMIF($B$2:$B$921,$Q$9,$L$2:$L$921)</f>
        <v>14929889.928091832</v>
      </c>
      <c r="U9" s="100">
        <f>SUMIF($B$2:$B$921,$Q$9,$M$2:$M$921)</f>
        <v>0</v>
      </c>
      <c r="V9" s="100">
        <f ca="1">SUMIF($B$2:$B$921,$Q$9,$N$2:$N$921)</f>
        <v>98578.471969842678</v>
      </c>
      <c r="W9" s="100">
        <f>SUMIF($B$2:$B$921,$Q$9,$O$2:$O$921)</f>
        <v>101513.32291626473</v>
      </c>
      <c r="X9" s="92">
        <f>$R$9-$U$9</f>
        <v>0</v>
      </c>
      <c r="Y9" s="92">
        <f ca="1">$S$9-$V$9</f>
        <v>21115942.060696635</v>
      </c>
      <c r="Z9" s="92">
        <f>$T$9-$W$9</f>
        <v>14828376.605175566</v>
      </c>
      <c r="AA9" s="92">
        <f>SUMIF(EFEITO!$B$2:$B$921,$Q$9,EFEITO!$AE$2:$AE$921)</f>
        <v>0</v>
      </c>
      <c r="AB9" s="92">
        <f ca="1">SUMIF(EFEITO!$B$2:$B$921,$Q$9,EFEITO!$AF$2:$AF$921)</f>
        <v>21115942.060696643</v>
      </c>
      <c r="AC9" s="92">
        <f>SUMIF(EFEITO!$B$2:$B$921,$Q$9,EFEITO!$AG$2:$AH$921)</f>
        <v>14828376.605175575</v>
      </c>
      <c r="AD9" s="92">
        <f>SUMIF(SUBSIDIO!$B$2:$B$921,$Q$9,SUBSIDIO!$AD$2:$AD$921)</f>
        <v>0</v>
      </c>
      <c r="AE9" s="92">
        <f ca="1">SUMIF(SUBSIDIO!$B$2:$B$921,$Q$9,SUBSIDIO!$AE$2:$AE$921)</f>
        <v>200091.79488610744</v>
      </c>
      <c r="AF9" s="92" t="str">
        <f>IF(ABS($X$9-$AA$9)&lt;0.01,"OK","ERRO")</f>
        <v>OK</v>
      </c>
      <c r="AG9" s="92" t="str">
        <f ca="1">IF(ABS($Y$9-$AB$9)&lt;0.01,"OK","ERRO")</f>
        <v>OK</v>
      </c>
      <c r="AH9" s="92" t="str">
        <f>IF(ABS($Z$9-$AC$9)&lt;0.01,"OK","ERRO")</f>
        <v>OK</v>
      </c>
      <c r="AI9" s="92" t="str">
        <f>IF(ABS($U$9-$AD$9)&lt;0.01,"OK","ERRO")</f>
        <v>OK</v>
      </c>
      <c r="AJ9" s="92" t="str">
        <f ca="1">IF(ABS(($V$9+$W$9)-$AE$9)&lt;0.01,"OK","ERRO")</f>
        <v>OK</v>
      </c>
    </row>
    <row r="10" spans="1:40" ht="11.25" customHeight="1" x14ac:dyDescent="0.2">
      <c r="A10" s="91" t="s">
        <v>21</v>
      </c>
      <c r="B10" s="91" t="s">
        <v>62</v>
      </c>
      <c r="C10" s="91" t="s">
        <v>59</v>
      </c>
      <c r="D10" s="91" t="s">
        <v>25</v>
      </c>
      <c r="E10" s="91" t="s">
        <v>25</v>
      </c>
      <c r="F10" s="91" t="s">
        <v>25</v>
      </c>
      <c r="G10" s="91" t="s">
        <v>63</v>
      </c>
      <c r="H10" s="91" t="s">
        <v>25</v>
      </c>
      <c r="I10" s="99">
        <v>44621</v>
      </c>
      <c r="J10" s="100">
        <f ca="1">EFEITO!$J$10*EFEITO!$Y$10</f>
        <v>27003.501041162581</v>
      </c>
      <c r="K10" s="100">
        <f>EFEITO!$L$10*EFEITO!$Z$10</f>
        <v>0</v>
      </c>
      <c r="L10" s="100">
        <f>EFEITO!$N$10*EFEITO!$AA$10</f>
        <v>0</v>
      </c>
      <c r="M10" s="100">
        <f ca="1">$J$10-EFEITO!$K$10*EFEITO!$Y$10</f>
        <v>13501.75052058129</v>
      </c>
      <c r="N10" s="100">
        <f>$K$10-EFEITO!$M$10*EFEITO!$Z$10</f>
        <v>0</v>
      </c>
      <c r="O10" s="100">
        <f>$L$10-EFEITO!$O$10*EFEITO!$AA$10</f>
        <v>0</v>
      </c>
      <c r="P10" s="17"/>
      <c r="Q10" s="100" t="s">
        <v>42</v>
      </c>
      <c r="R10" s="100">
        <f>SUMIF($B$2:$B$921,$Q$10,$J$2:$J$921)</f>
        <v>0</v>
      </c>
      <c r="S10" s="100">
        <f ca="1">SUMIF($B$2:$B$921,$Q$10,$K$2:$K$921)</f>
        <v>6182984.6552724559</v>
      </c>
      <c r="T10" s="100">
        <f>SUMIF($B$2:$B$921,$Q$10,$L$2:$L$921)</f>
        <v>4318224.6420988459</v>
      </c>
      <c r="U10" s="100">
        <f>SUMIF($B$2:$B$921,$Q$10,$M$2:$M$921)</f>
        <v>0</v>
      </c>
      <c r="V10" s="100">
        <f ca="1">SUMIF($B$2:$B$921,$Q$10,$N$2:$N$921)</f>
        <v>415917.60990051285</v>
      </c>
      <c r="W10" s="100">
        <f>SUMIF($B$2:$B$921,$Q$10,$O$2:$O$921)</f>
        <v>290478.75294720579</v>
      </c>
      <c r="X10" s="92">
        <f>$R$10-$U$10</f>
        <v>0</v>
      </c>
      <c r="Y10" s="92">
        <f ca="1">$S$10-$V$10</f>
        <v>5767067.0453719432</v>
      </c>
      <c r="Z10" s="92">
        <f>$T$10-$W$10</f>
        <v>4027745.8891516402</v>
      </c>
      <c r="AA10" s="92">
        <f>SUMIF(EFEITO!$B$2:$B$921,$Q$10,EFEITO!$AE$2:$AE$921)</f>
        <v>0</v>
      </c>
      <c r="AB10" s="92">
        <f ca="1">SUMIF(EFEITO!$B$2:$B$921,$Q$10,EFEITO!$AF$2:$AF$921)</f>
        <v>5767067.0453719422</v>
      </c>
      <c r="AC10" s="92">
        <f>SUMIF(EFEITO!$B$2:$B$921,$Q$10,EFEITO!$AG$2:$AH$921)</f>
        <v>4027745.8891516407</v>
      </c>
      <c r="AD10" s="92">
        <f>SUMIF(SUBSIDIO!$B$2:$B$921,$Q$10,SUBSIDIO!$AD$2:$AD$921)</f>
        <v>0</v>
      </c>
      <c r="AE10" s="92">
        <f ca="1">SUMIF(SUBSIDIO!$B$2:$B$921,$Q$10,SUBSIDIO!$AE$2:$AE$921)</f>
        <v>706396.36284771899</v>
      </c>
      <c r="AF10" s="92" t="str">
        <f>IF(ABS($X$10-$AA$10)&lt;0.01,"OK","ERRO")</f>
        <v>OK</v>
      </c>
      <c r="AG10" s="92" t="str">
        <f ca="1">IF(ABS($Y$10-$AB$10)&lt;0.01,"OK","ERRO")</f>
        <v>OK</v>
      </c>
      <c r="AH10" s="92" t="str">
        <f>IF(ABS($Z$10-$AC$10)&lt;0.01,"OK","ERRO")</f>
        <v>OK</v>
      </c>
      <c r="AI10" s="92" t="str">
        <f>IF(ABS($U$10-$AD$10)&lt;0.01,"OK","ERRO")</f>
        <v>OK</v>
      </c>
      <c r="AJ10" s="92" t="str">
        <f ca="1">IF(ABS(($V$10+$W$10)-$AE$10)&lt;0.01,"OK","ERRO")</f>
        <v>OK</v>
      </c>
    </row>
    <row r="11" spans="1:40" ht="11.25" customHeight="1" x14ac:dyDescent="0.2">
      <c r="A11" s="91" t="s">
        <v>21</v>
      </c>
      <c r="B11" s="91" t="s">
        <v>62</v>
      </c>
      <c r="C11" s="91" t="s">
        <v>59</v>
      </c>
      <c r="D11" s="91" t="s">
        <v>25</v>
      </c>
      <c r="E11" s="91" t="s">
        <v>25</v>
      </c>
      <c r="F11" s="91" t="s">
        <v>25</v>
      </c>
      <c r="G11" s="91" t="s">
        <v>63</v>
      </c>
      <c r="H11" s="91" t="s">
        <v>25</v>
      </c>
      <c r="I11" s="99">
        <v>44652</v>
      </c>
      <c r="J11" s="100">
        <f ca="1">EFEITO!$J$11*EFEITO!$Y$11</f>
        <v>27003.501041162581</v>
      </c>
      <c r="K11" s="100">
        <f>EFEITO!$L$11*EFEITO!$Z$11</f>
        <v>0</v>
      </c>
      <c r="L11" s="100">
        <f>EFEITO!$N$11*EFEITO!$AA$11</f>
        <v>0</v>
      </c>
      <c r="M11" s="100">
        <f ca="1">$J$11-EFEITO!$K$11*EFEITO!$Y$11</f>
        <v>13501.75052058129</v>
      </c>
      <c r="N11" s="100">
        <f>$K$11-EFEITO!$M$11*EFEITO!$Z$11</f>
        <v>0</v>
      </c>
      <c r="O11" s="100">
        <f>$L$11-EFEITO!$O$11*EFEITO!$AA$11</f>
        <v>0</v>
      </c>
      <c r="P11" s="17"/>
      <c r="Q11" s="100" t="s">
        <v>36</v>
      </c>
      <c r="R11" s="100">
        <f>SUMIF($B$2:$B$921,$Q$11,$J$2:$J$921)</f>
        <v>0</v>
      </c>
      <c r="S11" s="100">
        <f ca="1">SUMIF($B$2:$B$921,$Q$11,$K$2:$K$921)</f>
        <v>8703583.173741553</v>
      </c>
      <c r="T11" s="100">
        <f>SUMIF($B$2:$B$921,$Q$11,$L$2:$L$921)</f>
        <v>6082464.112085456</v>
      </c>
      <c r="U11" s="100">
        <f>SUMIF($B$2:$B$921,$Q$11,$M$2:$M$921)</f>
        <v>0</v>
      </c>
      <c r="V11" s="100">
        <f ca="1">SUMIF($B$2:$B$921,$Q$11,$N$2:$N$921)</f>
        <v>11287.786142919751</v>
      </c>
      <c r="W11" s="100">
        <f>SUMIF($B$2:$B$921,$Q$11,$O$2:$O$921)</f>
        <v>7883.4412496128061</v>
      </c>
      <c r="X11" s="92">
        <f>$R$11-$U$11</f>
        <v>0</v>
      </c>
      <c r="Y11" s="92">
        <f ca="1">$S$11-$V$11</f>
        <v>8692295.3875986338</v>
      </c>
      <c r="Z11" s="92">
        <f>$T$11-$W$11</f>
        <v>6074580.6708358433</v>
      </c>
      <c r="AA11" s="92">
        <f>SUMIF(EFEITO!$B$2:$B$921,$Q$11,EFEITO!$AE$2:$AE$921)</f>
        <v>0</v>
      </c>
      <c r="AB11" s="92">
        <f ca="1">SUMIF(EFEITO!$B$2:$B$921,$Q$11,EFEITO!$AF$2:$AF$921)</f>
        <v>8692295.38759863</v>
      </c>
      <c r="AC11" s="92">
        <f>SUMIF(EFEITO!$B$2:$B$921,$Q$11,EFEITO!$AG$2:$AH$921)</f>
        <v>6074580.6708358424</v>
      </c>
      <c r="AD11" s="92">
        <f>SUMIF(SUBSIDIO!$B$2:$B$921,$Q$11,SUBSIDIO!$AD$2:$AD$921)</f>
        <v>0</v>
      </c>
      <c r="AE11" s="92">
        <f ca="1">SUMIF(SUBSIDIO!$B$2:$B$921,$Q$11,SUBSIDIO!$AE$2:$AE$921)</f>
        <v>19171.227392532553</v>
      </c>
      <c r="AF11" s="92" t="str">
        <f>IF(ABS($X$11-$AA$11)&lt;0.01,"OK","ERRO")</f>
        <v>OK</v>
      </c>
      <c r="AG11" s="92" t="str">
        <f ca="1">IF(ABS($Y$11-$AB$11)&lt;0.01,"OK","ERRO")</f>
        <v>OK</v>
      </c>
      <c r="AH11" s="92" t="str">
        <f>IF(ABS($Z$11-$AC$11)&lt;0.01,"OK","ERRO")</f>
        <v>OK</v>
      </c>
      <c r="AI11" s="92" t="str">
        <f>IF(ABS($U$11-$AD$11)&lt;0.01,"OK","ERRO")</f>
        <v>OK</v>
      </c>
      <c r="AJ11" s="92" t="str">
        <f ca="1">IF(ABS(($V$11+$W$11)-$AE$11)&lt;0.01,"OK","ERRO")</f>
        <v>OK</v>
      </c>
    </row>
    <row r="12" spans="1:40" ht="11.25" customHeight="1" x14ac:dyDescent="0.2">
      <c r="A12" s="91" t="s">
        <v>21</v>
      </c>
      <c r="B12" s="91" t="s">
        <v>62</v>
      </c>
      <c r="C12" s="91" t="s">
        <v>59</v>
      </c>
      <c r="D12" s="91" t="s">
        <v>25</v>
      </c>
      <c r="E12" s="91" t="s">
        <v>25</v>
      </c>
      <c r="F12" s="91" t="s">
        <v>25</v>
      </c>
      <c r="G12" s="91" t="s">
        <v>63</v>
      </c>
      <c r="H12" s="91" t="s">
        <v>25</v>
      </c>
      <c r="I12" s="99">
        <v>44682</v>
      </c>
      <c r="J12" s="100">
        <f ca="1">EFEITO!$J$12*EFEITO!$Y$12</f>
        <v>27003.501041162581</v>
      </c>
      <c r="K12" s="100">
        <f>EFEITO!$L$12*EFEITO!$Z$12</f>
        <v>0</v>
      </c>
      <c r="L12" s="100">
        <f>EFEITO!$N$12*EFEITO!$AA$12</f>
        <v>0</v>
      </c>
      <c r="M12" s="100">
        <f ca="1">$J$12-EFEITO!$K$12*EFEITO!$Y$12</f>
        <v>13501.75052058129</v>
      </c>
      <c r="N12" s="100">
        <f>$K$12-EFEITO!$M$12*EFEITO!$Z$12</f>
        <v>0</v>
      </c>
      <c r="O12" s="100">
        <f>$L$12-EFEITO!$O$12*EFEITO!$AA$12</f>
        <v>0</v>
      </c>
      <c r="P12" s="17"/>
      <c r="Q12" s="100" t="s">
        <v>45</v>
      </c>
      <c r="R12" s="100">
        <f>SUMIF($B$2:$B$921,$Q$12,$J$2:$J$921)</f>
        <v>0</v>
      </c>
      <c r="S12" s="100">
        <f ca="1">SUMIF($B$2:$B$921,$Q$12,$K$2:$K$921)</f>
        <v>994134.18211494153</v>
      </c>
      <c r="T12" s="100">
        <f>SUMIF($B$2:$B$921,$Q$12,$L$2:$L$921)</f>
        <v>694307.84032446414</v>
      </c>
      <c r="U12" s="100">
        <f>SUMIF($B$2:$B$921,$Q$12,$M$2:$M$921)</f>
        <v>0</v>
      </c>
      <c r="V12" s="100">
        <f ca="1">SUMIF($B$2:$B$921,$Q$12,$N$2:$N$921)</f>
        <v>0</v>
      </c>
      <c r="W12" s="100">
        <f>SUMIF($B$2:$B$921,$Q$12,$O$2:$O$921)</f>
        <v>0</v>
      </c>
      <c r="X12" s="92">
        <f>$R$12-$U$12</f>
        <v>0</v>
      </c>
      <c r="Y12" s="92">
        <f ca="1">$S$12-$V$12</f>
        <v>994134.18211494153</v>
      </c>
      <c r="Z12" s="92">
        <f>$T$12-$W$12</f>
        <v>694307.84032446414</v>
      </c>
      <c r="AA12" s="92">
        <f>SUMIF(EFEITO!$B$2:$B$921,$Q$12,EFEITO!$AE$2:$AE$921)</f>
        <v>0</v>
      </c>
      <c r="AB12" s="92">
        <f ca="1">SUMIF(EFEITO!$B$2:$B$921,$Q$12,EFEITO!$AF$2:$AF$921)</f>
        <v>994134.18211494153</v>
      </c>
      <c r="AC12" s="92">
        <f>SUMIF(EFEITO!$B$2:$B$921,$Q$12,EFEITO!$AG$2:$AH$921)</f>
        <v>694307.84032446414</v>
      </c>
      <c r="AD12" s="92">
        <f>SUMIF(SUBSIDIO!$B$2:$B$921,$Q$12,SUBSIDIO!$AD$2:$AD$921)</f>
        <v>0</v>
      </c>
      <c r="AE12" s="92">
        <f>SUMIF(SUBSIDIO!$B$2:$B$921,$Q$12,SUBSIDIO!$AE$2:$AE$921)</f>
        <v>0</v>
      </c>
      <c r="AF12" s="92" t="str">
        <f>IF(ABS($X$12-$AA$12)&lt;0.01,"OK","ERRO")</f>
        <v>OK</v>
      </c>
      <c r="AG12" s="92" t="str">
        <f ca="1">IF(ABS($Y$12-$AB$12)&lt;0.01,"OK","ERRO")</f>
        <v>OK</v>
      </c>
      <c r="AH12" s="92" t="str">
        <f>IF(ABS($Z$12-$AC$12)&lt;0.01,"OK","ERRO")</f>
        <v>OK</v>
      </c>
      <c r="AI12" s="92" t="str">
        <f>IF(ABS($U$12-$AD$12)&lt;0.01,"OK","ERRO")</f>
        <v>OK</v>
      </c>
      <c r="AJ12" s="92" t="str">
        <f ca="1">IF(ABS(($V$12+$W$12)-$AE$12)&lt;0.01,"OK","ERRO")</f>
        <v>OK</v>
      </c>
    </row>
    <row r="13" spans="1:40" ht="11.25" customHeight="1" x14ac:dyDescent="0.2">
      <c r="A13" s="91" t="s">
        <v>56</v>
      </c>
      <c r="B13" s="91" t="s">
        <v>62</v>
      </c>
      <c r="C13" s="91" t="s">
        <v>59</v>
      </c>
      <c r="D13" s="91" t="s">
        <v>25</v>
      </c>
      <c r="E13" s="91" t="s">
        <v>25</v>
      </c>
      <c r="F13" s="91" t="s">
        <v>25</v>
      </c>
      <c r="G13" s="91" t="s">
        <v>63</v>
      </c>
      <c r="H13" s="91" t="s">
        <v>25</v>
      </c>
      <c r="I13" s="99">
        <v>44713</v>
      </c>
      <c r="J13" s="100">
        <f ca="1">EFEITO!$J$13*EFEITO!$Y$13</f>
        <v>27003.501041162581</v>
      </c>
      <c r="K13" s="100">
        <f>EFEITO!$L$13*EFEITO!$Z$13</f>
        <v>0</v>
      </c>
      <c r="L13" s="100">
        <f>EFEITO!$N$13*EFEITO!$AA$13</f>
        <v>0</v>
      </c>
      <c r="M13" s="100">
        <f ca="1">$J$13-EFEITO!$K$13*EFEITO!$Y$13</f>
        <v>13501.75052058129</v>
      </c>
      <c r="N13" s="100">
        <f>$K$13-EFEITO!$M$13*EFEITO!$Z$13</f>
        <v>0</v>
      </c>
      <c r="O13" s="100">
        <f>$L$13-EFEITO!$O$13*EFEITO!$AA$13</f>
        <v>0</v>
      </c>
      <c r="P13" s="17"/>
      <c r="Q13" s="100" t="s">
        <v>90</v>
      </c>
      <c r="R13" s="100">
        <f>SUMIF($B$2:$B$921,$Q$13,$J$2:$J$921)</f>
        <v>0</v>
      </c>
      <c r="S13" s="100">
        <f>SUMIF($B$2:$B$921,$Q$13,$K$2:$K$921)</f>
        <v>0</v>
      </c>
      <c r="T13" s="100">
        <f>SUMIF($B$2:$B$921,$Q$13,$L$2:$L$921)</f>
        <v>0</v>
      </c>
      <c r="U13" s="100">
        <f>SUMIF($B$2:$B$921,$Q$13,$M$2:$M$921)</f>
        <v>0</v>
      </c>
      <c r="V13" s="100">
        <f>SUMIF($B$2:$B$921,$Q$13,$N$2:$N$921)</f>
        <v>0</v>
      </c>
      <c r="W13" s="100">
        <f>SUMIF($B$2:$B$921,$Q$13,$O$2:$O$921)</f>
        <v>0</v>
      </c>
      <c r="X13" s="92">
        <f>$R$13-$U$13</f>
        <v>0</v>
      </c>
      <c r="Y13" s="92">
        <f>$S$13-$V$13</f>
        <v>0</v>
      </c>
      <c r="Z13" s="92">
        <f>$T$13-$W$13</f>
        <v>0</v>
      </c>
      <c r="AA13" s="92">
        <f>SUMIF(EFEITO!$B$2:$B$921,$Q$13,EFEITO!$AE$2:$AE$921)</f>
        <v>0</v>
      </c>
      <c r="AB13" s="92">
        <f>SUMIF(EFEITO!$B$2:$B$921,$Q$13,EFEITO!$AF$2:$AF$921)</f>
        <v>0</v>
      </c>
      <c r="AC13" s="92">
        <f>SUMIF(EFEITO!$B$2:$B$921,$Q$13,EFEITO!$AG$2:$AH$921)</f>
        <v>0</v>
      </c>
      <c r="AD13" s="92">
        <f>SUMIF(SUBSIDIO!$B$2:$B$921,$Q$13,SUBSIDIO!$AD$2:$AD$921)</f>
        <v>0</v>
      </c>
      <c r="AE13" s="92">
        <f>SUMIF(SUBSIDIO!$B$2:$B$921,$Q$13,SUBSIDIO!$AE$2:$AE$921)</f>
        <v>0</v>
      </c>
      <c r="AF13" s="92" t="str">
        <f>IF(ABS($X$13-$AA$13)&lt;0.01,"OK","ERRO")</f>
        <v>OK</v>
      </c>
      <c r="AG13" s="92" t="str">
        <f>IF(ABS($Y$13-$AB$13)&lt;0.01,"OK","ERRO")</f>
        <v>OK</v>
      </c>
      <c r="AH13" s="92" t="str">
        <f>IF(ABS($Z$13-$AC$13)&lt;0.01,"OK","ERRO")</f>
        <v>OK</v>
      </c>
      <c r="AI13" s="92" t="str">
        <f>IF(ABS($U$13-$AD$13)&lt;0.01,"OK","ERRO")</f>
        <v>OK</v>
      </c>
      <c r="AJ13" s="92" t="str">
        <f>IF(ABS(($V$13+$W$13)-$AE$13)&lt;0.01,"OK","ERRO")</f>
        <v>OK</v>
      </c>
    </row>
    <row r="14" spans="1:40" ht="11.25" customHeight="1" x14ac:dyDescent="0.2">
      <c r="A14" s="91" t="s">
        <v>21</v>
      </c>
      <c r="B14" s="91" t="s">
        <v>38</v>
      </c>
      <c r="C14" s="91" t="s">
        <v>39</v>
      </c>
      <c r="D14" s="91" t="s">
        <v>41</v>
      </c>
      <c r="E14" s="91" t="s">
        <v>25</v>
      </c>
      <c r="F14" s="91" t="s">
        <v>25</v>
      </c>
      <c r="G14" s="91" t="s">
        <v>25</v>
      </c>
      <c r="H14" s="91" t="s">
        <v>34</v>
      </c>
      <c r="I14" s="99">
        <v>44378</v>
      </c>
      <c r="J14" s="100">
        <f ca="1">EFEITO!$J$14*EFEITO!$Y$14</f>
        <v>1336.9802970234111</v>
      </c>
      <c r="K14" s="100">
        <f ca="1">EFEITO!$L$14*EFEITO!$Z$14</f>
        <v>891.31235631081825</v>
      </c>
      <c r="L14" s="100">
        <f>EFEITO!$N$14*EFEITO!$AA$14</f>
        <v>1950.9372122136285</v>
      </c>
      <c r="M14" s="100">
        <f ca="1">$J$14-EFEITO!$K$14*EFEITO!$Y$14</f>
        <v>0</v>
      </c>
      <c r="N14" s="100">
        <f ca="1">$K$14-EFEITO!$M$14*EFEITO!$Z$14</f>
        <v>0</v>
      </c>
      <c r="O14" s="100">
        <f>$L$14-EFEITO!$O$14*EFEITO!$AA$14</f>
        <v>0</v>
      </c>
      <c r="P14" s="17"/>
      <c r="Q14" s="17"/>
      <c r="R14" s="17"/>
      <c r="S14" s="17"/>
      <c r="T14" s="17"/>
      <c r="U14" s="17"/>
      <c r="V14" s="17"/>
      <c r="W14" s="17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91" t="s">
        <v>21</v>
      </c>
      <c r="B15" s="91" t="s">
        <v>38</v>
      </c>
      <c r="C15" s="91" t="s">
        <v>39</v>
      </c>
      <c r="D15" s="91" t="s">
        <v>41</v>
      </c>
      <c r="E15" s="91" t="s">
        <v>25</v>
      </c>
      <c r="F15" s="91" t="s">
        <v>25</v>
      </c>
      <c r="G15" s="91" t="s">
        <v>25</v>
      </c>
      <c r="H15" s="91" t="s">
        <v>34</v>
      </c>
      <c r="I15" s="99">
        <v>44409</v>
      </c>
      <c r="J15" s="100">
        <f ca="1">EFEITO!$J$15*EFEITO!$Y$15</f>
        <v>1336.9802970234111</v>
      </c>
      <c r="K15" s="100">
        <f ca="1">EFEITO!$L$15*EFEITO!$Z$15</f>
        <v>710.58404114792972</v>
      </c>
      <c r="L15" s="100">
        <f>EFEITO!$N$15*EFEITO!$AA$15</f>
        <v>1555.3524401014861</v>
      </c>
      <c r="M15" s="100">
        <f ca="1">$J$15-EFEITO!$K$15*EFEITO!$Y$15</f>
        <v>0</v>
      </c>
      <c r="N15" s="100">
        <f ca="1">$K$15-EFEITO!$M$15*EFEITO!$Z$15</f>
        <v>0</v>
      </c>
      <c r="O15" s="100">
        <f>$L$15-EFEITO!$O$15*EFEITO!$AA$15</f>
        <v>0</v>
      </c>
      <c r="P15" s="17"/>
      <c r="Q15" s="17"/>
      <c r="R15" s="17"/>
      <c r="S15" s="17"/>
      <c r="T15" s="17"/>
      <c r="U15" s="17"/>
      <c r="V15" s="17"/>
      <c r="W15" s="17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91" t="s">
        <v>21</v>
      </c>
      <c r="B16" s="91" t="s">
        <v>38</v>
      </c>
      <c r="C16" s="91" t="s">
        <v>39</v>
      </c>
      <c r="D16" s="91" t="s">
        <v>41</v>
      </c>
      <c r="E16" s="91" t="s">
        <v>25</v>
      </c>
      <c r="F16" s="91" t="s">
        <v>25</v>
      </c>
      <c r="G16" s="91" t="s">
        <v>25</v>
      </c>
      <c r="H16" s="91" t="s">
        <v>34</v>
      </c>
      <c r="I16" s="99">
        <v>44440</v>
      </c>
      <c r="J16" s="100">
        <f ca="1">EFEITO!$J$16*EFEITO!$Y$16</f>
        <v>1336.9802970234111</v>
      </c>
      <c r="K16" s="100">
        <f ca="1">EFEITO!$L$16*EFEITO!$Z$16</f>
        <v>634.70421054432086</v>
      </c>
      <c r="L16" s="100">
        <f>EFEITO!$N$16*EFEITO!$AA$16</f>
        <v>1389.2638807621115</v>
      </c>
      <c r="M16" s="100">
        <f ca="1">$J$16-EFEITO!$K$16*EFEITO!$Y$16</f>
        <v>0</v>
      </c>
      <c r="N16" s="100">
        <f ca="1">$K$16-EFEITO!$M$16*EFEITO!$Z$16</f>
        <v>0</v>
      </c>
      <c r="O16" s="100">
        <f>$L$16-EFEITO!$O$16*EFEITO!$AA$16</f>
        <v>0</v>
      </c>
      <c r="P16" s="17"/>
      <c r="Q16" s="17"/>
      <c r="R16" s="17"/>
      <c r="S16" s="17"/>
      <c r="T16" s="17"/>
      <c r="U16" s="17"/>
      <c r="V16" s="17"/>
      <c r="W16" s="17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91" t="s">
        <v>21</v>
      </c>
      <c r="B17" s="91" t="s">
        <v>38</v>
      </c>
      <c r="C17" s="91" t="s">
        <v>39</v>
      </c>
      <c r="D17" s="91" t="s">
        <v>41</v>
      </c>
      <c r="E17" s="91" t="s">
        <v>25</v>
      </c>
      <c r="F17" s="91" t="s">
        <v>25</v>
      </c>
      <c r="G17" s="91" t="s">
        <v>25</v>
      </c>
      <c r="H17" s="91" t="s">
        <v>34</v>
      </c>
      <c r="I17" s="99">
        <v>44470</v>
      </c>
      <c r="J17" s="100">
        <f ca="1">EFEITO!$J$17*EFEITO!$Y$17</f>
        <v>1336.9802970234111</v>
      </c>
      <c r="K17" s="100">
        <f ca="1">EFEITO!$L$17*EFEITO!$Z$17</f>
        <v>668.58450479005376</v>
      </c>
      <c r="L17" s="100">
        <f>EFEITO!$N$17*EFEITO!$AA$17</f>
        <v>1463.4223128053197</v>
      </c>
      <c r="M17" s="100">
        <f ca="1">$J$17-EFEITO!$K$17*EFEITO!$Y$17</f>
        <v>0</v>
      </c>
      <c r="N17" s="100">
        <f ca="1">$K$17-EFEITO!$M$17*EFEITO!$Z$17</f>
        <v>0</v>
      </c>
      <c r="O17" s="100">
        <f>$L$17-EFEITO!$O$17*EFEITO!$AA$17</f>
        <v>0</v>
      </c>
      <c r="P17" s="17"/>
      <c r="Q17" s="17"/>
      <c r="R17" s="17"/>
      <c r="S17" s="17"/>
      <c r="T17" s="17"/>
      <c r="U17" s="17"/>
      <c r="V17" s="17"/>
      <c r="W17" s="17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91" t="s">
        <v>21</v>
      </c>
      <c r="B18" s="91" t="s">
        <v>38</v>
      </c>
      <c r="C18" s="91" t="s">
        <v>39</v>
      </c>
      <c r="D18" s="91" t="s">
        <v>41</v>
      </c>
      <c r="E18" s="91" t="s">
        <v>25</v>
      </c>
      <c r="F18" s="91" t="s">
        <v>25</v>
      </c>
      <c r="G18" s="91" t="s">
        <v>25</v>
      </c>
      <c r="H18" s="91" t="s">
        <v>34</v>
      </c>
      <c r="I18" s="99">
        <v>44501</v>
      </c>
      <c r="J18" s="100">
        <f ca="1">EFEITO!$J$18*EFEITO!$Y$18</f>
        <v>1336.9802970234111</v>
      </c>
      <c r="K18" s="100">
        <f ca="1">EFEITO!$L$18*EFEITO!$Z$18</f>
        <v>1004.2800829822412</v>
      </c>
      <c r="L18" s="100">
        <f>EFEITO!$N$18*EFEITO!$AA$18</f>
        <v>2198.205120239355</v>
      </c>
      <c r="M18" s="100">
        <f ca="1">$J$18-EFEITO!$K$18*EFEITO!$Y$18</f>
        <v>0</v>
      </c>
      <c r="N18" s="100">
        <f ca="1">$K$18-EFEITO!$M$18*EFEITO!$Z$18</f>
        <v>0</v>
      </c>
      <c r="O18" s="100">
        <f>$L$18-EFEITO!$O$18*EFEITO!$AA$18</f>
        <v>0</v>
      </c>
      <c r="P18" s="17"/>
      <c r="Q18" s="17"/>
      <c r="R18" s="17"/>
      <c r="S18" s="17"/>
      <c r="T18" s="17"/>
      <c r="U18" s="17"/>
      <c r="V18" s="17"/>
      <c r="W18" s="17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91" t="s">
        <v>21</v>
      </c>
      <c r="B19" s="91" t="s">
        <v>38</v>
      </c>
      <c r="C19" s="91" t="s">
        <v>39</v>
      </c>
      <c r="D19" s="91" t="s">
        <v>41</v>
      </c>
      <c r="E19" s="91" t="s">
        <v>25</v>
      </c>
      <c r="F19" s="91" t="s">
        <v>25</v>
      </c>
      <c r="G19" s="91" t="s">
        <v>25</v>
      </c>
      <c r="H19" s="91" t="s">
        <v>34</v>
      </c>
      <c r="I19" s="99">
        <v>44531</v>
      </c>
      <c r="J19" s="100">
        <f ca="1">EFEITO!$J$19*EFEITO!$Y$19</f>
        <v>1336.9802970234111</v>
      </c>
      <c r="K19" s="100">
        <f ca="1">EFEITO!$L$19*EFEITO!$Z$19</f>
        <v>1260.9884663056787</v>
      </c>
      <c r="L19" s="100">
        <f>EFEITO!$N$19*EFEITO!$AA$19</f>
        <v>2760.0978553359705</v>
      </c>
      <c r="M19" s="100">
        <f ca="1">$J$19-EFEITO!$K$19*EFEITO!$Y$19</f>
        <v>0</v>
      </c>
      <c r="N19" s="100">
        <f ca="1">$K$19-EFEITO!$M$19*EFEITO!$Z$19</f>
        <v>0</v>
      </c>
      <c r="O19" s="100">
        <f>$L$19-EFEITO!$O$19*EFEITO!$AA$19</f>
        <v>0</v>
      </c>
      <c r="P19" s="17"/>
      <c r="Q19" s="17"/>
      <c r="R19" s="17"/>
      <c r="S19" s="17"/>
      <c r="T19" s="17"/>
      <c r="U19" s="17"/>
      <c r="V19" s="17"/>
      <c r="W19" s="17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91" t="s">
        <v>21</v>
      </c>
      <c r="B20" s="91" t="s">
        <v>38</v>
      </c>
      <c r="C20" s="91" t="s">
        <v>39</v>
      </c>
      <c r="D20" s="91" t="s">
        <v>41</v>
      </c>
      <c r="E20" s="91" t="s">
        <v>25</v>
      </c>
      <c r="F20" s="91" t="s">
        <v>25</v>
      </c>
      <c r="G20" s="91" t="s">
        <v>25</v>
      </c>
      <c r="H20" s="91" t="s">
        <v>34</v>
      </c>
      <c r="I20" s="99">
        <v>44562</v>
      </c>
      <c r="J20" s="100">
        <f ca="1">EFEITO!$J$20*EFEITO!$Y$20</f>
        <v>1352.1732549441317</v>
      </c>
      <c r="K20" s="100">
        <f ca="1">EFEITO!$L$20*EFEITO!$Z$20</f>
        <v>1404.9295980715733</v>
      </c>
      <c r="L20" s="100">
        <f>EFEITO!$N$20*EFEITO!$AA$20</f>
        <v>3075.1614896970555</v>
      </c>
      <c r="M20" s="100">
        <f ca="1">$J$20-EFEITO!$K$20*EFEITO!$Y$20</f>
        <v>0</v>
      </c>
      <c r="N20" s="100">
        <f ca="1">$K$20-EFEITO!$M$20*EFEITO!$Z$20</f>
        <v>0</v>
      </c>
      <c r="O20" s="100">
        <f>$L$20-EFEITO!$O$20*EFEITO!$AA$20</f>
        <v>0</v>
      </c>
      <c r="P20" s="17"/>
      <c r="Q20" s="17"/>
      <c r="R20" s="17"/>
      <c r="S20" s="17"/>
      <c r="T20" s="17"/>
      <c r="U20" s="17"/>
      <c r="V20" s="17"/>
      <c r="W20" s="17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91" t="s">
        <v>21</v>
      </c>
      <c r="B21" s="91" t="s">
        <v>38</v>
      </c>
      <c r="C21" s="91" t="s">
        <v>39</v>
      </c>
      <c r="D21" s="91" t="s">
        <v>41</v>
      </c>
      <c r="E21" s="91" t="s">
        <v>25</v>
      </c>
      <c r="F21" s="91" t="s">
        <v>25</v>
      </c>
      <c r="G21" s="91" t="s">
        <v>25</v>
      </c>
      <c r="H21" s="91" t="s">
        <v>34</v>
      </c>
      <c r="I21" s="99">
        <v>44593</v>
      </c>
      <c r="J21" s="100">
        <f ca="1">EFEITO!$J$21*EFEITO!$Y$21</f>
        <v>1336.9802970234111</v>
      </c>
      <c r="K21" s="100">
        <f ca="1">EFEITO!$L$21*EFEITO!$Z$21</f>
        <v>1180.497708082828</v>
      </c>
      <c r="L21" s="100">
        <f>EFEITO!$N$21*EFEITO!$AA$21</f>
        <v>2583.9167283220763</v>
      </c>
      <c r="M21" s="100">
        <f ca="1">$J$21-EFEITO!$K$21*EFEITO!$Y$21</f>
        <v>0</v>
      </c>
      <c r="N21" s="100">
        <f ca="1">$K$21-EFEITO!$M$21*EFEITO!$Z$21</f>
        <v>0</v>
      </c>
      <c r="O21" s="100">
        <f>$L$21-EFEITO!$O$21*EFEITO!$AA$21</f>
        <v>0</v>
      </c>
      <c r="P21" s="17"/>
      <c r="Q21" s="17"/>
      <c r="R21" s="17"/>
      <c r="S21" s="17"/>
      <c r="T21" s="17"/>
      <c r="U21" s="17"/>
      <c r="V21" s="17"/>
      <c r="W21" s="17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91" t="s">
        <v>21</v>
      </c>
      <c r="B22" s="91" t="s">
        <v>38</v>
      </c>
      <c r="C22" s="91" t="s">
        <v>39</v>
      </c>
      <c r="D22" s="91" t="s">
        <v>41</v>
      </c>
      <c r="E22" s="91" t="s">
        <v>25</v>
      </c>
      <c r="F22" s="91" t="s">
        <v>25</v>
      </c>
      <c r="G22" s="91" t="s">
        <v>25</v>
      </c>
      <c r="H22" s="91" t="s">
        <v>34</v>
      </c>
      <c r="I22" s="99">
        <v>44621</v>
      </c>
      <c r="J22" s="100">
        <f ca="1">EFEITO!$J$22*EFEITO!$Y$22</f>
        <v>1336.9802970234111</v>
      </c>
      <c r="K22" s="100">
        <f ca="1">EFEITO!$L$22*EFEITO!$Z$22</f>
        <v>1162.8558980613814</v>
      </c>
      <c r="L22" s="100">
        <f>EFEITO!$N$22*EFEITO!$AA$22</f>
        <v>2545.301686784785</v>
      </c>
      <c r="M22" s="100">
        <f ca="1">$J$22-EFEITO!$K$22*EFEITO!$Y$22</f>
        <v>0</v>
      </c>
      <c r="N22" s="100">
        <f ca="1">$K$22-EFEITO!$M$22*EFEITO!$Z$22</f>
        <v>0</v>
      </c>
      <c r="O22" s="100">
        <f>$L$22-EFEITO!$O$22*EFEITO!$AA$22</f>
        <v>0</v>
      </c>
      <c r="P22" s="17"/>
      <c r="Q22" s="17"/>
      <c r="R22" s="17"/>
      <c r="S22" s="17"/>
      <c r="T22" s="17"/>
      <c r="U22" s="17"/>
      <c r="V22" s="17"/>
      <c r="W22" s="17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91" t="s">
        <v>21</v>
      </c>
      <c r="B23" s="91" t="s">
        <v>38</v>
      </c>
      <c r="C23" s="91" t="s">
        <v>39</v>
      </c>
      <c r="D23" s="91" t="s">
        <v>41</v>
      </c>
      <c r="E23" s="91" t="s">
        <v>25</v>
      </c>
      <c r="F23" s="91" t="s">
        <v>25</v>
      </c>
      <c r="G23" s="91" t="s">
        <v>25</v>
      </c>
      <c r="H23" s="91" t="s">
        <v>34</v>
      </c>
      <c r="I23" s="99">
        <v>44652</v>
      </c>
      <c r="J23" s="100">
        <f ca="1">EFEITO!$J$23*EFEITO!$Y$23</f>
        <v>1336.9802970234111</v>
      </c>
      <c r="K23" s="100">
        <f ca="1">EFEITO!$L$23*EFEITO!$Z$23</f>
        <v>740.0538828883009</v>
      </c>
      <c r="L23" s="100">
        <f>EFEITO!$N$23*EFEITO!$AA$23</f>
        <v>1619.857111760371</v>
      </c>
      <c r="M23" s="100">
        <f ca="1">$J$23-EFEITO!$K$23*EFEITO!$Y$23</f>
        <v>0</v>
      </c>
      <c r="N23" s="100">
        <f ca="1">$K$23-EFEITO!$M$23*EFEITO!$Z$23</f>
        <v>0</v>
      </c>
      <c r="O23" s="100">
        <f>$L$23-EFEITO!$O$23*EFEITO!$AA$23</f>
        <v>0</v>
      </c>
      <c r="P23" s="17"/>
      <c r="Q23" s="17"/>
      <c r="R23" s="17"/>
      <c r="S23" s="17"/>
      <c r="T23" s="17"/>
      <c r="U23" s="17"/>
      <c r="V23" s="17"/>
      <c r="W23" s="17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91" t="s">
        <v>21</v>
      </c>
      <c r="B24" s="91" t="s">
        <v>38</v>
      </c>
      <c r="C24" s="91" t="s">
        <v>39</v>
      </c>
      <c r="D24" s="91" t="s">
        <v>41</v>
      </c>
      <c r="E24" s="91" t="s">
        <v>25</v>
      </c>
      <c r="F24" s="91" t="s">
        <v>25</v>
      </c>
      <c r="G24" s="91" t="s">
        <v>25</v>
      </c>
      <c r="H24" s="91" t="s">
        <v>34</v>
      </c>
      <c r="I24" s="99">
        <v>44682</v>
      </c>
      <c r="J24" s="100">
        <f ca="1">EFEITO!$J$24*EFEITO!$Y$24</f>
        <v>1336.9802970234111</v>
      </c>
      <c r="K24" s="100">
        <f ca="1">EFEITO!$L$24*EFEITO!$Z$24</f>
        <v>788.46862289033925</v>
      </c>
      <c r="L24" s="100">
        <f>EFEITO!$N$24*EFEITO!$AA$24</f>
        <v>1725.8290723428252</v>
      </c>
      <c r="M24" s="100">
        <f ca="1">$J$24-EFEITO!$K$24*EFEITO!$Y$24</f>
        <v>0</v>
      </c>
      <c r="N24" s="100">
        <f ca="1">$K$24-EFEITO!$M$24*EFEITO!$Z$24</f>
        <v>0</v>
      </c>
      <c r="O24" s="100">
        <f>$L$24-EFEITO!$O$24*EFEITO!$AA$24</f>
        <v>0</v>
      </c>
      <c r="P24" s="17"/>
      <c r="Q24" s="17"/>
      <c r="R24" s="17"/>
      <c r="S24" s="17"/>
      <c r="T24" s="17"/>
      <c r="U24" s="17"/>
      <c r="V24" s="17"/>
      <c r="W24" s="17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91" t="s">
        <v>56</v>
      </c>
      <c r="B25" s="91" t="s">
        <v>38</v>
      </c>
      <c r="C25" s="91" t="s">
        <v>39</v>
      </c>
      <c r="D25" s="91" t="s">
        <v>41</v>
      </c>
      <c r="E25" s="91" t="s">
        <v>25</v>
      </c>
      <c r="F25" s="91" t="s">
        <v>25</v>
      </c>
      <c r="G25" s="91" t="s">
        <v>25</v>
      </c>
      <c r="H25" s="91" t="s">
        <v>34</v>
      </c>
      <c r="I25" s="99">
        <v>44713</v>
      </c>
      <c r="J25" s="100">
        <f ca="1">EFEITO!$J$25*EFEITO!$Y$25</f>
        <v>1336.9802970234111</v>
      </c>
      <c r="K25" s="100">
        <f ca="1">EFEITO!$L$25*EFEITO!$Z$25</f>
        <v>788.46862289033925</v>
      </c>
      <c r="L25" s="100">
        <f>EFEITO!$N$25*EFEITO!$AA$25</f>
        <v>1725.8290723428252</v>
      </c>
      <c r="M25" s="100">
        <f ca="1">$J$25-EFEITO!$K$25*EFEITO!$Y$25</f>
        <v>0</v>
      </c>
      <c r="N25" s="100">
        <f ca="1">$K$25-EFEITO!$M$25*EFEITO!$Z$25</f>
        <v>0</v>
      </c>
      <c r="O25" s="100">
        <f>$L$25-EFEITO!$O$25*EFEITO!$AA$25</f>
        <v>0</v>
      </c>
      <c r="P25" s="17"/>
      <c r="Q25" s="17"/>
      <c r="R25" s="17"/>
      <c r="S25" s="17"/>
      <c r="T25" s="17"/>
      <c r="U25" s="17"/>
      <c r="V25" s="17"/>
      <c r="W25" s="17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91" t="s">
        <v>21</v>
      </c>
      <c r="B26" s="91" t="s">
        <v>38</v>
      </c>
      <c r="C26" s="91" t="s">
        <v>39</v>
      </c>
      <c r="D26" s="91" t="s">
        <v>41</v>
      </c>
      <c r="E26" s="91" t="s">
        <v>25</v>
      </c>
      <c r="F26" s="91" t="s">
        <v>25</v>
      </c>
      <c r="G26" s="91" t="s">
        <v>25</v>
      </c>
      <c r="H26" s="91" t="s">
        <v>33</v>
      </c>
      <c r="I26" s="99">
        <v>44378</v>
      </c>
      <c r="J26" s="100">
        <f ca="1">EFEITO!$J$26*EFEITO!$Y$26</f>
        <v>2129.6879358857982</v>
      </c>
      <c r="K26" s="100">
        <f ca="1">EFEITO!$L$26*EFEITO!$Z$26</f>
        <v>41.498348573175747</v>
      </c>
      <c r="L26" s="100">
        <f>EFEITO!$N$26*EFEITO!$AA$26</f>
        <v>146.37011404234866</v>
      </c>
      <c r="M26" s="100">
        <f ca="1">$J$26-EFEITO!$K$26*EFEITO!$Y$26</f>
        <v>0</v>
      </c>
      <c r="N26" s="100">
        <f ca="1">$K$26-EFEITO!$M$26*EFEITO!$Z$26</f>
        <v>0</v>
      </c>
      <c r="O26" s="100">
        <f>$L$26-EFEITO!$O$26*EFEITO!$AA$26</f>
        <v>0</v>
      </c>
      <c r="P26" s="17"/>
      <c r="Q26" s="17"/>
      <c r="R26" s="17"/>
      <c r="S26" s="17"/>
      <c r="T26" s="17"/>
      <c r="U26" s="17"/>
      <c r="V26" s="17"/>
      <c r="W26" s="17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91" t="s">
        <v>21</v>
      </c>
      <c r="B27" s="91" t="s">
        <v>38</v>
      </c>
      <c r="C27" s="91" t="s">
        <v>39</v>
      </c>
      <c r="D27" s="91" t="s">
        <v>41</v>
      </c>
      <c r="E27" s="91" t="s">
        <v>25</v>
      </c>
      <c r="F27" s="91" t="s">
        <v>25</v>
      </c>
      <c r="G27" s="91" t="s">
        <v>25</v>
      </c>
      <c r="H27" s="91" t="s">
        <v>33</v>
      </c>
      <c r="I27" s="99">
        <v>44409</v>
      </c>
      <c r="J27" s="100">
        <f ca="1">EFEITO!$J$27*EFEITO!$Y$27</f>
        <v>2129.6879358857982</v>
      </c>
      <c r="K27" s="100">
        <f ca="1">EFEITO!$L$27*EFEITO!$Z$27</f>
        <v>42.200011471756014</v>
      </c>
      <c r="L27" s="100">
        <f>EFEITO!$N$27*EFEITO!$AA$27</f>
        <v>148.8449710430647</v>
      </c>
      <c r="M27" s="100">
        <f ca="1">$J$27-EFEITO!$K$27*EFEITO!$Y$27</f>
        <v>0</v>
      </c>
      <c r="N27" s="100">
        <f ca="1">$K$27-EFEITO!$M$27*EFEITO!$Z$27</f>
        <v>0</v>
      </c>
      <c r="O27" s="100">
        <f>$L$27-EFEITO!$O$27*EFEITO!$AA$27</f>
        <v>0</v>
      </c>
      <c r="P27" s="17"/>
      <c r="Q27" s="17"/>
      <c r="R27" s="17"/>
      <c r="S27" s="17"/>
      <c r="T27" s="17"/>
      <c r="U27" s="17"/>
      <c r="V27" s="17"/>
      <c r="W27" s="17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91" t="s">
        <v>21</v>
      </c>
      <c r="B28" s="91" t="s">
        <v>38</v>
      </c>
      <c r="C28" s="91" t="s">
        <v>39</v>
      </c>
      <c r="D28" s="91" t="s">
        <v>41</v>
      </c>
      <c r="E28" s="91" t="s">
        <v>25</v>
      </c>
      <c r="F28" s="91" t="s">
        <v>25</v>
      </c>
      <c r="G28" s="91" t="s">
        <v>25</v>
      </c>
      <c r="H28" s="91" t="s">
        <v>33</v>
      </c>
      <c r="I28" s="99">
        <v>44440</v>
      </c>
      <c r="J28" s="100">
        <f ca="1">EFEITO!$J$28*EFEITO!$Y$28</f>
        <v>2129.6879358857982</v>
      </c>
      <c r="K28" s="100">
        <f ca="1">EFEITO!$L$28*EFEITO!$Z$28</f>
        <v>41.498348573175747</v>
      </c>
      <c r="L28" s="100">
        <f>EFEITO!$N$28*EFEITO!$AA$28</f>
        <v>146.37011404234866</v>
      </c>
      <c r="M28" s="100">
        <f ca="1">$J$28-EFEITO!$K$28*EFEITO!$Y$28</f>
        <v>0</v>
      </c>
      <c r="N28" s="100">
        <f ca="1">$K$28-EFEITO!$M$28*EFEITO!$Z$28</f>
        <v>0</v>
      </c>
      <c r="O28" s="100">
        <f>$L$28-EFEITO!$O$28*EFEITO!$AA$28</f>
        <v>0</v>
      </c>
      <c r="P28" s="17"/>
      <c r="Q28" s="17"/>
      <c r="R28" s="17"/>
      <c r="S28" s="17"/>
      <c r="T28" s="17"/>
      <c r="U28" s="17"/>
      <c r="V28" s="17"/>
      <c r="W28" s="17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91" t="s">
        <v>21</v>
      </c>
      <c r="B29" s="91" t="s">
        <v>38</v>
      </c>
      <c r="C29" s="91" t="s">
        <v>39</v>
      </c>
      <c r="D29" s="91" t="s">
        <v>41</v>
      </c>
      <c r="E29" s="91" t="s">
        <v>25</v>
      </c>
      <c r="F29" s="91" t="s">
        <v>25</v>
      </c>
      <c r="G29" s="91" t="s">
        <v>25</v>
      </c>
      <c r="H29" s="91" t="s">
        <v>33</v>
      </c>
      <c r="I29" s="99">
        <v>44470</v>
      </c>
      <c r="J29" s="100">
        <f ca="1">EFEITO!$J$29*EFEITO!$Y$29</f>
        <v>2129.6879358857982</v>
      </c>
      <c r="K29" s="100">
        <f ca="1">EFEITO!$L$29*EFEITO!$Z$29</f>
        <v>39.092647206614842</v>
      </c>
      <c r="L29" s="100">
        <f>EFEITO!$N$29*EFEITO!$AA$29</f>
        <v>137.88489003989369</v>
      </c>
      <c r="M29" s="100">
        <f ca="1">$J$29-EFEITO!$K$29*EFEITO!$Y$29</f>
        <v>0</v>
      </c>
      <c r="N29" s="100">
        <f ca="1">$K$29-EFEITO!$M$29*EFEITO!$Z$29</f>
        <v>0</v>
      </c>
      <c r="O29" s="100">
        <f>$L$29-EFEITO!$O$29*EFEITO!$AA$29</f>
        <v>0</v>
      </c>
      <c r="P29" s="17"/>
      <c r="Q29" s="17"/>
      <c r="R29" s="17"/>
      <c r="S29" s="17"/>
      <c r="T29" s="17"/>
      <c r="U29" s="17"/>
      <c r="V29" s="17"/>
      <c r="W29" s="17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91" t="s">
        <v>21</v>
      </c>
      <c r="B30" s="91" t="s">
        <v>38</v>
      </c>
      <c r="C30" s="91" t="s">
        <v>39</v>
      </c>
      <c r="D30" s="91" t="s">
        <v>41</v>
      </c>
      <c r="E30" s="91" t="s">
        <v>25</v>
      </c>
      <c r="F30" s="91" t="s">
        <v>25</v>
      </c>
      <c r="G30" s="91" t="s">
        <v>25</v>
      </c>
      <c r="H30" s="91" t="s">
        <v>33</v>
      </c>
      <c r="I30" s="99">
        <v>44501</v>
      </c>
      <c r="J30" s="100">
        <f ca="1">EFEITO!$J$30*EFEITO!$Y$30</f>
        <v>2129.6879358857982</v>
      </c>
      <c r="K30" s="100">
        <f ca="1">EFEITO!$L$30*EFEITO!$Z$30</f>
        <v>39.593834991315028</v>
      </c>
      <c r="L30" s="100">
        <f>EFEITO!$N$30*EFEITO!$AA$30</f>
        <v>139.65264504040513</v>
      </c>
      <c r="M30" s="100">
        <f ca="1">$J$30-EFEITO!$K$30*EFEITO!$Y$30</f>
        <v>0</v>
      </c>
      <c r="N30" s="100">
        <f ca="1">$K$30-EFEITO!$M$30*EFEITO!$Z$30</f>
        <v>0</v>
      </c>
      <c r="O30" s="100">
        <f>$L$30-EFEITO!$O$30*EFEITO!$AA$30</f>
        <v>0</v>
      </c>
      <c r="P30" s="17"/>
      <c r="Q30" s="17"/>
      <c r="R30" s="17"/>
      <c r="S30" s="17"/>
      <c r="T30" s="17"/>
      <c r="U30" s="17"/>
      <c r="V30" s="17"/>
      <c r="W30" s="17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91" t="s">
        <v>21</v>
      </c>
      <c r="B31" s="91" t="s">
        <v>38</v>
      </c>
      <c r="C31" s="91" t="s">
        <v>39</v>
      </c>
      <c r="D31" s="91" t="s">
        <v>41</v>
      </c>
      <c r="E31" s="91" t="s">
        <v>25</v>
      </c>
      <c r="F31" s="91" t="s">
        <v>25</v>
      </c>
      <c r="G31" s="91" t="s">
        <v>25</v>
      </c>
      <c r="H31" s="91" t="s">
        <v>33</v>
      </c>
      <c r="I31" s="99">
        <v>44531</v>
      </c>
      <c r="J31" s="100">
        <f ca="1">EFEITO!$J$31*EFEITO!$Y$31</f>
        <v>2129.6879358857982</v>
      </c>
      <c r="K31" s="100">
        <f ca="1">EFEITO!$L$31*EFEITO!$Z$31</f>
        <v>47.312126875697956</v>
      </c>
      <c r="L31" s="100">
        <f>EFEITO!$N$31*EFEITO!$AA$31</f>
        <v>166.87607204828157</v>
      </c>
      <c r="M31" s="100">
        <f ca="1">$J$31-EFEITO!$K$31*EFEITO!$Y$31</f>
        <v>0</v>
      </c>
      <c r="N31" s="100">
        <f ca="1">$K$31-EFEITO!$M$31*EFEITO!$Z$31</f>
        <v>0</v>
      </c>
      <c r="O31" s="100">
        <f>$L$31-EFEITO!$O$31*EFEITO!$AA$31</f>
        <v>0</v>
      </c>
      <c r="P31" s="17"/>
      <c r="Q31" s="17"/>
      <c r="R31" s="17"/>
      <c r="S31" s="17"/>
      <c r="T31" s="17"/>
      <c r="U31" s="17"/>
      <c r="V31" s="17"/>
      <c r="W31" s="17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91" t="s">
        <v>21</v>
      </c>
      <c r="B32" s="91" t="s">
        <v>38</v>
      </c>
      <c r="C32" s="91" t="s">
        <v>39</v>
      </c>
      <c r="D32" s="91" t="s">
        <v>41</v>
      </c>
      <c r="E32" s="91" t="s">
        <v>25</v>
      </c>
      <c r="F32" s="91" t="s">
        <v>25</v>
      </c>
      <c r="G32" s="91" t="s">
        <v>25</v>
      </c>
      <c r="H32" s="91" t="s">
        <v>33</v>
      </c>
      <c r="I32" s="99">
        <v>44562</v>
      </c>
      <c r="J32" s="100">
        <f ca="1">EFEITO!$J$32*EFEITO!$Y$32</f>
        <v>2129.6879358857982</v>
      </c>
      <c r="K32" s="100">
        <f ca="1">EFEITO!$L$32*EFEITO!$Z$32</f>
        <v>38.691696978854687</v>
      </c>
      <c r="L32" s="100">
        <f>EFEITO!$N$32*EFEITO!$AA$32</f>
        <v>136.47068603948452</v>
      </c>
      <c r="M32" s="100">
        <f ca="1">$J$32-EFEITO!$K$32*EFEITO!$Y$32</f>
        <v>0</v>
      </c>
      <c r="N32" s="100">
        <f ca="1">$K$32-EFEITO!$M$32*EFEITO!$Z$32</f>
        <v>0</v>
      </c>
      <c r="O32" s="100">
        <f>$L$32-EFEITO!$O$32*EFEITO!$AA$32</f>
        <v>0</v>
      </c>
      <c r="P32" s="17"/>
      <c r="Q32" s="17"/>
      <c r="R32" s="17"/>
      <c r="S32" s="17"/>
      <c r="T32" s="17"/>
      <c r="U32" s="17"/>
      <c r="V32" s="17"/>
      <c r="W32" s="17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91" t="s">
        <v>21</v>
      </c>
      <c r="B33" s="91" t="s">
        <v>38</v>
      </c>
      <c r="C33" s="91" t="s">
        <v>39</v>
      </c>
      <c r="D33" s="91" t="s">
        <v>41</v>
      </c>
      <c r="E33" s="91" t="s">
        <v>25</v>
      </c>
      <c r="F33" s="91" t="s">
        <v>25</v>
      </c>
      <c r="G33" s="91" t="s">
        <v>25</v>
      </c>
      <c r="H33" s="91" t="s">
        <v>33</v>
      </c>
      <c r="I33" s="99">
        <v>44593</v>
      </c>
      <c r="J33" s="100">
        <f ca="1">EFEITO!$J$33*EFEITO!$Y$33</f>
        <v>2129.6879358857982</v>
      </c>
      <c r="K33" s="100">
        <f ca="1">EFEITO!$L$33*EFEITO!$Z$33</f>
        <v>39.293122320494916</v>
      </c>
      <c r="L33" s="100">
        <f>EFEITO!$N$33*EFEITO!$AA$33</f>
        <v>138.59199204009826</v>
      </c>
      <c r="M33" s="100">
        <f ca="1">$J$33-EFEITO!$K$33*EFEITO!$Y$33</f>
        <v>0</v>
      </c>
      <c r="N33" s="100">
        <f ca="1">$K$33-EFEITO!$M$33*EFEITO!$Z$33</f>
        <v>0</v>
      </c>
      <c r="O33" s="100">
        <f>$L$33-EFEITO!$O$33*EFEITO!$AA$33</f>
        <v>0</v>
      </c>
      <c r="P33" s="17"/>
      <c r="Q33" s="17"/>
      <c r="R33" s="17"/>
      <c r="S33" s="17"/>
      <c r="T33" s="17"/>
      <c r="U33" s="17"/>
      <c r="V33" s="17"/>
      <c r="W33" s="17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91" t="s">
        <v>21</v>
      </c>
      <c r="B34" s="91" t="s">
        <v>38</v>
      </c>
      <c r="C34" s="91" t="s">
        <v>39</v>
      </c>
      <c r="D34" s="91" t="s">
        <v>41</v>
      </c>
      <c r="E34" s="91" t="s">
        <v>25</v>
      </c>
      <c r="F34" s="91" t="s">
        <v>25</v>
      </c>
      <c r="G34" s="91" t="s">
        <v>25</v>
      </c>
      <c r="H34" s="91" t="s">
        <v>33</v>
      </c>
      <c r="I34" s="99">
        <v>44621</v>
      </c>
      <c r="J34" s="100">
        <f ca="1">EFEITO!$J$34*EFEITO!$Y$34</f>
        <v>2129.6879358857982</v>
      </c>
      <c r="K34" s="100">
        <f ca="1">EFEITO!$L$34*EFEITO!$Z$34</f>
        <v>40.997160788475561</v>
      </c>
      <c r="L34" s="100">
        <f>EFEITO!$N$34*EFEITO!$AA$34</f>
        <v>144.60235904183722</v>
      </c>
      <c r="M34" s="100">
        <f ca="1">$J$34-EFEITO!$K$34*EFEITO!$Y$34</f>
        <v>0</v>
      </c>
      <c r="N34" s="100">
        <f ca="1">$K$34-EFEITO!$M$34*EFEITO!$Z$34</f>
        <v>0</v>
      </c>
      <c r="O34" s="100">
        <f>$L$34-EFEITO!$O$34*EFEITO!$AA$34</f>
        <v>0</v>
      </c>
      <c r="P34" s="17"/>
      <c r="Q34" s="17"/>
      <c r="R34" s="17"/>
      <c r="S34" s="17"/>
      <c r="T34" s="17"/>
      <c r="U34" s="17"/>
      <c r="V34" s="17"/>
      <c r="W34" s="17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91" t="s">
        <v>21</v>
      </c>
      <c r="B35" s="91" t="s">
        <v>38</v>
      </c>
      <c r="C35" s="91" t="s">
        <v>39</v>
      </c>
      <c r="D35" s="91" t="s">
        <v>41</v>
      </c>
      <c r="E35" s="91" t="s">
        <v>25</v>
      </c>
      <c r="F35" s="91" t="s">
        <v>25</v>
      </c>
      <c r="G35" s="91" t="s">
        <v>25</v>
      </c>
      <c r="H35" s="91" t="s">
        <v>33</v>
      </c>
      <c r="I35" s="99">
        <v>44652</v>
      </c>
      <c r="J35" s="100">
        <f ca="1">EFEITO!$J$35*EFEITO!$Y$35</f>
        <v>2129.6879358857982</v>
      </c>
      <c r="K35" s="100">
        <f ca="1">EFEITO!$L$35*EFEITO!$Z$35</f>
        <v>35.985282941473656</v>
      </c>
      <c r="L35" s="100">
        <f>EFEITO!$N$35*EFEITO!$AA$35</f>
        <v>126.92480903672264</v>
      </c>
      <c r="M35" s="100">
        <f ca="1">$J$35-EFEITO!$K$35*EFEITO!$Y$35</f>
        <v>0</v>
      </c>
      <c r="N35" s="100">
        <f ca="1">$K$35-EFEITO!$M$35*EFEITO!$Z$35</f>
        <v>0</v>
      </c>
      <c r="O35" s="100">
        <f>$L$35-EFEITO!$O$35*EFEITO!$AA$35</f>
        <v>0</v>
      </c>
      <c r="P35" s="17"/>
      <c r="Q35" s="17"/>
      <c r="R35" s="17"/>
      <c r="S35" s="17"/>
      <c r="T35" s="17"/>
      <c r="U35" s="17"/>
      <c r="V35" s="17"/>
      <c r="W35" s="17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91" t="s">
        <v>21</v>
      </c>
      <c r="B36" s="91" t="s">
        <v>38</v>
      </c>
      <c r="C36" s="91" t="s">
        <v>39</v>
      </c>
      <c r="D36" s="91" t="s">
        <v>41</v>
      </c>
      <c r="E36" s="91" t="s">
        <v>25</v>
      </c>
      <c r="F36" s="91" t="s">
        <v>25</v>
      </c>
      <c r="G36" s="91" t="s">
        <v>25</v>
      </c>
      <c r="H36" s="91" t="s">
        <v>33</v>
      </c>
      <c r="I36" s="99">
        <v>44682</v>
      </c>
      <c r="J36" s="100">
        <f ca="1">EFEITO!$J$36*EFEITO!$Y$36</f>
        <v>2129.6879358857982</v>
      </c>
      <c r="K36" s="100">
        <f ca="1">EFEITO!$L$36*EFEITO!$Z$36</f>
        <v>38.691696978854687</v>
      </c>
      <c r="L36" s="100">
        <f>EFEITO!$N$36*EFEITO!$AA$36</f>
        <v>136.47068603948452</v>
      </c>
      <c r="M36" s="100">
        <f ca="1">$J$36-EFEITO!$K$36*EFEITO!$Y$36</f>
        <v>0</v>
      </c>
      <c r="N36" s="100">
        <f ca="1">$K$36-EFEITO!$M$36*EFEITO!$Z$36</f>
        <v>0</v>
      </c>
      <c r="O36" s="100">
        <f>$L$36-EFEITO!$O$36*EFEITO!$AA$36</f>
        <v>0</v>
      </c>
      <c r="P36" s="17"/>
      <c r="Q36" s="17"/>
      <c r="R36" s="17"/>
      <c r="S36" s="17"/>
      <c r="T36" s="17"/>
      <c r="U36" s="17"/>
      <c r="V36" s="17"/>
      <c r="W36" s="17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91" t="s">
        <v>56</v>
      </c>
      <c r="B37" s="91" t="s">
        <v>38</v>
      </c>
      <c r="C37" s="91" t="s">
        <v>39</v>
      </c>
      <c r="D37" s="91" t="s">
        <v>41</v>
      </c>
      <c r="E37" s="91" t="s">
        <v>25</v>
      </c>
      <c r="F37" s="91" t="s">
        <v>25</v>
      </c>
      <c r="G37" s="91" t="s">
        <v>25</v>
      </c>
      <c r="H37" s="91" t="s">
        <v>33</v>
      </c>
      <c r="I37" s="99">
        <v>44713</v>
      </c>
      <c r="J37" s="100">
        <f ca="1">EFEITO!$J$37*EFEITO!$Y$37</f>
        <v>2129.6879358857982</v>
      </c>
      <c r="K37" s="100">
        <f ca="1">EFEITO!$L$37*EFEITO!$Z$37</f>
        <v>38.691696978854687</v>
      </c>
      <c r="L37" s="100">
        <f>EFEITO!$N$37*EFEITO!$AA$37</f>
        <v>136.47068603948452</v>
      </c>
      <c r="M37" s="100">
        <f ca="1">$J$37-EFEITO!$K$37*EFEITO!$Y$37</f>
        <v>0</v>
      </c>
      <c r="N37" s="100">
        <f ca="1">$K$37-EFEITO!$M$37*EFEITO!$Z$37</f>
        <v>0</v>
      </c>
      <c r="O37" s="100">
        <f>$L$37-EFEITO!$O$37*EFEITO!$AA$37</f>
        <v>0</v>
      </c>
      <c r="P37" s="17"/>
      <c r="Q37" s="17"/>
      <c r="R37" s="17"/>
      <c r="S37" s="17"/>
      <c r="T37" s="17"/>
      <c r="U37" s="17"/>
      <c r="V37" s="17"/>
      <c r="W37" s="17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91" t="s">
        <v>21</v>
      </c>
      <c r="B38" s="91" t="s">
        <v>38</v>
      </c>
      <c r="C38" s="91" t="s">
        <v>39</v>
      </c>
      <c r="D38" s="91" t="s">
        <v>37</v>
      </c>
      <c r="E38" s="91" t="s">
        <v>25</v>
      </c>
      <c r="F38" s="91" t="s">
        <v>57</v>
      </c>
      <c r="G38" s="91" t="s">
        <v>25</v>
      </c>
      <c r="H38" s="91" t="s">
        <v>34</v>
      </c>
      <c r="I38" s="99">
        <v>44378</v>
      </c>
      <c r="J38" s="100">
        <f ca="1">EFEITO!$J$38*EFEITO!$Y$38</f>
        <v>83789.162932774008</v>
      </c>
      <c r="K38" s="100">
        <f ca="1">EFEITO!$L$38*EFEITO!$Z$38</f>
        <v>0</v>
      </c>
      <c r="L38" s="100">
        <f>EFEITO!$N$38*EFEITO!$AA$38</f>
        <v>0</v>
      </c>
      <c r="M38" s="100">
        <f ca="1">$J$38-EFEITO!$K$38*EFEITO!$Y$38</f>
        <v>41894.581466387004</v>
      </c>
      <c r="N38" s="100">
        <f ca="1">$K$38-EFEITO!$M$38*EFEITO!$Z$38</f>
        <v>0</v>
      </c>
      <c r="O38" s="100">
        <f>$L$38-EFEITO!$O$38*EFEITO!$AA$38</f>
        <v>0</v>
      </c>
      <c r="P38" s="17"/>
      <c r="Q38" s="17"/>
      <c r="R38" s="17"/>
      <c r="S38" s="17"/>
      <c r="T38" s="17"/>
      <c r="U38" s="17"/>
      <c r="V38" s="17"/>
      <c r="W38" s="17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91" t="s">
        <v>21</v>
      </c>
      <c r="B39" s="91" t="s">
        <v>38</v>
      </c>
      <c r="C39" s="91" t="s">
        <v>39</v>
      </c>
      <c r="D39" s="91" t="s">
        <v>37</v>
      </c>
      <c r="E39" s="91" t="s">
        <v>25</v>
      </c>
      <c r="F39" s="91" t="s">
        <v>57</v>
      </c>
      <c r="G39" s="91" t="s">
        <v>25</v>
      </c>
      <c r="H39" s="91" t="s">
        <v>34</v>
      </c>
      <c r="I39" s="99">
        <v>44409</v>
      </c>
      <c r="J39" s="100">
        <f ca="1">EFEITO!$J$39*EFEITO!$Y$39</f>
        <v>84746.319281779404</v>
      </c>
      <c r="K39" s="100">
        <f ca="1">EFEITO!$L$39*EFEITO!$Z$39</f>
        <v>0</v>
      </c>
      <c r="L39" s="100">
        <f>EFEITO!$N$39*EFEITO!$AA$39</f>
        <v>0</v>
      </c>
      <c r="M39" s="100">
        <f ca="1">$J$39-EFEITO!$K$39*EFEITO!$Y$39</f>
        <v>42373.159640889702</v>
      </c>
      <c r="N39" s="100">
        <f ca="1">$K$39-EFEITO!$M$39*EFEITO!$Z$39</f>
        <v>0</v>
      </c>
      <c r="O39" s="100">
        <f>$L$39-EFEITO!$O$39*EFEITO!$AA$39</f>
        <v>0</v>
      </c>
      <c r="P39" s="17"/>
      <c r="Q39" s="17"/>
      <c r="R39" s="17"/>
      <c r="S39" s="17"/>
      <c r="T39" s="17"/>
      <c r="U39" s="17"/>
      <c r="V39" s="17"/>
      <c r="W39" s="17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91" t="s">
        <v>21</v>
      </c>
      <c r="B40" s="91" t="s">
        <v>38</v>
      </c>
      <c r="C40" s="91" t="s">
        <v>39</v>
      </c>
      <c r="D40" s="91" t="s">
        <v>37</v>
      </c>
      <c r="E40" s="91" t="s">
        <v>25</v>
      </c>
      <c r="F40" s="91" t="s">
        <v>57</v>
      </c>
      <c r="G40" s="91" t="s">
        <v>25</v>
      </c>
      <c r="H40" s="91" t="s">
        <v>34</v>
      </c>
      <c r="I40" s="99">
        <v>44440</v>
      </c>
      <c r="J40" s="100">
        <f ca="1">EFEITO!$J$40*EFEITO!$Y$40</f>
        <v>84320.916459999222</v>
      </c>
      <c r="K40" s="100">
        <f ca="1">EFEITO!$L$40*EFEITO!$Z$40</f>
        <v>0</v>
      </c>
      <c r="L40" s="100">
        <f>EFEITO!$N$40*EFEITO!$AA$40</f>
        <v>0</v>
      </c>
      <c r="M40" s="100">
        <f ca="1">$J$40-EFEITO!$K$40*EFEITO!$Y$40</f>
        <v>42160.458229999611</v>
      </c>
      <c r="N40" s="100">
        <f ca="1">$K$40-EFEITO!$M$40*EFEITO!$Z$40</f>
        <v>0</v>
      </c>
      <c r="O40" s="100">
        <f>$L$40-EFEITO!$O$40*EFEITO!$AA$40</f>
        <v>0</v>
      </c>
      <c r="P40" s="17"/>
      <c r="Q40" s="17"/>
      <c r="R40" s="17"/>
      <c r="S40" s="17"/>
      <c r="T40" s="17"/>
      <c r="U40" s="17"/>
      <c r="V40" s="17"/>
      <c r="W40" s="17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91" t="s">
        <v>21</v>
      </c>
      <c r="B41" s="91" t="s">
        <v>38</v>
      </c>
      <c r="C41" s="91" t="s">
        <v>39</v>
      </c>
      <c r="D41" s="91" t="s">
        <v>37</v>
      </c>
      <c r="E41" s="91" t="s">
        <v>25</v>
      </c>
      <c r="F41" s="91" t="s">
        <v>57</v>
      </c>
      <c r="G41" s="91" t="s">
        <v>25</v>
      </c>
      <c r="H41" s="91" t="s">
        <v>34</v>
      </c>
      <c r="I41" s="99">
        <v>44470</v>
      </c>
      <c r="J41" s="100">
        <f ca="1">EFEITO!$J$41*EFEITO!$Y$41</f>
        <v>84624.775618413638</v>
      </c>
      <c r="K41" s="100">
        <f ca="1">EFEITO!$L$41*EFEITO!$Z$41</f>
        <v>0</v>
      </c>
      <c r="L41" s="100">
        <f>EFEITO!$N$41*EFEITO!$AA$41</f>
        <v>0</v>
      </c>
      <c r="M41" s="100">
        <f ca="1">$J$41-EFEITO!$K$41*EFEITO!$Y$41</f>
        <v>42312.387809206819</v>
      </c>
      <c r="N41" s="100">
        <f ca="1">$K$41-EFEITO!$M$41*EFEITO!$Z$41</f>
        <v>0</v>
      </c>
      <c r="O41" s="100">
        <f>$L$41-EFEITO!$O$41*EFEITO!$AA$41</f>
        <v>0</v>
      </c>
      <c r="P41" s="17"/>
      <c r="Q41" s="17"/>
      <c r="R41" s="17"/>
      <c r="S41" s="17"/>
      <c r="T41" s="17"/>
      <c r="U41" s="17"/>
      <c r="V41" s="17"/>
      <c r="W41" s="17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91" t="s">
        <v>21</v>
      </c>
      <c r="B42" s="91" t="s">
        <v>38</v>
      </c>
      <c r="C42" s="91" t="s">
        <v>39</v>
      </c>
      <c r="D42" s="91" t="s">
        <v>37</v>
      </c>
      <c r="E42" s="91" t="s">
        <v>25</v>
      </c>
      <c r="F42" s="91" t="s">
        <v>57</v>
      </c>
      <c r="G42" s="91" t="s">
        <v>25</v>
      </c>
      <c r="H42" s="91" t="s">
        <v>34</v>
      </c>
      <c r="I42" s="99">
        <v>44501</v>
      </c>
      <c r="J42" s="100">
        <f ca="1">EFEITO!$J$42*EFEITO!$Y$42</f>
        <v>85308.458724846059</v>
      </c>
      <c r="K42" s="100">
        <f ca="1">EFEITO!$L$42*EFEITO!$Z$42</f>
        <v>0</v>
      </c>
      <c r="L42" s="100">
        <f>EFEITO!$N$42*EFEITO!$AA$42</f>
        <v>0</v>
      </c>
      <c r="M42" s="100">
        <f ca="1">$J$42-EFEITO!$K$42*EFEITO!$Y$42</f>
        <v>42654.22936242303</v>
      </c>
      <c r="N42" s="100">
        <f ca="1">$K$42-EFEITO!$M$42*EFEITO!$Z$42</f>
        <v>0</v>
      </c>
      <c r="O42" s="100">
        <f>$L$42-EFEITO!$O$42*EFEITO!$AA$42</f>
        <v>0</v>
      </c>
      <c r="P42" s="17"/>
      <c r="Q42" s="17"/>
      <c r="R42" s="17"/>
      <c r="S42" s="17"/>
      <c r="T42" s="17"/>
      <c r="U42" s="17"/>
      <c r="V42" s="17"/>
      <c r="W42" s="17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91" t="s">
        <v>21</v>
      </c>
      <c r="B43" s="91" t="s">
        <v>38</v>
      </c>
      <c r="C43" s="91" t="s">
        <v>39</v>
      </c>
      <c r="D43" s="91" t="s">
        <v>37</v>
      </c>
      <c r="E43" s="91" t="s">
        <v>25</v>
      </c>
      <c r="F43" s="91" t="s">
        <v>57</v>
      </c>
      <c r="G43" s="91" t="s">
        <v>25</v>
      </c>
      <c r="H43" s="91" t="s">
        <v>34</v>
      </c>
      <c r="I43" s="99">
        <v>44531</v>
      </c>
      <c r="J43" s="100">
        <f ca="1">EFEITO!$J$43*EFEITO!$Y$43</f>
        <v>85809.826336229846</v>
      </c>
      <c r="K43" s="100">
        <f ca="1">EFEITO!$L$43*EFEITO!$Z$43</f>
        <v>0</v>
      </c>
      <c r="L43" s="100">
        <f>EFEITO!$N$43*EFEITO!$AA$43</f>
        <v>0</v>
      </c>
      <c r="M43" s="100">
        <f ca="1">$J$43-EFEITO!$K$43*EFEITO!$Y$43</f>
        <v>42904.913168114923</v>
      </c>
      <c r="N43" s="100">
        <f ca="1">$K$43-EFEITO!$M$43*EFEITO!$Z$43</f>
        <v>0</v>
      </c>
      <c r="O43" s="100">
        <f>$L$43-EFEITO!$O$43*EFEITO!$AA$43</f>
        <v>0</v>
      </c>
      <c r="P43" s="17"/>
      <c r="Q43" s="17"/>
      <c r="R43" s="17"/>
      <c r="S43" s="17"/>
      <c r="T43" s="17"/>
      <c r="U43" s="17"/>
      <c r="V43" s="17"/>
      <c r="W43" s="17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91" t="s">
        <v>21</v>
      </c>
      <c r="B44" s="91" t="s">
        <v>38</v>
      </c>
      <c r="C44" s="91" t="s">
        <v>39</v>
      </c>
      <c r="D44" s="91" t="s">
        <v>37</v>
      </c>
      <c r="E44" s="91" t="s">
        <v>25</v>
      </c>
      <c r="F44" s="91" t="s">
        <v>57</v>
      </c>
      <c r="G44" s="91" t="s">
        <v>25</v>
      </c>
      <c r="H44" s="91" t="s">
        <v>34</v>
      </c>
      <c r="I44" s="99">
        <v>44562</v>
      </c>
      <c r="J44" s="100">
        <f ca="1">EFEITO!$J$44*EFEITO!$Y$44</f>
        <v>86842.947474838831</v>
      </c>
      <c r="K44" s="100">
        <f ca="1">EFEITO!$L$44*EFEITO!$Z$44</f>
        <v>0</v>
      </c>
      <c r="L44" s="100">
        <f>EFEITO!$N$44*EFEITO!$AA$44</f>
        <v>0</v>
      </c>
      <c r="M44" s="100">
        <f ca="1">$J$44-EFEITO!$K$44*EFEITO!$Y$44</f>
        <v>43421.473737419416</v>
      </c>
      <c r="N44" s="100">
        <f ca="1">$K$44-EFEITO!$M$44*EFEITO!$Z$44</f>
        <v>0</v>
      </c>
      <c r="O44" s="100">
        <f>$L$44-EFEITO!$O$44*EFEITO!$AA$44</f>
        <v>0</v>
      </c>
      <c r="P44" s="17"/>
      <c r="Q44" s="17"/>
      <c r="R44" s="17"/>
      <c r="S44" s="17"/>
      <c r="T44" s="17"/>
      <c r="U44" s="17"/>
      <c r="V44" s="17"/>
      <c r="W44" s="17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91" t="s">
        <v>21</v>
      </c>
      <c r="B45" s="91" t="s">
        <v>38</v>
      </c>
      <c r="C45" s="91" t="s">
        <v>39</v>
      </c>
      <c r="D45" s="91" t="s">
        <v>37</v>
      </c>
      <c r="E45" s="91" t="s">
        <v>25</v>
      </c>
      <c r="F45" s="91" t="s">
        <v>57</v>
      </c>
      <c r="G45" s="91" t="s">
        <v>25</v>
      </c>
      <c r="H45" s="91" t="s">
        <v>34</v>
      </c>
      <c r="I45" s="99">
        <v>44593</v>
      </c>
      <c r="J45" s="100">
        <f ca="1">EFEITO!$J$45*EFEITO!$Y$45</f>
        <v>85688.282672864079</v>
      </c>
      <c r="K45" s="100">
        <f ca="1">EFEITO!$L$45*EFEITO!$Z$45</f>
        <v>0</v>
      </c>
      <c r="L45" s="100">
        <f>EFEITO!$N$45*EFEITO!$AA$45</f>
        <v>0</v>
      </c>
      <c r="M45" s="100">
        <f ca="1">$J$45-EFEITO!$K$45*EFEITO!$Y$45</f>
        <v>42844.14133643204</v>
      </c>
      <c r="N45" s="100">
        <f ca="1">$K$45-EFEITO!$M$45*EFEITO!$Z$45</f>
        <v>0</v>
      </c>
      <c r="O45" s="100">
        <f>$L$45-EFEITO!$O$45*EFEITO!$AA$45</f>
        <v>0</v>
      </c>
      <c r="P45" s="17"/>
      <c r="Q45" s="17"/>
      <c r="R45" s="17"/>
      <c r="S45" s="17"/>
      <c r="T45" s="17"/>
      <c r="U45" s="17"/>
      <c r="V45" s="17"/>
      <c r="W45" s="17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91" t="s">
        <v>21</v>
      </c>
      <c r="B46" s="91" t="s">
        <v>38</v>
      </c>
      <c r="C46" s="91" t="s">
        <v>39</v>
      </c>
      <c r="D46" s="91" t="s">
        <v>37</v>
      </c>
      <c r="E46" s="91" t="s">
        <v>25</v>
      </c>
      <c r="F46" s="91" t="s">
        <v>57</v>
      </c>
      <c r="G46" s="91" t="s">
        <v>25</v>
      </c>
      <c r="H46" s="91" t="s">
        <v>34</v>
      </c>
      <c r="I46" s="99">
        <v>44621</v>
      </c>
      <c r="J46" s="100">
        <f ca="1">EFEITO!$J$46*EFEITO!$Y$46</f>
        <v>85733.861546626242</v>
      </c>
      <c r="K46" s="100">
        <f ca="1">EFEITO!$L$46*EFEITO!$Z$46</f>
        <v>0</v>
      </c>
      <c r="L46" s="100">
        <f>EFEITO!$N$46*EFEITO!$AA$46</f>
        <v>0</v>
      </c>
      <c r="M46" s="100">
        <f ca="1">$J$46-EFEITO!$K$46*EFEITO!$Y$46</f>
        <v>42866.930773313121</v>
      </c>
      <c r="N46" s="100">
        <f ca="1">$K$46-EFEITO!$M$46*EFEITO!$Z$46</f>
        <v>0</v>
      </c>
      <c r="O46" s="100">
        <f>$L$46-EFEITO!$O$46*EFEITO!$AA$46</f>
        <v>0</v>
      </c>
      <c r="P46" s="17"/>
      <c r="Q46" s="17"/>
      <c r="R46" s="17"/>
      <c r="S46" s="17"/>
      <c r="T46" s="17"/>
      <c r="U46" s="17"/>
      <c r="V46" s="17"/>
      <c r="W46" s="17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91" t="s">
        <v>21</v>
      </c>
      <c r="B47" s="91" t="s">
        <v>38</v>
      </c>
      <c r="C47" s="91" t="s">
        <v>39</v>
      </c>
      <c r="D47" s="91" t="s">
        <v>37</v>
      </c>
      <c r="E47" s="91" t="s">
        <v>25</v>
      </c>
      <c r="F47" s="91" t="s">
        <v>57</v>
      </c>
      <c r="G47" s="91" t="s">
        <v>25</v>
      </c>
      <c r="H47" s="91" t="s">
        <v>34</v>
      </c>
      <c r="I47" s="99">
        <v>44652</v>
      </c>
      <c r="J47" s="100">
        <f ca="1">EFEITO!$J$47*EFEITO!$Y$47</f>
        <v>85354.037598608222</v>
      </c>
      <c r="K47" s="100">
        <f ca="1">EFEITO!$L$47*EFEITO!$Z$47</f>
        <v>0</v>
      </c>
      <c r="L47" s="100">
        <f>EFEITO!$N$47*EFEITO!$AA$47</f>
        <v>0</v>
      </c>
      <c r="M47" s="100">
        <f ca="1">$J$47-EFEITO!$K$47*EFEITO!$Y$47</f>
        <v>42677.018799304111</v>
      </c>
      <c r="N47" s="100">
        <f ca="1">$K$47-EFEITO!$M$47*EFEITO!$Z$47</f>
        <v>0</v>
      </c>
      <c r="O47" s="100">
        <f>$L$47-EFEITO!$O$47*EFEITO!$AA$47</f>
        <v>0</v>
      </c>
      <c r="P47" s="17"/>
      <c r="Q47" s="17"/>
      <c r="R47" s="17"/>
      <c r="S47" s="17"/>
      <c r="T47" s="17"/>
      <c r="U47" s="17"/>
      <c r="V47" s="17"/>
      <c r="W47" s="17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91" t="s">
        <v>21</v>
      </c>
      <c r="B48" s="91" t="s">
        <v>38</v>
      </c>
      <c r="C48" s="91" t="s">
        <v>39</v>
      </c>
      <c r="D48" s="91" t="s">
        <v>37</v>
      </c>
      <c r="E48" s="91" t="s">
        <v>25</v>
      </c>
      <c r="F48" s="91" t="s">
        <v>57</v>
      </c>
      <c r="G48" s="91" t="s">
        <v>25</v>
      </c>
      <c r="H48" s="91" t="s">
        <v>34</v>
      </c>
      <c r="I48" s="99">
        <v>44682</v>
      </c>
      <c r="J48" s="100">
        <f ca="1">EFEITO!$J$48*EFEITO!$Y$48</f>
        <v>86204.843242168572</v>
      </c>
      <c r="K48" s="100">
        <f ca="1">EFEITO!$L$48*EFEITO!$Z$48</f>
        <v>0</v>
      </c>
      <c r="L48" s="100">
        <f>EFEITO!$N$48*EFEITO!$AA$48</f>
        <v>0</v>
      </c>
      <c r="M48" s="100">
        <f ca="1">$J$48-EFEITO!$K$48*EFEITO!$Y$48</f>
        <v>43102.421621084286</v>
      </c>
      <c r="N48" s="100">
        <f ca="1">$K$48-EFEITO!$M$48*EFEITO!$Z$48</f>
        <v>0</v>
      </c>
      <c r="O48" s="100">
        <f>$L$48-EFEITO!$O$48*EFEITO!$AA$48</f>
        <v>0</v>
      </c>
      <c r="P48" s="17"/>
      <c r="Q48" s="17"/>
      <c r="R48" s="17"/>
      <c r="S48" s="17"/>
      <c r="T48" s="17"/>
      <c r="U48" s="17"/>
      <c r="V48" s="17"/>
      <c r="W48" s="17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91" t="s">
        <v>56</v>
      </c>
      <c r="B49" s="91" t="s">
        <v>38</v>
      </c>
      <c r="C49" s="91" t="s">
        <v>39</v>
      </c>
      <c r="D49" s="91" t="s">
        <v>37</v>
      </c>
      <c r="E49" s="91" t="s">
        <v>25</v>
      </c>
      <c r="F49" s="91" t="s">
        <v>57</v>
      </c>
      <c r="G49" s="91" t="s">
        <v>25</v>
      </c>
      <c r="H49" s="91" t="s">
        <v>34</v>
      </c>
      <c r="I49" s="99">
        <v>44713</v>
      </c>
      <c r="J49" s="100">
        <f ca="1">EFEITO!$J$49*EFEITO!$Y$49</f>
        <v>86204.843242168572</v>
      </c>
      <c r="K49" s="100">
        <f ca="1">EFEITO!$L$49*EFEITO!$Z$49</f>
        <v>0</v>
      </c>
      <c r="L49" s="100">
        <f>EFEITO!$N$49*EFEITO!$AA$49</f>
        <v>0</v>
      </c>
      <c r="M49" s="100">
        <f ca="1">$J$49-EFEITO!$K$49*EFEITO!$Y$49</f>
        <v>43102.421621084286</v>
      </c>
      <c r="N49" s="100">
        <f ca="1">$K$49-EFEITO!$M$49*EFEITO!$Z$49</f>
        <v>0</v>
      </c>
      <c r="O49" s="100">
        <f>$L$49-EFEITO!$O$49*EFEITO!$AA$49</f>
        <v>0</v>
      </c>
      <c r="P49" s="17"/>
      <c r="Q49" s="17"/>
      <c r="R49" s="17"/>
      <c r="S49" s="17"/>
      <c r="T49" s="17"/>
      <c r="U49" s="17"/>
      <c r="V49" s="17"/>
      <c r="W49" s="17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91" t="s">
        <v>21</v>
      </c>
      <c r="B50" s="91" t="s">
        <v>38</v>
      </c>
      <c r="C50" s="91" t="s">
        <v>39</v>
      </c>
      <c r="D50" s="91" t="s">
        <v>37</v>
      </c>
      <c r="E50" s="91" t="s">
        <v>25</v>
      </c>
      <c r="F50" s="91" t="s">
        <v>57</v>
      </c>
      <c r="G50" s="91" t="s">
        <v>25</v>
      </c>
      <c r="H50" s="91" t="s">
        <v>25</v>
      </c>
      <c r="I50" s="99">
        <v>44378</v>
      </c>
      <c r="J50" s="100">
        <f>EFEITO!$J$50*EFEITO!$Y$50</f>
        <v>0</v>
      </c>
      <c r="K50" s="100">
        <f ca="1">EFEITO!$L$50*EFEITO!$Z$50</f>
        <v>253329.07456631793</v>
      </c>
      <c r="L50" s="100">
        <f>EFEITO!$N$50*EFEITO!$AA$50</f>
        <v>0</v>
      </c>
      <c r="M50" s="100">
        <f>$J$50-EFEITO!$K$50*EFEITO!$Y$50</f>
        <v>0</v>
      </c>
      <c r="N50" s="100">
        <f ca="1">$K$50-EFEITO!$M$50*EFEITO!$Z$50</f>
        <v>126664.53728315896</v>
      </c>
      <c r="O50" s="100">
        <f>$L$50-EFEITO!$O$50*EFEITO!$AA$50</f>
        <v>0</v>
      </c>
      <c r="P50" s="17"/>
      <c r="Q50" s="17"/>
      <c r="R50" s="17"/>
      <c r="S50" s="17"/>
      <c r="T50" s="17"/>
      <c r="U50" s="17"/>
      <c r="V50" s="17"/>
      <c r="W50" s="17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91" t="s">
        <v>21</v>
      </c>
      <c r="B51" s="91" t="s">
        <v>38</v>
      </c>
      <c r="C51" s="91" t="s">
        <v>39</v>
      </c>
      <c r="D51" s="91" t="s">
        <v>37</v>
      </c>
      <c r="E51" s="91" t="s">
        <v>25</v>
      </c>
      <c r="F51" s="91" t="s">
        <v>57</v>
      </c>
      <c r="G51" s="91" t="s">
        <v>25</v>
      </c>
      <c r="H51" s="91" t="s">
        <v>25</v>
      </c>
      <c r="I51" s="99">
        <v>44409</v>
      </c>
      <c r="J51" s="100">
        <f>EFEITO!$J$51*EFEITO!$Y$51</f>
        <v>0</v>
      </c>
      <c r="K51" s="100">
        <f ca="1">EFEITO!$L$51*EFEITO!$Z$51</f>
        <v>260410.65748901773</v>
      </c>
      <c r="L51" s="100">
        <f>EFEITO!$N$51*EFEITO!$AA$51</f>
        <v>0</v>
      </c>
      <c r="M51" s="100">
        <f>$J$51-EFEITO!$K$51*EFEITO!$Y$51</f>
        <v>0</v>
      </c>
      <c r="N51" s="100">
        <f ca="1">$K$51-EFEITO!$M$51*EFEITO!$Z$51</f>
        <v>130205.32874450886</v>
      </c>
      <c r="O51" s="100">
        <f>$L$51-EFEITO!$O$51*EFEITO!$AA$51</f>
        <v>0</v>
      </c>
      <c r="P51" s="17"/>
      <c r="Q51" s="17"/>
      <c r="R51" s="17"/>
      <c r="S51" s="17"/>
      <c r="T51" s="17"/>
      <c r="U51" s="17"/>
      <c r="V51" s="17"/>
      <c r="W51" s="17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91" t="s">
        <v>21</v>
      </c>
      <c r="B52" s="91" t="s">
        <v>38</v>
      </c>
      <c r="C52" s="91" t="s">
        <v>39</v>
      </c>
      <c r="D52" s="91" t="s">
        <v>37</v>
      </c>
      <c r="E52" s="91" t="s">
        <v>25</v>
      </c>
      <c r="F52" s="91" t="s">
        <v>57</v>
      </c>
      <c r="G52" s="91" t="s">
        <v>25</v>
      </c>
      <c r="H52" s="91" t="s">
        <v>25</v>
      </c>
      <c r="I52" s="99">
        <v>44440</v>
      </c>
      <c r="J52" s="100">
        <f>EFEITO!$J$52*EFEITO!$Y$52</f>
        <v>0</v>
      </c>
      <c r="K52" s="100">
        <f ca="1">EFEITO!$L$52*EFEITO!$Z$52</f>
        <v>255328.31263948701</v>
      </c>
      <c r="L52" s="100">
        <f>EFEITO!$N$52*EFEITO!$AA$52</f>
        <v>0</v>
      </c>
      <c r="M52" s="100">
        <f>$J$52-EFEITO!$K$52*EFEITO!$Y$52</f>
        <v>0</v>
      </c>
      <c r="N52" s="100">
        <f ca="1">$K$52-EFEITO!$M$52*EFEITO!$Z$52</f>
        <v>127664.1563197435</v>
      </c>
      <c r="O52" s="100">
        <f>$L$52-EFEITO!$O$52*EFEITO!$AA$52</f>
        <v>0</v>
      </c>
      <c r="P52" s="17"/>
      <c r="Q52" s="17"/>
      <c r="R52" s="17"/>
      <c r="S52" s="17"/>
      <c r="T52" s="17"/>
      <c r="U52" s="17"/>
      <c r="V52" s="17"/>
      <c r="W52" s="17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91" t="s">
        <v>21</v>
      </c>
      <c r="B53" s="91" t="s">
        <v>38</v>
      </c>
      <c r="C53" s="91" t="s">
        <v>39</v>
      </c>
      <c r="D53" s="91" t="s">
        <v>37</v>
      </c>
      <c r="E53" s="91" t="s">
        <v>25</v>
      </c>
      <c r="F53" s="91" t="s">
        <v>57</v>
      </c>
      <c r="G53" s="91" t="s">
        <v>25</v>
      </c>
      <c r="H53" s="91" t="s">
        <v>25</v>
      </c>
      <c r="I53" s="99">
        <v>44470</v>
      </c>
      <c r="J53" s="100">
        <f>EFEITO!$J$53*EFEITO!$Y$53</f>
        <v>0</v>
      </c>
      <c r="K53" s="100">
        <f ca="1">EFEITO!$L$53*EFEITO!$Z$53</f>
        <v>250019.63138638565</v>
      </c>
      <c r="L53" s="100">
        <f>EFEITO!$N$53*EFEITO!$AA$53</f>
        <v>0</v>
      </c>
      <c r="M53" s="100">
        <f>$J$53-EFEITO!$K$53*EFEITO!$Y$53</f>
        <v>0</v>
      </c>
      <c r="N53" s="100">
        <f ca="1">$K$53-EFEITO!$M$53*EFEITO!$Z$53</f>
        <v>125009.81569319282</v>
      </c>
      <c r="O53" s="100">
        <f>$L$53-EFEITO!$O$53*EFEITO!$AA$53</f>
        <v>0</v>
      </c>
      <c r="P53" s="17"/>
      <c r="Q53" s="17"/>
      <c r="R53" s="17"/>
      <c r="S53" s="17"/>
      <c r="T53" s="17"/>
      <c r="U53" s="17"/>
      <c r="V53" s="17"/>
      <c r="W53" s="17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91" t="s">
        <v>21</v>
      </c>
      <c r="B54" s="91" t="s">
        <v>38</v>
      </c>
      <c r="C54" s="91" t="s">
        <v>39</v>
      </c>
      <c r="D54" s="91" t="s">
        <v>37</v>
      </c>
      <c r="E54" s="91" t="s">
        <v>25</v>
      </c>
      <c r="F54" s="91" t="s">
        <v>57</v>
      </c>
      <c r="G54" s="91" t="s">
        <v>25</v>
      </c>
      <c r="H54" s="91" t="s">
        <v>25</v>
      </c>
      <c r="I54" s="99">
        <v>44501</v>
      </c>
      <c r="J54" s="100">
        <f>EFEITO!$J$54*EFEITO!$Y$54</f>
        <v>0</v>
      </c>
      <c r="K54" s="100">
        <f ca="1">EFEITO!$L$54*EFEITO!$Z$54</f>
        <v>249959.3886146647</v>
      </c>
      <c r="L54" s="100">
        <f>EFEITO!$N$54*EFEITO!$AA$54</f>
        <v>0</v>
      </c>
      <c r="M54" s="100">
        <f>$J$54-EFEITO!$K$54*EFEITO!$Y$54</f>
        <v>0</v>
      </c>
      <c r="N54" s="100">
        <f ca="1">$K$54-EFEITO!$M$54*EFEITO!$Z$54</f>
        <v>124979.69430733235</v>
      </c>
      <c r="O54" s="100">
        <f>$L$54-EFEITO!$O$54*EFEITO!$AA$54</f>
        <v>0</v>
      </c>
      <c r="P54" s="17"/>
      <c r="Q54" s="17"/>
      <c r="R54" s="17"/>
      <c r="S54" s="17"/>
      <c r="T54" s="17"/>
      <c r="U54" s="17"/>
      <c r="V54" s="17"/>
      <c r="W54" s="17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91" t="s">
        <v>21</v>
      </c>
      <c r="B55" s="91" t="s">
        <v>38</v>
      </c>
      <c r="C55" s="91" t="s">
        <v>39</v>
      </c>
      <c r="D55" s="91" t="s">
        <v>37</v>
      </c>
      <c r="E55" s="91" t="s">
        <v>25</v>
      </c>
      <c r="F55" s="91" t="s">
        <v>57</v>
      </c>
      <c r="G55" s="91" t="s">
        <v>25</v>
      </c>
      <c r="H55" s="91" t="s">
        <v>25</v>
      </c>
      <c r="I55" s="99">
        <v>44531</v>
      </c>
      <c r="J55" s="100">
        <f>EFEITO!$J$55*EFEITO!$Y$55</f>
        <v>0</v>
      </c>
      <c r="K55" s="100">
        <f ca="1">EFEITO!$L$55*EFEITO!$Z$55</f>
        <v>279504.20804762701</v>
      </c>
      <c r="L55" s="100">
        <f>EFEITO!$N$55*EFEITO!$AA$55</f>
        <v>0</v>
      </c>
      <c r="M55" s="100">
        <f>$J$55-EFEITO!$K$55*EFEITO!$Y$55</f>
        <v>0</v>
      </c>
      <c r="N55" s="100">
        <f ca="1">$K$55-EFEITO!$M$55*EFEITO!$Z$55</f>
        <v>139752.1040238135</v>
      </c>
      <c r="O55" s="100">
        <f>$L$55-EFEITO!$O$55*EFEITO!$AA$55</f>
        <v>0</v>
      </c>
      <c r="P55" s="17"/>
      <c r="Q55" s="17"/>
      <c r="R55" s="17"/>
      <c r="S55" s="17"/>
      <c r="T55" s="17"/>
      <c r="U55" s="17"/>
      <c r="V55" s="17"/>
      <c r="W55" s="17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91" t="s">
        <v>21</v>
      </c>
      <c r="B56" s="91" t="s">
        <v>38</v>
      </c>
      <c r="C56" s="91" t="s">
        <v>39</v>
      </c>
      <c r="D56" s="91" t="s">
        <v>37</v>
      </c>
      <c r="E56" s="91" t="s">
        <v>25</v>
      </c>
      <c r="F56" s="91" t="s">
        <v>57</v>
      </c>
      <c r="G56" s="91" t="s">
        <v>25</v>
      </c>
      <c r="H56" s="91" t="s">
        <v>25</v>
      </c>
      <c r="I56" s="99">
        <v>44562</v>
      </c>
      <c r="J56" s="100">
        <f>EFEITO!$J$56*EFEITO!$Y$56</f>
        <v>0</v>
      </c>
      <c r="K56" s="100">
        <f ca="1">EFEITO!$L$56*EFEITO!$Z$56</f>
        <v>280735.82690974924</v>
      </c>
      <c r="L56" s="100">
        <f>EFEITO!$N$56*EFEITO!$AA$56</f>
        <v>0</v>
      </c>
      <c r="M56" s="100">
        <f>$J$56-EFEITO!$K$56*EFEITO!$Y$56</f>
        <v>0</v>
      </c>
      <c r="N56" s="100">
        <f ca="1">$K$56-EFEITO!$M$56*EFEITO!$Z$56</f>
        <v>140367.91345487462</v>
      </c>
      <c r="O56" s="100">
        <f>$L$56-EFEITO!$O$56*EFEITO!$AA$56</f>
        <v>0</v>
      </c>
      <c r="P56" s="17"/>
      <c r="Q56" s="17"/>
      <c r="R56" s="17"/>
      <c r="S56" s="17"/>
      <c r="T56" s="17"/>
      <c r="U56" s="17"/>
      <c r="V56" s="17"/>
      <c r="W56" s="17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91" t="s">
        <v>21</v>
      </c>
      <c r="B57" s="91" t="s">
        <v>38</v>
      </c>
      <c r="C57" s="91" t="s">
        <v>39</v>
      </c>
      <c r="D57" s="91" t="s">
        <v>37</v>
      </c>
      <c r="E57" s="91" t="s">
        <v>25</v>
      </c>
      <c r="F57" s="91" t="s">
        <v>57</v>
      </c>
      <c r="G57" s="91" t="s">
        <v>25</v>
      </c>
      <c r="H57" s="91" t="s">
        <v>25</v>
      </c>
      <c r="I57" s="99">
        <v>44593</v>
      </c>
      <c r="J57" s="100">
        <f>EFEITO!$J$57*EFEITO!$Y$57</f>
        <v>0</v>
      </c>
      <c r="K57" s="100">
        <f ca="1">EFEITO!$L$57*EFEITO!$Z$57</f>
        <v>248303.16346134443</v>
      </c>
      <c r="L57" s="100">
        <f>EFEITO!$N$57*EFEITO!$AA$57</f>
        <v>0</v>
      </c>
      <c r="M57" s="100">
        <f>$J$57-EFEITO!$K$57*EFEITO!$Y$57</f>
        <v>0</v>
      </c>
      <c r="N57" s="100">
        <f ca="1">$K$57-EFEITO!$M$57*EFEITO!$Z$57</f>
        <v>124151.58173067222</v>
      </c>
      <c r="O57" s="100">
        <f>$L$57-EFEITO!$O$57*EFEITO!$AA$57</f>
        <v>0</v>
      </c>
      <c r="P57" s="17"/>
      <c r="Q57" s="17"/>
      <c r="R57" s="17"/>
      <c r="S57" s="17"/>
      <c r="T57" s="17"/>
      <c r="U57" s="17"/>
      <c r="V57" s="17"/>
      <c r="W57" s="17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91" t="s">
        <v>21</v>
      </c>
      <c r="B58" s="91" t="s">
        <v>38</v>
      </c>
      <c r="C58" s="91" t="s">
        <v>39</v>
      </c>
      <c r="D58" s="91" t="s">
        <v>37</v>
      </c>
      <c r="E58" s="91" t="s">
        <v>25</v>
      </c>
      <c r="F58" s="91" t="s">
        <v>57</v>
      </c>
      <c r="G58" s="91" t="s">
        <v>25</v>
      </c>
      <c r="H58" s="91" t="s">
        <v>25</v>
      </c>
      <c r="I58" s="99">
        <v>44621</v>
      </c>
      <c r="J58" s="100">
        <f>EFEITO!$J$58*EFEITO!$Y$58</f>
        <v>0</v>
      </c>
      <c r="K58" s="100">
        <f ca="1">EFEITO!$L$58*EFEITO!$Z$58</f>
        <v>272281.29016964178</v>
      </c>
      <c r="L58" s="100">
        <f>EFEITO!$N$58*EFEITO!$AA$58</f>
        <v>0</v>
      </c>
      <c r="M58" s="100">
        <f>$J$58-EFEITO!$K$58*EFEITO!$Y$58</f>
        <v>0</v>
      </c>
      <c r="N58" s="100">
        <f ca="1">$K$58-EFEITO!$M$58*EFEITO!$Z$58</f>
        <v>136140.64508482089</v>
      </c>
      <c r="O58" s="100">
        <f>$L$58-EFEITO!$O$58*EFEITO!$AA$58</f>
        <v>0</v>
      </c>
      <c r="P58" s="17"/>
      <c r="Q58" s="17"/>
      <c r="R58" s="17"/>
      <c r="S58" s="17"/>
      <c r="T58" s="17"/>
      <c r="U58" s="17"/>
      <c r="V58" s="17"/>
      <c r="W58" s="17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91" t="s">
        <v>21</v>
      </c>
      <c r="B59" s="91" t="s">
        <v>38</v>
      </c>
      <c r="C59" s="91" t="s">
        <v>39</v>
      </c>
      <c r="D59" s="91" t="s">
        <v>37</v>
      </c>
      <c r="E59" s="91" t="s">
        <v>25</v>
      </c>
      <c r="F59" s="91" t="s">
        <v>57</v>
      </c>
      <c r="G59" s="91" t="s">
        <v>25</v>
      </c>
      <c r="H59" s="91" t="s">
        <v>25</v>
      </c>
      <c r="I59" s="99">
        <v>44652</v>
      </c>
      <c r="J59" s="100">
        <f>EFEITO!$J$59*EFEITO!$Y$59</f>
        <v>0</v>
      </c>
      <c r="K59" s="100">
        <f ca="1">EFEITO!$L$59*EFEITO!$Z$59</f>
        <v>236293.80200191544</v>
      </c>
      <c r="L59" s="100">
        <f>EFEITO!$N$59*EFEITO!$AA$59</f>
        <v>0</v>
      </c>
      <c r="M59" s="100">
        <f>$J$59-EFEITO!$K$59*EFEITO!$Y$59</f>
        <v>0</v>
      </c>
      <c r="N59" s="100">
        <f ca="1">$K$59-EFEITO!$M$59*EFEITO!$Z$59</f>
        <v>118146.90100095772</v>
      </c>
      <c r="O59" s="100">
        <f>$L$59-EFEITO!$O$59*EFEITO!$AA$59</f>
        <v>0</v>
      </c>
      <c r="P59" s="17"/>
      <c r="Q59" s="17"/>
      <c r="R59" s="17"/>
      <c r="S59" s="17"/>
      <c r="T59" s="17"/>
      <c r="U59" s="17"/>
      <c r="V59" s="17"/>
      <c r="W59" s="17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91" t="s">
        <v>21</v>
      </c>
      <c r="B60" s="91" t="s">
        <v>38</v>
      </c>
      <c r="C60" s="91" t="s">
        <v>39</v>
      </c>
      <c r="D60" s="91" t="s">
        <v>37</v>
      </c>
      <c r="E60" s="91" t="s">
        <v>25</v>
      </c>
      <c r="F60" s="91" t="s">
        <v>57</v>
      </c>
      <c r="G60" s="91" t="s">
        <v>25</v>
      </c>
      <c r="H60" s="91" t="s">
        <v>25</v>
      </c>
      <c r="I60" s="99">
        <v>44682</v>
      </c>
      <c r="J60" s="100">
        <f>EFEITO!$J$60*EFEITO!$Y$60</f>
        <v>0</v>
      </c>
      <c r="K60" s="100">
        <f ca="1">EFEITO!$L$60*EFEITO!$Z$60</f>
        <v>237063.92715188573</v>
      </c>
      <c r="L60" s="100">
        <f>EFEITO!$N$60*EFEITO!$AA$60</f>
        <v>0</v>
      </c>
      <c r="M60" s="100">
        <f>$J$60-EFEITO!$K$60*EFEITO!$Y$60</f>
        <v>0</v>
      </c>
      <c r="N60" s="100">
        <f ca="1">$K$60-EFEITO!$M$60*EFEITO!$Z$60</f>
        <v>118531.96357594286</v>
      </c>
      <c r="O60" s="100">
        <f>$L$60-EFEITO!$O$60*EFEITO!$AA$60</f>
        <v>0</v>
      </c>
      <c r="P60" s="17"/>
      <c r="Q60" s="17"/>
      <c r="R60" s="17"/>
      <c r="S60" s="17"/>
      <c r="T60" s="17"/>
      <c r="U60" s="17"/>
      <c r="V60" s="17"/>
      <c r="W60" s="17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91" t="s">
        <v>56</v>
      </c>
      <c r="B61" s="91" t="s">
        <v>38</v>
      </c>
      <c r="C61" s="91" t="s">
        <v>39</v>
      </c>
      <c r="D61" s="91" t="s">
        <v>37</v>
      </c>
      <c r="E61" s="91" t="s">
        <v>25</v>
      </c>
      <c r="F61" s="91" t="s">
        <v>57</v>
      </c>
      <c r="G61" s="91" t="s">
        <v>25</v>
      </c>
      <c r="H61" s="91" t="s">
        <v>25</v>
      </c>
      <c r="I61" s="99">
        <v>44713</v>
      </c>
      <c r="J61" s="100">
        <f>EFEITO!$J$61*EFEITO!$Y$61</f>
        <v>0</v>
      </c>
      <c r="K61" s="100">
        <f ca="1">EFEITO!$L$61*EFEITO!$Z$61</f>
        <v>237063.92715188573</v>
      </c>
      <c r="L61" s="100">
        <f>EFEITO!$N$61*EFEITO!$AA$61</f>
        <v>0</v>
      </c>
      <c r="M61" s="100">
        <f>$J$61-EFEITO!$K$61*EFEITO!$Y$61</f>
        <v>0</v>
      </c>
      <c r="N61" s="100">
        <f ca="1">$K$61-EFEITO!$M$61*EFEITO!$Z$61</f>
        <v>118531.96357594286</v>
      </c>
      <c r="O61" s="100">
        <f>$L$61-EFEITO!$O$61*EFEITO!$AA$61</f>
        <v>0</v>
      </c>
      <c r="P61" s="17"/>
      <c r="Q61" s="17"/>
      <c r="R61" s="17"/>
      <c r="S61" s="17"/>
      <c r="T61" s="17"/>
      <c r="U61" s="17"/>
      <c r="V61" s="17"/>
      <c r="W61" s="17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91" t="s">
        <v>21</v>
      </c>
      <c r="B62" s="91" t="s">
        <v>38</v>
      </c>
      <c r="C62" s="91" t="s">
        <v>39</v>
      </c>
      <c r="D62" s="91" t="s">
        <v>37</v>
      </c>
      <c r="E62" s="91" t="s">
        <v>25</v>
      </c>
      <c r="F62" s="91" t="s">
        <v>57</v>
      </c>
      <c r="G62" s="91" t="s">
        <v>25</v>
      </c>
      <c r="H62" s="91" t="s">
        <v>33</v>
      </c>
      <c r="I62" s="99">
        <v>44378</v>
      </c>
      <c r="J62" s="100">
        <f ca="1">EFEITO!$J$62*EFEITO!$Y$62</f>
        <v>210236.36378404708</v>
      </c>
      <c r="K62" s="100">
        <f ca="1">EFEITO!$L$62*EFEITO!$Z$62</f>
        <v>0</v>
      </c>
      <c r="L62" s="100">
        <f>EFEITO!$N$62*EFEITO!$AA$62</f>
        <v>0</v>
      </c>
      <c r="M62" s="100">
        <f ca="1">$J$62-EFEITO!$K$62*EFEITO!$Y$62</f>
        <v>105118.18189202354</v>
      </c>
      <c r="N62" s="100">
        <f ca="1">$K$62-EFEITO!$M$62*EFEITO!$Z$62</f>
        <v>0</v>
      </c>
      <c r="O62" s="100">
        <f>$L$62-EFEITO!$O$62*EFEITO!$AA$62</f>
        <v>0</v>
      </c>
      <c r="P62" s="17"/>
      <c r="Q62" s="17"/>
      <c r="R62" s="17"/>
      <c r="S62" s="17"/>
      <c r="T62" s="17"/>
      <c r="U62" s="17"/>
      <c r="V62" s="17"/>
      <c r="W62" s="17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91" t="s">
        <v>21</v>
      </c>
      <c r="B63" s="91" t="s">
        <v>38</v>
      </c>
      <c r="C63" s="91" t="s">
        <v>39</v>
      </c>
      <c r="D63" s="91" t="s">
        <v>37</v>
      </c>
      <c r="E63" s="91" t="s">
        <v>25</v>
      </c>
      <c r="F63" s="91" t="s">
        <v>57</v>
      </c>
      <c r="G63" s="91" t="s">
        <v>25</v>
      </c>
      <c r="H63" s="91" t="s">
        <v>33</v>
      </c>
      <c r="I63" s="99">
        <v>44409</v>
      </c>
      <c r="J63" s="100">
        <f ca="1">EFEITO!$J$63*EFEITO!$Y$63</f>
        <v>212406.23451117601</v>
      </c>
      <c r="K63" s="100">
        <f ca="1">EFEITO!$L$63*EFEITO!$Z$63</f>
        <v>0</v>
      </c>
      <c r="L63" s="100">
        <f>EFEITO!$N$63*EFEITO!$AA$63</f>
        <v>0</v>
      </c>
      <c r="M63" s="100">
        <f ca="1">$J$63-EFEITO!$K$63*EFEITO!$Y$63</f>
        <v>106203.117255588</v>
      </c>
      <c r="N63" s="100">
        <f ca="1">$K$63-EFEITO!$M$63*EFEITO!$Z$63</f>
        <v>0</v>
      </c>
      <c r="O63" s="100">
        <f>$L$63-EFEITO!$O$63*EFEITO!$AA$63</f>
        <v>0</v>
      </c>
      <c r="P63" s="17"/>
      <c r="Q63" s="17"/>
      <c r="R63" s="17"/>
      <c r="S63" s="17"/>
      <c r="T63" s="17"/>
      <c r="U63" s="17"/>
      <c r="V63" s="17"/>
      <c r="W63" s="17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91" t="s">
        <v>21</v>
      </c>
      <c r="B64" s="91" t="s">
        <v>38</v>
      </c>
      <c r="C64" s="91" t="s">
        <v>39</v>
      </c>
      <c r="D64" s="91" t="s">
        <v>37</v>
      </c>
      <c r="E64" s="91" t="s">
        <v>25</v>
      </c>
      <c r="F64" s="91" t="s">
        <v>57</v>
      </c>
      <c r="G64" s="91" t="s">
        <v>25</v>
      </c>
      <c r="H64" s="91" t="s">
        <v>33</v>
      </c>
      <c r="I64" s="99">
        <v>44440</v>
      </c>
      <c r="J64" s="100">
        <f ca="1">EFEITO!$J$64*EFEITO!$Y$64</f>
        <v>212607.14846739164</v>
      </c>
      <c r="K64" s="100">
        <f ca="1">EFEITO!$L$64*EFEITO!$Z$64</f>
        <v>0</v>
      </c>
      <c r="L64" s="100">
        <f>EFEITO!$N$64*EFEITO!$AA$64</f>
        <v>0</v>
      </c>
      <c r="M64" s="100">
        <f ca="1">$J$64-EFEITO!$K$64*EFEITO!$Y$64</f>
        <v>106303.57423369582</v>
      </c>
      <c r="N64" s="100">
        <f ca="1">$K$64-EFEITO!$M$64*EFEITO!$Z$64</f>
        <v>0</v>
      </c>
      <c r="O64" s="100">
        <f>$L$64-EFEITO!$O$64*EFEITO!$AA$64</f>
        <v>0</v>
      </c>
      <c r="P64" s="17"/>
      <c r="Q64" s="17"/>
      <c r="R64" s="17"/>
      <c r="S64" s="17"/>
      <c r="T64" s="17"/>
      <c r="U64" s="17"/>
      <c r="V64" s="17"/>
      <c r="W64" s="17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91" t="s">
        <v>21</v>
      </c>
      <c r="B65" s="91" t="s">
        <v>38</v>
      </c>
      <c r="C65" s="91" t="s">
        <v>39</v>
      </c>
      <c r="D65" s="91" t="s">
        <v>37</v>
      </c>
      <c r="E65" s="91" t="s">
        <v>25</v>
      </c>
      <c r="F65" s="91" t="s">
        <v>57</v>
      </c>
      <c r="G65" s="91" t="s">
        <v>25</v>
      </c>
      <c r="H65" s="91" t="s">
        <v>33</v>
      </c>
      <c r="I65" s="99">
        <v>44470</v>
      </c>
      <c r="J65" s="100">
        <f ca="1">EFEITO!$J$65*EFEITO!$Y$65</f>
        <v>213370.62150101108</v>
      </c>
      <c r="K65" s="100">
        <f ca="1">EFEITO!$L$65*EFEITO!$Z$65</f>
        <v>0</v>
      </c>
      <c r="L65" s="100">
        <f>EFEITO!$N$65*EFEITO!$AA$65</f>
        <v>0</v>
      </c>
      <c r="M65" s="100">
        <f ca="1">$J$65-EFEITO!$K$65*EFEITO!$Y$65</f>
        <v>106685.31075050554</v>
      </c>
      <c r="N65" s="100">
        <f ca="1">$K$65-EFEITO!$M$65*EFEITO!$Z$65</f>
        <v>0</v>
      </c>
      <c r="O65" s="100">
        <f>$L$65-EFEITO!$O$65*EFEITO!$AA$65</f>
        <v>0</v>
      </c>
      <c r="P65" s="17"/>
      <c r="Q65" s="17"/>
      <c r="R65" s="17"/>
      <c r="S65" s="17"/>
      <c r="T65" s="17"/>
      <c r="U65" s="17"/>
      <c r="V65" s="17"/>
      <c r="W65" s="17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91" t="s">
        <v>21</v>
      </c>
      <c r="B66" s="91" t="s">
        <v>38</v>
      </c>
      <c r="C66" s="91" t="s">
        <v>39</v>
      </c>
      <c r="D66" s="91" t="s">
        <v>37</v>
      </c>
      <c r="E66" s="91" t="s">
        <v>25</v>
      </c>
      <c r="F66" s="91" t="s">
        <v>57</v>
      </c>
      <c r="G66" s="91" t="s">
        <v>25</v>
      </c>
      <c r="H66" s="91" t="s">
        <v>33</v>
      </c>
      <c r="I66" s="99">
        <v>44501</v>
      </c>
      <c r="J66" s="100">
        <f ca="1">EFEITO!$J$66*EFEITO!$Y$66</f>
        <v>213450.98708349734</v>
      </c>
      <c r="K66" s="100">
        <f ca="1">EFEITO!$L$66*EFEITO!$Z$66</f>
        <v>0</v>
      </c>
      <c r="L66" s="100">
        <f>EFEITO!$N$66*EFEITO!$AA$66</f>
        <v>0</v>
      </c>
      <c r="M66" s="100">
        <f ca="1">$J$66-EFEITO!$K$66*EFEITO!$Y$66</f>
        <v>106725.49354174867</v>
      </c>
      <c r="N66" s="100">
        <f ca="1">$K$66-EFEITO!$M$66*EFEITO!$Z$66</f>
        <v>0</v>
      </c>
      <c r="O66" s="100">
        <f>$L$66-EFEITO!$O$66*EFEITO!$AA$66</f>
        <v>0</v>
      </c>
      <c r="P66" s="17"/>
      <c r="Q66" s="17"/>
      <c r="R66" s="17"/>
      <c r="S66" s="17"/>
      <c r="T66" s="17"/>
      <c r="U66" s="17"/>
      <c r="V66" s="17"/>
      <c r="W66" s="17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91" t="s">
        <v>21</v>
      </c>
      <c r="B67" s="91" t="s">
        <v>38</v>
      </c>
      <c r="C67" s="91" t="s">
        <v>39</v>
      </c>
      <c r="D67" s="91" t="s">
        <v>37</v>
      </c>
      <c r="E67" s="91" t="s">
        <v>25</v>
      </c>
      <c r="F67" s="91" t="s">
        <v>57</v>
      </c>
      <c r="G67" s="91" t="s">
        <v>25</v>
      </c>
      <c r="H67" s="91" t="s">
        <v>33</v>
      </c>
      <c r="I67" s="99">
        <v>44531</v>
      </c>
      <c r="J67" s="100">
        <f ca="1">EFEITO!$J$67*EFEITO!$Y$67</f>
        <v>215259.21268943811</v>
      </c>
      <c r="K67" s="100">
        <f ca="1">EFEITO!$L$67*EFEITO!$Z$67</f>
        <v>0</v>
      </c>
      <c r="L67" s="100">
        <f>EFEITO!$N$67*EFEITO!$AA$67</f>
        <v>0</v>
      </c>
      <c r="M67" s="100">
        <f ca="1">$J$67-EFEITO!$K$67*EFEITO!$Y$67</f>
        <v>107629.60634471905</v>
      </c>
      <c r="N67" s="100">
        <f ca="1">$K$67-EFEITO!$M$67*EFEITO!$Z$67</f>
        <v>0</v>
      </c>
      <c r="O67" s="100">
        <f>$L$67-EFEITO!$O$67*EFEITO!$AA$67</f>
        <v>0</v>
      </c>
      <c r="P67" s="17"/>
      <c r="Q67" s="17"/>
      <c r="R67" s="17"/>
      <c r="S67" s="17"/>
      <c r="T67" s="17"/>
      <c r="U67" s="17"/>
      <c r="V67" s="17"/>
      <c r="W67" s="17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91" t="s">
        <v>21</v>
      </c>
      <c r="B68" s="91" t="s">
        <v>38</v>
      </c>
      <c r="C68" s="91" t="s">
        <v>39</v>
      </c>
      <c r="D68" s="91" t="s">
        <v>37</v>
      </c>
      <c r="E68" s="91" t="s">
        <v>25</v>
      </c>
      <c r="F68" s="91" t="s">
        <v>57</v>
      </c>
      <c r="G68" s="91" t="s">
        <v>25</v>
      </c>
      <c r="H68" s="91" t="s">
        <v>33</v>
      </c>
      <c r="I68" s="99">
        <v>44562</v>
      </c>
      <c r="J68" s="100">
        <f ca="1">EFEITO!$J$68*EFEITO!$Y$68</f>
        <v>217228.1694603514</v>
      </c>
      <c r="K68" s="100">
        <f ca="1">EFEITO!$L$68*EFEITO!$Z$68</f>
        <v>0</v>
      </c>
      <c r="L68" s="100">
        <f>EFEITO!$N$68*EFEITO!$AA$68</f>
        <v>0</v>
      </c>
      <c r="M68" s="100">
        <f ca="1">$J$68-EFEITO!$K$68*EFEITO!$Y$68</f>
        <v>108614.0847301757</v>
      </c>
      <c r="N68" s="100">
        <f ca="1">$K$68-EFEITO!$M$68*EFEITO!$Z$68</f>
        <v>0</v>
      </c>
      <c r="O68" s="100">
        <f>$L$68-EFEITO!$O$68*EFEITO!$AA$68</f>
        <v>0</v>
      </c>
      <c r="P68" s="17"/>
      <c r="Q68" s="17"/>
      <c r="R68" s="17"/>
      <c r="S68" s="17"/>
      <c r="T68" s="17"/>
      <c r="U68" s="17"/>
      <c r="V68" s="17"/>
      <c r="W68" s="17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91" t="s">
        <v>21</v>
      </c>
      <c r="B69" s="91" t="s">
        <v>38</v>
      </c>
      <c r="C69" s="91" t="s">
        <v>39</v>
      </c>
      <c r="D69" s="91" t="s">
        <v>37</v>
      </c>
      <c r="E69" s="91" t="s">
        <v>25</v>
      </c>
      <c r="F69" s="91" t="s">
        <v>57</v>
      </c>
      <c r="G69" s="91" t="s">
        <v>25</v>
      </c>
      <c r="H69" s="91" t="s">
        <v>33</v>
      </c>
      <c r="I69" s="99">
        <v>44593</v>
      </c>
      <c r="J69" s="100">
        <f ca="1">EFEITO!$J$69*EFEITO!$Y$69</f>
        <v>216464.69642673197</v>
      </c>
      <c r="K69" s="100">
        <f ca="1">EFEITO!$L$69*EFEITO!$Z$69</f>
        <v>0</v>
      </c>
      <c r="L69" s="100">
        <f>EFEITO!$N$69*EFEITO!$AA$69</f>
        <v>0</v>
      </c>
      <c r="M69" s="100">
        <f ca="1">$J$69-EFEITO!$K$69*EFEITO!$Y$69</f>
        <v>108232.34821336599</v>
      </c>
      <c r="N69" s="100">
        <f ca="1">$K$69-EFEITO!$M$69*EFEITO!$Z$69</f>
        <v>0</v>
      </c>
      <c r="O69" s="100">
        <f>$L$69-EFEITO!$O$69*EFEITO!$AA$69</f>
        <v>0</v>
      </c>
      <c r="P69" s="17"/>
      <c r="Q69" s="17"/>
      <c r="R69" s="17"/>
      <c r="S69" s="17"/>
      <c r="T69" s="17"/>
      <c r="U69" s="17"/>
      <c r="V69" s="17"/>
      <c r="W69" s="17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91" t="s">
        <v>21</v>
      </c>
      <c r="B70" s="91" t="s">
        <v>38</v>
      </c>
      <c r="C70" s="91" t="s">
        <v>39</v>
      </c>
      <c r="D70" s="91" t="s">
        <v>37</v>
      </c>
      <c r="E70" s="91" t="s">
        <v>25</v>
      </c>
      <c r="F70" s="91" t="s">
        <v>57</v>
      </c>
      <c r="G70" s="91" t="s">
        <v>25</v>
      </c>
      <c r="H70" s="91" t="s">
        <v>33</v>
      </c>
      <c r="I70" s="99">
        <v>44621</v>
      </c>
      <c r="J70" s="100">
        <f ca="1">EFEITO!$J$70*EFEITO!$Y$70</f>
        <v>216786.15875667697</v>
      </c>
      <c r="K70" s="100">
        <f ca="1">EFEITO!$L$70*EFEITO!$Z$70</f>
        <v>0</v>
      </c>
      <c r="L70" s="100">
        <f>EFEITO!$N$70*EFEITO!$AA$70</f>
        <v>0</v>
      </c>
      <c r="M70" s="100">
        <f ca="1">$J$70-EFEITO!$K$70*EFEITO!$Y$70</f>
        <v>108393.07937833849</v>
      </c>
      <c r="N70" s="100">
        <f ca="1">$K$70-EFEITO!$M$70*EFEITO!$Z$70</f>
        <v>0</v>
      </c>
      <c r="O70" s="100">
        <f>$L$70-EFEITO!$O$70*EFEITO!$AA$70</f>
        <v>0</v>
      </c>
      <c r="P70" s="17"/>
      <c r="Q70" s="17"/>
      <c r="R70" s="17"/>
      <c r="S70" s="17"/>
      <c r="T70" s="17"/>
      <c r="U70" s="17"/>
      <c r="V70" s="17"/>
      <c r="W70" s="17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91" t="s">
        <v>21</v>
      </c>
      <c r="B71" s="91" t="s">
        <v>38</v>
      </c>
      <c r="C71" s="91" t="s">
        <v>39</v>
      </c>
      <c r="D71" s="91" t="s">
        <v>37</v>
      </c>
      <c r="E71" s="91" t="s">
        <v>25</v>
      </c>
      <c r="F71" s="91" t="s">
        <v>57</v>
      </c>
      <c r="G71" s="91" t="s">
        <v>25</v>
      </c>
      <c r="H71" s="91" t="s">
        <v>33</v>
      </c>
      <c r="I71" s="99">
        <v>44652</v>
      </c>
      <c r="J71" s="100">
        <f ca="1">EFEITO!$J$71*EFEITO!$Y$71</f>
        <v>214254.64290835991</v>
      </c>
      <c r="K71" s="100">
        <f ca="1">EFEITO!$L$71*EFEITO!$Z$71</f>
        <v>0</v>
      </c>
      <c r="L71" s="100">
        <f>EFEITO!$N$71*EFEITO!$AA$71</f>
        <v>0</v>
      </c>
      <c r="M71" s="100">
        <f ca="1">$J$71-EFEITO!$K$71*EFEITO!$Y$71</f>
        <v>107127.32145417995</v>
      </c>
      <c r="N71" s="100">
        <f ca="1">$K$71-EFEITO!$M$71*EFEITO!$Z$71</f>
        <v>0</v>
      </c>
      <c r="O71" s="100">
        <f>$L$71-EFEITO!$O$71*EFEITO!$AA$71</f>
        <v>0</v>
      </c>
      <c r="P71" s="17"/>
      <c r="Q71" s="17"/>
      <c r="R71" s="17"/>
      <c r="S71" s="17"/>
      <c r="T71" s="17"/>
      <c r="U71" s="17"/>
      <c r="V71" s="17"/>
      <c r="W71" s="17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91" t="s">
        <v>21</v>
      </c>
      <c r="B72" s="91" t="s">
        <v>38</v>
      </c>
      <c r="C72" s="91" t="s">
        <v>39</v>
      </c>
      <c r="D72" s="91" t="s">
        <v>37</v>
      </c>
      <c r="E72" s="91" t="s">
        <v>25</v>
      </c>
      <c r="F72" s="91" t="s">
        <v>57</v>
      </c>
      <c r="G72" s="91" t="s">
        <v>25</v>
      </c>
      <c r="H72" s="91" t="s">
        <v>33</v>
      </c>
      <c r="I72" s="99">
        <v>44682</v>
      </c>
      <c r="J72" s="100">
        <f ca="1">EFEITO!$J$72*EFEITO!$Y$72</f>
        <v>216384.33084424571</v>
      </c>
      <c r="K72" s="100">
        <f ca="1">EFEITO!$L$72*EFEITO!$Z$72</f>
        <v>0</v>
      </c>
      <c r="L72" s="100">
        <f>EFEITO!$N$72*EFEITO!$AA$72</f>
        <v>0</v>
      </c>
      <c r="M72" s="100">
        <f ca="1">$J$72-EFEITO!$K$72*EFEITO!$Y$72</f>
        <v>108192.16542212285</v>
      </c>
      <c r="N72" s="100">
        <f ca="1">$K$72-EFEITO!$M$72*EFEITO!$Z$72</f>
        <v>0</v>
      </c>
      <c r="O72" s="100">
        <f>$L$72-EFEITO!$O$72*EFEITO!$AA$72</f>
        <v>0</v>
      </c>
      <c r="P72" s="17"/>
      <c r="Q72" s="17"/>
      <c r="R72" s="17"/>
      <c r="S72" s="17"/>
      <c r="T72" s="17"/>
      <c r="U72" s="17"/>
      <c r="V72" s="17"/>
      <c r="W72" s="17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91" t="s">
        <v>56</v>
      </c>
      <c r="B73" s="91" t="s">
        <v>38</v>
      </c>
      <c r="C73" s="91" t="s">
        <v>39</v>
      </c>
      <c r="D73" s="91" t="s">
        <v>37</v>
      </c>
      <c r="E73" s="91" t="s">
        <v>25</v>
      </c>
      <c r="F73" s="91" t="s">
        <v>57</v>
      </c>
      <c r="G73" s="91" t="s">
        <v>25</v>
      </c>
      <c r="H73" s="91" t="s">
        <v>33</v>
      </c>
      <c r="I73" s="99">
        <v>44713</v>
      </c>
      <c r="J73" s="100">
        <f ca="1">EFEITO!$J$73*EFEITO!$Y$73</f>
        <v>216384.33084424571</v>
      </c>
      <c r="K73" s="100">
        <f ca="1">EFEITO!$L$73*EFEITO!$Z$73</f>
        <v>0</v>
      </c>
      <c r="L73" s="100">
        <f>EFEITO!$N$73*EFEITO!$AA$73</f>
        <v>0</v>
      </c>
      <c r="M73" s="100">
        <f ca="1">$J$73-EFEITO!$K$73*EFEITO!$Y$73</f>
        <v>108192.16542212285</v>
      </c>
      <c r="N73" s="100">
        <f ca="1">$K$73-EFEITO!$M$73*EFEITO!$Z$73</f>
        <v>0</v>
      </c>
      <c r="O73" s="100">
        <f>$L$73-EFEITO!$O$73*EFEITO!$AA$73</f>
        <v>0</v>
      </c>
      <c r="P73" s="17"/>
      <c r="Q73" s="17"/>
      <c r="R73" s="17"/>
      <c r="S73" s="17"/>
      <c r="T73" s="17"/>
      <c r="U73" s="17"/>
      <c r="V73" s="17"/>
      <c r="W73" s="17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91" t="s">
        <v>21</v>
      </c>
      <c r="B74" s="91" t="s">
        <v>38</v>
      </c>
      <c r="C74" s="91" t="s">
        <v>39</v>
      </c>
      <c r="D74" s="91" t="s">
        <v>37</v>
      </c>
      <c r="E74" s="91" t="s">
        <v>25</v>
      </c>
      <c r="F74" s="91" t="s">
        <v>25</v>
      </c>
      <c r="G74" s="91" t="s">
        <v>25</v>
      </c>
      <c r="H74" s="91" t="s">
        <v>34</v>
      </c>
      <c r="I74" s="99">
        <v>44378</v>
      </c>
      <c r="J74" s="100">
        <f ca="1">EFEITO!$J$74*EFEITO!$Y$74</f>
        <v>2734.7324257297046</v>
      </c>
      <c r="K74" s="100">
        <f ca="1">EFEITO!$L$74*EFEITO!$Z$74</f>
        <v>2210.137892970899</v>
      </c>
      <c r="L74" s="100">
        <f>EFEITO!$N$74*EFEITO!$AA$74</f>
        <v>4837.630970771288</v>
      </c>
      <c r="M74" s="100">
        <f ca="1">$J$74-EFEITO!$K$74*EFEITO!$Y$74</f>
        <v>0</v>
      </c>
      <c r="N74" s="100">
        <f ca="1">$K$74-EFEITO!$M$74*EFEITO!$Z$74</f>
        <v>0</v>
      </c>
      <c r="O74" s="100">
        <f>$L$74-EFEITO!$O$74*EFEITO!$AA$74</f>
        <v>0</v>
      </c>
      <c r="P74" s="17"/>
      <c r="Q74" s="17"/>
      <c r="R74" s="17"/>
      <c r="S74" s="17"/>
      <c r="T74" s="17"/>
      <c r="U74" s="17"/>
      <c r="V74" s="17"/>
      <c r="W74" s="17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91" t="s">
        <v>21</v>
      </c>
      <c r="B75" s="91" t="s">
        <v>38</v>
      </c>
      <c r="C75" s="91" t="s">
        <v>39</v>
      </c>
      <c r="D75" s="91" t="s">
        <v>37</v>
      </c>
      <c r="E75" s="91" t="s">
        <v>25</v>
      </c>
      <c r="F75" s="91" t="s">
        <v>25</v>
      </c>
      <c r="G75" s="91" t="s">
        <v>25</v>
      </c>
      <c r="H75" s="91" t="s">
        <v>34</v>
      </c>
      <c r="I75" s="99">
        <v>44409</v>
      </c>
      <c r="J75" s="100">
        <f ca="1">EFEITO!$J$75*EFEITO!$Y$75</f>
        <v>2734.7324257297046</v>
      </c>
      <c r="K75" s="100">
        <f ca="1">EFEITO!$L$75*EFEITO!$Z$75</f>
        <v>2141.3749289100328</v>
      </c>
      <c r="L75" s="100">
        <f>EFEITO!$N$75*EFEITO!$AA$75</f>
        <v>4687.1200702338892</v>
      </c>
      <c r="M75" s="100">
        <f ca="1">$J$75-EFEITO!$K$75*EFEITO!$Y$75</f>
        <v>0</v>
      </c>
      <c r="N75" s="100">
        <f ca="1">$K$75-EFEITO!$M$75*EFEITO!$Z$75</f>
        <v>0</v>
      </c>
      <c r="O75" s="100">
        <f>$L$75-EFEITO!$O$75*EFEITO!$AA$75</f>
        <v>0</v>
      </c>
      <c r="P75" s="17"/>
      <c r="Q75" s="17"/>
      <c r="R75" s="17"/>
      <c r="S75" s="17"/>
      <c r="T75" s="17"/>
      <c r="U75" s="17"/>
      <c r="V75" s="17"/>
      <c r="W75" s="17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91" t="s">
        <v>21</v>
      </c>
      <c r="B76" s="91" t="s">
        <v>38</v>
      </c>
      <c r="C76" s="91" t="s">
        <v>39</v>
      </c>
      <c r="D76" s="91" t="s">
        <v>37</v>
      </c>
      <c r="E76" s="91" t="s">
        <v>25</v>
      </c>
      <c r="F76" s="91" t="s">
        <v>25</v>
      </c>
      <c r="G76" s="91" t="s">
        <v>25</v>
      </c>
      <c r="H76" s="91" t="s">
        <v>34</v>
      </c>
      <c r="I76" s="99">
        <v>44440</v>
      </c>
      <c r="J76" s="100">
        <f ca="1">EFEITO!$J$76*EFEITO!$Y$76</f>
        <v>2734.7324257297046</v>
      </c>
      <c r="K76" s="100">
        <f ca="1">EFEITO!$L$76*EFEITO!$Z$76</f>
        <v>2437.7773847817252</v>
      </c>
      <c r="L76" s="100">
        <f>EFEITO!$N$76*EFEITO!$AA$76</f>
        <v>5335.8966487894113</v>
      </c>
      <c r="M76" s="100">
        <f ca="1">$J$76-EFEITO!$K$76*EFEITO!$Y$76</f>
        <v>0</v>
      </c>
      <c r="N76" s="100">
        <f ca="1">$K$76-EFEITO!$M$76*EFEITO!$Z$76</f>
        <v>0</v>
      </c>
      <c r="O76" s="100">
        <f>$L$76-EFEITO!$O$76*EFEITO!$AA$76</f>
        <v>0</v>
      </c>
      <c r="P76" s="17"/>
      <c r="Q76" s="17"/>
      <c r="R76" s="17"/>
      <c r="S76" s="17"/>
      <c r="T76" s="17"/>
      <c r="U76" s="17"/>
      <c r="V76" s="17"/>
      <c r="W76" s="17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91" t="s">
        <v>21</v>
      </c>
      <c r="B77" s="91" t="s">
        <v>38</v>
      </c>
      <c r="C77" s="91" t="s">
        <v>39</v>
      </c>
      <c r="D77" s="91" t="s">
        <v>37</v>
      </c>
      <c r="E77" s="91" t="s">
        <v>25</v>
      </c>
      <c r="F77" s="91" t="s">
        <v>25</v>
      </c>
      <c r="G77" s="91" t="s">
        <v>25</v>
      </c>
      <c r="H77" s="91" t="s">
        <v>34</v>
      </c>
      <c r="I77" s="99">
        <v>44470</v>
      </c>
      <c r="J77" s="100">
        <f ca="1">EFEITO!$J$77*EFEITO!$Y$77</f>
        <v>2734.7324257297046</v>
      </c>
      <c r="K77" s="100">
        <f ca="1">EFEITO!$L$77*EFEITO!$Z$77</f>
        <v>2434.0685951749442</v>
      </c>
      <c r="L77" s="100">
        <f>EFEITO!$N$77*EFEITO!$AA$77</f>
        <v>5327.7787139207767</v>
      </c>
      <c r="M77" s="100">
        <f ca="1">$J$77-EFEITO!$K$77*EFEITO!$Y$77</f>
        <v>0</v>
      </c>
      <c r="N77" s="100">
        <f ca="1">$K$77-EFEITO!$M$77*EFEITO!$Z$77</f>
        <v>0</v>
      </c>
      <c r="O77" s="100">
        <f>$L$77-EFEITO!$O$77*EFEITO!$AA$77</f>
        <v>0</v>
      </c>
      <c r="P77" s="17"/>
      <c r="Q77" s="17"/>
      <c r="R77" s="17"/>
      <c r="S77" s="17"/>
      <c r="T77" s="17"/>
      <c r="U77" s="17"/>
      <c r="V77" s="17"/>
      <c r="W77" s="17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91" t="s">
        <v>21</v>
      </c>
      <c r="B78" s="91" t="s">
        <v>38</v>
      </c>
      <c r="C78" s="91" t="s">
        <v>39</v>
      </c>
      <c r="D78" s="91" t="s">
        <v>37</v>
      </c>
      <c r="E78" s="91" t="s">
        <v>25</v>
      </c>
      <c r="F78" s="91" t="s">
        <v>25</v>
      </c>
      <c r="G78" s="91" t="s">
        <v>25</v>
      </c>
      <c r="H78" s="91" t="s">
        <v>34</v>
      </c>
      <c r="I78" s="99">
        <v>44501</v>
      </c>
      <c r="J78" s="100">
        <f ca="1">EFEITO!$J$78*EFEITO!$Y$78</f>
        <v>2734.7324257297046</v>
      </c>
      <c r="K78" s="100">
        <f ca="1">EFEITO!$L$78*EFEITO!$Z$78</f>
        <v>2248.5288772789331</v>
      </c>
      <c r="L78" s="100">
        <f>EFEITO!$N$78*EFEITO!$AA$78</f>
        <v>4921.6625668439174</v>
      </c>
      <c r="M78" s="100">
        <f ca="1">$J$78-EFEITO!$K$78*EFEITO!$Y$78</f>
        <v>0</v>
      </c>
      <c r="N78" s="100">
        <f ca="1">$K$78-EFEITO!$M$78*EFEITO!$Z$78</f>
        <v>0</v>
      </c>
      <c r="O78" s="100">
        <f>$L$78-EFEITO!$O$78*EFEITO!$AA$78</f>
        <v>0</v>
      </c>
      <c r="P78" s="17"/>
      <c r="Q78" s="17"/>
      <c r="R78" s="17"/>
      <c r="S78" s="17"/>
      <c r="T78" s="17"/>
      <c r="U78" s="17"/>
      <c r="V78" s="17"/>
      <c r="W78" s="17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91" t="s">
        <v>21</v>
      </c>
      <c r="B79" s="91" t="s">
        <v>38</v>
      </c>
      <c r="C79" s="91" t="s">
        <v>39</v>
      </c>
      <c r="D79" s="91" t="s">
        <v>37</v>
      </c>
      <c r="E79" s="91" t="s">
        <v>25</v>
      </c>
      <c r="F79" s="91" t="s">
        <v>25</v>
      </c>
      <c r="G79" s="91" t="s">
        <v>25</v>
      </c>
      <c r="H79" s="91" t="s">
        <v>34</v>
      </c>
      <c r="I79" s="99">
        <v>44531</v>
      </c>
      <c r="J79" s="100">
        <f ca="1">EFEITO!$J$79*EFEITO!$Y$79</f>
        <v>2734.7324257297046</v>
      </c>
      <c r="K79" s="100">
        <f ca="1">EFEITO!$L$79*EFEITO!$Z$79</f>
        <v>2046.3497249308766</v>
      </c>
      <c r="L79" s="100">
        <f>EFEITO!$N$79*EFEITO!$AA$79</f>
        <v>4479.1254146807496</v>
      </c>
      <c r="M79" s="100">
        <f ca="1">$J$79-EFEITO!$K$79*EFEITO!$Y$79</f>
        <v>0</v>
      </c>
      <c r="N79" s="100">
        <f ca="1">$K$79-EFEITO!$M$79*EFEITO!$Z$79</f>
        <v>0</v>
      </c>
      <c r="O79" s="100">
        <f>$L$79-EFEITO!$O$79*EFEITO!$AA$79</f>
        <v>0</v>
      </c>
      <c r="P79" s="17"/>
      <c r="Q79" s="17"/>
      <c r="R79" s="17"/>
      <c r="S79" s="17"/>
      <c r="T79" s="17"/>
      <c r="U79" s="17"/>
      <c r="V79" s="17"/>
      <c r="W79" s="17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91" t="s">
        <v>21</v>
      </c>
      <c r="B80" s="91" t="s">
        <v>38</v>
      </c>
      <c r="C80" s="91" t="s">
        <v>39</v>
      </c>
      <c r="D80" s="91" t="s">
        <v>37</v>
      </c>
      <c r="E80" s="91" t="s">
        <v>25</v>
      </c>
      <c r="F80" s="91" t="s">
        <v>25</v>
      </c>
      <c r="G80" s="91" t="s">
        <v>25</v>
      </c>
      <c r="H80" s="91" t="s">
        <v>34</v>
      </c>
      <c r="I80" s="99">
        <v>44562</v>
      </c>
      <c r="J80" s="100">
        <f ca="1">EFEITO!$J$80*EFEITO!$Y$80</f>
        <v>2734.7324257297046</v>
      </c>
      <c r="K80" s="100">
        <f ca="1">EFEITO!$L$80*EFEITO!$Z$80</f>
        <v>2249.6314904052742</v>
      </c>
      <c r="L80" s="100">
        <f>EFEITO!$N$80*EFEITO!$AA$80</f>
        <v>4924.0760069399985</v>
      </c>
      <c r="M80" s="100">
        <f ca="1">$J$80-EFEITO!$K$80*EFEITO!$Y$80</f>
        <v>0</v>
      </c>
      <c r="N80" s="100">
        <f ca="1">$K$80-EFEITO!$M$80*EFEITO!$Z$80</f>
        <v>0</v>
      </c>
      <c r="O80" s="100">
        <f>$L$80-EFEITO!$O$80*EFEITO!$AA$80</f>
        <v>0</v>
      </c>
      <c r="P80" s="17"/>
      <c r="Q80" s="17"/>
      <c r="R80" s="17"/>
      <c r="S80" s="17"/>
      <c r="T80" s="17"/>
      <c r="U80" s="17"/>
      <c r="V80" s="17"/>
      <c r="W80" s="17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91" t="s">
        <v>21</v>
      </c>
      <c r="B81" s="91" t="s">
        <v>38</v>
      </c>
      <c r="C81" s="91" t="s">
        <v>39</v>
      </c>
      <c r="D81" s="91" t="s">
        <v>37</v>
      </c>
      <c r="E81" s="91" t="s">
        <v>25</v>
      </c>
      <c r="F81" s="91" t="s">
        <v>25</v>
      </c>
      <c r="G81" s="91" t="s">
        <v>25</v>
      </c>
      <c r="H81" s="91" t="s">
        <v>34</v>
      </c>
      <c r="I81" s="99">
        <v>44593</v>
      </c>
      <c r="J81" s="100">
        <f ca="1">EFEITO!$J$81*EFEITO!$Y$81</f>
        <v>2734.7324257297046</v>
      </c>
      <c r="K81" s="100">
        <f ca="1">EFEITO!$L$81*EFEITO!$Z$81</f>
        <v>2239.8082098251502</v>
      </c>
      <c r="L81" s="100">
        <f>EFEITO!$N$81*EFEITO!$AA$81</f>
        <v>4902.5744497203696</v>
      </c>
      <c r="M81" s="100">
        <f ca="1">$J$81-EFEITO!$K$81*EFEITO!$Y$81</f>
        <v>0</v>
      </c>
      <c r="N81" s="100">
        <f ca="1">$K$81-EFEITO!$M$81*EFEITO!$Z$81</f>
        <v>0</v>
      </c>
      <c r="O81" s="100">
        <f>$L$81-EFEITO!$O$81*EFEITO!$AA$81</f>
        <v>0</v>
      </c>
      <c r="P81" s="17"/>
      <c r="Q81" s="17"/>
      <c r="R81" s="17"/>
      <c r="S81" s="17"/>
      <c r="T81" s="17"/>
      <c r="U81" s="17"/>
      <c r="V81" s="17"/>
      <c r="W81" s="17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91" t="s">
        <v>21</v>
      </c>
      <c r="B82" s="91" t="s">
        <v>38</v>
      </c>
      <c r="C82" s="91" t="s">
        <v>39</v>
      </c>
      <c r="D82" s="91" t="s">
        <v>37</v>
      </c>
      <c r="E82" s="91" t="s">
        <v>25</v>
      </c>
      <c r="F82" s="91" t="s">
        <v>25</v>
      </c>
      <c r="G82" s="91" t="s">
        <v>25</v>
      </c>
      <c r="H82" s="91" t="s">
        <v>34</v>
      </c>
      <c r="I82" s="99">
        <v>44621</v>
      </c>
      <c r="J82" s="100">
        <f ca="1">EFEITO!$J$82*EFEITO!$Y$82</f>
        <v>2734.7324257297046</v>
      </c>
      <c r="K82" s="100">
        <f ca="1">EFEITO!$L$82*EFEITO!$Z$82</f>
        <v>2338.3417282972073</v>
      </c>
      <c r="L82" s="100">
        <f>EFEITO!$N$82*EFEITO!$AA$82</f>
        <v>5118.2482328519482</v>
      </c>
      <c r="M82" s="100">
        <f ca="1">$J$82-EFEITO!$K$82*EFEITO!$Y$82</f>
        <v>0</v>
      </c>
      <c r="N82" s="100">
        <f ca="1">$K$82-EFEITO!$M$82*EFEITO!$Z$82</f>
        <v>0</v>
      </c>
      <c r="O82" s="100">
        <f>$L$82-EFEITO!$O$82*EFEITO!$AA$82</f>
        <v>0</v>
      </c>
      <c r="P82" s="17"/>
      <c r="Q82" s="17"/>
      <c r="R82" s="17"/>
      <c r="S82" s="17"/>
      <c r="T82" s="17"/>
      <c r="U82" s="17"/>
      <c r="V82" s="17"/>
      <c r="W82" s="17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91" t="s">
        <v>21</v>
      </c>
      <c r="B83" s="91" t="s">
        <v>38</v>
      </c>
      <c r="C83" s="91" t="s">
        <v>39</v>
      </c>
      <c r="D83" s="91" t="s">
        <v>37</v>
      </c>
      <c r="E83" s="91" t="s">
        <v>25</v>
      </c>
      <c r="F83" s="91" t="s">
        <v>25</v>
      </c>
      <c r="G83" s="91" t="s">
        <v>25</v>
      </c>
      <c r="H83" s="91" t="s">
        <v>34</v>
      </c>
      <c r="I83" s="99">
        <v>44652</v>
      </c>
      <c r="J83" s="100">
        <f ca="1">EFEITO!$J$83*EFEITO!$Y$83</f>
        <v>2734.7324257297046</v>
      </c>
      <c r="K83" s="100">
        <f ca="1">EFEITO!$L$83*EFEITO!$Z$83</f>
        <v>1899.802416684541</v>
      </c>
      <c r="L83" s="100">
        <f>EFEITO!$N$83*EFEITO!$AA$83</f>
        <v>4158.3572855471102</v>
      </c>
      <c r="M83" s="100">
        <f ca="1">$J$83-EFEITO!$K$83*EFEITO!$Y$83</f>
        <v>0</v>
      </c>
      <c r="N83" s="100">
        <f ca="1">$K$83-EFEITO!$M$83*EFEITO!$Z$83</f>
        <v>0</v>
      </c>
      <c r="O83" s="100">
        <f>$L$83-EFEITO!$O$83*EFEITO!$AA$83</f>
        <v>0</v>
      </c>
      <c r="P83" s="17"/>
      <c r="Q83" s="17"/>
      <c r="R83" s="17"/>
      <c r="S83" s="17"/>
      <c r="T83" s="17"/>
      <c r="U83" s="17"/>
      <c r="V83" s="17"/>
      <c r="W83" s="17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91" t="s">
        <v>21</v>
      </c>
      <c r="B84" s="91" t="s">
        <v>38</v>
      </c>
      <c r="C84" s="91" t="s">
        <v>39</v>
      </c>
      <c r="D84" s="91" t="s">
        <v>37</v>
      </c>
      <c r="E84" s="91" t="s">
        <v>25</v>
      </c>
      <c r="F84" s="91" t="s">
        <v>25</v>
      </c>
      <c r="G84" s="91" t="s">
        <v>25</v>
      </c>
      <c r="H84" s="91" t="s">
        <v>34</v>
      </c>
      <c r="I84" s="99">
        <v>44682</v>
      </c>
      <c r="J84" s="100">
        <f ca="1">EFEITO!$J$84*EFEITO!$Y$84</f>
        <v>2734.7324257297046</v>
      </c>
      <c r="K84" s="100">
        <f ca="1">EFEITO!$L$84*EFEITO!$Z$84</f>
        <v>1956.6371114695426</v>
      </c>
      <c r="L84" s="100">
        <f>EFEITO!$N$84*EFEITO!$AA$84</f>
        <v>4282.7591523178171</v>
      </c>
      <c r="M84" s="100">
        <f ca="1">$J$84-EFEITO!$K$84*EFEITO!$Y$84</f>
        <v>0</v>
      </c>
      <c r="N84" s="100">
        <f ca="1">$K$84-EFEITO!$M$84*EFEITO!$Z$84</f>
        <v>0</v>
      </c>
      <c r="O84" s="100">
        <f>$L$84-EFEITO!$O$84*EFEITO!$AA$84</f>
        <v>0</v>
      </c>
      <c r="P84" s="17"/>
      <c r="Q84" s="17"/>
      <c r="R84" s="17"/>
      <c r="S84" s="17"/>
      <c r="T84" s="17"/>
      <c r="U84" s="17"/>
      <c r="V84" s="17"/>
      <c r="W84" s="17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91" t="s">
        <v>56</v>
      </c>
      <c r="B85" s="91" t="s">
        <v>38</v>
      </c>
      <c r="C85" s="91" t="s">
        <v>39</v>
      </c>
      <c r="D85" s="91" t="s">
        <v>37</v>
      </c>
      <c r="E85" s="91" t="s">
        <v>25</v>
      </c>
      <c r="F85" s="91" t="s">
        <v>25</v>
      </c>
      <c r="G85" s="91" t="s">
        <v>25</v>
      </c>
      <c r="H85" s="91" t="s">
        <v>34</v>
      </c>
      <c r="I85" s="99">
        <v>44713</v>
      </c>
      <c r="J85" s="100">
        <f ca="1">EFEITO!$J$85*EFEITO!$Y$85</f>
        <v>2734.7324257297046</v>
      </c>
      <c r="K85" s="100">
        <f ca="1">EFEITO!$L$85*EFEITO!$Z$85</f>
        <v>1956.6371114695426</v>
      </c>
      <c r="L85" s="100">
        <f>EFEITO!$N$85*EFEITO!$AA$85</f>
        <v>4282.7591523178171</v>
      </c>
      <c r="M85" s="100">
        <f ca="1">$J$85-EFEITO!$K$85*EFEITO!$Y$85</f>
        <v>0</v>
      </c>
      <c r="N85" s="100">
        <f ca="1">$K$85-EFEITO!$M$85*EFEITO!$Z$85</f>
        <v>0</v>
      </c>
      <c r="O85" s="100">
        <f>$L$85-EFEITO!$O$85*EFEITO!$AA$85</f>
        <v>0</v>
      </c>
      <c r="P85" s="17"/>
      <c r="Q85" s="17"/>
      <c r="R85" s="17"/>
      <c r="S85" s="17"/>
      <c r="T85" s="17"/>
      <c r="U85" s="17"/>
      <c r="V85" s="17"/>
      <c r="W85" s="17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91" t="s">
        <v>21</v>
      </c>
      <c r="B86" s="91" t="s">
        <v>38</v>
      </c>
      <c r="C86" s="91" t="s">
        <v>39</v>
      </c>
      <c r="D86" s="91" t="s">
        <v>37</v>
      </c>
      <c r="E86" s="91" t="s">
        <v>25</v>
      </c>
      <c r="F86" s="91" t="s">
        <v>25</v>
      </c>
      <c r="G86" s="91" t="s">
        <v>25</v>
      </c>
      <c r="H86" s="91" t="s">
        <v>33</v>
      </c>
      <c r="I86" s="99">
        <v>44378</v>
      </c>
      <c r="J86" s="100">
        <f ca="1">EFEITO!$J$86*EFEITO!$Y$86</f>
        <v>6630.1605551161638</v>
      </c>
      <c r="K86" s="100">
        <f ca="1">EFEITO!$L$86*EFEITO!$Z$86</f>
        <v>346.62147189865158</v>
      </c>
      <c r="L86" s="100">
        <f>EFEITO!$N$86*EFEITO!$AA$86</f>
        <v>1222.579358353724</v>
      </c>
      <c r="M86" s="100">
        <f ca="1">$J$86-EFEITO!$K$86*EFEITO!$Y$86</f>
        <v>0</v>
      </c>
      <c r="N86" s="100">
        <f ca="1">$K$86-EFEITO!$M$86*EFEITO!$Z$86</f>
        <v>0</v>
      </c>
      <c r="O86" s="100">
        <f>$L$86-EFEITO!$O$86*EFEITO!$AA$86</f>
        <v>0</v>
      </c>
      <c r="P86" s="17"/>
      <c r="Q86" s="17"/>
      <c r="R86" s="17"/>
      <c r="S86" s="17"/>
      <c r="T86" s="17"/>
      <c r="U86" s="17"/>
      <c r="V86" s="17"/>
      <c r="W86" s="17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91" t="s">
        <v>21</v>
      </c>
      <c r="B87" s="91" t="s">
        <v>38</v>
      </c>
      <c r="C87" s="91" t="s">
        <v>39</v>
      </c>
      <c r="D87" s="91" t="s">
        <v>37</v>
      </c>
      <c r="E87" s="91" t="s">
        <v>25</v>
      </c>
      <c r="F87" s="91" t="s">
        <v>25</v>
      </c>
      <c r="G87" s="91" t="s">
        <v>25</v>
      </c>
      <c r="H87" s="91" t="s">
        <v>33</v>
      </c>
      <c r="I87" s="99">
        <v>44409</v>
      </c>
      <c r="J87" s="100">
        <f ca="1">EFEITO!$J$87*EFEITO!$Y$87</f>
        <v>6630.1605551161638</v>
      </c>
      <c r="K87" s="100">
        <f ca="1">EFEITO!$L$87*EFEITO!$Z$87</f>
        <v>320.96065732200185</v>
      </c>
      <c r="L87" s="100">
        <f>EFEITO!$N$87*EFEITO!$AA$87</f>
        <v>1132.0703023275373</v>
      </c>
      <c r="M87" s="100">
        <f ca="1">$J$87-EFEITO!$K$87*EFEITO!$Y$87</f>
        <v>0</v>
      </c>
      <c r="N87" s="100">
        <f ca="1">$K$87-EFEITO!$M$87*EFEITO!$Z$87</f>
        <v>0</v>
      </c>
      <c r="O87" s="100">
        <f>$L$87-EFEITO!$O$87*EFEITO!$AA$87</f>
        <v>0</v>
      </c>
      <c r="P87" s="17"/>
      <c r="Q87" s="17"/>
      <c r="R87" s="17"/>
      <c r="S87" s="17"/>
      <c r="T87" s="17"/>
      <c r="U87" s="17"/>
      <c r="V87" s="17"/>
      <c r="W87" s="17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91" t="s">
        <v>21</v>
      </c>
      <c r="B88" s="91" t="s">
        <v>38</v>
      </c>
      <c r="C88" s="91" t="s">
        <v>39</v>
      </c>
      <c r="D88" s="91" t="s">
        <v>37</v>
      </c>
      <c r="E88" s="91" t="s">
        <v>25</v>
      </c>
      <c r="F88" s="91" t="s">
        <v>25</v>
      </c>
      <c r="G88" s="91" t="s">
        <v>25</v>
      </c>
      <c r="H88" s="91" t="s">
        <v>33</v>
      </c>
      <c r="I88" s="99">
        <v>44440</v>
      </c>
      <c r="J88" s="100">
        <f ca="1">EFEITO!$J$88*EFEITO!$Y$88</f>
        <v>6630.1605551161638</v>
      </c>
      <c r="K88" s="100">
        <f ca="1">EFEITO!$L$88*EFEITO!$Z$88</f>
        <v>312.94165276679877</v>
      </c>
      <c r="L88" s="100">
        <f>EFEITO!$N$88*EFEITO!$AA$88</f>
        <v>1103.786222319354</v>
      </c>
      <c r="M88" s="100">
        <f ca="1">$J$88-EFEITO!$K$88*EFEITO!$Y$88</f>
        <v>0</v>
      </c>
      <c r="N88" s="100">
        <f ca="1">$K$88-EFEITO!$M$88*EFEITO!$Z$88</f>
        <v>0</v>
      </c>
      <c r="O88" s="100">
        <f>$L$88-EFEITO!$O$88*EFEITO!$AA$88</f>
        <v>0</v>
      </c>
      <c r="P88" s="17"/>
      <c r="Q88" s="17"/>
      <c r="R88" s="17"/>
      <c r="S88" s="17"/>
      <c r="T88" s="17"/>
      <c r="U88" s="17"/>
      <c r="V88" s="17"/>
      <c r="W88" s="17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91" t="s">
        <v>21</v>
      </c>
      <c r="B89" s="91" t="s">
        <v>38</v>
      </c>
      <c r="C89" s="91" t="s">
        <v>39</v>
      </c>
      <c r="D89" s="91" t="s">
        <v>37</v>
      </c>
      <c r="E89" s="91" t="s">
        <v>25</v>
      </c>
      <c r="F89" s="91" t="s">
        <v>25</v>
      </c>
      <c r="G89" s="91" t="s">
        <v>25</v>
      </c>
      <c r="H89" s="91" t="s">
        <v>33</v>
      </c>
      <c r="I89" s="99">
        <v>44470</v>
      </c>
      <c r="J89" s="100">
        <f ca="1">EFEITO!$J$89*EFEITO!$Y$89</f>
        <v>6630.1605551161638</v>
      </c>
      <c r="K89" s="100">
        <f ca="1">EFEITO!$L$89*EFEITO!$Z$89</f>
        <v>289.28558932894981</v>
      </c>
      <c r="L89" s="100">
        <f>EFEITO!$N$89*EFEITO!$AA$89</f>
        <v>1020.3481862952133</v>
      </c>
      <c r="M89" s="100">
        <f ca="1">$J$89-EFEITO!$K$89*EFEITO!$Y$89</f>
        <v>0</v>
      </c>
      <c r="N89" s="100">
        <f ca="1">$K$89-EFEITO!$M$89*EFEITO!$Z$89</f>
        <v>0</v>
      </c>
      <c r="O89" s="100">
        <f>$L$89-EFEITO!$O$89*EFEITO!$AA$89</f>
        <v>0</v>
      </c>
      <c r="P89" s="17"/>
      <c r="Q89" s="17"/>
      <c r="R89" s="17"/>
      <c r="S89" s="17"/>
      <c r="T89" s="17"/>
      <c r="U89" s="17"/>
      <c r="V89" s="17"/>
      <c r="W89" s="1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91" t="s">
        <v>21</v>
      </c>
      <c r="B90" s="91" t="s">
        <v>38</v>
      </c>
      <c r="C90" s="91" t="s">
        <v>39</v>
      </c>
      <c r="D90" s="91" t="s">
        <v>37</v>
      </c>
      <c r="E90" s="91" t="s">
        <v>25</v>
      </c>
      <c r="F90" s="91" t="s">
        <v>25</v>
      </c>
      <c r="G90" s="91" t="s">
        <v>25</v>
      </c>
      <c r="H90" s="91" t="s">
        <v>33</v>
      </c>
      <c r="I90" s="99">
        <v>44501</v>
      </c>
      <c r="J90" s="100">
        <f ca="1">EFEITO!$J$90*EFEITO!$Y$90</f>
        <v>6630.1605551161638</v>
      </c>
      <c r="K90" s="100">
        <f ca="1">EFEITO!$L$90*EFEITO!$Z$90</f>
        <v>277.85850783778545</v>
      </c>
      <c r="L90" s="100">
        <f>EFEITO!$N$90*EFEITO!$AA$90</f>
        <v>980.04337228355189</v>
      </c>
      <c r="M90" s="100">
        <f ca="1">$J$90-EFEITO!$K$90*EFEITO!$Y$90</f>
        <v>0</v>
      </c>
      <c r="N90" s="100">
        <f ca="1">$K$90-EFEITO!$M$90*EFEITO!$Z$90</f>
        <v>0</v>
      </c>
      <c r="O90" s="100">
        <f>$L$90-EFEITO!$O$90*EFEITO!$AA$90</f>
        <v>0</v>
      </c>
      <c r="P90" s="17"/>
      <c r="Q90" s="17"/>
      <c r="R90" s="17"/>
      <c r="S90" s="17"/>
      <c r="T90" s="17"/>
      <c r="U90" s="17"/>
      <c r="V90" s="17"/>
      <c r="W90" s="17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91" t="s">
        <v>21</v>
      </c>
      <c r="B91" s="91" t="s">
        <v>38</v>
      </c>
      <c r="C91" s="91" t="s">
        <v>39</v>
      </c>
      <c r="D91" s="91" t="s">
        <v>37</v>
      </c>
      <c r="E91" s="91" t="s">
        <v>25</v>
      </c>
      <c r="F91" s="91" t="s">
        <v>25</v>
      </c>
      <c r="G91" s="91" t="s">
        <v>25</v>
      </c>
      <c r="H91" s="91" t="s">
        <v>33</v>
      </c>
      <c r="I91" s="99">
        <v>44531</v>
      </c>
      <c r="J91" s="100">
        <f ca="1">EFEITO!$J$91*EFEITO!$Y$91</f>
        <v>6630.1605551161638</v>
      </c>
      <c r="K91" s="100">
        <f ca="1">EFEITO!$L$91*EFEITO!$Z$91</f>
        <v>291.39057802469063</v>
      </c>
      <c r="L91" s="100">
        <f>EFEITO!$N$91*EFEITO!$AA$91</f>
        <v>1027.7727572973613</v>
      </c>
      <c r="M91" s="100">
        <f ca="1">$J$91-EFEITO!$K$91*EFEITO!$Y$91</f>
        <v>0</v>
      </c>
      <c r="N91" s="100">
        <f ca="1">$K$91-EFEITO!$M$91*EFEITO!$Z$91</f>
        <v>0</v>
      </c>
      <c r="O91" s="100">
        <f>$L$91-EFEITO!$O$91*EFEITO!$AA$91</f>
        <v>0</v>
      </c>
      <c r="P91" s="17"/>
      <c r="Q91" s="17"/>
      <c r="R91" s="17"/>
      <c r="S91" s="17"/>
      <c r="T91" s="17"/>
      <c r="U91" s="17"/>
      <c r="V91" s="17"/>
      <c r="W91" s="17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91" t="s">
        <v>21</v>
      </c>
      <c r="B92" s="91" t="s">
        <v>38</v>
      </c>
      <c r="C92" s="91" t="s">
        <v>39</v>
      </c>
      <c r="D92" s="91" t="s">
        <v>37</v>
      </c>
      <c r="E92" s="91" t="s">
        <v>25</v>
      </c>
      <c r="F92" s="91" t="s">
        <v>25</v>
      </c>
      <c r="G92" s="91" t="s">
        <v>25</v>
      </c>
      <c r="H92" s="91" t="s">
        <v>33</v>
      </c>
      <c r="I92" s="99">
        <v>44562</v>
      </c>
      <c r="J92" s="100">
        <f ca="1">EFEITO!$J$92*EFEITO!$Y$92</f>
        <v>6630.1605551161638</v>
      </c>
      <c r="K92" s="100">
        <f ca="1">EFEITO!$L$92*EFEITO!$Z$92</f>
        <v>292.89414137879118</v>
      </c>
      <c r="L92" s="100">
        <f>EFEITO!$N$92*EFEITO!$AA$92</f>
        <v>1033.0760222988959</v>
      </c>
      <c r="M92" s="100">
        <f ca="1">$J$92-EFEITO!$K$92*EFEITO!$Y$92</f>
        <v>0</v>
      </c>
      <c r="N92" s="100">
        <f ca="1">$K$92-EFEITO!$M$92*EFEITO!$Z$92</f>
        <v>0</v>
      </c>
      <c r="O92" s="100">
        <f>$L$92-EFEITO!$O$92*EFEITO!$AA$92</f>
        <v>0</v>
      </c>
      <c r="P92" s="17"/>
      <c r="Q92" s="17"/>
      <c r="R92" s="17"/>
      <c r="S92" s="17"/>
      <c r="T92" s="17"/>
      <c r="U92" s="17"/>
      <c r="V92" s="17"/>
      <c r="W92" s="17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91" t="s">
        <v>21</v>
      </c>
      <c r="B93" s="91" t="s">
        <v>38</v>
      </c>
      <c r="C93" s="91" t="s">
        <v>39</v>
      </c>
      <c r="D93" s="91" t="s">
        <v>37</v>
      </c>
      <c r="E93" s="91" t="s">
        <v>25</v>
      </c>
      <c r="F93" s="91" t="s">
        <v>25</v>
      </c>
      <c r="G93" s="91" t="s">
        <v>25</v>
      </c>
      <c r="H93" s="91" t="s">
        <v>33</v>
      </c>
      <c r="I93" s="99">
        <v>44593</v>
      </c>
      <c r="J93" s="100">
        <f ca="1">EFEITO!$J$93*EFEITO!$Y$93</f>
        <v>6630.1605551161638</v>
      </c>
      <c r="K93" s="100">
        <f ca="1">EFEITO!$L$93*EFEITO!$Z$93</f>
        <v>284.77489926664811</v>
      </c>
      <c r="L93" s="100">
        <f>EFEITO!$N$93*EFEITO!$AA$93</f>
        <v>1004.4383912906102</v>
      </c>
      <c r="M93" s="100">
        <f ca="1">$J$93-EFEITO!$K$93*EFEITO!$Y$93</f>
        <v>0</v>
      </c>
      <c r="N93" s="100">
        <f ca="1">$K$93-EFEITO!$M$93*EFEITO!$Z$93</f>
        <v>0</v>
      </c>
      <c r="O93" s="100">
        <f>$L$93-EFEITO!$O$93*EFEITO!$AA$93</f>
        <v>0</v>
      </c>
      <c r="P93" s="17"/>
      <c r="Q93" s="17"/>
      <c r="R93" s="17"/>
      <c r="S93" s="17"/>
      <c r="T93" s="17"/>
      <c r="U93" s="17"/>
      <c r="V93" s="17"/>
      <c r="W93" s="17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91" t="s">
        <v>21</v>
      </c>
      <c r="B94" s="91" t="s">
        <v>38</v>
      </c>
      <c r="C94" s="91" t="s">
        <v>39</v>
      </c>
      <c r="D94" s="91" t="s">
        <v>37</v>
      </c>
      <c r="E94" s="91" t="s">
        <v>25</v>
      </c>
      <c r="F94" s="91" t="s">
        <v>25</v>
      </c>
      <c r="G94" s="91" t="s">
        <v>25</v>
      </c>
      <c r="H94" s="91" t="s">
        <v>33</v>
      </c>
      <c r="I94" s="99">
        <v>44621</v>
      </c>
      <c r="J94" s="100">
        <f ca="1">EFEITO!$J$94*EFEITO!$Y$94</f>
        <v>6630.1605551161638</v>
      </c>
      <c r="K94" s="100">
        <f ca="1">EFEITO!$L$94*EFEITO!$Z$94</f>
        <v>321.16113243588194</v>
      </c>
      <c r="L94" s="100">
        <f>EFEITO!$N$94*EFEITO!$AA$94</f>
        <v>1132.777404327742</v>
      </c>
      <c r="M94" s="100">
        <f ca="1">$J$94-EFEITO!$K$94*EFEITO!$Y$94</f>
        <v>0</v>
      </c>
      <c r="N94" s="100">
        <f ca="1">$K$94-EFEITO!$M$94*EFEITO!$Z$94</f>
        <v>0</v>
      </c>
      <c r="O94" s="100">
        <f>$L$94-EFEITO!$O$94*EFEITO!$AA$94</f>
        <v>0</v>
      </c>
      <c r="P94" s="17"/>
      <c r="Q94" s="17"/>
      <c r="R94" s="17"/>
      <c r="S94" s="17"/>
      <c r="T94" s="17"/>
      <c r="U94" s="17"/>
      <c r="V94" s="17"/>
      <c r="W94" s="17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91" t="s">
        <v>21</v>
      </c>
      <c r="B95" s="91" t="s">
        <v>38</v>
      </c>
      <c r="C95" s="91" t="s">
        <v>39</v>
      </c>
      <c r="D95" s="91" t="s">
        <v>37</v>
      </c>
      <c r="E95" s="91" t="s">
        <v>25</v>
      </c>
      <c r="F95" s="91" t="s">
        <v>25</v>
      </c>
      <c r="G95" s="91" t="s">
        <v>25</v>
      </c>
      <c r="H95" s="91" t="s">
        <v>33</v>
      </c>
      <c r="I95" s="99">
        <v>44652</v>
      </c>
      <c r="J95" s="100">
        <f ca="1">EFEITO!$J$95*EFEITO!$Y$95</f>
        <v>6630.1605551161638</v>
      </c>
      <c r="K95" s="100">
        <f ca="1">EFEITO!$L$95*EFEITO!$Z$95</f>
        <v>259.5150349177585</v>
      </c>
      <c r="L95" s="100">
        <f>EFEITO!$N$95*EFEITO!$AA$95</f>
        <v>915.34353926483266</v>
      </c>
      <c r="M95" s="100">
        <f ca="1">$J$95-EFEITO!$K$95*EFEITO!$Y$95</f>
        <v>0</v>
      </c>
      <c r="N95" s="100">
        <f ca="1">$K$95-EFEITO!$M$95*EFEITO!$Z$95</f>
        <v>0</v>
      </c>
      <c r="O95" s="100">
        <f>$L$95-EFEITO!$O$95*EFEITO!$AA$95</f>
        <v>0</v>
      </c>
      <c r="P95" s="17"/>
      <c r="Q95" s="17"/>
      <c r="R95" s="17"/>
      <c r="S95" s="17"/>
      <c r="T95" s="17"/>
      <c r="U95" s="17"/>
      <c r="V95" s="17"/>
      <c r="W95" s="17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91" t="s">
        <v>21</v>
      </c>
      <c r="B96" s="91" t="s">
        <v>38</v>
      </c>
      <c r="C96" s="91" t="s">
        <v>39</v>
      </c>
      <c r="D96" s="91" t="s">
        <v>37</v>
      </c>
      <c r="E96" s="91" t="s">
        <v>25</v>
      </c>
      <c r="F96" s="91" t="s">
        <v>25</v>
      </c>
      <c r="G96" s="91" t="s">
        <v>25</v>
      </c>
      <c r="H96" s="91" t="s">
        <v>33</v>
      </c>
      <c r="I96" s="99">
        <v>44682</v>
      </c>
      <c r="J96" s="100">
        <f ca="1">EFEITO!$J$96*EFEITO!$Y$96</f>
        <v>6630.1605551161638</v>
      </c>
      <c r="K96" s="100">
        <f ca="1">EFEITO!$L$96*EFEITO!$Z$96</f>
        <v>334.09177728114685</v>
      </c>
      <c r="L96" s="100">
        <f>EFEITO!$N$96*EFEITO!$AA$96</f>
        <v>1178.3854833409375</v>
      </c>
      <c r="M96" s="100">
        <f ca="1">$J$96-EFEITO!$K$96*EFEITO!$Y$96</f>
        <v>0</v>
      </c>
      <c r="N96" s="100">
        <f ca="1">$K$96-EFEITO!$M$96*EFEITO!$Z$96</f>
        <v>0</v>
      </c>
      <c r="O96" s="100">
        <f>$L$96-EFEITO!$O$96*EFEITO!$AA$96</f>
        <v>0</v>
      </c>
      <c r="P96" s="17"/>
      <c r="Q96" s="17"/>
      <c r="R96" s="17"/>
      <c r="S96" s="17"/>
      <c r="T96" s="17"/>
      <c r="U96" s="17"/>
      <c r="V96" s="17"/>
      <c r="W96" s="17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91" t="s">
        <v>56</v>
      </c>
      <c r="B97" s="91" t="s">
        <v>38</v>
      </c>
      <c r="C97" s="91" t="s">
        <v>39</v>
      </c>
      <c r="D97" s="91" t="s">
        <v>37</v>
      </c>
      <c r="E97" s="91" t="s">
        <v>25</v>
      </c>
      <c r="F97" s="91" t="s">
        <v>25</v>
      </c>
      <c r="G97" s="91" t="s">
        <v>25</v>
      </c>
      <c r="H97" s="91" t="s">
        <v>33</v>
      </c>
      <c r="I97" s="99">
        <v>44713</v>
      </c>
      <c r="J97" s="100">
        <f ca="1">EFEITO!$J$97*EFEITO!$Y$97</f>
        <v>6630.1605551161638</v>
      </c>
      <c r="K97" s="100">
        <f ca="1">EFEITO!$L$97*EFEITO!$Z$97</f>
        <v>334.09177728114685</v>
      </c>
      <c r="L97" s="100">
        <f>EFEITO!$N$97*EFEITO!$AA$97</f>
        <v>1178.3854833409375</v>
      </c>
      <c r="M97" s="100">
        <f ca="1">$J$97-EFEITO!$K$97*EFEITO!$Y$97</f>
        <v>0</v>
      </c>
      <c r="N97" s="100">
        <f ca="1">$K$97-EFEITO!$M$97*EFEITO!$Z$97</f>
        <v>0</v>
      </c>
      <c r="O97" s="100">
        <f>$L$97-EFEITO!$O$97*EFEITO!$AA$97</f>
        <v>0</v>
      </c>
      <c r="P97" s="17"/>
      <c r="Q97" s="17"/>
      <c r="R97" s="17"/>
      <c r="S97" s="17"/>
      <c r="T97" s="17"/>
      <c r="U97" s="17"/>
      <c r="V97" s="17"/>
      <c r="W97" s="17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91" t="s">
        <v>21</v>
      </c>
      <c r="B98" s="91" t="s">
        <v>38</v>
      </c>
      <c r="C98" s="91" t="s">
        <v>39</v>
      </c>
      <c r="D98" s="91" t="s">
        <v>48</v>
      </c>
      <c r="E98" s="91" t="s">
        <v>49</v>
      </c>
      <c r="F98" s="91" t="s">
        <v>25</v>
      </c>
      <c r="G98" s="91" t="s">
        <v>25</v>
      </c>
      <c r="H98" s="91" t="s">
        <v>34</v>
      </c>
      <c r="I98" s="99">
        <v>44378</v>
      </c>
      <c r="J98" s="100">
        <f ca="1">EFEITO!$J$98*EFEITO!$Y$85</f>
        <v>10285.632512327833</v>
      </c>
      <c r="K98" s="100">
        <f ca="1">EFEITO!$L$98*EFEITO!$Z$85</f>
        <v>36361.975680454321</v>
      </c>
      <c r="L98" s="100">
        <f>EFEITO!$N$98*EFEITO!$AA$85</f>
        <v>79590.427488550544</v>
      </c>
      <c r="M98" s="100">
        <f ca="1">$J$98-EFEITO!$K$98*EFEITO!$Y$98</f>
        <v>308.56897536983524</v>
      </c>
      <c r="N98" s="100">
        <f ca="1">$K$98-EFEITO!$M$98*EFEITO!$Z$98</f>
        <v>1090.8592704136317</v>
      </c>
      <c r="O98" s="100">
        <f>$L$98-EFEITO!$O$98*EFEITO!$AA$98</f>
        <v>2387.7128246565117</v>
      </c>
      <c r="P98" s="17"/>
      <c r="Q98" s="17"/>
      <c r="R98" s="17"/>
      <c r="S98" s="17"/>
      <c r="T98" s="17"/>
      <c r="U98" s="17"/>
      <c r="V98" s="17"/>
      <c r="W98" s="17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91" t="s">
        <v>21</v>
      </c>
      <c r="B99" s="91" t="s">
        <v>38</v>
      </c>
      <c r="C99" s="91" t="s">
        <v>39</v>
      </c>
      <c r="D99" s="91" t="s">
        <v>48</v>
      </c>
      <c r="E99" s="91" t="s">
        <v>49</v>
      </c>
      <c r="F99" s="91" t="s">
        <v>25</v>
      </c>
      <c r="G99" s="91" t="s">
        <v>25</v>
      </c>
      <c r="H99" s="91" t="s">
        <v>34</v>
      </c>
      <c r="I99" s="99">
        <v>44409</v>
      </c>
      <c r="J99" s="100">
        <f ca="1">EFEITO!$J$99*EFEITO!$Y$85</f>
        <v>9753.8789851026122</v>
      </c>
      <c r="K99" s="100">
        <f ca="1">EFEITO!$L$99*EFEITO!$Z$85</f>
        <v>36171.624559825184</v>
      </c>
      <c r="L99" s="100">
        <f>EFEITO!$N$99*EFEITO!$AA$85</f>
        <v>79173.77996650897</v>
      </c>
      <c r="M99" s="100">
        <f ca="1">$J$99-EFEITO!$K$99*EFEITO!$Y$99</f>
        <v>292.61636955307767</v>
      </c>
      <c r="N99" s="100">
        <f ca="1">$K$99-EFEITO!$M$99*EFEITO!$Z$99</f>
        <v>1085.1487367947557</v>
      </c>
      <c r="O99" s="100">
        <f>$L$99-EFEITO!$O$99*EFEITO!$AA$99</f>
        <v>2375.2133989952708</v>
      </c>
      <c r="P99" s="17"/>
      <c r="Q99" s="17"/>
      <c r="R99" s="17"/>
      <c r="S99" s="17"/>
      <c r="T99" s="17"/>
      <c r="U99" s="17"/>
      <c r="V99" s="17"/>
      <c r="W99" s="17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91" t="s">
        <v>21</v>
      </c>
      <c r="B100" s="91" t="s">
        <v>38</v>
      </c>
      <c r="C100" s="91" t="s">
        <v>39</v>
      </c>
      <c r="D100" s="91" t="s">
        <v>48</v>
      </c>
      <c r="E100" s="91" t="s">
        <v>49</v>
      </c>
      <c r="F100" s="91" t="s">
        <v>25</v>
      </c>
      <c r="G100" s="91" t="s">
        <v>25</v>
      </c>
      <c r="H100" s="91" t="s">
        <v>34</v>
      </c>
      <c r="I100" s="99">
        <v>44440</v>
      </c>
      <c r="J100" s="100">
        <f ca="1">EFEITO!$J$100*EFEITO!$Y$85</f>
        <v>9753.8789851026122</v>
      </c>
      <c r="K100" s="100">
        <f ca="1">EFEITO!$L$100*EFEITO!$Z$85</f>
        <v>35091.965834024042</v>
      </c>
      <c r="L100" s="100">
        <f>EFEITO!$N$100*EFEITO!$AA$85</f>
        <v>76810.583305155742</v>
      </c>
      <c r="M100" s="100">
        <f ca="1">$J$100-EFEITO!$K$100*EFEITO!$Y$100</f>
        <v>292.61636955307767</v>
      </c>
      <c r="N100" s="100">
        <f ca="1">$K$100-EFEITO!$M$100*EFEITO!$Z$100</f>
        <v>1052.7589750207189</v>
      </c>
      <c r="O100" s="100">
        <f>$L$100-EFEITO!$O$100*EFEITO!$AA$100</f>
        <v>2304.3174991546693</v>
      </c>
      <c r="P100" s="17"/>
      <c r="Q100" s="17"/>
      <c r="R100" s="17"/>
      <c r="S100" s="17"/>
      <c r="T100" s="17"/>
      <c r="U100" s="17"/>
      <c r="V100" s="17"/>
      <c r="W100" s="17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91" t="s">
        <v>21</v>
      </c>
      <c r="B101" s="91" t="s">
        <v>38</v>
      </c>
      <c r="C101" s="91" t="s">
        <v>39</v>
      </c>
      <c r="D101" s="91" t="s">
        <v>48</v>
      </c>
      <c r="E101" s="91" t="s">
        <v>49</v>
      </c>
      <c r="F101" s="91" t="s">
        <v>25</v>
      </c>
      <c r="G101" s="91" t="s">
        <v>25</v>
      </c>
      <c r="H101" s="91" t="s">
        <v>34</v>
      </c>
      <c r="I101" s="99">
        <v>44470</v>
      </c>
      <c r="J101" s="100">
        <f ca="1">EFEITO!$J$101*EFEITO!$Y$85</f>
        <v>9723.4930692611706</v>
      </c>
      <c r="K101" s="100">
        <f ca="1">EFEITO!$L$101*EFEITO!$Z$85</f>
        <v>36371.598485920564</v>
      </c>
      <c r="L101" s="100">
        <f>EFEITO!$N$101*EFEITO!$AA$85</f>
        <v>79611.490238479979</v>
      </c>
      <c r="M101" s="100">
        <f ca="1">$J$101-EFEITO!$K$101*EFEITO!$Y$101</f>
        <v>291.70479207783501</v>
      </c>
      <c r="N101" s="100">
        <f ca="1">$K$101-EFEITO!$M$101*EFEITO!$Z$101</f>
        <v>1091.1479545776165</v>
      </c>
      <c r="O101" s="100">
        <f>$L$101-EFEITO!$O$101*EFEITO!$AA$101</f>
        <v>2388.3447071544069</v>
      </c>
      <c r="P101" s="17"/>
      <c r="Q101" s="17"/>
      <c r="R101" s="17"/>
      <c r="S101" s="17"/>
      <c r="T101" s="17"/>
      <c r="U101" s="17"/>
      <c r="V101" s="17"/>
      <c r="W101" s="17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91" t="s">
        <v>21</v>
      </c>
      <c r="B102" s="91" t="s">
        <v>38</v>
      </c>
      <c r="C102" s="91" t="s">
        <v>39</v>
      </c>
      <c r="D102" s="91" t="s">
        <v>48</v>
      </c>
      <c r="E102" s="91" t="s">
        <v>49</v>
      </c>
      <c r="F102" s="91" t="s">
        <v>25</v>
      </c>
      <c r="G102" s="91" t="s">
        <v>25</v>
      </c>
      <c r="H102" s="91" t="s">
        <v>34</v>
      </c>
      <c r="I102" s="99">
        <v>44501</v>
      </c>
      <c r="J102" s="100">
        <f ca="1">EFEITO!$J$102*EFEITO!$Y$85</f>
        <v>9905.8085643098184</v>
      </c>
      <c r="K102" s="100">
        <f ca="1">EFEITO!$L$102*EFEITO!$Z$85</f>
        <v>36816.152050949633</v>
      </c>
      <c r="L102" s="100">
        <f>EFEITO!$N$102*EFEITO!$AA$85</f>
        <v>80584.545404490709</v>
      </c>
      <c r="M102" s="100">
        <f ca="1">$J$102-EFEITO!$K$102*EFEITO!$Y$102</f>
        <v>297.17425692929464</v>
      </c>
      <c r="N102" s="100">
        <f ca="1">$K$102-EFEITO!$M$102*EFEITO!$Z$102</f>
        <v>1104.4845615284867</v>
      </c>
      <c r="O102" s="100">
        <f>$L$102-EFEITO!$O$102*EFEITO!$AA$102</f>
        <v>2417.5363621347205</v>
      </c>
      <c r="P102" s="17"/>
      <c r="Q102" s="17"/>
      <c r="R102" s="17"/>
      <c r="S102" s="17"/>
      <c r="T102" s="17"/>
      <c r="U102" s="17"/>
      <c r="V102" s="17"/>
      <c r="W102" s="17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91" t="s">
        <v>21</v>
      </c>
      <c r="B103" s="91" t="s">
        <v>38</v>
      </c>
      <c r="C103" s="91" t="s">
        <v>39</v>
      </c>
      <c r="D103" s="91" t="s">
        <v>48</v>
      </c>
      <c r="E103" s="91" t="s">
        <v>49</v>
      </c>
      <c r="F103" s="91" t="s">
        <v>25</v>
      </c>
      <c r="G103" s="91" t="s">
        <v>25</v>
      </c>
      <c r="H103" s="91" t="s">
        <v>34</v>
      </c>
      <c r="I103" s="99">
        <v>44531</v>
      </c>
      <c r="J103" s="100">
        <f ca="1">EFEITO!$J$103*EFEITO!$Y$85</f>
        <v>9936.19448015126</v>
      </c>
      <c r="K103" s="100">
        <f ca="1">EFEITO!$L$103*EFEITO!$Z$85</f>
        <v>39181.65815717759</v>
      </c>
      <c r="L103" s="100">
        <f>EFEITO!$N$103*EFEITO!$AA$85</f>
        <v>85762.252025164285</v>
      </c>
      <c r="M103" s="100">
        <f ca="1">$J$103-EFEITO!$K$103*EFEITO!$Y$103</f>
        <v>298.08583440453731</v>
      </c>
      <c r="N103" s="100">
        <f ca="1">$K$103-EFEITO!$M$103*EFEITO!$Z$103</f>
        <v>1175.4497447153262</v>
      </c>
      <c r="O103" s="100">
        <f>$L$103-EFEITO!$O$103*EFEITO!$AA$103</f>
        <v>2572.8675607549376</v>
      </c>
      <c r="P103" s="17"/>
      <c r="Q103" s="17"/>
      <c r="R103" s="17"/>
      <c r="S103" s="17"/>
      <c r="T103" s="17"/>
      <c r="U103" s="17"/>
      <c r="V103" s="17"/>
      <c r="W103" s="17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91" t="s">
        <v>21</v>
      </c>
      <c r="B104" s="91" t="s">
        <v>38</v>
      </c>
      <c r="C104" s="91" t="s">
        <v>39</v>
      </c>
      <c r="D104" s="91" t="s">
        <v>48</v>
      </c>
      <c r="E104" s="91" t="s">
        <v>49</v>
      </c>
      <c r="F104" s="91" t="s">
        <v>25</v>
      </c>
      <c r="G104" s="91" t="s">
        <v>25</v>
      </c>
      <c r="H104" s="91" t="s">
        <v>34</v>
      </c>
      <c r="I104" s="99">
        <v>44562</v>
      </c>
      <c r="J104" s="100">
        <f ca="1">EFEITO!$J$104*EFEITO!$Y$85</f>
        <v>10164.088848962068</v>
      </c>
      <c r="K104" s="100">
        <f ca="1">EFEITO!$L$104*EFEITO!$Z$85</f>
        <v>39926.623680355951</v>
      </c>
      <c r="L104" s="100">
        <f>EFEITO!$N$104*EFEITO!$AA$85</f>
        <v>87392.859915534471</v>
      </c>
      <c r="M104" s="100">
        <f ca="1">$J$104-EFEITO!$K$104*EFEITO!$Y$104</f>
        <v>304.92266546886276</v>
      </c>
      <c r="N104" s="100">
        <f ca="1">$K$104-EFEITO!$M$104*EFEITO!$Z$104</f>
        <v>1197.7987104106724</v>
      </c>
      <c r="O104" s="100">
        <f>$L$104-EFEITO!$O$104*EFEITO!$AA$104</f>
        <v>2621.7857974660292</v>
      </c>
      <c r="P104" s="17"/>
      <c r="Q104" s="17"/>
      <c r="R104" s="17"/>
      <c r="S104" s="17"/>
      <c r="T104" s="17"/>
      <c r="U104" s="17"/>
      <c r="V104" s="17"/>
      <c r="W104" s="17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91" t="s">
        <v>21</v>
      </c>
      <c r="B105" s="91" t="s">
        <v>38</v>
      </c>
      <c r="C105" s="91" t="s">
        <v>39</v>
      </c>
      <c r="D105" s="91" t="s">
        <v>48</v>
      </c>
      <c r="E105" s="91" t="s">
        <v>49</v>
      </c>
      <c r="F105" s="91" t="s">
        <v>25</v>
      </c>
      <c r="G105" s="91" t="s">
        <v>25</v>
      </c>
      <c r="H105" s="91" t="s">
        <v>34</v>
      </c>
      <c r="I105" s="99">
        <v>44593</v>
      </c>
      <c r="J105" s="100">
        <f ca="1">EFEITO!$J$105*EFEITO!$Y$85</f>
        <v>10391.983217772877</v>
      </c>
      <c r="K105" s="100">
        <f ca="1">EFEITO!$L$105*EFEITO!$Z$85</f>
        <v>36117.997466862267</v>
      </c>
      <c r="L105" s="100">
        <f>EFEITO!$N$105*EFEITO!$AA$85</f>
        <v>79056.399016381416</v>
      </c>
      <c r="M105" s="100">
        <f ca="1">$J$105-EFEITO!$K$105*EFEITO!$Y$105</f>
        <v>311.75949653318639</v>
      </c>
      <c r="N105" s="100">
        <f ca="1">$K$105-EFEITO!$M$105*EFEITO!$Z$105</f>
        <v>1083.5399240058614</v>
      </c>
      <c r="O105" s="100">
        <f>$L$105-EFEITO!$O$105*EFEITO!$AA$105</f>
        <v>2371.6919704914471</v>
      </c>
      <c r="P105" s="17"/>
      <c r="Q105" s="17"/>
      <c r="R105" s="17"/>
      <c r="S105" s="17"/>
      <c r="T105" s="17"/>
      <c r="U105" s="17"/>
      <c r="V105" s="17"/>
      <c r="W105" s="17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91" t="s">
        <v>21</v>
      </c>
      <c r="B106" s="91" t="s">
        <v>38</v>
      </c>
      <c r="C106" s="91" t="s">
        <v>39</v>
      </c>
      <c r="D106" s="91" t="s">
        <v>48</v>
      </c>
      <c r="E106" s="91" t="s">
        <v>49</v>
      </c>
      <c r="F106" s="91" t="s">
        <v>25</v>
      </c>
      <c r="G106" s="91" t="s">
        <v>25</v>
      </c>
      <c r="H106" s="91" t="s">
        <v>34</v>
      </c>
      <c r="I106" s="99">
        <v>44621</v>
      </c>
      <c r="J106" s="100">
        <f ca="1">EFEITO!$J$106*EFEITO!$Y$85</f>
        <v>10771.807165790891</v>
      </c>
      <c r="K106" s="100">
        <f ca="1">EFEITO!$L$106*EFEITO!$Z$85</f>
        <v>39711.914833390394</v>
      </c>
      <c r="L106" s="100">
        <f>EFEITO!$N$106*EFEITO!$AA$85</f>
        <v>86922.89730773402</v>
      </c>
      <c r="M106" s="100">
        <f ca="1">$J$106-EFEITO!$K$106*EFEITO!$Y$106</f>
        <v>323.15421497372699</v>
      </c>
      <c r="N106" s="100">
        <f ca="1">$K$106-EFEITO!$M$106*EFEITO!$Z$106</f>
        <v>1191.3574450017113</v>
      </c>
      <c r="O106" s="100">
        <f>$L$106-EFEITO!$O$106*EFEITO!$AA$106</f>
        <v>2607.6869192320155</v>
      </c>
      <c r="P106" s="17"/>
      <c r="Q106" s="17"/>
      <c r="R106" s="17"/>
      <c r="S106" s="17"/>
      <c r="T106" s="17"/>
      <c r="U106" s="17"/>
      <c r="V106" s="17"/>
      <c r="W106" s="17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91" t="s">
        <v>21</v>
      </c>
      <c r="B107" s="91" t="s">
        <v>38</v>
      </c>
      <c r="C107" s="91" t="s">
        <v>39</v>
      </c>
      <c r="D107" s="91" t="s">
        <v>48</v>
      </c>
      <c r="E107" s="91" t="s">
        <v>49</v>
      </c>
      <c r="F107" s="91" t="s">
        <v>25</v>
      </c>
      <c r="G107" s="91" t="s">
        <v>25</v>
      </c>
      <c r="H107" s="91" t="s">
        <v>34</v>
      </c>
      <c r="I107" s="99">
        <v>44652</v>
      </c>
      <c r="J107" s="100">
        <f ca="1">EFEITO!$J$107*EFEITO!$Y$85</f>
        <v>10164.088848962068</v>
      </c>
      <c r="K107" s="100">
        <f ca="1">EFEITO!$L$107*EFEITO!$Z$85</f>
        <v>38553.068437606613</v>
      </c>
      <c r="L107" s="100">
        <f>EFEITO!$N$107*EFEITO!$AA$85</f>
        <v>84386.371766753175</v>
      </c>
      <c r="M107" s="100">
        <f ca="1">$J$107-EFEITO!$K$107*EFEITO!$Y$107</f>
        <v>304.92266546886276</v>
      </c>
      <c r="N107" s="100">
        <f ca="1">$K$107-EFEITO!$M$107*EFEITO!$Z$107</f>
        <v>1156.5920531281954</v>
      </c>
      <c r="O107" s="100">
        <f>$L$107-EFEITO!$O$107*EFEITO!$AA$107</f>
        <v>2531.5911530025915</v>
      </c>
      <c r="P107" s="17"/>
      <c r="Q107" s="17"/>
      <c r="R107" s="17"/>
      <c r="S107" s="17"/>
      <c r="T107" s="17"/>
      <c r="U107" s="17"/>
      <c r="V107" s="17"/>
      <c r="W107" s="17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91" t="s">
        <v>21</v>
      </c>
      <c r="B108" s="91" t="s">
        <v>38</v>
      </c>
      <c r="C108" s="91" t="s">
        <v>39</v>
      </c>
      <c r="D108" s="91" t="s">
        <v>48</v>
      </c>
      <c r="E108" s="91" t="s">
        <v>49</v>
      </c>
      <c r="F108" s="91" t="s">
        <v>25</v>
      </c>
      <c r="G108" s="91" t="s">
        <v>25</v>
      </c>
      <c r="H108" s="91" t="s">
        <v>34</v>
      </c>
      <c r="I108" s="99">
        <v>44682</v>
      </c>
      <c r="J108" s="100">
        <f ca="1">EFEITO!$J$108*EFEITO!$Y$85</f>
        <v>10376.790259852156</v>
      </c>
      <c r="K108" s="100">
        <f ca="1">EFEITO!$L$108*EFEITO!$Z$85</f>
        <v>38560.987204604877</v>
      </c>
      <c r="L108" s="100">
        <f>EFEITO!$N$108*EFEITO!$AA$85</f>
        <v>84403.704654715941</v>
      </c>
      <c r="M108" s="100">
        <f ca="1">$J$108-EFEITO!$K$108*EFEITO!$Y$108</f>
        <v>311.30370779556324</v>
      </c>
      <c r="N108" s="100">
        <f ca="1">$K$108-EFEITO!$M$108*EFEITO!$Z$108</f>
        <v>1156.829616138144</v>
      </c>
      <c r="O108" s="100">
        <f>$L$108-EFEITO!$O$108*EFEITO!$AA$108</f>
        <v>2532.1111396414781</v>
      </c>
      <c r="P108" s="17"/>
      <c r="Q108" s="17"/>
      <c r="R108" s="17"/>
      <c r="S108" s="17"/>
      <c r="T108" s="17"/>
      <c r="U108" s="17"/>
      <c r="V108" s="17"/>
      <c r="W108" s="17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91" t="s">
        <v>56</v>
      </c>
      <c r="B109" s="91" t="s">
        <v>38</v>
      </c>
      <c r="C109" s="91" t="s">
        <v>39</v>
      </c>
      <c r="D109" s="91" t="s">
        <v>48</v>
      </c>
      <c r="E109" s="91" t="s">
        <v>49</v>
      </c>
      <c r="F109" s="91" t="s">
        <v>25</v>
      </c>
      <c r="G109" s="91" t="s">
        <v>25</v>
      </c>
      <c r="H109" s="91" t="s">
        <v>34</v>
      </c>
      <c r="I109" s="99">
        <v>44713</v>
      </c>
      <c r="J109" s="100">
        <f ca="1">EFEITO!$J$109*EFEITO!$Y$85</f>
        <v>10376.790259852156</v>
      </c>
      <c r="K109" s="100">
        <f ca="1">EFEITO!$L$109*EFEITO!$Z$85</f>
        <v>38560.987204604877</v>
      </c>
      <c r="L109" s="100">
        <f>EFEITO!$N$109*EFEITO!$AA$85</f>
        <v>84403.704654715941</v>
      </c>
      <c r="M109" s="100">
        <f ca="1">$J$109-EFEITO!$K$109*EFEITO!$Y$109</f>
        <v>311.30370779556324</v>
      </c>
      <c r="N109" s="100">
        <f ca="1">$K$109-EFEITO!$M$109*EFEITO!$Z$109</f>
        <v>1156.829616138144</v>
      </c>
      <c r="O109" s="100">
        <f>$L$109-EFEITO!$O$109*EFEITO!$AA$109</f>
        <v>2532.1111396414781</v>
      </c>
      <c r="P109" s="17"/>
      <c r="Q109" s="17"/>
      <c r="R109" s="17"/>
      <c r="S109" s="17"/>
      <c r="T109" s="17"/>
      <c r="U109" s="17"/>
      <c r="V109" s="17"/>
      <c r="W109" s="17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91" t="s">
        <v>21</v>
      </c>
      <c r="B110" s="91" t="s">
        <v>38</v>
      </c>
      <c r="C110" s="91" t="s">
        <v>39</v>
      </c>
      <c r="D110" s="91" t="s">
        <v>48</v>
      </c>
      <c r="E110" s="91" t="s">
        <v>49</v>
      </c>
      <c r="F110" s="91" t="s">
        <v>25</v>
      </c>
      <c r="G110" s="91" t="s">
        <v>25</v>
      </c>
      <c r="H110" s="91" t="s">
        <v>33</v>
      </c>
      <c r="I110" s="99">
        <v>44378</v>
      </c>
      <c r="J110" s="100">
        <f ca="1">EFEITO!$J$110*EFEITO!$Y$97</f>
        <v>25716.986395602089</v>
      </c>
      <c r="K110" s="100">
        <f ca="1">EFEITO!$L$110*EFEITO!$Z$97</f>
        <v>3766.6266771358096</v>
      </c>
      <c r="L110" s="100">
        <f>EFEITO!$N$110*EFEITO!$AA$97</f>
        <v>13285.385930843806</v>
      </c>
      <c r="M110" s="100">
        <f ca="1">$J$110-EFEITO!$K$110*EFEITO!$Y$110</f>
        <v>771.50959186806358</v>
      </c>
      <c r="N110" s="100">
        <f ca="1">$K$110-EFEITO!$M$110*EFEITO!$Z$110</f>
        <v>112.99880031407429</v>
      </c>
      <c r="O110" s="100">
        <f>$L$110-EFEITO!$O$110*EFEITO!$AA$110</f>
        <v>398.56157792531485</v>
      </c>
      <c r="P110" s="17"/>
      <c r="Q110" s="17"/>
      <c r="R110" s="17"/>
      <c r="S110" s="17"/>
      <c r="T110" s="17"/>
      <c r="U110" s="17"/>
      <c r="V110" s="17"/>
      <c r="W110" s="17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91" t="s">
        <v>21</v>
      </c>
      <c r="B111" s="91" t="s">
        <v>38</v>
      </c>
      <c r="C111" s="91" t="s">
        <v>39</v>
      </c>
      <c r="D111" s="91" t="s">
        <v>48</v>
      </c>
      <c r="E111" s="91" t="s">
        <v>49</v>
      </c>
      <c r="F111" s="91" t="s">
        <v>25</v>
      </c>
      <c r="G111" s="91" t="s">
        <v>25</v>
      </c>
      <c r="H111" s="91" t="s">
        <v>33</v>
      </c>
      <c r="I111" s="99">
        <v>44409</v>
      </c>
      <c r="J111" s="100">
        <f ca="1">EFEITO!$J$111*EFEITO!$Y$97</f>
        <v>25716.986395602089</v>
      </c>
      <c r="K111" s="100">
        <f ca="1">EFEITO!$L$111*EFEITO!$Z$97</f>
        <v>3750.4884304684633</v>
      </c>
      <c r="L111" s="100">
        <f>EFEITO!$N$111*EFEITO!$AA$97</f>
        <v>13228.464219827338</v>
      </c>
      <c r="M111" s="100">
        <f ca="1">$J$111-EFEITO!$K$111*EFEITO!$Y$111</f>
        <v>771.50959186806358</v>
      </c>
      <c r="N111" s="100">
        <f ca="1">$K$111-EFEITO!$M$111*EFEITO!$Z$111</f>
        <v>112.51465291405384</v>
      </c>
      <c r="O111" s="100">
        <f>$L$111-EFEITO!$O$111*EFEITO!$AA$111</f>
        <v>396.85392659482204</v>
      </c>
      <c r="P111" s="17"/>
      <c r="Q111" s="17"/>
      <c r="R111" s="17"/>
      <c r="S111" s="17"/>
      <c r="T111" s="17"/>
      <c r="U111" s="17"/>
      <c r="V111" s="17"/>
      <c r="W111" s="17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91" t="s">
        <v>21</v>
      </c>
      <c r="B112" s="91" t="s">
        <v>38</v>
      </c>
      <c r="C112" s="91" t="s">
        <v>39</v>
      </c>
      <c r="D112" s="91" t="s">
        <v>48</v>
      </c>
      <c r="E112" s="91" t="s">
        <v>49</v>
      </c>
      <c r="F112" s="91" t="s">
        <v>25</v>
      </c>
      <c r="G112" s="91" t="s">
        <v>25</v>
      </c>
      <c r="H112" s="91" t="s">
        <v>33</v>
      </c>
      <c r="I112" s="99">
        <v>44440</v>
      </c>
      <c r="J112" s="100">
        <f ca="1">EFEITO!$J$112*EFEITO!$Y$97</f>
        <v>25716.986395602089</v>
      </c>
      <c r="K112" s="100">
        <f ca="1">EFEITO!$L$112*EFEITO!$Z$97</f>
        <v>3612.2608394481508</v>
      </c>
      <c r="L112" s="100">
        <f>EFEITO!$N$112*EFEITO!$AA$97</f>
        <v>12740.917390686278</v>
      </c>
      <c r="M112" s="100">
        <f ca="1">$J$112-EFEITO!$K$112*EFEITO!$Y$112</f>
        <v>771.50959186806358</v>
      </c>
      <c r="N112" s="100">
        <f ca="1">$K$112-EFEITO!$M$112*EFEITO!$Z$112</f>
        <v>108.36782518344444</v>
      </c>
      <c r="O112" s="100">
        <f>$L$112-EFEITO!$O$112*EFEITO!$AA$112</f>
        <v>382.22752172058972</v>
      </c>
      <c r="P112" s="17"/>
      <c r="Q112" s="17"/>
      <c r="R112" s="17"/>
      <c r="S112" s="17"/>
      <c r="T112" s="17"/>
      <c r="U112" s="17"/>
      <c r="V112" s="17"/>
      <c r="W112" s="17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91" t="s">
        <v>21</v>
      </c>
      <c r="B113" s="91" t="s">
        <v>38</v>
      </c>
      <c r="C113" s="91" t="s">
        <v>39</v>
      </c>
      <c r="D113" s="91" t="s">
        <v>48</v>
      </c>
      <c r="E113" s="91" t="s">
        <v>49</v>
      </c>
      <c r="F113" s="91" t="s">
        <v>25</v>
      </c>
      <c r="G113" s="91" t="s">
        <v>25</v>
      </c>
      <c r="H113" s="91" t="s">
        <v>33</v>
      </c>
      <c r="I113" s="99">
        <v>44470</v>
      </c>
      <c r="J113" s="100">
        <f ca="1">EFEITO!$J$113*EFEITO!$Y$97</f>
        <v>25716.986395602089</v>
      </c>
      <c r="K113" s="100">
        <f ca="1">EFEITO!$L$113*EFEITO!$Z$97</f>
        <v>3378.506856663982</v>
      </c>
      <c r="L113" s="100">
        <f>EFEITO!$N$113*EFEITO!$AA$97</f>
        <v>11916.436458447733</v>
      </c>
      <c r="M113" s="100">
        <f ca="1">$J$113-EFEITO!$K$113*EFEITO!$Y$113</f>
        <v>771.50959186806358</v>
      </c>
      <c r="N113" s="100">
        <f ca="1">$K$113-EFEITO!$M$113*EFEITO!$Z$113</f>
        <v>101.35520569991922</v>
      </c>
      <c r="O113" s="100">
        <f>$L$113-EFEITO!$O$113*EFEITO!$AA$113</f>
        <v>357.49309375343182</v>
      </c>
      <c r="P113" s="17"/>
      <c r="Q113" s="17"/>
      <c r="R113" s="17"/>
      <c r="S113" s="17"/>
      <c r="T113" s="17"/>
      <c r="U113" s="17"/>
      <c r="V113" s="17"/>
      <c r="W113" s="17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91" t="s">
        <v>21</v>
      </c>
      <c r="B114" s="91" t="s">
        <v>38</v>
      </c>
      <c r="C114" s="91" t="s">
        <v>39</v>
      </c>
      <c r="D114" s="91" t="s">
        <v>48</v>
      </c>
      <c r="E114" s="91" t="s">
        <v>49</v>
      </c>
      <c r="F114" s="91" t="s">
        <v>25</v>
      </c>
      <c r="G114" s="91" t="s">
        <v>25</v>
      </c>
      <c r="H114" s="91" t="s">
        <v>33</v>
      </c>
      <c r="I114" s="99">
        <v>44501</v>
      </c>
      <c r="J114" s="100">
        <f ca="1">EFEITO!$J$114*EFEITO!$Y$97</f>
        <v>26038.448725547114</v>
      </c>
      <c r="K114" s="100">
        <f ca="1">EFEITO!$L$114*EFEITO!$Z$97</f>
        <v>3511.2213820525931</v>
      </c>
      <c r="L114" s="100">
        <f>EFEITO!$N$114*EFEITO!$AA$97</f>
        <v>12384.53798258317</v>
      </c>
      <c r="M114" s="100">
        <f ca="1">$J$114-EFEITO!$K$114*EFEITO!$Y$114</f>
        <v>781.15346176641106</v>
      </c>
      <c r="N114" s="100">
        <f ca="1">$K$114-EFEITO!$M$114*EFEITO!$Z$114</f>
        <v>105.33664146157798</v>
      </c>
      <c r="O114" s="100">
        <f>$L$114-EFEITO!$O$114*EFEITO!$AA$114</f>
        <v>371.53613947749545</v>
      </c>
      <c r="P114" s="17"/>
      <c r="Q114" s="17"/>
      <c r="R114" s="17"/>
      <c r="S114" s="17"/>
      <c r="T114" s="17"/>
      <c r="U114" s="17"/>
      <c r="V114" s="17"/>
      <c r="W114" s="17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91" t="s">
        <v>21</v>
      </c>
      <c r="B115" s="91" t="s">
        <v>38</v>
      </c>
      <c r="C115" s="91" t="s">
        <v>39</v>
      </c>
      <c r="D115" s="91" t="s">
        <v>48</v>
      </c>
      <c r="E115" s="91" t="s">
        <v>49</v>
      </c>
      <c r="F115" s="91" t="s">
        <v>25</v>
      </c>
      <c r="G115" s="91" t="s">
        <v>25</v>
      </c>
      <c r="H115" s="91" t="s">
        <v>33</v>
      </c>
      <c r="I115" s="99">
        <v>44531</v>
      </c>
      <c r="J115" s="100">
        <f ca="1">EFEITO!$J$115*EFEITO!$Y$97</f>
        <v>26158.997099276501</v>
      </c>
      <c r="K115" s="100">
        <f ca="1">EFEITO!$L$115*EFEITO!$Z$97</f>
        <v>4196.5455588516324</v>
      </c>
      <c r="L115" s="100">
        <f>EFEITO!$N$115*EFEITO!$AA$97</f>
        <v>14801.766170282535</v>
      </c>
      <c r="M115" s="100">
        <f ca="1">$J$115-EFEITO!$K$115*EFEITO!$Y$115</f>
        <v>784.76991297829591</v>
      </c>
      <c r="N115" s="100">
        <f ca="1">$K$115-EFEITO!$M$115*EFEITO!$Z$115</f>
        <v>125.89636676554846</v>
      </c>
      <c r="O115" s="100">
        <f>$L$115-EFEITO!$O$115*EFEITO!$AA$115</f>
        <v>444.05298510847751</v>
      </c>
      <c r="P115" s="17"/>
      <c r="Q115" s="17"/>
      <c r="R115" s="17"/>
      <c r="S115" s="17"/>
      <c r="T115" s="17"/>
      <c r="U115" s="17"/>
      <c r="V115" s="17"/>
      <c r="W115" s="17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91" t="s">
        <v>21</v>
      </c>
      <c r="B116" s="91" t="s">
        <v>38</v>
      </c>
      <c r="C116" s="91" t="s">
        <v>39</v>
      </c>
      <c r="D116" s="91" t="s">
        <v>48</v>
      </c>
      <c r="E116" s="91" t="s">
        <v>49</v>
      </c>
      <c r="F116" s="91" t="s">
        <v>25</v>
      </c>
      <c r="G116" s="91" t="s">
        <v>25</v>
      </c>
      <c r="H116" s="91" t="s">
        <v>33</v>
      </c>
      <c r="I116" s="99">
        <v>44562</v>
      </c>
      <c r="J116" s="100">
        <f ca="1">EFEITO!$J$116*EFEITO!$Y$97</f>
        <v>26319.728264249014</v>
      </c>
      <c r="K116" s="100">
        <f ca="1">EFEITO!$L$116*EFEITO!$Z$97</f>
        <v>3823.8623221485718</v>
      </c>
      <c r="L116" s="100">
        <f>EFEITO!$N$116*EFEITO!$AA$97</f>
        <v>13487.263551902217</v>
      </c>
      <c r="M116" s="100">
        <f ca="1">$J$116-EFEITO!$K$116*EFEITO!$Y$116</f>
        <v>789.59184792746964</v>
      </c>
      <c r="N116" s="100">
        <f ca="1">$K$116-EFEITO!$M$116*EFEITO!$Z$116</f>
        <v>114.71586966445739</v>
      </c>
      <c r="O116" s="100">
        <f>$L$116-EFEITO!$O$116*EFEITO!$AA$116</f>
        <v>404.61790655706864</v>
      </c>
      <c r="P116" s="17"/>
      <c r="Q116" s="17"/>
      <c r="R116" s="17"/>
      <c r="S116" s="17"/>
      <c r="T116" s="17"/>
      <c r="U116" s="17"/>
      <c r="V116" s="17"/>
      <c r="W116" s="17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91" t="s">
        <v>21</v>
      </c>
      <c r="B117" s="91" t="s">
        <v>38</v>
      </c>
      <c r="C117" s="91" t="s">
        <v>39</v>
      </c>
      <c r="D117" s="91" t="s">
        <v>48</v>
      </c>
      <c r="E117" s="91" t="s">
        <v>49</v>
      </c>
      <c r="F117" s="91" t="s">
        <v>25</v>
      </c>
      <c r="G117" s="91" t="s">
        <v>25</v>
      </c>
      <c r="H117" s="91" t="s">
        <v>33</v>
      </c>
      <c r="I117" s="99">
        <v>44593</v>
      </c>
      <c r="J117" s="100">
        <f ca="1">EFEITO!$J$117*EFEITO!$Y$97</f>
        <v>27444.846419056605</v>
      </c>
      <c r="K117" s="100">
        <f ca="1">EFEITO!$L$117*EFEITO!$Z$97</f>
        <v>3669.5967220178532</v>
      </c>
      <c r="L117" s="100">
        <f>EFEITO!$N$117*EFEITO!$AA$97</f>
        <v>12943.148562744789</v>
      </c>
      <c r="M117" s="100">
        <f ca="1">$J$117-EFEITO!$K$117*EFEITO!$Y$117</f>
        <v>823.34539257169672</v>
      </c>
      <c r="N117" s="100">
        <f ca="1">$K$117-EFEITO!$M$117*EFEITO!$Z$117</f>
        <v>110.08790166053586</v>
      </c>
      <c r="O117" s="100">
        <f>$L$117-EFEITO!$O$117*EFEITO!$AA$117</f>
        <v>388.29445688234409</v>
      </c>
      <c r="P117" s="17"/>
      <c r="Q117" s="17"/>
      <c r="R117" s="17"/>
      <c r="S117" s="17"/>
      <c r="T117" s="17"/>
      <c r="U117" s="17"/>
      <c r="V117" s="17"/>
      <c r="W117" s="17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91" t="s">
        <v>21</v>
      </c>
      <c r="B118" s="91" t="s">
        <v>38</v>
      </c>
      <c r="C118" s="91" t="s">
        <v>39</v>
      </c>
      <c r="D118" s="91" t="s">
        <v>48</v>
      </c>
      <c r="E118" s="91" t="s">
        <v>49</v>
      </c>
      <c r="F118" s="91" t="s">
        <v>25</v>
      </c>
      <c r="G118" s="91" t="s">
        <v>25</v>
      </c>
      <c r="H118" s="91" t="s">
        <v>33</v>
      </c>
      <c r="I118" s="99">
        <v>44621</v>
      </c>
      <c r="J118" s="100">
        <f ca="1">EFEITO!$J$118*EFEITO!$Y$97</f>
        <v>26158.997099276501</v>
      </c>
      <c r="K118" s="100">
        <f ca="1">EFEITO!$L$118*EFEITO!$Z$97</f>
        <v>4004.7911124253405</v>
      </c>
      <c r="L118" s="100">
        <f>EFEITO!$N$118*EFEITO!$AA$97</f>
        <v>14125.423107086852</v>
      </c>
      <c r="M118" s="100">
        <f ca="1">$J$118-EFEITO!$K$118*EFEITO!$Y$118</f>
        <v>784.76991297829591</v>
      </c>
      <c r="N118" s="100">
        <f ca="1">$K$118-EFEITO!$M$118*EFEITO!$Z$118</f>
        <v>120.14373337276038</v>
      </c>
      <c r="O118" s="100">
        <f>$L$118-EFEITO!$O$118*EFEITO!$AA$118</f>
        <v>423.76269321260588</v>
      </c>
      <c r="P118" s="17"/>
      <c r="Q118" s="17"/>
      <c r="R118" s="17"/>
      <c r="S118" s="17"/>
      <c r="T118" s="17"/>
      <c r="U118" s="17"/>
      <c r="V118" s="17"/>
      <c r="W118" s="17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91" t="s">
        <v>21</v>
      </c>
      <c r="B119" s="91" t="s">
        <v>38</v>
      </c>
      <c r="C119" s="91" t="s">
        <v>39</v>
      </c>
      <c r="D119" s="91" t="s">
        <v>48</v>
      </c>
      <c r="E119" s="91" t="s">
        <v>49</v>
      </c>
      <c r="F119" s="91" t="s">
        <v>25</v>
      </c>
      <c r="G119" s="91" t="s">
        <v>25</v>
      </c>
      <c r="H119" s="91" t="s">
        <v>33</v>
      </c>
      <c r="I119" s="99">
        <v>44652</v>
      </c>
      <c r="J119" s="100">
        <f ca="1">EFEITO!$J$119*EFEITO!$Y$97</f>
        <v>26118.814308033372</v>
      </c>
      <c r="K119" s="100">
        <f ca="1">EFEITO!$L$119*EFEITO!$Z$97</f>
        <v>3485.7610425898229</v>
      </c>
      <c r="L119" s="100">
        <f>EFEITO!$N$119*EFEITO!$AA$97</f>
        <v>12294.736028557185</v>
      </c>
      <c r="M119" s="100">
        <f ca="1">$J$119-EFEITO!$K$119*EFEITO!$Y$119</f>
        <v>783.56442924099974</v>
      </c>
      <c r="N119" s="100">
        <f ca="1">$K$119-EFEITO!$M$119*EFEITO!$Z$119</f>
        <v>104.5728312776946</v>
      </c>
      <c r="O119" s="100">
        <f>$L$119-EFEITO!$O$119*EFEITO!$AA$119</f>
        <v>368.84208085671526</v>
      </c>
      <c r="P119" s="17"/>
      <c r="Q119" s="17"/>
      <c r="R119" s="17"/>
      <c r="S119" s="17"/>
      <c r="T119" s="17"/>
      <c r="U119" s="17"/>
      <c r="V119" s="17"/>
      <c r="W119" s="17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91" t="s">
        <v>21</v>
      </c>
      <c r="B120" s="91" t="s">
        <v>38</v>
      </c>
      <c r="C120" s="91" t="s">
        <v>39</v>
      </c>
      <c r="D120" s="91" t="s">
        <v>48</v>
      </c>
      <c r="E120" s="91" t="s">
        <v>49</v>
      </c>
      <c r="F120" s="91" t="s">
        <v>25</v>
      </c>
      <c r="G120" s="91" t="s">
        <v>25</v>
      </c>
      <c r="H120" s="91" t="s">
        <v>33</v>
      </c>
      <c r="I120" s="99">
        <v>44682</v>
      </c>
      <c r="J120" s="100">
        <f ca="1">EFEITO!$J$120*EFEITO!$Y$97</f>
        <v>26882.287341652809</v>
      </c>
      <c r="K120" s="100">
        <f ca="1">EFEITO!$L$120*EFEITO!$Z$97</f>
        <v>3976.1231711404894</v>
      </c>
      <c r="L120" s="100">
        <f>EFEITO!$N$120*EFEITO!$AA$97</f>
        <v>14024.307521057597</v>
      </c>
      <c r="M120" s="100">
        <f ca="1">$J$120-EFEITO!$K$120*EFEITO!$Y$120</f>
        <v>806.46862024958318</v>
      </c>
      <c r="N120" s="100">
        <f ca="1">$K$120-EFEITO!$M$120*EFEITO!$Z$120</f>
        <v>119.28369513421467</v>
      </c>
      <c r="O120" s="100">
        <f>$L$120-EFEITO!$O$120*EFEITO!$AA$120</f>
        <v>420.7292256317287</v>
      </c>
      <c r="P120" s="17"/>
      <c r="Q120" s="17"/>
      <c r="R120" s="17"/>
      <c r="S120" s="17"/>
      <c r="T120" s="17"/>
      <c r="U120" s="17"/>
      <c r="V120" s="17"/>
      <c r="W120" s="17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91" t="s">
        <v>56</v>
      </c>
      <c r="B121" s="91" t="s">
        <v>38</v>
      </c>
      <c r="C121" s="91" t="s">
        <v>39</v>
      </c>
      <c r="D121" s="91" t="s">
        <v>48</v>
      </c>
      <c r="E121" s="91" t="s">
        <v>49</v>
      </c>
      <c r="F121" s="91" t="s">
        <v>25</v>
      </c>
      <c r="G121" s="91" t="s">
        <v>25</v>
      </c>
      <c r="H121" s="91" t="s">
        <v>33</v>
      </c>
      <c r="I121" s="99">
        <v>44713</v>
      </c>
      <c r="J121" s="100">
        <f ca="1">EFEITO!$J$121*EFEITO!$Y$97</f>
        <v>26882.287341652809</v>
      </c>
      <c r="K121" s="100">
        <f ca="1">EFEITO!$L$121*EFEITO!$Z$97</f>
        <v>3976.1231711404894</v>
      </c>
      <c r="L121" s="100">
        <f>EFEITO!$N$121*EFEITO!$AA$97</f>
        <v>14024.307521057597</v>
      </c>
      <c r="M121" s="100">
        <f ca="1">$J$121-EFEITO!$K$121*EFEITO!$Y$121</f>
        <v>806.46862024958318</v>
      </c>
      <c r="N121" s="100">
        <f ca="1">$K$121-EFEITO!$M$121*EFEITO!$Z$121</f>
        <v>119.28369513421467</v>
      </c>
      <c r="O121" s="100">
        <f>$L$121-EFEITO!$O$121*EFEITO!$AA$121</f>
        <v>420.7292256317287</v>
      </c>
      <c r="P121" s="17"/>
      <c r="Q121" s="17"/>
      <c r="R121" s="17"/>
      <c r="S121" s="17"/>
      <c r="T121" s="17"/>
      <c r="U121" s="17"/>
      <c r="V121" s="17"/>
      <c r="W121" s="17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91" t="s">
        <v>21</v>
      </c>
      <c r="B122" s="91" t="s">
        <v>38</v>
      </c>
      <c r="C122" s="91" t="s">
        <v>59</v>
      </c>
      <c r="D122" s="91" t="s">
        <v>25</v>
      </c>
      <c r="E122" s="91" t="s">
        <v>25</v>
      </c>
      <c r="F122" s="91" t="s">
        <v>25</v>
      </c>
      <c r="G122" s="91" t="s">
        <v>60</v>
      </c>
      <c r="H122" s="91" t="s">
        <v>25</v>
      </c>
      <c r="I122" s="99">
        <v>44378</v>
      </c>
      <c r="J122" s="100">
        <f ca="1">EFEITO!$J$122*EFEITO!$Y$122</f>
        <v>5450.9137424633418</v>
      </c>
      <c r="K122" s="100">
        <f>EFEITO!$L$122*EFEITO!$Z$122</f>
        <v>0</v>
      </c>
      <c r="L122" s="100">
        <f>EFEITO!$N$122*EFEITO!$AA$122</f>
        <v>0</v>
      </c>
      <c r="M122" s="100">
        <f ca="1">$J$122-EFEITO!$K$122*EFEITO!$Y$122</f>
        <v>2725.4568712316709</v>
      </c>
      <c r="N122" s="100">
        <f>$K$122-EFEITO!$M$122*EFEITO!$Z$122</f>
        <v>0</v>
      </c>
      <c r="O122" s="100">
        <f>$L$122-EFEITO!$O$122*EFEITO!$AA$122</f>
        <v>0</v>
      </c>
      <c r="P122" s="17"/>
      <c r="Q122" s="17"/>
      <c r="R122" s="17"/>
      <c r="S122" s="17"/>
      <c r="T122" s="17"/>
      <c r="U122" s="17"/>
      <c r="V122" s="17"/>
      <c r="W122" s="17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91" t="s">
        <v>21</v>
      </c>
      <c r="B123" s="91" t="s">
        <v>38</v>
      </c>
      <c r="C123" s="91" t="s">
        <v>59</v>
      </c>
      <c r="D123" s="91" t="s">
        <v>25</v>
      </c>
      <c r="E123" s="91" t="s">
        <v>25</v>
      </c>
      <c r="F123" s="91" t="s">
        <v>25</v>
      </c>
      <c r="G123" s="91" t="s">
        <v>64</v>
      </c>
      <c r="H123" s="91" t="s">
        <v>25</v>
      </c>
      <c r="I123" s="99">
        <v>44378</v>
      </c>
      <c r="J123" s="100">
        <f ca="1">EFEITO!$J$123*EFEITO!$Y$123</f>
        <v>1526.2558478897356</v>
      </c>
      <c r="K123" s="100">
        <f>EFEITO!$L$123*EFEITO!$Z$123</f>
        <v>0</v>
      </c>
      <c r="L123" s="100">
        <f>EFEITO!$N$123*EFEITO!$AA$123</f>
        <v>0</v>
      </c>
      <c r="M123" s="100">
        <f ca="1">$J$123-EFEITO!$K$123*EFEITO!$Y$123</f>
        <v>763.1279239448678</v>
      </c>
      <c r="N123" s="100">
        <f>$K$123-EFEITO!$M$123*EFEITO!$Z$123</f>
        <v>0</v>
      </c>
      <c r="O123" s="100">
        <f>$L$123-EFEITO!$O$123*EFEITO!$AA$123</f>
        <v>0</v>
      </c>
      <c r="P123" s="17"/>
      <c r="Q123" s="17"/>
      <c r="R123" s="17"/>
      <c r="S123" s="17"/>
      <c r="T123" s="17"/>
      <c r="U123" s="17"/>
      <c r="V123" s="17"/>
      <c r="W123" s="17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91" t="s">
        <v>21</v>
      </c>
      <c r="B124" s="91" t="s">
        <v>38</v>
      </c>
      <c r="C124" s="91" t="s">
        <v>59</v>
      </c>
      <c r="D124" s="91" t="s">
        <v>25</v>
      </c>
      <c r="E124" s="91" t="s">
        <v>25</v>
      </c>
      <c r="F124" s="91" t="s">
        <v>25</v>
      </c>
      <c r="G124" s="91" t="s">
        <v>60</v>
      </c>
      <c r="H124" s="91" t="s">
        <v>25</v>
      </c>
      <c r="I124" s="99">
        <v>44409</v>
      </c>
      <c r="J124" s="100">
        <f ca="1">EFEITO!$J$124*EFEITO!$Y$124</f>
        <v>5450.9137424633418</v>
      </c>
      <c r="K124" s="100">
        <f>EFEITO!$L$124*EFEITO!$Z$124</f>
        <v>0</v>
      </c>
      <c r="L124" s="100">
        <f>EFEITO!$N$124*EFEITO!$AA$124</f>
        <v>0</v>
      </c>
      <c r="M124" s="100">
        <f ca="1">$J$124-EFEITO!$K$124*EFEITO!$Y$124</f>
        <v>2725.4568712316709</v>
      </c>
      <c r="N124" s="100">
        <f>$K$124-EFEITO!$M$124*EFEITO!$Z$124</f>
        <v>0</v>
      </c>
      <c r="O124" s="100">
        <f>$L$124-EFEITO!$O$124*EFEITO!$AA$124</f>
        <v>0</v>
      </c>
      <c r="P124" s="17"/>
      <c r="Q124" s="17"/>
      <c r="R124" s="17"/>
      <c r="S124" s="17"/>
      <c r="T124" s="17"/>
      <c r="U124" s="17"/>
      <c r="V124" s="17"/>
      <c r="W124" s="17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91" t="s">
        <v>21</v>
      </c>
      <c r="B125" s="91" t="s">
        <v>38</v>
      </c>
      <c r="C125" s="91" t="s">
        <v>59</v>
      </c>
      <c r="D125" s="91" t="s">
        <v>25</v>
      </c>
      <c r="E125" s="91" t="s">
        <v>25</v>
      </c>
      <c r="F125" s="91" t="s">
        <v>25</v>
      </c>
      <c r="G125" s="91" t="s">
        <v>64</v>
      </c>
      <c r="H125" s="91" t="s">
        <v>25</v>
      </c>
      <c r="I125" s="99">
        <v>44409</v>
      </c>
      <c r="J125" s="100">
        <f ca="1">EFEITO!$J$125*EFEITO!$Y$125</f>
        <v>1526.2558478897356</v>
      </c>
      <c r="K125" s="100">
        <f>EFEITO!$L$125*EFEITO!$Z$125</f>
        <v>0</v>
      </c>
      <c r="L125" s="100">
        <f>EFEITO!$N$125*EFEITO!$AA$125</f>
        <v>0</v>
      </c>
      <c r="M125" s="100">
        <f ca="1">$J$125-EFEITO!$K$125*EFEITO!$Y$125</f>
        <v>763.1279239448678</v>
      </c>
      <c r="N125" s="100">
        <f>$K$125-EFEITO!$M$125*EFEITO!$Z$125</f>
        <v>0</v>
      </c>
      <c r="O125" s="100">
        <f>$L$125-EFEITO!$O$125*EFEITO!$AA$125</f>
        <v>0</v>
      </c>
      <c r="P125" s="17"/>
      <c r="Q125" s="17"/>
      <c r="R125" s="17"/>
      <c r="S125" s="17"/>
      <c r="T125" s="17"/>
      <c r="U125" s="17"/>
      <c r="V125" s="17"/>
      <c r="W125" s="17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91" t="s">
        <v>21</v>
      </c>
      <c r="B126" s="91" t="s">
        <v>38</v>
      </c>
      <c r="C126" s="91" t="s">
        <v>59</v>
      </c>
      <c r="D126" s="91" t="s">
        <v>25</v>
      </c>
      <c r="E126" s="91" t="s">
        <v>25</v>
      </c>
      <c r="F126" s="91" t="s">
        <v>25</v>
      </c>
      <c r="G126" s="91" t="s">
        <v>60</v>
      </c>
      <c r="H126" s="91" t="s">
        <v>25</v>
      </c>
      <c r="I126" s="99">
        <v>44440</v>
      </c>
      <c r="J126" s="100">
        <f ca="1">EFEITO!$J$126*EFEITO!$Y$126</f>
        <v>5450.9137424633418</v>
      </c>
      <c r="K126" s="100">
        <f>EFEITO!$L$126*EFEITO!$Z$126</f>
        <v>0</v>
      </c>
      <c r="L126" s="100">
        <f>EFEITO!$N$126*EFEITO!$AA$126</f>
        <v>0</v>
      </c>
      <c r="M126" s="100">
        <f ca="1">$J$126-EFEITO!$K$126*EFEITO!$Y$126</f>
        <v>2725.4568712316709</v>
      </c>
      <c r="N126" s="100">
        <f>$K$126-EFEITO!$M$126*EFEITO!$Z$126</f>
        <v>0</v>
      </c>
      <c r="O126" s="100">
        <f>$L$126-EFEITO!$O$126*EFEITO!$AA$126</f>
        <v>0</v>
      </c>
      <c r="P126" s="17"/>
      <c r="Q126" s="17"/>
      <c r="R126" s="17"/>
      <c r="S126" s="17"/>
      <c r="T126" s="17"/>
      <c r="U126" s="17"/>
      <c r="V126" s="17"/>
      <c r="W126" s="17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91" t="s">
        <v>21</v>
      </c>
      <c r="B127" s="91" t="s">
        <v>38</v>
      </c>
      <c r="C127" s="91" t="s">
        <v>59</v>
      </c>
      <c r="D127" s="91" t="s">
        <v>25</v>
      </c>
      <c r="E127" s="91" t="s">
        <v>25</v>
      </c>
      <c r="F127" s="91" t="s">
        <v>25</v>
      </c>
      <c r="G127" s="91" t="s">
        <v>64</v>
      </c>
      <c r="H127" s="91" t="s">
        <v>25</v>
      </c>
      <c r="I127" s="99">
        <v>44440</v>
      </c>
      <c r="J127" s="100">
        <f ca="1">EFEITO!$J$127*EFEITO!$Y$127</f>
        <v>1526.2558478897356</v>
      </c>
      <c r="K127" s="100">
        <f>EFEITO!$L$127*EFEITO!$Z$127</f>
        <v>0</v>
      </c>
      <c r="L127" s="100">
        <f>EFEITO!$N$127*EFEITO!$AA$127</f>
        <v>0</v>
      </c>
      <c r="M127" s="100">
        <f ca="1">$J$127-EFEITO!$K$127*EFEITO!$Y$127</f>
        <v>763.1279239448678</v>
      </c>
      <c r="N127" s="100">
        <f>$K$127-EFEITO!$M$127*EFEITO!$Z$127</f>
        <v>0</v>
      </c>
      <c r="O127" s="100">
        <f>$L$127-EFEITO!$O$127*EFEITO!$AA$127</f>
        <v>0</v>
      </c>
      <c r="P127" s="17"/>
      <c r="Q127" s="17"/>
      <c r="R127" s="17"/>
      <c r="S127" s="17"/>
      <c r="T127" s="17"/>
      <c r="U127" s="17"/>
      <c r="V127" s="17"/>
      <c r="W127" s="17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91" t="s">
        <v>21</v>
      </c>
      <c r="B128" s="91" t="s">
        <v>38</v>
      </c>
      <c r="C128" s="91" t="s">
        <v>59</v>
      </c>
      <c r="D128" s="91" t="s">
        <v>25</v>
      </c>
      <c r="E128" s="91" t="s">
        <v>25</v>
      </c>
      <c r="F128" s="91" t="s">
        <v>25</v>
      </c>
      <c r="G128" s="91" t="s">
        <v>60</v>
      </c>
      <c r="H128" s="91" t="s">
        <v>25</v>
      </c>
      <c r="I128" s="99">
        <v>44470</v>
      </c>
      <c r="J128" s="100">
        <f ca="1">EFEITO!$J$128*EFEITO!$Y$128</f>
        <v>5450.9137424633418</v>
      </c>
      <c r="K128" s="100">
        <f>EFEITO!$L$128*EFEITO!$Z$128</f>
        <v>0</v>
      </c>
      <c r="L128" s="100">
        <f>EFEITO!$N$128*EFEITO!$AA$128</f>
        <v>0</v>
      </c>
      <c r="M128" s="100">
        <f ca="1">$J$128-EFEITO!$K$128*EFEITO!$Y$128</f>
        <v>2725.4568712316709</v>
      </c>
      <c r="N128" s="100">
        <f>$K$128-EFEITO!$M$128*EFEITO!$Z$128</f>
        <v>0</v>
      </c>
      <c r="O128" s="100">
        <f>$L$128-EFEITO!$O$128*EFEITO!$AA$128</f>
        <v>0</v>
      </c>
      <c r="P128" s="17"/>
      <c r="Q128" s="17"/>
      <c r="R128" s="17"/>
      <c r="S128" s="17"/>
      <c r="T128" s="17"/>
      <c r="U128" s="17"/>
      <c r="V128" s="17"/>
      <c r="W128" s="17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91" t="s">
        <v>21</v>
      </c>
      <c r="B129" s="91" t="s">
        <v>38</v>
      </c>
      <c r="C129" s="91" t="s">
        <v>59</v>
      </c>
      <c r="D129" s="91" t="s">
        <v>25</v>
      </c>
      <c r="E129" s="91" t="s">
        <v>25</v>
      </c>
      <c r="F129" s="91" t="s">
        <v>25</v>
      </c>
      <c r="G129" s="91" t="s">
        <v>64</v>
      </c>
      <c r="H129" s="91" t="s">
        <v>25</v>
      </c>
      <c r="I129" s="99">
        <v>44470</v>
      </c>
      <c r="J129" s="100">
        <f ca="1">EFEITO!$J$129*EFEITO!$Y$129</f>
        <v>1526.2558478897356</v>
      </c>
      <c r="K129" s="100">
        <f>EFEITO!$L$129*EFEITO!$Z$129</f>
        <v>0</v>
      </c>
      <c r="L129" s="100">
        <f>EFEITO!$N$129*EFEITO!$AA$129</f>
        <v>0</v>
      </c>
      <c r="M129" s="100">
        <f ca="1">$J$129-EFEITO!$K$129*EFEITO!$Y$129</f>
        <v>763.1279239448678</v>
      </c>
      <c r="N129" s="100">
        <f>$K$129-EFEITO!$M$129*EFEITO!$Z$129</f>
        <v>0</v>
      </c>
      <c r="O129" s="100">
        <f>$L$129-EFEITO!$O$129*EFEITO!$AA$129</f>
        <v>0</v>
      </c>
      <c r="P129" s="17"/>
      <c r="Q129" s="17"/>
      <c r="R129" s="17"/>
      <c r="S129" s="17"/>
      <c r="T129" s="17"/>
      <c r="U129" s="17"/>
      <c r="V129" s="17"/>
      <c r="W129" s="17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91" t="s">
        <v>21</v>
      </c>
      <c r="B130" s="91" t="s">
        <v>38</v>
      </c>
      <c r="C130" s="91" t="s">
        <v>59</v>
      </c>
      <c r="D130" s="91" t="s">
        <v>25</v>
      </c>
      <c r="E130" s="91" t="s">
        <v>25</v>
      </c>
      <c r="F130" s="91" t="s">
        <v>25</v>
      </c>
      <c r="G130" s="91" t="s">
        <v>60</v>
      </c>
      <c r="H130" s="91" t="s">
        <v>25</v>
      </c>
      <c r="I130" s="99">
        <v>44501</v>
      </c>
      <c r="J130" s="100">
        <f ca="1">EFEITO!$J$130*EFEITO!$Y$130</f>
        <v>5450.9137424633418</v>
      </c>
      <c r="K130" s="100">
        <f>EFEITO!$L$130*EFEITO!$Z$130</f>
        <v>0</v>
      </c>
      <c r="L130" s="100">
        <f>EFEITO!$N$130*EFEITO!$AA$130</f>
        <v>0</v>
      </c>
      <c r="M130" s="100">
        <f ca="1">$J$130-EFEITO!$K$130*EFEITO!$Y$130</f>
        <v>2725.4568712316709</v>
      </c>
      <c r="N130" s="100">
        <f>$K$130-EFEITO!$M$130*EFEITO!$Z$130</f>
        <v>0</v>
      </c>
      <c r="O130" s="100">
        <f>$L$130-EFEITO!$O$130*EFEITO!$AA$130</f>
        <v>0</v>
      </c>
      <c r="P130" s="17"/>
      <c r="Q130" s="17"/>
      <c r="R130" s="17"/>
      <c r="S130" s="17"/>
      <c r="T130" s="17"/>
      <c r="U130" s="17"/>
      <c r="V130" s="17"/>
      <c r="W130" s="17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91" t="s">
        <v>21</v>
      </c>
      <c r="B131" s="91" t="s">
        <v>38</v>
      </c>
      <c r="C131" s="91" t="s">
        <v>59</v>
      </c>
      <c r="D131" s="91" t="s">
        <v>25</v>
      </c>
      <c r="E131" s="91" t="s">
        <v>25</v>
      </c>
      <c r="F131" s="91" t="s">
        <v>25</v>
      </c>
      <c r="G131" s="91" t="s">
        <v>64</v>
      </c>
      <c r="H131" s="91" t="s">
        <v>25</v>
      </c>
      <c r="I131" s="99">
        <v>44501</v>
      </c>
      <c r="J131" s="100">
        <f ca="1">EFEITO!$J$131*EFEITO!$Y$131</f>
        <v>1526.2558478897356</v>
      </c>
      <c r="K131" s="100">
        <f>EFEITO!$L$131*EFEITO!$Z$131</f>
        <v>0</v>
      </c>
      <c r="L131" s="100">
        <f>EFEITO!$N$131*EFEITO!$AA$131</f>
        <v>0</v>
      </c>
      <c r="M131" s="100">
        <f ca="1">$J$131-EFEITO!$K$131*EFEITO!$Y$131</f>
        <v>763.1279239448678</v>
      </c>
      <c r="N131" s="100">
        <f>$K$131-EFEITO!$M$131*EFEITO!$Z$131</f>
        <v>0</v>
      </c>
      <c r="O131" s="100">
        <f>$L$131-EFEITO!$O$131*EFEITO!$AA$131</f>
        <v>0</v>
      </c>
      <c r="P131" s="17"/>
      <c r="Q131" s="17"/>
      <c r="R131" s="17"/>
      <c r="S131" s="17"/>
      <c r="T131" s="17"/>
      <c r="U131" s="17"/>
      <c r="V131" s="17"/>
      <c r="W131" s="17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91" t="s">
        <v>21</v>
      </c>
      <c r="B132" s="91" t="s">
        <v>38</v>
      </c>
      <c r="C132" s="91" t="s">
        <v>59</v>
      </c>
      <c r="D132" s="91" t="s">
        <v>25</v>
      </c>
      <c r="E132" s="91" t="s">
        <v>25</v>
      </c>
      <c r="F132" s="91" t="s">
        <v>25</v>
      </c>
      <c r="G132" s="91" t="s">
        <v>60</v>
      </c>
      <c r="H132" s="91" t="s">
        <v>25</v>
      </c>
      <c r="I132" s="99">
        <v>44531</v>
      </c>
      <c r="J132" s="100">
        <f ca="1">EFEITO!$J$132*EFEITO!$Y$132</f>
        <v>5450.9137424633418</v>
      </c>
      <c r="K132" s="100">
        <f>EFEITO!$L$132*EFEITO!$Z$132</f>
        <v>0</v>
      </c>
      <c r="L132" s="100">
        <f>EFEITO!$N$132*EFEITO!$AA$132</f>
        <v>0</v>
      </c>
      <c r="M132" s="100">
        <f ca="1">$J$132-EFEITO!$K$132*EFEITO!$Y$132</f>
        <v>2725.4568712316709</v>
      </c>
      <c r="N132" s="100">
        <f>$K$132-EFEITO!$M$132*EFEITO!$Z$132</f>
        <v>0</v>
      </c>
      <c r="O132" s="100">
        <f>$L$132-EFEITO!$O$132*EFEITO!$AA$132</f>
        <v>0</v>
      </c>
      <c r="P132" s="17"/>
      <c r="Q132" s="17"/>
      <c r="R132" s="17"/>
      <c r="S132" s="17"/>
      <c r="T132" s="17"/>
      <c r="U132" s="17"/>
      <c r="V132" s="17"/>
      <c r="W132" s="17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91" t="s">
        <v>21</v>
      </c>
      <c r="B133" s="91" t="s">
        <v>38</v>
      </c>
      <c r="C133" s="91" t="s">
        <v>59</v>
      </c>
      <c r="D133" s="91" t="s">
        <v>25</v>
      </c>
      <c r="E133" s="91" t="s">
        <v>25</v>
      </c>
      <c r="F133" s="91" t="s">
        <v>25</v>
      </c>
      <c r="G133" s="91" t="s">
        <v>64</v>
      </c>
      <c r="H133" s="91" t="s">
        <v>25</v>
      </c>
      <c r="I133" s="99">
        <v>44531</v>
      </c>
      <c r="J133" s="100">
        <f ca="1">EFEITO!$J$133*EFEITO!$Y$133</f>
        <v>1526.2558478897356</v>
      </c>
      <c r="K133" s="100">
        <f>EFEITO!$L$133*EFEITO!$Z$133</f>
        <v>0</v>
      </c>
      <c r="L133" s="100">
        <f>EFEITO!$N$133*EFEITO!$AA$133</f>
        <v>0</v>
      </c>
      <c r="M133" s="100">
        <f ca="1">$J$133-EFEITO!$K$133*EFEITO!$Y$133</f>
        <v>763.1279239448678</v>
      </c>
      <c r="N133" s="100">
        <f>$K$133-EFEITO!$M$133*EFEITO!$Z$133</f>
        <v>0</v>
      </c>
      <c r="O133" s="100">
        <f>$L$133-EFEITO!$O$133*EFEITO!$AA$133</f>
        <v>0</v>
      </c>
      <c r="P133" s="17"/>
      <c r="Q133" s="17"/>
      <c r="R133" s="17"/>
      <c r="S133" s="17"/>
      <c r="T133" s="17"/>
      <c r="U133" s="17"/>
      <c r="V133" s="17"/>
      <c r="W133" s="17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91" t="s">
        <v>21</v>
      </c>
      <c r="B134" s="91" t="s">
        <v>38</v>
      </c>
      <c r="C134" s="91" t="s">
        <v>59</v>
      </c>
      <c r="D134" s="91" t="s">
        <v>25</v>
      </c>
      <c r="E134" s="91" t="s">
        <v>25</v>
      </c>
      <c r="F134" s="91" t="s">
        <v>25</v>
      </c>
      <c r="G134" s="91" t="s">
        <v>60</v>
      </c>
      <c r="H134" s="91" t="s">
        <v>25</v>
      </c>
      <c r="I134" s="99">
        <v>44562</v>
      </c>
      <c r="J134" s="100">
        <f ca="1">EFEITO!$J$134*EFEITO!$Y$134</f>
        <v>5450.9137424633418</v>
      </c>
      <c r="K134" s="100">
        <f>EFEITO!$L$134*EFEITO!$Z$134</f>
        <v>0</v>
      </c>
      <c r="L134" s="100">
        <f>EFEITO!$N$134*EFEITO!$AA$134</f>
        <v>0</v>
      </c>
      <c r="M134" s="100">
        <f ca="1">$J$134-EFEITO!$K$134*EFEITO!$Y$134</f>
        <v>2725.4568712316709</v>
      </c>
      <c r="N134" s="100">
        <f>$K$134-EFEITO!$M$134*EFEITO!$Z$134</f>
        <v>0</v>
      </c>
      <c r="O134" s="100">
        <f>$L$134-EFEITO!$O$134*EFEITO!$AA$134</f>
        <v>0</v>
      </c>
      <c r="P134" s="17"/>
      <c r="Q134" s="17"/>
      <c r="R134" s="17"/>
      <c r="S134" s="17"/>
      <c r="T134" s="17"/>
      <c r="U134" s="17"/>
      <c r="V134" s="17"/>
      <c r="W134" s="17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91" t="s">
        <v>21</v>
      </c>
      <c r="B135" s="91" t="s">
        <v>38</v>
      </c>
      <c r="C135" s="91" t="s">
        <v>59</v>
      </c>
      <c r="D135" s="91" t="s">
        <v>25</v>
      </c>
      <c r="E135" s="91" t="s">
        <v>25</v>
      </c>
      <c r="F135" s="91" t="s">
        <v>25</v>
      </c>
      <c r="G135" s="91" t="s">
        <v>64</v>
      </c>
      <c r="H135" s="91" t="s">
        <v>25</v>
      </c>
      <c r="I135" s="99">
        <v>44562</v>
      </c>
      <c r="J135" s="100">
        <f ca="1">EFEITO!$J$135*EFEITO!$Y$135</f>
        <v>1526.2558478897356</v>
      </c>
      <c r="K135" s="100">
        <f>EFEITO!$L$135*EFEITO!$Z$135</f>
        <v>0</v>
      </c>
      <c r="L135" s="100">
        <f>EFEITO!$N$135*EFEITO!$AA$135</f>
        <v>0</v>
      </c>
      <c r="M135" s="100">
        <f ca="1">$J$135-EFEITO!$K$135*EFEITO!$Y$135</f>
        <v>763.1279239448678</v>
      </c>
      <c r="N135" s="100">
        <f>$K$135-EFEITO!$M$135*EFEITO!$Z$135</f>
        <v>0</v>
      </c>
      <c r="O135" s="100">
        <f>$L$135-EFEITO!$O$135*EFEITO!$AA$135</f>
        <v>0</v>
      </c>
      <c r="P135" s="17"/>
      <c r="Q135" s="17"/>
      <c r="R135" s="17"/>
      <c r="S135" s="17"/>
      <c r="T135" s="17"/>
      <c r="U135" s="17"/>
      <c r="V135" s="17"/>
      <c r="W135" s="17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91" t="s">
        <v>21</v>
      </c>
      <c r="B136" s="91" t="s">
        <v>38</v>
      </c>
      <c r="C136" s="91" t="s">
        <v>59</v>
      </c>
      <c r="D136" s="91" t="s">
        <v>25</v>
      </c>
      <c r="E136" s="91" t="s">
        <v>25</v>
      </c>
      <c r="F136" s="91" t="s">
        <v>25</v>
      </c>
      <c r="G136" s="91" t="s">
        <v>60</v>
      </c>
      <c r="H136" s="91" t="s">
        <v>25</v>
      </c>
      <c r="I136" s="99">
        <v>44593</v>
      </c>
      <c r="J136" s="100">
        <f ca="1">EFEITO!$J$136*EFEITO!$Y$136</f>
        <v>5450.9137424633418</v>
      </c>
      <c r="K136" s="100">
        <f>EFEITO!$L$136*EFEITO!$Z$136</f>
        <v>0</v>
      </c>
      <c r="L136" s="100">
        <f>EFEITO!$N$136*EFEITO!$AA$136</f>
        <v>0</v>
      </c>
      <c r="M136" s="100">
        <f ca="1">$J$136-EFEITO!$K$136*EFEITO!$Y$136</f>
        <v>2725.4568712316709</v>
      </c>
      <c r="N136" s="100">
        <f>$K$136-EFEITO!$M$136*EFEITO!$Z$136</f>
        <v>0</v>
      </c>
      <c r="O136" s="100">
        <f>$L$136-EFEITO!$O$136*EFEITO!$AA$136</f>
        <v>0</v>
      </c>
      <c r="P136" s="17"/>
      <c r="Q136" s="17"/>
      <c r="R136" s="17"/>
      <c r="S136" s="17"/>
      <c r="T136" s="17"/>
      <c r="U136" s="17"/>
      <c r="V136" s="17"/>
      <c r="W136" s="17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91" t="s">
        <v>21</v>
      </c>
      <c r="B137" s="91" t="s">
        <v>38</v>
      </c>
      <c r="C137" s="91" t="s">
        <v>59</v>
      </c>
      <c r="D137" s="91" t="s">
        <v>25</v>
      </c>
      <c r="E137" s="91" t="s">
        <v>25</v>
      </c>
      <c r="F137" s="91" t="s">
        <v>25</v>
      </c>
      <c r="G137" s="91" t="s">
        <v>64</v>
      </c>
      <c r="H137" s="91" t="s">
        <v>25</v>
      </c>
      <c r="I137" s="99">
        <v>44593</v>
      </c>
      <c r="J137" s="100">
        <f ca="1">EFEITO!$J$137*EFEITO!$Y$137</f>
        <v>1526.2558478897356</v>
      </c>
      <c r="K137" s="100">
        <f>EFEITO!$L$137*EFEITO!$Z$137</f>
        <v>0</v>
      </c>
      <c r="L137" s="100">
        <f>EFEITO!$N$137*EFEITO!$AA$137</f>
        <v>0</v>
      </c>
      <c r="M137" s="100">
        <f ca="1">$J$137-EFEITO!$K$137*EFEITO!$Y$137</f>
        <v>763.1279239448678</v>
      </c>
      <c r="N137" s="100">
        <f>$K$137-EFEITO!$M$137*EFEITO!$Z$137</f>
        <v>0</v>
      </c>
      <c r="O137" s="100">
        <f>$L$137-EFEITO!$O$137*EFEITO!$AA$137</f>
        <v>0</v>
      </c>
      <c r="P137" s="17"/>
      <c r="Q137" s="17"/>
      <c r="R137" s="17"/>
      <c r="S137" s="17"/>
      <c r="T137" s="17"/>
      <c r="U137" s="17"/>
      <c r="V137" s="17"/>
      <c r="W137" s="17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91" t="s">
        <v>21</v>
      </c>
      <c r="B138" s="91" t="s">
        <v>38</v>
      </c>
      <c r="C138" s="91" t="s">
        <v>59</v>
      </c>
      <c r="D138" s="91" t="s">
        <v>25</v>
      </c>
      <c r="E138" s="91" t="s">
        <v>25</v>
      </c>
      <c r="F138" s="91" t="s">
        <v>25</v>
      </c>
      <c r="G138" s="91" t="s">
        <v>60</v>
      </c>
      <c r="H138" s="91" t="s">
        <v>25</v>
      </c>
      <c r="I138" s="99">
        <v>44621</v>
      </c>
      <c r="J138" s="100">
        <f ca="1">EFEITO!$J$138*EFEITO!$Y$138</f>
        <v>5450.9137424633418</v>
      </c>
      <c r="K138" s="100">
        <f>EFEITO!$L$138*EFEITO!$Z$138</f>
        <v>0</v>
      </c>
      <c r="L138" s="100">
        <f>EFEITO!$N$138*EFEITO!$AA$138</f>
        <v>0</v>
      </c>
      <c r="M138" s="100">
        <f ca="1">$J$138-EFEITO!$K$138*EFEITO!$Y$138</f>
        <v>2725.4568712316709</v>
      </c>
      <c r="N138" s="100">
        <f>$K$138-EFEITO!$M$138*EFEITO!$Z$138</f>
        <v>0</v>
      </c>
      <c r="O138" s="100">
        <f>$L$138-EFEITO!$O$138*EFEITO!$AA$138</f>
        <v>0</v>
      </c>
      <c r="P138" s="17"/>
      <c r="Q138" s="17"/>
      <c r="R138" s="17"/>
      <c r="S138" s="17"/>
      <c r="T138" s="17"/>
      <c r="U138" s="17"/>
      <c r="V138" s="17"/>
      <c r="W138" s="17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91" t="s">
        <v>21</v>
      </c>
      <c r="B139" s="91" t="s">
        <v>38</v>
      </c>
      <c r="C139" s="91" t="s">
        <v>59</v>
      </c>
      <c r="D139" s="91" t="s">
        <v>25</v>
      </c>
      <c r="E139" s="91" t="s">
        <v>25</v>
      </c>
      <c r="F139" s="91" t="s">
        <v>25</v>
      </c>
      <c r="G139" s="91" t="s">
        <v>64</v>
      </c>
      <c r="H139" s="91" t="s">
        <v>25</v>
      </c>
      <c r="I139" s="99">
        <v>44621</v>
      </c>
      <c r="J139" s="100">
        <f ca="1">EFEITO!$J$139*EFEITO!$Y$139</f>
        <v>1526.2558478897356</v>
      </c>
      <c r="K139" s="100">
        <f>EFEITO!$L$139*EFEITO!$Z$139</f>
        <v>0</v>
      </c>
      <c r="L139" s="100">
        <f>EFEITO!$N$139*EFEITO!$AA$139</f>
        <v>0</v>
      </c>
      <c r="M139" s="100">
        <f ca="1">$J$139-EFEITO!$K$139*EFEITO!$Y$139</f>
        <v>763.1279239448678</v>
      </c>
      <c r="N139" s="100">
        <f>$K$139-EFEITO!$M$139*EFEITO!$Z$139</f>
        <v>0</v>
      </c>
      <c r="O139" s="100">
        <f>$L$139-EFEITO!$O$139*EFEITO!$AA$139</f>
        <v>0</v>
      </c>
      <c r="P139" s="17"/>
      <c r="Q139" s="17"/>
      <c r="R139" s="17"/>
      <c r="S139" s="17"/>
      <c r="T139" s="17"/>
      <c r="U139" s="17"/>
      <c r="V139" s="17"/>
      <c r="W139" s="17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91" t="s">
        <v>21</v>
      </c>
      <c r="B140" s="91" t="s">
        <v>38</v>
      </c>
      <c r="C140" s="91" t="s">
        <v>59</v>
      </c>
      <c r="D140" s="91" t="s">
        <v>25</v>
      </c>
      <c r="E140" s="91" t="s">
        <v>25</v>
      </c>
      <c r="F140" s="91" t="s">
        <v>25</v>
      </c>
      <c r="G140" s="91" t="s">
        <v>60</v>
      </c>
      <c r="H140" s="91" t="s">
        <v>25</v>
      </c>
      <c r="I140" s="99">
        <v>44652</v>
      </c>
      <c r="J140" s="100">
        <f ca="1">EFEITO!$J$140*EFEITO!$Y$140</f>
        <v>5450.9137424633418</v>
      </c>
      <c r="K140" s="100">
        <f>EFEITO!$L$140*EFEITO!$Z$140</f>
        <v>0</v>
      </c>
      <c r="L140" s="100">
        <f>EFEITO!$N$140*EFEITO!$AA$140</f>
        <v>0</v>
      </c>
      <c r="M140" s="100">
        <f ca="1">$J$140-EFEITO!$K$140*EFEITO!$Y$140</f>
        <v>2725.4568712316709</v>
      </c>
      <c r="N140" s="100">
        <f>$K$140-EFEITO!$M$140*EFEITO!$Z$140</f>
        <v>0</v>
      </c>
      <c r="O140" s="100">
        <f>$L$140-EFEITO!$O$140*EFEITO!$AA$140</f>
        <v>0</v>
      </c>
      <c r="P140" s="17"/>
      <c r="Q140" s="17"/>
      <c r="R140" s="17"/>
      <c r="S140" s="17"/>
      <c r="T140" s="17"/>
      <c r="U140" s="17"/>
      <c r="V140" s="17"/>
      <c r="W140" s="17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91" t="s">
        <v>21</v>
      </c>
      <c r="B141" s="91" t="s">
        <v>38</v>
      </c>
      <c r="C141" s="91" t="s">
        <v>59</v>
      </c>
      <c r="D141" s="91" t="s">
        <v>25</v>
      </c>
      <c r="E141" s="91" t="s">
        <v>25</v>
      </c>
      <c r="F141" s="91" t="s">
        <v>25</v>
      </c>
      <c r="G141" s="91" t="s">
        <v>64</v>
      </c>
      <c r="H141" s="91" t="s">
        <v>25</v>
      </c>
      <c r="I141" s="99">
        <v>44652</v>
      </c>
      <c r="J141" s="100">
        <f ca="1">EFEITO!$J$141*EFEITO!$Y$141</f>
        <v>1526.2558478897356</v>
      </c>
      <c r="K141" s="100">
        <f>EFEITO!$L$141*EFEITO!$Z$141</f>
        <v>0</v>
      </c>
      <c r="L141" s="100">
        <f>EFEITO!$N$141*EFEITO!$AA$141</f>
        <v>0</v>
      </c>
      <c r="M141" s="100">
        <f ca="1">$J$141-EFEITO!$K$141*EFEITO!$Y$141</f>
        <v>763.1279239448678</v>
      </c>
      <c r="N141" s="100">
        <f>$K$141-EFEITO!$M$141*EFEITO!$Z$141</f>
        <v>0</v>
      </c>
      <c r="O141" s="100">
        <f>$L$141-EFEITO!$O$141*EFEITO!$AA$141</f>
        <v>0</v>
      </c>
      <c r="P141" s="17"/>
      <c r="Q141" s="17"/>
      <c r="R141" s="17"/>
      <c r="S141" s="17"/>
      <c r="T141" s="17"/>
      <c r="U141" s="17"/>
      <c r="V141" s="17"/>
      <c r="W141" s="17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91" t="s">
        <v>21</v>
      </c>
      <c r="B142" s="91" t="s">
        <v>38</v>
      </c>
      <c r="C142" s="91" t="s">
        <v>59</v>
      </c>
      <c r="D142" s="91" t="s">
        <v>25</v>
      </c>
      <c r="E142" s="91" t="s">
        <v>25</v>
      </c>
      <c r="F142" s="91" t="s">
        <v>25</v>
      </c>
      <c r="G142" s="91" t="s">
        <v>60</v>
      </c>
      <c r="H142" s="91" t="s">
        <v>25</v>
      </c>
      <c r="I142" s="99">
        <v>44682</v>
      </c>
      <c r="J142" s="100">
        <f ca="1">EFEITO!$J$142*EFEITO!$Y$142</f>
        <v>5450.9137424633418</v>
      </c>
      <c r="K142" s="100">
        <f>EFEITO!$L$142*EFEITO!$Z$142</f>
        <v>0</v>
      </c>
      <c r="L142" s="100">
        <f>EFEITO!$N$142*EFEITO!$AA$142</f>
        <v>0</v>
      </c>
      <c r="M142" s="100">
        <f ca="1">$J$142-EFEITO!$K$142*EFEITO!$Y$142</f>
        <v>2725.4568712316709</v>
      </c>
      <c r="N142" s="100">
        <f>$K$142-EFEITO!$M$142*EFEITO!$Z$142</f>
        <v>0</v>
      </c>
      <c r="O142" s="100">
        <f>$L$142-EFEITO!$O$142*EFEITO!$AA$142</f>
        <v>0</v>
      </c>
      <c r="P142" s="17"/>
      <c r="Q142" s="17"/>
      <c r="R142" s="17"/>
      <c r="S142" s="17"/>
      <c r="T142" s="17"/>
      <c r="U142" s="17"/>
      <c r="V142" s="17"/>
      <c r="W142" s="17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91" t="s">
        <v>21</v>
      </c>
      <c r="B143" s="91" t="s">
        <v>38</v>
      </c>
      <c r="C143" s="91" t="s">
        <v>59</v>
      </c>
      <c r="D143" s="91" t="s">
        <v>25</v>
      </c>
      <c r="E143" s="91" t="s">
        <v>25</v>
      </c>
      <c r="F143" s="91" t="s">
        <v>25</v>
      </c>
      <c r="G143" s="91" t="s">
        <v>64</v>
      </c>
      <c r="H143" s="91" t="s">
        <v>25</v>
      </c>
      <c r="I143" s="99">
        <v>44682</v>
      </c>
      <c r="J143" s="100">
        <f ca="1">EFEITO!$J$143*EFEITO!$Y$143</f>
        <v>1526.2558478897356</v>
      </c>
      <c r="K143" s="100">
        <f>EFEITO!$L$143*EFEITO!$Z$143</f>
        <v>0</v>
      </c>
      <c r="L143" s="100">
        <f>EFEITO!$N$143*EFEITO!$AA$143</f>
        <v>0</v>
      </c>
      <c r="M143" s="100">
        <f ca="1">$J$143-EFEITO!$K$143*EFEITO!$Y$143</f>
        <v>763.1279239448678</v>
      </c>
      <c r="N143" s="100">
        <f>$K$143-EFEITO!$M$143*EFEITO!$Z$143</f>
        <v>0</v>
      </c>
      <c r="O143" s="100">
        <f>$L$143-EFEITO!$O$143*EFEITO!$AA$143</f>
        <v>0</v>
      </c>
      <c r="P143" s="17"/>
      <c r="Q143" s="17"/>
      <c r="R143" s="17"/>
      <c r="S143" s="17"/>
      <c r="T143" s="17"/>
      <c r="U143" s="17"/>
      <c r="V143" s="17"/>
      <c r="W143" s="17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91" t="s">
        <v>56</v>
      </c>
      <c r="B144" s="91" t="s">
        <v>38</v>
      </c>
      <c r="C144" s="91" t="s">
        <v>59</v>
      </c>
      <c r="D144" s="91" t="s">
        <v>25</v>
      </c>
      <c r="E144" s="91" t="s">
        <v>25</v>
      </c>
      <c r="F144" s="91" t="s">
        <v>25</v>
      </c>
      <c r="G144" s="91" t="s">
        <v>60</v>
      </c>
      <c r="H144" s="91" t="s">
        <v>25</v>
      </c>
      <c r="I144" s="99">
        <v>44713</v>
      </c>
      <c r="J144" s="100">
        <f ca="1">EFEITO!$J$144*EFEITO!$Y$144</f>
        <v>5450.9137424633418</v>
      </c>
      <c r="K144" s="100">
        <f>EFEITO!$L$144*EFEITO!$Z$144</f>
        <v>0</v>
      </c>
      <c r="L144" s="100">
        <f>EFEITO!$N$144*EFEITO!$AA$144</f>
        <v>0</v>
      </c>
      <c r="M144" s="100">
        <f ca="1">$J$144-EFEITO!$K$144*EFEITO!$Y$144</f>
        <v>2725.4568712316709</v>
      </c>
      <c r="N144" s="100">
        <f>$K$144-EFEITO!$M$144*EFEITO!$Z$144</f>
        <v>0</v>
      </c>
      <c r="O144" s="100">
        <f>$L$144-EFEITO!$O$144*EFEITO!$AA$144</f>
        <v>0</v>
      </c>
      <c r="P144" s="17"/>
      <c r="Q144" s="17"/>
      <c r="R144" s="17"/>
      <c r="S144" s="17"/>
      <c r="T144" s="17"/>
      <c r="U144" s="17"/>
      <c r="V144" s="17"/>
      <c r="W144" s="17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91" t="s">
        <v>56</v>
      </c>
      <c r="B145" s="91" t="s">
        <v>38</v>
      </c>
      <c r="C145" s="91" t="s">
        <v>59</v>
      </c>
      <c r="D145" s="91" t="s">
        <v>25</v>
      </c>
      <c r="E145" s="91" t="s">
        <v>25</v>
      </c>
      <c r="F145" s="91" t="s">
        <v>25</v>
      </c>
      <c r="G145" s="91" t="s">
        <v>64</v>
      </c>
      <c r="H145" s="91" t="s">
        <v>25</v>
      </c>
      <c r="I145" s="99">
        <v>44713</v>
      </c>
      <c r="J145" s="100">
        <f ca="1">EFEITO!$J$145*EFEITO!$Y$145</f>
        <v>1526.2558478897356</v>
      </c>
      <c r="K145" s="100">
        <f>EFEITO!$L$145*EFEITO!$Z$145</f>
        <v>0</v>
      </c>
      <c r="L145" s="100">
        <f>EFEITO!$N$145*EFEITO!$AA$145</f>
        <v>0</v>
      </c>
      <c r="M145" s="100">
        <f ca="1">$J$145-EFEITO!$K$145*EFEITO!$Y$145</f>
        <v>763.1279239448678</v>
      </c>
      <c r="N145" s="100">
        <f>$K$145-EFEITO!$M$145*EFEITO!$Z$145</f>
        <v>0</v>
      </c>
      <c r="O145" s="100">
        <f>$L$145-EFEITO!$O$145*EFEITO!$AA$145</f>
        <v>0</v>
      </c>
      <c r="P145" s="17"/>
      <c r="Q145" s="17"/>
      <c r="R145" s="17"/>
      <c r="S145" s="17"/>
      <c r="T145" s="17"/>
      <c r="U145" s="17"/>
      <c r="V145" s="17"/>
      <c r="W145" s="17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91" t="s">
        <v>21</v>
      </c>
      <c r="B146" s="91" t="s">
        <v>38</v>
      </c>
      <c r="C146" s="91" t="s">
        <v>40</v>
      </c>
      <c r="D146" s="91" t="s">
        <v>41</v>
      </c>
      <c r="E146" s="91" t="s">
        <v>25</v>
      </c>
      <c r="F146" s="91" t="s">
        <v>25</v>
      </c>
      <c r="G146" s="91" t="s">
        <v>25</v>
      </c>
      <c r="H146" s="91" t="s">
        <v>34</v>
      </c>
      <c r="I146" s="99">
        <v>44378</v>
      </c>
      <c r="J146" s="100">
        <f>EFEITO!$J$146*EFEITO!$Y$146</f>
        <v>0</v>
      </c>
      <c r="K146" s="100">
        <f ca="1">EFEITO!$L$146*EFEITO!$Z$146</f>
        <v>74920.958133920401</v>
      </c>
      <c r="L146" s="100">
        <f>EFEITO!$N$146*EFEITO!$AA$146</f>
        <v>163989.74407036451</v>
      </c>
      <c r="M146" s="100">
        <f>$J$146-EFEITO!$K$146*EFEITO!$Y$146</f>
        <v>0</v>
      </c>
      <c r="N146" s="100">
        <f ca="1">$K$146-EFEITO!$M$146*EFEITO!$Z$146</f>
        <v>0</v>
      </c>
      <c r="O146" s="100">
        <f>$L$146-EFEITO!$O$146*EFEITO!$AA$146</f>
        <v>0</v>
      </c>
      <c r="P146" s="17"/>
      <c r="Q146" s="17"/>
      <c r="R146" s="17"/>
      <c r="S146" s="17"/>
      <c r="T146" s="17"/>
      <c r="U146" s="17"/>
      <c r="V146" s="17"/>
      <c r="W146" s="17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91" t="s">
        <v>21</v>
      </c>
      <c r="B147" s="91" t="s">
        <v>38</v>
      </c>
      <c r="C147" s="91" t="s">
        <v>40</v>
      </c>
      <c r="D147" s="91" t="s">
        <v>41</v>
      </c>
      <c r="E147" s="91" t="s">
        <v>25</v>
      </c>
      <c r="F147" s="91" t="s">
        <v>25</v>
      </c>
      <c r="G147" s="91" t="s">
        <v>25</v>
      </c>
      <c r="H147" s="91" t="s">
        <v>34</v>
      </c>
      <c r="I147" s="99">
        <v>44409</v>
      </c>
      <c r="J147" s="100">
        <f>EFEITO!$J$147*EFEITO!$Y$147</f>
        <v>0</v>
      </c>
      <c r="K147" s="100">
        <f ca="1">EFEITO!$L$147*EFEITO!$Z$147</f>
        <v>69495.099176756135</v>
      </c>
      <c r="L147" s="100">
        <f>EFEITO!$N$147*EFEITO!$AA$147</f>
        <v>152113.42476119631</v>
      </c>
      <c r="M147" s="100">
        <f>$J$147-EFEITO!$K$147*EFEITO!$Y$147</f>
        <v>0</v>
      </c>
      <c r="N147" s="100">
        <f ca="1">$K$147-EFEITO!$M$147*EFEITO!$Z$147</f>
        <v>0</v>
      </c>
      <c r="O147" s="100">
        <f>$L$147-EFEITO!$O$147*EFEITO!$AA$147</f>
        <v>0</v>
      </c>
      <c r="P147" s="17"/>
      <c r="Q147" s="17"/>
      <c r="R147" s="17"/>
      <c r="S147" s="17"/>
      <c r="T147" s="17"/>
      <c r="U147" s="17"/>
      <c r="V147" s="17"/>
      <c r="W147" s="17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91" t="s">
        <v>21</v>
      </c>
      <c r="B148" s="91" t="s">
        <v>38</v>
      </c>
      <c r="C148" s="91" t="s">
        <v>40</v>
      </c>
      <c r="D148" s="91" t="s">
        <v>41</v>
      </c>
      <c r="E148" s="91" t="s">
        <v>25</v>
      </c>
      <c r="F148" s="91" t="s">
        <v>25</v>
      </c>
      <c r="G148" s="91" t="s">
        <v>25</v>
      </c>
      <c r="H148" s="91" t="s">
        <v>34</v>
      </c>
      <c r="I148" s="99">
        <v>44440</v>
      </c>
      <c r="J148" s="100">
        <f>EFEITO!$J$148*EFEITO!$Y$148</f>
        <v>0</v>
      </c>
      <c r="K148" s="100">
        <f ca="1">EFEITO!$L$148*EFEITO!$Z$148</f>
        <v>66766.933589519118</v>
      </c>
      <c r="L148" s="100">
        <f>EFEITO!$N$148*EFEITO!$AA$148</f>
        <v>146141.91575255725</v>
      </c>
      <c r="M148" s="100">
        <f>$J$148-EFEITO!$K$148*EFEITO!$Y$148</f>
        <v>0</v>
      </c>
      <c r="N148" s="100">
        <f ca="1">$K$148-EFEITO!$M$148*EFEITO!$Z$148</f>
        <v>0</v>
      </c>
      <c r="O148" s="100">
        <f>$L$148-EFEITO!$O$148*EFEITO!$AA$148</f>
        <v>0</v>
      </c>
      <c r="P148" s="17"/>
      <c r="Q148" s="17"/>
      <c r="R148" s="17"/>
      <c r="S148" s="17"/>
      <c r="T148" s="17"/>
      <c r="U148" s="17"/>
      <c r="V148" s="17"/>
      <c r="W148" s="17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91" t="s">
        <v>21</v>
      </c>
      <c r="B149" s="91" t="s">
        <v>38</v>
      </c>
      <c r="C149" s="91" t="s">
        <v>40</v>
      </c>
      <c r="D149" s="91" t="s">
        <v>41</v>
      </c>
      <c r="E149" s="91" t="s">
        <v>25</v>
      </c>
      <c r="F149" s="91" t="s">
        <v>25</v>
      </c>
      <c r="G149" s="91" t="s">
        <v>25</v>
      </c>
      <c r="H149" s="91" t="s">
        <v>34</v>
      </c>
      <c r="I149" s="99">
        <v>44470</v>
      </c>
      <c r="J149" s="100">
        <f>EFEITO!$J$149*EFEITO!$Y$149</f>
        <v>0</v>
      </c>
      <c r="K149" s="100">
        <f ca="1">EFEITO!$L$149*EFEITO!$Z$149</f>
        <v>75075.524446721931</v>
      </c>
      <c r="L149" s="100">
        <f>EFEITO!$N$149*EFEITO!$AA$149</f>
        <v>164328.06449110602</v>
      </c>
      <c r="M149" s="100">
        <f>$J$149-EFEITO!$K$149*EFEITO!$Y$149</f>
        <v>0</v>
      </c>
      <c r="N149" s="100">
        <f ca="1">$K$149-EFEITO!$M$149*EFEITO!$Z$149</f>
        <v>0</v>
      </c>
      <c r="O149" s="100">
        <f>$L$149-EFEITO!$O$149*EFEITO!$AA$149</f>
        <v>0</v>
      </c>
      <c r="P149" s="17"/>
      <c r="Q149" s="17"/>
      <c r="R149" s="17"/>
      <c r="S149" s="17"/>
      <c r="T149" s="17"/>
      <c r="U149" s="17"/>
      <c r="V149" s="17"/>
      <c r="W149" s="17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91" t="s">
        <v>21</v>
      </c>
      <c r="B150" s="91" t="s">
        <v>38</v>
      </c>
      <c r="C150" s="91" t="s">
        <v>40</v>
      </c>
      <c r="D150" s="91" t="s">
        <v>41</v>
      </c>
      <c r="E150" s="91" t="s">
        <v>25</v>
      </c>
      <c r="F150" s="91" t="s">
        <v>25</v>
      </c>
      <c r="G150" s="91" t="s">
        <v>25</v>
      </c>
      <c r="H150" s="91" t="s">
        <v>34</v>
      </c>
      <c r="I150" s="99">
        <v>44501</v>
      </c>
      <c r="J150" s="100">
        <f>EFEITO!$J$150*EFEITO!$Y$150</f>
        <v>0</v>
      </c>
      <c r="K150" s="100">
        <f ca="1">EFEITO!$L$150*EFEITO!$Z$150</f>
        <v>110614.85049736936</v>
      </c>
      <c r="L150" s="100">
        <f>EFEITO!$N$150*EFEITO!$AA$150</f>
        <v>242117.84626433524</v>
      </c>
      <c r="M150" s="100">
        <f>$J$150-EFEITO!$K$150*EFEITO!$Y$150</f>
        <v>0</v>
      </c>
      <c r="N150" s="100">
        <f ca="1">$K$150-EFEITO!$M$150*EFEITO!$Z$150</f>
        <v>0</v>
      </c>
      <c r="O150" s="100">
        <f>$L$150-EFEITO!$O$150*EFEITO!$AA$150</f>
        <v>0</v>
      </c>
      <c r="P150" s="17"/>
      <c r="Q150" s="17"/>
      <c r="R150" s="17"/>
      <c r="S150" s="17"/>
      <c r="T150" s="17"/>
      <c r="U150" s="17"/>
      <c r="V150" s="17"/>
      <c r="W150" s="17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91" t="s">
        <v>55</v>
      </c>
      <c r="B151" s="91" t="s">
        <v>38</v>
      </c>
      <c r="C151" s="91" t="s">
        <v>40</v>
      </c>
      <c r="D151" s="91" t="s">
        <v>41</v>
      </c>
      <c r="E151" s="91" t="s">
        <v>25</v>
      </c>
      <c r="F151" s="91" t="s">
        <v>25</v>
      </c>
      <c r="G151" s="91" t="s">
        <v>25</v>
      </c>
      <c r="H151" s="91" t="s">
        <v>34</v>
      </c>
      <c r="I151" s="99">
        <v>44501</v>
      </c>
      <c r="J151" s="100">
        <f>EFEITO!$J$151*EFEITO!$Y$151</f>
        <v>0</v>
      </c>
      <c r="K151" s="100">
        <f ca="1">EFEITO!$L$151*EFEITO!$Z$151</f>
        <v>2277.1968185637843</v>
      </c>
      <c r="L151" s="100">
        <f>EFEITO!$N$151*EFEITO!$AA$151</f>
        <v>4984.412009342017</v>
      </c>
      <c r="M151" s="100">
        <f>$J$151-EFEITO!$K$151*EFEITO!$Y$151</f>
        <v>0</v>
      </c>
      <c r="N151" s="100">
        <f ca="1">$K$151-EFEITO!$M$151*EFEITO!$Z$151</f>
        <v>0</v>
      </c>
      <c r="O151" s="100">
        <f>$L$151-EFEITO!$O$151*EFEITO!$AA$151</f>
        <v>0</v>
      </c>
      <c r="P151" s="17"/>
      <c r="Q151" s="17"/>
      <c r="R151" s="17"/>
      <c r="S151" s="17"/>
      <c r="T151" s="17"/>
      <c r="U151" s="17"/>
      <c r="V151" s="17"/>
      <c r="W151" s="17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91" t="s">
        <v>21</v>
      </c>
      <c r="B152" s="91" t="s">
        <v>38</v>
      </c>
      <c r="C152" s="91" t="s">
        <v>40</v>
      </c>
      <c r="D152" s="91" t="s">
        <v>41</v>
      </c>
      <c r="E152" s="91" t="s">
        <v>25</v>
      </c>
      <c r="F152" s="91" t="s">
        <v>25</v>
      </c>
      <c r="G152" s="91" t="s">
        <v>25</v>
      </c>
      <c r="H152" s="91" t="s">
        <v>34</v>
      </c>
      <c r="I152" s="99">
        <v>44531</v>
      </c>
      <c r="J152" s="100">
        <f>EFEITO!$J$152*EFEITO!$Y$152</f>
        <v>0</v>
      </c>
      <c r="K152" s="100">
        <f ca="1">EFEITO!$L$152*EFEITO!$Z$152</f>
        <v>91825.520924073106</v>
      </c>
      <c r="L152" s="100">
        <f>EFEITO!$N$152*EFEITO!$AA$152</f>
        <v>200991.07179795869</v>
      </c>
      <c r="M152" s="100">
        <f>$J$152-EFEITO!$K$152*EFEITO!$Y$152</f>
        <v>0</v>
      </c>
      <c r="N152" s="100">
        <f ca="1">$K$152-EFEITO!$M$152*EFEITO!$Z$152</f>
        <v>0</v>
      </c>
      <c r="O152" s="100">
        <f>$L$152-EFEITO!$O$152*EFEITO!$AA$152</f>
        <v>0</v>
      </c>
      <c r="P152" s="17"/>
      <c r="Q152" s="17"/>
      <c r="R152" s="17"/>
      <c r="S152" s="17"/>
      <c r="T152" s="17"/>
      <c r="U152" s="17"/>
      <c r="V152" s="17"/>
      <c r="W152" s="17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91" t="s">
        <v>21</v>
      </c>
      <c r="B153" s="91" t="s">
        <v>38</v>
      </c>
      <c r="C153" s="91" t="s">
        <v>40</v>
      </c>
      <c r="D153" s="91" t="s">
        <v>41</v>
      </c>
      <c r="E153" s="91" t="s">
        <v>25</v>
      </c>
      <c r="F153" s="91" t="s">
        <v>25</v>
      </c>
      <c r="G153" s="91" t="s">
        <v>25</v>
      </c>
      <c r="H153" s="91" t="s">
        <v>34</v>
      </c>
      <c r="I153" s="99">
        <v>44562</v>
      </c>
      <c r="J153" s="100">
        <f>EFEITO!$J$153*EFEITO!$Y$153</f>
        <v>0</v>
      </c>
      <c r="K153" s="100">
        <f ca="1">EFEITO!$L$153*EFEITO!$Z$153</f>
        <v>96255.118802810335</v>
      </c>
      <c r="L153" s="100">
        <f>EFEITO!$N$153*EFEITO!$AA$153</f>
        <v>210686.73827849541</v>
      </c>
      <c r="M153" s="100">
        <f>$J$153-EFEITO!$K$153*EFEITO!$Y$153</f>
        <v>0</v>
      </c>
      <c r="N153" s="100">
        <f ca="1">$K$153-EFEITO!$M$153*EFEITO!$Z$153</f>
        <v>0</v>
      </c>
      <c r="O153" s="100">
        <f>$L$153-EFEITO!$O$153*EFEITO!$AA$153</f>
        <v>0</v>
      </c>
      <c r="P153" s="17"/>
      <c r="Q153" s="17"/>
      <c r="R153" s="17"/>
      <c r="S153" s="17"/>
      <c r="T153" s="17"/>
      <c r="U153" s="17"/>
      <c r="V153" s="17"/>
      <c r="W153" s="17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91" t="s">
        <v>55</v>
      </c>
      <c r="B154" s="91" t="s">
        <v>38</v>
      </c>
      <c r="C154" s="91" t="s">
        <v>40</v>
      </c>
      <c r="D154" s="91" t="s">
        <v>41</v>
      </c>
      <c r="E154" s="91" t="s">
        <v>25</v>
      </c>
      <c r="F154" s="91" t="s">
        <v>25</v>
      </c>
      <c r="G154" s="91" t="s">
        <v>25</v>
      </c>
      <c r="H154" s="91" t="s">
        <v>34</v>
      </c>
      <c r="I154" s="99">
        <v>44562</v>
      </c>
      <c r="J154" s="100">
        <f>EFEITO!$J$154*EFEITO!$Y$154</f>
        <v>0</v>
      </c>
      <c r="K154" s="100">
        <f ca="1">EFEITO!$L$154*EFEITO!$Z$154</f>
        <v>139.53067926053296</v>
      </c>
      <c r="L154" s="100">
        <f>EFEITO!$N$154*EFEITO!$AA$154</f>
        <v>305.40987397676236</v>
      </c>
      <c r="M154" s="100">
        <f>$J$154-EFEITO!$K$154*EFEITO!$Y$154</f>
        <v>0</v>
      </c>
      <c r="N154" s="100">
        <f ca="1">$K$154-EFEITO!$M$154*EFEITO!$Z$154</f>
        <v>0</v>
      </c>
      <c r="O154" s="100">
        <f>$L$154-EFEITO!$O$154*EFEITO!$AA$154</f>
        <v>0</v>
      </c>
      <c r="P154" s="17"/>
      <c r="Q154" s="17"/>
      <c r="R154" s="17"/>
      <c r="S154" s="17"/>
      <c r="T154" s="17"/>
      <c r="U154" s="17"/>
      <c r="V154" s="17"/>
      <c r="W154" s="17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91" t="s">
        <v>55</v>
      </c>
      <c r="B155" s="91" t="s">
        <v>38</v>
      </c>
      <c r="C155" s="91" t="s">
        <v>40</v>
      </c>
      <c r="D155" s="91" t="s">
        <v>41</v>
      </c>
      <c r="E155" s="91" t="s">
        <v>25</v>
      </c>
      <c r="F155" s="91" t="s">
        <v>25</v>
      </c>
      <c r="G155" s="91" t="s">
        <v>25</v>
      </c>
      <c r="H155" s="91" t="s">
        <v>34</v>
      </c>
      <c r="I155" s="99">
        <v>44562</v>
      </c>
      <c r="J155" s="100">
        <f>EFEITO!$J$155*EFEITO!$Y$155</f>
        <v>0</v>
      </c>
      <c r="K155" s="100">
        <f ca="1">EFEITO!$L$155*EFEITO!$Z$155</f>
        <v>1101.610750771018</v>
      </c>
      <c r="L155" s="100">
        <f>EFEITO!$N$155*EFEITO!$AA$155</f>
        <v>2411.2460596297547</v>
      </c>
      <c r="M155" s="100">
        <f>$J$155-EFEITO!$K$155*EFEITO!$Y$155</f>
        <v>0</v>
      </c>
      <c r="N155" s="100">
        <f ca="1">$K$155-EFEITO!$M$155*EFEITO!$Z$155</f>
        <v>0</v>
      </c>
      <c r="O155" s="100">
        <f>$L$155-EFEITO!$O$155*EFEITO!$AA$155</f>
        <v>0</v>
      </c>
      <c r="P155" s="17"/>
      <c r="Q155" s="17"/>
      <c r="R155" s="17"/>
      <c r="S155" s="17"/>
      <c r="T155" s="17"/>
      <c r="U155" s="17"/>
      <c r="V155" s="17"/>
      <c r="W155" s="17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91" t="s">
        <v>21</v>
      </c>
      <c r="B156" s="91" t="s">
        <v>38</v>
      </c>
      <c r="C156" s="91" t="s">
        <v>40</v>
      </c>
      <c r="D156" s="91" t="s">
        <v>41</v>
      </c>
      <c r="E156" s="91" t="s">
        <v>25</v>
      </c>
      <c r="F156" s="91" t="s">
        <v>25</v>
      </c>
      <c r="G156" s="91" t="s">
        <v>25</v>
      </c>
      <c r="H156" s="91" t="s">
        <v>34</v>
      </c>
      <c r="I156" s="99">
        <v>44593</v>
      </c>
      <c r="J156" s="100">
        <f>EFEITO!$J$156*EFEITO!$Y$156</f>
        <v>0</v>
      </c>
      <c r="K156" s="100">
        <f ca="1">EFEITO!$L$156*EFEITO!$Z$156</f>
        <v>86253.816321561098</v>
      </c>
      <c r="L156" s="100">
        <f>EFEITO!$N$156*EFEITO!$AA$156</f>
        <v>188795.52018517253</v>
      </c>
      <c r="M156" s="100">
        <f>$J$156-EFEITO!$K$156*EFEITO!$Y$156</f>
        <v>0</v>
      </c>
      <c r="N156" s="100">
        <f ca="1">$K$156-EFEITO!$M$156*EFEITO!$Z$156</f>
        <v>0</v>
      </c>
      <c r="O156" s="100">
        <f>$L$156-EFEITO!$O$156*EFEITO!$AA$156</f>
        <v>0</v>
      </c>
      <c r="P156" s="17"/>
      <c r="Q156" s="17"/>
      <c r="R156" s="17"/>
      <c r="S156" s="17"/>
      <c r="T156" s="17"/>
      <c r="U156" s="17"/>
      <c r="V156" s="17"/>
      <c r="W156" s="17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91" t="s">
        <v>55</v>
      </c>
      <c r="B157" s="91" t="s">
        <v>38</v>
      </c>
      <c r="C157" s="91" t="s">
        <v>40</v>
      </c>
      <c r="D157" s="91" t="s">
        <v>41</v>
      </c>
      <c r="E157" s="91" t="s">
        <v>25</v>
      </c>
      <c r="F157" s="91" t="s">
        <v>25</v>
      </c>
      <c r="G157" s="91" t="s">
        <v>25</v>
      </c>
      <c r="H157" s="91" t="s">
        <v>34</v>
      </c>
      <c r="I157" s="99">
        <v>44593</v>
      </c>
      <c r="J157" s="100">
        <f>EFEITO!$J$157*EFEITO!$Y$157</f>
        <v>0</v>
      </c>
      <c r="K157" s="100">
        <f ca="1">EFEITO!$L$157*EFEITO!$Z$157</f>
        <v>3428.1244473493016</v>
      </c>
      <c r="L157" s="100">
        <f>EFEITO!$N$157*EFEITO!$AA$157</f>
        <v>7503.6046623601105</v>
      </c>
      <c r="M157" s="100">
        <f>$J$157-EFEITO!$K$157*EFEITO!$Y$157</f>
        <v>0</v>
      </c>
      <c r="N157" s="100">
        <f ca="1">$K$157-EFEITO!$M$157*EFEITO!$Z$157</f>
        <v>0</v>
      </c>
      <c r="O157" s="100">
        <f>$L$157-EFEITO!$O$157*EFEITO!$AA$157</f>
        <v>0</v>
      </c>
      <c r="P157" s="17"/>
      <c r="Q157" s="17"/>
      <c r="R157" s="17"/>
      <c r="S157" s="17"/>
      <c r="T157" s="17"/>
      <c r="U157" s="17"/>
      <c r="V157" s="17"/>
      <c r="W157" s="17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91" t="s">
        <v>21</v>
      </c>
      <c r="B158" s="91" t="s">
        <v>38</v>
      </c>
      <c r="C158" s="91" t="s">
        <v>40</v>
      </c>
      <c r="D158" s="91" t="s">
        <v>41</v>
      </c>
      <c r="E158" s="91" t="s">
        <v>25</v>
      </c>
      <c r="F158" s="91" t="s">
        <v>25</v>
      </c>
      <c r="G158" s="91" t="s">
        <v>25</v>
      </c>
      <c r="H158" s="91" t="s">
        <v>34</v>
      </c>
      <c r="I158" s="99">
        <v>44621</v>
      </c>
      <c r="J158" s="100">
        <f>EFEITO!$J$158*EFEITO!$Y$158</f>
        <v>0</v>
      </c>
      <c r="K158" s="100">
        <f ca="1">EFEITO!$L$158*EFEITO!$Z$158</f>
        <v>91868.623073557334</v>
      </c>
      <c r="L158" s="100">
        <f>EFEITO!$N$158*EFEITO!$AA$158</f>
        <v>201085.41536535093</v>
      </c>
      <c r="M158" s="100">
        <f>$J$158-EFEITO!$K$158*EFEITO!$Y$158</f>
        <v>0</v>
      </c>
      <c r="N158" s="100">
        <f ca="1">$K$158-EFEITO!$M$158*EFEITO!$Z$158</f>
        <v>0</v>
      </c>
      <c r="O158" s="100">
        <f>$L$158-EFEITO!$O$158*EFEITO!$AA$158</f>
        <v>0</v>
      </c>
      <c r="P158" s="17"/>
      <c r="Q158" s="17"/>
      <c r="R158" s="17"/>
      <c r="S158" s="17"/>
      <c r="T158" s="17"/>
      <c r="U158" s="17"/>
      <c r="V158" s="17"/>
      <c r="W158" s="17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91" t="s">
        <v>55</v>
      </c>
      <c r="B159" s="91" t="s">
        <v>38</v>
      </c>
      <c r="C159" s="91" t="s">
        <v>40</v>
      </c>
      <c r="D159" s="91" t="s">
        <v>41</v>
      </c>
      <c r="E159" s="91" t="s">
        <v>25</v>
      </c>
      <c r="F159" s="91" t="s">
        <v>25</v>
      </c>
      <c r="G159" s="91" t="s">
        <v>25</v>
      </c>
      <c r="H159" s="91" t="s">
        <v>34</v>
      </c>
      <c r="I159" s="99">
        <v>44621</v>
      </c>
      <c r="J159" s="100">
        <f>EFEITO!$J$159*EFEITO!$Y$159</f>
        <v>0</v>
      </c>
      <c r="K159" s="100">
        <f ca="1">EFEITO!$L$159*EFEITO!$Z$159</f>
        <v>3482.7539158816217</v>
      </c>
      <c r="L159" s="100">
        <f>EFEITO!$N$159*EFEITO!$AA$159</f>
        <v>7623.1796489386552</v>
      </c>
      <c r="M159" s="100">
        <f>$J$159-EFEITO!$K$159*EFEITO!$Y$159</f>
        <v>0</v>
      </c>
      <c r="N159" s="100">
        <f ca="1">$K$159-EFEITO!$M$159*EFEITO!$Z$159</f>
        <v>0</v>
      </c>
      <c r="O159" s="100">
        <f>$L$159-EFEITO!$O$159*EFEITO!$AA$159</f>
        <v>0</v>
      </c>
      <c r="P159" s="17"/>
      <c r="Q159" s="17"/>
      <c r="R159" s="17"/>
      <c r="S159" s="17"/>
      <c r="T159" s="17"/>
      <c r="U159" s="17"/>
      <c r="V159" s="17"/>
      <c r="W159" s="17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91" t="s">
        <v>21</v>
      </c>
      <c r="B160" s="91" t="s">
        <v>38</v>
      </c>
      <c r="C160" s="91" t="s">
        <v>40</v>
      </c>
      <c r="D160" s="91" t="s">
        <v>41</v>
      </c>
      <c r="E160" s="91" t="s">
        <v>25</v>
      </c>
      <c r="F160" s="91" t="s">
        <v>25</v>
      </c>
      <c r="G160" s="91" t="s">
        <v>25</v>
      </c>
      <c r="H160" s="91" t="s">
        <v>34</v>
      </c>
      <c r="I160" s="99">
        <v>44652</v>
      </c>
      <c r="J160" s="100">
        <f>EFEITO!$J$160*EFEITO!$Y$160</f>
        <v>0</v>
      </c>
      <c r="K160" s="100">
        <f ca="1">EFEITO!$L$160*EFEITO!$Z$160</f>
        <v>102143.57408525287</v>
      </c>
      <c r="L160" s="100">
        <f>EFEITO!$N$160*EFEITO!$AA$160</f>
        <v>223575.60540979204</v>
      </c>
      <c r="M160" s="100">
        <f>$J$160-EFEITO!$K$160*EFEITO!$Y$160</f>
        <v>0</v>
      </c>
      <c r="N160" s="100">
        <f ca="1">$K$160-EFEITO!$M$160*EFEITO!$Z$160</f>
        <v>0</v>
      </c>
      <c r="O160" s="100">
        <f>$L$160-EFEITO!$O$160*EFEITO!$AA$160</f>
        <v>0</v>
      </c>
      <c r="P160" s="17"/>
      <c r="Q160" s="17"/>
      <c r="R160" s="17"/>
      <c r="S160" s="17"/>
      <c r="T160" s="17"/>
      <c r="U160" s="17"/>
      <c r="V160" s="17"/>
      <c r="W160" s="17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91" t="s">
        <v>55</v>
      </c>
      <c r="B161" s="91" t="s">
        <v>38</v>
      </c>
      <c r="C161" s="91" t="s">
        <v>40</v>
      </c>
      <c r="D161" s="91" t="s">
        <v>41</v>
      </c>
      <c r="E161" s="91" t="s">
        <v>25</v>
      </c>
      <c r="F161" s="91" t="s">
        <v>25</v>
      </c>
      <c r="G161" s="91" t="s">
        <v>25</v>
      </c>
      <c r="H161" s="91" t="s">
        <v>34</v>
      </c>
      <c r="I161" s="99">
        <v>44652</v>
      </c>
      <c r="J161" s="100">
        <f>EFEITO!$J$161*EFEITO!$Y$161</f>
        <v>0</v>
      </c>
      <c r="K161" s="100">
        <f ca="1">EFEITO!$L$161*EFEITO!$Z$161</f>
        <v>2393.0714343864684</v>
      </c>
      <c r="L161" s="100">
        <f>EFEITO!$N$161*EFEITO!$AA$161</f>
        <v>5238.042623075592</v>
      </c>
      <c r="M161" s="100">
        <f>$J$161-EFEITO!$K$161*EFEITO!$Y$161</f>
        <v>0</v>
      </c>
      <c r="N161" s="100">
        <f ca="1">$K$161-EFEITO!$M$161*EFEITO!$Z$161</f>
        <v>0</v>
      </c>
      <c r="O161" s="100">
        <f>$L$161-EFEITO!$O$161*EFEITO!$AA$161</f>
        <v>0</v>
      </c>
      <c r="P161" s="17"/>
      <c r="Q161" s="17"/>
      <c r="R161" s="17"/>
      <c r="S161" s="17"/>
      <c r="T161" s="17"/>
      <c r="U161" s="17"/>
      <c r="V161" s="17"/>
      <c r="W161" s="17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91" t="s">
        <v>21</v>
      </c>
      <c r="B162" s="91" t="s">
        <v>38</v>
      </c>
      <c r="C162" s="91" t="s">
        <v>40</v>
      </c>
      <c r="D162" s="91" t="s">
        <v>41</v>
      </c>
      <c r="E162" s="91" t="s">
        <v>25</v>
      </c>
      <c r="F162" s="91" t="s">
        <v>25</v>
      </c>
      <c r="G162" s="91" t="s">
        <v>25</v>
      </c>
      <c r="H162" s="91" t="s">
        <v>34</v>
      </c>
      <c r="I162" s="99">
        <v>44682</v>
      </c>
      <c r="J162" s="100">
        <f>EFEITO!$J$162*EFEITO!$Y$162</f>
        <v>0</v>
      </c>
      <c r="K162" s="100">
        <f ca="1">EFEITO!$L$162*EFEITO!$Z$162</f>
        <v>92299.54433084256</v>
      </c>
      <c r="L162" s="100">
        <f>EFEITO!$N$162*EFEITO!$AA$162</f>
        <v>202028.63163562832</v>
      </c>
      <c r="M162" s="100">
        <f>$J$162-EFEITO!$K$162*EFEITO!$Y$162</f>
        <v>0</v>
      </c>
      <c r="N162" s="100">
        <f ca="1">$K$162-EFEITO!$M$162*EFEITO!$Z$162</f>
        <v>0</v>
      </c>
      <c r="O162" s="100">
        <f>$L$162-EFEITO!$O$162*EFEITO!$AA$162</f>
        <v>0</v>
      </c>
      <c r="P162" s="17"/>
      <c r="Q162" s="17"/>
      <c r="R162" s="17"/>
      <c r="S162" s="17"/>
      <c r="T162" s="17"/>
      <c r="U162" s="17"/>
      <c r="V162" s="17"/>
      <c r="W162" s="17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91" t="s">
        <v>55</v>
      </c>
      <c r="B163" s="91" t="s">
        <v>38</v>
      </c>
      <c r="C163" s="91" t="s">
        <v>40</v>
      </c>
      <c r="D163" s="91" t="s">
        <v>41</v>
      </c>
      <c r="E163" s="91" t="s">
        <v>25</v>
      </c>
      <c r="F163" s="91" t="s">
        <v>25</v>
      </c>
      <c r="G163" s="91" t="s">
        <v>25</v>
      </c>
      <c r="H163" s="91" t="s">
        <v>34</v>
      </c>
      <c r="I163" s="99">
        <v>44682</v>
      </c>
      <c r="J163" s="100">
        <f>EFEITO!$J$163*EFEITO!$Y$163</f>
        <v>0</v>
      </c>
      <c r="K163" s="100">
        <f ca="1">EFEITO!$L$163*EFEITO!$Z$163</f>
        <v>587.19160855474286</v>
      </c>
      <c r="L163" s="100">
        <f>EFEITO!$N$163*EFEITO!$AA$163</f>
        <v>1285.2665529855415</v>
      </c>
      <c r="M163" s="100">
        <f>$J$163-EFEITO!$K$163*EFEITO!$Y$163</f>
        <v>0</v>
      </c>
      <c r="N163" s="100">
        <f ca="1">$K$163-EFEITO!$M$163*EFEITO!$Z$163</f>
        <v>0</v>
      </c>
      <c r="O163" s="100">
        <f>$L$163-EFEITO!$O$163*EFEITO!$AA$163</f>
        <v>0</v>
      </c>
      <c r="P163" s="17"/>
      <c r="Q163" s="17"/>
      <c r="R163" s="17"/>
      <c r="S163" s="17"/>
      <c r="T163" s="17"/>
      <c r="U163" s="17"/>
      <c r="V163" s="17"/>
      <c r="W163" s="17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91" t="s">
        <v>56</v>
      </c>
      <c r="B164" s="91" t="s">
        <v>38</v>
      </c>
      <c r="C164" s="91" t="s">
        <v>40</v>
      </c>
      <c r="D164" s="91" t="s">
        <v>41</v>
      </c>
      <c r="E164" s="91" t="s">
        <v>25</v>
      </c>
      <c r="F164" s="91" t="s">
        <v>25</v>
      </c>
      <c r="G164" s="91" t="s">
        <v>25</v>
      </c>
      <c r="H164" s="91" t="s">
        <v>34</v>
      </c>
      <c r="I164" s="99">
        <v>44713</v>
      </c>
      <c r="J164" s="100">
        <f>EFEITO!$J$164*EFEITO!$Y$164</f>
        <v>0</v>
      </c>
      <c r="K164" s="100">
        <f ca="1">EFEITO!$L$164*EFEITO!$Z$164</f>
        <v>92299.54433084256</v>
      </c>
      <c r="L164" s="100">
        <f>EFEITO!$N$164*EFEITO!$AA$164</f>
        <v>202028.63163562832</v>
      </c>
      <c r="M164" s="100">
        <f>$J$164-EFEITO!$K$164*EFEITO!$Y$164</f>
        <v>0</v>
      </c>
      <c r="N164" s="100">
        <f ca="1">$K$164-EFEITO!$M$164*EFEITO!$Z$164</f>
        <v>0</v>
      </c>
      <c r="O164" s="100">
        <f>$L$164-EFEITO!$O$164*EFEITO!$AA$164</f>
        <v>0</v>
      </c>
      <c r="P164" s="17"/>
      <c r="Q164" s="17"/>
      <c r="R164" s="17"/>
      <c r="S164" s="17"/>
      <c r="T164" s="17"/>
      <c r="U164" s="17"/>
      <c r="V164" s="17"/>
      <c r="W164" s="17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91" t="s">
        <v>56</v>
      </c>
      <c r="B165" s="91" t="s">
        <v>38</v>
      </c>
      <c r="C165" s="91" t="s">
        <v>40</v>
      </c>
      <c r="D165" s="91" t="s">
        <v>41</v>
      </c>
      <c r="E165" s="91" t="s">
        <v>25</v>
      </c>
      <c r="F165" s="91" t="s">
        <v>25</v>
      </c>
      <c r="G165" s="91" t="s">
        <v>25</v>
      </c>
      <c r="H165" s="91" t="s">
        <v>34</v>
      </c>
      <c r="I165" s="99">
        <v>44713</v>
      </c>
      <c r="J165" s="100">
        <f>EFEITO!$J$165*EFEITO!$Y$165</f>
        <v>0</v>
      </c>
      <c r="K165" s="100">
        <f ca="1">EFEITO!$L$165*EFEITO!$Z$165</f>
        <v>587.19160855474286</v>
      </c>
      <c r="L165" s="100">
        <f>EFEITO!$N$165*EFEITO!$AA$165</f>
        <v>1285.2665529855415</v>
      </c>
      <c r="M165" s="100">
        <f>$J$165-EFEITO!$K$165*EFEITO!$Y$165</f>
        <v>0</v>
      </c>
      <c r="N165" s="100">
        <f ca="1">$K$165-EFEITO!$M$165*EFEITO!$Z$165</f>
        <v>0</v>
      </c>
      <c r="O165" s="100">
        <f>$L$165-EFEITO!$O$165*EFEITO!$AA$165</f>
        <v>0</v>
      </c>
      <c r="P165" s="17"/>
      <c r="Q165" s="17"/>
      <c r="R165" s="17"/>
      <c r="S165" s="17"/>
      <c r="T165" s="17"/>
      <c r="U165" s="17"/>
      <c r="V165" s="17"/>
      <c r="W165" s="17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91" t="s">
        <v>21</v>
      </c>
      <c r="B166" s="91" t="s">
        <v>38</v>
      </c>
      <c r="C166" s="91" t="s">
        <v>40</v>
      </c>
      <c r="D166" s="91" t="s">
        <v>41</v>
      </c>
      <c r="E166" s="91" t="s">
        <v>25</v>
      </c>
      <c r="F166" s="91" t="s">
        <v>25</v>
      </c>
      <c r="G166" s="91" t="s">
        <v>25</v>
      </c>
      <c r="H166" s="91" t="s">
        <v>25</v>
      </c>
      <c r="I166" s="99">
        <v>44378</v>
      </c>
      <c r="J166" s="100">
        <f ca="1">EFEITO!$J$166*EFEITO!$Y$166</f>
        <v>104390.81387327111</v>
      </c>
      <c r="K166" s="100">
        <f>EFEITO!$L$166*EFEITO!$Z$166</f>
        <v>0</v>
      </c>
      <c r="L166" s="100">
        <f>EFEITO!$N$166*EFEITO!$AA$166</f>
        <v>0</v>
      </c>
      <c r="M166" s="100">
        <f ca="1">$J$166-EFEITO!$K$166*EFEITO!$Y$166</f>
        <v>0</v>
      </c>
      <c r="N166" s="100">
        <f>$K$166-EFEITO!$M$166*EFEITO!$Z$166</f>
        <v>0</v>
      </c>
      <c r="O166" s="100">
        <f>$L$166-EFEITO!$O$166*EFEITO!$AA$166</f>
        <v>0</v>
      </c>
      <c r="P166" s="17"/>
      <c r="Q166" s="17"/>
      <c r="R166" s="17"/>
      <c r="S166" s="17"/>
      <c r="T166" s="17"/>
      <c r="U166" s="17"/>
      <c r="V166" s="17"/>
      <c r="W166" s="17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91" t="s">
        <v>21</v>
      </c>
      <c r="B167" s="91" t="s">
        <v>38</v>
      </c>
      <c r="C167" s="91" t="s">
        <v>40</v>
      </c>
      <c r="D167" s="91" t="s">
        <v>41</v>
      </c>
      <c r="E167" s="91" t="s">
        <v>25</v>
      </c>
      <c r="F167" s="91" t="s">
        <v>25</v>
      </c>
      <c r="G167" s="91" t="s">
        <v>25</v>
      </c>
      <c r="H167" s="91" t="s">
        <v>25</v>
      </c>
      <c r="I167" s="99">
        <v>44409</v>
      </c>
      <c r="J167" s="100">
        <f ca="1">EFEITO!$J$167*EFEITO!$Y$167</f>
        <v>96703.1771653865</v>
      </c>
      <c r="K167" s="100">
        <f>EFEITO!$L$167*EFEITO!$Z$167</f>
        <v>0</v>
      </c>
      <c r="L167" s="100">
        <f>EFEITO!$N$167*EFEITO!$AA$167</f>
        <v>0</v>
      </c>
      <c r="M167" s="100">
        <f ca="1">$J$167-EFEITO!$K$167*EFEITO!$Y$167</f>
        <v>0</v>
      </c>
      <c r="N167" s="100">
        <f>$K$167-EFEITO!$M$167*EFEITO!$Z$167</f>
        <v>0</v>
      </c>
      <c r="O167" s="100">
        <f>$L$167-EFEITO!$O$167*EFEITO!$AA$167</f>
        <v>0</v>
      </c>
      <c r="P167" s="17"/>
      <c r="Q167" s="17"/>
      <c r="R167" s="17"/>
      <c r="S167" s="17"/>
      <c r="T167" s="17"/>
      <c r="U167" s="17"/>
      <c r="V167" s="17"/>
      <c r="W167" s="17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91" t="s">
        <v>21</v>
      </c>
      <c r="B168" s="91" t="s">
        <v>38</v>
      </c>
      <c r="C168" s="91" t="s">
        <v>40</v>
      </c>
      <c r="D168" s="91" t="s">
        <v>41</v>
      </c>
      <c r="E168" s="91" t="s">
        <v>25</v>
      </c>
      <c r="F168" s="91" t="s">
        <v>25</v>
      </c>
      <c r="G168" s="91" t="s">
        <v>25</v>
      </c>
      <c r="H168" s="91" t="s">
        <v>25</v>
      </c>
      <c r="I168" s="99">
        <v>44440</v>
      </c>
      <c r="J168" s="100">
        <f ca="1">EFEITO!$J$168*EFEITO!$Y$168</f>
        <v>94743.285593613546</v>
      </c>
      <c r="K168" s="100">
        <f>EFEITO!$L$168*EFEITO!$Z$168</f>
        <v>0</v>
      </c>
      <c r="L168" s="100">
        <f>EFEITO!$N$168*EFEITO!$AA$168</f>
        <v>0</v>
      </c>
      <c r="M168" s="100">
        <f ca="1">$J$168-EFEITO!$K$168*EFEITO!$Y$168</f>
        <v>0</v>
      </c>
      <c r="N168" s="100">
        <f>$K$168-EFEITO!$M$168*EFEITO!$Z$168</f>
        <v>0</v>
      </c>
      <c r="O168" s="100">
        <f>$L$168-EFEITO!$O$168*EFEITO!$AA$168</f>
        <v>0</v>
      </c>
      <c r="P168" s="17"/>
      <c r="Q168" s="17"/>
      <c r="R168" s="17"/>
      <c r="S168" s="17"/>
      <c r="T168" s="17"/>
      <c r="U168" s="17"/>
      <c r="V168" s="17"/>
      <c r="W168" s="17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91" t="s">
        <v>21</v>
      </c>
      <c r="B169" s="91" t="s">
        <v>38</v>
      </c>
      <c r="C169" s="91" t="s">
        <v>40</v>
      </c>
      <c r="D169" s="91" t="s">
        <v>41</v>
      </c>
      <c r="E169" s="91" t="s">
        <v>25</v>
      </c>
      <c r="F169" s="91" t="s">
        <v>25</v>
      </c>
      <c r="G169" s="91" t="s">
        <v>25</v>
      </c>
      <c r="H169" s="91" t="s">
        <v>25</v>
      </c>
      <c r="I169" s="99">
        <v>44470</v>
      </c>
      <c r="J169" s="100">
        <f ca="1">EFEITO!$J$169*EFEITO!$Y$169</f>
        <v>101701.66032130357</v>
      </c>
      <c r="K169" s="100">
        <f>EFEITO!$L$169*EFEITO!$Z$169</f>
        <v>0</v>
      </c>
      <c r="L169" s="100">
        <f>EFEITO!$N$169*EFEITO!$AA$169</f>
        <v>0</v>
      </c>
      <c r="M169" s="100">
        <f ca="1">$J$169-EFEITO!$K$169*EFEITO!$Y$169</f>
        <v>0</v>
      </c>
      <c r="N169" s="100">
        <f>$K$169-EFEITO!$M$169*EFEITO!$Z$169</f>
        <v>0</v>
      </c>
      <c r="O169" s="100">
        <f>$L$169-EFEITO!$O$169*EFEITO!$AA$169</f>
        <v>0</v>
      </c>
      <c r="P169" s="17"/>
      <c r="Q169" s="17"/>
      <c r="R169" s="17"/>
      <c r="S169" s="17"/>
      <c r="T169" s="17"/>
      <c r="U169" s="17"/>
      <c r="V169" s="17"/>
      <c r="W169" s="17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91" t="s">
        <v>21</v>
      </c>
      <c r="B170" s="91" t="s">
        <v>38</v>
      </c>
      <c r="C170" s="91" t="s">
        <v>40</v>
      </c>
      <c r="D170" s="91" t="s">
        <v>41</v>
      </c>
      <c r="E170" s="91" t="s">
        <v>25</v>
      </c>
      <c r="F170" s="91" t="s">
        <v>25</v>
      </c>
      <c r="G170" s="91" t="s">
        <v>25</v>
      </c>
      <c r="H170" s="91" t="s">
        <v>25</v>
      </c>
      <c r="I170" s="99">
        <v>44501</v>
      </c>
      <c r="J170" s="100">
        <f ca="1">EFEITO!$J$170*EFEITO!$Y$170</f>
        <v>110695.89141037015</v>
      </c>
      <c r="K170" s="100">
        <f>EFEITO!$L$170*EFEITO!$Z$170</f>
        <v>0</v>
      </c>
      <c r="L170" s="100">
        <f>EFEITO!$N$170*EFEITO!$AA$170</f>
        <v>0</v>
      </c>
      <c r="M170" s="100">
        <f ca="1">$J$170-EFEITO!$K$170*EFEITO!$Y$170</f>
        <v>0</v>
      </c>
      <c r="N170" s="100">
        <f>$K$170-EFEITO!$M$170*EFEITO!$Z$170</f>
        <v>0</v>
      </c>
      <c r="O170" s="100">
        <f>$L$170-EFEITO!$O$170*EFEITO!$AA$170</f>
        <v>0</v>
      </c>
      <c r="P170" s="17"/>
      <c r="Q170" s="17"/>
      <c r="R170" s="17"/>
      <c r="S170" s="17"/>
      <c r="T170" s="17"/>
      <c r="U170" s="17"/>
      <c r="V170" s="17"/>
      <c r="W170" s="17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91" t="s">
        <v>55</v>
      </c>
      <c r="B171" s="91" t="s">
        <v>38</v>
      </c>
      <c r="C171" s="91" t="s">
        <v>40</v>
      </c>
      <c r="D171" s="91" t="s">
        <v>41</v>
      </c>
      <c r="E171" s="91" t="s">
        <v>25</v>
      </c>
      <c r="F171" s="91" t="s">
        <v>25</v>
      </c>
      <c r="G171" s="91" t="s">
        <v>25</v>
      </c>
      <c r="H171" s="91" t="s">
        <v>25</v>
      </c>
      <c r="I171" s="99">
        <v>44501</v>
      </c>
      <c r="J171" s="100">
        <f ca="1">EFEITO!$J$171*EFEITO!$Y$171</f>
        <v>1412.945086627014</v>
      </c>
      <c r="K171" s="100">
        <f>EFEITO!$L$171*EFEITO!$Z$171</f>
        <v>0</v>
      </c>
      <c r="L171" s="100">
        <f>EFEITO!$N$171*EFEITO!$AA$171</f>
        <v>0</v>
      </c>
      <c r="M171" s="100">
        <f ca="1">$J$171-EFEITO!$K$171*EFEITO!$Y$171</f>
        <v>0</v>
      </c>
      <c r="N171" s="100">
        <f>$K$171-EFEITO!$M$171*EFEITO!$Z$171</f>
        <v>0</v>
      </c>
      <c r="O171" s="100">
        <f>$L$171-EFEITO!$O$171*EFEITO!$AA$171</f>
        <v>0</v>
      </c>
      <c r="P171" s="17"/>
      <c r="Q171" s="17"/>
      <c r="R171" s="17"/>
      <c r="S171" s="17"/>
      <c r="T171" s="17"/>
      <c r="U171" s="17"/>
      <c r="V171" s="17"/>
      <c r="W171" s="17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91" t="s">
        <v>21</v>
      </c>
      <c r="B172" s="91" t="s">
        <v>38</v>
      </c>
      <c r="C172" s="91" t="s">
        <v>40</v>
      </c>
      <c r="D172" s="91" t="s">
        <v>41</v>
      </c>
      <c r="E172" s="91" t="s">
        <v>25</v>
      </c>
      <c r="F172" s="91" t="s">
        <v>25</v>
      </c>
      <c r="G172" s="91" t="s">
        <v>25</v>
      </c>
      <c r="H172" s="91" t="s">
        <v>25</v>
      </c>
      <c r="I172" s="99">
        <v>44531</v>
      </c>
      <c r="J172" s="100">
        <f ca="1">EFEITO!$J$172*EFEITO!$Y$172</f>
        <v>96217.002511923434</v>
      </c>
      <c r="K172" s="100">
        <f>EFEITO!$L$172*EFEITO!$Z$172</f>
        <v>0</v>
      </c>
      <c r="L172" s="100">
        <f>EFEITO!$N$172*EFEITO!$AA$172</f>
        <v>0</v>
      </c>
      <c r="M172" s="100">
        <f ca="1">$J$172-EFEITO!$K$172*EFEITO!$Y$172</f>
        <v>0</v>
      </c>
      <c r="N172" s="100">
        <f>$K$172-EFEITO!$M$172*EFEITO!$Z$172</f>
        <v>0</v>
      </c>
      <c r="O172" s="100">
        <f>$L$172-EFEITO!$O$172*EFEITO!$AA$172</f>
        <v>0</v>
      </c>
      <c r="P172" s="17"/>
      <c r="Q172" s="17"/>
      <c r="R172" s="17"/>
      <c r="S172" s="17"/>
      <c r="T172" s="17"/>
      <c r="U172" s="17"/>
      <c r="V172" s="17"/>
      <c r="W172" s="17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91" t="s">
        <v>55</v>
      </c>
      <c r="B173" s="91" t="s">
        <v>38</v>
      </c>
      <c r="C173" s="91" t="s">
        <v>40</v>
      </c>
      <c r="D173" s="91" t="s">
        <v>41</v>
      </c>
      <c r="E173" s="91" t="s">
        <v>25</v>
      </c>
      <c r="F173" s="91" t="s">
        <v>25</v>
      </c>
      <c r="G173" s="91" t="s">
        <v>25</v>
      </c>
      <c r="H173" s="91" t="s">
        <v>25</v>
      </c>
      <c r="I173" s="99">
        <v>44531</v>
      </c>
      <c r="J173" s="100">
        <f ca="1">EFEITO!$J$173*EFEITO!$Y$173</f>
        <v>3357.6437004792483</v>
      </c>
      <c r="K173" s="100">
        <f>EFEITO!$L$173*EFEITO!$Z$173</f>
        <v>0</v>
      </c>
      <c r="L173" s="100">
        <f>EFEITO!$N$173*EFEITO!$AA$173</f>
        <v>0</v>
      </c>
      <c r="M173" s="100">
        <f ca="1">$J$173-EFEITO!$K$173*EFEITO!$Y$173</f>
        <v>0</v>
      </c>
      <c r="N173" s="100">
        <f>$K$173-EFEITO!$M$173*EFEITO!$Z$173</f>
        <v>0</v>
      </c>
      <c r="O173" s="100">
        <f>$L$173-EFEITO!$O$173*EFEITO!$AA$173</f>
        <v>0</v>
      </c>
      <c r="P173" s="17"/>
      <c r="Q173" s="17"/>
      <c r="R173" s="17"/>
      <c r="S173" s="17"/>
      <c r="T173" s="17"/>
      <c r="U173" s="17"/>
      <c r="V173" s="17"/>
      <c r="W173" s="17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91" t="s">
        <v>21</v>
      </c>
      <c r="B174" s="91" t="s">
        <v>38</v>
      </c>
      <c r="C174" s="91" t="s">
        <v>40</v>
      </c>
      <c r="D174" s="91" t="s">
        <v>41</v>
      </c>
      <c r="E174" s="91" t="s">
        <v>25</v>
      </c>
      <c r="F174" s="91" t="s">
        <v>25</v>
      </c>
      <c r="G174" s="91" t="s">
        <v>25</v>
      </c>
      <c r="H174" s="91" t="s">
        <v>25</v>
      </c>
      <c r="I174" s="99">
        <v>44562</v>
      </c>
      <c r="J174" s="100">
        <f ca="1">EFEITO!$J$174*EFEITO!$Y$174</f>
        <v>103661.55189307652</v>
      </c>
      <c r="K174" s="100">
        <f>EFEITO!$L$174*EFEITO!$Z$174</f>
        <v>0</v>
      </c>
      <c r="L174" s="100">
        <f>EFEITO!$N$174*EFEITO!$AA$174</f>
        <v>0</v>
      </c>
      <c r="M174" s="100">
        <f ca="1">$J$174-EFEITO!$K$174*EFEITO!$Y$174</f>
        <v>0</v>
      </c>
      <c r="N174" s="100">
        <f>$K$174-EFEITO!$M$174*EFEITO!$Z$174</f>
        <v>0</v>
      </c>
      <c r="O174" s="100">
        <f>$L$174-EFEITO!$O$174*EFEITO!$AA$174</f>
        <v>0</v>
      </c>
      <c r="P174" s="17"/>
      <c r="Q174" s="17"/>
      <c r="R174" s="17"/>
      <c r="S174" s="17"/>
      <c r="T174" s="17"/>
      <c r="U174" s="17"/>
      <c r="V174" s="17"/>
      <c r="W174" s="17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91" t="s">
        <v>55</v>
      </c>
      <c r="B175" s="91" t="s">
        <v>38</v>
      </c>
      <c r="C175" s="91" t="s">
        <v>40</v>
      </c>
      <c r="D175" s="91" t="s">
        <v>41</v>
      </c>
      <c r="E175" s="91" t="s">
        <v>25</v>
      </c>
      <c r="F175" s="91" t="s">
        <v>25</v>
      </c>
      <c r="G175" s="91" t="s">
        <v>25</v>
      </c>
      <c r="H175" s="91" t="s">
        <v>25</v>
      </c>
      <c r="I175" s="99">
        <v>44562</v>
      </c>
      <c r="J175" s="100">
        <f ca="1">EFEITO!$J$175*EFEITO!$Y$175</f>
        <v>25493.783390969133</v>
      </c>
      <c r="K175" s="100">
        <f>EFEITO!$L$175*EFEITO!$Z$175</f>
        <v>0</v>
      </c>
      <c r="L175" s="100">
        <f>EFEITO!$N$175*EFEITO!$AA$175</f>
        <v>0</v>
      </c>
      <c r="M175" s="100">
        <f ca="1">$J$175-EFEITO!$K$175*EFEITO!$Y$175</f>
        <v>0</v>
      </c>
      <c r="N175" s="100">
        <f>$K$175-EFEITO!$M$175*EFEITO!$Z$175</f>
        <v>0</v>
      </c>
      <c r="O175" s="100">
        <f>$L$175-EFEITO!$O$175*EFEITO!$AA$175</f>
        <v>0</v>
      </c>
      <c r="P175" s="17"/>
      <c r="Q175" s="17"/>
      <c r="R175" s="17"/>
      <c r="S175" s="17"/>
      <c r="T175" s="17"/>
      <c r="U175" s="17"/>
      <c r="V175" s="17"/>
      <c r="W175" s="17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91" t="s">
        <v>21</v>
      </c>
      <c r="B176" s="91" t="s">
        <v>38</v>
      </c>
      <c r="C176" s="91" t="s">
        <v>40</v>
      </c>
      <c r="D176" s="91" t="s">
        <v>41</v>
      </c>
      <c r="E176" s="91" t="s">
        <v>25</v>
      </c>
      <c r="F176" s="91" t="s">
        <v>25</v>
      </c>
      <c r="G176" s="91" t="s">
        <v>25</v>
      </c>
      <c r="H176" s="91" t="s">
        <v>25</v>
      </c>
      <c r="I176" s="99">
        <v>44593</v>
      </c>
      <c r="J176" s="100">
        <f ca="1">EFEITO!$J$176*EFEITO!$Y$176</f>
        <v>105423.93501188011</v>
      </c>
      <c r="K176" s="100">
        <f>EFEITO!$L$176*EFEITO!$Z$176</f>
        <v>0</v>
      </c>
      <c r="L176" s="100">
        <f>EFEITO!$N$176*EFEITO!$AA$176</f>
        <v>0</v>
      </c>
      <c r="M176" s="100">
        <f ca="1">$J$176-EFEITO!$K$176*EFEITO!$Y$176</f>
        <v>0</v>
      </c>
      <c r="N176" s="100">
        <f>$K$176-EFEITO!$M$176*EFEITO!$Z$176</f>
        <v>0</v>
      </c>
      <c r="O176" s="100">
        <f>$L$176-EFEITO!$O$176*EFEITO!$AA$176</f>
        <v>0</v>
      </c>
      <c r="P176" s="17"/>
      <c r="Q176" s="17"/>
      <c r="R176" s="17"/>
      <c r="S176" s="17"/>
      <c r="T176" s="17"/>
      <c r="U176" s="17"/>
      <c r="V176" s="17"/>
      <c r="W176" s="17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91" t="s">
        <v>55</v>
      </c>
      <c r="B177" s="91" t="s">
        <v>38</v>
      </c>
      <c r="C177" s="91" t="s">
        <v>40</v>
      </c>
      <c r="D177" s="91" t="s">
        <v>41</v>
      </c>
      <c r="E177" s="91" t="s">
        <v>25</v>
      </c>
      <c r="F177" s="91" t="s">
        <v>25</v>
      </c>
      <c r="G177" s="91" t="s">
        <v>25</v>
      </c>
      <c r="H177" s="91" t="s">
        <v>25</v>
      </c>
      <c r="I177" s="99">
        <v>44593</v>
      </c>
      <c r="J177" s="100">
        <f ca="1">EFEITO!$J$177*EFEITO!$Y$177</f>
        <v>32725.631361232132</v>
      </c>
      <c r="K177" s="100">
        <f>EFEITO!$L$177*EFEITO!$Z$177</f>
        <v>0</v>
      </c>
      <c r="L177" s="100">
        <f>EFEITO!$N$177*EFEITO!$AA$177</f>
        <v>0</v>
      </c>
      <c r="M177" s="100">
        <f ca="1">$J$177-EFEITO!$K$177*EFEITO!$Y$177</f>
        <v>0</v>
      </c>
      <c r="N177" s="100">
        <f>$K$177-EFEITO!$M$177*EFEITO!$Z$177</f>
        <v>0</v>
      </c>
      <c r="O177" s="100">
        <f>$L$177-EFEITO!$O$177*EFEITO!$AA$177</f>
        <v>0</v>
      </c>
      <c r="P177" s="17"/>
      <c r="Q177" s="17"/>
      <c r="R177" s="17"/>
      <c r="S177" s="17"/>
      <c r="T177" s="17"/>
      <c r="U177" s="17"/>
      <c r="V177" s="17"/>
      <c r="W177" s="17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91" t="s">
        <v>21</v>
      </c>
      <c r="B178" s="91" t="s">
        <v>38</v>
      </c>
      <c r="C178" s="91" t="s">
        <v>40</v>
      </c>
      <c r="D178" s="91" t="s">
        <v>41</v>
      </c>
      <c r="E178" s="91" t="s">
        <v>25</v>
      </c>
      <c r="F178" s="91" t="s">
        <v>25</v>
      </c>
      <c r="G178" s="91" t="s">
        <v>25</v>
      </c>
      <c r="H178" s="91" t="s">
        <v>25</v>
      </c>
      <c r="I178" s="99">
        <v>44621</v>
      </c>
      <c r="J178" s="100">
        <f ca="1">EFEITO!$J$178*EFEITO!$Y$178</f>
        <v>102628.43075446752</v>
      </c>
      <c r="K178" s="100">
        <f>EFEITO!$L$178*EFEITO!$Z$178</f>
        <v>0</v>
      </c>
      <c r="L178" s="100">
        <f>EFEITO!$N$178*EFEITO!$AA$178</f>
        <v>0</v>
      </c>
      <c r="M178" s="100">
        <f ca="1">$J$178-EFEITO!$K$178*EFEITO!$Y$178</f>
        <v>0</v>
      </c>
      <c r="N178" s="100">
        <f>$K$178-EFEITO!$M$178*EFEITO!$Z$178</f>
        <v>0</v>
      </c>
      <c r="O178" s="100">
        <f>$L$178-EFEITO!$O$178*EFEITO!$AA$178</f>
        <v>0</v>
      </c>
      <c r="P178" s="17"/>
      <c r="Q178" s="17"/>
      <c r="R178" s="17"/>
      <c r="S178" s="17"/>
      <c r="T178" s="17"/>
      <c r="U178" s="17"/>
      <c r="V178" s="17"/>
      <c r="W178" s="17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91" t="s">
        <v>55</v>
      </c>
      <c r="B179" s="91" t="s">
        <v>38</v>
      </c>
      <c r="C179" s="91" t="s">
        <v>40</v>
      </c>
      <c r="D179" s="91" t="s">
        <v>41</v>
      </c>
      <c r="E179" s="91" t="s">
        <v>25</v>
      </c>
      <c r="F179" s="91" t="s">
        <v>25</v>
      </c>
      <c r="G179" s="91" t="s">
        <v>25</v>
      </c>
      <c r="H179" s="91" t="s">
        <v>25</v>
      </c>
      <c r="I179" s="99">
        <v>44621</v>
      </c>
      <c r="J179" s="100">
        <f ca="1">EFEITO!$J$179*EFEITO!$Y$179</f>
        <v>8614.4071410485685</v>
      </c>
      <c r="K179" s="100">
        <f>EFEITO!$L$179*EFEITO!$Z$179</f>
        <v>0</v>
      </c>
      <c r="L179" s="100">
        <f>EFEITO!$N$179*EFEITO!$AA$179</f>
        <v>0</v>
      </c>
      <c r="M179" s="100">
        <f ca="1">$J$179-EFEITO!$K$179*EFEITO!$Y$179</f>
        <v>0</v>
      </c>
      <c r="N179" s="100">
        <f>$K$179-EFEITO!$M$179*EFEITO!$Z$179</f>
        <v>0</v>
      </c>
      <c r="O179" s="100">
        <f>$L$179-EFEITO!$O$179*EFEITO!$AA$179</f>
        <v>0</v>
      </c>
      <c r="P179" s="17"/>
      <c r="Q179" s="17"/>
      <c r="R179" s="17"/>
      <c r="S179" s="17"/>
      <c r="T179" s="17"/>
      <c r="U179" s="17"/>
      <c r="V179" s="17"/>
      <c r="W179" s="17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91" t="s">
        <v>21</v>
      </c>
      <c r="B180" s="91" t="s">
        <v>38</v>
      </c>
      <c r="C180" s="91" t="s">
        <v>40</v>
      </c>
      <c r="D180" s="91" t="s">
        <v>41</v>
      </c>
      <c r="E180" s="91" t="s">
        <v>25</v>
      </c>
      <c r="F180" s="91" t="s">
        <v>25</v>
      </c>
      <c r="G180" s="91" t="s">
        <v>25</v>
      </c>
      <c r="H180" s="91" t="s">
        <v>25</v>
      </c>
      <c r="I180" s="99">
        <v>44652</v>
      </c>
      <c r="J180" s="100">
        <f ca="1">EFEITO!$J$180*EFEITO!$Y$180</f>
        <v>104071.76175693597</v>
      </c>
      <c r="K180" s="100">
        <f>EFEITO!$L$180*EFEITO!$Z$180</f>
        <v>0</v>
      </c>
      <c r="L180" s="100">
        <f>EFEITO!$N$180*EFEITO!$AA$180</f>
        <v>0</v>
      </c>
      <c r="M180" s="100">
        <f ca="1">$J$180-EFEITO!$K$180*EFEITO!$Y$180</f>
        <v>0</v>
      </c>
      <c r="N180" s="100">
        <f>$K$180-EFEITO!$M$180*EFEITO!$Z$180</f>
        <v>0</v>
      </c>
      <c r="O180" s="100">
        <f>$L$180-EFEITO!$O$180*EFEITO!$AA$180</f>
        <v>0</v>
      </c>
      <c r="P180" s="17"/>
      <c r="Q180" s="17"/>
      <c r="R180" s="17"/>
      <c r="S180" s="17"/>
      <c r="T180" s="17"/>
      <c r="U180" s="17"/>
      <c r="V180" s="17"/>
      <c r="W180" s="17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91" t="s">
        <v>55</v>
      </c>
      <c r="B181" s="91" t="s">
        <v>38</v>
      </c>
      <c r="C181" s="91" t="s">
        <v>40</v>
      </c>
      <c r="D181" s="91" t="s">
        <v>41</v>
      </c>
      <c r="E181" s="91" t="s">
        <v>25</v>
      </c>
      <c r="F181" s="91" t="s">
        <v>25</v>
      </c>
      <c r="G181" s="91" t="s">
        <v>25</v>
      </c>
      <c r="H181" s="91" t="s">
        <v>25</v>
      </c>
      <c r="I181" s="99">
        <v>44652</v>
      </c>
      <c r="J181" s="100">
        <f ca="1">EFEITO!$J$181*EFEITO!$Y$181</f>
        <v>9282.8972895602747</v>
      </c>
      <c r="K181" s="100">
        <f>EFEITO!$L$181*EFEITO!$Z$181</f>
        <v>0</v>
      </c>
      <c r="L181" s="100">
        <f>EFEITO!$N$181*EFEITO!$AA$181</f>
        <v>0</v>
      </c>
      <c r="M181" s="100">
        <f ca="1">$J$181-EFEITO!$K$181*EFEITO!$Y$181</f>
        <v>0</v>
      </c>
      <c r="N181" s="100">
        <f>$K$181-EFEITO!$M$181*EFEITO!$Z$181</f>
        <v>0</v>
      </c>
      <c r="O181" s="100">
        <f>$L$181-EFEITO!$O$181*EFEITO!$AA$181</f>
        <v>0</v>
      </c>
      <c r="P181" s="17"/>
      <c r="Q181" s="17"/>
      <c r="R181" s="17"/>
      <c r="S181" s="17"/>
      <c r="T181" s="17"/>
      <c r="U181" s="17"/>
      <c r="V181" s="17"/>
      <c r="W181" s="17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91" t="s">
        <v>21</v>
      </c>
      <c r="B182" s="91" t="s">
        <v>38</v>
      </c>
      <c r="C182" s="91" t="s">
        <v>40</v>
      </c>
      <c r="D182" s="91" t="s">
        <v>41</v>
      </c>
      <c r="E182" s="91" t="s">
        <v>25</v>
      </c>
      <c r="F182" s="91" t="s">
        <v>25</v>
      </c>
      <c r="G182" s="91" t="s">
        <v>25</v>
      </c>
      <c r="H182" s="91" t="s">
        <v>25</v>
      </c>
      <c r="I182" s="99">
        <v>44682</v>
      </c>
      <c r="J182" s="100">
        <f ca="1">EFEITO!$J$182*EFEITO!$Y$182</f>
        <v>98176.894083696388</v>
      </c>
      <c r="K182" s="100">
        <f>EFEITO!$L$182*EFEITO!$Z$182</f>
        <v>0</v>
      </c>
      <c r="L182" s="100">
        <f>EFEITO!$N$182*EFEITO!$AA$182</f>
        <v>0</v>
      </c>
      <c r="M182" s="100">
        <f ca="1">$J$182-EFEITO!$K$182*EFEITO!$Y$182</f>
        <v>0</v>
      </c>
      <c r="N182" s="100">
        <f>$K$182-EFEITO!$M$182*EFEITO!$Z$182</f>
        <v>0</v>
      </c>
      <c r="O182" s="100">
        <f>$L$182-EFEITO!$O$182*EFEITO!$AA$182</f>
        <v>0</v>
      </c>
      <c r="P182" s="17"/>
      <c r="Q182" s="17"/>
      <c r="R182" s="17"/>
      <c r="S182" s="17"/>
      <c r="T182" s="17"/>
      <c r="U182" s="17"/>
      <c r="V182" s="17"/>
      <c r="W182" s="17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91" t="s">
        <v>55</v>
      </c>
      <c r="B183" s="91" t="s">
        <v>38</v>
      </c>
      <c r="C183" s="91" t="s">
        <v>40</v>
      </c>
      <c r="D183" s="91" t="s">
        <v>41</v>
      </c>
      <c r="E183" s="91" t="s">
        <v>25</v>
      </c>
      <c r="F183" s="91" t="s">
        <v>25</v>
      </c>
      <c r="G183" s="91" t="s">
        <v>25</v>
      </c>
      <c r="H183" s="91" t="s">
        <v>25</v>
      </c>
      <c r="I183" s="99">
        <v>44682</v>
      </c>
      <c r="J183" s="100">
        <f ca="1">EFEITO!$J$183*EFEITO!$Y$183</f>
        <v>8447.2846039206433</v>
      </c>
      <c r="K183" s="100">
        <f>EFEITO!$L$183*EFEITO!$Z$183</f>
        <v>0</v>
      </c>
      <c r="L183" s="100">
        <f>EFEITO!$N$183*EFEITO!$AA$183</f>
        <v>0</v>
      </c>
      <c r="M183" s="100">
        <f ca="1">$J$183-EFEITO!$K$183*EFEITO!$Y$183</f>
        <v>0</v>
      </c>
      <c r="N183" s="100">
        <f>$K$183-EFEITO!$M$183*EFEITO!$Z$183</f>
        <v>0</v>
      </c>
      <c r="O183" s="100">
        <f>$L$183-EFEITO!$O$183*EFEITO!$AA$183</f>
        <v>0</v>
      </c>
      <c r="P183" s="17"/>
      <c r="Q183" s="17"/>
      <c r="R183" s="17"/>
      <c r="S183" s="17"/>
      <c r="T183" s="17"/>
      <c r="U183" s="17"/>
      <c r="V183" s="17"/>
      <c r="W183" s="17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91" t="s">
        <v>55</v>
      </c>
      <c r="B184" s="91" t="s">
        <v>38</v>
      </c>
      <c r="C184" s="91" t="s">
        <v>40</v>
      </c>
      <c r="D184" s="91" t="s">
        <v>41</v>
      </c>
      <c r="E184" s="91" t="s">
        <v>25</v>
      </c>
      <c r="F184" s="91" t="s">
        <v>25</v>
      </c>
      <c r="G184" s="91" t="s">
        <v>25</v>
      </c>
      <c r="H184" s="91" t="s">
        <v>25</v>
      </c>
      <c r="I184" s="99">
        <v>44682</v>
      </c>
      <c r="J184" s="100">
        <f ca="1">EFEITO!$J$184*EFEITO!$Y$184</f>
        <v>395.01690593873508</v>
      </c>
      <c r="K184" s="100">
        <f>EFEITO!$L$184*EFEITO!$Z$184</f>
        <v>0</v>
      </c>
      <c r="L184" s="100">
        <f>EFEITO!$N$184*EFEITO!$AA$184</f>
        <v>0</v>
      </c>
      <c r="M184" s="100">
        <f ca="1">$J$184-EFEITO!$K$184*EFEITO!$Y$184</f>
        <v>0</v>
      </c>
      <c r="N184" s="100">
        <f>$K$184-EFEITO!$M$184*EFEITO!$Z$184</f>
        <v>0</v>
      </c>
      <c r="O184" s="100">
        <f>$L$184-EFEITO!$O$184*EFEITO!$AA$184</f>
        <v>0</v>
      </c>
      <c r="P184" s="17"/>
      <c r="Q184" s="17"/>
      <c r="R184" s="17"/>
      <c r="S184" s="17"/>
      <c r="T184" s="17"/>
      <c r="U184" s="17"/>
      <c r="V184" s="17"/>
      <c r="W184" s="17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91" t="s">
        <v>56</v>
      </c>
      <c r="B185" s="91" t="s">
        <v>38</v>
      </c>
      <c r="C185" s="91" t="s">
        <v>40</v>
      </c>
      <c r="D185" s="91" t="s">
        <v>41</v>
      </c>
      <c r="E185" s="91" t="s">
        <v>25</v>
      </c>
      <c r="F185" s="91" t="s">
        <v>25</v>
      </c>
      <c r="G185" s="91" t="s">
        <v>25</v>
      </c>
      <c r="H185" s="91" t="s">
        <v>25</v>
      </c>
      <c r="I185" s="99">
        <v>44713</v>
      </c>
      <c r="J185" s="100">
        <f ca="1">EFEITO!$J$185*EFEITO!$Y$185</f>
        <v>98176.894083696388</v>
      </c>
      <c r="K185" s="100">
        <f>EFEITO!$L$185*EFEITO!$Z$185</f>
        <v>0</v>
      </c>
      <c r="L185" s="100">
        <f>EFEITO!$N$185*EFEITO!$AA$185</f>
        <v>0</v>
      </c>
      <c r="M185" s="100">
        <f ca="1">$J$185-EFEITO!$K$185*EFEITO!$Y$185</f>
        <v>0</v>
      </c>
      <c r="N185" s="100">
        <f>$K$185-EFEITO!$M$185*EFEITO!$Z$185</f>
        <v>0</v>
      </c>
      <c r="O185" s="100">
        <f>$L$185-EFEITO!$O$185*EFEITO!$AA$185</f>
        <v>0</v>
      </c>
      <c r="P185" s="17"/>
      <c r="Q185" s="17"/>
      <c r="R185" s="17"/>
      <c r="S185" s="17"/>
      <c r="T185" s="17"/>
      <c r="U185" s="17"/>
      <c r="V185" s="17"/>
      <c r="W185" s="17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91" t="s">
        <v>56</v>
      </c>
      <c r="B186" s="91" t="s">
        <v>38</v>
      </c>
      <c r="C186" s="91" t="s">
        <v>40</v>
      </c>
      <c r="D186" s="91" t="s">
        <v>41</v>
      </c>
      <c r="E186" s="91" t="s">
        <v>25</v>
      </c>
      <c r="F186" s="91" t="s">
        <v>25</v>
      </c>
      <c r="G186" s="91" t="s">
        <v>25</v>
      </c>
      <c r="H186" s="91" t="s">
        <v>25</v>
      </c>
      <c r="I186" s="99">
        <v>44713</v>
      </c>
      <c r="J186" s="100">
        <f ca="1">EFEITO!$J$186*EFEITO!$Y$186</f>
        <v>8447.2846039206433</v>
      </c>
      <c r="K186" s="100">
        <f>EFEITO!$L$186*EFEITO!$Z$186</f>
        <v>0</v>
      </c>
      <c r="L186" s="100">
        <f>EFEITO!$N$186*EFEITO!$AA$186</f>
        <v>0</v>
      </c>
      <c r="M186" s="100">
        <f ca="1">$J$186-EFEITO!$K$186*EFEITO!$Y$186</f>
        <v>0</v>
      </c>
      <c r="N186" s="100">
        <f>$K$186-EFEITO!$M$186*EFEITO!$Z$186</f>
        <v>0</v>
      </c>
      <c r="O186" s="100">
        <f>$L$186-EFEITO!$O$186*EFEITO!$AA$186</f>
        <v>0</v>
      </c>
      <c r="P186" s="17"/>
      <c r="Q186" s="17"/>
      <c r="R186" s="17"/>
      <c r="S186" s="17"/>
      <c r="T186" s="17"/>
      <c r="U186" s="17"/>
      <c r="V186" s="17"/>
      <c r="W186" s="17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91" t="s">
        <v>56</v>
      </c>
      <c r="B187" s="91" t="s">
        <v>38</v>
      </c>
      <c r="C187" s="91" t="s">
        <v>40</v>
      </c>
      <c r="D187" s="91" t="s">
        <v>41</v>
      </c>
      <c r="E187" s="91" t="s">
        <v>25</v>
      </c>
      <c r="F187" s="91" t="s">
        <v>25</v>
      </c>
      <c r="G187" s="91" t="s">
        <v>25</v>
      </c>
      <c r="H187" s="91" t="s">
        <v>25</v>
      </c>
      <c r="I187" s="99">
        <v>44713</v>
      </c>
      <c r="J187" s="100">
        <f ca="1">EFEITO!$J$187*EFEITO!$Y$187</f>
        <v>395.01690593873508</v>
      </c>
      <c r="K187" s="100">
        <f>EFEITO!$L$187*EFEITO!$Z$187</f>
        <v>0</v>
      </c>
      <c r="L187" s="100">
        <f>EFEITO!$N$187*EFEITO!$AA$187</f>
        <v>0</v>
      </c>
      <c r="M187" s="100">
        <f ca="1">$J$187-EFEITO!$K$187*EFEITO!$Y$187</f>
        <v>0</v>
      </c>
      <c r="N187" s="100">
        <f>$K$187-EFEITO!$M$187*EFEITO!$Z$187</f>
        <v>0</v>
      </c>
      <c r="O187" s="100">
        <f>$L$187-EFEITO!$O$187*EFEITO!$AA$187</f>
        <v>0</v>
      </c>
      <c r="P187" s="17"/>
      <c r="Q187" s="17"/>
      <c r="R187" s="17"/>
      <c r="S187" s="17"/>
      <c r="T187" s="17"/>
      <c r="U187" s="17"/>
      <c r="V187" s="17"/>
      <c r="W187" s="17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91" t="s">
        <v>21</v>
      </c>
      <c r="B188" s="91" t="s">
        <v>38</v>
      </c>
      <c r="C188" s="91" t="s">
        <v>40</v>
      </c>
      <c r="D188" s="91" t="s">
        <v>41</v>
      </c>
      <c r="E188" s="91" t="s">
        <v>25</v>
      </c>
      <c r="F188" s="91" t="s">
        <v>25</v>
      </c>
      <c r="G188" s="91" t="s">
        <v>25</v>
      </c>
      <c r="H188" s="91" t="s">
        <v>33</v>
      </c>
      <c r="I188" s="99">
        <v>44378</v>
      </c>
      <c r="J188" s="100">
        <f>EFEITO!$J$188*EFEITO!$Y$188</f>
        <v>0</v>
      </c>
      <c r="K188" s="100">
        <f ca="1">EFEITO!$L$188*EFEITO!$Z$188</f>
        <v>66502.963458568644</v>
      </c>
      <c r="L188" s="100">
        <f>EFEITO!$N$188*EFEITO!$AA$188</f>
        <v>21884.806906331843</v>
      </c>
      <c r="M188" s="100">
        <f>$J$188-EFEITO!$K$188*EFEITO!$Y$188</f>
        <v>0</v>
      </c>
      <c r="N188" s="100">
        <f ca="1">$K$188-EFEITO!$M$188*EFEITO!$Z$188</f>
        <v>0</v>
      </c>
      <c r="O188" s="100">
        <f>$L$188-EFEITO!$O$188*EFEITO!$AA$188</f>
        <v>0</v>
      </c>
      <c r="P188" s="17"/>
      <c r="Q188" s="17"/>
      <c r="R188" s="17"/>
      <c r="S188" s="17"/>
      <c r="T188" s="17"/>
      <c r="U188" s="17"/>
      <c r="V188" s="17"/>
      <c r="W188" s="17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91" t="s">
        <v>21</v>
      </c>
      <c r="B189" s="91" t="s">
        <v>38</v>
      </c>
      <c r="C189" s="91" t="s">
        <v>40</v>
      </c>
      <c r="D189" s="91" t="s">
        <v>41</v>
      </c>
      <c r="E189" s="91" t="s">
        <v>25</v>
      </c>
      <c r="F189" s="91" t="s">
        <v>25</v>
      </c>
      <c r="G189" s="91" t="s">
        <v>25</v>
      </c>
      <c r="H189" s="91" t="s">
        <v>33</v>
      </c>
      <c r="I189" s="99">
        <v>44409</v>
      </c>
      <c r="J189" s="100">
        <f>EFEITO!$J$189*EFEITO!$Y$189</f>
        <v>0</v>
      </c>
      <c r="K189" s="100">
        <f ca="1">EFEITO!$L$189*EFEITO!$Z$189</f>
        <v>61064.546640680521</v>
      </c>
      <c r="L189" s="100">
        <f>EFEITO!$N$189*EFEITO!$AA$189</f>
        <v>20095.131743814043</v>
      </c>
      <c r="M189" s="100">
        <f>$J$189-EFEITO!$K$189*EFEITO!$Y$189</f>
        <v>0</v>
      </c>
      <c r="N189" s="100">
        <f ca="1">$K$189-EFEITO!$M$189*EFEITO!$Z$189</f>
        <v>0</v>
      </c>
      <c r="O189" s="100">
        <f>$L$189-EFEITO!$O$189*EFEITO!$AA$189</f>
        <v>0</v>
      </c>
      <c r="P189" s="17"/>
      <c r="Q189" s="17"/>
      <c r="R189" s="17"/>
      <c r="S189" s="17"/>
      <c r="T189" s="17"/>
      <c r="U189" s="17"/>
      <c r="V189" s="17"/>
      <c r="W189" s="17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91" t="s">
        <v>21</v>
      </c>
      <c r="B190" s="91" t="s">
        <v>38</v>
      </c>
      <c r="C190" s="91" t="s">
        <v>40</v>
      </c>
      <c r="D190" s="91" t="s">
        <v>41</v>
      </c>
      <c r="E190" s="91" t="s">
        <v>25</v>
      </c>
      <c r="F190" s="91" t="s">
        <v>25</v>
      </c>
      <c r="G190" s="91" t="s">
        <v>25</v>
      </c>
      <c r="H190" s="91" t="s">
        <v>33</v>
      </c>
      <c r="I190" s="99">
        <v>44440</v>
      </c>
      <c r="J190" s="100">
        <f>EFEITO!$J$190*EFEITO!$Y$190</f>
        <v>0</v>
      </c>
      <c r="K190" s="100">
        <f ca="1">EFEITO!$L$190*EFEITO!$Z$190</f>
        <v>56397.521224460455</v>
      </c>
      <c r="L190" s="100">
        <f>EFEITO!$N$190*EFEITO!$AA$190</f>
        <v>18559.30619936969</v>
      </c>
      <c r="M190" s="100">
        <f>$J$190-EFEITO!$K$190*EFEITO!$Y$190</f>
        <v>0</v>
      </c>
      <c r="N190" s="100">
        <f ca="1">$K$190-EFEITO!$M$190*EFEITO!$Z$190</f>
        <v>0</v>
      </c>
      <c r="O190" s="100">
        <f>$L$190-EFEITO!$O$190*EFEITO!$AA$190</f>
        <v>0</v>
      </c>
      <c r="P190" s="17"/>
      <c r="Q190" s="17"/>
      <c r="R190" s="17"/>
      <c r="S190" s="17"/>
      <c r="T190" s="17"/>
      <c r="U190" s="17"/>
      <c r="V190" s="17"/>
      <c r="W190" s="17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91" t="s">
        <v>21</v>
      </c>
      <c r="B191" s="91" t="s">
        <v>38</v>
      </c>
      <c r="C191" s="91" t="s">
        <v>40</v>
      </c>
      <c r="D191" s="91" t="s">
        <v>41</v>
      </c>
      <c r="E191" s="91" t="s">
        <v>25</v>
      </c>
      <c r="F191" s="91" t="s">
        <v>25</v>
      </c>
      <c r="G191" s="91" t="s">
        <v>25</v>
      </c>
      <c r="H191" s="91" t="s">
        <v>33</v>
      </c>
      <c r="I191" s="99">
        <v>44470</v>
      </c>
      <c r="J191" s="100">
        <f>EFEITO!$J$191*EFEITO!$Y$191</f>
        <v>0</v>
      </c>
      <c r="K191" s="100">
        <f ca="1">EFEITO!$L$191*EFEITO!$Z$191</f>
        <v>60526.291637566748</v>
      </c>
      <c r="L191" s="100">
        <f>EFEITO!$N$191*EFEITO!$AA$191</f>
        <v>19918.002692762795</v>
      </c>
      <c r="M191" s="100">
        <f>$J$191-EFEITO!$K$191*EFEITO!$Y$191</f>
        <v>0</v>
      </c>
      <c r="N191" s="100">
        <f ca="1">$K$191-EFEITO!$M$191*EFEITO!$Z$191</f>
        <v>0</v>
      </c>
      <c r="O191" s="100">
        <f>$L$191-EFEITO!$O$191*EFEITO!$AA$191</f>
        <v>0</v>
      </c>
      <c r="P191" s="17"/>
      <c r="Q191" s="17"/>
      <c r="R191" s="17"/>
      <c r="S191" s="17"/>
      <c r="T191" s="17"/>
      <c r="U191" s="17"/>
      <c r="V191" s="17"/>
      <c r="W191" s="17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91" t="s">
        <v>21</v>
      </c>
      <c r="B192" s="91" t="s">
        <v>38</v>
      </c>
      <c r="C192" s="91" t="s">
        <v>40</v>
      </c>
      <c r="D192" s="91" t="s">
        <v>41</v>
      </c>
      <c r="E192" s="91" t="s">
        <v>25</v>
      </c>
      <c r="F192" s="91" t="s">
        <v>25</v>
      </c>
      <c r="G192" s="91" t="s">
        <v>25</v>
      </c>
      <c r="H192" s="91" t="s">
        <v>33</v>
      </c>
      <c r="I192" s="99">
        <v>44501</v>
      </c>
      <c r="J192" s="100">
        <f>EFEITO!$J$192*EFEITO!$Y$192</f>
        <v>0</v>
      </c>
      <c r="K192" s="100">
        <f ca="1">EFEITO!$L$192*EFEITO!$Z$192</f>
        <v>77006.993728914778</v>
      </c>
      <c r="L192" s="100">
        <f>EFEITO!$N$192*EFEITO!$AA$192</f>
        <v>25341.47503433195</v>
      </c>
      <c r="M192" s="100">
        <f>$J$192-EFEITO!$K$192*EFEITO!$Y$192</f>
        <v>0</v>
      </c>
      <c r="N192" s="100">
        <f ca="1">$K$192-EFEITO!$M$192*EFEITO!$Z$192</f>
        <v>0</v>
      </c>
      <c r="O192" s="100">
        <f>$L$192-EFEITO!$O$192*EFEITO!$AA$192</f>
        <v>0</v>
      </c>
      <c r="P192" s="17"/>
      <c r="Q192" s="17"/>
      <c r="R192" s="17"/>
      <c r="S192" s="17"/>
      <c r="T192" s="17"/>
      <c r="U192" s="17"/>
      <c r="V192" s="17"/>
      <c r="W192" s="17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91" t="s">
        <v>55</v>
      </c>
      <c r="B193" s="91" t="s">
        <v>38</v>
      </c>
      <c r="C193" s="91" t="s">
        <v>40</v>
      </c>
      <c r="D193" s="91" t="s">
        <v>41</v>
      </c>
      <c r="E193" s="91" t="s">
        <v>25</v>
      </c>
      <c r="F193" s="91" t="s">
        <v>25</v>
      </c>
      <c r="G193" s="91" t="s">
        <v>25</v>
      </c>
      <c r="H193" s="91" t="s">
        <v>33</v>
      </c>
      <c r="I193" s="99">
        <v>44501</v>
      </c>
      <c r="J193" s="100">
        <f>EFEITO!$J$193*EFEITO!$Y$193</f>
        <v>0</v>
      </c>
      <c r="K193" s="100">
        <f ca="1">EFEITO!$L$193*EFEITO!$Z$193</f>
        <v>1880.1322464054138</v>
      </c>
      <c r="L193" s="100">
        <f>EFEITO!$N$193*EFEITO!$AA$193</f>
        <v>618.71425017901015</v>
      </c>
      <c r="M193" s="100">
        <f>$J$193-EFEITO!$K$193*EFEITO!$Y$193</f>
        <v>0</v>
      </c>
      <c r="N193" s="100">
        <f ca="1">$K$193-EFEITO!$M$193*EFEITO!$Z$193</f>
        <v>0</v>
      </c>
      <c r="O193" s="100">
        <f>$L$193-EFEITO!$O$193*EFEITO!$AA$193</f>
        <v>0</v>
      </c>
      <c r="P193" s="17"/>
      <c r="Q193" s="17"/>
      <c r="R193" s="17"/>
      <c r="S193" s="17"/>
      <c r="T193" s="17"/>
      <c r="U193" s="17"/>
      <c r="V193" s="17"/>
      <c r="W193" s="17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91" t="s">
        <v>21</v>
      </c>
      <c r="B194" s="91" t="s">
        <v>38</v>
      </c>
      <c r="C194" s="91" t="s">
        <v>40</v>
      </c>
      <c r="D194" s="91" t="s">
        <v>41</v>
      </c>
      <c r="E194" s="91" t="s">
        <v>25</v>
      </c>
      <c r="F194" s="91" t="s">
        <v>25</v>
      </c>
      <c r="G194" s="91" t="s">
        <v>25</v>
      </c>
      <c r="H194" s="91" t="s">
        <v>33</v>
      </c>
      <c r="I194" s="99">
        <v>44531</v>
      </c>
      <c r="J194" s="100">
        <f>EFEITO!$J$194*EFEITO!$Y$194</f>
        <v>0</v>
      </c>
      <c r="K194" s="100">
        <f ca="1">EFEITO!$L$194*EFEITO!$Z$194</f>
        <v>76478.407977353942</v>
      </c>
      <c r="L194" s="100">
        <f>EFEITO!$N$194*EFEITO!$AA$194</f>
        <v>25167.52794228162</v>
      </c>
      <c r="M194" s="100">
        <f>$J$194-EFEITO!$K$194*EFEITO!$Y$194</f>
        <v>0</v>
      </c>
      <c r="N194" s="100">
        <f ca="1">$K$194-EFEITO!$M$194*EFEITO!$Z$194</f>
        <v>0</v>
      </c>
      <c r="O194" s="100">
        <f>$L$194-EFEITO!$O$194*EFEITO!$AA$194</f>
        <v>0</v>
      </c>
      <c r="P194" s="17"/>
      <c r="Q194" s="17"/>
      <c r="R194" s="17"/>
      <c r="S194" s="17"/>
      <c r="T194" s="17"/>
      <c r="U194" s="17"/>
      <c r="V194" s="17"/>
      <c r="W194" s="17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91" t="s">
        <v>21</v>
      </c>
      <c r="B195" s="91" t="s">
        <v>38</v>
      </c>
      <c r="C195" s="91" t="s">
        <v>40</v>
      </c>
      <c r="D195" s="91" t="s">
        <v>41</v>
      </c>
      <c r="E195" s="91" t="s">
        <v>25</v>
      </c>
      <c r="F195" s="91" t="s">
        <v>25</v>
      </c>
      <c r="G195" s="91" t="s">
        <v>25</v>
      </c>
      <c r="H195" s="91" t="s">
        <v>33</v>
      </c>
      <c r="I195" s="99">
        <v>44562</v>
      </c>
      <c r="J195" s="100">
        <f>EFEITO!$J$195*EFEITO!$Y$195</f>
        <v>0</v>
      </c>
      <c r="K195" s="100">
        <f ca="1">EFEITO!$L$195*EFEITO!$Z$195</f>
        <v>73383.173119128798</v>
      </c>
      <c r="L195" s="100">
        <f>EFEITO!$N$195*EFEITO!$AA$195</f>
        <v>24148.947510986916</v>
      </c>
      <c r="M195" s="100">
        <f>$J$195-EFEITO!$K$195*EFEITO!$Y$195</f>
        <v>0</v>
      </c>
      <c r="N195" s="100">
        <f ca="1">$K$195-EFEITO!$M$195*EFEITO!$Z$195</f>
        <v>0</v>
      </c>
      <c r="O195" s="100">
        <f>$L$195-EFEITO!$O$195*EFEITO!$AA$195</f>
        <v>0</v>
      </c>
      <c r="P195" s="17"/>
      <c r="Q195" s="17"/>
      <c r="R195" s="17"/>
      <c r="S195" s="17"/>
      <c r="T195" s="17"/>
      <c r="U195" s="17"/>
      <c r="V195" s="17"/>
      <c r="W195" s="17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91" t="s">
        <v>55</v>
      </c>
      <c r="B196" s="91" t="s">
        <v>38</v>
      </c>
      <c r="C196" s="91" t="s">
        <v>40</v>
      </c>
      <c r="D196" s="91" t="s">
        <v>41</v>
      </c>
      <c r="E196" s="91" t="s">
        <v>25</v>
      </c>
      <c r="F196" s="91" t="s">
        <v>25</v>
      </c>
      <c r="G196" s="91" t="s">
        <v>25</v>
      </c>
      <c r="H196" s="91" t="s">
        <v>33</v>
      </c>
      <c r="I196" s="99">
        <v>44562</v>
      </c>
      <c r="J196" s="100">
        <f>EFEITO!$J$196*EFEITO!$Y$196</f>
        <v>0</v>
      </c>
      <c r="K196" s="100">
        <f ca="1">EFEITO!$L$196*EFEITO!$Z$196</f>
        <v>143.9644120104717</v>
      </c>
      <c r="L196" s="100">
        <f>EFEITO!$N$196*EFEITO!$AA$196</f>
        <v>47.375834013707063</v>
      </c>
      <c r="M196" s="100">
        <f>$J$196-EFEITO!$K$196*EFEITO!$Y$196</f>
        <v>0</v>
      </c>
      <c r="N196" s="100">
        <f ca="1">$K$196-EFEITO!$M$196*EFEITO!$Z$196</f>
        <v>0</v>
      </c>
      <c r="O196" s="100">
        <f>$L$196-EFEITO!$O$196*EFEITO!$AA$196</f>
        <v>0</v>
      </c>
      <c r="P196" s="17"/>
      <c r="Q196" s="17"/>
      <c r="R196" s="17"/>
      <c r="S196" s="17"/>
      <c r="T196" s="17"/>
      <c r="U196" s="17"/>
      <c r="V196" s="17"/>
      <c r="W196" s="17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91" t="s">
        <v>21</v>
      </c>
      <c r="B197" s="91" t="s">
        <v>38</v>
      </c>
      <c r="C197" s="91" t="s">
        <v>40</v>
      </c>
      <c r="D197" s="91" t="s">
        <v>41</v>
      </c>
      <c r="E197" s="91" t="s">
        <v>25</v>
      </c>
      <c r="F197" s="91" t="s">
        <v>25</v>
      </c>
      <c r="G197" s="91" t="s">
        <v>25</v>
      </c>
      <c r="H197" s="91" t="s">
        <v>33</v>
      </c>
      <c r="I197" s="99">
        <v>44593</v>
      </c>
      <c r="J197" s="100">
        <f>EFEITO!$J$197*EFEITO!$Y$197</f>
        <v>0</v>
      </c>
      <c r="K197" s="100">
        <f ca="1">EFEITO!$L$197*EFEITO!$Z$197</f>
        <v>60851.823106515796</v>
      </c>
      <c r="L197" s="100">
        <f>EFEITO!$N$197*EFEITO!$AA$197</f>
        <v>20025.128645793789</v>
      </c>
      <c r="M197" s="100">
        <f>$J$197-EFEITO!$K$197*EFEITO!$Y$197</f>
        <v>0</v>
      </c>
      <c r="N197" s="100">
        <f ca="1">$K$197-EFEITO!$M$197*EFEITO!$Z$197</f>
        <v>0</v>
      </c>
      <c r="O197" s="100">
        <f>$L$197-EFEITO!$O$197*EFEITO!$AA$197</f>
        <v>0</v>
      </c>
      <c r="P197" s="17"/>
      <c r="Q197" s="17"/>
      <c r="R197" s="17"/>
      <c r="S197" s="17"/>
      <c r="T197" s="17"/>
      <c r="U197" s="17"/>
      <c r="V197" s="17"/>
      <c r="W197" s="17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91" t="s">
        <v>55</v>
      </c>
      <c r="B198" s="91" t="s">
        <v>38</v>
      </c>
      <c r="C198" s="91" t="s">
        <v>40</v>
      </c>
      <c r="D198" s="91" t="s">
        <v>41</v>
      </c>
      <c r="E198" s="91" t="s">
        <v>25</v>
      </c>
      <c r="F198" s="91" t="s">
        <v>25</v>
      </c>
      <c r="G198" s="91" t="s">
        <v>25</v>
      </c>
      <c r="H198" s="91" t="s">
        <v>33</v>
      </c>
      <c r="I198" s="99">
        <v>44593</v>
      </c>
      <c r="J198" s="100">
        <f>EFEITO!$J$198*EFEITO!$Y$198</f>
        <v>0</v>
      </c>
      <c r="K198" s="100">
        <f ca="1">EFEITO!$L$198*EFEITO!$Z$198</f>
        <v>3398.204740217328</v>
      </c>
      <c r="L198" s="100">
        <f>EFEITO!$N$198*EFEITO!$AA$198</f>
        <v>1118.2818133235478</v>
      </c>
      <c r="M198" s="100">
        <f>$J$198-EFEITO!$K$198*EFEITO!$Y$198</f>
        <v>0</v>
      </c>
      <c r="N198" s="100">
        <f ca="1">$K$198-EFEITO!$M$198*EFEITO!$Z$198</f>
        <v>0</v>
      </c>
      <c r="O198" s="100">
        <f>$L$198-EFEITO!$O$198*EFEITO!$AA$198</f>
        <v>0</v>
      </c>
      <c r="P198" s="17"/>
      <c r="Q198" s="17"/>
      <c r="R198" s="17"/>
      <c r="S198" s="17"/>
      <c r="T198" s="17"/>
      <c r="U198" s="17"/>
      <c r="V198" s="17"/>
      <c r="W198" s="17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91" t="s">
        <v>21</v>
      </c>
      <c r="B199" s="91" t="s">
        <v>38</v>
      </c>
      <c r="C199" s="91" t="s">
        <v>40</v>
      </c>
      <c r="D199" s="91" t="s">
        <v>41</v>
      </c>
      <c r="E199" s="91" t="s">
        <v>25</v>
      </c>
      <c r="F199" s="91" t="s">
        <v>25</v>
      </c>
      <c r="G199" s="91" t="s">
        <v>25</v>
      </c>
      <c r="H199" s="91" t="s">
        <v>33</v>
      </c>
      <c r="I199" s="99">
        <v>44621</v>
      </c>
      <c r="J199" s="100">
        <f>EFEITO!$J$199*EFEITO!$Y$199</f>
        <v>0</v>
      </c>
      <c r="K199" s="100">
        <f ca="1">EFEITO!$L$199*EFEITO!$Z$199</f>
        <v>74228.695449369392</v>
      </c>
      <c r="L199" s="100">
        <f>EFEITO!$N$199*EFEITO!$AA$199</f>
        <v>24427.192148067417</v>
      </c>
      <c r="M199" s="100">
        <f>$J$199-EFEITO!$K$199*EFEITO!$Y$199</f>
        <v>0</v>
      </c>
      <c r="N199" s="100">
        <f ca="1">$K$199-EFEITO!$M$199*EFEITO!$Z$199</f>
        <v>0</v>
      </c>
      <c r="O199" s="100">
        <f>$L$199-EFEITO!$O$199*EFEITO!$AA$199</f>
        <v>0</v>
      </c>
      <c r="P199" s="17"/>
      <c r="Q199" s="17"/>
      <c r="R199" s="17"/>
      <c r="S199" s="17"/>
      <c r="T199" s="17"/>
      <c r="U199" s="17"/>
      <c r="V199" s="17"/>
      <c r="W199" s="17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91" t="s">
        <v>55</v>
      </c>
      <c r="B200" s="91" t="s">
        <v>38</v>
      </c>
      <c r="C200" s="91" t="s">
        <v>40</v>
      </c>
      <c r="D200" s="91" t="s">
        <v>41</v>
      </c>
      <c r="E200" s="91" t="s">
        <v>25</v>
      </c>
      <c r="F200" s="91" t="s">
        <v>25</v>
      </c>
      <c r="G200" s="91" t="s">
        <v>25</v>
      </c>
      <c r="H200" s="91" t="s">
        <v>33</v>
      </c>
      <c r="I200" s="99">
        <v>44621</v>
      </c>
      <c r="J200" s="100">
        <f>EFEITO!$J$200*EFEITO!$Y$200</f>
        <v>0</v>
      </c>
      <c r="K200" s="100">
        <f ca="1">EFEITO!$L$200*EFEITO!$Z$200</f>
        <v>3765.6362992291288</v>
      </c>
      <c r="L200" s="100">
        <f>EFEITO!$N$200*EFEITO!$AA$200</f>
        <v>1239.1962553585315</v>
      </c>
      <c r="M200" s="100">
        <f>$J$200-EFEITO!$K$200*EFEITO!$Y$200</f>
        <v>0</v>
      </c>
      <c r="N200" s="100">
        <f ca="1">$K$200-EFEITO!$M$200*EFEITO!$Z$200</f>
        <v>0</v>
      </c>
      <c r="O200" s="100">
        <f>$L$200-EFEITO!$O$200*EFEITO!$AA$200</f>
        <v>0</v>
      </c>
      <c r="P200" s="17"/>
      <c r="Q200" s="17"/>
      <c r="R200" s="17"/>
      <c r="S200" s="17"/>
      <c r="T200" s="17"/>
      <c r="U200" s="17"/>
      <c r="V200" s="17"/>
      <c r="W200" s="17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91" t="s">
        <v>21</v>
      </c>
      <c r="B201" s="91" t="s">
        <v>38</v>
      </c>
      <c r="C201" s="91" t="s">
        <v>40</v>
      </c>
      <c r="D201" s="91" t="s">
        <v>41</v>
      </c>
      <c r="E201" s="91" t="s">
        <v>25</v>
      </c>
      <c r="F201" s="91" t="s">
        <v>25</v>
      </c>
      <c r="G201" s="91" t="s">
        <v>25</v>
      </c>
      <c r="H201" s="91" t="s">
        <v>33</v>
      </c>
      <c r="I201" s="99">
        <v>44652</v>
      </c>
      <c r="J201" s="100">
        <f>EFEITO!$J$201*EFEITO!$Y$201</f>
        <v>0</v>
      </c>
      <c r="K201" s="100">
        <f ca="1">EFEITO!$L$201*EFEITO!$Z$201</f>
        <v>72516.163563214985</v>
      </c>
      <c r="L201" s="100">
        <f>EFEITO!$N$201*EFEITO!$AA$201</f>
        <v>23863.631853904368</v>
      </c>
      <c r="M201" s="100">
        <f>$J$201-EFEITO!$K$201*EFEITO!$Y$201</f>
        <v>0</v>
      </c>
      <c r="N201" s="100">
        <f ca="1">$K$201-EFEITO!$M$201*EFEITO!$Z$201</f>
        <v>0</v>
      </c>
      <c r="O201" s="100">
        <f>$L$201-EFEITO!$O$201*EFEITO!$AA$201</f>
        <v>0</v>
      </c>
      <c r="P201" s="17"/>
      <c r="Q201" s="17"/>
      <c r="R201" s="17"/>
      <c r="S201" s="17"/>
      <c r="T201" s="17"/>
      <c r="U201" s="17"/>
      <c r="V201" s="17"/>
      <c r="W201" s="17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91" t="s">
        <v>55</v>
      </c>
      <c r="B202" s="91" t="s">
        <v>38</v>
      </c>
      <c r="C202" s="91" t="s">
        <v>40</v>
      </c>
      <c r="D202" s="91" t="s">
        <v>41</v>
      </c>
      <c r="E202" s="91" t="s">
        <v>25</v>
      </c>
      <c r="F202" s="91" t="s">
        <v>25</v>
      </c>
      <c r="G202" s="91" t="s">
        <v>25</v>
      </c>
      <c r="H202" s="91" t="s">
        <v>33</v>
      </c>
      <c r="I202" s="99">
        <v>44652</v>
      </c>
      <c r="J202" s="100">
        <f>EFEITO!$J$202*EFEITO!$Y$202</f>
        <v>0</v>
      </c>
      <c r="K202" s="100">
        <f ca="1">EFEITO!$L$202*EFEITO!$Z$202</f>
        <v>2539.7900745727989</v>
      </c>
      <c r="L202" s="100">
        <f>EFEITO!$N$202*EFEITO!$AA$202</f>
        <v>835.79456424181706</v>
      </c>
      <c r="M202" s="100">
        <f>$J$202-EFEITO!$K$202*EFEITO!$Y$202</f>
        <v>0</v>
      </c>
      <c r="N202" s="100">
        <f ca="1">$K$202-EFEITO!$M$202*EFEITO!$Z$202</f>
        <v>0</v>
      </c>
      <c r="O202" s="100">
        <f>$L$202-EFEITO!$O$202*EFEITO!$AA$202</f>
        <v>0</v>
      </c>
      <c r="P202" s="17"/>
      <c r="Q202" s="17"/>
      <c r="R202" s="17"/>
      <c r="S202" s="17"/>
      <c r="T202" s="17"/>
      <c r="U202" s="17"/>
      <c r="V202" s="17"/>
      <c r="W202" s="17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91" t="s">
        <v>21</v>
      </c>
      <c r="B203" s="91" t="s">
        <v>38</v>
      </c>
      <c r="C203" s="91" t="s">
        <v>40</v>
      </c>
      <c r="D203" s="91" t="s">
        <v>41</v>
      </c>
      <c r="E203" s="91" t="s">
        <v>25</v>
      </c>
      <c r="F203" s="91" t="s">
        <v>25</v>
      </c>
      <c r="G203" s="91" t="s">
        <v>25</v>
      </c>
      <c r="H203" s="91" t="s">
        <v>33</v>
      </c>
      <c r="I203" s="99">
        <v>44682</v>
      </c>
      <c r="J203" s="100">
        <f>EFEITO!$J$203*EFEITO!$Y$203</f>
        <v>0</v>
      </c>
      <c r="K203" s="100">
        <f ca="1">EFEITO!$L$203*EFEITO!$Z$203</f>
        <v>67175.513622139944</v>
      </c>
      <c r="L203" s="100">
        <f>EFEITO!$N$203*EFEITO!$AA$203</f>
        <v>22106.12983239588</v>
      </c>
      <c r="M203" s="100">
        <f>$J$203-EFEITO!$K$203*EFEITO!$Y$203</f>
        <v>0</v>
      </c>
      <c r="N203" s="100">
        <f ca="1">$K$203-EFEITO!$M$203*EFEITO!$Z$203</f>
        <v>0</v>
      </c>
      <c r="O203" s="100">
        <f>$L$203-EFEITO!$O$203*EFEITO!$AA$203</f>
        <v>0</v>
      </c>
      <c r="P203" s="17"/>
      <c r="Q203" s="17"/>
      <c r="R203" s="17"/>
      <c r="S203" s="17"/>
      <c r="T203" s="17"/>
      <c r="U203" s="17"/>
      <c r="V203" s="17"/>
      <c r="W203" s="17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91" t="s">
        <v>55</v>
      </c>
      <c r="B204" s="91" t="s">
        <v>38</v>
      </c>
      <c r="C204" s="91" t="s">
        <v>40</v>
      </c>
      <c r="D204" s="91" t="s">
        <v>41</v>
      </c>
      <c r="E204" s="91" t="s">
        <v>25</v>
      </c>
      <c r="F204" s="91" t="s">
        <v>25</v>
      </c>
      <c r="G204" s="91" t="s">
        <v>25</v>
      </c>
      <c r="H204" s="91" t="s">
        <v>33</v>
      </c>
      <c r="I204" s="99">
        <v>44682</v>
      </c>
      <c r="J204" s="100">
        <f>EFEITO!$J$204*EFEITO!$Y$204</f>
        <v>0</v>
      </c>
      <c r="K204" s="100">
        <f ca="1">EFEITO!$L$204*EFEITO!$Z$204</f>
        <v>1626.5829834615981</v>
      </c>
      <c r="L204" s="100">
        <f>EFEITO!$N$204*EFEITO!$AA$204</f>
        <v>535.27621415486931</v>
      </c>
      <c r="M204" s="100">
        <f>$J$204-EFEITO!$K$204*EFEITO!$Y$204</f>
        <v>0</v>
      </c>
      <c r="N204" s="100">
        <f ca="1">$K$204-EFEITO!$M$204*EFEITO!$Z$204</f>
        <v>0</v>
      </c>
      <c r="O204" s="100">
        <f>$L$204-EFEITO!$O$204*EFEITO!$AA$204</f>
        <v>0</v>
      </c>
      <c r="P204" s="17"/>
      <c r="Q204" s="17"/>
      <c r="R204" s="17"/>
      <c r="S204" s="17"/>
      <c r="T204" s="17"/>
      <c r="U204" s="17"/>
      <c r="V204" s="17"/>
      <c r="W204" s="17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91" t="s">
        <v>56</v>
      </c>
      <c r="B205" s="91" t="s">
        <v>38</v>
      </c>
      <c r="C205" s="91" t="s">
        <v>40</v>
      </c>
      <c r="D205" s="91" t="s">
        <v>41</v>
      </c>
      <c r="E205" s="91" t="s">
        <v>25</v>
      </c>
      <c r="F205" s="91" t="s">
        <v>25</v>
      </c>
      <c r="G205" s="91" t="s">
        <v>25</v>
      </c>
      <c r="H205" s="91" t="s">
        <v>33</v>
      </c>
      <c r="I205" s="99">
        <v>44713</v>
      </c>
      <c r="J205" s="100">
        <f>EFEITO!$J$205*EFEITO!$Y$205</f>
        <v>0</v>
      </c>
      <c r="K205" s="100">
        <f ca="1">EFEITO!$L$205*EFEITO!$Z$205</f>
        <v>67175.513622139944</v>
      </c>
      <c r="L205" s="100">
        <f>EFEITO!$N$205*EFEITO!$AA$205</f>
        <v>22106.12983239588</v>
      </c>
      <c r="M205" s="100">
        <f>$J$205-EFEITO!$K$205*EFEITO!$Y$205</f>
        <v>0</v>
      </c>
      <c r="N205" s="100">
        <f ca="1">$K$205-EFEITO!$M$205*EFEITO!$Z$205</f>
        <v>0</v>
      </c>
      <c r="O205" s="100">
        <f>$L$205-EFEITO!$O$205*EFEITO!$AA$205</f>
        <v>0</v>
      </c>
      <c r="P205" s="17"/>
      <c r="Q205" s="17"/>
      <c r="R205" s="17"/>
      <c r="S205" s="17"/>
      <c r="T205" s="17"/>
      <c r="U205" s="17"/>
      <c r="V205" s="17"/>
      <c r="W205" s="17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91" t="s">
        <v>56</v>
      </c>
      <c r="B206" s="91" t="s">
        <v>38</v>
      </c>
      <c r="C206" s="91" t="s">
        <v>40</v>
      </c>
      <c r="D206" s="91" t="s">
        <v>41</v>
      </c>
      <c r="E206" s="91" t="s">
        <v>25</v>
      </c>
      <c r="F206" s="91" t="s">
        <v>25</v>
      </c>
      <c r="G206" s="91" t="s">
        <v>25</v>
      </c>
      <c r="H206" s="91" t="s">
        <v>33</v>
      </c>
      <c r="I206" s="99">
        <v>44713</v>
      </c>
      <c r="J206" s="100">
        <f>EFEITO!$J$206*EFEITO!$Y$206</f>
        <v>0</v>
      </c>
      <c r="K206" s="100">
        <f ca="1">EFEITO!$L$206*EFEITO!$Z$206</f>
        <v>1626.5829834615981</v>
      </c>
      <c r="L206" s="100">
        <f>EFEITO!$N$206*EFEITO!$AA$206</f>
        <v>535.27621415486931</v>
      </c>
      <c r="M206" s="100">
        <f>$J$206-EFEITO!$K$206*EFEITO!$Y$206</f>
        <v>0</v>
      </c>
      <c r="N206" s="100">
        <f ca="1">$K$206-EFEITO!$M$206*EFEITO!$Z$206</f>
        <v>0</v>
      </c>
      <c r="O206" s="100">
        <f>$L$206-EFEITO!$O$206*EFEITO!$AA$206</f>
        <v>0</v>
      </c>
      <c r="P206" s="17"/>
      <c r="Q206" s="17"/>
      <c r="R206" s="17"/>
      <c r="S206" s="17"/>
      <c r="T206" s="17"/>
      <c r="U206" s="17"/>
      <c r="V206" s="17"/>
      <c r="W206" s="17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91" t="s">
        <v>21</v>
      </c>
      <c r="B207" s="91" t="s">
        <v>38</v>
      </c>
      <c r="C207" s="91" t="s">
        <v>40</v>
      </c>
      <c r="D207" s="91" t="s">
        <v>50</v>
      </c>
      <c r="E207" s="91" t="s">
        <v>25</v>
      </c>
      <c r="F207" s="91" t="s">
        <v>25</v>
      </c>
      <c r="G207" s="91" t="s">
        <v>25</v>
      </c>
      <c r="H207" s="91" t="s">
        <v>34</v>
      </c>
      <c r="I207" s="99">
        <v>44378</v>
      </c>
      <c r="J207" s="100">
        <f>EFEITO!$J$207*EFEITO!$Y$207</f>
        <v>0</v>
      </c>
      <c r="K207" s="100">
        <f ca="1">EFEITO!$L$207*EFEITO!$Z$207</f>
        <v>1125.9684771074474</v>
      </c>
      <c r="L207" s="100">
        <f>EFEITO!$N$207*EFEITO!$AA$207</f>
        <v>2464.561145388629</v>
      </c>
      <c r="M207" s="100">
        <f>$J$207-EFEITO!$K$207*EFEITO!$Y$207</f>
        <v>0</v>
      </c>
      <c r="N207" s="100">
        <f ca="1">$K$207-EFEITO!$M$207*EFEITO!$Z$207</f>
        <v>0</v>
      </c>
      <c r="O207" s="100">
        <f>$L$207-EFEITO!$O$207*EFEITO!$AA$207</f>
        <v>0</v>
      </c>
      <c r="P207" s="17"/>
      <c r="Q207" s="17"/>
      <c r="R207" s="17"/>
      <c r="S207" s="17"/>
      <c r="T207" s="17"/>
      <c r="U207" s="17"/>
      <c r="V207" s="17"/>
      <c r="W207" s="17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91" t="s">
        <v>21</v>
      </c>
      <c r="B208" s="91" t="s">
        <v>38</v>
      </c>
      <c r="C208" s="91" t="s">
        <v>40</v>
      </c>
      <c r="D208" s="91" t="s">
        <v>50</v>
      </c>
      <c r="E208" s="91" t="s">
        <v>25</v>
      </c>
      <c r="F208" s="91" t="s">
        <v>25</v>
      </c>
      <c r="G208" s="91" t="s">
        <v>25</v>
      </c>
      <c r="H208" s="91" t="s">
        <v>34</v>
      </c>
      <c r="I208" s="99">
        <v>44409</v>
      </c>
      <c r="J208" s="100">
        <f>EFEITO!$J$208*EFEITO!$Y$208</f>
        <v>0</v>
      </c>
      <c r="K208" s="100">
        <f ca="1">EFEITO!$L$208*EFEITO!$Z$208</f>
        <v>1033.0482618240321</v>
      </c>
      <c r="L208" s="100">
        <f>EFEITO!$N$208*EFEITO!$AA$208</f>
        <v>2261.1739663825524</v>
      </c>
      <c r="M208" s="100">
        <f>$J$208-EFEITO!$K$208*EFEITO!$Y$208</f>
        <v>0</v>
      </c>
      <c r="N208" s="100">
        <f ca="1">$K$208-EFEITO!$M$208*EFEITO!$Z$208</f>
        <v>0</v>
      </c>
      <c r="O208" s="100">
        <f>$L$208-EFEITO!$O$208*EFEITO!$AA$208</f>
        <v>0</v>
      </c>
      <c r="P208" s="17"/>
      <c r="Q208" s="17"/>
      <c r="R208" s="17"/>
      <c r="S208" s="17"/>
      <c r="T208" s="17"/>
      <c r="U208" s="17"/>
      <c r="V208" s="17"/>
      <c r="W208" s="17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91" t="s">
        <v>21</v>
      </c>
      <c r="B209" s="91" t="s">
        <v>38</v>
      </c>
      <c r="C209" s="91" t="s">
        <v>40</v>
      </c>
      <c r="D209" s="91" t="s">
        <v>50</v>
      </c>
      <c r="E209" s="91" t="s">
        <v>25</v>
      </c>
      <c r="F209" s="91" t="s">
        <v>25</v>
      </c>
      <c r="G209" s="91" t="s">
        <v>25</v>
      </c>
      <c r="H209" s="91" t="s">
        <v>34</v>
      </c>
      <c r="I209" s="99">
        <v>44440</v>
      </c>
      <c r="J209" s="100">
        <f>EFEITO!$J$209*EFEITO!$Y$209</f>
        <v>0</v>
      </c>
      <c r="K209" s="100">
        <f ca="1">EFEITO!$L$209*EFEITO!$Z$209</f>
        <v>877.88052368085312</v>
      </c>
      <c r="L209" s="100">
        <f>EFEITO!$N$209*EFEITO!$AA$209</f>
        <v>1921.537123770463</v>
      </c>
      <c r="M209" s="100">
        <f>$J$209-EFEITO!$K$209*EFEITO!$Y$209</f>
        <v>0</v>
      </c>
      <c r="N209" s="100">
        <f ca="1">$K$209-EFEITO!$M$209*EFEITO!$Z$209</f>
        <v>0</v>
      </c>
      <c r="O209" s="100">
        <f>$L$209-EFEITO!$O$209*EFEITO!$AA$209</f>
        <v>0</v>
      </c>
      <c r="P209" s="17"/>
      <c r="Q209" s="17"/>
      <c r="R209" s="17"/>
      <c r="S209" s="17"/>
      <c r="T209" s="17"/>
      <c r="U209" s="17"/>
      <c r="V209" s="17"/>
      <c r="W209" s="17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91" t="s">
        <v>21</v>
      </c>
      <c r="B210" s="91" t="s">
        <v>38</v>
      </c>
      <c r="C210" s="91" t="s">
        <v>40</v>
      </c>
      <c r="D210" s="91" t="s">
        <v>50</v>
      </c>
      <c r="E210" s="91" t="s">
        <v>25</v>
      </c>
      <c r="F210" s="91" t="s">
        <v>25</v>
      </c>
      <c r="G210" s="91" t="s">
        <v>25</v>
      </c>
      <c r="H210" s="91" t="s">
        <v>34</v>
      </c>
      <c r="I210" s="99">
        <v>44470</v>
      </c>
      <c r="J210" s="100">
        <f>EFEITO!$J$210*EFEITO!$Y$210</f>
        <v>0</v>
      </c>
      <c r="K210" s="100">
        <f ca="1">EFEITO!$L$210*EFEITO!$Z$210</f>
        <v>902.73943780198272</v>
      </c>
      <c r="L210" s="100">
        <f>EFEITO!$N$210*EFEITO!$AA$210</f>
        <v>1975.9492277548291</v>
      </c>
      <c r="M210" s="100">
        <f>$J$210-EFEITO!$K$210*EFEITO!$Y$210</f>
        <v>0</v>
      </c>
      <c r="N210" s="100">
        <f ca="1">$K$210-EFEITO!$M$210*EFEITO!$Z$210</f>
        <v>0</v>
      </c>
      <c r="O210" s="100">
        <f>$L$210-EFEITO!$O$210*EFEITO!$AA$210</f>
        <v>0</v>
      </c>
      <c r="P210" s="17"/>
      <c r="Q210" s="17"/>
      <c r="R210" s="17"/>
      <c r="S210" s="17"/>
      <c r="T210" s="17"/>
      <c r="U210" s="17"/>
      <c r="V210" s="17"/>
      <c r="W210" s="17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91" t="s">
        <v>21</v>
      </c>
      <c r="B211" s="91" t="s">
        <v>38</v>
      </c>
      <c r="C211" s="91" t="s">
        <v>40</v>
      </c>
      <c r="D211" s="91" t="s">
        <v>50</v>
      </c>
      <c r="E211" s="91" t="s">
        <v>25</v>
      </c>
      <c r="F211" s="91" t="s">
        <v>25</v>
      </c>
      <c r="G211" s="91" t="s">
        <v>25</v>
      </c>
      <c r="H211" s="91" t="s">
        <v>34</v>
      </c>
      <c r="I211" s="99">
        <v>44501</v>
      </c>
      <c r="J211" s="100">
        <f>EFEITO!$J$211*EFEITO!$Y$211</f>
        <v>0</v>
      </c>
      <c r="K211" s="100">
        <f ca="1">EFEITO!$L$211*EFEITO!$Z$211</f>
        <v>1052.1936351995794</v>
      </c>
      <c r="L211" s="100">
        <f>EFEITO!$N$211*EFEITO!$AA$211</f>
        <v>2303.0800625963179</v>
      </c>
      <c r="M211" s="100">
        <f>$J$211-EFEITO!$K$211*EFEITO!$Y$211</f>
        <v>0</v>
      </c>
      <c r="N211" s="100">
        <f ca="1">$K$211-EFEITO!$M$211*EFEITO!$Z$211</f>
        <v>0</v>
      </c>
      <c r="O211" s="100">
        <f>$L$211-EFEITO!$O$211*EFEITO!$AA$211</f>
        <v>0</v>
      </c>
      <c r="P211" s="17"/>
      <c r="Q211" s="17"/>
      <c r="R211" s="17"/>
      <c r="S211" s="17"/>
      <c r="T211" s="17"/>
      <c r="U211" s="17"/>
      <c r="V211" s="17"/>
      <c r="W211" s="17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91" t="s">
        <v>21</v>
      </c>
      <c r="B212" s="91" t="s">
        <v>38</v>
      </c>
      <c r="C212" s="91" t="s">
        <v>40</v>
      </c>
      <c r="D212" s="91" t="s">
        <v>50</v>
      </c>
      <c r="E212" s="91" t="s">
        <v>25</v>
      </c>
      <c r="F212" s="91" t="s">
        <v>25</v>
      </c>
      <c r="G212" s="91" t="s">
        <v>25</v>
      </c>
      <c r="H212" s="91" t="s">
        <v>34</v>
      </c>
      <c r="I212" s="99">
        <v>44531</v>
      </c>
      <c r="J212" s="100">
        <f>EFEITO!$J$212*EFEITO!$Y$212</f>
        <v>0</v>
      </c>
      <c r="K212" s="100">
        <f ca="1">EFEITO!$L$212*EFEITO!$Z$212</f>
        <v>1279.9333645673457</v>
      </c>
      <c r="L212" s="100">
        <f>EFEITO!$N$212*EFEITO!$AA$212</f>
        <v>2801.5651442595395</v>
      </c>
      <c r="M212" s="100">
        <f>$J$212-EFEITO!$K$212*EFEITO!$Y$212</f>
        <v>0</v>
      </c>
      <c r="N212" s="100">
        <f ca="1">$K$212-EFEITO!$M$212*EFEITO!$Z$212</f>
        <v>0</v>
      </c>
      <c r="O212" s="100">
        <f>$L$212-EFEITO!$O$212*EFEITO!$AA$212</f>
        <v>0</v>
      </c>
      <c r="P212" s="17"/>
      <c r="Q212" s="17"/>
      <c r="R212" s="17"/>
      <c r="S212" s="17"/>
      <c r="T212" s="17"/>
      <c r="U212" s="17"/>
      <c r="V212" s="17"/>
      <c r="W212" s="17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91" t="s">
        <v>21</v>
      </c>
      <c r="B213" s="91" t="s">
        <v>38</v>
      </c>
      <c r="C213" s="91" t="s">
        <v>40</v>
      </c>
      <c r="D213" s="91" t="s">
        <v>50</v>
      </c>
      <c r="E213" s="91" t="s">
        <v>25</v>
      </c>
      <c r="F213" s="91" t="s">
        <v>25</v>
      </c>
      <c r="G213" s="91" t="s">
        <v>25</v>
      </c>
      <c r="H213" s="91" t="s">
        <v>34</v>
      </c>
      <c r="I213" s="99">
        <v>44562</v>
      </c>
      <c r="J213" s="100">
        <f>EFEITO!$J$213*EFEITO!$Y$213</f>
        <v>0</v>
      </c>
      <c r="K213" s="100">
        <f ca="1">EFEITO!$L$213*EFEITO!$Z$213</f>
        <v>1323.3362267223822</v>
      </c>
      <c r="L213" s="100">
        <f>EFEITO!$N$213*EFEITO!$AA$213</f>
        <v>2896.5669225870811</v>
      </c>
      <c r="M213" s="100">
        <f>$J$213-EFEITO!$K$213*EFEITO!$Y$213</f>
        <v>0</v>
      </c>
      <c r="N213" s="100">
        <f ca="1">$K$213-EFEITO!$M$213*EFEITO!$Z$213</f>
        <v>0</v>
      </c>
      <c r="O213" s="100">
        <f>$L$213-EFEITO!$O$213*EFEITO!$AA$213</f>
        <v>0</v>
      </c>
      <c r="P213" s="17"/>
      <c r="Q213" s="17"/>
      <c r="R213" s="17"/>
      <c r="S213" s="17"/>
      <c r="T213" s="17"/>
      <c r="U213" s="17"/>
      <c r="V213" s="17"/>
      <c r="W213" s="17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91" t="s">
        <v>21</v>
      </c>
      <c r="B214" s="91" t="s">
        <v>38</v>
      </c>
      <c r="C214" s="91" t="s">
        <v>40</v>
      </c>
      <c r="D214" s="91" t="s">
        <v>50</v>
      </c>
      <c r="E214" s="91" t="s">
        <v>25</v>
      </c>
      <c r="F214" s="91" t="s">
        <v>25</v>
      </c>
      <c r="G214" s="91" t="s">
        <v>25</v>
      </c>
      <c r="H214" s="91" t="s">
        <v>34</v>
      </c>
      <c r="I214" s="99">
        <v>44593</v>
      </c>
      <c r="J214" s="100">
        <f>EFEITO!$J$214*EFEITO!$Y$214</f>
        <v>0</v>
      </c>
      <c r="K214" s="100">
        <f ca="1">EFEITO!$L$214*EFEITO!$Z$214</f>
        <v>1133.3860563210103</v>
      </c>
      <c r="L214" s="100">
        <f>EFEITO!$N$214*EFEITO!$AA$214</f>
        <v>2480.7970151258996</v>
      </c>
      <c r="M214" s="100">
        <f>$J$214-EFEITO!$K$214*EFEITO!$Y$214</f>
        <v>0</v>
      </c>
      <c r="N214" s="100">
        <f ca="1">$K$214-EFEITO!$M$214*EFEITO!$Z$214</f>
        <v>0</v>
      </c>
      <c r="O214" s="100">
        <f>$L$214-EFEITO!$O$214*EFEITO!$AA$214</f>
        <v>0</v>
      </c>
      <c r="P214" s="17"/>
      <c r="Q214" s="17"/>
      <c r="R214" s="17"/>
      <c r="S214" s="17"/>
      <c r="T214" s="17"/>
      <c r="U214" s="17"/>
      <c r="V214" s="17"/>
      <c r="W214" s="17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91" t="s">
        <v>21</v>
      </c>
      <c r="B215" s="91" t="s">
        <v>38</v>
      </c>
      <c r="C215" s="91" t="s">
        <v>40</v>
      </c>
      <c r="D215" s="91" t="s">
        <v>50</v>
      </c>
      <c r="E215" s="91" t="s">
        <v>25</v>
      </c>
      <c r="F215" s="91" t="s">
        <v>25</v>
      </c>
      <c r="G215" s="91" t="s">
        <v>25</v>
      </c>
      <c r="H215" s="91" t="s">
        <v>34</v>
      </c>
      <c r="I215" s="99">
        <v>44621</v>
      </c>
      <c r="J215" s="100">
        <f>EFEITO!$J$215*EFEITO!$Y$215</f>
        <v>0</v>
      </c>
      <c r="K215" s="100">
        <f ca="1">EFEITO!$L$215*EFEITO!$Z$215</f>
        <v>1102.3124136695983</v>
      </c>
      <c r="L215" s="100">
        <f>EFEITO!$N$215*EFEITO!$AA$215</f>
        <v>2412.7818851454422</v>
      </c>
      <c r="M215" s="100">
        <f>$J$215-EFEITO!$K$215*EFEITO!$Y$215</f>
        <v>0</v>
      </c>
      <c r="N215" s="100">
        <f ca="1">$K$215-EFEITO!$M$215*EFEITO!$Z$215</f>
        <v>0</v>
      </c>
      <c r="O215" s="100">
        <f>$L$215-EFEITO!$O$215*EFEITO!$AA$215</f>
        <v>0</v>
      </c>
      <c r="P215" s="17"/>
      <c r="Q215" s="17"/>
      <c r="R215" s="17"/>
      <c r="S215" s="17"/>
      <c r="T215" s="17"/>
      <c r="U215" s="17"/>
      <c r="V215" s="17"/>
      <c r="W215" s="17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91" t="s">
        <v>21</v>
      </c>
      <c r="B216" s="91" t="s">
        <v>38</v>
      </c>
      <c r="C216" s="91" t="s">
        <v>40</v>
      </c>
      <c r="D216" s="91" t="s">
        <v>50</v>
      </c>
      <c r="E216" s="91" t="s">
        <v>25</v>
      </c>
      <c r="F216" s="91" t="s">
        <v>25</v>
      </c>
      <c r="G216" s="91" t="s">
        <v>25</v>
      </c>
      <c r="H216" s="91" t="s">
        <v>34</v>
      </c>
      <c r="I216" s="99">
        <v>44652</v>
      </c>
      <c r="J216" s="100">
        <f>EFEITO!$J$216*EFEITO!$Y$216</f>
        <v>0</v>
      </c>
      <c r="K216" s="100">
        <f ca="1">EFEITO!$L$216*EFEITO!$Z$216</f>
        <v>818.53988997235069</v>
      </c>
      <c r="L216" s="100">
        <f>EFEITO!$N$216*EFEITO!$AA$216</f>
        <v>1791.6501658723</v>
      </c>
      <c r="M216" s="100">
        <f>$J$216-EFEITO!$K$216*EFEITO!$Y$216</f>
        <v>0</v>
      </c>
      <c r="N216" s="100">
        <f ca="1">$K$216-EFEITO!$M$216*EFEITO!$Z$216</f>
        <v>0</v>
      </c>
      <c r="O216" s="100">
        <f>$L$216-EFEITO!$O$216*EFEITO!$AA$216</f>
        <v>0</v>
      </c>
      <c r="P216" s="17"/>
      <c r="Q216" s="17"/>
      <c r="R216" s="17"/>
      <c r="S216" s="17"/>
      <c r="T216" s="17"/>
      <c r="U216" s="17"/>
      <c r="V216" s="17"/>
      <c r="W216" s="17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91" t="s">
        <v>21</v>
      </c>
      <c r="B217" s="91" t="s">
        <v>38</v>
      </c>
      <c r="C217" s="91" t="s">
        <v>40</v>
      </c>
      <c r="D217" s="91" t="s">
        <v>50</v>
      </c>
      <c r="E217" s="91" t="s">
        <v>25</v>
      </c>
      <c r="F217" s="91" t="s">
        <v>25</v>
      </c>
      <c r="G217" s="91" t="s">
        <v>25</v>
      </c>
      <c r="H217" s="91" t="s">
        <v>34</v>
      </c>
      <c r="I217" s="99">
        <v>44682</v>
      </c>
      <c r="J217" s="100">
        <f>EFEITO!$J$217*EFEITO!$Y$217</f>
        <v>0</v>
      </c>
      <c r="K217" s="100">
        <f ca="1">EFEITO!$L$217*EFEITO!$Z$217</f>
        <v>1019.7166667510071</v>
      </c>
      <c r="L217" s="100">
        <f>EFEITO!$N$217*EFEITO!$AA$217</f>
        <v>2231.9932815844854</v>
      </c>
      <c r="M217" s="100">
        <f>$J$217-EFEITO!$K$217*EFEITO!$Y$217</f>
        <v>0</v>
      </c>
      <c r="N217" s="100">
        <f ca="1">$K$217-EFEITO!$M$217*EFEITO!$Z$217</f>
        <v>0</v>
      </c>
      <c r="O217" s="100">
        <f>$L$217-EFEITO!$O$217*EFEITO!$AA$217</f>
        <v>0</v>
      </c>
      <c r="P217" s="17"/>
      <c r="Q217" s="17"/>
      <c r="R217" s="17"/>
      <c r="S217" s="17"/>
      <c r="T217" s="17"/>
      <c r="U217" s="17"/>
      <c r="V217" s="17"/>
      <c r="W217" s="17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91" t="s">
        <v>56</v>
      </c>
      <c r="B218" s="91" t="s">
        <v>38</v>
      </c>
      <c r="C218" s="91" t="s">
        <v>40</v>
      </c>
      <c r="D218" s="91" t="s">
        <v>50</v>
      </c>
      <c r="E218" s="91" t="s">
        <v>25</v>
      </c>
      <c r="F218" s="91" t="s">
        <v>25</v>
      </c>
      <c r="G218" s="91" t="s">
        <v>25</v>
      </c>
      <c r="H218" s="91" t="s">
        <v>34</v>
      </c>
      <c r="I218" s="99">
        <v>44713</v>
      </c>
      <c r="J218" s="100">
        <f>EFEITO!$J$218*EFEITO!$Y$218</f>
        <v>0</v>
      </c>
      <c r="K218" s="100">
        <f ca="1">EFEITO!$L$218*EFEITO!$Z$218</f>
        <v>1019.7166667510071</v>
      </c>
      <c r="L218" s="100">
        <f>EFEITO!$N$218*EFEITO!$AA$218</f>
        <v>2231.9932815844854</v>
      </c>
      <c r="M218" s="100">
        <f>$J$218-EFEITO!$K$218*EFEITO!$Y$218</f>
        <v>0</v>
      </c>
      <c r="N218" s="100">
        <f ca="1">$K$218-EFEITO!$M$218*EFEITO!$Z$218</f>
        <v>0</v>
      </c>
      <c r="O218" s="100">
        <f>$L$218-EFEITO!$O$218*EFEITO!$AA$218</f>
        <v>0</v>
      </c>
      <c r="P218" s="17"/>
      <c r="Q218" s="17"/>
      <c r="R218" s="17"/>
      <c r="S218" s="17"/>
      <c r="T218" s="17"/>
      <c r="U218" s="17"/>
      <c r="V218" s="17"/>
      <c r="W218" s="17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91" t="s">
        <v>21</v>
      </c>
      <c r="B219" s="91" t="s">
        <v>38</v>
      </c>
      <c r="C219" s="91" t="s">
        <v>40</v>
      </c>
      <c r="D219" s="91" t="s">
        <v>50</v>
      </c>
      <c r="E219" s="91" t="s">
        <v>25</v>
      </c>
      <c r="F219" s="91" t="s">
        <v>25</v>
      </c>
      <c r="G219" s="91" t="s">
        <v>25</v>
      </c>
      <c r="H219" s="91" t="s">
        <v>25</v>
      </c>
      <c r="I219" s="99">
        <v>44378</v>
      </c>
      <c r="J219" s="100">
        <f ca="1">EFEITO!$J$219*EFEITO!$Y$219</f>
        <v>805.22676979819073</v>
      </c>
      <c r="K219" s="100">
        <f>EFEITO!$L$219*EFEITO!$Z$219</f>
        <v>0</v>
      </c>
      <c r="L219" s="100">
        <f>EFEITO!$N$219*EFEITO!$AA$219</f>
        <v>0</v>
      </c>
      <c r="M219" s="100">
        <f ca="1">$J$219-EFEITO!$K$219*EFEITO!$Y$219</f>
        <v>0</v>
      </c>
      <c r="N219" s="100">
        <f>$K$219-EFEITO!$M$219*EFEITO!$Z$219</f>
        <v>0</v>
      </c>
      <c r="O219" s="100">
        <f>$L$219-EFEITO!$O$219*EFEITO!$AA$219</f>
        <v>0</v>
      </c>
      <c r="P219" s="17"/>
      <c r="Q219" s="17"/>
      <c r="R219" s="17"/>
      <c r="S219" s="17"/>
      <c r="T219" s="17"/>
      <c r="U219" s="17"/>
      <c r="V219" s="17"/>
      <c r="W219" s="17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91" t="s">
        <v>21</v>
      </c>
      <c r="B220" s="91" t="s">
        <v>38</v>
      </c>
      <c r="C220" s="91" t="s">
        <v>40</v>
      </c>
      <c r="D220" s="91" t="s">
        <v>50</v>
      </c>
      <c r="E220" s="91" t="s">
        <v>25</v>
      </c>
      <c r="F220" s="91" t="s">
        <v>25</v>
      </c>
      <c r="G220" s="91" t="s">
        <v>25</v>
      </c>
      <c r="H220" s="91" t="s">
        <v>25</v>
      </c>
      <c r="I220" s="99">
        <v>44409</v>
      </c>
      <c r="J220" s="100">
        <f ca="1">EFEITO!$J$220*EFEITO!$Y$220</f>
        <v>759.64789603602901</v>
      </c>
      <c r="K220" s="100">
        <f>EFEITO!$L$220*EFEITO!$Z$220</f>
        <v>0</v>
      </c>
      <c r="L220" s="100">
        <f>EFEITO!$N$220*EFEITO!$AA$220</f>
        <v>0</v>
      </c>
      <c r="M220" s="100">
        <f ca="1">$J$220-EFEITO!$K$220*EFEITO!$Y$220</f>
        <v>0</v>
      </c>
      <c r="N220" s="100">
        <f>$K$220-EFEITO!$M$220*EFEITO!$Z$220</f>
        <v>0</v>
      </c>
      <c r="O220" s="100">
        <f>$L$220-EFEITO!$O$220*EFEITO!$AA$220</f>
        <v>0</v>
      </c>
      <c r="P220" s="17"/>
      <c r="Q220" s="17"/>
      <c r="R220" s="17"/>
      <c r="S220" s="17"/>
      <c r="T220" s="17"/>
      <c r="U220" s="17"/>
      <c r="V220" s="17"/>
      <c r="W220" s="17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91" t="s">
        <v>21</v>
      </c>
      <c r="B221" s="91" t="s">
        <v>38</v>
      </c>
      <c r="C221" s="91" t="s">
        <v>40</v>
      </c>
      <c r="D221" s="91" t="s">
        <v>50</v>
      </c>
      <c r="E221" s="91" t="s">
        <v>25</v>
      </c>
      <c r="F221" s="91" t="s">
        <v>25</v>
      </c>
      <c r="G221" s="91" t="s">
        <v>25</v>
      </c>
      <c r="H221" s="91" t="s">
        <v>25</v>
      </c>
      <c r="I221" s="99">
        <v>44440</v>
      </c>
      <c r="J221" s="100">
        <f ca="1">EFEITO!$J$221*EFEITO!$Y$221</f>
        <v>455.78873762161743</v>
      </c>
      <c r="K221" s="100">
        <f>EFEITO!$L$221*EFEITO!$Z$221</f>
        <v>0</v>
      </c>
      <c r="L221" s="100">
        <f>EFEITO!$N$221*EFEITO!$AA$221</f>
        <v>0</v>
      </c>
      <c r="M221" s="100">
        <f ca="1">$J$221-EFEITO!$K$221*EFEITO!$Y$221</f>
        <v>0</v>
      </c>
      <c r="N221" s="100">
        <f>$K$221-EFEITO!$M$221*EFEITO!$Z$221</f>
        <v>0</v>
      </c>
      <c r="O221" s="100">
        <f>$L$221-EFEITO!$O$221*EFEITO!$AA$221</f>
        <v>0</v>
      </c>
      <c r="P221" s="17"/>
      <c r="Q221" s="17"/>
      <c r="R221" s="17"/>
      <c r="S221" s="17"/>
      <c r="T221" s="17"/>
      <c r="U221" s="17"/>
      <c r="V221" s="17"/>
      <c r="W221" s="17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91" t="s">
        <v>21</v>
      </c>
      <c r="B222" s="91" t="s">
        <v>38</v>
      </c>
      <c r="C222" s="91" t="s">
        <v>40</v>
      </c>
      <c r="D222" s="91" t="s">
        <v>50</v>
      </c>
      <c r="E222" s="91" t="s">
        <v>25</v>
      </c>
      <c r="F222" s="91" t="s">
        <v>25</v>
      </c>
      <c r="G222" s="91" t="s">
        <v>25</v>
      </c>
      <c r="H222" s="91" t="s">
        <v>25</v>
      </c>
      <c r="I222" s="99">
        <v>44470</v>
      </c>
      <c r="J222" s="100">
        <f ca="1">EFEITO!$J$222*EFEITO!$Y$222</f>
        <v>577.33240098738202</v>
      </c>
      <c r="K222" s="100">
        <f>EFEITO!$L$222*EFEITO!$Z$222</f>
        <v>0</v>
      </c>
      <c r="L222" s="100">
        <f>EFEITO!$N$222*EFEITO!$AA$222</f>
        <v>0</v>
      </c>
      <c r="M222" s="100">
        <f ca="1">$J$222-EFEITO!$K$222*EFEITO!$Y$222</f>
        <v>0</v>
      </c>
      <c r="N222" s="100">
        <f>$K$222-EFEITO!$M$222*EFEITO!$Z$222</f>
        <v>0</v>
      </c>
      <c r="O222" s="100">
        <f>$L$222-EFEITO!$O$222*EFEITO!$AA$222</f>
        <v>0</v>
      </c>
      <c r="P222" s="17"/>
      <c r="Q222" s="17"/>
      <c r="R222" s="17"/>
      <c r="S222" s="17"/>
      <c r="T222" s="17"/>
      <c r="U222" s="17"/>
      <c r="V222" s="17"/>
      <c r="W222" s="17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91" t="s">
        <v>21</v>
      </c>
      <c r="B223" s="91" t="s">
        <v>38</v>
      </c>
      <c r="C223" s="91" t="s">
        <v>40</v>
      </c>
      <c r="D223" s="91" t="s">
        <v>50</v>
      </c>
      <c r="E223" s="91" t="s">
        <v>25</v>
      </c>
      <c r="F223" s="91" t="s">
        <v>25</v>
      </c>
      <c r="G223" s="91" t="s">
        <v>25</v>
      </c>
      <c r="H223" s="91" t="s">
        <v>25</v>
      </c>
      <c r="I223" s="99">
        <v>44501</v>
      </c>
      <c r="J223" s="100">
        <f ca="1">EFEITO!$J$223*EFEITO!$Y$223</f>
        <v>850.80564356035256</v>
      </c>
      <c r="K223" s="100">
        <f>EFEITO!$L$223*EFEITO!$Z$223</f>
        <v>0</v>
      </c>
      <c r="L223" s="100">
        <f>EFEITO!$N$223*EFEITO!$AA$223</f>
        <v>0</v>
      </c>
      <c r="M223" s="100">
        <f ca="1">$J$223-EFEITO!$K$223*EFEITO!$Y$223</f>
        <v>0</v>
      </c>
      <c r="N223" s="100">
        <f>$K$223-EFEITO!$M$223*EFEITO!$Z$223</f>
        <v>0</v>
      </c>
      <c r="O223" s="100">
        <f>$L$223-EFEITO!$O$223*EFEITO!$AA$223</f>
        <v>0</v>
      </c>
      <c r="P223" s="17"/>
      <c r="Q223" s="17"/>
      <c r="R223" s="17"/>
      <c r="S223" s="17"/>
      <c r="T223" s="17"/>
      <c r="U223" s="17"/>
      <c r="V223" s="17"/>
      <c r="W223" s="17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91" t="s">
        <v>21</v>
      </c>
      <c r="B224" s="91" t="s">
        <v>38</v>
      </c>
      <c r="C224" s="91" t="s">
        <v>40</v>
      </c>
      <c r="D224" s="91" t="s">
        <v>50</v>
      </c>
      <c r="E224" s="91" t="s">
        <v>25</v>
      </c>
      <c r="F224" s="91" t="s">
        <v>25</v>
      </c>
      <c r="G224" s="91" t="s">
        <v>25</v>
      </c>
      <c r="H224" s="91" t="s">
        <v>25</v>
      </c>
      <c r="I224" s="99">
        <v>44531</v>
      </c>
      <c r="J224" s="100">
        <f ca="1">EFEITO!$J$224*EFEITO!$Y$224</f>
        <v>896.38451732251428</v>
      </c>
      <c r="K224" s="100">
        <f>EFEITO!$L$224*EFEITO!$Z$224</f>
        <v>0</v>
      </c>
      <c r="L224" s="100">
        <f>EFEITO!$N$224*EFEITO!$AA$224</f>
        <v>0</v>
      </c>
      <c r="M224" s="100">
        <f ca="1">$J$224-EFEITO!$K$224*EFEITO!$Y$224</f>
        <v>0</v>
      </c>
      <c r="N224" s="100">
        <f>$K$224-EFEITO!$M$224*EFEITO!$Z$224</f>
        <v>0</v>
      </c>
      <c r="O224" s="100">
        <f>$L$224-EFEITO!$O$224*EFEITO!$AA$224</f>
        <v>0</v>
      </c>
      <c r="P224" s="17"/>
      <c r="Q224" s="17"/>
      <c r="R224" s="17"/>
      <c r="S224" s="17"/>
      <c r="T224" s="17"/>
      <c r="U224" s="17"/>
      <c r="V224" s="17"/>
      <c r="W224" s="17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91" t="s">
        <v>21</v>
      </c>
      <c r="B225" s="91" t="s">
        <v>38</v>
      </c>
      <c r="C225" s="91" t="s">
        <v>40</v>
      </c>
      <c r="D225" s="91" t="s">
        <v>50</v>
      </c>
      <c r="E225" s="91" t="s">
        <v>25</v>
      </c>
      <c r="F225" s="91" t="s">
        <v>25</v>
      </c>
      <c r="G225" s="91" t="s">
        <v>25</v>
      </c>
      <c r="H225" s="91" t="s">
        <v>25</v>
      </c>
      <c r="I225" s="99">
        <v>44562</v>
      </c>
      <c r="J225" s="100">
        <f ca="1">EFEITO!$J$225*EFEITO!$Y$225</f>
        <v>896.38451732251428</v>
      </c>
      <c r="K225" s="100">
        <f>EFEITO!$L$225*EFEITO!$Z$225</f>
        <v>0</v>
      </c>
      <c r="L225" s="100">
        <f>EFEITO!$N$225*EFEITO!$AA$225</f>
        <v>0</v>
      </c>
      <c r="M225" s="100">
        <f ca="1">$J$225-EFEITO!$K$225*EFEITO!$Y$225</f>
        <v>0</v>
      </c>
      <c r="N225" s="100">
        <f>$K$225-EFEITO!$M$225*EFEITO!$Z$225</f>
        <v>0</v>
      </c>
      <c r="O225" s="100">
        <f>$L$225-EFEITO!$O$225*EFEITO!$AA$225</f>
        <v>0</v>
      </c>
      <c r="P225" s="17"/>
      <c r="Q225" s="17"/>
      <c r="R225" s="17"/>
      <c r="S225" s="17"/>
      <c r="T225" s="17"/>
      <c r="U225" s="17"/>
      <c r="V225" s="17"/>
      <c r="W225" s="17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91" t="s">
        <v>21</v>
      </c>
      <c r="B226" s="91" t="s">
        <v>38</v>
      </c>
      <c r="C226" s="91" t="s">
        <v>40</v>
      </c>
      <c r="D226" s="91" t="s">
        <v>50</v>
      </c>
      <c r="E226" s="91" t="s">
        <v>25</v>
      </c>
      <c r="F226" s="91" t="s">
        <v>25</v>
      </c>
      <c r="G226" s="91" t="s">
        <v>25</v>
      </c>
      <c r="H226" s="91" t="s">
        <v>25</v>
      </c>
      <c r="I226" s="99">
        <v>44593</v>
      </c>
      <c r="J226" s="100">
        <f ca="1">EFEITO!$J$226*EFEITO!$Y$226</f>
        <v>820.4197277189113</v>
      </c>
      <c r="K226" s="100">
        <f>EFEITO!$L$226*EFEITO!$Z$226</f>
        <v>0</v>
      </c>
      <c r="L226" s="100">
        <f>EFEITO!$N$226*EFEITO!$AA$226</f>
        <v>0</v>
      </c>
      <c r="M226" s="100">
        <f ca="1">$J$226-EFEITO!$K$226*EFEITO!$Y$226</f>
        <v>0</v>
      </c>
      <c r="N226" s="100">
        <f>$K$226-EFEITO!$M$226*EFEITO!$Z$226</f>
        <v>0</v>
      </c>
      <c r="O226" s="100">
        <f>$L$226-EFEITO!$O$226*EFEITO!$AA$226</f>
        <v>0</v>
      </c>
      <c r="P226" s="17"/>
      <c r="Q226" s="17"/>
      <c r="R226" s="17"/>
      <c r="S226" s="17"/>
      <c r="T226" s="17"/>
      <c r="U226" s="17"/>
      <c r="V226" s="17"/>
      <c r="W226" s="17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91" t="s">
        <v>21</v>
      </c>
      <c r="B227" s="91" t="s">
        <v>38</v>
      </c>
      <c r="C227" s="91" t="s">
        <v>40</v>
      </c>
      <c r="D227" s="91" t="s">
        <v>50</v>
      </c>
      <c r="E227" s="91" t="s">
        <v>25</v>
      </c>
      <c r="F227" s="91" t="s">
        <v>25</v>
      </c>
      <c r="G227" s="91" t="s">
        <v>25</v>
      </c>
      <c r="H227" s="91" t="s">
        <v>25</v>
      </c>
      <c r="I227" s="99">
        <v>44621</v>
      </c>
      <c r="J227" s="100">
        <f ca="1">EFEITO!$J$227*EFEITO!$Y$227</f>
        <v>729.26198019458786</v>
      </c>
      <c r="K227" s="100">
        <f>EFEITO!$L$227*EFEITO!$Z$227</f>
        <v>0</v>
      </c>
      <c r="L227" s="100">
        <f>EFEITO!$N$227*EFEITO!$AA$227</f>
        <v>0</v>
      </c>
      <c r="M227" s="100">
        <f ca="1">$J$227-EFEITO!$K$227*EFEITO!$Y$227</f>
        <v>0</v>
      </c>
      <c r="N227" s="100">
        <f>$K$227-EFEITO!$M$227*EFEITO!$Z$227</f>
        <v>0</v>
      </c>
      <c r="O227" s="100">
        <f>$L$227-EFEITO!$O$227*EFEITO!$AA$227</f>
        <v>0</v>
      </c>
      <c r="P227" s="17"/>
      <c r="Q227" s="17"/>
      <c r="R227" s="17"/>
      <c r="S227" s="17"/>
      <c r="T227" s="17"/>
      <c r="U227" s="17"/>
      <c r="V227" s="17"/>
      <c r="W227" s="17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91" t="s">
        <v>21</v>
      </c>
      <c r="B228" s="91" t="s">
        <v>38</v>
      </c>
      <c r="C228" s="91" t="s">
        <v>40</v>
      </c>
      <c r="D228" s="91" t="s">
        <v>50</v>
      </c>
      <c r="E228" s="91" t="s">
        <v>25</v>
      </c>
      <c r="F228" s="91" t="s">
        <v>25</v>
      </c>
      <c r="G228" s="91" t="s">
        <v>25</v>
      </c>
      <c r="H228" s="91" t="s">
        <v>25</v>
      </c>
      <c r="I228" s="99">
        <v>44652</v>
      </c>
      <c r="J228" s="100">
        <f ca="1">EFEITO!$J$228*EFEITO!$Y$228</f>
        <v>562.13944306666144</v>
      </c>
      <c r="K228" s="100">
        <f>EFEITO!$L$228*EFEITO!$Z$228</f>
        <v>0</v>
      </c>
      <c r="L228" s="100">
        <f>EFEITO!$N$228*EFEITO!$AA$228</f>
        <v>0</v>
      </c>
      <c r="M228" s="100">
        <f ca="1">$J$228-EFEITO!$K$228*EFEITO!$Y$228</f>
        <v>0</v>
      </c>
      <c r="N228" s="100">
        <f>$K$228-EFEITO!$M$228*EFEITO!$Z$228</f>
        <v>0</v>
      </c>
      <c r="O228" s="100">
        <f>$L$228-EFEITO!$O$228*EFEITO!$AA$228</f>
        <v>0</v>
      </c>
      <c r="P228" s="17"/>
      <c r="Q228" s="17"/>
      <c r="R228" s="17"/>
      <c r="S228" s="17"/>
      <c r="T228" s="17"/>
      <c r="U228" s="17"/>
      <c r="V228" s="17"/>
      <c r="W228" s="17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91" t="s">
        <v>21</v>
      </c>
      <c r="B229" s="91" t="s">
        <v>38</v>
      </c>
      <c r="C229" s="91" t="s">
        <v>40</v>
      </c>
      <c r="D229" s="91" t="s">
        <v>50</v>
      </c>
      <c r="E229" s="91" t="s">
        <v>25</v>
      </c>
      <c r="F229" s="91" t="s">
        <v>25</v>
      </c>
      <c r="G229" s="91" t="s">
        <v>25</v>
      </c>
      <c r="H229" s="91" t="s">
        <v>25</v>
      </c>
      <c r="I229" s="99">
        <v>44682</v>
      </c>
      <c r="J229" s="100">
        <f ca="1">EFEITO!$J$229*EFEITO!$Y$229</f>
        <v>638.10423267026442</v>
      </c>
      <c r="K229" s="100">
        <f>EFEITO!$L$229*EFEITO!$Z$229</f>
        <v>0</v>
      </c>
      <c r="L229" s="100">
        <f>EFEITO!$N$229*EFEITO!$AA$229</f>
        <v>0</v>
      </c>
      <c r="M229" s="100">
        <f ca="1">$J$229-EFEITO!$K$229*EFEITO!$Y$229</f>
        <v>0</v>
      </c>
      <c r="N229" s="100">
        <f>$K$229-EFEITO!$M$229*EFEITO!$Z$229</f>
        <v>0</v>
      </c>
      <c r="O229" s="100">
        <f>$L$229-EFEITO!$O$229*EFEITO!$AA$229</f>
        <v>0</v>
      </c>
      <c r="P229" s="17"/>
      <c r="Q229" s="17"/>
      <c r="R229" s="17"/>
      <c r="S229" s="17"/>
      <c r="T229" s="17"/>
      <c r="U229" s="17"/>
      <c r="V229" s="17"/>
      <c r="W229" s="17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91" t="s">
        <v>56</v>
      </c>
      <c r="B230" s="91" t="s">
        <v>38</v>
      </c>
      <c r="C230" s="91" t="s">
        <v>40</v>
      </c>
      <c r="D230" s="91" t="s">
        <v>50</v>
      </c>
      <c r="E230" s="91" t="s">
        <v>25</v>
      </c>
      <c r="F230" s="91" t="s">
        <v>25</v>
      </c>
      <c r="G230" s="91" t="s">
        <v>25</v>
      </c>
      <c r="H230" s="91" t="s">
        <v>25</v>
      </c>
      <c r="I230" s="99">
        <v>44713</v>
      </c>
      <c r="J230" s="100">
        <f ca="1">EFEITO!$J$230*EFEITO!$Y$230</f>
        <v>638.10423267026442</v>
      </c>
      <c r="K230" s="100">
        <f>EFEITO!$L$230*EFEITO!$Z$230</f>
        <v>0</v>
      </c>
      <c r="L230" s="100">
        <f>EFEITO!$N$230*EFEITO!$AA$230</f>
        <v>0</v>
      </c>
      <c r="M230" s="100">
        <f ca="1">$J$230-EFEITO!$K$230*EFEITO!$Y$230</f>
        <v>0</v>
      </c>
      <c r="N230" s="100">
        <f>$K$230-EFEITO!$M$230*EFEITO!$Z$230</f>
        <v>0</v>
      </c>
      <c r="O230" s="100">
        <f>$L$230-EFEITO!$O$230*EFEITO!$AA$230</f>
        <v>0</v>
      </c>
      <c r="P230" s="17"/>
      <c r="Q230" s="17"/>
      <c r="R230" s="17"/>
      <c r="S230" s="17"/>
      <c r="T230" s="17"/>
      <c r="U230" s="17"/>
      <c r="V230" s="17"/>
      <c r="W230" s="17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91" t="s">
        <v>21</v>
      </c>
      <c r="B231" s="91" t="s">
        <v>38</v>
      </c>
      <c r="C231" s="91" t="s">
        <v>40</v>
      </c>
      <c r="D231" s="91" t="s">
        <v>50</v>
      </c>
      <c r="E231" s="91" t="s">
        <v>25</v>
      </c>
      <c r="F231" s="91" t="s">
        <v>25</v>
      </c>
      <c r="G231" s="91" t="s">
        <v>25</v>
      </c>
      <c r="H231" s="91" t="s">
        <v>33</v>
      </c>
      <c r="I231" s="99">
        <v>44378</v>
      </c>
      <c r="J231" s="100">
        <f>EFEITO!$J$231*EFEITO!$Y$231</f>
        <v>0</v>
      </c>
      <c r="K231" s="100">
        <f ca="1">EFEITO!$L$231*EFEITO!$Z$231</f>
        <v>1175.3512443242987</v>
      </c>
      <c r="L231" s="100">
        <f>EFEITO!$N$231*EFEITO!$AA$231</f>
        <v>386.78479411190693</v>
      </c>
      <c r="M231" s="100">
        <f>$J$231-EFEITO!$K$231*EFEITO!$Y$231</f>
        <v>0</v>
      </c>
      <c r="N231" s="100">
        <f ca="1">$K$231-EFEITO!$M$231*EFEITO!$Z$231</f>
        <v>0</v>
      </c>
      <c r="O231" s="100">
        <f>$L$231-EFEITO!$O$231*EFEITO!$AA$231</f>
        <v>0</v>
      </c>
      <c r="P231" s="17"/>
      <c r="Q231" s="17"/>
      <c r="R231" s="17"/>
      <c r="S231" s="17"/>
      <c r="T231" s="17"/>
      <c r="U231" s="17"/>
      <c r="V231" s="17"/>
      <c r="W231" s="17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91" t="s">
        <v>21</v>
      </c>
      <c r="B232" s="91" t="s">
        <v>38</v>
      </c>
      <c r="C232" s="91" t="s">
        <v>40</v>
      </c>
      <c r="D232" s="91" t="s">
        <v>50</v>
      </c>
      <c r="E232" s="91" t="s">
        <v>25</v>
      </c>
      <c r="F232" s="91" t="s">
        <v>25</v>
      </c>
      <c r="G232" s="91" t="s">
        <v>25</v>
      </c>
      <c r="H232" s="91" t="s">
        <v>33</v>
      </c>
      <c r="I232" s="99">
        <v>44409</v>
      </c>
      <c r="J232" s="100">
        <f>EFEITO!$J$232*EFEITO!$Y$232</f>
        <v>0</v>
      </c>
      <c r="K232" s="100">
        <f ca="1">EFEITO!$L$232*EFEITO!$Z$232</f>
        <v>1143.1204058144917</v>
      </c>
      <c r="L232" s="100">
        <f>EFEITO!$N$232*EFEITO!$AA$232</f>
        <v>376.17826410883816</v>
      </c>
      <c r="M232" s="100">
        <f>$J$232-EFEITO!$K$232*EFEITO!$Y$232</f>
        <v>0</v>
      </c>
      <c r="N232" s="100">
        <f ca="1">$K$232-EFEITO!$M$232*EFEITO!$Z$232</f>
        <v>0</v>
      </c>
      <c r="O232" s="100">
        <f>$L$232-EFEITO!$O$232*EFEITO!$AA$232</f>
        <v>0</v>
      </c>
      <c r="P232" s="17"/>
      <c r="Q232" s="17"/>
      <c r="R232" s="17"/>
      <c r="S232" s="17"/>
      <c r="T232" s="17"/>
      <c r="U232" s="17"/>
      <c r="V232" s="17"/>
      <c r="W232" s="17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91" t="s">
        <v>21</v>
      </c>
      <c r="B233" s="91" t="s">
        <v>38</v>
      </c>
      <c r="C233" s="91" t="s">
        <v>40</v>
      </c>
      <c r="D233" s="91" t="s">
        <v>50</v>
      </c>
      <c r="E233" s="91" t="s">
        <v>25</v>
      </c>
      <c r="F233" s="91" t="s">
        <v>25</v>
      </c>
      <c r="G233" s="91" t="s">
        <v>25</v>
      </c>
      <c r="H233" s="91" t="s">
        <v>33</v>
      </c>
      <c r="I233" s="99">
        <v>44440</v>
      </c>
      <c r="J233" s="100">
        <f>EFEITO!$J$233*EFEITO!$Y$233</f>
        <v>0</v>
      </c>
      <c r="K233" s="100">
        <f ca="1">EFEITO!$L$233*EFEITO!$Z$233</f>
        <v>1016.3457743425837</v>
      </c>
      <c r="L233" s="100">
        <f>EFEITO!$N$233*EFEITO!$AA$233</f>
        <v>334.45924609676774</v>
      </c>
      <c r="M233" s="100">
        <f>$J$233-EFEITO!$K$233*EFEITO!$Y$233</f>
        <v>0</v>
      </c>
      <c r="N233" s="100">
        <f ca="1">$K$233-EFEITO!$M$233*EFEITO!$Z$233</f>
        <v>0</v>
      </c>
      <c r="O233" s="100">
        <f>$L$233-EFEITO!$O$233*EFEITO!$AA$233</f>
        <v>0</v>
      </c>
      <c r="P233" s="17"/>
      <c r="Q233" s="17"/>
      <c r="R233" s="17"/>
      <c r="S233" s="17"/>
      <c r="T233" s="17"/>
      <c r="U233" s="17"/>
      <c r="V233" s="17"/>
      <c r="W233" s="17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91" t="s">
        <v>21</v>
      </c>
      <c r="B234" s="91" t="s">
        <v>38</v>
      </c>
      <c r="C234" s="91" t="s">
        <v>40</v>
      </c>
      <c r="D234" s="91" t="s">
        <v>50</v>
      </c>
      <c r="E234" s="91" t="s">
        <v>25</v>
      </c>
      <c r="F234" s="91" t="s">
        <v>25</v>
      </c>
      <c r="G234" s="91" t="s">
        <v>25</v>
      </c>
      <c r="H234" s="91" t="s">
        <v>33</v>
      </c>
      <c r="I234" s="99">
        <v>44470</v>
      </c>
      <c r="J234" s="100">
        <f>EFEITO!$J$234*EFEITO!$Y$234</f>
        <v>0</v>
      </c>
      <c r="K234" s="100">
        <f ca="1">EFEITO!$L$234*EFEITO!$Z$234</f>
        <v>917.5045362458419</v>
      </c>
      <c r="L234" s="100">
        <f>EFEITO!$N$234*EFEITO!$AA$234</f>
        <v>301.93255408735689</v>
      </c>
      <c r="M234" s="100">
        <f>$J$234-EFEITO!$K$234*EFEITO!$Y$234</f>
        <v>0</v>
      </c>
      <c r="N234" s="100">
        <f ca="1">$K$234-EFEITO!$M$234*EFEITO!$Z$234</f>
        <v>0</v>
      </c>
      <c r="O234" s="100">
        <f>$L$234-EFEITO!$O$234*EFEITO!$AA$234</f>
        <v>0</v>
      </c>
      <c r="P234" s="17"/>
      <c r="Q234" s="17"/>
      <c r="R234" s="17"/>
      <c r="S234" s="17"/>
      <c r="T234" s="17"/>
      <c r="U234" s="17"/>
      <c r="V234" s="17"/>
      <c r="W234" s="17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91" t="s">
        <v>21</v>
      </c>
      <c r="B235" s="91" t="s">
        <v>38</v>
      </c>
      <c r="C235" s="91" t="s">
        <v>40</v>
      </c>
      <c r="D235" s="91" t="s">
        <v>50</v>
      </c>
      <c r="E235" s="91" t="s">
        <v>25</v>
      </c>
      <c r="F235" s="91" t="s">
        <v>25</v>
      </c>
      <c r="G235" s="91" t="s">
        <v>25</v>
      </c>
      <c r="H235" s="91" t="s">
        <v>33</v>
      </c>
      <c r="I235" s="99">
        <v>44501</v>
      </c>
      <c r="J235" s="100">
        <f>EFEITO!$J$235*EFEITO!$Y$235</f>
        <v>0</v>
      </c>
      <c r="K235" s="100">
        <f ca="1">EFEITO!$L$235*EFEITO!$Z$235</f>
        <v>916.4301749621817</v>
      </c>
      <c r="L235" s="100">
        <f>EFEITO!$N$235*EFEITO!$AA$235</f>
        <v>301.57900308725465</v>
      </c>
      <c r="M235" s="100">
        <f>$J$235-EFEITO!$K$235*EFEITO!$Y$235</f>
        <v>0</v>
      </c>
      <c r="N235" s="100">
        <f ca="1">$K$235-EFEITO!$M$235*EFEITO!$Z$235</f>
        <v>0</v>
      </c>
      <c r="O235" s="100">
        <f>$L$235-EFEITO!$O$235*EFEITO!$AA$235</f>
        <v>0</v>
      </c>
      <c r="P235" s="17"/>
      <c r="Q235" s="17"/>
      <c r="R235" s="17"/>
      <c r="S235" s="17"/>
      <c r="T235" s="17"/>
      <c r="U235" s="17"/>
      <c r="V235" s="17"/>
      <c r="W235" s="17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91" t="s">
        <v>21</v>
      </c>
      <c r="B236" s="91" t="s">
        <v>38</v>
      </c>
      <c r="C236" s="91" t="s">
        <v>40</v>
      </c>
      <c r="D236" s="91" t="s">
        <v>50</v>
      </c>
      <c r="E236" s="91" t="s">
        <v>25</v>
      </c>
      <c r="F236" s="91" t="s">
        <v>25</v>
      </c>
      <c r="G236" s="91" t="s">
        <v>25</v>
      </c>
      <c r="H236" s="91" t="s">
        <v>33</v>
      </c>
      <c r="I236" s="99">
        <v>44531</v>
      </c>
      <c r="J236" s="100">
        <f>EFEITO!$J$236*EFEITO!$Y$236</f>
        <v>0</v>
      </c>
      <c r="K236" s="100">
        <f ca="1">EFEITO!$L$236*EFEITO!$Z$236</f>
        <v>1053.9484192706921</v>
      </c>
      <c r="L236" s="100">
        <f>EFEITO!$N$236*EFEITO!$AA$236</f>
        <v>346.83353110034795</v>
      </c>
      <c r="M236" s="100">
        <f>$J$236-EFEITO!$K$236*EFEITO!$Y$236</f>
        <v>0</v>
      </c>
      <c r="N236" s="100">
        <f ca="1">$K$236-EFEITO!$M$236*EFEITO!$Z$236</f>
        <v>0</v>
      </c>
      <c r="O236" s="100">
        <f>$L$236-EFEITO!$O$236*EFEITO!$AA$236</f>
        <v>0</v>
      </c>
      <c r="P236" s="17"/>
      <c r="Q236" s="17"/>
      <c r="R236" s="17"/>
      <c r="S236" s="17"/>
      <c r="T236" s="17"/>
      <c r="U236" s="17"/>
      <c r="V236" s="17"/>
      <c r="W236" s="17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91" t="s">
        <v>21</v>
      </c>
      <c r="B237" s="91" t="s">
        <v>38</v>
      </c>
      <c r="C237" s="91" t="s">
        <v>40</v>
      </c>
      <c r="D237" s="91" t="s">
        <v>50</v>
      </c>
      <c r="E237" s="91" t="s">
        <v>25</v>
      </c>
      <c r="F237" s="91" t="s">
        <v>25</v>
      </c>
      <c r="G237" s="91" t="s">
        <v>25</v>
      </c>
      <c r="H237" s="91" t="s">
        <v>33</v>
      </c>
      <c r="I237" s="99">
        <v>44562</v>
      </c>
      <c r="J237" s="100">
        <f>EFEITO!$J$237*EFEITO!$Y$237</f>
        <v>0</v>
      </c>
      <c r="K237" s="100">
        <f ca="1">EFEITO!$L$237*EFEITO!$Z$237</f>
        <v>995.93290995303926</v>
      </c>
      <c r="L237" s="100">
        <f>EFEITO!$N$237*EFEITO!$AA$237</f>
        <v>327.74177709482422</v>
      </c>
      <c r="M237" s="100">
        <f>$J$237-EFEITO!$K$237*EFEITO!$Y$237</f>
        <v>0</v>
      </c>
      <c r="N237" s="100">
        <f ca="1">$K$237-EFEITO!$M$237*EFEITO!$Z$237</f>
        <v>0</v>
      </c>
      <c r="O237" s="100">
        <f>$L$237-EFEITO!$O$237*EFEITO!$AA$237</f>
        <v>0</v>
      </c>
      <c r="P237" s="17"/>
      <c r="Q237" s="17"/>
      <c r="R237" s="17"/>
      <c r="S237" s="17"/>
      <c r="T237" s="17"/>
      <c r="U237" s="17"/>
      <c r="V237" s="17"/>
      <c r="W237" s="17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91" t="s">
        <v>21</v>
      </c>
      <c r="B238" s="91" t="s">
        <v>38</v>
      </c>
      <c r="C238" s="91" t="s">
        <v>40</v>
      </c>
      <c r="D238" s="91" t="s">
        <v>50</v>
      </c>
      <c r="E238" s="91" t="s">
        <v>25</v>
      </c>
      <c r="F238" s="91" t="s">
        <v>25</v>
      </c>
      <c r="G238" s="91" t="s">
        <v>25</v>
      </c>
      <c r="H238" s="91" t="s">
        <v>33</v>
      </c>
      <c r="I238" s="99">
        <v>44593</v>
      </c>
      <c r="J238" s="100">
        <f>EFEITO!$J$238*EFEITO!$Y$238</f>
        <v>0</v>
      </c>
      <c r="K238" s="100">
        <f ca="1">EFEITO!$L$238*EFEITO!$Z$238</f>
        <v>964.77643272689238</v>
      </c>
      <c r="L238" s="100">
        <f>EFEITO!$N$238*EFEITO!$AA$238</f>
        <v>317.48879809185775</v>
      </c>
      <c r="M238" s="100">
        <f>$J$238-EFEITO!$K$238*EFEITO!$Y$238</f>
        <v>0</v>
      </c>
      <c r="N238" s="100">
        <f ca="1">$K$238-EFEITO!$M$238*EFEITO!$Z$238</f>
        <v>0</v>
      </c>
      <c r="O238" s="100">
        <f>$L$238-EFEITO!$O$238*EFEITO!$AA$238</f>
        <v>0</v>
      </c>
      <c r="P238" s="17"/>
      <c r="Q238" s="17"/>
      <c r="R238" s="17"/>
      <c r="S238" s="17"/>
      <c r="T238" s="17"/>
      <c r="U238" s="17"/>
      <c r="V238" s="17"/>
      <c r="W238" s="17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91" t="s">
        <v>21</v>
      </c>
      <c r="B239" s="91" t="s">
        <v>38</v>
      </c>
      <c r="C239" s="91" t="s">
        <v>40</v>
      </c>
      <c r="D239" s="91" t="s">
        <v>50</v>
      </c>
      <c r="E239" s="91" t="s">
        <v>25</v>
      </c>
      <c r="F239" s="91" t="s">
        <v>25</v>
      </c>
      <c r="G239" s="91" t="s">
        <v>25</v>
      </c>
      <c r="H239" s="91" t="s">
        <v>33</v>
      </c>
      <c r="I239" s="99">
        <v>44621</v>
      </c>
      <c r="J239" s="100">
        <f>EFEITO!$J$239*EFEITO!$Y$239</f>
        <v>0</v>
      </c>
      <c r="K239" s="100">
        <f ca="1">EFEITO!$L$239*EFEITO!$Z$239</f>
        <v>1067.915115958275</v>
      </c>
      <c r="L239" s="100">
        <f>EFEITO!$N$239*EFEITO!$AA$239</f>
        <v>351.42969410167774</v>
      </c>
      <c r="M239" s="100">
        <f>$J$239-EFEITO!$K$239*EFEITO!$Y$239</f>
        <v>0</v>
      </c>
      <c r="N239" s="100">
        <f ca="1">$K$239-EFEITO!$M$239*EFEITO!$Z$239</f>
        <v>0</v>
      </c>
      <c r="O239" s="100">
        <f>$L$239-EFEITO!$O$239*EFEITO!$AA$239</f>
        <v>0</v>
      </c>
      <c r="P239" s="17"/>
      <c r="Q239" s="17"/>
      <c r="R239" s="17"/>
      <c r="S239" s="17"/>
      <c r="T239" s="17"/>
      <c r="U239" s="17"/>
      <c r="V239" s="17"/>
      <c r="W239" s="17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91" t="s">
        <v>21</v>
      </c>
      <c r="B240" s="91" t="s">
        <v>38</v>
      </c>
      <c r="C240" s="91" t="s">
        <v>40</v>
      </c>
      <c r="D240" s="91" t="s">
        <v>50</v>
      </c>
      <c r="E240" s="91" t="s">
        <v>25</v>
      </c>
      <c r="F240" s="91" t="s">
        <v>25</v>
      </c>
      <c r="G240" s="91" t="s">
        <v>25</v>
      </c>
      <c r="H240" s="91" t="s">
        <v>33</v>
      </c>
      <c r="I240" s="99">
        <v>44652</v>
      </c>
      <c r="J240" s="100">
        <f>EFEITO!$J$240*EFEITO!$Y$240</f>
        <v>0</v>
      </c>
      <c r="K240" s="100">
        <f ca="1">EFEITO!$L$240*EFEITO!$Z$240</f>
        <v>854.11722050988806</v>
      </c>
      <c r="L240" s="100">
        <f>EFEITO!$N$240*EFEITO!$AA$240</f>
        <v>281.07304508132177</v>
      </c>
      <c r="M240" s="100">
        <f>$J$240-EFEITO!$K$240*EFEITO!$Y$240</f>
        <v>0</v>
      </c>
      <c r="N240" s="100">
        <f ca="1">$K$240-EFEITO!$M$240*EFEITO!$Z$240</f>
        <v>0</v>
      </c>
      <c r="O240" s="100">
        <f>$L$240-EFEITO!$O$240*EFEITO!$AA$240</f>
        <v>0</v>
      </c>
      <c r="P240" s="17"/>
      <c r="Q240" s="17"/>
      <c r="R240" s="17"/>
      <c r="S240" s="17"/>
      <c r="T240" s="17"/>
      <c r="U240" s="17"/>
      <c r="V240" s="17"/>
      <c r="W240" s="17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91" t="s">
        <v>21</v>
      </c>
      <c r="B241" s="91" t="s">
        <v>38</v>
      </c>
      <c r="C241" s="91" t="s">
        <v>40</v>
      </c>
      <c r="D241" s="91" t="s">
        <v>50</v>
      </c>
      <c r="E241" s="91" t="s">
        <v>25</v>
      </c>
      <c r="F241" s="91" t="s">
        <v>25</v>
      </c>
      <c r="G241" s="91" t="s">
        <v>25</v>
      </c>
      <c r="H241" s="91" t="s">
        <v>33</v>
      </c>
      <c r="I241" s="99">
        <v>44682</v>
      </c>
      <c r="J241" s="100">
        <f>EFEITO!$J$241*EFEITO!$Y$241</f>
        <v>0</v>
      </c>
      <c r="K241" s="100">
        <f ca="1">EFEITO!$L$241*EFEITO!$Z$241</f>
        <v>1062.543309539974</v>
      </c>
      <c r="L241" s="100">
        <f>EFEITO!$N$241*EFEITO!$AA$241</f>
        <v>349.6619391011663</v>
      </c>
      <c r="M241" s="100">
        <f>$J$241-EFEITO!$K$241*EFEITO!$Y$241</f>
        <v>0</v>
      </c>
      <c r="N241" s="100">
        <f ca="1">$K$241-EFEITO!$M$241*EFEITO!$Z$241</f>
        <v>0</v>
      </c>
      <c r="O241" s="100">
        <f>$L$241-EFEITO!$O$241*EFEITO!$AA$241</f>
        <v>0</v>
      </c>
      <c r="P241" s="17"/>
      <c r="Q241" s="17"/>
      <c r="R241" s="17"/>
      <c r="S241" s="17"/>
      <c r="T241" s="17"/>
      <c r="U241" s="17"/>
      <c r="V241" s="17"/>
      <c r="W241" s="17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91" t="s">
        <v>56</v>
      </c>
      <c r="B242" s="91" t="s">
        <v>38</v>
      </c>
      <c r="C242" s="91" t="s">
        <v>40</v>
      </c>
      <c r="D242" s="91" t="s">
        <v>50</v>
      </c>
      <c r="E242" s="91" t="s">
        <v>25</v>
      </c>
      <c r="F242" s="91" t="s">
        <v>25</v>
      </c>
      <c r="G242" s="91" t="s">
        <v>25</v>
      </c>
      <c r="H242" s="91" t="s">
        <v>33</v>
      </c>
      <c r="I242" s="99">
        <v>44713</v>
      </c>
      <c r="J242" s="100">
        <f>EFEITO!$J$242*EFEITO!$Y$242</f>
        <v>0</v>
      </c>
      <c r="K242" s="100">
        <f ca="1">EFEITO!$L$242*EFEITO!$Z$242</f>
        <v>1062.543309539974</v>
      </c>
      <c r="L242" s="100">
        <f>EFEITO!$N$242*EFEITO!$AA$242</f>
        <v>349.6619391011663</v>
      </c>
      <c r="M242" s="100">
        <f>$J$242-EFEITO!$K$242*EFEITO!$Y$242</f>
        <v>0</v>
      </c>
      <c r="N242" s="100">
        <f ca="1">$K$242-EFEITO!$M$242*EFEITO!$Z$242</f>
        <v>0</v>
      </c>
      <c r="O242" s="100">
        <f>$L$242-EFEITO!$O$242*EFEITO!$AA$242</f>
        <v>0</v>
      </c>
      <c r="P242" s="17"/>
      <c r="Q242" s="17"/>
      <c r="R242" s="17"/>
      <c r="S242" s="17"/>
      <c r="T242" s="17"/>
      <c r="U242" s="17"/>
      <c r="V242" s="17"/>
      <c r="W242" s="17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91" t="s">
        <v>21</v>
      </c>
      <c r="B243" s="91" t="s">
        <v>38</v>
      </c>
      <c r="C243" s="91" t="s">
        <v>40</v>
      </c>
      <c r="D243" s="91" t="s">
        <v>37</v>
      </c>
      <c r="E243" s="91" t="s">
        <v>25</v>
      </c>
      <c r="F243" s="91" t="s">
        <v>57</v>
      </c>
      <c r="G243" s="91" t="s">
        <v>25</v>
      </c>
      <c r="H243" s="91" t="s">
        <v>34</v>
      </c>
      <c r="I243" s="99">
        <v>44378</v>
      </c>
      <c r="J243" s="100">
        <f>EFEITO!$J$243*EFEITO!$Y$243</f>
        <v>0</v>
      </c>
      <c r="K243" s="100">
        <f ca="1">EFEITO!$L$243*EFEITO!$Z$243</f>
        <v>188827.40952608673</v>
      </c>
      <c r="L243" s="100">
        <f>EFEITO!$N$243*EFEITO!$AA$243</f>
        <v>0</v>
      </c>
      <c r="M243" s="100">
        <f>$J$243-EFEITO!$K$243*EFEITO!$Y$243</f>
        <v>0</v>
      </c>
      <c r="N243" s="100">
        <f ca="1">$K$243-EFEITO!$M$243*EFEITO!$Z$243</f>
        <v>110143.0279765664</v>
      </c>
      <c r="O243" s="100">
        <f>$L$243-EFEITO!$O$243*EFEITO!$AA$243</f>
        <v>0</v>
      </c>
      <c r="P243" s="17"/>
      <c r="Q243" s="17"/>
      <c r="R243" s="17"/>
      <c r="S243" s="17"/>
      <c r="T243" s="17"/>
      <c r="U243" s="17"/>
      <c r="V243" s="17"/>
      <c r="W243" s="17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91" t="s">
        <v>21</v>
      </c>
      <c r="B244" s="91" t="s">
        <v>38</v>
      </c>
      <c r="C244" s="91" t="s">
        <v>40</v>
      </c>
      <c r="D244" s="91" t="s">
        <v>37</v>
      </c>
      <c r="E244" s="91" t="s">
        <v>25</v>
      </c>
      <c r="F244" s="91" t="s">
        <v>57</v>
      </c>
      <c r="G244" s="91" t="s">
        <v>25</v>
      </c>
      <c r="H244" s="91" t="s">
        <v>34</v>
      </c>
      <c r="I244" s="99">
        <v>44409</v>
      </c>
      <c r="J244" s="100">
        <f>EFEITO!$J$244*EFEITO!$Y$244</f>
        <v>0</v>
      </c>
      <c r="K244" s="100">
        <f ca="1">EFEITO!$L$244*EFEITO!$Z$244</f>
        <v>193997.06128771225</v>
      </c>
      <c r="L244" s="100">
        <f>EFEITO!$N$244*EFEITO!$AA$244</f>
        <v>0</v>
      </c>
      <c r="M244" s="100">
        <f>$J$244-EFEITO!$K$244*EFEITO!$Y$244</f>
        <v>0</v>
      </c>
      <c r="N244" s="100">
        <f ca="1">$K$244-EFEITO!$M$244*EFEITO!$Z$244</f>
        <v>113158.48584912256</v>
      </c>
      <c r="O244" s="100">
        <f>$L$244-EFEITO!$O$244*EFEITO!$AA$244</f>
        <v>0</v>
      </c>
      <c r="P244" s="17"/>
      <c r="Q244" s="17"/>
      <c r="R244" s="17"/>
      <c r="S244" s="17"/>
      <c r="T244" s="17"/>
      <c r="U244" s="17"/>
      <c r="V244" s="17"/>
      <c r="W244" s="17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91" t="s">
        <v>21</v>
      </c>
      <c r="B245" s="91" t="s">
        <v>38</v>
      </c>
      <c r="C245" s="91" t="s">
        <v>40</v>
      </c>
      <c r="D245" s="91" t="s">
        <v>37</v>
      </c>
      <c r="E245" s="91" t="s">
        <v>25</v>
      </c>
      <c r="F245" s="91" t="s">
        <v>57</v>
      </c>
      <c r="G245" s="91" t="s">
        <v>25</v>
      </c>
      <c r="H245" s="91" t="s">
        <v>34</v>
      </c>
      <c r="I245" s="99">
        <v>44440</v>
      </c>
      <c r="J245" s="100">
        <f>EFEITO!$J$245*EFEITO!$Y$245</f>
        <v>0</v>
      </c>
      <c r="K245" s="100">
        <f ca="1">EFEITO!$L$245*EFEITO!$Z$245</f>
        <v>184476.49812954746</v>
      </c>
      <c r="L245" s="100">
        <f>EFEITO!$N$245*EFEITO!$AA$245</f>
        <v>0</v>
      </c>
      <c r="M245" s="100">
        <f>$J$245-EFEITO!$K$245*EFEITO!$Y$245</f>
        <v>0</v>
      </c>
      <c r="N245" s="100">
        <f ca="1">$K$245-EFEITO!$M$245*EFEITO!$Z$245</f>
        <v>107605.14135896503</v>
      </c>
      <c r="O245" s="100">
        <f>$L$245-EFEITO!$O$245*EFEITO!$AA$245</f>
        <v>0</v>
      </c>
      <c r="P245" s="17"/>
      <c r="Q245" s="17"/>
      <c r="R245" s="17"/>
      <c r="S245" s="17"/>
      <c r="T245" s="17"/>
      <c r="U245" s="17"/>
      <c r="V245" s="17"/>
      <c r="W245" s="17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91" t="s">
        <v>21</v>
      </c>
      <c r="B246" s="91" t="s">
        <v>38</v>
      </c>
      <c r="C246" s="91" t="s">
        <v>40</v>
      </c>
      <c r="D246" s="91" t="s">
        <v>37</v>
      </c>
      <c r="E246" s="91" t="s">
        <v>25</v>
      </c>
      <c r="F246" s="91" t="s">
        <v>57</v>
      </c>
      <c r="G246" s="91" t="s">
        <v>25</v>
      </c>
      <c r="H246" s="91" t="s">
        <v>34</v>
      </c>
      <c r="I246" s="99">
        <v>44470</v>
      </c>
      <c r="J246" s="100">
        <f>EFEITO!$J$246*EFEITO!$Y$246</f>
        <v>0</v>
      </c>
      <c r="K246" s="100">
        <f ca="1">EFEITO!$L$246*EFEITO!$Z$246</f>
        <v>186914.87693967082</v>
      </c>
      <c r="L246" s="100">
        <f>EFEITO!$N$246*EFEITO!$AA$246</f>
        <v>0</v>
      </c>
      <c r="M246" s="100">
        <f>$J$246-EFEITO!$K$246*EFEITO!$Y$246</f>
        <v>0</v>
      </c>
      <c r="N246" s="100">
        <f ca="1">$K$246-EFEITO!$M$246*EFEITO!$Z$246</f>
        <v>104448.03323388807</v>
      </c>
      <c r="O246" s="100">
        <f>$L$246-EFEITO!$O$246*EFEITO!$AA$246</f>
        <v>0</v>
      </c>
      <c r="P246" s="17"/>
      <c r="Q246" s="17"/>
      <c r="R246" s="17"/>
      <c r="S246" s="17"/>
      <c r="T246" s="17"/>
      <c r="U246" s="17"/>
      <c r="V246" s="17"/>
      <c r="W246" s="17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91" t="s">
        <v>21</v>
      </c>
      <c r="B247" s="91" t="s">
        <v>38</v>
      </c>
      <c r="C247" s="91" t="s">
        <v>40</v>
      </c>
      <c r="D247" s="91" t="s">
        <v>37</v>
      </c>
      <c r="E247" s="91" t="s">
        <v>25</v>
      </c>
      <c r="F247" s="91" t="s">
        <v>57</v>
      </c>
      <c r="G247" s="91" t="s">
        <v>25</v>
      </c>
      <c r="H247" s="91" t="s">
        <v>34</v>
      </c>
      <c r="I247" s="99">
        <v>44501</v>
      </c>
      <c r="J247" s="100">
        <f>EFEITO!$J$247*EFEITO!$Y$247</f>
        <v>0</v>
      </c>
      <c r="K247" s="100">
        <f ca="1">EFEITO!$L$247*EFEITO!$Z$247</f>
        <v>191213.76504415821</v>
      </c>
      <c r="L247" s="100">
        <f>EFEITO!$N$247*EFEITO!$AA$247</f>
        <v>0</v>
      </c>
      <c r="M247" s="100">
        <f>$J$247-EFEITO!$K$247*EFEITO!$Y$247</f>
        <v>0</v>
      </c>
      <c r="N247" s="100">
        <f ca="1">$K$247-EFEITO!$M$247*EFEITO!$Z$247</f>
        <v>119508.60315259888</v>
      </c>
      <c r="O247" s="100">
        <f>$L$247-EFEITO!$O$247*EFEITO!$AA$247</f>
        <v>0</v>
      </c>
      <c r="P247" s="17"/>
      <c r="Q247" s="17"/>
      <c r="R247" s="17"/>
      <c r="S247" s="17"/>
      <c r="T247" s="17"/>
      <c r="U247" s="17"/>
      <c r="V247" s="17"/>
      <c r="W247" s="17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91" t="s">
        <v>21</v>
      </c>
      <c r="B248" s="91" t="s">
        <v>38</v>
      </c>
      <c r="C248" s="91" t="s">
        <v>40</v>
      </c>
      <c r="D248" s="91" t="s">
        <v>37</v>
      </c>
      <c r="E248" s="91" t="s">
        <v>25</v>
      </c>
      <c r="F248" s="91" t="s">
        <v>57</v>
      </c>
      <c r="G248" s="91" t="s">
        <v>25</v>
      </c>
      <c r="H248" s="91" t="s">
        <v>34</v>
      </c>
      <c r="I248" s="99">
        <v>44531</v>
      </c>
      <c r="J248" s="100">
        <f>EFEITO!$J$248*EFEITO!$Y$248</f>
        <v>0</v>
      </c>
      <c r="K248" s="100">
        <f ca="1">EFEITO!$L$248*EFEITO!$Z$248</f>
        <v>181225.19273264037</v>
      </c>
      <c r="L248" s="100">
        <f>EFEITO!$N$248*EFEITO!$AA$248</f>
        <v>0</v>
      </c>
      <c r="M248" s="100">
        <f>$J$248-EFEITO!$K$248*EFEITO!$Y$248</f>
        <v>0</v>
      </c>
      <c r="N248" s="100">
        <f ca="1">$K$248-EFEITO!$M$248*EFEITO!$Z$248</f>
        <v>104911.26407292551</v>
      </c>
      <c r="O248" s="100">
        <f>$L$248-EFEITO!$O$248*EFEITO!$AA$248</f>
        <v>0</v>
      </c>
      <c r="P248" s="17"/>
      <c r="Q248" s="17"/>
      <c r="R248" s="17"/>
      <c r="S248" s="17"/>
      <c r="T248" s="17"/>
      <c r="U248" s="17"/>
      <c r="V248" s="17"/>
      <c r="W248" s="17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91" t="s">
        <v>21</v>
      </c>
      <c r="B249" s="91" t="s">
        <v>38</v>
      </c>
      <c r="C249" s="91" t="s">
        <v>40</v>
      </c>
      <c r="D249" s="91" t="s">
        <v>37</v>
      </c>
      <c r="E249" s="91" t="s">
        <v>25</v>
      </c>
      <c r="F249" s="91" t="s">
        <v>57</v>
      </c>
      <c r="G249" s="91" t="s">
        <v>25</v>
      </c>
      <c r="H249" s="91" t="s">
        <v>34</v>
      </c>
      <c r="I249" s="99">
        <v>44562</v>
      </c>
      <c r="J249" s="100">
        <f>EFEITO!$J$249*EFEITO!$Y$249</f>
        <v>0</v>
      </c>
      <c r="K249" s="100">
        <f ca="1">EFEITO!$L$249*EFEITO!$Z$249</f>
        <v>167972.4846169271</v>
      </c>
      <c r="L249" s="100">
        <f>EFEITO!$N$249*EFEITO!$AA$249</f>
        <v>0</v>
      </c>
      <c r="M249" s="100">
        <f>$J$249-EFEITO!$K$249*EFEITO!$Y$249</f>
        <v>0</v>
      </c>
      <c r="N249" s="100">
        <f ca="1">$K$249-EFEITO!$M$249*EFEITO!$Z$249</f>
        <v>99742.061365531306</v>
      </c>
      <c r="O249" s="100">
        <f>$L$249-EFEITO!$O$249*EFEITO!$AA$249</f>
        <v>0</v>
      </c>
      <c r="P249" s="17"/>
      <c r="Q249" s="17"/>
      <c r="R249" s="17"/>
      <c r="S249" s="17"/>
      <c r="T249" s="17"/>
      <c r="U249" s="17"/>
      <c r="V249" s="17"/>
      <c r="W249" s="17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91" t="s">
        <v>21</v>
      </c>
      <c r="B250" s="91" t="s">
        <v>38</v>
      </c>
      <c r="C250" s="91" t="s">
        <v>40</v>
      </c>
      <c r="D250" s="91" t="s">
        <v>37</v>
      </c>
      <c r="E250" s="91" t="s">
        <v>25</v>
      </c>
      <c r="F250" s="91" t="s">
        <v>57</v>
      </c>
      <c r="G250" s="91" t="s">
        <v>25</v>
      </c>
      <c r="H250" s="91" t="s">
        <v>34</v>
      </c>
      <c r="I250" s="99">
        <v>44593</v>
      </c>
      <c r="J250" s="100">
        <f>EFEITO!$J$250*EFEITO!$Y$250</f>
        <v>0</v>
      </c>
      <c r="K250" s="100">
        <f ca="1">EFEITO!$L$250*EFEITO!$Z$250</f>
        <v>196462.30376309555</v>
      </c>
      <c r="L250" s="100">
        <f>EFEITO!$N$250*EFEITO!$AA$250</f>
        <v>0</v>
      </c>
      <c r="M250" s="100">
        <f>$J$250-EFEITO!$K$250*EFEITO!$Y$250</f>
        <v>0</v>
      </c>
      <c r="N250" s="100">
        <f ca="1">$K$250-EFEITO!$M$250*EFEITO!$Z$250</f>
        <v>113732.02764845602</v>
      </c>
      <c r="O250" s="100">
        <f>$L$250-EFEITO!$O$250*EFEITO!$AA$250</f>
        <v>0</v>
      </c>
      <c r="P250" s="17"/>
      <c r="Q250" s="17"/>
      <c r="R250" s="17"/>
      <c r="S250" s="17"/>
      <c r="T250" s="17"/>
      <c r="U250" s="17"/>
      <c r="V250" s="17"/>
      <c r="W250" s="17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91" t="s">
        <v>21</v>
      </c>
      <c r="B251" s="91" t="s">
        <v>38</v>
      </c>
      <c r="C251" s="91" t="s">
        <v>40</v>
      </c>
      <c r="D251" s="91" t="s">
        <v>37</v>
      </c>
      <c r="E251" s="91" t="s">
        <v>25</v>
      </c>
      <c r="F251" s="91" t="s">
        <v>57</v>
      </c>
      <c r="G251" s="91" t="s">
        <v>25</v>
      </c>
      <c r="H251" s="91" t="s">
        <v>34</v>
      </c>
      <c r="I251" s="99">
        <v>44621</v>
      </c>
      <c r="J251" s="100">
        <f>EFEITO!$J$251*EFEITO!$Y$251</f>
        <v>0</v>
      </c>
      <c r="K251" s="100">
        <f ca="1">EFEITO!$L$251*EFEITO!$Z$251</f>
        <v>231902.39463237234</v>
      </c>
      <c r="L251" s="100">
        <f>EFEITO!$N$251*EFEITO!$AA$251</f>
        <v>0</v>
      </c>
      <c r="M251" s="100">
        <f>$J$251-EFEITO!$K$251*EFEITO!$Y$251</f>
        <v>0</v>
      </c>
      <c r="N251" s="100">
        <f ca="1">$K$251-EFEITO!$M$251*EFEITO!$Z$251</f>
        <v>135268.66678906279</v>
      </c>
      <c r="O251" s="100">
        <f>$L$251-EFEITO!$O$251*EFEITO!$AA$251</f>
        <v>0</v>
      </c>
      <c r="P251" s="17"/>
      <c r="Q251" s="17"/>
      <c r="R251" s="17"/>
      <c r="S251" s="17"/>
      <c r="T251" s="17"/>
      <c r="U251" s="17"/>
      <c r="V251" s="17"/>
      <c r="W251" s="17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91" t="s">
        <v>21</v>
      </c>
      <c r="B252" s="91" t="s">
        <v>38</v>
      </c>
      <c r="C252" s="91" t="s">
        <v>40</v>
      </c>
      <c r="D252" s="91" t="s">
        <v>37</v>
      </c>
      <c r="E252" s="91" t="s">
        <v>25</v>
      </c>
      <c r="F252" s="91" t="s">
        <v>57</v>
      </c>
      <c r="G252" s="91" t="s">
        <v>25</v>
      </c>
      <c r="H252" s="91" t="s">
        <v>34</v>
      </c>
      <c r="I252" s="99">
        <v>44652</v>
      </c>
      <c r="J252" s="100">
        <f>EFEITO!$J$252*EFEITO!$Y$252</f>
        <v>0</v>
      </c>
      <c r="K252" s="100">
        <f ca="1">EFEITO!$L$252*EFEITO!$Z$252</f>
        <v>191170.26194444625</v>
      </c>
      <c r="L252" s="100">
        <f>EFEITO!$N$252*EFEITO!$AA$252</f>
        <v>0</v>
      </c>
      <c r="M252" s="100">
        <f>$J$252-EFEITO!$K$252*EFEITO!$Y$252</f>
        <v>0</v>
      </c>
      <c r="N252" s="100">
        <f ca="1">$K$252-EFEITO!$M$252*EFEITO!$Z$252</f>
        <v>111509.61379219549</v>
      </c>
      <c r="O252" s="100">
        <f>$L$252-EFEITO!$O$252*EFEITO!$AA$252</f>
        <v>0</v>
      </c>
      <c r="P252" s="17"/>
      <c r="Q252" s="17"/>
      <c r="R252" s="17"/>
      <c r="S252" s="17"/>
      <c r="T252" s="17"/>
      <c r="U252" s="17"/>
      <c r="V252" s="17"/>
      <c r="W252" s="17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91" t="s">
        <v>21</v>
      </c>
      <c r="B253" s="91" t="s">
        <v>38</v>
      </c>
      <c r="C253" s="91" t="s">
        <v>40</v>
      </c>
      <c r="D253" s="91" t="s">
        <v>37</v>
      </c>
      <c r="E253" s="91" t="s">
        <v>25</v>
      </c>
      <c r="F253" s="91" t="s">
        <v>57</v>
      </c>
      <c r="G253" s="91" t="s">
        <v>25</v>
      </c>
      <c r="H253" s="91" t="s">
        <v>34</v>
      </c>
      <c r="I253" s="99">
        <v>44682</v>
      </c>
      <c r="J253" s="100">
        <f>EFEITO!$J$253*EFEITO!$Y$253</f>
        <v>0</v>
      </c>
      <c r="K253" s="100">
        <f ca="1">EFEITO!$L$253*EFEITO!$Z$253</f>
        <v>213227.73682421551</v>
      </c>
      <c r="L253" s="100">
        <f>EFEITO!$N$253*EFEITO!$AA$253</f>
        <v>0</v>
      </c>
      <c r="M253" s="100">
        <f>$J$253-EFEITO!$K$253*EFEITO!$Y$253</f>
        <v>0</v>
      </c>
      <c r="N253" s="100">
        <f ca="1">$K$253-EFEITO!$M$253*EFEITO!$Z$253</f>
        <v>124375.73888956491</v>
      </c>
      <c r="O253" s="100">
        <f>$L$253-EFEITO!$O$253*EFEITO!$AA$253</f>
        <v>0</v>
      </c>
      <c r="P253" s="17"/>
      <c r="Q253" s="17"/>
      <c r="R253" s="17"/>
      <c r="S253" s="17"/>
      <c r="T253" s="17"/>
      <c r="U253" s="17"/>
      <c r="V253" s="17"/>
      <c r="W253" s="17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91" t="s">
        <v>56</v>
      </c>
      <c r="B254" s="91" t="s">
        <v>38</v>
      </c>
      <c r="C254" s="91" t="s">
        <v>40</v>
      </c>
      <c r="D254" s="91" t="s">
        <v>37</v>
      </c>
      <c r="E254" s="91" t="s">
        <v>25</v>
      </c>
      <c r="F254" s="91" t="s">
        <v>57</v>
      </c>
      <c r="G254" s="91" t="s">
        <v>25</v>
      </c>
      <c r="H254" s="91" t="s">
        <v>34</v>
      </c>
      <c r="I254" s="99">
        <v>44713</v>
      </c>
      <c r="J254" s="100">
        <f>EFEITO!$J$254*EFEITO!$Y$254</f>
        <v>0</v>
      </c>
      <c r="K254" s="100">
        <f ca="1">EFEITO!$L$254*EFEITO!$Z$254</f>
        <v>213227.73682421551</v>
      </c>
      <c r="L254" s="100">
        <f>EFEITO!$N$254*EFEITO!$AA$254</f>
        <v>0</v>
      </c>
      <c r="M254" s="100">
        <f>$J$254-EFEITO!$K$254*EFEITO!$Y$254</f>
        <v>0</v>
      </c>
      <c r="N254" s="100">
        <f ca="1">$K$254-EFEITO!$M$254*EFEITO!$Z$254</f>
        <v>124375.73888956491</v>
      </c>
      <c r="O254" s="100">
        <f>$L$254-EFEITO!$O$254*EFEITO!$AA$254</f>
        <v>0</v>
      </c>
      <c r="P254" s="17"/>
      <c r="Q254" s="17"/>
      <c r="R254" s="17"/>
      <c r="S254" s="17"/>
      <c r="T254" s="17"/>
      <c r="U254" s="17"/>
      <c r="V254" s="17"/>
      <c r="W254" s="17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91" t="s">
        <v>21</v>
      </c>
      <c r="B255" s="91" t="s">
        <v>38</v>
      </c>
      <c r="C255" s="91" t="s">
        <v>40</v>
      </c>
      <c r="D255" s="91" t="s">
        <v>37</v>
      </c>
      <c r="E255" s="91" t="s">
        <v>25</v>
      </c>
      <c r="F255" s="91" t="s">
        <v>57</v>
      </c>
      <c r="G255" s="91" t="s">
        <v>25</v>
      </c>
      <c r="H255" s="91" t="s">
        <v>25</v>
      </c>
      <c r="I255" s="99">
        <v>44378</v>
      </c>
      <c r="J255" s="100">
        <f ca="1">EFEITO!$J$255*EFEITO!$Y$255</f>
        <v>113719.29003659355</v>
      </c>
      <c r="K255" s="100">
        <f>EFEITO!$L$255*EFEITO!$Z$255</f>
        <v>0</v>
      </c>
      <c r="L255" s="100">
        <f>EFEITO!$N$255*EFEITO!$AA$255</f>
        <v>0</v>
      </c>
      <c r="M255" s="100">
        <f ca="1">$J$255-EFEITO!$K$255*EFEITO!$Y$255</f>
        <v>66332.461878345028</v>
      </c>
      <c r="N255" s="100">
        <f>$K$255-EFEITO!$M$255*EFEITO!$Z$255</f>
        <v>0</v>
      </c>
      <c r="O255" s="100">
        <f>$L$255-EFEITO!$O$255*EFEITO!$AA$255</f>
        <v>0</v>
      </c>
      <c r="P255" s="17"/>
      <c r="Q255" s="17"/>
      <c r="R255" s="17"/>
      <c r="S255" s="17"/>
      <c r="T255" s="17"/>
      <c r="U255" s="17"/>
      <c r="V255" s="17"/>
      <c r="W255" s="17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91" t="s">
        <v>21</v>
      </c>
      <c r="B256" s="91" t="s">
        <v>38</v>
      </c>
      <c r="C256" s="91" t="s">
        <v>40</v>
      </c>
      <c r="D256" s="91" t="s">
        <v>37</v>
      </c>
      <c r="E256" s="91" t="s">
        <v>25</v>
      </c>
      <c r="F256" s="91" t="s">
        <v>57</v>
      </c>
      <c r="G256" s="91" t="s">
        <v>25</v>
      </c>
      <c r="H256" s="91" t="s">
        <v>25</v>
      </c>
      <c r="I256" s="99">
        <v>44409</v>
      </c>
      <c r="J256" s="100">
        <f ca="1">EFEITO!$J$256*EFEITO!$Y$256</f>
        <v>111045.32944254672</v>
      </c>
      <c r="K256" s="100">
        <f>EFEITO!$L$256*EFEITO!$Z$256</f>
        <v>0</v>
      </c>
      <c r="L256" s="100">
        <f>EFEITO!$N$256*EFEITO!$AA$256</f>
        <v>0</v>
      </c>
      <c r="M256" s="100">
        <f ca="1">$J$256-EFEITO!$K$256*EFEITO!$Y$256</f>
        <v>64772.740663837496</v>
      </c>
      <c r="N256" s="100">
        <f>$K$256-EFEITO!$M$256*EFEITO!$Z$256</f>
        <v>0</v>
      </c>
      <c r="O256" s="100">
        <f>$L$256-EFEITO!$O$256*EFEITO!$AA$256</f>
        <v>0</v>
      </c>
      <c r="P256" s="17"/>
      <c r="Q256" s="17"/>
      <c r="R256" s="17"/>
      <c r="S256" s="17"/>
      <c r="T256" s="17"/>
      <c r="U256" s="17"/>
      <c r="V256" s="17"/>
      <c r="W256" s="17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91" t="s">
        <v>21</v>
      </c>
      <c r="B257" s="91" t="s">
        <v>38</v>
      </c>
      <c r="C257" s="91" t="s">
        <v>40</v>
      </c>
      <c r="D257" s="91" t="s">
        <v>37</v>
      </c>
      <c r="E257" s="91" t="s">
        <v>25</v>
      </c>
      <c r="F257" s="91" t="s">
        <v>57</v>
      </c>
      <c r="G257" s="91" t="s">
        <v>25</v>
      </c>
      <c r="H257" s="91" t="s">
        <v>25</v>
      </c>
      <c r="I257" s="99">
        <v>44440</v>
      </c>
      <c r="J257" s="100">
        <f ca="1">EFEITO!$J$257*EFEITO!$Y$257</f>
        <v>111820.17029650348</v>
      </c>
      <c r="K257" s="100">
        <f>EFEITO!$L$257*EFEITO!$Z$257</f>
        <v>0</v>
      </c>
      <c r="L257" s="100">
        <f>EFEITO!$N$257*EFEITO!$AA$257</f>
        <v>0</v>
      </c>
      <c r="M257" s="100">
        <f ca="1">$J$257-EFEITO!$K$257*EFEITO!$Y$257</f>
        <v>65224.705333950486</v>
      </c>
      <c r="N257" s="100">
        <f>$K$257-EFEITO!$M$257*EFEITO!$Z$257</f>
        <v>0</v>
      </c>
      <c r="O257" s="100">
        <f>$L$257-EFEITO!$O$257*EFEITO!$AA$257</f>
        <v>0</v>
      </c>
      <c r="P257" s="17"/>
      <c r="Q257" s="17"/>
      <c r="R257" s="17"/>
      <c r="S257" s="17"/>
      <c r="T257" s="17"/>
      <c r="U257" s="17"/>
      <c r="V257" s="17"/>
      <c r="W257" s="17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91" t="s">
        <v>21</v>
      </c>
      <c r="B258" s="91" t="s">
        <v>38</v>
      </c>
      <c r="C258" s="91" t="s">
        <v>40</v>
      </c>
      <c r="D258" s="91" t="s">
        <v>37</v>
      </c>
      <c r="E258" s="91" t="s">
        <v>25</v>
      </c>
      <c r="F258" s="91" t="s">
        <v>57</v>
      </c>
      <c r="G258" s="91" t="s">
        <v>25</v>
      </c>
      <c r="H258" s="91" t="s">
        <v>25</v>
      </c>
      <c r="I258" s="99">
        <v>44470</v>
      </c>
      <c r="J258" s="100">
        <f ca="1">EFEITO!$J$258*EFEITO!$Y$258</f>
        <v>111865.74917026564</v>
      </c>
      <c r="K258" s="100">
        <f>EFEITO!$L$258*EFEITO!$Z$258</f>
        <v>0</v>
      </c>
      <c r="L258" s="100">
        <f>EFEITO!$N$258*EFEITO!$AA$258</f>
        <v>0</v>
      </c>
      <c r="M258" s="100">
        <f ca="1">$J$258-EFEITO!$K$258*EFEITO!$Y$258</f>
        <v>65251.291491015952</v>
      </c>
      <c r="N258" s="100">
        <f>$K$258-EFEITO!$M$258*EFEITO!$Z$258</f>
        <v>0</v>
      </c>
      <c r="O258" s="100">
        <f>$L$258-EFEITO!$O$258*EFEITO!$AA$258</f>
        <v>0</v>
      </c>
      <c r="P258" s="17"/>
      <c r="Q258" s="17"/>
      <c r="R258" s="17"/>
      <c r="S258" s="17"/>
      <c r="T258" s="17"/>
      <c r="U258" s="17"/>
      <c r="V258" s="17"/>
      <c r="W258" s="17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91" t="s">
        <v>21</v>
      </c>
      <c r="B259" s="91" t="s">
        <v>38</v>
      </c>
      <c r="C259" s="91" t="s">
        <v>40</v>
      </c>
      <c r="D259" s="91" t="s">
        <v>37</v>
      </c>
      <c r="E259" s="91" t="s">
        <v>25</v>
      </c>
      <c r="F259" s="91" t="s">
        <v>57</v>
      </c>
      <c r="G259" s="91" t="s">
        <v>25</v>
      </c>
      <c r="H259" s="91" t="s">
        <v>25</v>
      </c>
      <c r="I259" s="99">
        <v>44501</v>
      </c>
      <c r="J259" s="100">
        <f ca="1">EFEITO!$J$259*EFEITO!$Y$259</f>
        <v>115132.23512322055</v>
      </c>
      <c r="K259" s="100">
        <f>EFEITO!$L$259*EFEITO!$Z$259</f>
        <v>0</v>
      </c>
      <c r="L259" s="100">
        <f>EFEITO!$N$259*EFEITO!$AA$259</f>
        <v>0</v>
      </c>
      <c r="M259" s="100">
        <f ca="1">$J$259-EFEITO!$K$259*EFEITO!$Y$259</f>
        <v>71957.646952012845</v>
      </c>
      <c r="N259" s="100">
        <f>$K$259-EFEITO!$M$259*EFEITO!$Z$259</f>
        <v>0</v>
      </c>
      <c r="O259" s="100">
        <f>$L$259-EFEITO!$O$259*EFEITO!$AA$259</f>
        <v>0</v>
      </c>
      <c r="P259" s="17"/>
      <c r="Q259" s="17"/>
      <c r="R259" s="17"/>
      <c r="S259" s="17"/>
      <c r="T259" s="17"/>
      <c r="U259" s="17"/>
      <c r="V259" s="17"/>
      <c r="W259" s="17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91" t="s">
        <v>21</v>
      </c>
      <c r="B260" s="91" t="s">
        <v>38</v>
      </c>
      <c r="C260" s="91" t="s">
        <v>40</v>
      </c>
      <c r="D260" s="91" t="s">
        <v>37</v>
      </c>
      <c r="E260" s="91" t="s">
        <v>25</v>
      </c>
      <c r="F260" s="91" t="s">
        <v>57</v>
      </c>
      <c r="G260" s="91" t="s">
        <v>25</v>
      </c>
      <c r="H260" s="91" t="s">
        <v>25</v>
      </c>
      <c r="I260" s="99">
        <v>44531</v>
      </c>
      <c r="J260" s="100">
        <f ca="1">EFEITO!$J$260*EFEITO!$Y$260</f>
        <v>116302.09288311604</v>
      </c>
      <c r="K260" s="100">
        <f>EFEITO!$L$260*EFEITO!$Z$260</f>
        <v>0</v>
      </c>
      <c r="L260" s="100">
        <f>EFEITO!$N$260*EFEITO!$AA$260</f>
        <v>0</v>
      </c>
      <c r="M260" s="100">
        <f ca="1">$J$260-EFEITO!$K$260*EFEITO!$Y$260</f>
        <v>67327.281570035877</v>
      </c>
      <c r="N260" s="100">
        <f>$K$260-EFEITO!$M$260*EFEITO!$Z$260</f>
        <v>0</v>
      </c>
      <c r="O260" s="100">
        <f>$L$260-EFEITO!$O$260*EFEITO!$AA$260</f>
        <v>0</v>
      </c>
      <c r="P260" s="17"/>
      <c r="Q260" s="17"/>
      <c r="R260" s="17"/>
      <c r="S260" s="17"/>
      <c r="T260" s="17"/>
      <c r="U260" s="17"/>
      <c r="V260" s="17"/>
      <c r="W260" s="17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91" t="s">
        <v>21</v>
      </c>
      <c r="B261" s="91" t="s">
        <v>38</v>
      </c>
      <c r="C261" s="91" t="s">
        <v>40</v>
      </c>
      <c r="D261" s="91" t="s">
        <v>37</v>
      </c>
      <c r="E261" s="91" t="s">
        <v>25</v>
      </c>
      <c r="F261" s="91" t="s">
        <v>57</v>
      </c>
      <c r="G261" s="91" t="s">
        <v>25</v>
      </c>
      <c r="H261" s="91" t="s">
        <v>25</v>
      </c>
      <c r="I261" s="99">
        <v>44562</v>
      </c>
      <c r="J261" s="100">
        <f ca="1">EFEITO!$J$261*EFEITO!$Y$261</f>
        <v>120176.29715289979</v>
      </c>
      <c r="K261" s="100">
        <f>EFEITO!$L$261*EFEITO!$Z$261</f>
        <v>0</v>
      </c>
      <c r="L261" s="100">
        <f>EFEITO!$N$261*EFEITO!$AA$261</f>
        <v>0</v>
      </c>
      <c r="M261" s="100">
        <f ca="1">$J$261-EFEITO!$K$261*EFEITO!$Y$261</f>
        <v>71360.685249391885</v>
      </c>
      <c r="N261" s="100">
        <f>$K$261-EFEITO!$M$261*EFEITO!$Z$261</f>
        <v>0</v>
      </c>
      <c r="O261" s="100">
        <f>$L$261-EFEITO!$O$261*EFEITO!$AA$261</f>
        <v>0</v>
      </c>
      <c r="P261" s="17"/>
      <c r="Q261" s="17"/>
      <c r="R261" s="17"/>
      <c r="S261" s="17"/>
      <c r="T261" s="17"/>
      <c r="U261" s="17"/>
      <c r="V261" s="17"/>
      <c r="W261" s="17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91" t="s">
        <v>21</v>
      </c>
      <c r="B262" s="91" t="s">
        <v>38</v>
      </c>
      <c r="C262" s="91" t="s">
        <v>40</v>
      </c>
      <c r="D262" s="91" t="s">
        <v>37</v>
      </c>
      <c r="E262" s="91" t="s">
        <v>25</v>
      </c>
      <c r="F262" s="91" t="s">
        <v>57</v>
      </c>
      <c r="G262" s="91" t="s">
        <v>25</v>
      </c>
      <c r="H262" s="91" t="s">
        <v>25</v>
      </c>
      <c r="I262" s="99">
        <v>44593</v>
      </c>
      <c r="J262" s="100">
        <f ca="1">EFEITO!$J$262*EFEITO!$Y$262</f>
        <v>118717.77319251062</v>
      </c>
      <c r="K262" s="100">
        <f>EFEITO!$L$262*EFEITO!$Z$262</f>
        <v>0</v>
      </c>
      <c r="L262" s="100">
        <f>EFEITO!$N$262*EFEITO!$AA$262</f>
        <v>0</v>
      </c>
      <c r="M262" s="100">
        <f ca="1">$J$262-EFEITO!$K$262*EFEITO!$Y$262</f>
        <v>68725.718901144399</v>
      </c>
      <c r="N262" s="100">
        <f>$K$262-EFEITO!$M$262*EFEITO!$Z$262</f>
        <v>0</v>
      </c>
      <c r="O262" s="100">
        <f>$L$262-EFEITO!$O$262*EFEITO!$AA$262</f>
        <v>0</v>
      </c>
      <c r="P262" s="17"/>
      <c r="Q262" s="17"/>
      <c r="R262" s="17"/>
      <c r="S262" s="17"/>
      <c r="T262" s="17"/>
      <c r="U262" s="17"/>
      <c r="V262" s="17"/>
      <c r="W262" s="17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91" t="s">
        <v>21</v>
      </c>
      <c r="B263" s="91" t="s">
        <v>38</v>
      </c>
      <c r="C263" s="91" t="s">
        <v>40</v>
      </c>
      <c r="D263" s="91" t="s">
        <v>37</v>
      </c>
      <c r="E263" s="91" t="s">
        <v>25</v>
      </c>
      <c r="F263" s="91" t="s">
        <v>57</v>
      </c>
      <c r="G263" s="91" t="s">
        <v>25</v>
      </c>
      <c r="H263" s="91" t="s">
        <v>25</v>
      </c>
      <c r="I263" s="99">
        <v>44621</v>
      </c>
      <c r="J263" s="100">
        <f ca="1">EFEITO!$J$263*EFEITO!$Y$263</f>
        <v>120009.17461577186</v>
      </c>
      <c r="K263" s="100">
        <f>EFEITO!$L$263*EFEITO!$Z$263</f>
        <v>0</v>
      </c>
      <c r="L263" s="100">
        <f>EFEITO!$N$263*EFEITO!$AA$263</f>
        <v>0</v>
      </c>
      <c r="M263" s="100">
        <f ca="1">$J$263-EFEITO!$K$263*EFEITO!$Y$263</f>
        <v>70001.351553379718</v>
      </c>
      <c r="N263" s="100">
        <f>$K$263-EFEITO!$M$263*EFEITO!$Z$263</f>
        <v>0</v>
      </c>
      <c r="O263" s="100">
        <f>$L$263-EFEITO!$O$263*EFEITO!$AA$263</f>
        <v>0</v>
      </c>
      <c r="P263" s="17"/>
      <c r="Q263" s="17"/>
      <c r="R263" s="17"/>
      <c r="S263" s="17"/>
      <c r="T263" s="17"/>
      <c r="U263" s="17"/>
      <c r="V263" s="17"/>
      <c r="W263" s="17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91" t="s">
        <v>21</v>
      </c>
      <c r="B264" s="91" t="s">
        <v>38</v>
      </c>
      <c r="C264" s="91" t="s">
        <v>40</v>
      </c>
      <c r="D264" s="91" t="s">
        <v>37</v>
      </c>
      <c r="E264" s="91" t="s">
        <v>25</v>
      </c>
      <c r="F264" s="91" t="s">
        <v>57</v>
      </c>
      <c r="G264" s="91" t="s">
        <v>25</v>
      </c>
      <c r="H264" s="91" t="s">
        <v>25</v>
      </c>
      <c r="I264" s="99">
        <v>44652</v>
      </c>
      <c r="J264" s="100">
        <f ca="1">EFEITO!$J$264*EFEITO!$Y$264</f>
        <v>120297.84081626555</v>
      </c>
      <c r="K264" s="100">
        <f>EFEITO!$L$264*EFEITO!$Z$264</f>
        <v>0</v>
      </c>
      <c r="L264" s="100">
        <f>EFEITO!$N$264*EFEITO!$AA$264</f>
        <v>0</v>
      </c>
      <c r="M264" s="100">
        <f ca="1">$J$264-EFEITO!$K$264*EFEITO!$Y$264</f>
        <v>70169.7305481277</v>
      </c>
      <c r="N264" s="100">
        <f>$K$264-EFEITO!$M$264*EFEITO!$Z$264</f>
        <v>0</v>
      </c>
      <c r="O264" s="100">
        <f>$L$264-EFEITO!$O$264*EFEITO!$AA$264</f>
        <v>0</v>
      </c>
      <c r="P264" s="17"/>
      <c r="Q264" s="17"/>
      <c r="R264" s="17"/>
      <c r="S264" s="17"/>
      <c r="T264" s="17"/>
      <c r="U264" s="17"/>
      <c r="V264" s="17"/>
      <c r="W264" s="17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91" t="s">
        <v>21</v>
      </c>
      <c r="B265" s="91" t="s">
        <v>38</v>
      </c>
      <c r="C265" s="91" t="s">
        <v>40</v>
      </c>
      <c r="D265" s="91" t="s">
        <v>37</v>
      </c>
      <c r="E265" s="91" t="s">
        <v>25</v>
      </c>
      <c r="F265" s="91" t="s">
        <v>57</v>
      </c>
      <c r="G265" s="91" t="s">
        <v>25</v>
      </c>
      <c r="H265" s="91" t="s">
        <v>25</v>
      </c>
      <c r="I265" s="99">
        <v>44682</v>
      </c>
      <c r="J265" s="100">
        <f ca="1">EFEITO!$J$265*EFEITO!$Y$265</f>
        <v>117259.24923212144</v>
      </c>
      <c r="K265" s="100">
        <f>EFEITO!$L$265*EFEITO!$Z$265</f>
        <v>0</v>
      </c>
      <c r="L265" s="100">
        <f>EFEITO!$N$265*EFEITO!$AA$265</f>
        <v>0</v>
      </c>
      <c r="M265" s="100">
        <f ca="1">$J$265-EFEITO!$K$265*EFEITO!$Y$265</f>
        <v>68397.320077096432</v>
      </c>
      <c r="N265" s="100">
        <f>$K$265-EFEITO!$M$265*EFEITO!$Z$265</f>
        <v>0</v>
      </c>
      <c r="O265" s="100">
        <f>$L$265-EFEITO!$O$265*EFEITO!$AA$265</f>
        <v>0</v>
      </c>
      <c r="P265" s="17"/>
      <c r="Q265" s="17"/>
      <c r="R265" s="17"/>
      <c r="S265" s="17"/>
      <c r="T265" s="17"/>
      <c r="U265" s="17"/>
      <c r="V265" s="17"/>
      <c r="W265" s="17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91" t="s">
        <v>56</v>
      </c>
      <c r="B266" s="91" t="s">
        <v>38</v>
      </c>
      <c r="C266" s="91" t="s">
        <v>40</v>
      </c>
      <c r="D266" s="91" t="s">
        <v>37</v>
      </c>
      <c r="E266" s="91" t="s">
        <v>25</v>
      </c>
      <c r="F266" s="91" t="s">
        <v>57</v>
      </c>
      <c r="G266" s="91" t="s">
        <v>25</v>
      </c>
      <c r="H266" s="91" t="s">
        <v>25</v>
      </c>
      <c r="I266" s="99">
        <v>44713</v>
      </c>
      <c r="J266" s="100">
        <f ca="1">EFEITO!$J$266*EFEITO!$Y$266</f>
        <v>117259.24923212144</v>
      </c>
      <c r="K266" s="100">
        <f>EFEITO!$L$266*EFEITO!$Z$266</f>
        <v>0</v>
      </c>
      <c r="L266" s="100">
        <f>EFEITO!$N$266*EFEITO!$AA$266</f>
        <v>0</v>
      </c>
      <c r="M266" s="100">
        <f ca="1">$J$266-EFEITO!$K$266*EFEITO!$Y$266</f>
        <v>68397.320077096432</v>
      </c>
      <c r="N266" s="100">
        <f>$K$266-EFEITO!$M$266*EFEITO!$Z$266</f>
        <v>0</v>
      </c>
      <c r="O266" s="100">
        <f>$L$266-EFEITO!$O$266*EFEITO!$AA$266</f>
        <v>0</v>
      </c>
      <c r="P266" s="17"/>
      <c r="Q266" s="17"/>
      <c r="R266" s="17"/>
      <c r="S266" s="17"/>
      <c r="T266" s="17"/>
      <c r="U266" s="17"/>
      <c r="V266" s="17"/>
      <c r="W266" s="17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91" t="s">
        <v>21</v>
      </c>
      <c r="B267" s="91" t="s">
        <v>38</v>
      </c>
      <c r="C267" s="91" t="s">
        <v>40</v>
      </c>
      <c r="D267" s="91" t="s">
        <v>37</v>
      </c>
      <c r="E267" s="91" t="s">
        <v>25</v>
      </c>
      <c r="F267" s="91" t="s">
        <v>57</v>
      </c>
      <c r="G267" s="91" t="s">
        <v>25</v>
      </c>
      <c r="H267" s="91" t="s">
        <v>33</v>
      </c>
      <c r="I267" s="99">
        <v>44378</v>
      </c>
      <c r="J267" s="100">
        <f>EFEITO!$J$267*EFEITO!$Y$267</f>
        <v>0</v>
      </c>
      <c r="K267" s="100">
        <f ca="1">EFEITO!$L$267*EFEITO!$Z$267</f>
        <v>235412.97011434735</v>
      </c>
      <c r="L267" s="100">
        <f>EFEITO!$N$267*EFEITO!$AA$267</f>
        <v>0</v>
      </c>
      <c r="M267" s="100">
        <f>$J$267-EFEITO!$K$267*EFEITO!$Y$267</f>
        <v>0</v>
      </c>
      <c r="N267" s="100">
        <f ca="1">$K$267-EFEITO!$M$267*EFEITO!$Z$267</f>
        <v>137316.3854676988</v>
      </c>
      <c r="O267" s="100">
        <f>$L$267-EFEITO!$O$267*EFEITO!$AA$267</f>
        <v>0</v>
      </c>
      <c r="P267" s="17"/>
      <c r="Q267" s="17"/>
      <c r="R267" s="17"/>
      <c r="S267" s="17"/>
      <c r="T267" s="17"/>
      <c r="U267" s="17"/>
      <c r="V267" s="17"/>
      <c r="W267" s="17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91" t="s">
        <v>21</v>
      </c>
      <c r="B268" s="91" t="s">
        <v>38</v>
      </c>
      <c r="C268" s="91" t="s">
        <v>40</v>
      </c>
      <c r="D268" s="91" t="s">
        <v>37</v>
      </c>
      <c r="E268" s="91" t="s">
        <v>25</v>
      </c>
      <c r="F268" s="91" t="s">
        <v>57</v>
      </c>
      <c r="G268" s="91" t="s">
        <v>25</v>
      </c>
      <c r="H268" s="91" t="s">
        <v>33</v>
      </c>
      <c r="I268" s="99">
        <v>44409</v>
      </c>
      <c r="J268" s="100">
        <f>EFEITO!$J$268*EFEITO!$Y$268</f>
        <v>0</v>
      </c>
      <c r="K268" s="100">
        <f ca="1">EFEITO!$L$268*EFEITO!$Z$268</f>
        <v>237459.62835972011</v>
      </c>
      <c r="L268" s="100">
        <f>EFEITO!$N$268*EFEITO!$AA$268</f>
        <v>0</v>
      </c>
      <c r="M268" s="100">
        <f>$J$268-EFEITO!$K$268*EFEITO!$Y$268</f>
        <v>0</v>
      </c>
      <c r="N268" s="100">
        <f ca="1">$K$268-EFEITO!$M$268*EFEITO!$Z$268</f>
        <v>138510.20122222474</v>
      </c>
      <c r="O268" s="100">
        <f>$L$268-EFEITO!$O$268*EFEITO!$AA$268</f>
        <v>0</v>
      </c>
      <c r="P268" s="17"/>
      <c r="Q268" s="17"/>
      <c r="R268" s="17"/>
      <c r="S268" s="17"/>
      <c r="T268" s="17"/>
      <c r="U268" s="17"/>
      <c r="V268" s="17"/>
      <c r="W268" s="17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91" t="s">
        <v>21</v>
      </c>
      <c r="B269" s="91" t="s">
        <v>38</v>
      </c>
      <c r="C269" s="91" t="s">
        <v>40</v>
      </c>
      <c r="D269" s="91" t="s">
        <v>37</v>
      </c>
      <c r="E269" s="91" t="s">
        <v>25</v>
      </c>
      <c r="F269" s="91" t="s">
        <v>57</v>
      </c>
      <c r="G269" s="91" t="s">
        <v>25</v>
      </c>
      <c r="H269" s="91" t="s">
        <v>33</v>
      </c>
      <c r="I269" s="99">
        <v>44440</v>
      </c>
      <c r="J269" s="100">
        <f>EFEITO!$J$269*EFEITO!$Y$269</f>
        <v>0</v>
      </c>
      <c r="K269" s="100">
        <f ca="1">EFEITO!$L$269*EFEITO!$Z$269</f>
        <v>222154.27751269637</v>
      </c>
      <c r="L269" s="100">
        <f>EFEITO!$N$269*EFEITO!$AA$269</f>
        <v>0</v>
      </c>
      <c r="M269" s="100">
        <f>$J$269-EFEITO!$K$269*EFEITO!$Y$269</f>
        <v>0</v>
      </c>
      <c r="N269" s="100">
        <f ca="1">$K$269-EFEITO!$M$269*EFEITO!$Z$269</f>
        <v>129582.59007315579</v>
      </c>
      <c r="O269" s="100">
        <f>$L$269-EFEITO!$O$269*EFEITO!$AA$269</f>
        <v>0</v>
      </c>
      <c r="P269" s="17"/>
      <c r="Q269" s="17"/>
      <c r="R269" s="17"/>
      <c r="S269" s="17"/>
      <c r="T269" s="17"/>
      <c r="U269" s="17"/>
      <c r="V269" s="17"/>
      <c r="W269" s="17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91" t="s">
        <v>21</v>
      </c>
      <c r="B270" s="91" t="s">
        <v>38</v>
      </c>
      <c r="C270" s="91" t="s">
        <v>40</v>
      </c>
      <c r="D270" s="91" t="s">
        <v>37</v>
      </c>
      <c r="E270" s="91" t="s">
        <v>25</v>
      </c>
      <c r="F270" s="91" t="s">
        <v>57</v>
      </c>
      <c r="G270" s="91" t="s">
        <v>25</v>
      </c>
      <c r="H270" s="91" t="s">
        <v>33</v>
      </c>
      <c r="I270" s="99">
        <v>44470</v>
      </c>
      <c r="J270" s="100">
        <f>EFEITO!$J$270*EFEITO!$Y$270</f>
        <v>0</v>
      </c>
      <c r="K270" s="100">
        <f ca="1">EFEITO!$L$270*EFEITO!$Z$270</f>
        <v>197655.617161392</v>
      </c>
      <c r="L270" s="100">
        <f>EFEITO!$N$270*EFEITO!$AA$270</f>
        <v>0</v>
      </c>
      <c r="M270" s="100">
        <f>$J$270-EFEITO!$K$270*EFEITO!$Y$270</f>
        <v>0</v>
      </c>
      <c r="N270" s="100">
        <f ca="1">$K$270-EFEITO!$M$270*EFEITO!$Z$270</f>
        <v>110449.95886978584</v>
      </c>
      <c r="O270" s="100">
        <f>$L$270-EFEITO!$O$270*EFEITO!$AA$270</f>
        <v>0</v>
      </c>
      <c r="P270" s="17"/>
      <c r="Q270" s="17"/>
      <c r="R270" s="17"/>
      <c r="S270" s="17"/>
      <c r="T270" s="17"/>
      <c r="U270" s="17"/>
      <c r="V270" s="17"/>
      <c r="W270" s="17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91" t="s">
        <v>21</v>
      </c>
      <c r="B271" s="91" t="s">
        <v>38</v>
      </c>
      <c r="C271" s="91" t="s">
        <v>40</v>
      </c>
      <c r="D271" s="91" t="s">
        <v>37</v>
      </c>
      <c r="E271" s="91" t="s">
        <v>25</v>
      </c>
      <c r="F271" s="91" t="s">
        <v>57</v>
      </c>
      <c r="G271" s="91" t="s">
        <v>25</v>
      </c>
      <c r="H271" s="91" t="s">
        <v>33</v>
      </c>
      <c r="I271" s="99">
        <v>44501</v>
      </c>
      <c r="J271" s="100">
        <f>EFEITO!$J$271*EFEITO!$Y$271</f>
        <v>0</v>
      </c>
      <c r="K271" s="100">
        <f ca="1">EFEITO!$L$271*EFEITO!$Z$271</f>
        <v>229998.18924469978</v>
      </c>
      <c r="L271" s="100">
        <f>EFEITO!$N$271*EFEITO!$AA$271</f>
        <v>0</v>
      </c>
      <c r="M271" s="100">
        <f>$J$271-EFEITO!$K$271*EFEITO!$Y$271</f>
        <v>0</v>
      </c>
      <c r="N271" s="100">
        <f ca="1">$K$271-EFEITO!$M$271*EFEITO!$Z$271</f>
        <v>143748.86827793738</v>
      </c>
      <c r="O271" s="100">
        <f>$L$271-EFEITO!$O$271*EFEITO!$AA$271</f>
        <v>0</v>
      </c>
      <c r="P271" s="17"/>
      <c r="Q271" s="17"/>
      <c r="R271" s="17"/>
      <c r="S271" s="17"/>
      <c r="T271" s="17"/>
      <c r="U271" s="17"/>
      <c r="V271" s="17"/>
      <c r="W271" s="17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91" t="s">
        <v>21</v>
      </c>
      <c r="B272" s="91" t="s">
        <v>38</v>
      </c>
      <c r="C272" s="91" t="s">
        <v>40</v>
      </c>
      <c r="D272" s="91" t="s">
        <v>37</v>
      </c>
      <c r="E272" s="91" t="s">
        <v>25</v>
      </c>
      <c r="F272" s="91" t="s">
        <v>57</v>
      </c>
      <c r="G272" s="91" t="s">
        <v>25</v>
      </c>
      <c r="H272" s="91" t="s">
        <v>33</v>
      </c>
      <c r="I272" s="99">
        <v>44531</v>
      </c>
      <c r="J272" s="100">
        <f>EFEITO!$J$272*EFEITO!$Y$272</f>
        <v>0</v>
      </c>
      <c r="K272" s="100">
        <f ca="1">EFEITO!$L$272*EFEITO!$Z$272</f>
        <v>229438.44701591277</v>
      </c>
      <c r="L272" s="100">
        <f>EFEITO!$N$272*EFEITO!$AA$272</f>
        <v>0</v>
      </c>
      <c r="M272" s="100">
        <f>$J$272-EFEITO!$K$272*EFEITO!$Y$272</f>
        <v>0</v>
      </c>
      <c r="N272" s="100">
        <f ca="1">$K$272-EFEITO!$M$272*EFEITO!$Z$272</f>
        <v>132821.91697751189</v>
      </c>
      <c r="O272" s="100">
        <f>$L$272-EFEITO!$O$272*EFEITO!$AA$272</f>
        <v>0</v>
      </c>
      <c r="P272" s="17"/>
      <c r="Q272" s="17"/>
      <c r="R272" s="17"/>
      <c r="S272" s="17"/>
      <c r="T272" s="17"/>
      <c r="U272" s="17"/>
      <c r="V272" s="17"/>
      <c r="W272" s="17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91" t="s">
        <v>21</v>
      </c>
      <c r="B273" s="91" t="s">
        <v>38</v>
      </c>
      <c r="C273" s="91" t="s">
        <v>40</v>
      </c>
      <c r="D273" s="91" t="s">
        <v>37</v>
      </c>
      <c r="E273" s="91" t="s">
        <v>25</v>
      </c>
      <c r="F273" s="91" t="s">
        <v>57</v>
      </c>
      <c r="G273" s="91" t="s">
        <v>25</v>
      </c>
      <c r="H273" s="91" t="s">
        <v>33</v>
      </c>
      <c r="I273" s="99">
        <v>44562</v>
      </c>
      <c r="J273" s="100">
        <f>EFEITO!$J$273*EFEITO!$Y$273</f>
        <v>0</v>
      </c>
      <c r="K273" s="100">
        <f ca="1">EFEITO!$L$273*EFEITO!$Z$273</f>
        <v>171541.11743946266</v>
      </c>
      <c r="L273" s="100">
        <f>EFEITO!$N$273*EFEITO!$AA$273</f>
        <v>0</v>
      </c>
      <c r="M273" s="100">
        <f>$J$273-EFEITO!$K$273*EFEITO!$Y$273</f>
        <v>0</v>
      </c>
      <c r="N273" s="100">
        <f ca="1">$K$273-EFEITO!$M$273*EFEITO!$Z$273</f>
        <v>101861.11553555293</v>
      </c>
      <c r="O273" s="100">
        <f>$L$273-EFEITO!$O$273*EFEITO!$AA$273</f>
        <v>0</v>
      </c>
      <c r="P273" s="17"/>
      <c r="Q273" s="17"/>
      <c r="R273" s="17"/>
      <c r="S273" s="17"/>
      <c r="T273" s="17"/>
      <c r="U273" s="17"/>
      <c r="V273" s="17"/>
      <c r="W273" s="17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91" t="s">
        <v>21</v>
      </c>
      <c r="B274" s="91" t="s">
        <v>38</v>
      </c>
      <c r="C274" s="91" t="s">
        <v>40</v>
      </c>
      <c r="D274" s="91" t="s">
        <v>37</v>
      </c>
      <c r="E274" s="91" t="s">
        <v>25</v>
      </c>
      <c r="F274" s="91" t="s">
        <v>57</v>
      </c>
      <c r="G274" s="91" t="s">
        <v>25</v>
      </c>
      <c r="H274" s="91" t="s">
        <v>33</v>
      </c>
      <c r="I274" s="99">
        <v>44593</v>
      </c>
      <c r="J274" s="100">
        <f>EFEITO!$J$274*EFEITO!$Y$274</f>
        <v>0</v>
      </c>
      <c r="K274" s="100">
        <f ca="1">EFEITO!$L$274*EFEITO!$Z$274</f>
        <v>240653.704456042</v>
      </c>
      <c r="L274" s="100">
        <f>EFEITO!$N$274*EFEITO!$AA$274</f>
        <v>0</v>
      </c>
      <c r="M274" s="100">
        <f>$J$274-EFEITO!$K$274*EFEITO!$Y$274</f>
        <v>0</v>
      </c>
      <c r="N274" s="100">
        <f ca="1">$K$274-EFEITO!$M$274*EFEITO!$Z$274</f>
        <v>139314.42950960272</v>
      </c>
      <c r="O274" s="100">
        <f>$L$274-EFEITO!$O$274*EFEITO!$AA$274</f>
        <v>0</v>
      </c>
      <c r="P274" s="17"/>
      <c r="Q274" s="17"/>
      <c r="R274" s="17"/>
      <c r="S274" s="17"/>
      <c r="T274" s="17"/>
      <c r="U274" s="17"/>
      <c r="V274" s="17"/>
      <c r="W274" s="17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91" t="s">
        <v>21</v>
      </c>
      <c r="B275" s="91" t="s">
        <v>38</v>
      </c>
      <c r="C275" s="91" t="s">
        <v>40</v>
      </c>
      <c r="D275" s="91" t="s">
        <v>37</v>
      </c>
      <c r="E275" s="91" t="s">
        <v>25</v>
      </c>
      <c r="F275" s="91" t="s">
        <v>57</v>
      </c>
      <c r="G275" s="91" t="s">
        <v>25</v>
      </c>
      <c r="H275" s="91" t="s">
        <v>33</v>
      </c>
      <c r="I275" s="99">
        <v>44621</v>
      </c>
      <c r="J275" s="100">
        <f>EFEITO!$J$275*EFEITO!$Y$275</f>
        <v>0</v>
      </c>
      <c r="K275" s="100">
        <f ca="1">EFEITO!$L$275*EFEITO!$Z$275</f>
        <v>282924.44916165399</v>
      </c>
      <c r="L275" s="100">
        <f>EFEITO!$N$275*EFEITO!$AA$275</f>
        <v>0</v>
      </c>
      <c r="M275" s="100">
        <f>$J$275-EFEITO!$K$275*EFEITO!$Y$275</f>
        <v>0</v>
      </c>
      <c r="N275" s="100">
        <f ca="1">$K$275-EFEITO!$M$275*EFEITO!$Z$275</f>
        <v>165029.83119599277</v>
      </c>
      <c r="O275" s="100">
        <f>$L$275-EFEITO!$O$275*EFEITO!$AA$275</f>
        <v>0</v>
      </c>
      <c r="P275" s="17"/>
      <c r="Q275" s="17"/>
      <c r="R275" s="17"/>
      <c r="S275" s="17"/>
      <c r="T275" s="17"/>
      <c r="U275" s="17"/>
      <c r="V275" s="17"/>
      <c r="W275" s="17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91" t="s">
        <v>21</v>
      </c>
      <c r="B276" s="91" t="s">
        <v>38</v>
      </c>
      <c r="C276" s="91" t="s">
        <v>40</v>
      </c>
      <c r="D276" s="91" t="s">
        <v>37</v>
      </c>
      <c r="E276" s="91" t="s">
        <v>25</v>
      </c>
      <c r="F276" s="91" t="s">
        <v>57</v>
      </c>
      <c r="G276" s="91" t="s">
        <v>25</v>
      </c>
      <c r="H276" s="91" t="s">
        <v>33</v>
      </c>
      <c r="I276" s="99">
        <v>44652</v>
      </c>
      <c r="J276" s="100">
        <f>EFEITO!$J$276*EFEITO!$Y$276</f>
        <v>0</v>
      </c>
      <c r="K276" s="100">
        <f ca="1">EFEITO!$L$276*EFEITO!$Z$276</f>
        <v>187125.80222023805</v>
      </c>
      <c r="L276" s="100">
        <f>EFEITO!$N$276*EFEITO!$AA$276</f>
        <v>0</v>
      </c>
      <c r="M276" s="100">
        <f>$J$276-EFEITO!$K$276*EFEITO!$Y$276</f>
        <v>0</v>
      </c>
      <c r="N276" s="100">
        <f ca="1">$K$276-EFEITO!$M$276*EFEITO!$Z$276</f>
        <v>109150.48043506486</v>
      </c>
      <c r="O276" s="100">
        <f>$L$276-EFEITO!$O$276*EFEITO!$AA$276</f>
        <v>0</v>
      </c>
      <c r="P276" s="17"/>
      <c r="Q276" s="17"/>
      <c r="R276" s="17"/>
      <c r="S276" s="17"/>
      <c r="T276" s="17"/>
      <c r="U276" s="17"/>
      <c r="V276" s="17"/>
      <c r="W276" s="17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91" t="s">
        <v>21</v>
      </c>
      <c r="B277" s="91" t="s">
        <v>38</v>
      </c>
      <c r="C277" s="91" t="s">
        <v>40</v>
      </c>
      <c r="D277" s="91" t="s">
        <v>37</v>
      </c>
      <c r="E277" s="91" t="s">
        <v>25</v>
      </c>
      <c r="F277" s="91" t="s">
        <v>57</v>
      </c>
      <c r="G277" s="91" t="s">
        <v>25</v>
      </c>
      <c r="H277" s="91" t="s">
        <v>33</v>
      </c>
      <c r="I277" s="99">
        <v>44682</v>
      </c>
      <c r="J277" s="100">
        <f>EFEITO!$J$277*EFEITO!$Y$277</f>
        <v>0</v>
      </c>
      <c r="K277" s="100">
        <f ca="1">EFEITO!$L$277*EFEITO!$Z$277</f>
        <v>262739.34936424549</v>
      </c>
      <c r="L277" s="100">
        <f>EFEITO!$N$277*EFEITO!$AA$277</f>
        <v>0</v>
      </c>
      <c r="M277" s="100">
        <f>$J$277-EFEITO!$K$277*EFEITO!$Y$277</f>
        <v>0</v>
      </c>
      <c r="N277" s="100">
        <f ca="1">$K$277-EFEITO!$M$277*EFEITO!$Z$277</f>
        <v>153255.86248416439</v>
      </c>
      <c r="O277" s="100">
        <f>$L$277-EFEITO!$O$277*EFEITO!$AA$277</f>
        <v>0</v>
      </c>
      <c r="P277" s="17"/>
      <c r="Q277" s="17"/>
      <c r="R277" s="17"/>
      <c r="S277" s="17"/>
      <c r="T277" s="17"/>
      <c r="U277" s="17"/>
      <c r="V277" s="17"/>
      <c r="W277" s="17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91" t="s">
        <v>56</v>
      </c>
      <c r="B278" s="91" t="s">
        <v>38</v>
      </c>
      <c r="C278" s="91" t="s">
        <v>40</v>
      </c>
      <c r="D278" s="91" t="s">
        <v>37</v>
      </c>
      <c r="E278" s="91" t="s">
        <v>25</v>
      </c>
      <c r="F278" s="91" t="s">
        <v>57</v>
      </c>
      <c r="G278" s="91" t="s">
        <v>25</v>
      </c>
      <c r="H278" s="91" t="s">
        <v>33</v>
      </c>
      <c r="I278" s="99">
        <v>44713</v>
      </c>
      <c r="J278" s="100">
        <f>EFEITO!$J$278*EFEITO!$Y$278</f>
        <v>0</v>
      </c>
      <c r="K278" s="100">
        <f ca="1">EFEITO!$L$278*EFEITO!$Z$278</f>
        <v>262739.34936424549</v>
      </c>
      <c r="L278" s="100">
        <f>EFEITO!$N$278*EFEITO!$AA$278</f>
        <v>0</v>
      </c>
      <c r="M278" s="100">
        <f>$J$278-EFEITO!$K$278*EFEITO!$Y$278</f>
        <v>0</v>
      </c>
      <c r="N278" s="100">
        <f ca="1">$K$278-EFEITO!$M$278*EFEITO!$Z$278</f>
        <v>153255.86248416439</v>
      </c>
      <c r="O278" s="100">
        <f>$L$278-EFEITO!$O$278*EFEITO!$AA$278</f>
        <v>0</v>
      </c>
      <c r="P278" s="17"/>
      <c r="Q278" s="17"/>
      <c r="R278" s="17"/>
      <c r="S278" s="17"/>
      <c r="T278" s="17"/>
      <c r="U278" s="17"/>
      <c r="V278" s="17"/>
      <c r="W278" s="17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91" t="s">
        <v>21</v>
      </c>
      <c r="B279" s="91" t="s">
        <v>38</v>
      </c>
      <c r="C279" s="91" t="s">
        <v>40</v>
      </c>
      <c r="D279" s="91" t="s">
        <v>37</v>
      </c>
      <c r="E279" s="91" t="s">
        <v>25</v>
      </c>
      <c r="F279" s="91" t="s">
        <v>25</v>
      </c>
      <c r="G279" s="91" t="s">
        <v>25</v>
      </c>
      <c r="H279" s="91" t="s">
        <v>34</v>
      </c>
      <c r="I279" s="99">
        <v>44378</v>
      </c>
      <c r="J279" s="100">
        <f>EFEITO!$J$279*EFEITO!$Y$279</f>
        <v>0</v>
      </c>
      <c r="K279" s="100">
        <f ca="1">EFEITO!$L$279*EFEITO!$Z$279</f>
        <v>70085.899337360723</v>
      </c>
      <c r="L279" s="100">
        <f>EFEITO!$N$279*EFEITO!$AA$279</f>
        <v>153406.58984540537</v>
      </c>
      <c r="M279" s="100">
        <f>$J$279-EFEITO!$K$279*EFEITO!$Y$279</f>
        <v>0</v>
      </c>
      <c r="N279" s="100">
        <f ca="1">$K$279-EFEITO!$M$279*EFEITO!$Z$279</f>
        <v>0</v>
      </c>
      <c r="O279" s="100">
        <f>$L$279-EFEITO!$O$279*EFEITO!$AA$279</f>
        <v>0</v>
      </c>
      <c r="P279" s="17"/>
      <c r="Q279" s="17"/>
      <c r="R279" s="17"/>
      <c r="S279" s="17"/>
      <c r="T279" s="17"/>
      <c r="U279" s="17"/>
      <c r="V279" s="17"/>
      <c r="W279" s="17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91" t="s">
        <v>21</v>
      </c>
      <c r="B280" s="91" t="s">
        <v>38</v>
      </c>
      <c r="C280" s="91" t="s">
        <v>40</v>
      </c>
      <c r="D280" s="91" t="s">
        <v>37</v>
      </c>
      <c r="E280" s="91" t="s">
        <v>25</v>
      </c>
      <c r="F280" s="91" t="s">
        <v>25</v>
      </c>
      <c r="G280" s="91" t="s">
        <v>25</v>
      </c>
      <c r="H280" s="91" t="s">
        <v>34</v>
      </c>
      <c r="I280" s="99">
        <v>44409</v>
      </c>
      <c r="J280" s="100">
        <f>EFEITO!$J$280*EFEITO!$Y$280</f>
        <v>0</v>
      </c>
      <c r="K280" s="100">
        <f ca="1">EFEITO!$L$280*EFEITO!$Z$280</f>
        <v>70232.045695379289</v>
      </c>
      <c r="L280" s="100">
        <f>EFEITO!$N$280*EFEITO!$AA$280</f>
        <v>153726.48035995863</v>
      </c>
      <c r="M280" s="100">
        <f>$J$280-EFEITO!$K$280*EFEITO!$Y$280</f>
        <v>0</v>
      </c>
      <c r="N280" s="100">
        <f ca="1">$K$280-EFEITO!$M$280*EFEITO!$Z$280</f>
        <v>0</v>
      </c>
      <c r="O280" s="100">
        <f>$L$280-EFEITO!$O$280*EFEITO!$AA$280</f>
        <v>0</v>
      </c>
      <c r="P280" s="17"/>
      <c r="Q280" s="17"/>
      <c r="R280" s="17"/>
      <c r="S280" s="17"/>
      <c r="T280" s="17"/>
      <c r="U280" s="17"/>
      <c r="V280" s="17"/>
      <c r="W280" s="17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91" t="s">
        <v>55</v>
      </c>
      <c r="B281" s="91" t="s">
        <v>38</v>
      </c>
      <c r="C281" s="91" t="s">
        <v>40</v>
      </c>
      <c r="D281" s="91" t="s">
        <v>37</v>
      </c>
      <c r="E281" s="91" t="s">
        <v>25</v>
      </c>
      <c r="F281" s="91" t="s">
        <v>25</v>
      </c>
      <c r="G281" s="91" t="s">
        <v>25</v>
      </c>
      <c r="H281" s="91" t="s">
        <v>34</v>
      </c>
      <c r="I281" s="99">
        <v>44409</v>
      </c>
      <c r="J281" s="100">
        <f>EFEITO!$J$281*EFEITO!$Y$281</f>
        <v>0</v>
      </c>
      <c r="K281" s="100">
        <f ca="1">EFEITO!$L$281*EFEITO!$Z$281</f>
        <v>20096.627790908227</v>
      </c>
      <c r="L281" s="100">
        <f>EFEITO!$N$281*EFEITO!$AA$281</f>
        <v>43988.236805747911</v>
      </c>
      <c r="M281" s="100">
        <f>$J$281-EFEITO!$K$281*EFEITO!$Y$281</f>
        <v>0</v>
      </c>
      <c r="N281" s="100">
        <f ca="1">$K$281-EFEITO!$M$281*EFEITO!$Z$281</f>
        <v>0</v>
      </c>
      <c r="O281" s="100">
        <f>$L$281-EFEITO!$O$281*EFEITO!$AA$281</f>
        <v>0</v>
      </c>
      <c r="P281" s="17"/>
      <c r="Q281" s="17"/>
      <c r="R281" s="17"/>
      <c r="S281" s="17"/>
      <c r="T281" s="17"/>
      <c r="U281" s="17"/>
      <c r="V281" s="17"/>
      <c r="W281" s="17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91" t="s">
        <v>21</v>
      </c>
      <c r="B282" s="91" t="s">
        <v>38</v>
      </c>
      <c r="C282" s="91" t="s">
        <v>40</v>
      </c>
      <c r="D282" s="91" t="s">
        <v>37</v>
      </c>
      <c r="E282" s="91" t="s">
        <v>25</v>
      </c>
      <c r="F282" s="91" t="s">
        <v>25</v>
      </c>
      <c r="G282" s="91" t="s">
        <v>25</v>
      </c>
      <c r="H282" s="91" t="s">
        <v>34</v>
      </c>
      <c r="I282" s="99">
        <v>44440</v>
      </c>
      <c r="J282" s="100">
        <f>EFEITO!$J$282*EFEITO!$Y$282</f>
        <v>0</v>
      </c>
      <c r="K282" s="100">
        <f ca="1">EFEITO!$L$282*EFEITO!$Z$282</f>
        <v>68728.482341278723</v>
      </c>
      <c r="L282" s="100">
        <f>EFEITO!$N$282*EFEITO!$AA$282</f>
        <v>150435.42568348488</v>
      </c>
      <c r="M282" s="100">
        <f>$J$282-EFEITO!$K$282*EFEITO!$Y$282</f>
        <v>0</v>
      </c>
      <c r="N282" s="100">
        <f ca="1">$K$282-EFEITO!$M$282*EFEITO!$Z$282</f>
        <v>0</v>
      </c>
      <c r="O282" s="100">
        <f>$L$282-EFEITO!$O$282*EFEITO!$AA$282</f>
        <v>0</v>
      </c>
      <c r="P282" s="17"/>
      <c r="Q282" s="17"/>
      <c r="R282" s="17"/>
      <c r="S282" s="17"/>
      <c r="T282" s="17"/>
      <c r="U282" s="17"/>
      <c r="V282" s="17"/>
      <c r="W282" s="17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91" t="s">
        <v>55</v>
      </c>
      <c r="B283" s="91" t="s">
        <v>38</v>
      </c>
      <c r="C283" s="91" t="s">
        <v>40</v>
      </c>
      <c r="D283" s="91" t="s">
        <v>37</v>
      </c>
      <c r="E283" s="91" t="s">
        <v>25</v>
      </c>
      <c r="F283" s="91" t="s">
        <v>25</v>
      </c>
      <c r="G283" s="91" t="s">
        <v>25</v>
      </c>
      <c r="H283" s="91" t="s">
        <v>34</v>
      </c>
      <c r="I283" s="99">
        <v>44440</v>
      </c>
      <c r="J283" s="100">
        <f>EFEITO!$J$283*EFEITO!$Y$283</f>
        <v>0</v>
      </c>
      <c r="K283" s="100">
        <f ca="1">EFEITO!$L$283*EFEITO!$Z$283</f>
        <v>19079.316825523783</v>
      </c>
      <c r="L283" s="100">
        <f>EFEITO!$N$283*EFEITO!$AA$283</f>
        <v>41761.509211645782</v>
      </c>
      <c r="M283" s="100">
        <f>$J$283-EFEITO!$K$283*EFEITO!$Y$283</f>
        <v>0</v>
      </c>
      <c r="N283" s="100">
        <f ca="1">$K$283-EFEITO!$M$283*EFEITO!$Z$283</f>
        <v>0</v>
      </c>
      <c r="O283" s="100">
        <f>$L$283-EFEITO!$O$283*EFEITO!$AA$283</f>
        <v>0</v>
      </c>
      <c r="P283" s="17"/>
      <c r="Q283" s="17"/>
      <c r="R283" s="17"/>
      <c r="S283" s="17"/>
      <c r="T283" s="17"/>
      <c r="U283" s="17"/>
      <c r="V283" s="17"/>
      <c r="W283" s="17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91" t="s">
        <v>21</v>
      </c>
      <c r="B284" s="91" t="s">
        <v>38</v>
      </c>
      <c r="C284" s="91" t="s">
        <v>40</v>
      </c>
      <c r="D284" s="91" t="s">
        <v>37</v>
      </c>
      <c r="E284" s="91" t="s">
        <v>25</v>
      </c>
      <c r="F284" s="91" t="s">
        <v>25</v>
      </c>
      <c r="G284" s="91" t="s">
        <v>25</v>
      </c>
      <c r="H284" s="91" t="s">
        <v>34</v>
      </c>
      <c r="I284" s="99">
        <v>44470</v>
      </c>
      <c r="J284" s="100">
        <f>EFEITO!$J$284*EFEITO!$Y$284</f>
        <v>0</v>
      </c>
      <c r="K284" s="100">
        <f ca="1">EFEITO!$L$284*EFEITO!$Z$284</f>
        <v>63195.870385973329</v>
      </c>
      <c r="L284" s="100">
        <f>EFEITO!$N$284*EFEITO!$AA$284</f>
        <v>138325.44149228706</v>
      </c>
      <c r="M284" s="100">
        <f>$J$284-EFEITO!$K$284*EFEITO!$Y$284</f>
        <v>0</v>
      </c>
      <c r="N284" s="100">
        <f ca="1">$K$284-EFEITO!$M$284*EFEITO!$Z$284</f>
        <v>0</v>
      </c>
      <c r="O284" s="100">
        <f>$L$284-EFEITO!$O$284*EFEITO!$AA$284</f>
        <v>0</v>
      </c>
      <c r="P284" s="17"/>
      <c r="Q284" s="17"/>
      <c r="R284" s="17"/>
      <c r="S284" s="17"/>
      <c r="T284" s="17"/>
      <c r="U284" s="17"/>
      <c r="V284" s="17"/>
      <c r="W284" s="17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91" t="s">
        <v>55</v>
      </c>
      <c r="B285" s="91" t="s">
        <v>38</v>
      </c>
      <c r="C285" s="91" t="s">
        <v>40</v>
      </c>
      <c r="D285" s="91" t="s">
        <v>37</v>
      </c>
      <c r="E285" s="91" t="s">
        <v>25</v>
      </c>
      <c r="F285" s="91" t="s">
        <v>25</v>
      </c>
      <c r="G285" s="91" t="s">
        <v>25</v>
      </c>
      <c r="H285" s="91" t="s">
        <v>34</v>
      </c>
      <c r="I285" s="99">
        <v>44470</v>
      </c>
      <c r="J285" s="100">
        <f>EFEITO!$J$285*EFEITO!$Y$285</f>
        <v>0</v>
      </c>
      <c r="K285" s="100">
        <f ca="1">EFEITO!$L$285*EFEITO!$Z$285</f>
        <v>19639.143581033892</v>
      </c>
      <c r="L285" s="100">
        <f>EFEITO!$N$285*EFEITO!$AA$285</f>
        <v>42986.878569519497</v>
      </c>
      <c r="M285" s="100">
        <f>$J$285-EFEITO!$K$285*EFEITO!$Y$285</f>
        <v>0</v>
      </c>
      <c r="N285" s="100">
        <f ca="1">$K$285-EFEITO!$M$285*EFEITO!$Z$285</f>
        <v>0</v>
      </c>
      <c r="O285" s="100">
        <f>$L$285-EFEITO!$O$285*EFEITO!$AA$285</f>
        <v>0</v>
      </c>
      <c r="P285" s="17"/>
      <c r="Q285" s="17"/>
      <c r="R285" s="17"/>
      <c r="S285" s="17"/>
      <c r="T285" s="17"/>
      <c r="U285" s="17"/>
      <c r="V285" s="17"/>
      <c r="W285" s="17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91" t="s">
        <v>21</v>
      </c>
      <c r="B286" s="91" t="s">
        <v>38</v>
      </c>
      <c r="C286" s="91" t="s">
        <v>40</v>
      </c>
      <c r="D286" s="91" t="s">
        <v>37</v>
      </c>
      <c r="E286" s="91" t="s">
        <v>25</v>
      </c>
      <c r="F286" s="91" t="s">
        <v>25</v>
      </c>
      <c r="G286" s="91" t="s">
        <v>25</v>
      </c>
      <c r="H286" s="91" t="s">
        <v>34</v>
      </c>
      <c r="I286" s="99">
        <v>44501</v>
      </c>
      <c r="J286" s="100">
        <f>EFEITO!$J$286*EFEITO!$Y$286</f>
        <v>0</v>
      </c>
      <c r="K286" s="100">
        <f ca="1">EFEITO!$L$286*EFEITO!$Z$286</f>
        <v>64905.121206914861</v>
      </c>
      <c r="L286" s="100">
        <f>EFEITO!$N$286*EFEITO!$AA$286</f>
        <v>142066.7124485024</v>
      </c>
      <c r="M286" s="100">
        <f>$J$286-EFEITO!$K$286*EFEITO!$Y$286</f>
        <v>0</v>
      </c>
      <c r="N286" s="100">
        <f ca="1">$K$286-EFEITO!$M$286*EFEITO!$Z$286</f>
        <v>0</v>
      </c>
      <c r="O286" s="100">
        <f>$L$286-EFEITO!$O$286*EFEITO!$AA$286</f>
        <v>0</v>
      </c>
      <c r="P286" s="17"/>
      <c r="Q286" s="17"/>
      <c r="R286" s="17"/>
      <c r="S286" s="17"/>
      <c r="T286" s="17"/>
      <c r="U286" s="17"/>
      <c r="V286" s="17"/>
      <c r="W286" s="17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91" t="s">
        <v>55</v>
      </c>
      <c r="B287" s="91" t="s">
        <v>38</v>
      </c>
      <c r="C287" s="91" t="s">
        <v>40</v>
      </c>
      <c r="D287" s="91" t="s">
        <v>37</v>
      </c>
      <c r="E287" s="91" t="s">
        <v>25</v>
      </c>
      <c r="F287" s="91" t="s">
        <v>25</v>
      </c>
      <c r="G287" s="91" t="s">
        <v>25</v>
      </c>
      <c r="H287" s="91" t="s">
        <v>34</v>
      </c>
      <c r="I287" s="99">
        <v>44501</v>
      </c>
      <c r="J287" s="100">
        <f>EFEITO!$J$287*EFEITO!$Y$287</f>
        <v>0</v>
      </c>
      <c r="K287" s="100">
        <f ca="1">EFEITO!$L$287*EFEITO!$Z$287</f>
        <v>19367.199089055572</v>
      </c>
      <c r="L287" s="100">
        <f>EFEITO!$N$287*EFEITO!$AA$287</f>
        <v>42391.636480367953</v>
      </c>
      <c r="M287" s="100">
        <f>$J$287-EFEITO!$K$287*EFEITO!$Y$287</f>
        <v>0</v>
      </c>
      <c r="N287" s="100">
        <f ca="1">$K$287-EFEITO!$M$287*EFEITO!$Z$287</f>
        <v>0</v>
      </c>
      <c r="O287" s="100">
        <f>$L$287-EFEITO!$O$287*EFEITO!$AA$287</f>
        <v>0</v>
      </c>
      <c r="P287" s="17"/>
      <c r="Q287" s="17"/>
      <c r="R287" s="17"/>
      <c r="S287" s="17"/>
      <c r="T287" s="17"/>
      <c r="U287" s="17"/>
      <c r="V287" s="17"/>
      <c r="W287" s="17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91" t="s">
        <v>21</v>
      </c>
      <c r="B288" s="91" t="s">
        <v>38</v>
      </c>
      <c r="C288" s="91" t="s">
        <v>40</v>
      </c>
      <c r="D288" s="91" t="s">
        <v>37</v>
      </c>
      <c r="E288" s="91" t="s">
        <v>25</v>
      </c>
      <c r="F288" s="91" t="s">
        <v>25</v>
      </c>
      <c r="G288" s="91" t="s">
        <v>25</v>
      </c>
      <c r="H288" s="91" t="s">
        <v>34</v>
      </c>
      <c r="I288" s="99">
        <v>44531</v>
      </c>
      <c r="J288" s="100">
        <f>EFEITO!$J$288*EFEITO!$Y$288</f>
        <v>0</v>
      </c>
      <c r="K288" s="100">
        <f ca="1">EFEITO!$L$288*EFEITO!$Z$288</f>
        <v>55572.503468012612</v>
      </c>
      <c r="L288" s="100">
        <f>EFEITO!$N$288*EFEITO!$AA$288</f>
        <v>121639.13607162994</v>
      </c>
      <c r="M288" s="100">
        <f>$J$288-EFEITO!$K$288*EFEITO!$Y$288</f>
        <v>0</v>
      </c>
      <c r="N288" s="100">
        <f ca="1">$K$288-EFEITO!$M$288*EFEITO!$Z$288</f>
        <v>0</v>
      </c>
      <c r="O288" s="100">
        <f>$L$288-EFEITO!$O$288*EFEITO!$AA$288</f>
        <v>0</v>
      </c>
      <c r="P288" s="17"/>
      <c r="Q288" s="17"/>
      <c r="R288" s="17"/>
      <c r="S288" s="17"/>
      <c r="T288" s="17"/>
      <c r="U288" s="17"/>
      <c r="V288" s="17"/>
      <c r="W288" s="17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91" t="s">
        <v>55</v>
      </c>
      <c r="B289" s="91" t="s">
        <v>38</v>
      </c>
      <c r="C289" s="91" t="s">
        <v>40</v>
      </c>
      <c r="D289" s="91" t="s">
        <v>37</v>
      </c>
      <c r="E289" s="91" t="s">
        <v>25</v>
      </c>
      <c r="F289" s="91" t="s">
        <v>25</v>
      </c>
      <c r="G289" s="91" t="s">
        <v>25</v>
      </c>
      <c r="H289" s="91" t="s">
        <v>34</v>
      </c>
      <c r="I289" s="99">
        <v>44531</v>
      </c>
      <c r="J289" s="100">
        <f>EFEITO!$J$289*EFEITO!$Y$289</f>
        <v>0</v>
      </c>
      <c r="K289" s="100">
        <f ca="1">EFEITO!$L$289*EFEITO!$Z$289</f>
        <v>18885.858340629507</v>
      </c>
      <c r="L289" s="100">
        <f>EFEITO!$N$289*EFEITO!$AA$289</f>
        <v>41338.060176606159</v>
      </c>
      <c r="M289" s="100">
        <f>$J$289-EFEITO!$K$289*EFEITO!$Y$289</f>
        <v>0</v>
      </c>
      <c r="N289" s="100">
        <f ca="1">$K$289-EFEITO!$M$289*EFEITO!$Z$289</f>
        <v>0</v>
      </c>
      <c r="O289" s="100">
        <f>$L$289-EFEITO!$O$289*EFEITO!$AA$289</f>
        <v>0</v>
      </c>
      <c r="P289" s="17"/>
      <c r="Q289" s="17"/>
      <c r="R289" s="17"/>
      <c r="S289" s="17"/>
      <c r="T289" s="17"/>
      <c r="U289" s="17"/>
      <c r="V289" s="17"/>
      <c r="W289" s="17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91" t="s">
        <v>21</v>
      </c>
      <c r="B290" s="91" t="s">
        <v>38</v>
      </c>
      <c r="C290" s="91" t="s">
        <v>40</v>
      </c>
      <c r="D290" s="91" t="s">
        <v>37</v>
      </c>
      <c r="E290" s="91" t="s">
        <v>25</v>
      </c>
      <c r="F290" s="91" t="s">
        <v>25</v>
      </c>
      <c r="G290" s="91" t="s">
        <v>25</v>
      </c>
      <c r="H290" s="91" t="s">
        <v>34</v>
      </c>
      <c r="I290" s="99">
        <v>44562</v>
      </c>
      <c r="J290" s="100">
        <f>EFEITO!$J$290*EFEITO!$Y$290</f>
        <v>0</v>
      </c>
      <c r="K290" s="100">
        <f ca="1">EFEITO!$L$290*EFEITO!$Z$290</f>
        <v>59048.74194269313</v>
      </c>
      <c r="L290" s="100">
        <f>EFEITO!$N$290*EFEITO!$AA$290</f>
        <v>129248.0544836372</v>
      </c>
      <c r="M290" s="100">
        <f>$J$290-EFEITO!$K$290*EFEITO!$Y$290</f>
        <v>0</v>
      </c>
      <c r="N290" s="100">
        <f ca="1">$K$290-EFEITO!$M$290*EFEITO!$Z$290</f>
        <v>0</v>
      </c>
      <c r="O290" s="100">
        <f>$L$290-EFEITO!$O$290*EFEITO!$AA$290</f>
        <v>0</v>
      </c>
      <c r="P290" s="17"/>
      <c r="Q290" s="17"/>
      <c r="R290" s="17"/>
      <c r="S290" s="17"/>
      <c r="T290" s="17"/>
      <c r="U290" s="17"/>
      <c r="V290" s="17"/>
      <c r="W290" s="17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91" t="s">
        <v>55</v>
      </c>
      <c r="B291" s="91" t="s">
        <v>38</v>
      </c>
      <c r="C291" s="91" t="s">
        <v>40</v>
      </c>
      <c r="D291" s="91" t="s">
        <v>37</v>
      </c>
      <c r="E291" s="91" t="s">
        <v>25</v>
      </c>
      <c r="F291" s="91" t="s">
        <v>25</v>
      </c>
      <c r="G291" s="91" t="s">
        <v>25</v>
      </c>
      <c r="H291" s="91" t="s">
        <v>34</v>
      </c>
      <c r="I291" s="99">
        <v>44562</v>
      </c>
      <c r="J291" s="100">
        <f>EFEITO!$J$291*EFEITO!$Y$291</f>
        <v>0</v>
      </c>
      <c r="K291" s="100">
        <f ca="1">EFEITO!$L$291*EFEITO!$Z$291</f>
        <v>17968.784932185099</v>
      </c>
      <c r="L291" s="100">
        <f>EFEITO!$N$291*EFEITO!$AA$291</f>
        <v>39330.736227602283</v>
      </c>
      <c r="M291" s="100">
        <f>$J$291-EFEITO!$K$291*EFEITO!$Y$291</f>
        <v>0</v>
      </c>
      <c r="N291" s="100">
        <f ca="1">$K$291-EFEITO!$M$291*EFEITO!$Z$291</f>
        <v>0</v>
      </c>
      <c r="O291" s="100">
        <f>$L$291-EFEITO!$O$291*EFEITO!$AA$291</f>
        <v>0</v>
      </c>
      <c r="P291" s="17"/>
      <c r="Q291" s="17"/>
      <c r="R291" s="17"/>
      <c r="S291" s="17"/>
      <c r="T291" s="17"/>
      <c r="U291" s="17"/>
      <c r="V291" s="17"/>
      <c r="W291" s="17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91" t="s">
        <v>21</v>
      </c>
      <c r="B292" s="91" t="s">
        <v>38</v>
      </c>
      <c r="C292" s="91" t="s">
        <v>40</v>
      </c>
      <c r="D292" s="91" t="s">
        <v>37</v>
      </c>
      <c r="E292" s="91" t="s">
        <v>25</v>
      </c>
      <c r="F292" s="91" t="s">
        <v>25</v>
      </c>
      <c r="G292" s="91" t="s">
        <v>25</v>
      </c>
      <c r="H292" s="91" t="s">
        <v>34</v>
      </c>
      <c r="I292" s="99">
        <v>44593</v>
      </c>
      <c r="J292" s="100">
        <f>EFEITO!$J$292*EFEITO!$Y$292</f>
        <v>0</v>
      </c>
      <c r="K292" s="100">
        <f ca="1">EFEITO!$L$292*EFEITO!$Z$292</f>
        <v>35789.418755212821</v>
      </c>
      <c r="L292" s="100">
        <f>EFEITO!$N$292*EFEITO!$AA$292</f>
        <v>78337.193867749345</v>
      </c>
      <c r="M292" s="100">
        <f>$J$292-EFEITO!$K$292*EFEITO!$Y$292</f>
        <v>0</v>
      </c>
      <c r="N292" s="100">
        <f ca="1">$K$292-EFEITO!$M$292*EFEITO!$Z$292</f>
        <v>0</v>
      </c>
      <c r="O292" s="100">
        <f>$L$292-EFEITO!$O$292*EFEITO!$AA$292</f>
        <v>0</v>
      </c>
      <c r="P292" s="17"/>
      <c r="Q292" s="17"/>
      <c r="R292" s="17"/>
      <c r="S292" s="17"/>
      <c r="T292" s="17"/>
      <c r="U292" s="17"/>
      <c r="V292" s="17"/>
      <c r="W292" s="17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91" t="s">
        <v>55</v>
      </c>
      <c r="B293" s="91" t="s">
        <v>38</v>
      </c>
      <c r="C293" s="91" t="s">
        <v>40</v>
      </c>
      <c r="D293" s="91" t="s">
        <v>37</v>
      </c>
      <c r="E293" s="91" t="s">
        <v>25</v>
      </c>
      <c r="F293" s="91" t="s">
        <v>25</v>
      </c>
      <c r="G293" s="91" t="s">
        <v>25</v>
      </c>
      <c r="H293" s="91" t="s">
        <v>34</v>
      </c>
      <c r="I293" s="99">
        <v>44593</v>
      </c>
      <c r="J293" s="100">
        <f>EFEITO!$J$293*EFEITO!$Y$293</f>
        <v>0</v>
      </c>
      <c r="K293" s="100">
        <f ca="1">EFEITO!$L$293*EFEITO!$Z$293</f>
        <v>40544.588218891287</v>
      </c>
      <c r="L293" s="100">
        <f>EFEITO!$N$293*EFEITO!$AA$293</f>
        <v>88745.483387565182</v>
      </c>
      <c r="M293" s="100">
        <f>$J$293-EFEITO!$K$293*EFEITO!$Y$293</f>
        <v>0</v>
      </c>
      <c r="N293" s="100">
        <f ca="1">$K$293-EFEITO!$M$293*EFEITO!$Z$293</f>
        <v>0</v>
      </c>
      <c r="O293" s="100">
        <f>$L$293-EFEITO!$O$293*EFEITO!$AA$293</f>
        <v>0</v>
      </c>
      <c r="P293" s="17"/>
      <c r="Q293" s="17"/>
      <c r="R293" s="17"/>
      <c r="S293" s="17"/>
      <c r="T293" s="17"/>
      <c r="U293" s="17"/>
      <c r="V293" s="17"/>
      <c r="W293" s="17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91" t="s">
        <v>21</v>
      </c>
      <c r="B294" s="91" t="s">
        <v>38</v>
      </c>
      <c r="C294" s="91" t="s">
        <v>40</v>
      </c>
      <c r="D294" s="91" t="s">
        <v>37</v>
      </c>
      <c r="E294" s="91" t="s">
        <v>25</v>
      </c>
      <c r="F294" s="91" t="s">
        <v>25</v>
      </c>
      <c r="G294" s="91" t="s">
        <v>25</v>
      </c>
      <c r="H294" s="91" t="s">
        <v>34</v>
      </c>
      <c r="I294" s="99">
        <v>44621</v>
      </c>
      <c r="J294" s="100">
        <f>EFEITO!$J$294*EFEITO!$Y$294</f>
        <v>0</v>
      </c>
      <c r="K294" s="100">
        <f ca="1">EFEITO!$L$294*EFEITO!$Z$294</f>
        <v>42930.94373696277</v>
      </c>
      <c r="L294" s="100">
        <f>EFEITO!$N$294*EFEITO!$AA$294</f>
        <v>93968.825966419186</v>
      </c>
      <c r="M294" s="100">
        <f>$J$294-EFEITO!$K$294*EFEITO!$Y$294</f>
        <v>0</v>
      </c>
      <c r="N294" s="100">
        <f ca="1">$K$294-EFEITO!$M$294*EFEITO!$Z$294</f>
        <v>0</v>
      </c>
      <c r="O294" s="100">
        <f>$L$294-EFEITO!$O$294*EFEITO!$AA$294</f>
        <v>0</v>
      </c>
      <c r="P294" s="17"/>
      <c r="Q294" s="17"/>
      <c r="R294" s="17"/>
      <c r="S294" s="17"/>
      <c r="T294" s="17"/>
      <c r="U294" s="17"/>
      <c r="V294" s="17"/>
      <c r="W294" s="17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91" t="s">
        <v>55</v>
      </c>
      <c r="B295" s="91" t="s">
        <v>38</v>
      </c>
      <c r="C295" s="91" t="s">
        <v>40</v>
      </c>
      <c r="D295" s="91" t="s">
        <v>37</v>
      </c>
      <c r="E295" s="91" t="s">
        <v>25</v>
      </c>
      <c r="F295" s="91" t="s">
        <v>25</v>
      </c>
      <c r="G295" s="91" t="s">
        <v>25</v>
      </c>
      <c r="H295" s="91" t="s">
        <v>34</v>
      </c>
      <c r="I295" s="99">
        <v>44621</v>
      </c>
      <c r="J295" s="100">
        <f>EFEITO!$J$295*EFEITO!$Y$295</f>
        <v>0</v>
      </c>
      <c r="K295" s="100">
        <f ca="1">EFEITO!$L$295*EFEITO!$Z$295</f>
        <v>28021.008092359876</v>
      </c>
      <c r="L295" s="100">
        <f>EFEITO!$N$295*EFEITO!$AA$295</f>
        <v>61333.411372635062</v>
      </c>
      <c r="M295" s="100">
        <f>$J$295-EFEITO!$K$295*EFEITO!$Y$295</f>
        <v>0</v>
      </c>
      <c r="N295" s="100">
        <f ca="1">$K$295-EFEITO!$M$295*EFEITO!$Z$295</f>
        <v>0</v>
      </c>
      <c r="O295" s="100">
        <f>$L$295-EFEITO!$O$295*EFEITO!$AA$295</f>
        <v>0</v>
      </c>
      <c r="P295" s="17"/>
      <c r="Q295" s="17"/>
      <c r="R295" s="17"/>
      <c r="S295" s="17"/>
      <c r="T295" s="17"/>
      <c r="U295" s="17"/>
      <c r="V295" s="17"/>
      <c r="W295" s="17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91" t="s">
        <v>21</v>
      </c>
      <c r="B296" s="91" t="s">
        <v>38</v>
      </c>
      <c r="C296" s="91" t="s">
        <v>40</v>
      </c>
      <c r="D296" s="91" t="s">
        <v>37</v>
      </c>
      <c r="E296" s="91" t="s">
        <v>25</v>
      </c>
      <c r="F296" s="91" t="s">
        <v>25</v>
      </c>
      <c r="G296" s="91" t="s">
        <v>25</v>
      </c>
      <c r="H296" s="91" t="s">
        <v>34</v>
      </c>
      <c r="I296" s="99">
        <v>44652</v>
      </c>
      <c r="J296" s="100">
        <f>EFEITO!$J$296*EFEITO!$Y$296</f>
        <v>0</v>
      </c>
      <c r="K296" s="100">
        <f ca="1">EFEITO!$L$296*EFEITO!$Z$296</f>
        <v>37045.395343671502</v>
      </c>
      <c r="L296" s="100">
        <f>EFEITO!$N$296*EFEITO!$AA$296</f>
        <v>81086.32154083041</v>
      </c>
      <c r="M296" s="100">
        <f>$J$296-EFEITO!$K$296*EFEITO!$Y$296</f>
        <v>0</v>
      </c>
      <c r="N296" s="100">
        <f ca="1">$K$296-EFEITO!$M$296*EFEITO!$Z$296</f>
        <v>0</v>
      </c>
      <c r="O296" s="100">
        <f>$L$296-EFEITO!$O$296*EFEITO!$AA$296</f>
        <v>0</v>
      </c>
      <c r="P296" s="17"/>
      <c r="Q296" s="17"/>
      <c r="R296" s="17"/>
      <c r="S296" s="17"/>
      <c r="T296" s="17"/>
      <c r="U296" s="17"/>
      <c r="V296" s="17"/>
      <c r="W296" s="17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91" t="s">
        <v>55</v>
      </c>
      <c r="B297" s="91" t="s">
        <v>38</v>
      </c>
      <c r="C297" s="91" t="s">
        <v>40</v>
      </c>
      <c r="D297" s="91" t="s">
        <v>37</v>
      </c>
      <c r="E297" s="91" t="s">
        <v>25</v>
      </c>
      <c r="F297" s="91" t="s">
        <v>25</v>
      </c>
      <c r="G297" s="91" t="s">
        <v>25</v>
      </c>
      <c r="H297" s="91" t="s">
        <v>34</v>
      </c>
      <c r="I297" s="99">
        <v>44652</v>
      </c>
      <c r="J297" s="100">
        <f>EFEITO!$J$297*EFEITO!$Y$297</f>
        <v>0</v>
      </c>
      <c r="K297" s="100">
        <f ca="1">EFEITO!$L$297*EFEITO!$Z$297</f>
        <v>18514.578429723606</v>
      </c>
      <c r="L297" s="100">
        <f>EFEITO!$N$297*EFEITO!$AA$297</f>
        <v>40525.389075162246</v>
      </c>
      <c r="M297" s="100">
        <f>$J$297-EFEITO!$K$297*EFEITO!$Y$297</f>
        <v>0</v>
      </c>
      <c r="N297" s="100">
        <f ca="1">$K$297-EFEITO!$M$297*EFEITO!$Z$297</f>
        <v>0</v>
      </c>
      <c r="O297" s="100">
        <f>$L$297-EFEITO!$O$297*EFEITO!$AA$297</f>
        <v>0</v>
      </c>
      <c r="P297" s="17"/>
      <c r="Q297" s="17"/>
      <c r="R297" s="17"/>
      <c r="S297" s="17"/>
      <c r="T297" s="17"/>
      <c r="U297" s="17"/>
      <c r="V297" s="17"/>
      <c r="W297" s="17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91" t="s">
        <v>21</v>
      </c>
      <c r="B298" s="91" t="s">
        <v>38</v>
      </c>
      <c r="C298" s="91" t="s">
        <v>40</v>
      </c>
      <c r="D298" s="91" t="s">
        <v>37</v>
      </c>
      <c r="E298" s="91" t="s">
        <v>25</v>
      </c>
      <c r="F298" s="91" t="s">
        <v>25</v>
      </c>
      <c r="G298" s="91" t="s">
        <v>25</v>
      </c>
      <c r="H298" s="91" t="s">
        <v>34</v>
      </c>
      <c r="I298" s="99">
        <v>44682</v>
      </c>
      <c r="J298" s="100">
        <f>EFEITO!$J$298*EFEITO!$Y$298</f>
        <v>0</v>
      </c>
      <c r="K298" s="100">
        <f ca="1">EFEITO!$L$298*EFEITO!$Z$298</f>
        <v>33969.50567140949</v>
      </c>
      <c r="L298" s="100">
        <f>EFEITO!$N$298*EFEITO!$AA$298</f>
        <v>74353.701287345539</v>
      </c>
      <c r="M298" s="100">
        <f>$J$298-EFEITO!$K$298*EFEITO!$Y$298</f>
        <v>0</v>
      </c>
      <c r="N298" s="100">
        <f ca="1">$K$298-EFEITO!$M$298*EFEITO!$Z$298</f>
        <v>0</v>
      </c>
      <c r="O298" s="100">
        <f>$L$298-EFEITO!$O$298*EFEITO!$AA$298</f>
        <v>0</v>
      </c>
      <c r="P298" s="17"/>
      <c r="Q298" s="17"/>
      <c r="R298" s="17"/>
      <c r="S298" s="17"/>
      <c r="T298" s="17"/>
      <c r="U298" s="17"/>
      <c r="V298" s="17"/>
      <c r="W298" s="17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91" t="s">
        <v>55</v>
      </c>
      <c r="B299" s="91" t="s">
        <v>38</v>
      </c>
      <c r="C299" s="91" t="s">
        <v>40</v>
      </c>
      <c r="D299" s="91" t="s">
        <v>37</v>
      </c>
      <c r="E299" s="91" t="s">
        <v>25</v>
      </c>
      <c r="F299" s="91" t="s">
        <v>25</v>
      </c>
      <c r="G299" s="91" t="s">
        <v>25</v>
      </c>
      <c r="H299" s="91" t="s">
        <v>34</v>
      </c>
      <c r="I299" s="99">
        <v>44682</v>
      </c>
      <c r="J299" s="100">
        <f>EFEITO!$J$299*EFEITO!$Y$299</f>
        <v>0</v>
      </c>
      <c r="K299" s="100">
        <f ca="1">EFEITO!$L$299*EFEITO!$Z$299</f>
        <v>31047.179936379624</v>
      </c>
      <c r="L299" s="100">
        <f>EFEITO!$N$299*EFEITO!$AA$299</f>
        <v>67957.2074181512</v>
      </c>
      <c r="M299" s="100">
        <f>$J$299-EFEITO!$K$299*EFEITO!$Y$299</f>
        <v>0</v>
      </c>
      <c r="N299" s="100">
        <f ca="1">$K$299-EFEITO!$M$299*EFEITO!$Z$299</f>
        <v>0</v>
      </c>
      <c r="O299" s="100">
        <f>$L$299-EFEITO!$O$299*EFEITO!$AA$299</f>
        <v>0</v>
      </c>
      <c r="P299" s="17"/>
      <c r="Q299" s="17"/>
      <c r="R299" s="17"/>
      <c r="S299" s="17"/>
      <c r="T299" s="17"/>
      <c r="U299" s="17"/>
      <c r="V299" s="17"/>
      <c r="W299" s="17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91" t="s">
        <v>56</v>
      </c>
      <c r="B300" s="91" t="s">
        <v>38</v>
      </c>
      <c r="C300" s="91" t="s">
        <v>40</v>
      </c>
      <c r="D300" s="91" t="s">
        <v>37</v>
      </c>
      <c r="E300" s="91" t="s">
        <v>25</v>
      </c>
      <c r="F300" s="91" t="s">
        <v>25</v>
      </c>
      <c r="G300" s="91" t="s">
        <v>25</v>
      </c>
      <c r="H300" s="91" t="s">
        <v>34</v>
      </c>
      <c r="I300" s="99">
        <v>44713</v>
      </c>
      <c r="J300" s="100">
        <f>EFEITO!$J$300*EFEITO!$Y$300</f>
        <v>0</v>
      </c>
      <c r="K300" s="100">
        <f ca="1">EFEITO!$L$300*EFEITO!$Z$300</f>
        <v>33969.50567140949</v>
      </c>
      <c r="L300" s="100">
        <f>EFEITO!$N$300*EFEITO!$AA$300</f>
        <v>74353.701287345539</v>
      </c>
      <c r="M300" s="100">
        <f>$J$300-EFEITO!$K$300*EFEITO!$Y$300</f>
        <v>0</v>
      </c>
      <c r="N300" s="100">
        <f ca="1">$K$300-EFEITO!$M$300*EFEITO!$Z$300</f>
        <v>0</v>
      </c>
      <c r="O300" s="100">
        <f>$L$300-EFEITO!$O$300*EFEITO!$AA$300</f>
        <v>0</v>
      </c>
      <c r="P300" s="17"/>
      <c r="Q300" s="17"/>
      <c r="R300" s="17"/>
      <c r="S300" s="17"/>
      <c r="T300" s="17"/>
      <c r="U300" s="17"/>
      <c r="V300" s="17"/>
      <c r="W300" s="17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91" t="s">
        <v>56</v>
      </c>
      <c r="B301" s="91" t="s">
        <v>38</v>
      </c>
      <c r="C301" s="91" t="s">
        <v>40</v>
      </c>
      <c r="D301" s="91" t="s">
        <v>37</v>
      </c>
      <c r="E301" s="91" t="s">
        <v>25</v>
      </c>
      <c r="F301" s="91" t="s">
        <v>25</v>
      </c>
      <c r="G301" s="91" t="s">
        <v>25</v>
      </c>
      <c r="H301" s="91" t="s">
        <v>34</v>
      </c>
      <c r="I301" s="99">
        <v>44713</v>
      </c>
      <c r="J301" s="100">
        <f>EFEITO!$J$301*EFEITO!$Y$301</f>
        <v>0</v>
      </c>
      <c r="K301" s="100">
        <f ca="1">EFEITO!$L$301*EFEITO!$Z$301</f>
        <v>31047.179936379624</v>
      </c>
      <c r="L301" s="100">
        <f>EFEITO!$N$301*EFEITO!$AA$301</f>
        <v>67957.2074181512</v>
      </c>
      <c r="M301" s="100">
        <f>$J$301-EFEITO!$K$301*EFEITO!$Y$301</f>
        <v>0</v>
      </c>
      <c r="N301" s="100">
        <f ca="1">$K$301-EFEITO!$M$301*EFEITO!$Z$301</f>
        <v>0</v>
      </c>
      <c r="O301" s="100">
        <f>$L$301-EFEITO!$O$301*EFEITO!$AA$301</f>
        <v>0</v>
      </c>
      <c r="P301" s="17"/>
      <c r="Q301" s="17"/>
      <c r="R301" s="17"/>
      <c r="S301" s="17"/>
      <c r="T301" s="17"/>
      <c r="U301" s="17"/>
      <c r="V301" s="17"/>
      <c r="W301" s="17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91" t="s">
        <v>21</v>
      </c>
      <c r="B302" s="91" t="s">
        <v>38</v>
      </c>
      <c r="C302" s="91" t="s">
        <v>40</v>
      </c>
      <c r="D302" s="91" t="s">
        <v>37</v>
      </c>
      <c r="E302" s="91" t="s">
        <v>25</v>
      </c>
      <c r="F302" s="91" t="s">
        <v>25</v>
      </c>
      <c r="G302" s="91" t="s">
        <v>25</v>
      </c>
      <c r="H302" s="91" t="s">
        <v>25</v>
      </c>
      <c r="I302" s="99">
        <v>44378</v>
      </c>
      <c r="J302" s="100">
        <f ca="1">EFEITO!$J$302*EFEITO!$Y$302</f>
        <v>76800.402289242527</v>
      </c>
      <c r="K302" s="100">
        <f>EFEITO!$L$302*EFEITO!$Z$302</f>
        <v>0</v>
      </c>
      <c r="L302" s="100">
        <f>EFEITO!$N$302*EFEITO!$AA$302</f>
        <v>0</v>
      </c>
      <c r="M302" s="100">
        <f ca="1">$J$302-EFEITO!$K$302*EFEITO!$Y$302</f>
        <v>0</v>
      </c>
      <c r="N302" s="100">
        <f>$K$302-EFEITO!$M$302*EFEITO!$Z$302</f>
        <v>0</v>
      </c>
      <c r="O302" s="100">
        <f>$L$302-EFEITO!$O$302*EFEITO!$AA$302</f>
        <v>0</v>
      </c>
      <c r="P302" s="17"/>
      <c r="Q302" s="17"/>
      <c r="R302" s="17"/>
      <c r="S302" s="17"/>
      <c r="T302" s="17"/>
      <c r="U302" s="17"/>
      <c r="V302" s="17"/>
      <c r="W302" s="17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91" t="s">
        <v>21</v>
      </c>
      <c r="B303" s="91" t="s">
        <v>38</v>
      </c>
      <c r="C303" s="91" t="s">
        <v>40</v>
      </c>
      <c r="D303" s="91" t="s">
        <v>37</v>
      </c>
      <c r="E303" s="91" t="s">
        <v>25</v>
      </c>
      <c r="F303" s="91" t="s">
        <v>25</v>
      </c>
      <c r="G303" s="91" t="s">
        <v>25</v>
      </c>
      <c r="H303" s="91" t="s">
        <v>25</v>
      </c>
      <c r="I303" s="99">
        <v>44409</v>
      </c>
      <c r="J303" s="100">
        <f ca="1">EFEITO!$J$303*EFEITO!$Y$303</f>
        <v>71589.21772243538</v>
      </c>
      <c r="K303" s="100">
        <f>EFEITO!$L$303*EFEITO!$Z$303</f>
        <v>0</v>
      </c>
      <c r="L303" s="100">
        <f>EFEITO!$N$303*EFEITO!$AA$303</f>
        <v>0</v>
      </c>
      <c r="M303" s="100">
        <f ca="1">$J$303-EFEITO!$K$303*EFEITO!$Y$303</f>
        <v>0</v>
      </c>
      <c r="N303" s="100">
        <f>$K$303-EFEITO!$M$303*EFEITO!$Z$303</f>
        <v>0</v>
      </c>
      <c r="O303" s="100">
        <f>$L$303-EFEITO!$O$303*EFEITO!$AA$303</f>
        <v>0</v>
      </c>
      <c r="P303" s="17"/>
      <c r="Q303" s="17"/>
      <c r="R303" s="17"/>
      <c r="S303" s="17"/>
      <c r="T303" s="17"/>
      <c r="U303" s="17"/>
      <c r="V303" s="17"/>
      <c r="W303" s="17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91" t="s">
        <v>55</v>
      </c>
      <c r="B304" s="91" t="s">
        <v>38</v>
      </c>
      <c r="C304" s="91" t="s">
        <v>40</v>
      </c>
      <c r="D304" s="91" t="s">
        <v>37</v>
      </c>
      <c r="E304" s="91" t="s">
        <v>25</v>
      </c>
      <c r="F304" s="91" t="s">
        <v>25</v>
      </c>
      <c r="G304" s="91" t="s">
        <v>25</v>
      </c>
      <c r="H304" s="91" t="s">
        <v>25</v>
      </c>
      <c r="I304" s="99">
        <v>44409</v>
      </c>
      <c r="J304" s="100">
        <f ca="1">EFEITO!$J$304*EFEITO!$Y$304</f>
        <v>17654.217103877316</v>
      </c>
      <c r="K304" s="100">
        <f>EFEITO!$L$304*EFEITO!$Z$304</f>
        <v>0</v>
      </c>
      <c r="L304" s="100">
        <f>EFEITO!$N$304*EFEITO!$AA$304</f>
        <v>0</v>
      </c>
      <c r="M304" s="100">
        <f ca="1">$J$304-EFEITO!$K$304*EFEITO!$Y$304</f>
        <v>0</v>
      </c>
      <c r="N304" s="100">
        <f>$K$304-EFEITO!$M$304*EFEITO!$Z$304</f>
        <v>0</v>
      </c>
      <c r="O304" s="100">
        <f>$L$304-EFEITO!$O$304*EFEITO!$AA$304</f>
        <v>0</v>
      </c>
      <c r="P304" s="17"/>
      <c r="Q304" s="17"/>
      <c r="R304" s="17"/>
      <c r="S304" s="17"/>
      <c r="T304" s="17"/>
      <c r="U304" s="17"/>
      <c r="V304" s="17"/>
      <c r="W304" s="17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91" t="s">
        <v>21</v>
      </c>
      <c r="B305" s="91" t="s">
        <v>38</v>
      </c>
      <c r="C305" s="91" t="s">
        <v>40</v>
      </c>
      <c r="D305" s="91" t="s">
        <v>37</v>
      </c>
      <c r="E305" s="91" t="s">
        <v>25</v>
      </c>
      <c r="F305" s="91" t="s">
        <v>25</v>
      </c>
      <c r="G305" s="91" t="s">
        <v>25</v>
      </c>
      <c r="H305" s="91" t="s">
        <v>25</v>
      </c>
      <c r="I305" s="99">
        <v>44440</v>
      </c>
      <c r="J305" s="100">
        <f ca="1">EFEITO!$J$305*EFEITO!$Y$305</f>
        <v>71254.972648179522</v>
      </c>
      <c r="K305" s="100">
        <f>EFEITO!$L$305*EFEITO!$Z$305</f>
        <v>0</v>
      </c>
      <c r="L305" s="100">
        <f>EFEITO!$N$305*EFEITO!$AA$305</f>
        <v>0</v>
      </c>
      <c r="M305" s="100">
        <f ca="1">$J$305-EFEITO!$K$305*EFEITO!$Y$305</f>
        <v>0</v>
      </c>
      <c r="N305" s="100">
        <f>$K$305-EFEITO!$M$305*EFEITO!$Z$305</f>
        <v>0</v>
      </c>
      <c r="O305" s="100">
        <f>$L$305-EFEITO!$O$305*EFEITO!$AA$305</f>
        <v>0</v>
      </c>
      <c r="P305" s="17"/>
      <c r="Q305" s="17"/>
      <c r="R305" s="17"/>
      <c r="S305" s="17"/>
      <c r="T305" s="17"/>
      <c r="U305" s="17"/>
      <c r="V305" s="17"/>
      <c r="W305" s="17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91" t="s">
        <v>55</v>
      </c>
      <c r="B306" s="91" t="s">
        <v>38</v>
      </c>
      <c r="C306" s="91" t="s">
        <v>40</v>
      </c>
      <c r="D306" s="91" t="s">
        <v>37</v>
      </c>
      <c r="E306" s="91" t="s">
        <v>25</v>
      </c>
      <c r="F306" s="91" t="s">
        <v>25</v>
      </c>
      <c r="G306" s="91" t="s">
        <v>25</v>
      </c>
      <c r="H306" s="91" t="s">
        <v>25</v>
      </c>
      <c r="I306" s="99">
        <v>44440</v>
      </c>
      <c r="J306" s="100">
        <f ca="1">EFEITO!$J$306*EFEITO!$Y$306</f>
        <v>17274.393155859299</v>
      </c>
      <c r="K306" s="100">
        <f>EFEITO!$L$306*EFEITO!$Z$306</f>
        <v>0</v>
      </c>
      <c r="L306" s="100">
        <f>EFEITO!$N$306*EFEITO!$AA$306</f>
        <v>0</v>
      </c>
      <c r="M306" s="100">
        <f ca="1">$J$306-EFEITO!$K$306*EFEITO!$Y$306</f>
        <v>0</v>
      </c>
      <c r="N306" s="100">
        <f>$K$306-EFEITO!$M$306*EFEITO!$Z$306</f>
        <v>0</v>
      </c>
      <c r="O306" s="100">
        <f>$L$306-EFEITO!$O$306*EFEITO!$AA$306</f>
        <v>0</v>
      </c>
      <c r="P306" s="17"/>
      <c r="Q306" s="17"/>
      <c r="R306" s="17"/>
      <c r="S306" s="17"/>
      <c r="T306" s="17"/>
      <c r="U306" s="17"/>
      <c r="V306" s="17"/>
      <c r="W306" s="17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91" t="s">
        <v>21</v>
      </c>
      <c r="B307" s="91" t="s">
        <v>38</v>
      </c>
      <c r="C307" s="91" t="s">
        <v>40</v>
      </c>
      <c r="D307" s="91" t="s">
        <v>37</v>
      </c>
      <c r="E307" s="91" t="s">
        <v>25</v>
      </c>
      <c r="F307" s="91" t="s">
        <v>25</v>
      </c>
      <c r="G307" s="91" t="s">
        <v>25</v>
      </c>
      <c r="H307" s="91" t="s">
        <v>25</v>
      </c>
      <c r="I307" s="99">
        <v>44470</v>
      </c>
      <c r="J307" s="100">
        <f ca="1">EFEITO!$J$307*EFEITO!$Y$307</f>
        <v>72318.479702629964</v>
      </c>
      <c r="K307" s="100">
        <f>EFEITO!$L$307*EFEITO!$Z$307</f>
        <v>0</v>
      </c>
      <c r="L307" s="100">
        <f>EFEITO!$N$307*EFEITO!$AA$307</f>
        <v>0</v>
      </c>
      <c r="M307" s="100">
        <f ca="1">$J$307-EFEITO!$K$307*EFEITO!$Y$307</f>
        <v>0</v>
      </c>
      <c r="N307" s="100">
        <f>$K$307-EFEITO!$M$307*EFEITO!$Z$307</f>
        <v>0</v>
      </c>
      <c r="O307" s="100">
        <f>$L$307-EFEITO!$O$307*EFEITO!$AA$307</f>
        <v>0</v>
      </c>
      <c r="P307" s="17"/>
      <c r="Q307" s="17"/>
      <c r="R307" s="17"/>
      <c r="S307" s="17"/>
      <c r="T307" s="17"/>
      <c r="U307" s="17"/>
      <c r="V307" s="17"/>
      <c r="W307" s="17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91" t="s">
        <v>55</v>
      </c>
      <c r="B308" s="91" t="s">
        <v>38</v>
      </c>
      <c r="C308" s="91" t="s">
        <v>40</v>
      </c>
      <c r="D308" s="91" t="s">
        <v>37</v>
      </c>
      <c r="E308" s="91" t="s">
        <v>25</v>
      </c>
      <c r="F308" s="91" t="s">
        <v>25</v>
      </c>
      <c r="G308" s="91" t="s">
        <v>25</v>
      </c>
      <c r="H308" s="91" t="s">
        <v>25</v>
      </c>
      <c r="I308" s="99">
        <v>44470</v>
      </c>
      <c r="J308" s="100">
        <f ca="1">EFEITO!$J$308*EFEITO!$Y$308</f>
        <v>18140.391757340374</v>
      </c>
      <c r="K308" s="100">
        <f>EFEITO!$L$308*EFEITO!$Z$308</f>
        <v>0</v>
      </c>
      <c r="L308" s="100">
        <f>EFEITO!$N$308*EFEITO!$AA$308</f>
        <v>0</v>
      </c>
      <c r="M308" s="100">
        <f ca="1">$J$308-EFEITO!$K$308*EFEITO!$Y$308</f>
        <v>0</v>
      </c>
      <c r="N308" s="100">
        <f>$K$308-EFEITO!$M$308*EFEITO!$Z$308</f>
        <v>0</v>
      </c>
      <c r="O308" s="100">
        <f>$L$308-EFEITO!$O$308*EFEITO!$AA$308</f>
        <v>0</v>
      </c>
      <c r="P308" s="17"/>
      <c r="Q308" s="17"/>
      <c r="R308" s="17"/>
      <c r="S308" s="17"/>
      <c r="T308" s="17"/>
      <c r="U308" s="17"/>
      <c r="V308" s="17"/>
      <c r="W308" s="17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91" t="s">
        <v>21</v>
      </c>
      <c r="B309" s="91" t="s">
        <v>38</v>
      </c>
      <c r="C309" s="91" t="s">
        <v>40</v>
      </c>
      <c r="D309" s="91" t="s">
        <v>37</v>
      </c>
      <c r="E309" s="91" t="s">
        <v>25</v>
      </c>
      <c r="F309" s="91" t="s">
        <v>25</v>
      </c>
      <c r="G309" s="91" t="s">
        <v>25</v>
      </c>
      <c r="H309" s="91" t="s">
        <v>25</v>
      </c>
      <c r="I309" s="99">
        <v>44501</v>
      </c>
      <c r="J309" s="100">
        <f ca="1">EFEITO!$J$309*EFEITO!$Y$309</f>
        <v>72455.216323916451</v>
      </c>
      <c r="K309" s="100">
        <f>EFEITO!$L$309*EFEITO!$Z$309</f>
        <v>0</v>
      </c>
      <c r="L309" s="100">
        <f>EFEITO!$N$309*EFEITO!$AA$309</f>
        <v>0</v>
      </c>
      <c r="M309" s="100">
        <f ca="1">$J$309-EFEITO!$K$309*EFEITO!$Y$309</f>
        <v>0</v>
      </c>
      <c r="N309" s="100">
        <f>$K$309-EFEITO!$M$309*EFEITO!$Z$309</f>
        <v>0</v>
      </c>
      <c r="O309" s="100">
        <f>$L$309-EFEITO!$O$309*EFEITO!$AA$309</f>
        <v>0</v>
      </c>
      <c r="P309" s="17"/>
      <c r="Q309" s="17"/>
      <c r="R309" s="17"/>
      <c r="S309" s="17"/>
      <c r="T309" s="17"/>
      <c r="U309" s="17"/>
      <c r="V309" s="17"/>
      <c r="W309" s="17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91" t="s">
        <v>55</v>
      </c>
      <c r="B310" s="91" t="s">
        <v>38</v>
      </c>
      <c r="C310" s="91" t="s">
        <v>40</v>
      </c>
      <c r="D310" s="91" t="s">
        <v>37</v>
      </c>
      <c r="E310" s="91" t="s">
        <v>25</v>
      </c>
      <c r="F310" s="91" t="s">
        <v>25</v>
      </c>
      <c r="G310" s="91" t="s">
        <v>25</v>
      </c>
      <c r="H310" s="91" t="s">
        <v>25</v>
      </c>
      <c r="I310" s="99">
        <v>44501</v>
      </c>
      <c r="J310" s="100">
        <f ca="1">EFEITO!$J$310*EFEITO!$Y$310</f>
        <v>18915.232611297124</v>
      </c>
      <c r="K310" s="100">
        <f>EFEITO!$L$310*EFEITO!$Z$310</f>
        <v>0</v>
      </c>
      <c r="L310" s="100">
        <f>EFEITO!$N$310*EFEITO!$AA$310</f>
        <v>0</v>
      </c>
      <c r="M310" s="100">
        <f ca="1">$J$310-EFEITO!$K$310*EFEITO!$Y$310</f>
        <v>0</v>
      </c>
      <c r="N310" s="100">
        <f>$K$310-EFEITO!$M$310*EFEITO!$Z$310</f>
        <v>0</v>
      </c>
      <c r="O310" s="100">
        <f>$L$310-EFEITO!$O$310*EFEITO!$AA$310</f>
        <v>0</v>
      </c>
      <c r="P310" s="17"/>
      <c r="Q310" s="17"/>
      <c r="R310" s="17"/>
      <c r="S310" s="17"/>
      <c r="T310" s="17"/>
      <c r="U310" s="17"/>
      <c r="V310" s="17"/>
      <c r="W310" s="17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91" t="s">
        <v>21</v>
      </c>
      <c r="B311" s="91" t="s">
        <v>38</v>
      </c>
      <c r="C311" s="91" t="s">
        <v>40</v>
      </c>
      <c r="D311" s="91" t="s">
        <v>37</v>
      </c>
      <c r="E311" s="91" t="s">
        <v>25</v>
      </c>
      <c r="F311" s="91" t="s">
        <v>25</v>
      </c>
      <c r="G311" s="91" t="s">
        <v>25</v>
      </c>
      <c r="H311" s="91" t="s">
        <v>25</v>
      </c>
      <c r="I311" s="99">
        <v>44531</v>
      </c>
      <c r="J311" s="100">
        <f ca="1">EFEITO!$J$311*EFEITO!$Y$311</f>
        <v>72713.496608568705</v>
      </c>
      <c r="K311" s="100">
        <f>EFEITO!$L$311*EFEITO!$Z$311</f>
        <v>0</v>
      </c>
      <c r="L311" s="100">
        <f>EFEITO!$N$311*EFEITO!$AA$311</f>
        <v>0</v>
      </c>
      <c r="M311" s="100">
        <f ca="1">$J$311-EFEITO!$K$311*EFEITO!$Y$311</f>
        <v>0</v>
      </c>
      <c r="N311" s="100">
        <f>$K$311-EFEITO!$M$311*EFEITO!$Z$311</f>
        <v>0</v>
      </c>
      <c r="O311" s="100">
        <f>$L$311-EFEITO!$O$311*EFEITO!$AA$311</f>
        <v>0</v>
      </c>
      <c r="P311" s="17"/>
      <c r="Q311" s="17"/>
      <c r="R311" s="17"/>
      <c r="S311" s="17"/>
      <c r="T311" s="17"/>
      <c r="U311" s="17"/>
      <c r="V311" s="17"/>
      <c r="W311" s="17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91" t="s">
        <v>55</v>
      </c>
      <c r="B312" s="91" t="s">
        <v>38</v>
      </c>
      <c r="C312" s="91" t="s">
        <v>40</v>
      </c>
      <c r="D312" s="91" t="s">
        <v>37</v>
      </c>
      <c r="E312" s="91" t="s">
        <v>25</v>
      </c>
      <c r="F312" s="91" t="s">
        <v>25</v>
      </c>
      <c r="G312" s="91" t="s">
        <v>25</v>
      </c>
      <c r="H312" s="91" t="s">
        <v>25</v>
      </c>
      <c r="I312" s="99">
        <v>44531</v>
      </c>
      <c r="J312" s="100">
        <f ca="1">EFEITO!$J$312*EFEITO!$Y$312</f>
        <v>19386.214306839462</v>
      </c>
      <c r="K312" s="100">
        <f>EFEITO!$L$312*EFEITO!$Z$312</f>
        <v>0</v>
      </c>
      <c r="L312" s="100">
        <f>EFEITO!$N$312*EFEITO!$AA$312</f>
        <v>0</v>
      </c>
      <c r="M312" s="100">
        <f ca="1">$J$312-EFEITO!$K$312*EFEITO!$Y$312</f>
        <v>0</v>
      </c>
      <c r="N312" s="100">
        <f>$K$312-EFEITO!$M$312*EFEITO!$Z$312</f>
        <v>0</v>
      </c>
      <c r="O312" s="100">
        <f>$L$312-EFEITO!$O$312*EFEITO!$AA$312</f>
        <v>0</v>
      </c>
      <c r="P312" s="17"/>
      <c r="Q312" s="17"/>
      <c r="R312" s="17"/>
      <c r="S312" s="17"/>
      <c r="T312" s="17"/>
      <c r="U312" s="17"/>
      <c r="V312" s="17"/>
      <c r="W312" s="17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91" t="s">
        <v>21</v>
      </c>
      <c r="B313" s="91" t="s">
        <v>38</v>
      </c>
      <c r="C313" s="91" t="s">
        <v>40</v>
      </c>
      <c r="D313" s="91" t="s">
        <v>37</v>
      </c>
      <c r="E313" s="91" t="s">
        <v>25</v>
      </c>
      <c r="F313" s="91" t="s">
        <v>25</v>
      </c>
      <c r="G313" s="91" t="s">
        <v>25</v>
      </c>
      <c r="H313" s="91" t="s">
        <v>25</v>
      </c>
      <c r="I313" s="99">
        <v>44562</v>
      </c>
      <c r="J313" s="100">
        <f ca="1">EFEITO!$J$313*EFEITO!$Y$313</f>
        <v>69264.695160565127</v>
      </c>
      <c r="K313" s="100">
        <f>EFEITO!$L$313*EFEITO!$Z$313</f>
        <v>0</v>
      </c>
      <c r="L313" s="100">
        <f>EFEITO!$N$313*EFEITO!$AA$313</f>
        <v>0</v>
      </c>
      <c r="M313" s="100">
        <f ca="1">$J$313-EFEITO!$K$313*EFEITO!$Y$313</f>
        <v>0</v>
      </c>
      <c r="N313" s="100">
        <f>$K$313-EFEITO!$M$313*EFEITO!$Z$313</f>
        <v>0</v>
      </c>
      <c r="O313" s="100">
        <f>$L$313-EFEITO!$O$313*EFEITO!$AA$313</f>
        <v>0</v>
      </c>
      <c r="P313" s="17"/>
      <c r="Q313" s="17"/>
      <c r="R313" s="17"/>
      <c r="S313" s="17"/>
      <c r="T313" s="17"/>
      <c r="U313" s="17"/>
      <c r="V313" s="17"/>
      <c r="W313" s="17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91" t="s">
        <v>55</v>
      </c>
      <c r="B314" s="91" t="s">
        <v>38</v>
      </c>
      <c r="C314" s="91" t="s">
        <v>40</v>
      </c>
      <c r="D314" s="91" t="s">
        <v>37</v>
      </c>
      <c r="E314" s="91" t="s">
        <v>25</v>
      </c>
      <c r="F314" s="91" t="s">
        <v>25</v>
      </c>
      <c r="G314" s="91" t="s">
        <v>25</v>
      </c>
      <c r="H314" s="91" t="s">
        <v>25</v>
      </c>
      <c r="I314" s="99">
        <v>44562</v>
      </c>
      <c r="J314" s="100">
        <f ca="1">EFEITO!$J$314*EFEITO!$Y$314</f>
        <v>18018.848093974608</v>
      </c>
      <c r="K314" s="100">
        <f>EFEITO!$L$314*EFEITO!$Z$314</f>
        <v>0</v>
      </c>
      <c r="L314" s="100">
        <f>EFEITO!$N$314*EFEITO!$AA$314</f>
        <v>0</v>
      </c>
      <c r="M314" s="100">
        <f ca="1">$J$314-EFEITO!$K$314*EFEITO!$Y$314</f>
        <v>0</v>
      </c>
      <c r="N314" s="100">
        <f>$K$314-EFEITO!$M$314*EFEITO!$Z$314</f>
        <v>0</v>
      </c>
      <c r="O314" s="100">
        <f>$L$314-EFEITO!$O$314*EFEITO!$AA$314</f>
        <v>0</v>
      </c>
      <c r="P314" s="17"/>
      <c r="Q314" s="17"/>
      <c r="R314" s="17"/>
      <c r="S314" s="17"/>
      <c r="T314" s="17"/>
      <c r="U314" s="17"/>
      <c r="V314" s="17"/>
      <c r="W314" s="17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91" t="s">
        <v>55</v>
      </c>
      <c r="B315" s="91" t="s">
        <v>38</v>
      </c>
      <c r="C315" s="91" t="s">
        <v>40</v>
      </c>
      <c r="D315" s="91" t="s">
        <v>37</v>
      </c>
      <c r="E315" s="91" t="s">
        <v>25</v>
      </c>
      <c r="F315" s="91" t="s">
        <v>25</v>
      </c>
      <c r="G315" s="91" t="s">
        <v>25</v>
      </c>
      <c r="H315" s="91" t="s">
        <v>25</v>
      </c>
      <c r="I315" s="99">
        <v>44562</v>
      </c>
      <c r="J315" s="100">
        <f ca="1">EFEITO!$J$315*EFEITO!$Y$315</f>
        <v>-881.19155940179371</v>
      </c>
      <c r="K315" s="100">
        <f>EFEITO!$L$315*EFEITO!$Z$315</f>
        <v>0</v>
      </c>
      <c r="L315" s="100">
        <f>EFEITO!$N$315*EFEITO!$AA$315</f>
        <v>0</v>
      </c>
      <c r="M315" s="100">
        <f ca="1">$J$315-EFEITO!$K$315*EFEITO!$Y$315</f>
        <v>0</v>
      </c>
      <c r="N315" s="100">
        <f>$K$315-EFEITO!$M$315*EFEITO!$Z$315</f>
        <v>0</v>
      </c>
      <c r="O315" s="100">
        <f>$L$315-EFEITO!$O$315*EFEITO!$AA$315</f>
        <v>0</v>
      </c>
      <c r="P315" s="17"/>
      <c r="Q315" s="17"/>
      <c r="R315" s="17"/>
      <c r="S315" s="17"/>
      <c r="T315" s="17"/>
      <c r="U315" s="17"/>
      <c r="V315" s="17"/>
      <c r="W315" s="17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91" t="s">
        <v>21</v>
      </c>
      <c r="B316" s="91" t="s">
        <v>38</v>
      </c>
      <c r="C316" s="91" t="s">
        <v>40</v>
      </c>
      <c r="D316" s="91" t="s">
        <v>37</v>
      </c>
      <c r="E316" s="91" t="s">
        <v>25</v>
      </c>
      <c r="F316" s="91" t="s">
        <v>25</v>
      </c>
      <c r="G316" s="91" t="s">
        <v>25</v>
      </c>
      <c r="H316" s="91" t="s">
        <v>25</v>
      </c>
      <c r="I316" s="99">
        <v>44593</v>
      </c>
      <c r="J316" s="100">
        <f ca="1">EFEITO!$J$316*EFEITO!$Y$316</f>
        <v>47660.308997300461</v>
      </c>
      <c r="K316" s="100">
        <f>EFEITO!$L$316*EFEITO!$Z$316</f>
        <v>0</v>
      </c>
      <c r="L316" s="100">
        <f>EFEITO!$N$316*EFEITO!$AA$316</f>
        <v>0</v>
      </c>
      <c r="M316" s="100">
        <f ca="1">$J$316-EFEITO!$K$316*EFEITO!$Y$316</f>
        <v>0</v>
      </c>
      <c r="N316" s="100">
        <f>$K$316-EFEITO!$M$316*EFEITO!$Z$316</f>
        <v>0</v>
      </c>
      <c r="O316" s="100">
        <f>$L$316-EFEITO!$O$316*EFEITO!$AA$316</f>
        <v>0</v>
      </c>
      <c r="P316" s="17"/>
      <c r="Q316" s="17"/>
      <c r="R316" s="17"/>
      <c r="S316" s="17"/>
      <c r="T316" s="17"/>
      <c r="U316" s="17"/>
      <c r="V316" s="17"/>
      <c r="W316" s="17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91" t="s">
        <v>55</v>
      </c>
      <c r="B317" s="91" t="s">
        <v>38</v>
      </c>
      <c r="C317" s="91" t="s">
        <v>40</v>
      </c>
      <c r="D317" s="91" t="s">
        <v>37</v>
      </c>
      <c r="E317" s="91" t="s">
        <v>25</v>
      </c>
      <c r="F317" s="91" t="s">
        <v>25</v>
      </c>
      <c r="G317" s="91" t="s">
        <v>25</v>
      </c>
      <c r="H317" s="91" t="s">
        <v>25</v>
      </c>
      <c r="I317" s="99">
        <v>44593</v>
      </c>
      <c r="J317" s="100">
        <f ca="1">EFEITO!$J$317*EFEITO!$Y$317</f>
        <v>39137.059603776215</v>
      </c>
      <c r="K317" s="100">
        <f>EFEITO!$L$317*EFEITO!$Z$317</f>
        <v>0</v>
      </c>
      <c r="L317" s="100">
        <f>EFEITO!$N$317*EFEITO!$AA$317</f>
        <v>0</v>
      </c>
      <c r="M317" s="100">
        <f ca="1">$J$317-EFEITO!$K$317*EFEITO!$Y$317</f>
        <v>0</v>
      </c>
      <c r="N317" s="100">
        <f>$K$317-EFEITO!$M$317*EFEITO!$Z$317</f>
        <v>0</v>
      </c>
      <c r="O317" s="100">
        <f>$L$317-EFEITO!$O$317*EFEITO!$AA$317</f>
        <v>0</v>
      </c>
      <c r="P317" s="17"/>
      <c r="Q317" s="17"/>
      <c r="R317" s="17"/>
      <c r="S317" s="17"/>
      <c r="T317" s="17"/>
      <c r="U317" s="17"/>
      <c r="V317" s="17"/>
      <c r="W317" s="17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91" t="s">
        <v>21</v>
      </c>
      <c r="B318" s="91" t="s">
        <v>38</v>
      </c>
      <c r="C318" s="91" t="s">
        <v>40</v>
      </c>
      <c r="D318" s="91" t="s">
        <v>37</v>
      </c>
      <c r="E318" s="91" t="s">
        <v>25</v>
      </c>
      <c r="F318" s="91" t="s">
        <v>25</v>
      </c>
      <c r="G318" s="91" t="s">
        <v>25</v>
      </c>
      <c r="H318" s="91" t="s">
        <v>25</v>
      </c>
      <c r="I318" s="99">
        <v>44621</v>
      </c>
      <c r="J318" s="100">
        <f ca="1">EFEITO!$J$318*EFEITO!$Y$318</f>
        <v>56441.83867547696</v>
      </c>
      <c r="K318" s="100">
        <f>EFEITO!$L$318*EFEITO!$Z$318</f>
        <v>0</v>
      </c>
      <c r="L318" s="100">
        <f>EFEITO!$N$318*EFEITO!$AA$318</f>
        <v>0</v>
      </c>
      <c r="M318" s="100">
        <f ca="1">$J$318-EFEITO!$K$318*EFEITO!$Y$318</f>
        <v>0</v>
      </c>
      <c r="N318" s="100">
        <f>$K$318-EFEITO!$M$318*EFEITO!$Z$318</f>
        <v>0</v>
      </c>
      <c r="O318" s="100">
        <f>$L$318-EFEITO!$O$318*EFEITO!$AA$318</f>
        <v>0</v>
      </c>
      <c r="P318" s="17"/>
      <c r="Q318" s="17"/>
      <c r="R318" s="17"/>
      <c r="S318" s="17"/>
      <c r="T318" s="17"/>
      <c r="U318" s="17"/>
      <c r="V318" s="17"/>
      <c r="W318" s="17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91" t="s">
        <v>55</v>
      </c>
      <c r="B319" s="91" t="s">
        <v>38</v>
      </c>
      <c r="C319" s="91" t="s">
        <v>40</v>
      </c>
      <c r="D319" s="91" t="s">
        <v>37</v>
      </c>
      <c r="E319" s="91" t="s">
        <v>25</v>
      </c>
      <c r="F319" s="91" t="s">
        <v>25</v>
      </c>
      <c r="G319" s="91" t="s">
        <v>25</v>
      </c>
      <c r="H319" s="91" t="s">
        <v>25</v>
      </c>
      <c r="I319" s="99">
        <v>44621</v>
      </c>
      <c r="J319" s="100">
        <f ca="1">EFEITO!$J$319*EFEITO!$Y$319</f>
        <v>60467.972524467914</v>
      </c>
      <c r="K319" s="100">
        <f>EFEITO!$L$319*EFEITO!$Z$319</f>
        <v>0</v>
      </c>
      <c r="L319" s="100">
        <f>EFEITO!$N$319*EFEITO!$AA$319</f>
        <v>0</v>
      </c>
      <c r="M319" s="100">
        <f ca="1">$J$319-EFEITO!$K$319*EFEITO!$Y$319</f>
        <v>0</v>
      </c>
      <c r="N319" s="100">
        <f>$K$319-EFEITO!$M$319*EFEITO!$Z$319</f>
        <v>0</v>
      </c>
      <c r="O319" s="100">
        <f>$L$319-EFEITO!$O$319*EFEITO!$AA$319</f>
        <v>0</v>
      </c>
      <c r="P319" s="17"/>
      <c r="Q319" s="17"/>
      <c r="R319" s="17"/>
      <c r="S319" s="17"/>
      <c r="T319" s="17"/>
      <c r="U319" s="17"/>
      <c r="V319" s="17"/>
      <c r="W319" s="17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91" t="s">
        <v>21</v>
      </c>
      <c r="B320" s="91" t="s">
        <v>38</v>
      </c>
      <c r="C320" s="91" t="s">
        <v>40</v>
      </c>
      <c r="D320" s="91" t="s">
        <v>37</v>
      </c>
      <c r="E320" s="91" t="s">
        <v>25</v>
      </c>
      <c r="F320" s="91" t="s">
        <v>25</v>
      </c>
      <c r="G320" s="91" t="s">
        <v>25</v>
      </c>
      <c r="H320" s="91" t="s">
        <v>25</v>
      </c>
      <c r="I320" s="99">
        <v>44652</v>
      </c>
      <c r="J320" s="100">
        <f ca="1">EFEITO!$J$320*EFEITO!$Y$320</f>
        <v>50486.199170554486</v>
      </c>
      <c r="K320" s="100">
        <f>EFEITO!$L$320*EFEITO!$Z$320</f>
        <v>0</v>
      </c>
      <c r="L320" s="100">
        <f>EFEITO!$N$320*EFEITO!$AA$320</f>
        <v>0</v>
      </c>
      <c r="M320" s="100">
        <f ca="1">$J$320-EFEITO!$K$320*EFEITO!$Y$320</f>
        <v>0</v>
      </c>
      <c r="N320" s="100">
        <f>$K$320-EFEITO!$M$320*EFEITO!$Z$320</f>
        <v>0</v>
      </c>
      <c r="O320" s="100">
        <f>$L$320-EFEITO!$O$320*EFEITO!$AA$320</f>
        <v>0</v>
      </c>
      <c r="P320" s="17"/>
      <c r="Q320" s="17"/>
      <c r="R320" s="17"/>
      <c r="S320" s="17"/>
      <c r="T320" s="17"/>
      <c r="U320" s="17"/>
      <c r="V320" s="17"/>
      <c r="W320" s="17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91" t="s">
        <v>55</v>
      </c>
      <c r="B321" s="91" t="s">
        <v>38</v>
      </c>
      <c r="C321" s="91" t="s">
        <v>40</v>
      </c>
      <c r="D321" s="91" t="s">
        <v>37</v>
      </c>
      <c r="E321" s="91" t="s">
        <v>25</v>
      </c>
      <c r="F321" s="91" t="s">
        <v>25</v>
      </c>
      <c r="G321" s="91" t="s">
        <v>25</v>
      </c>
      <c r="H321" s="91" t="s">
        <v>25</v>
      </c>
      <c r="I321" s="99">
        <v>44652</v>
      </c>
      <c r="J321" s="100">
        <f ca="1">EFEITO!$J$321*EFEITO!$Y$321</f>
        <v>67137.681051664244</v>
      </c>
      <c r="K321" s="100">
        <f>EFEITO!$L$321*EFEITO!$Z$321</f>
        <v>0</v>
      </c>
      <c r="L321" s="100">
        <f>EFEITO!$N$321*EFEITO!$AA$321</f>
        <v>0</v>
      </c>
      <c r="M321" s="100">
        <f ca="1">$J$321-EFEITO!$K$321*EFEITO!$Y$321</f>
        <v>0</v>
      </c>
      <c r="N321" s="100">
        <f>$K$321-EFEITO!$M$321*EFEITO!$Z$321</f>
        <v>0</v>
      </c>
      <c r="O321" s="100">
        <f>$L$321-EFEITO!$O$321*EFEITO!$AA$321</f>
        <v>0</v>
      </c>
      <c r="P321" s="17"/>
      <c r="Q321" s="17"/>
      <c r="R321" s="17"/>
      <c r="S321" s="17"/>
      <c r="T321" s="17"/>
      <c r="U321" s="17"/>
      <c r="V321" s="17"/>
      <c r="W321" s="17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91" t="s">
        <v>21</v>
      </c>
      <c r="B322" s="91" t="s">
        <v>38</v>
      </c>
      <c r="C322" s="91" t="s">
        <v>40</v>
      </c>
      <c r="D322" s="91" t="s">
        <v>37</v>
      </c>
      <c r="E322" s="91" t="s">
        <v>25</v>
      </c>
      <c r="F322" s="91" t="s">
        <v>25</v>
      </c>
      <c r="G322" s="91" t="s">
        <v>25</v>
      </c>
      <c r="H322" s="91" t="s">
        <v>25</v>
      </c>
      <c r="I322" s="99">
        <v>44682</v>
      </c>
      <c r="J322" s="100">
        <f ca="1">EFEITO!$J$322*EFEITO!$Y$322</f>
        <v>48161.67660868424</v>
      </c>
      <c r="K322" s="100">
        <f>EFEITO!$L$322*EFEITO!$Z$322</f>
        <v>0</v>
      </c>
      <c r="L322" s="100">
        <f>EFEITO!$N$322*EFEITO!$AA$322</f>
        <v>0</v>
      </c>
      <c r="M322" s="100">
        <f ca="1">$J$322-EFEITO!$K$322*EFEITO!$Y$322</f>
        <v>0</v>
      </c>
      <c r="N322" s="100">
        <f>$K$322-EFEITO!$M$322*EFEITO!$Z$322</f>
        <v>0</v>
      </c>
      <c r="O322" s="100">
        <f>$L$322-EFEITO!$O$322*EFEITO!$AA$322</f>
        <v>0</v>
      </c>
      <c r="P322" s="17"/>
      <c r="Q322" s="17"/>
      <c r="R322" s="17"/>
      <c r="S322" s="17"/>
      <c r="T322" s="17"/>
      <c r="U322" s="17"/>
      <c r="V322" s="17"/>
      <c r="W322" s="17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91" t="s">
        <v>55</v>
      </c>
      <c r="B323" s="91" t="s">
        <v>38</v>
      </c>
      <c r="C323" s="91" t="s">
        <v>40</v>
      </c>
      <c r="D323" s="91" t="s">
        <v>37</v>
      </c>
      <c r="E323" s="91" t="s">
        <v>25</v>
      </c>
      <c r="F323" s="91" t="s">
        <v>25</v>
      </c>
      <c r="G323" s="91" t="s">
        <v>25</v>
      </c>
      <c r="H323" s="91" t="s">
        <v>25</v>
      </c>
      <c r="I323" s="99">
        <v>44682</v>
      </c>
      <c r="J323" s="100">
        <f ca="1">EFEITO!$J$323*EFEITO!$Y$323</f>
        <v>62731.723254655277</v>
      </c>
      <c r="K323" s="100">
        <f>EFEITO!$L$323*EFEITO!$Z$323</f>
        <v>0</v>
      </c>
      <c r="L323" s="100">
        <f>EFEITO!$N$323*EFEITO!$AA$323</f>
        <v>0</v>
      </c>
      <c r="M323" s="100">
        <f ca="1">$J$323-EFEITO!$K$323*EFEITO!$Y$323</f>
        <v>0</v>
      </c>
      <c r="N323" s="100">
        <f>$K$323-EFEITO!$M$323*EFEITO!$Z$323</f>
        <v>0</v>
      </c>
      <c r="O323" s="100">
        <f>$L$323-EFEITO!$O$323*EFEITO!$AA$323</f>
        <v>0</v>
      </c>
      <c r="P323" s="17"/>
      <c r="Q323" s="17"/>
      <c r="R323" s="17"/>
      <c r="S323" s="17"/>
      <c r="T323" s="17"/>
      <c r="U323" s="17"/>
      <c r="V323" s="17"/>
      <c r="W323" s="17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91" t="s">
        <v>56</v>
      </c>
      <c r="B324" s="91" t="s">
        <v>38</v>
      </c>
      <c r="C324" s="91" t="s">
        <v>40</v>
      </c>
      <c r="D324" s="91" t="s">
        <v>37</v>
      </c>
      <c r="E324" s="91" t="s">
        <v>25</v>
      </c>
      <c r="F324" s="91" t="s">
        <v>25</v>
      </c>
      <c r="G324" s="91" t="s">
        <v>25</v>
      </c>
      <c r="H324" s="91" t="s">
        <v>25</v>
      </c>
      <c r="I324" s="99">
        <v>44713</v>
      </c>
      <c r="J324" s="100">
        <f ca="1">EFEITO!$J$324*EFEITO!$Y$324</f>
        <v>48161.67660868424</v>
      </c>
      <c r="K324" s="100">
        <f>EFEITO!$L$324*EFEITO!$Z$324</f>
        <v>0</v>
      </c>
      <c r="L324" s="100">
        <f>EFEITO!$N$324*EFEITO!$AA$324</f>
        <v>0</v>
      </c>
      <c r="M324" s="100">
        <f ca="1">$J$324-EFEITO!$K$324*EFEITO!$Y$324</f>
        <v>0</v>
      </c>
      <c r="N324" s="100">
        <f>$K$324-EFEITO!$M$324*EFEITO!$Z$324</f>
        <v>0</v>
      </c>
      <c r="O324" s="100">
        <f>$L$324-EFEITO!$O$324*EFEITO!$AA$324</f>
        <v>0</v>
      </c>
      <c r="P324" s="17"/>
      <c r="Q324" s="17"/>
      <c r="R324" s="17"/>
      <c r="S324" s="17"/>
      <c r="T324" s="17"/>
      <c r="U324" s="17"/>
      <c r="V324" s="17"/>
      <c r="W324" s="17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91" t="s">
        <v>56</v>
      </c>
      <c r="B325" s="91" t="s">
        <v>38</v>
      </c>
      <c r="C325" s="91" t="s">
        <v>40</v>
      </c>
      <c r="D325" s="91" t="s">
        <v>37</v>
      </c>
      <c r="E325" s="91" t="s">
        <v>25</v>
      </c>
      <c r="F325" s="91" t="s">
        <v>25</v>
      </c>
      <c r="G325" s="91" t="s">
        <v>25</v>
      </c>
      <c r="H325" s="91" t="s">
        <v>25</v>
      </c>
      <c r="I325" s="99">
        <v>44713</v>
      </c>
      <c r="J325" s="100">
        <f ca="1">EFEITO!$J$325*EFEITO!$Y$325</f>
        <v>62731.723254655277</v>
      </c>
      <c r="K325" s="100">
        <f>EFEITO!$L$325*EFEITO!$Z$325</f>
        <v>0</v>
      </c>
      <c r="L325" s="100">
        <f>EFEITO!$N$325*EFEITO!$AA$325</f>
        <v>0</v>
      </c>
      <c r="M325" s="100">
        <f ca="1">$J$325-EFEITO!$K$325*EFEITO!$Y$325</f>
        <v>0</v>
      </c>
      <c r="N325" s="100">
        <f>$K$325-EFEITO!$M$325*EFEITO!$Z$325</f>
        <v>0</v>
      </c>
      <c r="O325" s="100">
        <f>$L$325-EFEITO!$O$325*EFEITO!$AA$325</f>
        <v>0</v>
      </c>
      <c r="P325" s="17"/>
      <c r="Q325" s="17"/>
      <c r="R325" s="17"/>
      <c r="S325" s="17"/>
      <c r="T325" s="17"/>
      <c r="U325" s="17"/>
      <c r="V325" s="17"/>
      <c r="W325" s="17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91" t="s">
        <v>21</v>
      </c>
      <c r="B326" s="91" t="s">
        <v>38</v>
      </c>
      <c r="C326" s="91" t="s">
        <v>40</v>
      </c>
      <c r="D326" s="91" t="s">
        <v>37</v>
      </c>
      <c r="E326" s="91" t="s">
        <v>25</v>
      </c>
      <c r="F326" s="91" t="s">
        <v>25</v>
      </c>
      <c r="G326" s="91" t="s">
        <v>25</v>
      </c>
      <c r="H326" s="91" t="s">
        <v>33</v>
      </c>
      <c r="I326" s="99">
        <v>44378</v>
      </c>
      <c r="J326" s="100">
        <f>EFEITO!$J$326*EFEITO!$Y$326</f>
        <v>0</v>
      </c>
      <c r="K326" s="100">
        <f ca="1">EFEITO!$L$326*EFEITO!$Z$326</f>
        <v>37084.802789384041</v>
      </c>
      <c r="L326" s="100">
        <f>EFEITO!$N$326*EFEITO!$AA$326</f>
        <v>12203.873421530898</v>
      </c>
      <c r="M326" s="100">
        <f>$J$326-EFEITO!$K$326*EFEITO!$Y$326</f>
        <v>0</v>
      </c>
      <c r="N326" s="100">
        <f ca="1">$K$326-EFEITO!$M$326*EFEITO!$Z$326</f>
        <v>0</v>
      </c>
      <c r="O326" s="100">
        <f>$L$326-EFEITO!$O$326*EFEITO!$AA$326</f>
        <v>0</v>
      </c>
      <c r="P326" s="17"/>
      <c r="Q326" s="17"/>
      <c r="R326" s="17"/>
      <c r="S326" s="17"/>
      <c r="T326" s="17"/>
      <c r="U326" s="17"/>
      <c r="V326" s="17"/>
      <c r="W326" s="17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91" t="s">
        <v>21</v>
      </c>
      <c r="B327" s="91" t="s">
        <v>38</v>
      </c>
      <c r="C327" s="91" t="s">
        <v>40</v>
      </c>
      <c r="D327" s="91" t="s">
        <v>37</v>
      </c>
      <c r="E327" s="91" t="s">
        <v>25</v>
      </c>
      <c r="F327" s="91" t="s">
        <v>25</v>
      </c>
      <c r="G327" s="91" t="s">
        <v>25</v>
      </c>
      <c r="H327" s="91" t="s">
        <v>33</v>
      </c>
      <c r="I327" s="99">
        <v>44409</v>
      </c>
      <c r="J327" s="100">
        <f>EFEITO!$J$327*EFEITO!$Y$327</f>
        <v>0</v>
      </c>
      <c r="K327" s="100">
        <f ca="1">EFEITO!$L$327*EFEITO!$Z$327</f>
        <v>38292.38487221815</v>
      </c>
      <c r="L327" s="100">
        <f>EFEITO!$N$327*EFEITO!$AA$327</f>
        <v>12601.264745645874</v>
      </c>
      <c r="M327" s="100">
        <f>$J$327-EFEITO!$K$327*EFEITO!$Y$327</f>
        <v>0</v>
      </c>
      <c r="N327" s="100">
        <f ca="1">$K$327-EFEITO!$M$327*EFEITO!$Z$327</f>
        <v>0</v>
      </c>
      <c r="O327" s="100">
        <f>$L$327-EFEITO!$O$327*EFEITO!$AA$327</f>
        <v>0</v>
      </c>
      <c r="P327" s="17"/>
      <c r="Q327" s="17"/>
      <c r="R327" s="17"/>
      <c r="S327" s="17"/>
      <c r="T327" s="17"/>
      <c r="U327" s="17"/>
      <c r="V327" s="17"/>
      <c r="W327" s="17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91" t="s">
        <v>55</v>
      </c>
      <c r="B328" s="91" t="s">
        <v>38</v>
      </c>
      <c r="C328" s="91" t="s">
        <v>40</v>
      </c>
      <c r="D328" s="91" t="s">
        <v>37</v>
      </c>
      <c r="E328" s="91" t="s">
        <v>25</v>
      </c>
      <c r="F328" s="91" t="s">
        <v>25</v>
      </c>
      <c r="G328" s="91" t="s">
        <v>25</v>
      </c>
      <c r="H328" s="91" t="s">
        <v>33</v>
      </c>
      <c r="I328" s="99">
        <v>44409</v>
      </c>
      <c r="J328" s="100">
        <f>EFEITO!$J$328*EFEITO!$Y$328</f>
        <v>0</v>
      </c>
      <c r="K328" s="100">
        <f ca="1">EFEITO!$L$328*EFEITO!$Z$328</f>
        <v>22500.348363696336</v>
      </c>
      <c r="L328" s="100">
        <f>EFEITO!$N$328*EFEITO!$AA$328</f>
        <v>7404.4185951422915</v>
      </c>
      <c r="M328" s="100">
        <f>$J$328-EFEITO!$K$328*EFEITO!$Y$328</f>
        <v>0</v>
      </c>
      <c r="N328" s="100">
        <f ca="1">$K$328-EFEITO!$M$328*EFEITO!$Z$328</f>
        <v>0</v>
      </c>
      <c r="O328" s="100">
        <f>$L$328-EFEITO!$O$328*EFEITO!$AA$328</f>
        <v>0</v>
      </c>
      <c r="P328" s="17"/>
      <c r="Q328" s="17"/>
      <c r="R328" s="17"/>
      <c r="S328" s="17"/>
      <c r="T328" s="17"/>
      <c r="U328" s="17"/>
      <c r="V328" s="17"/>
      <c r="W328" s="17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91" t="s">
        <v>21</v>
      </c>
      <c r="B329" s="91" t="s">
        <v>38</v>
      </c>
      <c r="C329" s="91" t="s">
        <v>40</v>
      </c>
      <c r="D329" s="91" t="s">
        <v>37</v>
      </c>
      <c r="E329" s="91" t="s">
        <v>25</v>
      </c>
      <c r="F329" s="91" t="s">
        <v>25</v>
      </c>
      <c r="G329" s="91" t="s">
        <v>25</v>
      </c>
      <c r="H329" s="91" t="s">
        <v>33</v>
      </c>
      <c r="I329" s="99">
        <v>44440</v>
      </c>
      <c r="J329" s="100">
        <f>EFEITO!$J$329*EFEITO!$Y$329</f>
        <v>0</v>
      </c>
      <c r="K329" s="100">
        <f ca="1">EFEITO!$L$329*EFEITO!$Z$329</f>
        <v>36589.522237616678</v>
      </c>
      <c r="L329" s="100">
        <f>EFEITO!$N$329*EFEITO!$AA$329</f>
        <v>12040.886410483741</v>
      </c>
      <c r="M329" s="100">
        <f>$J$329-EFEITO!$K$329*EFEITO!$Y$329</f>
        <v>0</v>
      </c>
      <c r="N329" s="100">
        <f ca="1">$K$329-EFEITO!$M$329*EFEITO!$Z$329</f>
        <v>0</v>
      </c>
      <c r="O329" s="100">
        <f>$L$329-EFEITO!$O$329*EFEITO!$AA$329</f>
        <v>0</v>
      </c>
      <c r="P329" s="17"/>
      <c r="Q329" s="17"/>
      <c r="R329" s="17"/>
      <c r="S329" s="17"/>
      <c r="T329" s="17"/>
      <c r="U329" s="17"/>
      <c r="V329" s="17"/>
      <c r="W329" s="17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91" t="s">
        <v>55</v>
      </c>
      <c r="B330" s="91" t="s">
        <v>38</v>
      </c>
      <c r="C330" s="91" t="s">
        <v>40</v>
      </c>
      <c r="D330" s="91" t="s">
        <v>37</v>
      </c>
      <c r="E330" s="91" t="s">
        <v>25</v>
      </c>
      <c r="F330" s="91" t="s">
        <v>25</v>
      </c>
      <c r="G330" s="91" t="s">
        <v>25</v>
      </c>
      <c r="H330" s="91" t="s">
        <v>33</v>
      </c>
      <c r="I330" s="99">
        <v>44440</v>
      </c>
      <c r="J330" s="100">
        <f>EFEITO!$J$330*EFEITO!$Y$330</f>
        <v>0</v>
      </c>
      <c r="K330" s="100">
        <f ca="1">EFEITO!$L$330*EFEITO!$Z$330</f>
        <v>17674.317477494551</v>
      </c>
      <c r="L330" s="100">
        <f>EFEITO!$N$330*EFEITO!$AA$330</f>
        <v>5816.2675026827974</v>
      </c>
      <c r="M330" s="100">
        <f>$J$330-EFEITO!$K$330*EFEITO!$Y$330</f>
        <v>0</v>
      </c>
      <c r="N330" s="100">
        <f ca="1">$K$330-EFEITO!$M$330*EFEITO!$Z$330</f>
        <v>0</v>
      </c>
      <c r="O330" s="100">
        <f>$L$330-EFEITO!$O$330*EFEITO!$AA$330</f>
        <v>0</v>
      </c>
      <c r="P330" s="17"/>
      <c r="Q330" s="17"/>
      <c r="R330" s="17"/>
      <c r="S330" s="17"/>
      <c r="T330" s="17"/>
      <c r="U330" s="17"/>
      <c r="V330" s="17"/>
      <c r="W330" s="17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91" t="s">
        <v>21</v>
      </c>
      <c r="B331" s="91" t="s">
        <v>38</v>
      </c>
      <c r="C331" s="91" t="s">
        <v>40</v>
      </c>
      <c r="D331" s="91" t="s">
        <v>37</v>
      </c>
      <c r="E331" s="91" t="s">
        <v>25</v>
      </c>
      <c r="F331" s="91" t="s">
        <v>25</v>
      </c>
      <c r="G331" s="91" t="s">
        <v>25</v>
      </c>
      <c r="H331" s="91" t="s">
        <v>33</v>
      </c>
      <c r="I331" s="99">
        <v>44470</v>
      </c>
      <c r="J331" s="100">
        <f>EFEITO!$J$331*EFEITO!$Y$331</f>
        <v>0</v>
      </c>
      <c r="K331" s="100">
        <f ca="1">EFEITO!$L$331*EFEITO!$Z$331</f>
        <v>27750.751956943906</v>
      </c>
      <c r="L331" s="100">
        <f>EFEITO!$N$331*EFEITO!$AA$331</f>
        <v>9132.2223326421881</v>
      </c>
      <c r="M331" s="100">
        <f>$J$331-EFEITO!$K$331*EFEITO!$Y$331</f>
        <v>0</v>
      </c>
      <c r="N331" s="100">
        <f ca="1">$K$331-EFEITO!$M$331*EFEITO!$Z$331</f>
        <v>0</v>
      </c>
      <c r="O331" s="100">
        <f>$L$331-EFEITO!$O$331*EFEITO!$AA$331</f>
        <v>0</v>
      </c>
      <c r="P331" s="17"/>
      <c r="Q331" s="17"/>
      <c r="R331" s="17"/>
      <c r="S331" s="17"/>
      <c r="T331" s="17"/>
      <c r="U331" s="17"/>
      <c r="V331" s="17"/>
      <c r="W331" s="17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91" t="s">
        <v>55</v>
      </c>
      <c r="B332" s="91" t="s">
        <v>38</v>
      </c>
      <c r="C332" s="91" t="s">
        <v>40</v>
      </c>
      <c r="D332" s="91" t="s">
        <v>37</v>
      </c>
      <c r="E332" s="91" t="s">
        <v>25</v>
      </c>
      <c r="F332" s="91" t="s">
        <v>25</v>
      </c>
      <c r="G332" s="91" t="s">
        <v>25</v>
      </c>
      <c r="H332" s="91" t="s">
        <v>33</v>
      </c>
      <c r="I332" s="99">
        <v>44470</v>
      </c>
      <c r="J332" s="100">
        <f>EFEITO!$J$332*EFEITO!$Y$332</f>
        <v>0</v>
      </c>
      <c r="K332" s="100">
        <f ca="1">EFEITO!$L$332*EFEITO!$Z$332</f>
        <v>19820.891322247706</v>
      </c>
      <c r="L332" s="100">
        <f>EFEITO!$N$332*EFEITO!$AA$332</f>
        <v>6522.6624008871759</v>
      </c>
      <c r="M332" s="100">
        <f>$J$332-EFEITO!$K$332*EFEITO!$Y$332</f>
        <v>0</v>
      </c>
      <c r="N332" s="100">
        <f ca="1">$K$332-EFEITO!$M$332*EFEITO!$Z$332</f>
        <v>0</v>
      </c>
      <c r="O332" s="100">
        <f>$L$332-EFEITO!$O$332*EFEITO!$AA$332</f>
        <v>0</v>
      </c>
      <c r="P332" s="17"/>
      <c r="Q332" s="17"/>
      <c r="R332" s="17"/>
      <c r="S332" s="17"/>
      <c r="T332" s="17"/>
      <c r="U332" s="17"/>
      <c r="V332" s="17"/>
      <c r="W332" s="17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91" t="s">
        <v>21</v>
      </c>
      <c r="B333" s="91" t="s">
        <v>38</v>
      </c>
      <c r="C333" s="91" t="s">
        <v>40</v>
      </c>
      <c r="D333" s="91" t="s">
        <v>37</v>
      </c>
      <c r="E333" s="91" t="s">
        <v>25</v>
      </c>
      <c r="F333" s="91" t="s">
        <v>25</v>
      </c>
      <c r="G333" s="91" t="s">
        <v>25</v>
      </c>
      <c r="H333" s="91" t="s">
        <v>33</v>
      </c>
      <c r="I333" s="99">
        <v>44501</v>
      </c>
      <c r="J333" s="100">
        <f>EFEITO!$J$333*EFEITO!$Y$333</f>
        <v>0</v>
      </c>
      <c r="K333" s="100">
        <f ca="1">EFEITO!$L$333*EFEITO!$Z$333</f>
        <v>32330.754109187495</v>
      </c>
      <c r="L333" s="100">
        <f>EFEITO!$N$333*EFEITO!$AA$333</f>
        <v>10639.410246078258</v>
      </c>
      <c r="M333" s="100">
        <f>$J$333-EFEITO!$K$333*EFEITO!$Y$333</f>
        <v>0</v>
      </c>
      <c r="N333" s="100">
        <f ca="1">$K$333-EFEITO!$M$333*EFEITO!$Z$333</f>
        <v>0</v>
      </c>
      <c r="O333" s="100">
        <f>$L$333-EFEITO!$O$333*EFEITO!$AA$333</f>
        <v>0</v>
      </c>
      <c r="P333" s="17"/>
      <c r="Q333" s="17"/>
      <c r="R333" s="17"/>
      <c r="S333" s="17"/>
      <c r="T333" s="17"/>
      <c r="U333" s="17"/>
      <c r="V333" s="17"/>
      <c r="W333" s="17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91" t="s">
        <v>55</v>
      </c>
      <c r="B334" s="91" t="s">
        <v>38</v>
      </c>
      <c r="C334" s="91" t="s">
        <v>40</v>
      </c>
      <c r="D334" s="91" t="s">
        <v>37</v>
      </c>
      <c r="E334" s="91" t="s">
        <v>25</v>
      </c>
      <c r="F334" s="91" t="s">
        <v>25</v>
      </c>
      <c r="G334" s="91" t="s">
        <v>25</v>
      </c>
      <c r="H334" s="91" t="s">
        <v>33</v>
      </c>
      <c r="I334" s="99">
        <v>44501</v>
      </c>
      <c r="J334" s="100">
        <f>EFEITO!$J$334*EFEITO!$Y$334</f>
        <v>0</v>
      </c>
      <c r="K334" s="100">
        <f ca="1">EFEITO!$L$334*EFEITO!$Z$334</f>
        <v>19097.846178344364</v>
      </c>
      <c r="L334" s="100">
        <f>EFEITO!$N$334*EFEITO!$AA$334</f>
        <v>6284.7225778183329</v>
      </c>
      <c r="M334" s="100">
        <f>$J$334-EFEITO!$K$334*EFEITO!$Y$334</f>
        <v>0</v>
      </c>
      <c r="N334" s="100">
        <f ca="1">$K$334-EFEITO!$M$334*EFEITO!$Z$334</f>
        <v>0</v>
      </c>
      <c r="O334" s="100">
        <f>$L$334-EFEITO!$O$334*EFEITO!$AA$334</f>
        <v>0</v>
      </c>
      <c r="P334" s="17"/>
      <c r="Q334" s="17"/>
      <c r="R334" s="17"/>
      <c r="S334" s="17"/>
      <c r="T334" s="17"/>
      <c r="U334" s="17"/>
      <c r="V334" s="17"/>
      <c r="W334" s="17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91" t="s">
        <v>21</v>
      </c>
      <c r="B335" s="91" t="s">
        <v>38</v>
      </c>
      <c r="C335" s="91" t="s">
        <v>40</v>
      </c>
      <c r="D335" s="91" t="s">
        <v>37</v>
      </c>
      <c r="E335" s="91" t="s">
        <v>25</v>
      </c>
      <c r="F335" s="91" t="s">
        <v>25</v>
      </c>
      <c r="G335" s="91" t="s">
        <v>25</v>
      </c>
      <c r="H335" s="91" t="s">
        <v>33</v>
      </c>
      <c r="I335" s="99">
        <v>44531</v>
      </c>
      <c r="J335" s="100">
        <f>EFEITO!$J$335*EFEITO!$Y$335</f>
        <v>0</v>
      </c>
      <c r="K335" s="100">
        <f ca="1">EFEITO!$L$335*EFEITO!$Z$335</f>
        <v>27303.817662941252</v>
      </c>
      <c r="L335" s="100">
        <f>EFEITO!$N$335*EFEITO!$AA$335</f>
        <v>8985.1451165996368</v>
      </c>
      <c r="M335" s="100">
        <f>$J$335-EFEITO!$K$335*EFEITO!$Y$335</f>
        <v>0</v>
      </c>
      <c r="N335" s="100">
        <f ca="1">$K$335-EFEITO!$M$335*EFEITO!$Z$335</f>
        <v>0</v>
      </c>
      <c r="O335" s="100">
        <f>$L$335-EFEITO!$O$335*EFEITO!$AA$335</f>
        <v>0</v>
      </c>
      <c r="P335" s="17"/>
      <c r="Q335" s="17"/>
      <c r="R335" s="17"/>
      <c r="S335" s="17"/>
      <c r="T335" s="17"/>
      <c r="U335" s="17"/>
      <c r="V335" s="17"/>
      <c r="W335" s="17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91" t="s">
        <v>55</v>
      </c>
      <c r="B336" s="91" t="s">
        <v>38</v>
      </c>
      <c r="C336" s="91" t="s">
        <v>40</v>
      </c>
      <c r="D336" s="91" t="s">
        <v>37</v>
      </c>
      <c r="E336" s="91" t="s">
        <v>25</v>
      </c>
      <c r="F336" s="91" t="s">
        <v>25</v>
      </c>
      <c r="G336" s="91" t="s">
        <v>25</v>
      </c>
      <c r="H336" s="91" t="s">
        <v>33</v>
      </c>
      <c r="I336" s="99">
        <v>44531</v>
      </c>
      <c r="J336" s="100">
        <f>EFEITO!$J$336*EFEITO!$Y$336</f>
        <v>0</v>
      </c>
      <c r="K336" s="100">
        <f ca="1">EFEITO!$L$336*EFEITO!$Z$336</f>
        <v>23444.711932033679</v>
      </c>
      <c r="L336" s="100">
        <f>EFEITO!$N$336*EFEITO!$AA$336</f>
        <v>7715.1899242322042</v>
      </c>
      <c r="M336" s="100">
        <f>$J$336-EFEITO!$K$336*EFEITO!$Y$336</f>
        <v>0</v>
      </c>
      <c r="N336" s="100">
        <f ca="1">$K$336-EFEITO!$M$336*EFEITO!$Z$336</f>
        <v>0</v>
      </c>
      <c r="O336" s="100">
        <f>$L$336-EFEITO!$O$336*EFEITO!$AA$336</f>
        <v>0</v>
      </c>
      <c r="P336" s="17"/>
      <c r="Q336" s="17"/>
      <c r="R336" s="17"/>
      <c r="S336" s="17"/>
      <c r="T336" s="17"/>
      <c r="U336" s="17"/>
      <c r="V336" s="17"/>
      <c r="W336" s="17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91" t="s">
        <v>21</v>
      </c>
      <c r="B337" s="91" t="s">
        <v>38</v>
      </c>
      <c r="C337" s="91" t="s">
        <v>40</v>
      </c>
      <c r="D337" s="91" t="s">
        <v>37</v>
      </c>
      <c r="E337" s="91" t="s">
        <v>25</v>
      </c>
      <c r="F337" s="91" t="s">
        <v>25</v>
      </c>
      <c r="G337" s="91" t="s">
        <v>25</v>
      </c>
      <c r="H337" s="91" t="s">
        <v>33</v>
      </c>
      <c r="I337" s="99">
        <v>44562</v>
      </c>
      <c r="J337" s="100">
        <f>EFEITO!$J$337*EFEITO!$Y$337</f>
        <v>0</v>
      </c>
      <c r="K337" s="100">
        <f ca="1">EFEITO!$L$337*EFEITO!$Z$337</f>
        <v>24775.845562488714</v>
      </c>
      <c r="L337" s="100">
        <f>EFEITO!$N$337*EFEITO!$AA$337</f>
        <v>8153.2396133589436</v>
      </c>
      <c r="M337" s="100">
        <f>$J$337-EFEITO!$K$337*EFEITO!$Y$337</f>
        <v>0</v>
      </c>
      <c r="N337" s="100">
        <f ca="1">$K$337-EFEITO!$M$337*EFEITO!$Z$337</f>
        <v>0</v>
      </c>
      <c r="O337" s="100">
        <f>$L$337-EFEITO!$O$337*EFEITO!$AA$337</f>
        <v>0</v>
      </c>
      <c r="P337" s="17"/>
      <c r="Q337" s="17"/>
      <c r="R337" s="17"/>
      <c r="S337" s="17"/>
      <c r="T337" s="17"/>
      <c r="U337" s="17"/>
      <c r="V337" s="17"/>
      <c r="W337" s="17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91" t="s">
        <v>55</v>
      </c>
      <c r="B338" s="91" t="s">
        <v>38</v>
      </c>
      <c r="C338" s="91" t="s">
        <v>40</v>
      </c>
      <c r="D338" s="91" t="s">
        <v>37</v>
      </c>
      <c r="E338" s="91" t="s">
        <v>25</v>
      </c>
      <c r="F338" s="91" t="s">
        <v>25</v>
      </c>
      <c r="G338" s="91" t="s">
        <v>25</v>
      </c>
      <c r="H338" s="91" t="s">
        <v>33</v>
      </c>
      <c r="I338" s="99">
        <v>44562</v>
      </c>
      <c r="J338" s="100">
        <f>EFEITO!$J$338*EFEITO!$Y$338</f>
        <v>0</v>
      </c>
      <c r="K338" s="100">
        <f ca="1">EFEITO!$L$338*EFEITO!$Z$338</f>
        <v>18975.368992007097</v>
      </c>
      <c r="L338" s="100">
        <f>EFEITO!$N$338*EFEITO!$AA$338</f>
        <v>6244.4177638066722</v>
      </c>
      <c r="M338" s="100">
        <f>$J$338-EFEITO!$K$338*EFEITO!$Y$338</f>
        <v>0</v>
      </c>
      <c r="N338" s="100">
        <f ca="1">$K$338-EFEITO!$M$338*EFEITO!$Z$338</f>
        <v>0</v>
      </c>
      <c r="O338" s="100">
        <f>$L$338-EFEITO!$O$338*EFEITO!$AA$338</f>
        <v>0</v>
      </c>
      <c r="P338" s="17"/>
      <c r="Q338" s="17"/>
      <c r="R338" s="17"/>
      <c r="S338" s="17"/>
      <c r="T338" s="17"/>
      <c r="U338" s="17"/>
      <c r="V338" s="17"/>
      <c r="W338" s="17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91" t="s">
        <v>21</v>
      </c>
      <c r="B339" s="91" t="s">
        <v>38</v>
      </c>
      <c r="C339" s="91" t="s">
        <v>40</v>
      </c>
      <c r="D339" s="91" t="s">
        <v>37</v>
      </c>
      <c r="E339" s="91" t="s">
        <v>25</v>
      </c>
      <c r="F339" s="91" t="s">
        <v>25</v>
      </c>
      <c r="G339" s="91" t="s">
        <v>25</v>
      </c>
      <c r="H339" s="91" t="s">
        <v>33</v>
      </c>
      <c r="I339" s="99">
        <v>44593</v>
      </c>
      <c r="J339" s="100">
        <f>EFEITO!$J$339*EFEITO!$Y$339</f>
        <v>0</v>
      </c>
      <c r="K339" s="100">
        <f ca="1">EFEITO!$L$339*EFEITO!$Z$339</f>
        <v>25930.783942423466</v>
      </c>
      <c r="L339" s="100">
        <f>EFEITO!$N$339*EFEITO!$AA$339</f>
        <v>8533.3069384689061</v>
      </c>
      <c r="M339" s="100">
        <f>$J$339-EFEITO!$K$339*EFEITO!$Y$339</f>
        <v>0</v>
      </c>
      <c r="N339" s="100">
        <f ca="1">$K$339-EFEITO!$M$339*EFEITO!$Z$339</f>
        <v>0</v>
      </c>
      <c r="O339" s="100">
        <f>$L$339-EFEITO!$O$339*EFEITO!$AA$339</f>
        <v>0</v>
      </c>
      <c r="P339" s="17"/>
      <c r="Q339" s="17"/>
      <c r="R339" s="17"/>
      <c r="S339" s="17"/>
      <c r="T339" s="17"/>
      <c r="U339" s="17"/>
      <c r="V339" s="17"/>
      <c r="W339" s="17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91" t="s">
        <v>55</v>
      </c>
      <c r="B340" s="91" t="s">
        <v>38</v>
      </c>
      <c r="C340" s="91" t="s">
        <v>40</v>
      </c>
      <c r="D340" s="91" t="s">
        <v>37</v>
      </c>
      <c r="E340" s="91" t="s">
        <v>25</v>
      </c>
      <c r="F340" s="91" t="s">
        <v>25</v>
      </c>
      <c r="G340" s="91" t="s">
        <v>25</v>
      </c>
      <c r="H340" s="91" t="s">
        <v>33</v>
      </c>
      <c r="I340" s="99">
        <v>44593</v>
      </c>
      <c r="J340" s="100">
        <f>EFEITO!$J$340*EFEITO!$Y$340</f>
        <v>0</v>
      </c>
      <c r="K340" s="100">
        <f ca="1">EFEITO!$L$340*EFEITO!$Z$340</f>
        <v>27276.958630849742</v>
      </c>
      <c r="L340" s="100">
        <f>EFEITO!$N$340*EFEITO!$AA$340</f>
        <v>8976.3063415970773</v>
      </c>
      <c r="M340" s="100">
        <f>$J$340-EFEITO!$K$340*EFEITO!$Y$340</f>
        <v>0</v>
      </c>
      <c r="N340" s="100">
        <f ca="1">$K$340-EFEITO!$M$340*EFEITO!$Z$340</f>
        <v>0</v>
      </c>
      <c r="O340" s="100">
        <f>$L$340-EFEITO!$O$340*EFEITO!$AA$340</f>
        <v>0</v>
      </c>
      <c r="P340" s="17"/>
      <c r="Q340" s="17"/>
      <c r="R340" s="17"/>
      <c r="S340" s="17"/>
      <c r="T340" s="17"/>
      <c r="U340" s="17"/>
      <c r="V340" s="17"/>
      <c r="W340" s="17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91" t="s">
        <v>21</v>
      </c>
      <c r="B341" s="91" t="s">
        <v>38</v>
      </c>
      <c r="C341" s="91" t="s">
        <v>40</v>
      </c>
      <c r="D341" s="91" t="s">
        <v>37</v>
      </c>
      <c r="E341" s="91" t="s">
        <v>25</v>
      </c>
      <c r="F341" s="91" t="s">
        <v>25</v>
      </c>
      <c r="G341" s="91" t="s">
        <v>25</v>
      </c>
      <c r="H341" s="91" t="s">
        <v>33</v>
      </c>
      <c r="I341" s="99">
        <v>44621</v>
      </c>
      <c r="J341" s="100">
        <f>EFEITO!$J$341*EFEITO!$Y$341</f>
        <v>0</v>
      </c>
      <c r="K341" s="100">
        <f ca="1">EFEITO!$L$341*EFEITO!$Z$341</f>
        <v>21968.539528284517</v>
      </c>
      <c r="L341" s="100">
        <f>EFEITO!$N$341*EFEITO!$AA$341</f>
        <v>7229.4108500916564</v>
      </c>
      <c r="M341" s="100">
        <f>$J$341-EFEITO!$K$341*EFEITO!$Y$341</f>
        <v>0</v>
      </c>
      <c r="N341" s="100">
        <f ca="1">$K$341-EFEITO!$M$341*EFEITO!$Z$341</f>
        <v>0</v>
      </c>
      <c r="O341" s="100">
        <f>$L$341-EFEITO!$O$341*EFEITO!$AA$341</f>
        <v>0</v>
      </c>
      <c r="P341" s="17"/>
      <c r="Q341" s="17"/>
      <c r="R341" s="17"/>
      <c r="S341" s="17"/>
      <c r="T341" s="17"/>
      <c r="U341" s="17"/>
      <c r="V341" s="17"/>
      <c r="W341" s="17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91" t="s">
        <v>55</v>
      </c>
      <c r="B342" s="91" t="s">
        <v>38</v>
      </c>
      <c r="C342" s="91" t="s">
        <v>40</v>
      </c>
      <c r="D342" s="91" t="s">
        <v>37</v>
      </c>
      <c r="E342" s="91" t="s">
        <v>25</v>
      </c>
      <c r="F342" s="91" t="s">
        <v>25</v>
      </c>
      <c r="G342" s="91" t="s">
        <v>25</v>
      </c>
      <c r="H342" s="91" t="s">
        <v>33</v>
      </c>
      <c r="I342" s="99">
        <v>44621</v>
      </c>
      <c r="J342" s="100">
        <f>EFEITO!$J$342*EFEITO!$Y$342</f>
        <v>0</v>
      </c>
      <c r="K342" s="100">
        <f ca="1">EFEITO!$L$342*EFEITO!$Z$342</f>
        <v>27518.689919673299</v>
      </c>
      <c r="L342" s="100">
        <f>EFEITO!$N$342*EFEITO!$AA$342</f>
        <v>9055.8553166200945</v>
      </c>
      <c r="M342" s="100">
        <f>$J$342-EFEITO!$K$342*EFEITO!$Y$342</f>
        <v>0</v>
      </c>
      <c r="N342" s="100">
        <f ca="1">$K$342-EFEITO!$M$342*EFEITO!$Z$342</f>
        <v>0</v>
      </c>
      <c r="O342" s="100">
        <f>$L$342-EFEITO!$O$342*EFEITO!$AA$342</f>
        <v>0</v>
      </c>
      <c r="P342" s="17"/>
      <c r="Q342" s="17"/>
      <c r="R342" s="17"/>
      <c r="S342" s="17"/>
      <c r="T342" s="17"/>
      <c r="U342" s="17"/>
      <c r="V342" s="17"/>
      <c r="W342" s="17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91" t="s">
        <v>21</v>
      </c>
      <c r="B343" s="91" t="s">
        <v>38</v>
      </c>
      <c r="C343" s="91" t="s">
        <v>40</v>
      </c>
      <c r="D343" s="91" t="s">
        <v>37</v>
      </c>
      <c r="E343" s="91" t="s">
        <v>25</v>
      </c>
      <c r="F343" s="91" t="s">
        <v>25</v>
      </c>
      <c r="G343" s="91" t="s">
        <v>25</v>
      </c>
      <c r="H343" s="91" t="s">
        <v>33</v>
      </c>
      <c r="I343" s="99">
        <v>44652</v>
      </c>
      <c r="J343" s="100">
        <f>EFEITO!$J$343*EFEITO!$Y$343</f>
        <v>0</v>
      </c>
      <c r="K343" s="100">
        <f ca="1">EFEITO!$L$343*EFEITO!$Z$343</f>
        <v>25282.944088376345</v>
      </c>
      <c r="L343" s="100">
        <f>EFEITO!$N$343*EFEITO!$AA$343</f>
        <v>8320.1156854072251</v>
      </c>
      <c r="M343" s="100">
        <f>$J$343-EFEITO!$K$343*EFEITO!$Y$343</f>
        <v>0</v>
      </c>
      <c r="N343" s="100">
        <f ca="1">$K$343-EFEITO!$M$343*EFEITO!$Z$343</f>
        <v>0</v>
      </c>
      <c r="O343" s="100">
        <f>$L$343-EFEITO!$O$343*EFEITO!$AA$343</f>
        <v>0</v>
      </c>
      <c r="P343" s="17"/>
      <c r="Q343" s="17"/>
      <c r="R343" s="17"/>
      <c r="S343" s="17"/>
      <c r="T343" s="17"/>
      <c r="U343" s="17"/>
      <c r="V343" s="17"/>
      <c r="W343" s="17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91" t="s">
        <v>55</v>
      </c>
      <c r="B344" s="91" t="s">
        <v>38</v>
      </c>
      <c r="C344" s="91" t="s">
        <v>40</v>
      </c>
      <c r="D344" s="91" t="s">
        <v>37</v>
      </c>
      <c r="E344" s="91" t="s">
        <v>25</v>
      </c>
      <c r="F344" s="91" t="s">
        <v>25</v>
      </c>
      <c r="G344" s="91" t="s">
        <v>25</v>
      </c>
      <c r="H344" s="91" t="s">
        <v>33</v>
      </c>
      <c r="I344" s="99">
        <v>44652</v>
      </c>
      <c r="J344" s="100">
        <f>EFEITO!$J$344*EFEITO!$Y$344</f>
        <v>0</v>
      </c>
      <c r="K344" s="100">
        <f ca="1">EFEITO!$L$344*EFEITO!$Z$344</f>
        <v>12142.431227927993</v>
      </c>
      <c r="L344" s="100">
        <f>EFEITO!$N$344*EFEITO!$AA$344</f>
        <v>3995.833403156098</v>
      </c>
      <c r="M344" s="100">
        <f>$J$344-EFEITO!$K$344*EFEITO!$Y$344</f>
        <v>0</v>
      </c>
      <c r="N344" s="100">
        <f ca="1">$K$344-EFEITO!$M$344*EFEITO!$Z$344</f>
        <v>0</v>
      </c>
      <c r="O344" s="100">
        <f>$L$344-EFEITO!$O$344*EFEITO!$AA$344</f>
        <v>0</v>
      </c>
      <c r="P344" s="17"/>
      <c r="Q344" s="17"/>
      <c r="R344" s="17"/>
      <c r="S344" s="17"/>
      <c r="T344" s="17"/>
      <c r="U344" s="17"/>
      <c r="V344" s="17"/>
      <c r="W344" s="17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91" t="s">
        <v>21</v>
      </c>
      <c r="B345" s="91" t="s">
        <v>38</v>
      </c>
      <c r="C345" s="91" t="s">
        <v>40</v>
      </c>
      <c r="D345" s="91" t="s">
        <v>37</v>
      </c>
      <c r="E345" s="91" t="s">
        <v>25</v>
      </c>
      <c r="F345" s="91" t="s">
        <v>25</v>
      </c>
      <c r="G345" s="91" t="s">
        <v>25</v>
      </c>
      <c r="H345" s="91" t="s">
        <v>33</v>
      </c>
      <c r="I345" s="99">
        <v>44682</v>
      </c>
      <c r="J345" s="100">
        <f>EFEITO!$J$345*EFEITO!$Y$345</f>
        <v>0</v>
      </c>
      <c r="K345" s="100">
        <f ca="1">EFEITO!$L$345*EFEITO!$Z$345</f>
        <v>22036.22428915511</v>
      </c>
      <c r="L345" s="100">
        <f>EFEITO!$N$345*EFEITO!$AA$345</f>
        <v>7251.6845630981006</v>
      </c>
      <c r="M345" s="100">
        <f>$J$345-EFEITO!$K$345*EFEITO!$Y$345</f>
        <v>0</v>
      </c>
      <c r="N345" s="100">
        <f ca="1">$K$345-EFEITO!$M$345*EFEITO!$Z$345</f>
        <v>0</v>
      </c>
      <c r="O345" s="100">
        <f>$L$345-EFEITO!$O$345*EFEITO!$AA$345</f>
        <v>0</v>
      </c>
      <c r="P345" s="17"/>
      <c r="Q345" s="17"/>
      <c r="R345" s="17"/>
      <c r="S345" s="17"/>
      <c r="T345" s="17"/>
      <c r="U345" s="17"/>
      <c r="V345" s="17"/>
      <c r="W345" s="17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91" t="s">
        <v>55</v>
      </c>
      <c r="B346" s="91" t="s">
        <v>38</v>
      </c>
      <c r="C346" s="91" t="s">
        <v>40</v>
      </c>
      <c r="D346" s="91" t="s">
        <v>37</v>
      </c>
      <c r="E346" s="91" t="s">
        <v>25</v>
      </c>
      <c r="F346" s="91" t="s">
        <v>25</v>
      </c>
      <c r="G346" s="91" t="s">
        <v>25</v>
      </c>
      <c r="H346" s="91" t="s">
        <v>33</v>
      </c>
      <c r="I346" s="99">
        <v>44682</v>
      </c>
      <c r="J346" s="100">
        <f>EFEITO!$J$346*EFEITO!$Y$346</f>
        <v>0</v>
      </c>
      <c r="K346" s="100">
        <f ca="1">EFEITO!$L$346*EFEITO!$Z$346</f>
        <v>12039.292544696609</v>
      </c>
      <c r="L346" s="100">
        <f>EFEITO!$N$346*EFEITO!$AA$346</f>
        <v>3961.8925071462781</v>
      </c>
      <c r="M346" s="100">
        <f>$J$346-EFEITO!$K$346*EFEITO!$Y$346</f>
        <v>0</v>
      </c>
      <c r="N346" s="100">
        <f ca="1">$K$346-EFEITO!$M$346*EFEITO!$Z$346</f>
        <v>0</v>
      </c>
      <c r="O346" s="100">
        <f>$L$346-EFEITO!$O$346*EFEITO!$AA$346</f>
        <v>0</v>
      </c>
      <c r="P346" s="17"/>
      <c r="Q346" s="17"/>
      <c r="R346" s="17"/>
      <c r="S346" s="17"/>
      <c r="T346" s="17"/>
      <c r="U346" s="17"/>
      <c r="V346" s="17"/>
      <c r="W346" s="17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91" t="s">
        <v>56</v>
      </c>
      <c r="B347" s="91" t="s">
        <v>38</v>
      </c>
      <c r="C347" s="91" t="s">
        <v>40</v>
      </c>
      <c r="D347" s="91" t="s">
        <v>37</v>
      </c>
      <c r="E347" s="91" t="s">
        <v>25</v>
      </c>
      <c r="F347" s="91" t="s">
        <v>25</v>
      </c>
      <c r="G347" s="91" t="s">
        <v>25</v>
      </c>
      <c r="H347" s="91" t="s">
        <v>33</v>
      </c>
      <c r="I347" s="99">
        <v>44713</v>
      </c>
      <c r="J347" s="100">
        <f>EFEITO!$J$347*EFEITO!$Y$347</f>
        <v>0</v>
      </c>
      <c r="K347" s="100">
        <f ca="1">EFEITO!$L$347*EFEITO!$Z$347</f>
        <v>22036.22428915511</v>
      </c>
      <c r="L347" s="100">
        <f>EFEITO!$N$347*EFEITO!$AA$347</f>
        <v>7251.6845630981006</v>
      </c>
      <c r="M347" s="100">
        <f>$J$347-EFEITO!$K$347*EFEITO!$Y$347</f>
        <v>0</v>
      </c>
      <c r="N347" s="100">
        <f ca="1">$K$347-EFEITO!$M$347*EFEITO!$Z$347</f>
        <v>0</v>
      </c>
      <c r="O347" s="100">
        <f>$L$347-EFEITO!$O$347*EFEITO!$AA$347</f>
        <v>0</v>
      </c>
      <c r="P347" s="17"/>
      <c r="Q347" s="17"/>
      <c r="R347" s="17"/>
      <c r="S347" s="17"/>
      <c r="T347" s="17"/>
      <c r="U347" s="17"/>
      <c r="V347" s="17"/>
      <c r="W347" s="17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91" t="s">
        <v>56</v>
      </c>
      <c r="B348" s="91" t="s">
        <v>38</v>
      </c>
      <c r="C348" s="91" t="s">
        <v>40</v>
      </c>
      <c r="D348" s="91" t="s">
        <v>37</v>
      </c>
      <c r="E348" s="91" t="s">
        <v>25</v>
      </c>
      <c r="F348" s="91" t="s">
        <v>25</v>
      </c>
      <c r="G348" s="91" t="s">
        <v>25</v>
      </c>
      <c r="H348" s="91" t="s">
        <v>33</v>
      </c>
      <c r="I348" s="99">
        <v>44713</v>
      </c>
      <c r="J348" s="100">
        <f>EFEITO!$J$348*EFEITO!$Y$348</f>
        <v>0</v>
      </c>
      <c r="K348" s="100">
        <f ca="1">EFEITO!$L$348*EFEITO!$Z$348</f>
        <v>12039.292544696609</v>
      </c>
      <c r="L348" s="100">
        <f>EFEITO!$N$348*EFEITO!$AA$348</f>
        <v>3961.8925071462781</v>
      </c>
      <c r="M348" s="100">
        <f>$J$348-EFEITO!$K$348*EFEITO!$Y$348</f>
        <v>0</v>
      </c>
      <c r="N348" s="100">
        <f ca="1">$K$348-EFEITO!$M$348*EFEITO!$Z$348</f>
        <v>0</v>
      </c>
      <c r="O348" s="100">
        <f>$L$348-EFEITO!$O$348*EFEITO!$AA$348</f>
        <v>0</v>
      </c>
      <c r="P348" s="17"/>
      <c r="Q348" s="17"/>
      <c r="R348" s="17"/>
      <c r="S348" s="17"/>
      <c r="T348" s="17"/>
      <c r="U348" s="17"/>
      <c r="V348" s="17"/>
      <c r="W348" s="17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91" t="s">
        <v>21</v>
      </c>
      <c r="B349" s="91" t="s">
        <v>38</v>
      </c>
      <c r="C349" s="91" t="s">
        <v>40</v>
      </c>
      <c r="D349" s="91" t="s">
        <v>44</v>
      </c>
      <c r="E349" s="91" t="s">
        <v>25</v>
      </c>
      <c r="F349" s="91" t="s">
        <v>25</v>
      </c>
      <c r="G349" s="91" t="s">
        <v>25</v>
      </c>
      <c r="H349" s="91" t="s">
        <v>34</v>
      </c>
      <c r="I349" s="99">
        <v>44378</v>
      </c>
      <c r="J349" s="100">
        <f>EFEITO!$J$349*EFEITO!$Y$349</f>
        <v>0</v>
      </c>
      <c r="K349" s="100">
        <f ca="1">EFEITO!$L$349*EFEITO!$Z$349</f>
        <v>3703.6774913774657</v>
      </c>
      <c r="L349" s="100">
        <f>EFEITO!$N$349*EFEITO!$AA$349</f>
        <v>8106.7452827351954</v>
      </c>
      <c r="M349" s="100">
        <f>$J$349-EFEITO!$K$349*EFEITO!$Y$349</f>
        <v>0</v>
      </c>
      <c r="N349" s="100">
        <f ca="1">$K$349-EFEITO!$M$349*EFEITO!$Z$349</f>
        <v>0</v>
      </c>
      <c r="O349" s="100">
        <f>$L$349-EFEITO!$O$349*EFEITO!$AA$349</f>
        <v>0</v>
      </c>
      <c r="P349" s="17"/>
      <c r="Q349" s="17"/>
      <c r="R349" s="17"/>
      <c r="S349" s="17"/>
      <c r="T349" s="17"/>
      <c r="U349" s="17"/>
      <c r="V349" s="17"/>
      <c r="W349" s="17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91" t="s">
        <v>21</v>
      </c>
      <c r="B350" s="91" t="s">
        <v>38</v>
      </c>
      <c r="C350" s="91" t="s">
        <v>40</v>
      </c>
      <c r="D350" s="91" t="s">
        <v>44</v>
      </c>
      <c r="E350" s="91" t="s">
        <v>25</v>
      </c>
      <c r="F350" s="91" t="s">
        <v>25</v>
      </c>
      <c r="G350" s="91" t="s">
        <v>25</v>
      </c>
      <c r="H350" s="91" t="s">
        <v>34</v>
      </c>
      <c r="I350" s="99">
        <v>44409</v>
      </c>
      <c r="J350" s="100">
        <f>EFEITO!$J$350*EFEITO!$Y$350</f>
        <v>0</v>
      </c>
      <c r="K350" s="100">
        <f ca="1">EFEITO!$L$350*EFEITO!$Z$350</f>
        <v>3208.9049103214379</v>
      </c>
      <c r="L350" s="100">
        <f>EFEITO!$N$350*EFEITO!$AA$350</f>
        <v>7023.7688905302393</v>
      </c>
      <c r="M350" s="100">
        <f>$J$350-EFEITO!$K$350*EFEITO!$Y$350</f>
        <v>0</v>
      </c>
      <c r="N350" s="100">
        <f ca="1">$K$350-EFEITO!$M$350*EFEITO!$Z$350</f>
        <v>0</v>
      </c>
      <c r="O350" s="100">
        <f>$L$350-EFEITO!$O$350*EFEITO!$AA$350</f>
        <v>0</v>
      </c>
      <c r="P350" s="17"/>
      <c r="Q350" s="17"/>
      <c r="R350" s="17"/>
      <c r="S350" s="17"/>
      <c r="T350" s="17"/>
      <c r="U350" s="17"/>
      <c r="V350" s="17"/>
      <c r="W350" s="17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91" t="s">
        <v>21</v>
      </c>
      <c r="B351" s="91" t="s">
        <v>38</v>
      </c>
      <c r="C351" s="91" t="s">
        <v>40</v>
      </c>
      <c r="D351" s="91" t="s">
        <v>44</v>
      </c>
      <c r="E351" s="91" t="s">
        <v>25</v>
      </c>
      <c r="F351" s="91" t="s">
        <v>25</v>
      </c>
      <c r="G351" s="91" t="s">
        <v>25</v>
      </c>
      <c r="H351" s="91" t="s">
        <v>34</v>
      </c>
      <c r="I351" s="99">
        <v>44440</v>
      </c>
      <c r="J351" s="100">
        <f>EFEITO!$J$351*EFEITO!$Y$351</f>
        <v>0</v>
      </c>
      <c r="K351" s="100">
        <f ca="1">EFEITO!$L$351*EFEITO!$Z$351</f>
        <v>2850.856356931622</v>
      </c>
      <c r="L351" s="100">
        <f>EFEITO!$N$351*EFEITO!$AA$351</f>
        <v>6240.0590702392947</v>
      </c>
      <c r="M351" s="100">
        <f>$J$351-EFEITO!$K$351*EFEITO!$Y$351</f>
        <v>0</v>
      </c>
      <c r="N351" s="100">
        <f ca="1">$K$351-EFEITO!$M$351*EFEITO!$Z$351</f>
        <v>0</v>
      </c>
      <c r="O351" s="100">
        <f>$L$351-EFEITO!$O$351*EFEITO!$AA$351</f>
        <v>0</v>
      </c>
      <c r="P351" s="17"/>
      <c r="Q351" s="17"/>
      <c r="R351" s="17"/>
      <c r="S351" s="17"/>
      <c r="T351" s="17"/>
      <c r="U351" s="17"/>
      <c r="V351" s="17"/>
      <c r="W351" s="17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91" t="s">
        <v>21</v>
      </c>
      <c r="B352" s="91" t="s">
        <v>38</v>
      </c>
      <c r="C352" s="91" t="s">
        <v>40</v>
      </c>
      <c r="D352" s="91" t="s">
        <v>44</v>
      </c>
      <c r="E352" s="91" t="s">
        <v>25</v>
      </c>
      <c r="F352" s="91" t="s">
        <v>25</v>
      </c>
      <c r="G352" s="91" t="s">
        <v>25</v>
      </c>
      <c r="H352" s="91" t="s">
        <v>34</v>
      </c>
      <c r="I352" s="99">
        <v>44470</v>
      </c>
      <c r="J352" s="100">
        <f>EFEITO!$J$352*EFEITO!$Y$352</f>
        <v>0</v>
      </c>
      <c r="K352" s="100">
        <f ca="1">EFEITO!$L$352*EFEITO!$Z$352</f>
        <v>2894.5599317574784</v>
      </c>
      <c r="L352" s="100">
        <f>EFEITO!$N$352*EFEITO!$AA$352</f>
        <v>6335.7190595021311</v>
      </c>
      <c r="M352" s="100">
        <f>$J$352-EFEITO!$K$352*EFEITO!$Y$352</f>
        <v>0</v>
      </c>
      <c r="N352" s="100">
        <f ca="1">$K$352-EFEITO!$M$352*EFEITO!$Z$352</f>
        <v>0</v>
      </c>
      <c r="O352" s="100">
        <f>$L$352-EFEITO!$O$352*EFEITO!$AA$352</f>
        <v>0</v>
      </c>
      <c r="P352" s="17"/>
      <c r="Q352" s="17"/>
      <c r="R352" s="17"/>
      <c r="S352" s="17"/>
      <c r="T352" s="17"/>
      <c r="U352" s="17"/>
      <c r="V352" s="17"/>
      <c r="W352" s="17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91" t="s">
        <v>21</v>
      </c>
      <c r="B353" s="91" t="s">
        <v>38</v>
      </c>
      <c r="C353" s="91" t="s">
        <v>40</v>
      </c>
      <c r="D353" s="91" t="s">
        <v>44</v>
      </c>
      <c r="E353" s="91" t="s">
        <v>25</v>
      </c>
      <c r="F353" s="91" t="s">
        <v>25</v>
      </c>
      <c r="G353" s="91" t="s">
        <v>25</v>
      </c>
      <c r="H353" s="91" t="s">
        <v>34</v>
      </c>
      <c r="I353" s="99">
        <v>44501</v>
      </c>
      <c r="J353" s="100">
        <f>EFEITO!$J$353*EFEITO!$Y$353</f>
        <v>0</v>
      </c>
      <c r="K353" s="100">
        <f ca="1">EFEITO!$L$353*EFEITO!$Z$353</f>
        <v>3562.7434863197723</v>
      </c>
      <c r="L353" s="100">
        <f>EFEITO!$N$353*EFEITO!$AA$353</f>
        <v>7798.263757727058</v>
      </c>
      <c r="M353" s="100">
        <f>$J$353-EFEITO!$K$353*EFEITO!$Y$353</f>
        <v>0</v>
      </c>
      <c r="N353" s="100">
        <f ca="1">$K$353-EFEITO!$M$353*EFEITO!$Z$353</f>
        <v>0</v>
      </c>
      <c r="O353" s="100">
        <f>$L$353-EFEITO!$O$353*EFEITO!$AA$353</f>
        <v>0</v>
      </c>
      <c r="P353" s="17"/>
      <c r="Q353" s="17"/>
      <c r="R353" s="17"/>
      <c r="S353" s="17"/>
      <c r="T353" s="17"/>
      <c r="U353" s="17"/>
      <c r="V353" s="17"/>
      <c r="W353" s="17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91" t="s">
        <v>21</v>
      </c>
      <c r="B354" s="91" t="s">
        <v>38</v>
      </c>
      <c r="C354" s="91" t="s">
        <v>40</v>
      </c>
      <c r="D354" s="91" t="s">
        <v>44</v>
      </c>
      <c r="E354" s="91" t="s">
        <v>25</v>
      </c>
      <c r="F354" s="91" t="s">
        <v>25</v>
      </c>
      <c r="G354" s="91" t="s">
        <v>25</v>
      </c>
      <c r="H354" s="91" t="s">
        <v>34</v>
      </c>
      <c r="I354" s="99">
        <v>44531</v>
      </c>
      <c r="J354" s="100">
        <f>EFEITO!$J$354*EFEITO!$Y$354</f>
        <v>0</v>
      </c>
      <c r="K354" s="100">
        <f ca="1">EFEITO!$L$354*EFEITO!$Z$354</f>
        <v>3714.0019597422897</v>
      </c>
      <c r="L354" s="100">
        <f>EFEITO!$N$354*EFEITO!$AA$354</f>
        <v>8129.3438581803157</v>
      </c>
      <c r="M354" s="100">
        <f>$J$354-EFEITO!$K$354*EFEITO!$Y$354</f>
        <v>0</v>
      </c>
      <c r="N354" s="100">
        <f ca="1">$K$354-EFEITO!$M$354*EFEITO!$Z$354</f>
        <v>0</v>
      </c>
      <c r="O354" s="100">
        <f>$L$354-EFEITO!$O$354*EFEITO!$AA$354</f>
        <v>0</v>
      </c>
      <c r="P354" s="17"/>
      <c r="Q354" s="17"/>
      <c r="R354" s="17"/>
      <c r="S354" s="17"/>
      <c r="T354" s="17"/>
      <c r="U354" s="17"/>
      <c r="V354" s="17"/>
      <c r="W354" s="17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91" t="s">
        <v>21</v>
      </c>
      <c r="B355" s="91" t="s">
        <v>38</v>
      </c>
      <c r="C355" s="91" t="s">
        <v>40</v>
      </c>
      <c r="D355" s="91" t="s">
        <v>44</v>
      </c>
      <c r="E355" s="91" t="s">
        <v>25</v>
      </c>
      <c r="F355" s="91" t="s">
        <v>25</v>
      </c>
      <c r="G355" s="91" t="s">
        <v>25</v>
      </c>
      <c r="H355" s="91" t="s">
        <v>34</v>
      </c>
      <c r="I355" s="99">
        <v>44562</v>
      </c>
      <c r="J355" s="100">
        <f>EFEITO!$J$355*EFEITO!$Y$355</f>
        <v>0</v>
      </c>
      <c r="K355" s="100">
        <f ca="1">EFEITO!$L$355*EFEITO!$Z$355</f>
        <v>3774.2447314632523</v>
      </c>
      <c r="L355" s="100">
        <f>EFEITO!$N$355*EFEITO!$AA$355</f>
        <v>8261.2054488843623</v>
      </c>
      <c r="M355" s="100">
        <f>$J$355-EFEITO!$K$355*EFEITO!$Y$355</f>
        <v>0</v>
      </c>
      <c r="N355" s="100">
        <f ca="1">$K$355-EFEITO!$M$355*EFEITO!$Z$355</f>
        <v>0</v>
      </c>
      <c r="O355" s="100">
        <f>$L$355-EFEITO!$O$355*EFEITO!$AA$355</f>
        <v>0</v>
      </c>
      <c r="P355" s="17"/>
      <c r="Q355" s="17"/>
      <c r="R355" s="17"/>
      <c r="S355" s="17"/>
      <c r="T355" s="17"/>
      <c r="U355" s="17"/>
      <c r="V355" s="17"/>
      <c r="W355" s="17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91" t="s">
        <v>21</v>
      </c>
      <c r="B356" s="91" t="s">
        <v>38</v>
      </c>
      <c r="C356" s="91" t="s">
        <v>40</v>
      </c>
      <c r="D356" s="91" t="s">
        <v>44</v>
      </c>
      <c r="E356" s="91" t="s">
        <v>25</v>
      </c>
      <c r="F356" s="91" t="s">
        <v>25</v>
      </c>
      <c r="G356" s="91" t="s">
        <v>25</v>
      </c>
      <c r="H356" s="91" t="s">
        <v>34</v>
      </c>
      <c r="I356" s="99">
        <v>44593</v>
      </c>
      <c r="J356" s="100">
        <f>EFEITO!$J$356*EFEITO!$Y$356</f>
        <v>0</v>
      </c>
      <c r="K356" s="100">
        <f ca="1">EFEITO!$L$356*EFEITO!$Z$356</f>
        <v>4815.6127105133082</v>
      </c>
      <c r="L356" s="100">
        <f>EFEITO!$N$356*EFEITO!$AA$356</f>
        <v>10540.58991781007</v>
      </c>
      <c r="M356" s="100">
        <f>$J$356-EFEITO!$K$356*EFEITO!$Y$356</f>
        <v>0</v>
      </c>
      <c r="N356" s="100">
        <f ca="1">$K$356-EFEITO!$M$356*EFEITO!$Z$356</f>
        <v>0</v>
      </c>
      <c r="O356" s="100">
        <f>$L$356-EFEITO!$O$356*EFEITO!$AA$356</f>
        <v>0</v>
      </c>
      <c r="P356" s="17"/>
      <c r="Q356" s="17"/>
      <c r="R356" s="17"/>
      <c r="S356" s="17"/>
      <c r="T356" s="17"/>
      <c r="U356" s="17"/>
      <c r="V356" s="17"/>
      <c r="W356" s="17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91" t="s">
        <v>21</v>
      </c>
      <c r="B357" s="91" t="s">
        <v>38</v>
      </c>
      <c r="C357" s="91" t="s">
        <v>40</v>
      </c>
      <c r="D357" s="91" t="s">
        <v>44</v>
      </c>
      <c r="E357" s="91" t="s">
        <v>25</v>
      </c>
      <c r="F357" s="91" t="s">
        <v>25</v>
      </c>
      <c r="G357" s="91" t="s">
        <v>25</v>
      </c>
      <c r="H357" s="91" t="s">
        <v>34</v>
      </c>
      <c r="I357" s="99">
        <v>44621</v>
      </c>
      <c r="J357" s="100">
        <f>EFEITO!$J$357*EFEITO!$Y$357</f>
        <v>0</v>
      </c>
      <c r="K357" s="100">
        <f ca="1">EFEITO!$L$357*EFEITO!$Z$357</f>
        <v>5487.4048171254426</v>
      </c>
      <c r="L357" s="100">
        <f>EFEITO!$N$357*EFEITO!$AA$357</f>
        <v>12011.033147258533</v>
      </c>
      <c r="M357" s="100">
        <f>$J$357-EFEITO!$K$357*EFEITO!$Y$357</f>
        <v>0</v>
      </c>
      <c r="N357" s="100">
        <f ca="1">$K$357-EFEITO!$M$357*EFEITO!$Z$357</f>
        <v>0</v>
      </c>
      <c r="O357" s="100">
        <f>$L$357-EFEITO!$O$357*EFEITO!$AA$357</f>
        <v>0</v>
      </c>
      <c r="P357" s="17"/>
      <c r="Q357" s="17"/>
      <c r="R357" s="17"/>
      <c r="S357" s="17"/>
      <c r="T357" s="17"/>
      <c r="U357" s="17"/>
      <c r="V357" s="17"/>
      <c r="W357" s="17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91" t="s">
        <v>21</v>
      </c>
      <c r="B358" s="91" t="s">
        <v>38</v>
      </c>
      <c r="C358" s="91" t="s">
        <v>40</v>
      </c>
      <c r="D358" s="91" t="s">
        <v>44</v>
      </c>
      <c r="E358" s="91" t="s">
        <v>25</v>
      </c>
      <c r="F358" s="91" t="s">
        <v>25</v>
      </c>
      <c r="G358" s="91" t="s">
        <v>25</v>
      </c>
      <c r="H358" s="91" t="s">
        <v>34</v>
      </c>
      <c r="I358" s="99">
        <v>44652</v>
      </c>
      <c r="J358" s="100">
        <f>EFEITO!$J$358*EFEITO!$Y$358</f>
        <v>0</v>
      </c>
      <c r="K358" s="100">
        <f ca="1">EFEITO!$L$358*EFEITO!$Z$358</f>
        <v>4288.1626858948275</v>
      </c>
      <c r="L358" s="100">
        <f>EFEITO!$N$358*EFEITO!$AA$358</f>
        <v>9386.0879373030857</v>
      </c>
      <c r="M358" s="100">
        <f>$J$358-EFEITO!$K$358*EFEITO!$Y$358</f>
        <v>0</v>
      </c>
      <c r="N358" s="100">
        <f ca="1">$K$358-EFEITO!$M$358*EFEITO!$Z$358</f>
        <v>0</v>
      </c>
      <c r="O358" s="100">
        <f>$L$358-EFEITO!$O$358*EFEITO!$AA$358</f>
        <v>0</v>
      </c>
      <c r="P358" s="17"/>
      <c r="Q358" s="17"/>
      <c r="R358" s="17"/>
      <c r="S358" s="17"/>
      <c r="T358" s="17"/>
      <c r="U358" s="17"/>
      <c r="V358" s="17"/>
      <c r="W358" s="17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91" t="s">
        <v>21</v>
      </c>
      <c r="B359" s="91" t="s">
        <v>38</v>
      </c>
      <c r="C359" s="91" t="s">
        <v>40</v>
      </c>
      <c r="D359" s="91" t="s">
        <v>44</v>
      </c>
      <c r="E359" s="91" t="s">
        <v>25</v>
      </c>
      <c r="F359" s="91" t="s">
        <v>25</v>
      </c>
      <c r="G359" s="91" t="s">
        <v>25</v>
      </c>
      <c r="H359" s="91" t="s">
        <v>34</v>
      </c>
      <c r="I359" s="99">
        <v>44682</v>
      </c>
      <c r="J359" s="100">
        <f>EFEITO!$J$359*EFEITO!$Y$359</f>
        <v>0</v>
      </c>
      <c r="K359" s="100">
        <f ca="1">EFEITO!$L$359*EFEITO!$Z$359</f>
        <v>5112.0151663850002</v>
      </c>
      <c r="L359" s="100">
        <f>EFEITO!$N$359*EFEITO!$AA$359</f>
        <v>11189.366496365592</v>
      </c>
      <c r="M359" s="100">
        <f>$J$359-EFEITO!$K$359*EFEITO!$Y$359</f>
        <v>0</v>
      </c>
      <c r="N359" s="100">
        <f ca="1">$K$359-EFEITO!$M$359*EFEITO!$Z$359</f>
        <v>0</v>
      </c>
      <c r="O359" s="100">
        <f>$L$359-EFEITO!$O$359*EFEITO!$AA$359</f>
        <v>0</v>
      </c>
      <c r="P359" s="17"/>
      <c r="Q359" s="17"/>
      <c r="R359" s="17"/>
      <c r="S359" s="17"/>
      <c r="T359" s="17"/>
      <c r="U359" s="17"/>
      <c r="V359" s="17"/>
      <c r="W359" s="17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91" t="s">
        <v>56</v>
      </c>
      <c r="B360" s="91" t="s">
        <v>38</v>
      </c>
      <c r="C360" s="91" t="s">
        <v>40</v>
      </c>
      <c r="D360" s="91" t="s">
        <v>44</v>
      </c>
      <c r="E360" s="91" t="s">
        <v>25</v>
      </c>
      <c r="F360" s="91" t="s">
        <v>25</v>
      </c>
      <c r="G360" s="91" t="s">
        <v>25</v>
      </c>
      <c r="H360" s="91" t="s">
        <v>34</v>
      </c>
      <c r="I360" s="99">
        <v>44713</v>
      </c>
      <c r="J360" s="100">
        <f>EFEITO!$J$360*EFEITO!$Y$360</f>
        <v>0</v>
      </c>
      <c r="K360" s="100">
        <f ca="1">EFEITO!$L$360*EFEITO!$Z$360</f>
        <v>5112.0151663850002</v>
      </c>
      <c r="L360" s="100">
        <f>EFEITO!$N$360*EFEITO!$AA$360</f>
        <v>11189.366496365592</v>
      </c>
      <c r="M360" s="100">
        <f>$J$360-EFEITO!$K$360*EFEITO!$Y$360</f>
        <v>0</v>
      </c>
      <c r="N360" s="100">
        <f ca="1">$K$360-EFEITO!$M$360*EFEITO!$Z$360</f>
        <v>0</v>
      </c>
      <c r="O360" s="100">
        <f>$L$360-EFEITO!$O$360*EFEITO!$AA$360</f>
        <v>0</v>
      </c>
      <c r="P360" s="17"/>
      <c r="Q360" s="17"/>
      <c r="R360" s="17"/>
      <c r="S360" s="17"/>
      <c r="T360" s="17"/>
      <c r="U360" s="17"/>
      <c r="V360" s="17"/>
      <c r="W360" s="17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91" t="s">
        <v>21</v>
      </c>
      <c r="B361" s="91" t="s">
        <v>38</v>
      </c>
      <c r="C361" s="91" t="s">
        <v>40</v>
      </c>
      <c r="D361" s="91" t="s">
        <v>44</v>
      </c>
      <c r="E361" s="91" t="s">
        <v>25</v>
      </c>
      <c r="F361" s="91" t="s">
        <v>25</v>
      </c>
      <c r="G361" s="91" t="s">
        <v>25</v>
      </c>
      <c r="H361" s="91" t="s">
        <v>25</v>
      </c>
      <c r="I361" s="99">
        <v>44378</v>
      </c>
      <c r="J361" s="100">
        <f ca="1">EFEITO!$J$361*EFEITO!$Y$361</f>
        <v>5894.8676732395852</v>
      </c>
      <c r="K361" s="100">
        <f>EFEITO!$L$361*EFEITO!$Z$361</f>
        <v>0</v>
      </c>
      <c r="L361" s="100">
        <f>EFEITO!$N$361*EFEITO!$AA$361</f>
        <v>0</v>
      </c>
      <c r="M361" s="100">
        <f ca="1">$J$361-EFEITO!$K$361*EFEITO!$Y$361</f>
        <v>0</v>
      </c>
      <c r="N361" s="100">
        <f>$K$361-EFEITO!$M$361*EFEITO!$Z$361</f>
        <v>0</v>
      </c>
      <c r="O361" s="100">
        <f>$L$361-EFEITO!$O$361*EFEITO!$AA$361</f>
        <v>0</v>
      </c>
      <c r="P361" s="17"/>
      <c r="Q361" s="17"/>
      <c r="R361" s="17"/>
      <c r="S361" s="17"/>
      <c r="T361" s="17"/>
      <c r="U361" s="17"/>
      <c r="V361" s="17"/>
      <c r="W361" s="17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91" t="s">
        <v>21</v>
      </c>
      <c r="B362" s="91" t="s">
        <v>38</v>
      </c>
      <c r="C362" s="91" t="s">
        <v>40</v>
      </c>
      <c r="D362" s="91" t="s">
        <v>44</v>
      </c>
      <c r="E362" s="91" t="s">
        <v>25</v>
      </c>
      <c r="F362" s="91" t="s">
        <v>25</v>
      </c>
      <c r="G362" s="91" t="s">
        <v>25</v>
      </c>
      <c r="H362" s="91" t="s">
        <v>25</v>
      </c>
      <c r="I362" s="99">
        <v>44409</v>
      </c>
      <c r="J362" s="100">
        <f ca="1">EFEITO!$J$362*EFEITO!$Y$362</f>
        <v>5803.7099257152613</v>
      </c>
      <c r="K362" s="100">
        <f>EFEITO!$L$362*EFEITO!$Z$362</f>
        <v>0</v>
      </c>
      <c r="L362" s="100">
        <f>EFEITO!$N$362*EFEITO!$AA$362</f>
        <v>0</v>
      </c>
      <c r="M362" s="100">
        <f ca="1">$J$362-EFEITO!$K$362*EFEITO!$Y$362</f>
        <v>0</v>
      </c>
      <c r="N362" s="100">
        <f>$K$362-EFEITO!$M$362*EFEITO!$Z$362</f>
        <v>0</v>
      </c>
      <c r="O362" s="100">
        <f>$L$362-EFEITO!$O$362*EFEITO!$AA$362</f>
        <v>0</v>
      </c>
      <c r="P362" s="17"/>
      <c r="Q362" s="17"/>
      <c r="R362" s="17"/>
      <c r="S362" s="17"/>
      <c r="T362" s="17"/>
      <c r="U362" s="17"/>
      <c r="V362" s="17"/>
      <c r="W362" s="17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91" t="s">
        <v>21</v>
      </c>
      <c r="B363" s="91" t="s">
        <v>38</v>
      </c>
      <c r="C363" s="91" t="s">
        <v>40</v>
      </c>
      <c r="D363" s="91" t="s">
        <v>44</v>
      </c>
      <c r="E363" s="91" t="s">
        <v>25</v>
      </c>
      <c r="F363" s="91" t="s">
        <v>25</v>
      </c>
      <c r="G363" s="91" t="s">
        <v>25</v>
      </c>
      <c r="H363" s="91" t="s">
        <v>25</v>
      </c>
      <c r="I363" s="99">
        <v>44440</v>
      </c>
      <c r="J363" s="100">
        <f ca="1">EFEITO!$J$363*EFEITO!$Y$363</f>
        <v>5742.938094032379</v>
      </c>
      <c r="K363" s="100">
        <f>EFEITO!$L$363*EFEITO!$Z$363</f>
        <v>0</v>
      </c>
      <c r="L363" s="100">
        <f>EFEITO!$N$363*EFEITO!$AA$363</f>
        <v>0</v>
      </c>
      <c r="M363" s="100">
        <f ca="1">$J$363-EFEITO!$K$363*EFEITO!$Y$363</f>
        <v>0</v>
      </c>
      <c r="N363" s="100">
        <f>$K$363-EFEITO!$M$363*EFEITO!$Z$363</f>
        <v>0</v>
      </c>
      <c r="O363" s="100">
        <f>$L$363-EFEITO!$O$363*EFEITO!$AA$363</f>
        <v>0</v>
      </c>
      <c r="P363" s="17"/>
      <c r="Q363" s="17"/>
      <c r="R363" s="17"/>
      <c r="S363" s="17"/>
      <c r="T363" s="17"/>
      <c r="U363" s="17"/>
      <c r="V363" s="17"/>
      <c r="W363" s="17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91" t="s">
        <v>21</v>
      </c>
      <c r="B364" s="91" t="s">
        <v>38</v>
      </c>
      <c r="C364" s="91" t="s">
        <v>40</v>
      </c>
      <c r="D364" s="91" t="s">
        <v>44</v>
      </c>
      <c r="E364" s="91" t="s">
        <v>25</v>
      </c>
      <c r="F364" s="91" t="s">
        <v>25</v>
      </c>
      <c r="G364" s="91" t="s">
        <v>25</v>
      </c>
      <c r="H364" s="91" t="s">
        <v>25</v>
      </c>
      <c r="I364" s="99">
        <v>44470</v>
      </c>
      <c r="J364" s="100">
        <f ca="1">EFEITO!$J$364*EFEITO!$Y$364</f>
        <v>5788.5169677945414</v>
      </c>
      <c r="K364" s="100">
        <f>EFEITO!$L$364*EFEITO!$Z$364</f>
        <v>0</v>
      </c>
      <c r="L364" s="100">
        <f>EFEITO!$N$364*EFEITO!$AA$364</f>
        <v>0</v>
      </c>
      <c r="M364" s="100">
        <f ca="1">$J$364-EFEITO!$K$364*EFEITO!$Y$364</f>
        <v>0</v>
      </c>
      <c r="N364" s="100">
        <f>$K$364-EFEITO!$M$364*EFEITO!$Z$364</f>
        <v>0</v>
      </c>
      <c r="O364" s="100">
        <f>$L$364-EFEITO!$O$364*EFEITO!$AA$364</f>
        <v>0</v>
      </c>
      <c r="P364" s="17"/>
      <c r="Q364" s="17"/>
      <c r="R364" s="17"/>
      <c r="S364" s="17"/>
      <c r="T364" s="17"/>
      <c r="U364" s="17"/>
      <c r="V364" s="17"/>
      <c r="W364" s="17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91" t="s">
        <v>21</v>
      </c>
      <c r="B365" s="91" t="s">
        <v>38</v>
      </c>
      <c r="C365" s="91" t="s">
        <v>40</v>
      </c>
      <c r="D365" s="91" t="s">
        <v>44</v>
      </c>
      <c r="E365" s="91" t="s">
        <v>25</v>
      </c>
      <c r="F365" s="91" t="s">
        <v>25</v>
      </c>
      <c r="G365" s="91" t="s">
        <v>25</v>
      </c>
      <c r="H365" s="91" t="s">
        <v>25</v>
      </c>
      <c r="I365" s="99">
        <v>44501</v>
      </c>
      <c r="J365" s="100">
        <f ca="1">EFEITO!$J$365*EFEITO!$Y$365</f>
        <v>5788.5169677945414</v>
      </c>
      <c r="K365" s="100">
        <f>EFEITO!$L$365*EFEITO!$Z$365</f>
        <v>0</v>
      </c>
      <c r="L365" s="100">
        <f>EFEITO!$N$365*EFEITO!$AA$365</f>
        <v>0</v>
      </c>
      <c r="M365" s="100">
        <f ca="1">$J$365-EFEITO!$K$365*EFEITO!$Y$365</f>
        <v>0</v>
      </c>
      <c r="N365" s="100">
        <f>$K$365-EFEITO!$M$365*EFEITO!$Z$365</f>
        <v>0</v>
      </c>
      <c r="O365" s="100">
        <f>$L$365-EFEITO!$O$365*EFEITO!$AA$365</f>
        <v>0</v>
      </c>
      <c r="P365" s="17"/>
      <c r="Q365" s="17"/>
      <c r="R365" s="17"/>
      <c r="S365" s="17"/>
      <c r="T365" s="17"/>
      <c r="U365" s="17"/>
      <c r="V365" s="17"/>
      <c r="W365" s="17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91" t="s">
        <v>21</v>
      </c>
      <c r="B366" s="91" t="s">
        <v>38</v>
      </c>
      <c r="C366" s="91" t="s">
        <v>40</v>
      </c>
      <c r="D366" s="91" t="s">
        <v>44</v>
      </c>
      <c r="E366" s="91" t="s">
        <v>25</v>
      </c>
      <c r="F366" s="91" t="s">
        <v>25</v>
      </c>
      <c r="G366" s="91" t="s">
        <v>25</v>
      </c>
      <c r="H366" s="91" t="s">
        <v>25</v>
      </c>
      <c r="I366" s="99">
        <v>44531</v>
      </c>
      <c r="J366" s="100">
        <f ca="1">EFEITO!$J$366*EFEITO!$Y$366</f>
        <v>6016.4113366053498</v>
      </c>
      <c r="K366" s="100">
        <f>EFEITO!$L$366*EFEITO!$Z$366</f>
        <v>0</v>
      </c>
      <c r="L366" s="100">
        <f>EFEITO!$N$366*EFEITO!$AA$366</f>
        <v>0</v>
      </c>
      <c r="M366" s="100">
        <f ca="1">$J$366-EFEITO!$K$366*EFEITO!$Y$366</f>
        <v>0</v>
      </c>
      <c r="N366" s="100">
        <f>$K$366-EFEITO!$M$366*EFEITO!$Z$366</f>
        <v>0</v>
      </c>
      <c r="O366" s="100">
        <f>$L$366-EFEITO!$O$366*EFEITO!$AA$366</f>
        <v>0</v>
      </c>
      <c r="P366" s="17"/>
      <c r="Q366" s="17"/>
      <c r="R366" s="17"/>
      <c r="S366" s="17"/>
      <c r="T366" s="17"/>
      <c r="U366" s="17"/>
      <c r="V366" s="17"/>
      <c r="W366" s="17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91" t="s">
        <v>21</v>
      </c>
      <c r="B367" s="91" t="s">
        <v>38</v>
      </c>
      <c r="C367" s="91" t="s">
        <v>40</v>
      </c>
      <c r="D367" s="91" t="s">
        <v>44</v>
      </c>
      <c r="E367" s="91" t="s">
        <v>25</v>
      </c>
      <c r="F367" s="91" t="s">
        <v>25</v>
      </c>
      <c r="G367" s="91" t="s">
        <v>25</v>
      </c>
      <c r="H367" s="91" t="s">
        <v>25</v>
      </c>
      <c r="I367" s="99">
        <v>44562</v>
      </c>
      <c r="J367" s="100">
        <f ca="1">EFEITO!$J$367*EFEITO!$Y$367</f>
        <v>6092.3761262089529</v>
      </c>
      <c r="K367" s="100">
        <f>EFEITO!$L$367*EFEITO!$Z$367</f>
        <v>0</v>
      </c>
      <c r="L367" s="100">
        <f>EFEITO!$N$367*EFEITO!$AA$367</f>
        <v>0</v>
      </c>
      <c r="M367" s="100">
        <f ca="1">$J$367-EFEITO!$K$367*EFEITO!$Y$367</f>
        <v>0</v>
      </c>
      <c r="N367" s="100">
        <f>$K$367-EFEITO!$M$367*EFEITO!$Z$367</f>
        <v>0</v>
      </c>
      <c r="O367" s="100">
        <f>$L$367-EFEITO!$O$367*EFEITO!$AA$367</f>
        <v>0</v>
      </c>
      <c r="P367" s="17"/>
      <c r="Q367" s="17"/>
      <c r="R367" s="17"/>
      <c r="S367" s="17"/>
      <c r="T367" s="17"/>
      <c r="U367" s="17"/>
      <c r="V367" s="17"/>
      <c r="W367" s="17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91" t="s">
        <v>21</v>
      </c>
      <c r="B368" s="91" t="s">
        <v>38</v>
      </c>
      <c r="C368" s="91" t="s">
        <v>40</v>
      </c>
      <c r="D368" s="91" t="s">
        <v>44</v>
      </c>
      <c r="E368" s="91" t="s">
        <v>25</v>
      </c>
      <c r="F368" s="91" t="s">
        <v>25</v>
      </c>
      <c r="G368" s="91" t="s">
        <v>25</v>
      </c>
      <c r="H368" s="91" t="s">
        <v>25</v>
      </c>
      <c r="I368" s="99">
        <v>44593</v>
      </c>
      <c r="J368" s="100">
        <f ca="1">EFEITO!$J$368*EFEITO!$Y$368</f>
        <v>7201.462054421555</v>
      </c>
      <c r="K368" s="100">
        <f>EFEITO!$L$368*EFEITO!$Z$368</f>
        <v>0</v>
      </c>
      <c r="L368" s="100">
        <f>EFEITO!$N$368*EFEITO!$AA$368</f>
        <v>0</v>
      </c>
      <c r="M368" s="100">
        <f ca="1">$J$368-EFEITO!$K$368*EFEITO!$Y$368</f>
        <v>0</v>
      </c>
      <c r="N368" s="100">
        <f>$K$368-EFEITO!$M$368*EFEITO!$Z$368</f>
        <v>0</v>
      </c>
      <c r="O368" s="100">
        <f>$L$368-EFEITO!$O$368*EFEITO!$AA$368</f>
        <v>0</v>
      </c>
      <c r="P368" s="17"/>
      <c r="Q368" s="17"/>
      <c r="R368" s="17"/>
      <c r="S368" s="17"/>
      <c r="T368" s="17"/>
      <c r="U368" s="17"/>
      <c r="V368" s="17"/>
      <c r="W368" s="17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91" t="s">
        <v>21</v>
      </c>
      <c r="B369" s="91" t="s">
        <v>38</v>
      </c>
      <c r="C369" s="91" t="s">
        <v>40</v>
      </c>
      <c r="D369" s="91" t="s">
        <v>44</v>
      </c>
      <c r="E369" s="91" t="s">
        <v>25</v>
      </c>
      <c r="F369" s="91" t="s">
        <v>25</v>
      </c>
      <c r="G369" s="91" t="s">
        <v>25</v>
      </c>
      <c r="H369" s="91" t="s">
        <v>25</v>
      </c>
      <c r="I369" s="99">
        <v>44621</v>
      </c>
      <c r="J369" s="100">
        <f ca="1">EFEITO!$J$369*EFEITO!$Y$369</f>
        <v>7611.6719182810111</v>
      </c>
      <c r="K369" s="100">
        <f>EFEITO!$L$369*EFEITO!$Z$369</f>
        <v>0</v>
      </c>
      <c r="L369" s="100">
        <f>EFEITO!$N$369*EFEITO!$AA$369</f>
        <v>0</v>
      </c>
      <c r="M369" s="100">
        <f ca="1">$J$369-EFEITO!$K$369*EFEITO!$Y$369</f>
        <v>0</v>
      </c>
      <c r="N369" s="100">
        <f>$K$369-EFEITO!$M$369*EFEITO!$Z$369</f>
        <v>0</v>
      </c>
      <c r="O369" s="100">
        <f>$L$369-EFEITO!$O$369*EFEITO!$AA$369</f>
        <v>0</v>
      </c>
      <c r="P369" s="17"/>
      <c r="Q369" s="17"/>
      <c r="R369" s="17"/>
      <c r="S369" s="17"/>
      <c r="T369" s="17"/>
      <c r="U369" s="17"/>
      <c r="V369" s="17"/>
      <c r="W369" s="17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91" t="s">
        <v>21</v>
      </c>
      <c r="B370" s="91" t="s">
        <v>38</v>
      </c>
      <c r="C370" s="91" t="s">
        <v>40</v>
      </c>
      <c r="D370" s="91" t="s">
        <v>44</v>
      </c>
      <c r="E370" s="91" t="s">
        <v>25</v>
      </c>
      <c r="F370" s="91" t="s">
        <v>25</v>
      </c>
      <c r="G370" s="91" t="s">
        <v>25</v>
      </c>
      <c r="H370" s="91" t="s">
        <v>25</v>
      </c>
      <c r="I370" s="99">
        <v>44652</v>
      </c>
      <c r="J370" s="100">
        <f ca="1">EFEITO!$J$370*EFEITO!$Y$370</f>
        <v>7520.5141707566872</v>
      </c>
      <c r="K370" s="100">
        <f>EFEITO!$L$370*EFEITO!$Z$370</f>
        <v>0</v>
      </c>
      <c r="L370" s="100">
        <f>EFEITO!$N$370*EFEITO!$AA$370</f>
        <v>0</v>
      </c>
      <c r="M370" s="100">
        <f ca="1">$J$370-EFEITO!$K$370*EFEITO!$Y$370</f>
        <v>0</v>
      </c>
      <c r="N370" s="100">
        <f>$K$370-EFEITO!$M$370*EFEITO!$Z$370</f>
        <v>0</v>
      </c>
      <c r="O370" s="100">
        <f>$L$370-EFEITO!$O$370*EFEITO!$AA$370</f>
        <v>0</v>
      </c>
      <c r="P370" s="17"/>
      <c r="Q370" s="17"/>
      <c r="R370" s="17"/>
      <c r="S370" s="17"/>
      <c r="T370" s="17"/>
      <c r="U370" s="17"/>
      <c r="V370" s="17"/>
      <c r="W370" s="17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91" t="s">
        <v>21</v>
      </c>
      <c r="B371" s="91" t="s">
        <v>38</v>
      </c>
      <c r="C371" s="91" t="s">
        <v>40</v>
      </c>
      <c r="D371" s="91" t="s">
        <v>44</v>
      </c>
      <c r="E371" s="91" t="s">
        <v>25</v>
      </c>
      <c r="F371" s="91" t="s">
        <v>25</v>
      </c>
      <c r="G371" s="91" t="s">
        <v>25</v>
      </c>
      <c r="H371" s="91" t="s">
        <v>25</v>
      </c>
      <c r="I371" s="99">
        <v>44682</v>
      </c>
      <c r="J371" s="100">
        <f ca="1">EFEITO!$J$371*EFEITO!$Y$371</f>
        <v>7505.3212128359664</v>
      </c>
      <c r="K371" s="100">
        <f>EFEITO!$L$371*EFEITO!$Z$371</f>
        <v>0</v>
      </c>
      <c r="L371" s="100">
        <f>EFEITO!$N$371*EFEITO!$AA$371</f>
        <v>0</v>
      </c>
      <c r="M371" s="100">
        <f ca="1">$J$371-EFEITO!$K$371*EFEITO!$Y$371</f>
        <v>0</v>
      </c>
      <c r="N371" s="100">
        <f>$K$371-EFEITO!$M$371*EFEITO!$Z$371</f>
        <v>0</v>
      </c>
      <c r="O371" s="100">
        <f>$L$371-EFEITO!$O$371*EFEITO!$AA$371</f>
        <v>0</v>
      </c>
      <c r="P371" s="17"/>
      <c r="Q371" s="17"/>
      <c r="R371" s="17"/>
      <c r="S371" s="17"/>
      <c r="T371" s="17"/>
      <c r="U371" s="17"/>
      <c r="V371" s="17"/>
      <c r="W371" s="17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91" t="s">
        <v>56</v>
      </c>
      <c r="B372" s="91" t="s">
        <v>38</v>
      </c>
      <c r="C372" s="91" t="s">
        <v>40</v>
      </c>
      <c r="D372" s="91" t="s">
        <v>44</v>
      </c>
      <c r="E372" s="91" t="s">
        <v>25</v>
      </c>
      <c r="F372" s="91" t="s">
        <v>25</v>
      </c>
      <c r="G372" s="91" t="s">
        <v>25</v>
      </c>
      <c r="H372" s="91" t="s">
        <v>25</v>
      </c>
      <c r="I372" s="99">
        <v>44713</v>
      </c>
      <c r="J372" s="100">
        <f ca="1">EFEITO!$J$372*EFEITO!$Y$372</f>
        <v>7505.3212128359664</v>
      </c>
      <c r="K372" s="100">
        <f>EFEITO!$L$372*EFEITO!$Z$372</f>
        <v>0</v>
      </c>
      <c r="L372" s="100">
        <f>EFEITO!$N$372*EFEITO!$AA$372</f>
        <v>0</v>
      </c>
      <c r="M372" s="100">
        <f ca="1">$J$372-EFEITO!$K$372*EFEITO!$Y$372</f>
        <v>0</v>
      </c>
      <c r="N372" s="100">
        <f>$K$372-EFEITO!$M$372*EFEITO!$Z$372</f>
        <v>0</v>
      </c>
      <c r="O372" s="100">
        <f>$L$372-EFEITO!$O$372*EFEITO!$AA$372</f>
        <v>0</v>
      </c>
      <c r="P372" s="17"/>
      <c r="Q372" s="17"/>
      <c r="R372" s="17"/>
      <c r="S372" s="17"/>
      <c r="T372" s="17"/>
      <c r="U372" s="17"/>
      <c r="V372" s="17"/>
      <c r="W372" s="17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91" t="s">
        <v>21</v>
      </c>
      <c r="B373" s="91" t="s">
        <v>38</v>
      </c>
      <c r="C373" s="91" t="s">
        <v>40</v>
      </c>
      <c r="D373" s="91" t="s">
        <v>44</v>
      </c>
      <c r="E373" s="91" t="s">
        <v>25</v>
      </c>
      <c r="F373" s="91" t="s">
        <v>25</v>
      </c>
      <c r="G373" s="91" t="s">
        <v>25</v>
      </c>
      <c r="H373" s="91" t="s">
        <v>33</v>
      </c>
      <c r="I373" s="99">
        <v>44378</v>
      </c>
      <c r="J373" s="100">
        <f>EFEITO!$J$373*EFEITO!$Y$373</f>
        <v>0</v>
      </c>
      <c r="K373" s="100">
        <f ca="1">EFEITO!$L$373*EFEITO!$Z$373</f>
        <v>3293.9916957022851</v>
      </c>
      <c r="L373" s="100">
        <f>EFEITO!$N$373*EFEITO!$AA$373</f>
        <v>1083.9873663136257</v>
      </c>
      <c r="M373" s="100">
        <f>$J$373-EFEITO!$K$373*EFEITO!$Y$373</f>
        <v>0</v>
      </c>
      <c r="N373" s="100">
        <f ca="1">$K$373-EFEITO!$M$373*EFEITO!$Z$373</f>
        <v>0</v>
      </c>
      <c r="O373" s="100">
        <f>$L$373-EFEITO!$O$373*EFEITO!$AA$373</f>
        <v>0</v>
      </c>
      <c r="P373" s="17"/>
      <c r="Q373" s="17"/>
      <c r="R373" s="17"/>
      <c r="S373" s="17"/>
      <c r="T373" s="17"/>
      <c r="U373" s="17"/>
      <c r="V373" s="17"/>
      <c r="W373" s="17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91" t="s">
        <v>21</v>
      </c>
      <c r="B374" s="91" t="s">
        <v>38</v>
      </c>
      <c r="C374" s="91" t="s">
        <v>40</v>
      </c>
      <c r="D374" s="91" t="s">
        <v>44</v>
      </c>
      <c r="E374" s="91" t="s">
        <v>25</v>
      </c>
      <c r="F374" s="91" t="s">
        <v>25</v>
      </c>
      <c r="G374" s="91" t="s">
        <v>25</v>
      </c>
      <c r="H374" s="91" t="s">
        <v>33</v>
      </c>
      <c r="I374" s="99">
        <v>44409</v>
      </c>
      <c r="J374" s="100">
        <f>EFEITO!$J$374*EFEITO!$Y$374</f>
        <v>0</v>
      </c>
      <c r="K374" s="100">
        <f ca="1">EFEITO!$L$374*EFEITO!$Z$374</f>
        <v>3063.0040197153344</v>
      </c>
      <c r="L374" s="100">
        <f>EFEITO!$N$374*EFEITO!$AA$374</f>
        <v>1007.973901291633</v>
      </c>
      <c r="M374" s="100">
        <f>$J$374-EFEITO!$K$374*EFEITO!$Y$374</f>
        <v>0</v>
      </c>
      <c r="N374" s="100">
        <f ca="1">$K$374-EFEITO!$M$374*EFEITO!$Z$374</f>
        <v>0</v>
      </c>
      <c r="O374" s="100">
        <f>$L$374-EFEITO!$O$374*EFEITO!$AA$374</f>
        <v>0</v>
      </c>
      <c r="P374" s="17"/>
      <c r="Q374" s="17"/>
      <c r="R374" s="17"/>
      <c r="S374" s="17"/>
      <c r="T374" s="17"/>
      <c r="U374" s="17"/>
      <c r="V374" s="17"/>
      <c r="W374" s="17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91" t="s">
        <v>21</v>
      </c>
      <c r="B375" s="91" t="s">
        <v>38</v>
      </c>
      <c r="C375" s="91" t="s">
        <v>40</v>
      </c>
      <c r="D375" s="91" t="s">
        <v>44</v>
      </c>
      <c r="E375" s="91" t="s">
        <v>25</v>
      </c>
      <c r="F375" s="91" t="s">
        <v>25</v>
      </c>
      <c r="G375" s="91" t="s">
        <v>25</v>
      </c>
      <c r="H375" s="91" t="s">
        <v>33</v>
      </c>
      <c r="I375" s="99">
        <v>44440</v>
      </c>
      <c r="J375" s="100">
        <f>EFEITO!$J$375*EFEITO!$Y$375</f>
        <v>0</v>
      </c>
      <c r="K375" s="100">
        <f ca="1">EFEITO!$L$375*EFEITO!$Z$375</f>
        <v>2781.5213633963522</v>
      </c>
      <c r="L375" s="100">
        <f>EFEITO!$N$375*EFEITO!$AA$375</f>
        <v>915.34353926483266</v>
      </c>
      <c r="M375" s="100">
        <f>$J$375-EFEITO!$K$375*EFEITO!$Y$375</f>
        <v>0</v>
      </c>
      <c r="N375" s="100">
        <f ca="1">$K$375-EFEITO!$M$375*EFEITO!$Z$375</f>
        <v>0</v>
      </c>
      <c r="O375" s="100">
        <f>$L$375-EFEITO!$O$375*EFEITO!$AA$375</f>
        <v>0</v>
      </c>
      <c r="P375" s="17"/>
      <c r="Q375" s="17"/>
      <c r="R375" s="17"/>
      <c r="S375" s="17"/>
      <c r="T375" s="17"/>
      <c r="U375" s="17"/>
      <c r="V375" s="17"/>
      <c r="W375" s="17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91" t="s">
        <v>21</v>
      </c>
      <c r="B376" s="91" t="s">
        <v>38</v>
      </c>
      <c r="C376" s="91" t="s">
        <v>40</v>
      </c>
      <c r="D376" s="91" t="s">
        <v>44</v>
      </c>
      <c r="E376" s="91" t="s">
        <v>25</v>
      </c>
      <c r="F376" s="91" t="s">
        <v>25</v>
      </c>
      <c r="G376" s="91" t="s">
        <v>25</v>
      </c>
      <c r="H376" s="91" t="s">
        <v>33</v>
      </c>
      <c r="I376" s="99">
        <v>44470</v>
      </c>
      <c r="J376" s="100">
        <f>EFEITO!$J$376*EFEITO!$Y$376</f>
        <v>0</v>
      </c>
      <c r="K376" s="100">
        <f ca="1">EFEITO!$L$376*EFEITO!$Z$376</f>
        <v>2657.9698157754251</v>
      </c>
      <c r="L376" s="100">
        <f>EFEITO!$N$376*EFEITO!$AA$376</f>
        <v>874.68517425306925</v>
      </c>
      <c r="M376" s="100">
        <f>$J$376-EFEITO!$K$376*EFEITO!$Y$376</f>
        <v>0</v>
      </c>
      <c r="N376" s="100">
        <f ca="1">$K$376-EFEITO!$M$376*EFEITO!$Z$376</f>
        <v>0</v>
      </c>
      <c r="O376" s="100">
        <f>$L$376-EFEITO!$O$376*EFEITO!$AA$376</f>
        <v>0</v>
      </c>
      <c r="P376" s="17"/>
      <c r="Q376" s="17"/>
      <c r="R376" s="17"/>
      <c r="S376" s="17"/>
      <c r="T376" s="17"/>
      <c r="U376" s="17"/>
      <c r="V376" s="17"/>
      <c r="W376" s="17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91" t="s">
        <v>21</v>
      </c>
      <c r="B377" s="91" t="s">
        <v>38</v>
      </c>
      <c r="C377" s="91" t="s">
        <v>40</v>
      </c>
      <c r="D377" s="91" t="s">
        <v>44</v>
      </c>
      <c r="E377" s="91" t="s">
        <v>25</v>
      </c>
      <c r="F377" s="91" t="s">
        <v>25</v>
      </c>
      <c r="G377" s="91" t="s">
        <v>25</v>
      </c>
      <c r="H377" s="91" t="s">
        <v>33</v>
      </c>
      <c r="I377" s="99">
        <v>44501</v>
      </c>
      <c r="J377" s="100">
        <f>EFEITO!$J$377*EFEITO!$Y$377</f>
        <v>0</v>
      </c>
      <c r="K377" s="100">
        <f ca="1">EFEITO!$L$377*EFEITO!$Z$377</f>
        <v>3166.1427029467172</v>
      </c>
      <c r="L377" s="100">
        <f>EFEITO!$N$377*EFEITO!$AA$377</f>
        <v>1041.9147973014531</v>
      </c>
      <c r="M377" s="100">
        <f>$J$377-EFEITO!$K$377*EFEITO!$Y$377</f>
        <v>0</v>
      </c>
      <c r="N377" s="100">
        <f ca="1">$K$377-EFEITO!$M$377*EFEITO!$Z$377</f>
        <v>0</v>
      </c>
      <c r="O377" s="100">
        <f>$L$377-EFEITO!$O$377*EFEITO!$AA$377</f>
        <v>0</v>
      </c>
      <c r="P377" s="17"/>
      <c r="Q377" s="17"/>
      <c r="R377" s="17"/>
      <c r="S377" s="17"/>
      <c r="T377" s="17"/>
      <c r="U377" s="17"/>
      <c r="V377" s="17"/>
      <c r="W377" s="17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91" t="s">
        <v>21</v>
      </c>
      <c r="B378" s="91" t="s">
        <v>38</v>
      </c>
      <c r="C378" s="91" t="s">
        <v>40</v>
      </c>
      <c r="D378" s="91" t="s">
        <v>44</v>
      </c>
      <c r="E378" s="91" t="s">
        <v>25</v>
      </c>
      <c r="F378" s="91" t="s">
        <v>25</v>
      </c>
      <c r="G378" s="91" t="s">
        <v>25</v>
      </c>
      <c r="H378" s="91" t="s">
        <v>33</v>
      </c>
      <c r="I378" s="99">
        <v>44531</v>
      </c>
      <c r="J378" s="100">
        <f>EFEITO!$J$378*EFEITO!$Y$378</f>
        <v>0</v>
      </c>
      <c r="K378" s="100">
        <f ca="1">EFEITO!$L$378*EFEITO!$Z$378</f>
        <v>3530.3511781075372</v>
      </c>
      <c r="L378" s="100">
        <f>EFEITO!$N$378*EFEITO!$AA$378</f>
        <v>1161.7685863361298</v>
      </c>
      <c r="M378" s="100">
        <f>$J$378-EFEITO!$K$378*EFEITO!$Y$378</f>
        <v>0</v>
      </c>
      <c r="N378" s="100">
        <f ca="1">$K$378-EFEITO!$M$378*EFEITO!$Z$378</f>
        <v>0</v>
      </c>
      <c r="O378" s="100">
        <f>$L$378-EFEITO!$O$378*EFEITO!$AA$378</f>
        <v>0</v>
      </c>
      <c r="P378" s="17"/>
      <c r="Q378" s="17"/>
      <c r="R378" s="17"/>
      <c r="S378" s="17"/>
      <c r="T378" s="17"/>
      <c r="U378" s="17"/>
      <c r="V378" s="17"/>
      <c r="W378" s="17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91" t="s">
        <v>21</v>
      </c>
      <c r="B379" s="91" t="s">
        <v>38</v>
      </c>
      <c r="C379" s="91" t="s">
        <v>40</v>
      </c>
      <c r="D379" s="91" t="s">
        <v>44</v>
      </c>
      <c r="E379" s="91" t="s">
        <v>25</v>
      </c>
      <c r="F379" s="91" t="s">
        <v>25</v>
      </c>
      <c r="G379" s="91" t="s">
        <v>25</v>
      </c>
      <c r="H379" s="91" t="s">
        <v>33</v>
      </c>
      <c r="I379" s="99">
        <v>44562</v>
      </c>
      <c r="J379" s="100">
        <f>EFEITO!$J$379*EFEITO!$Y$379</f>
        <v>0</v>
      </c>
      <c r="K379" s="100">
        <f ca="1">EFEITO!$L$379*EFEITO!$Z$379</f>
        <v>3706.5464286278161</v>
      </c>
      <c r="L379" s="100">
        <f>EFEITO!$N$379*EFEITO!$AA$379</f>
        <v>1219.7509503529056</v>
      </c>
      <c r="M379" s="100">
        <f>$J$379-EFEITO!$K$379*EFEITO!$Y$379</f>
        <v>0</v>
      </c>
      <c r="N379" s="100">
        <f ca="1">$K$379-EFEITO!$M$379*EFEITO!$Z$379</f>
        <v>0</v>
      </c>
      <c r="O379" s="100">
        <f>$L$379-EFEITO!$O$379*EFEITO!$AA$379</f>
        <v>0</v>
      </c>
      <c r="P379" s="17"/>
      <c r="Q379" s="17"/>
      <c r="R379" s="17"/>
      <c r="S379" s="17"/>
      <c r="T379" s="17"/>
      <c r="U379" s="17"/>
      <c r="V379" s="17"/>
      <c r="W379" s="17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91" t="s">
        <v>21</v>
      </c>
      <c r="B380" s="91" t="s">
        <v>38</v>
      </c>
      <c r="C380" s="91" t="s">
        <v>40</v>
      </c>
      <c r="D380" s="91" t="s">
        <v>44</v>
      </c>
      <c r="E380" s="91" t="s">
        <v>25</v>
      </c>
      <c r="F380" s="91" t="s">
        <v>25</v>
      </c>
      <c r="G380" s="91" t="s">
        <v>25</v>
      </c>
      <c r="H380" s="91" t="s">
        <v>33</v>
      </c>
      <c r="I380" s="99">
        <v>44593</v>
      </c>
      <c r="J380" s="100">
        <f>EFEITO!$J$380*EFEITO!$Y$380</f>
        <v>0</v>
      </c>
      <c r="K380" s="100">
        <f ca="1">EFEITO!$L$380*EFEITO!$Z$380</f>
        <v>5312.7165476998698</v>
      </c>
      <c r="L380" s="100">
        <f>EFEITO!$N$380*EFEITO!$AA$380</f>
        <v>1748.3096955058315</v>
      </c>
      <c r="M380" s="100">
        <f>$J$380-EFEITO!$K$380*EFEITO!$Y$380</f>
        <v>0</v>
      </c>
      <c r="N380" s="100">
        <f ca="1">$K$380-EFEITO!$M$380*EFEITO!$Z$380</f>
        <v>0</v>
      </c>
      <c r="O380" s="100">
        <f>$L$380-EFEITO!$O$380*EFEITO!$AA$380</f>
        <v>0</v>
      </c>
      <c r="P380" s="17"/>
      <c r="Q380" s="17"/>
      <c r="R380" s="17"/>
      <c r="S380" s="17"/>
      <c r="T380" s="17"/>
      <c r="U380" s="17"/>
      <c r="V380" s="17"/>
      <c r="W380" s="17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91" t="s">
        <v>21</v>
      </c>
      <c r="B381" s="91" t="s">
        <v>38</v>
      </c>
      <c r="C381" s="91" t="s">
        <v>40</v>
      </c>
      <c r="D381" s="91" t="s">
        <v>44</v>
      </c>
      <c r="E381" s="91" t="s">
        <v>25</v>
      </c>
      <c r="F381" s="91" t="s">
        <v>25</v>
      </c>
      <c r="G381" s="91" t="s">
        <v>25</v>
      </c>
      <c r="H381" s="91" t="s">
        <v>33</v>
      </c>
      <c r="I381" s="99">
        <v>44621</v>
      </c>
      <c r="J381" s="100">
        <f>EFEITO!$J$381*EFEITO!$Y$381</f>
        <v>0</v>
      </c>
      <c r="K381" s="100">
        <f ca="1">EFEITO!$L$381*EFEITO!$Z$381</f>
        <v>6560.0499980294035</v>
      </c>
      <c r="L381" s="100">
        <f>EFEITO!$N$381*EFEITO!$AA$381</f>
        <v>2158.7824066245917</v>
      </c>
      <c r="M381" s="100">
        <f>$J$381-EFEITO!$K$381*EFEITO!$Y$381</f>
        <v>0</v>
      </c>
      <c r="N381" s="100">
        <f ca="1">$K$381-EFEITO!$M$381*EFEITO!$Z$381</f>
        <v>0</v>
      </c>
      <c r="O381" s="100">
        <f>$L$381-EFEITO!$O$381*EFEITO!$AA$381</f>
        <v>0</v>
      </c>
      <c r="P381" s="17"/>
      <c r="Q381" s="17"/>
      <c r="R381" s="17"/>
      <c r="S381" s="17"/>
      <c r="T381" s="17"/>
      <c r="U381" s="17"/>
      <c r="V381" s="17"/>
      <c r="W381" s="17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91" t="s">
        <v>21</v>
      </c>
      <c r="B382" s="91" t="s">
        <v>38</v>
      </c>
      <c r="C382" s="91" t="s">
        <v>40</v>
      </c>
      <c r="D382" s="91" t="s">
        <v>44</v>
      </c>
      <c r="E382" s="91" t="s">
        <v>25</v>
      </c>
      <c r="F382" s="91" t="s">
        <v>25</v>
      </c>
      <c r="G382" s="91" t="s">
        <v>25</v>
      </c>
      <c r="H382" s="91" t="s">
        <v>33</v>
      </c>
      <c r="I382" s="99">
        <v>44652</v>
      </c>
      <c r="J382" s="100">
        <f>EFEITO!$J$382*EFEITO!$Y$382</f>
        <v>0</v>
      </c>
      <c r="K382" s="100">
        <f ca="1">EFEITO!$L$382*EFEITO!$Z$382</f>
        <v>4815.2872733651802</v>
      </c>
      <c r="L382" s="100">
        <f>EFEITO!$N$382*EFEITO!$AA$382</f>
        <v>1584.6155824584705</v>
      </c>
      <c r="M382" s="100">
        <f>$J$382-EFEITO!$K$382*EFEITO!$Y$382</f>
        <v>0</v>
      </c>
      <c r="N382" s="100">
        <f ca="1">$K$382-EFEITO!$M$382*EFEITO!$Z$382</f>
        <v>0</v>
      </c>
      <c r="O382" s="100">
        <f>$L$382-EFEITO!$O$382*EFEITO!$AA$382</f>
        <v>0</v>
      </c>
      <c r="P382" s="17"/>
      <c r="Q382" s="17"/>
      <c r="R382" s="17"/>
      <c r="S382" s="17"/>
      <c r="T382" s="17"/>
      <c r="U382" s="17"/>
      <c r="V382" s="17"/>
      <c r="W382" s="17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91" t="s">
        <v>21</v>
      </c>
      <c r="B383" s="91" t="s">
        <v>38</v>
      </c>
      <c r="C383" s="91" t="s">
        <v>40</v>
      </c>
      <c r="D383" s="91" t="s">
        <v>44</v>
      </c>
      <c r="E383" s="91" t="s">
        <v>25</v>
      </c>
      <c r="F383" s="91" t="s">
        <v>25</v>
      </c>
      <c r="G383" s="91" t="s">
        <v>25</v>
      </c>
      <c r="H383" s="91" t="s">
        <v>33</v>
      </c>
      <c r="I383" s="99">
        <v>44682</v>
      </c>
      <c r="J383" s="100">
        <f>EFEITO!$J$383*EFEITO!$Y$383</f>
        <v>0</v>
      </c>
      <c r="K383" s="100">
        <f ca="1">EFEITO!$L$383*EFEITO!$Z$383</f>
        <v>6167.9081294934176</v>
      </c>
      <c r="L383" s="100">
        <f>EFEITO!$N$383*EFEITO!$AA$383</f>
        <v>2029.7362915872552</v>
      </c>
      <c r="M383" s="100">
        <f>$J$383-EFEITO!$K$383*EFEITO!$Y$383</f>
        <v>0</v>
      </c>
      <c r="N383" s="100">
        <f ca="1">$K$383-EFEITO!$M$383*EFEITO!$Z$383</f>
        <v>0</v>
      </c>
      <c r="O383" s="100">
        <f>$L$383-EFEITO!$O$383*EFEITO!$AA$383</f>
        <v>0</v>
      </c>
      <c r="P383" s="17"/>
      <c r="Q383" s="17"/>
      <c r="R383" s="17"/>
      <c r="S383" s="17"/>
      <c r="T383" s="17"/>
      <c r="U383" s="17"/>
      <c r="V383" s="17"/>
      <c r="W383" s="17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91" t="s">
        <v>56</v>
      </c>
      <c r="B384" s="91" t="s">
        <v>38</v>
      </c>
      <c r="C384" s="91" t="s">
        <v>40</v>
      </c>
      <c r="D384" s="91" t="s">
        <v>44</v>
      </c>
      <c r="E384" s="91" t="s">
        <v>25</v>
      </c>
      <c r="F384" s="91" t="s">
        <v>25</v>
      </c>
      <c r="G384" s="91" t="s">
        <v>25</v>
      </c>
      <c r="H384" s="91" t="s">
        <v>33</v>
      </c>
      <c r="I384" s="99">
        <v>44713</v>
      </c>
      <c r="J384" s="100">
        <f>EFEITO!$J$384*EFEITO!$Y$384</f>
        <v>0</v>
      </c>
      <c r="K384" s="100">
        <f ca="1">EFEITO!$L$384*EFEITO!$Z$384</f>
        <v>6167.9081294934176</v>
      </c>
      <c r="L384" s="100">
        <f>EFEITO!$N$384*EFEITO!$AA$384</f>
        <v>2029.7362915872552</v>
      </c>
      <c r="M384" s="100">
        <f>$J$384-EFEITO!$K$384*EFEITO!$Y$384</f>
        <v>0</v>
      </c>
      <c r="N384" s="100">
        <f ca="1">$K$384-EFEITO!$M$384*EFEITO!$Z$384</f>
        <v>0</v>
      </c>
      <c r="O384" s="100">
        <f>$L$384-EFEITO!$O$384*EFEITO!$AA$384</f>
        <v>0</v>
      </c>
      <c r="P384" s="17"/>
      <c r="Q384" s="17"/>
      <c r="R384" s="17"/>
      <c r="S384" s="17"/>
      <c r="T384" s="17"/>
      <c r="U384" s="17"/>
      <c r="V384" s="17"/>
      <c r="W384" s="17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91" t="s">
        <v>21</v>
      </c>
      <c r="B385" s="91" t="s">
        <v>38</v>
      </c>
      <c r="C385" s="91" t="s">
        <v>40</v>
      </c>
      <c r="D385" s="91" t="s">
        <v>43</v>
      </c>
      <c r="E385" s="91" t="s">
        <v>51</v>
      </c>
      <c r="F385" s="91" t="s">
        <v>53</v>
      </c>
      <c r="G385" s="91" t="s">
        <v>25</v>
      </c>
      <c r="H385" s="91" t="s">
        <v>34</v>
      </c>
      <c r="I385" s="99">
        <v>44378</v>
      </c>
      <c r="J385" s="100">
        <f>EFEITO!$J$385*EFEITO!$Y$360</f>
        <v>0</v>
      </c>
      <c r="K385" s="100">
        <f ca="1">EFEITO!$L$385*EFEITO!$Z$360</f>
        <v>903.64157581444306</v>
      </c>
      <c r="L385" s="100">
        <f>EFEITO!$N$385*EFEITO!$AA$360</f>
        <v>1977.9238605607134</v>
      </c>
      <c r="M385" s="100">
        <f>$J$385-EFEITO!$K$385*EFEITO!$Y$385</f>
        <v>0</v>
      </c>
      <c r="N385" s="100">
        <f ca="1">$K$385-EFEITO!$M$385*EFEITO!$Z$385</f>
        <v>632.54910307011016</v>
      </c>
      <c r="O385" s="100">
        <f>$L$385-EFEITO!$O$385*EFEITO!$AA$385</f>
        <v>1384.5467023924994</v>
      </c>
      <c r="P385" s="17"/>
      <c r="Q385" s="17"/>
      <c r="R385" s="17"/>
      <c r="S385" s="17"/>
      <c r="T385" s="17"/>
      <c r="U385" s="17"/>
      <c r="V385" s="17"/>
      <c r="W385" s="17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91" t="s">
        <v>21</v>
      </c>
      <c r="B386" s="91" t="s">
        <v>38</v>
      </c>
      <c r="C386" s="91" t="s">
        <v>40</v>
      </c>
      <c r="D386" s="91" t="s">
        <v>43</v>
      </c>
      <c r="E386" s="91" t="s">
        <v>51</v>
      </c>
      <c r="F386" s="91" t="s">
        <v>53</v>
      </c>
      <c r="G386" s="91" t="s">
        <v>25</v>
      </c>
      <c r="H386" s="91" t="s">
        <v>34</v>
      </c>
      <c r="I386" s="99">
        <v>44409</v>
      </c>
      <c r="J386" s="100">
        <f>EFEITO!$J$386*EFEITO!$Y$360</f>
        <v>0</v>
      </c>
      <c r="K386" s="100">
        <f ca="1">EFEITO!$L$386*EFEITO!$Z$360</f>
        <v>910.45772968636561</v>
      </c>
      <c r="L386" s="100">
        <f>EFEITO!$N$386*EFEITO!$AA$360</f>
        <v>1992.8433084273943</v>
      </c>
      <c r="M386" s="100">
        <f>$J$386-EFEITO!$K$386*EFEITO!$Y$386</f>
        <v>0</v>
      </c>
      <c r="N386" s="100">
        <f ca="1">$K$386-EFEITO!$M$386*EFEITO!$Z$386</f>
        <v>637.32041078045597</v>
      </c>
      <c r="O386" s="100">
        <f>$L$386-EFEITO!$O$386*EFEITO!$AA$386</f>
        <v>1394.990315899176</v>
      </c>
      <c r="P386" s="17"/>
      <c r="Q386" s="17"/>
      <c r="R386" s="17"/>
      <c r="S386" s="17"/>
      <c r="T386" s="17"/>
      <c r="U386" s="17"/>
      <c r="V386" s="17"/>
      <c r="W386" s="17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91" t="s">
        <v>21</v>
      </c>
      <c r="B387" s="91" t="s">
        <v>38</v>
      </c>
      <c r="C387" s="91" t="s">
        <v>40</v>
      </c>
      <c r="D387" s="91" t="s">
        <v>43</v>
      </c>
      <c r="E387" s="91" t="s">
        <v>51</v>
      </c>
      <c r="F387" s="91" t="s">
        <v>53</v>
      </c>
      <c r="G387" s="91" t="s">
        <v>25</v>
      </c>
      <c r="H387" s="91" t="s">
        <v>34</v>
      </c>
      <c r="I387" s="99">
        <v>44440</v>
      </c>
      <c r="J387" s="100">
        <f>EFEITO!$J$387*EFEITO!$Y$360</f>
        <v>0</v>
      </c>
      <c r="K387" s="100">
        <f ca="1">EFEITO!$L$387*EFEITO!$Z$360</f>
        <v>807.5137587089464</v>
      </c>
      <c r="L387" s="100">
        <f>EFEITO!$N$387*EFEITO!$AA$360</f>
        <v>1767.5157649114924</v>
      </c>
      <c r="M387" s="100">
        <f>$J$387-EFEITO!$K$387*EFEITO!$Y$387</f>
        <v>0</v>
      </c>
      <c r="N387" s="100">
        <f ca="1">$K$387-EFEITO!$M$387*EFEITO!$Z$387</f>
        <v>565.25963109626241</v>
      </c>
      <c r="O387" s="100">
        <f>$L$387-EFEITO!$O$387*EFEITO!$AA$387</f>
        <v>1237.2610354380447</v>
      </c>
      <c r="P387" s="17"/>
      <c r="Q387" s="17"/>
      <c r="R387" s="17"/>
      <c r="S387" s="17"/>
      <c r="T387" s="17"/>
      <c r="U387" s="17"/>
      <c r="V387" s="17"/>
      <c r="W387" s="17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91" t="s">
        <v>21</v>
      </c>
      <c r="B388" s="91" t="s">
        <v>38</v>
      </c>
      <c r="C388" s="91" t="s">
        <v>40</v>
      </c>
      <c r="D388" s="91" t="s">
        <v>43</v>
      </c>
      <c r="E388" s="91" t="s">
        <v>51</v>
      </c>
      <c r="F388" s="91" t="s">
        <v>53</v>
      </c>
      <c r="G388" s="91" t="s">
        <v>25</v>
      </c>
      <c r="H388" s="91" t="s">
        <v>34</v>
      </c>
      <c r="I388" s="99">
        <v>44470</v>
      </c>
      <c r="J388" s="100">
        <f>EFEITO!$J$388*EFEITO!$Y$360</f>
        <v>0</v>
      </c>
      <c r="K388" s="100">
        <f ca="1">EFEITO!$L$388*EFEITO!$Z$360</f>
        <v>1864.5187966416477</v>
      </c>
      <c r="L388" s="100">
        <f>EFEITO!$N$388*EFEITO!$AA$360</f>
        <v>4081.1272024725263</v>
      </c>
      <c r="M388" s="100">
        <f>$J$388-EFEITO!$K$388*EFEITO!$Y$388</f>
        <v>0</v>
      </c>
      <c r="N388" s="100">
        <f ca="1">$K$388-EFEITO!$M$388*EFEITO!$Z$388</f>
        <v>1305.1631576491532</v>
      </c>
      <c r="O388" s="100">
        <f>$L$388-EFEITO!$O$388*EFEITO!$AA$388</f>
        <v>2856.7890417307681</v>
      </c>
      <c r="P388" s="17"/>
      <c r="Q388" s="17"/>
      <c r="R388" s="17"/>
      <c r="S388" s="17"/>
      <c r="T388" s="17"/>
      <c r="U388" s="17"/>
      <c r="V388" s="17"/>
      <c r="W388" s="17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91" t="s">
        <v>21</v>
      </c>
      <c r="B389" s="91" t="s">
        <v>38</v>
      </c>
      <c r="C389" s="91" t="s">
        <v>40</v>
      </c>
      <c r="D389" s="91" t="s">
        <v>43</v>
      </c>
      <c r="E389" s="91" t="s">
        <v>51</v>
      </c>
      <c r="F389" s="91" t="s">
        <v>53</v>
      </c>
      <c r="G389" s="91" t="s">
        <v>25</v>
      </c>
      <c r="H389" s="91" t="s">
        <v>34</v>
      </c>
      <c r="I389" s="99">
        <v>44501</v>
      </c>
      <c r="J389" s="100">
        <f>EFEITO!$J$389*EFEITO!$Y$360</f>
        <v>0</v>
      </c>
      <c r="K389" s="100">
        <f ca="1">EFEITO!$L$389*EFEITO!$Z$360</f>
        <v>19844.630572760972</v>
      </c>
      <c r="L389" s="100">
        <f>EFEITO!$N$389*EFEITO!$AA$360</f>
        <v>43436.656041970913</v>
      </c>
      <c r="M389" s="100">
        <f>$J$389-EFEITO!$K$389*EFEITO!$Y$389</f>
        <v>0</v>
      </c>
      <c r="N389" s="100">
        <f ca="1">$K$389-EFEITO!$M$389*EFEITO!$Z$389</f>
        <v>13891.24140093268</v>
      </c>
      <c r="O389" s="100">
        <f>$L$389-EFEITO!$O$389*EFEITO!$AA$389</f>
        <v>30405.659229379642</v>
      </c>
      <c r="P389" s="17"/>
      <c r="Q389" s="17"/>
      <c r="R389" s="17"/>
      <c r="S389" s="17"/>
      <c r="T389" s="17"/>
      <c r="U389" s="17"/>
      <c r="V389" s="17"/>
      <c r="W389" s="17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91" t="s">
        <v>21</v>
      </c>
      <c r="B390" s="91" t="s">
        <v>38</v>
      </c>
      <c r="C390" s="91" t="s">
        <v>40</v>
      </c>
      <c r="D390" s="91" t="s">
        <v>43</v>
      </c>
      <c r="E390" s="91" t="s">
        <v>51</v>
      </c>
      <c r="F390" s="91" t="s">
        <v>53</v>
      </c>
      <c r="G390" s="91" t="s">
        <v>25</v>
      </c>
      <c r="H390" s="91" t="s">
        <v>34</v>
      </c>
      <c r="I390" s="99">
        <v>44531</v>
      </c>
      <c r="J390" s="100">
        <f>EFEITO!$J$390*EFEITO!$Y$360</f>
        <v>0</v>
      </c>
      <c r="K390" s="100">
        <f ca="1">EFEITO!$L$390*EFEITO!$Z$360</f>
        <v>48383.766596943904</v>
      </c>
      <c r="L390" s="100">
        <f>EFEITO!$N$390*EFEITO!$AA$360</f>
        <v>105904.16485611882</v>
      </c>
      <c r="M390" s="100">
        <f>$J$390-EFEITO!$K$390*EFEITO!$Y$390</f>
        <v>0</v>
      </c>
      <c r="N390" s="100">
        <f ca="1">$K$390-EFEITO!$M$390*EFEITO!$Z$390</f>
        <v>33868.636617860735</v>
      </c>
      <c r="O390" s="100">
        <f>$L$390-EFEITO!$O$390*EFEITO!$AA$390</f>
        <v>74132.915399283171</v>
      </c>
      <c r="P390" s="17"/>
      <c r="Q390" s="17"/>
      <c r="R390" s="17"/>
      <c r="S390" s="17"/>
      <c r="T390" s="17"/>
      <c r="U390" s="17"/>
      <c r="V390" s="17"/>
      <c r="W390" s="17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91" t="s">
        <v>21</v>
      </c>
      <c r="B391" s="91" t="s">
        <v>38</v>
      </c>
      <c r="C391" s="91" t="s">
        <v>40</v>
      </c>
      <c r="D391" s="91" t="s">
        <v>43</v>
      </c>
      <c r="E391" s="91" t="s">
        <v>51</v>
      </c>
      <c r="F391" s="91" t="s">
        <v>53</v>
      </c>
      <c r="G391" s="91" t="s">
        <v>25</v>
      </c>
      <c r="H391" s="91" t="s">
        <v>34</v>
      </c>
      <c r="I391" s="99">
        <v>44562</v>
      </c>
      <c r="J391" s="100">
        <f>EFEITO!$J$391*EFEITO!$Y$360</f>
        <v>0</v>
      </c>
      <c r="K391" s="100">
        <f ca="1">EFEITO!$L$391*EFEITO!$Z$360</f>
        <v>30567.142276193783</v>
      </c>
      <c r="L391" s="100">
        <f>EFEITO!$N$391*EFEITO!$AA$360</f>
        <v>66906.483361775681</v>
      </c>
      <c r="M391" s="100">
        <f>$J$391-EFEITO!$K$391*EFEITO!$Y$391</f>
        <v>0</v>
      </c>
      <c r="N391" s="100">
        <f ca="1">$K$391-EFEITO!$M$391*EFEITO!$Z$391</f>
        <v>21396.999593335648</v>
      </c>
      <c r="O391" s="100">
        <f>$L$391-EFEITO!$O$391*EFEITO!$AA$391</f>
        <v>46834.538353242977</v>
      </c>
      <c r="P391" s="17"/>
      <c r="Q391" s="17"/>
      <c r="R391" s="17"/>
      <c r="S391" s="17"/>
      <c r="T391" s="17"/>
      <c r="U391" s="17"/>
      <c r="V391" s="17"/>
      <c r="W391" s="17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91" t="s">
        <v>21</v>
      </c>
      <c r="B392" s="91" t="s">
        <v>38</v>
      </c>
      <c r="C392" s="91" t="s">
        <v>40</v>
      </c>
      <c r="D392" s="91" t="s">
        <v>43</v>
      </c>
      <c r="E392" s="91" t="s">
        <v>51</v>
      </c>
      <c r="F392" s="91" t="s">
        <v>53</v>
      </c>
      <c r="G392" s="91" t="s">
        <v>25</v>
      </c>
      <c r="H392" s="91" t="s">
        <v>34</v>
      </c>
      <c r="I392" s="99">
        <v>44593</v>
      </c>
      <c r="J392" s="100">
        <f>EFEITO!$J$392*EFEITO!$Y$360</f>
        <v>0</v>
      </c>
      <c r="K392" s="100">
        <f ca="1">EFEITO!$L$392*EFEITO!$Z$360</f>
        <v>17739.240926792416</v>
      </c>
      <c r="L392" s="100">
        <f>EFEITO!$N$392*EFEITO!$AA$360</f>
        <v>38828.301880327293</v>
      </c>
      <c r="M392" s="100">
        <f>$J$392-EFEITO!$K$392*EFEITO!$Y$392</f>
        <v>0</v>
      </c>
      <c r="N392" s="100">
        <f ca="1">$K$392-EFEITO!$M$392*EFEITO!$Z$392</f>
        <v>12417.468648754691</v>
      </c>
      <c r="O392" s="100">
        <f>$L$392-EFEITO!$O$392*EFEITO!$AA$392</f>
        <v>27179.811316229105</v>
      </c>
      <c r="P392" s="17"/>
      <c r="Q392" s="17"/>
      <c r="R392" s="17"/>
      <c r="S392" s="17"/>
      <c r="T392" s="17"/>
      <c r="U392" s="17"/>
      <c r="V392" s="17"/>
      <c r="W392" s="17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91" t="s">
        <v>21</v>
      </c>
      <c r="B393" s="91" t="s">
        <v>38</v>
      </c>
      <c r="C393" s="91" t="s">
        <v>40</v>
      </c>
      <c r="D393" s="91" t="s">
        <v>43</v>
      </c>
      <c r="E393" s="91" t="s">
        <v>51</v>
      </c>
      <c r="F393" s="91" t="s">
        <v>53</v>
      </c>
      <c r="G393" s="91" t="s">
        <v>25</v>
      </c>
      <c r="H393" s="91" t="s">
        <v>34</v>
      </c>
      <c r="I393" s="99">
        <v>44621</v>
      </c>
      <c r="J393" s="100">
        <f>EFEITO!$J$393*EFEITO!$Y$360</f>
        <v>0</v>
      </c>
      <c r="K393" s="100">
        <f ca="1">EFEITO!$L$393*EFEITO!$Z$360</f>
        <v>1509.7780826308531</v>
      </c>
      <c r="L393" s="100">
        <f>EFEITO!$N$393*EFEITO!$AA$360</f>
        <v>3304.6577024698236</v>
      </c>
      <c r="M393" s="100">
        <f>$J$393-EFEITO!$K$393*EFEITO!$Y$393</f>
        <v>0</v>
      </c>
      <c r="N393" s="100">
        <f ca="1">$K$393-EFEITO!$M$393*EFEITO!$Z$393</f>
        <v>1056.8446578415972</v>
      </c>
      <c r="O393" s="100">
        <f>$L$393-EFEITO!$O$393*EFEITO!$AA$393</f>
        <v>2313.2603917288761</v>
      </c>
      <c r="P393" s="17"/>
      <c r="Q393" s="17"/>
      <c r="R393" s="17"/>
      <c r="S393" s="17"/>
      <c r="T393" s="17"/>
      <c r="U393" s="17"/>
      <c r="V393" s="17"/>
      <c r="W393" s="17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91" t="s">
        <v>21</v>
      </c>
      <c r="B394" s="91" t="s">
        <v>38</v>
      </c>
      <c r="C394" s="91" t="s">
        <v>40</v>
      </c>
      <c r="D394" s="91" t="s">
        <v>43</v>
      </c>
      <c r="E394" s="91" t="s">
        <v>51</v>
      </c>
      <c r="F394" s="91" t="s">
        <v>53</v>
      </c>
      <c r="G394" s="91" t="s">
        <v>25</v>
      </c>
      <c r="H394" s="91" t="s">
        <v>34</v>
      </c>
      <c r="I394" s="99">
        <v>44652</v>
      </c>
      <c r="J394" s="100">
        <f>EFEITO!$J$394*EFEITO!$Y$360</f>
        <v>0</v>
      </c>
      <c r="K394" s="100">
        <f ca="1">EFEITO!$L$394*EFEITO!$Z$360</f>
        <v>699.95886011228561</v>
      </c>
      <c r="L394" s="100">
        <f>EFEITO!$N$394*EFEITO!$AA$360</f>
        <v>1532.0956537210716</v>
      </c>
      <c r="M394" s="100">
        <f>$J$394-EFEITO!$K$394*EFEITO!$Y$394</f>
        <v>0</v>
      </c>
      <c r="N394" s="100">
        <f ca="1">$K$394-EFEITO!$M$394*EFEITO!$Z$394</f>
        <v>489.9712020785999</v>
      </c>
      <c r="O394" s="100">
        <f>$L$394-EFEITO!$O$394*EFEITO!$AA$394</f>
        <v>1072.4669576047502</v>
      </c>
      <c r="P394" s="17"/>
      <c r="Q394" s="17"/>
      <c r="R394" s="17"/>
      <c r="S394" s="17"/>
      <c r="T394" s="17"/>
      <c r="U394" s="17"/>
      <c r="V394" s="17"/>
      <c r="W394" s="17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91" t="s">
        <v>21</v>
      </c>
      <c r="B395" s="91" t="s">
        <v>38</v>
      </c>
      <c r="C395" s="91" t="s">
        <v>40</v>
      </c>
      <c r="D395" s="91" t="s">
        <v>43</v>
      </c>
      <c r="E395" s="91" t="s">
        <v>51</v>
      </c>
      <c r="F395" s="91" t="s">
        <v>53</v>
      </c>
      <c r="G395" s="91" t="s">
        <v>25</v>
      </c>
      <c r="H395" s="91" t="s">
        <v>34</v>
      </c>
      <c r="I395" s="99">
        <v>44682</v>
      </c>
      <c r="J395" s="100">
        <f>EFEITO!$J$395*EFEITO!$Y$360</f>
        <v>0</v>
      </c>
      <c r="K395" s="100">
        <f ca="1">EFEITO!$L$395*EFEITO!$Z$360</f>
        <v>1207.2611357858184</v>
      </c>
      <c r="L395" s="100">
        <f>EFEITO!$N$395*EFEITO!$AA$360</f>
        <v>2642.497501563309</v>
      </c>
      <c r="M395" s="100">
        <f>$J$395-EFEITO!$K$395*EFEITO!$Y$395</f>
        <v>0</v>
      </c>
      <c r="N395" s="100">
        <f ca="1">$K$395-EFEITO!$M$395*EFEITO!$Z$395</f>
        <v>845.08279505007295</v>
      </c>
      <c r="O395" s="100">
        <f>$L$395-EFEITO!$O$395*EFEITO!$AA$395</f>
        <v>1849.7482510943164</v>
      </c>
      <c r="P395" s="17"/>
      <c r="Q395" s="17"/>
      <c r="R395" s="17"/>
      <c r="S395" s="17"/>
      <c r="T395" s="17"/>
      <c r="U395" s="17"/>
      <c r="V395" s="17"/>
      <c r="W395" s="17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91" t="s">
        <v>56</v>
      </c>
      <c r="B396" s="91" t="s">
        <v>38</v>
      </c>
      <c r="C396" s="91" t="s">
        <v>40</v>
      </c>
      <c r="D396" s="91" t="s">
        <v>43</v>
      </c>
      <c r="E396" s="91" t="s">
        <v>51</v>
      </c>
      <c r="F396" s="91" t="s">
        <v>53</v>
      </c>
      <c r="G396" s="91" t="s">
        <v>25</v>
      </c>
      <c r="H396" s="91" t="s">
        <v>34</v>
      </c>
      <c r="I396" s="99">
        <v>44713</v>
      </c>
      <c r="J396" s="100">
        <f>EFEITO!$J$396*EFEITO!$Y$360</f>
        <v>0</v>
      </c>
      <c r="K396" s="100">
        <f ca="1">EFEITO!$L$396*EFEITO!$Z$360</f>
        <v>1207.2611357858184</v>
      </c>
      <c r="L396" s="100">
        <f>EFEITO!$N$396*EFEITO!$AA$360</f>
        <v>2642.497501563309</v>
      </c>
      <c r="M396" s="100">
        <f>$J$396-EFEITO!$K$396*EFEITO!$Y$396</f>
        <v>0</v>
      </c>
      <c r="N396" s="100">
        <f ca="1">$K$396-EFEITO!$M$396*EFEITO!$Z$396</f>
        <v>845.08279505007295</v>
      </c>
      <c r="O396" s="100">
        <f>$L$396-EFEITO!$O$396*EFEITO!$AA$396</f>
        <v>1849.7482510943164</v>
      </c>
      <c r="P396" s="17"/>
      <c r="Q396" s="17"/>
      <c r="R396" s="17"/>
      <c r="S396" s="17"/>
      <c r="T396" s="17"/>
      <c r="U396" s="17"/>
      <c r="V396" s="17"/>
      <c r="W396" s="17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91" t="s">
        <v>21</v>
      </c>
      <c r="B397" s="91" t="s">
        <v>38</v>
      </c>
      <c r="C397" s="91" t="s">
        <v>40</v>
      </c>
      <c r="D397" s="91" t="s">
        <v>43</v>
      </c>
      <c r="E397" s="91" t="s">
        <v>51</v>
      </c>
      <c r="F397" s="91" t="s">
        <v>25</v>
      </c>
      <c r="G397" s="91" t="s">
        <v>25</v>
      </c>
      <c r="H397" s="91" t="s">
        <v>34</v>
      </c>
      <c r="I397" s="99">
        <v>44378</v>
      </c>
      <c r="J397" s="100">
        <f>EFEITO!$J$397*EFEITO!$Y$360</f>
        <v>0</v>
      </c>
      <c r="K397" s="100">
        <f ca="1">EFEITO!$L$397*EFEITO!$Z$360</f>
        <v>1286.7495184392683</v>
      </c>
      <c r="L397" s="100">
        <f>EFEITO!$N$397*EFEITO!$AA$360</f>
        <v>2816.4845921262204</v>
      </c>
      <c r="M397" s="100">
        <f>$J$397-EFEITO!$K$397*EFEITO!$Y$397</f>
        <v>0</v>
      </c>
      <c r="N397" s="100">
        <f ca="1">$K$397-EFEITO!$M$397*EFEITO!$Z$397</f>
        <v>25.734990368785247</v>
      </c>
      <c r="O397" s="100">
        <f>$L$397-EFEITO!$O$397*EFEITO!$AA$397</f>
        <v>56.32969184252488</v>
      </c>
      <c r="P397" s="17"/>
      <c r="Q397" s="17"/>
      <c r="R397" s="17"/>
      <c r="S397" s="17"/>
      <c r="T397" s="17"/>
      <c r="U397" s="17"/>
      <c r="V397" s="17"/>
      <c r="W397" s="17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91" t="s">
        <v>21</v>
      </c>
      <c r="B398" s="91" t="s">
        <v>38</v>
      </c>
      <c r="C398" s="91" t="s">
        <v>40</v>
      </c>
      <c r="D398" s="91" t="s">
        <v>43</v>
      </c>
      <c r="E398" s="91" t="s">
        <v>51</v>
      </c>
      <c r="F398" s="91" t="s">
        <v>25</v>
      </c>
      <c r="G398" s="91" t="s">
        <v>25</v>
      </c>
      <c r="H398" s="91" t="s">
        <v>34</v>
      </c>
      <c r="I398" s="99">
        <v>44409</v>
      </c>
      <c r="J398" s="100">
        <f>EFEITO!$J$398*EFEITO!$Y$360</f>
        <v>0</v>
      </c>
      <c r="K398" s="100">
        <f ca="1">EFEITO!$L$398*EFEITO!$Z$360</f>
        <v>1636.2778794891813</v>
      </c>
      <c r="L398" s="100">
        <f>EFEITO!$N$398*EFEITO!$AA$360</f>
        <v>3581.5451025838142</v>
      </c>
      <c r="M398" s="100">
        <f>$J$398-EFEITO!$K$398*EFEITO!$Y$398</f>
        <v>0</v>
      </c>
      <c r="N398" s="100">
        <f ca="1">$K$398-EFEITO!$M$398*EFEITO!$Z$398</f>
        <v>32.725557589783648</v>
      </c>
      <c r="O398" s="100">
        <f>$L$398-EFEITO!$O$398*EFEITO!$AA$398</f>
        <v>71.630902051676458</v>
      </c>
      <c r="P398" s="17"/>
      <c r="Q398" s="17"/>
      <c r="R398" s="17"/>
      <c r="S398" s="17"/>
      <c r="T398" s="17"/>
      <c r="U398" s="17"/>
      <c r="V398" s="17"/>
      <c r="W398" s="17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91" t="s">
        <v>55</v>
      </c>
      <c r="B399" s="91" t="s">
        <v>38</v>
      </c>
      <c r="C399" s="91" t="s">
        <v>40</v>
      </c>
      <c r="D399" s="91" t="s">
        <v>43</v>
      </c>
      <c r="E399" s="91" t="s">
        <v>51</v>
      </c>
      <c r="F399" s="91" t="s">
        <v>25</v>
      </c>
      <c r="G399" s="91" t="s">
        <v>25</v>
      </c>
      <c r="H399" s="91" t="s">
        <v>34</v>
      </c>
      <c r="I399" s="99">
        <v>44409</v>
      </c>
      <c r="J399" s="100">
        <f>EFEITO!$J$399*EFEITO!$Y$360</f>
        <v>0</v>
      </c>
      <c r="K399" s="100">
        <f ca="1">EFEITO!$L$399*EFEITO!$Z$360</f>
        <v>71.068427870486971</v>
      </c>
      <c r="L399" s="100">
        <f>EFEITO!$N$399*EFEITO!$AA$360</f>
        <v>155.55718437465842</v>
      </c>
      <c r="M399" s="100">
        <f>$J$399-EFEITO!$K$399*EFEITO!$Y$399</f>
        <v>0</v>
      </c>
      <c r="N399" s="100">
        <f ca="1">$K$399-EFEITO!$M$399*EFEITO!$Z$399</f>
        <v>1.4213685574097354</v>
      </c>
      <c r="O399" s="100">
        <f>$L$399-EFEITO!$O$399*EFEITO!$AA$399</f>
        <v>3.1111436874931826</v>
      </c>
      <c r="P399" s="17"/>
      <c r="Q399" s="17"/>
      <c r="R399" s="17"/>
      <c r="S399" s="17"/>
      <c r="T399" s="17"/>
      <c r="U399" s="17"/>
      <c r="V399" s="17"/>
      <c r="W399" s="17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91" t="s">
        <v>21</v>
      </c>
      <c r="B400" s="91" t="s">
        <v>38</v>
      </c>
      <c r="C400" s="91" t="s">
        <v>40</v>
      </c>
      <c r="D400" s="91" t="s">
        <v>43</v>
      </c>
      <c r="E400" s="91" t="s">
        <v>51</v>
      </c>
      <c r="F400" s="91" t="s">
        <v>25</v>
      </c>
      <c r="G400" s="91" t="s">
        <v>25</v>
      </c>
      <c r="H400" s="91" t="s">
        <v>34</v>
      </c>
      <c r="I400" s="99">
        <v>44440</v>
      </c>
      <c r="J400" s="100">
        <f>EFEITO!$J$400*EFEITO!$Y$360</f>
        <v>0</v>
      </c>
      <c r="K400" s="100">
        <f ca="1">EFEITO!$L$400*EFEITO!$Z$360</f>
        <v>1374.0564305340415</v>
      </c>
      <c r="L400" s="100">
        <f>EFEITO!$N$400*EFEITO!$AA$360</f>
        <v>3007.585167006795</v>
      </c>
      <c r="M400" s="100">
        <f>$J$400-EFEITO!$K$400*EFEITO!$Y$400</f>
        <v>0</v>
      </c>
      <c r="N400" s="100">
        <f ca="1">$K$400-EFEITO!$M$400*EFEITO!$Z$400</f>
        <v>27.481128610680798</v>
      </c>
      <c r="O400" s="100">
        <f>$L$400-EFEITO!$O$400*EFEITO!$AA$400</f>
        <v>60.15170334013601</v>
      </c>
      <c r="P400" s="17"/>
      <c r="Q400" s="17"/>
      <c r="R400" s="17"/>
      <c r="S400" s="17"/>
      <c r="T400" s="17"/>
      <c r="U400" s="17"/>
      <c r="V400" s="17"/>
      <c r="W400" s="17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91" t="s">
        <v>55</v>
      </c>
      <c r="B401" s="91" t="s">
        <v>38</v>
      </c>
      <c r="C401" s="91" t="s">
        <v>40</v>
      </c>
      <c r="D401" s="91" t="s">
        <v>43</v>
      </c>
      <c r="E401" s="91" t="s">
        <v>51</v>
      </c>
      <c r="F401" s="91" t="s">
        <v>25</v>
      </c>
      <c r="G401" s="91" t="s">
        <v>25</v>
      </c>
      <c r="H401" s="91" t="s">
        <v>34</v>
      </c>
      <c r="I401" s="99">
        <v>44440</v>
      </c>
      <c r="J401" s="100">
        <f>EFEITO!$J$401*EFEITO!$Y$360</f>
        <v>0</v>
      </c>
      <c r="K401" s="100">
        <f ca="1">EFEITO!$L$401*EFEITO!$Z$360</f>
        <v>221.62523839442412</v>
      </c>
      <c r="L401" s="100">
        <f>EFEITO!$N$401*EFEITO!$AA$360</f>
        <v>485.10145931222814</v>
      </c>
      <c r="M401" s="100">
        <f>$J$401-EFEITO!$K$401*EFEITO!$Y$401</f>
        <v>0</v>
      </c>
      <c r="N401" s="100">
        <f ca="1">$K$401-EFEITO!$M$401*EFEITO!$Z$401</f>
        <v>4.4325047678884744</v>
      </c>
      <c r="O401" s="100">
        <f>$L$401-EFEITO!$O$401*EFEITO!$AA$401</f>
        <v>9.7020291862446015</v>
      </c>
      <c r="P401" s="17"/>
      <c r="Q401" s="17"/>
      <c r="R401" s="17"/>
      <c r="S401" s="17"/>
      <c r="T401" s="17"/>
      <c r="U401" s="17"/>
      <c r="V401" s="17"/>
      <c r="W401" s="17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91" t="s">
        <v>21</v>
      </c>
      <c r="B402" s="91" t="s">
        <v>38</v>
      </c>
      <c r="C402" s="91" t="s">
        <v>40</v>
      </c>
      <c r="D402" s="91" t="s">
        <v>43</v>
      </c>
      <c r="E402" s="91" t="s">
        <v>51</v>
      </c>
      <c r="F402" s="91" t="s">
        <v>25</v>
      </c>
      <c r="G402" s="91" t="s">
        <v>25</v>
      </c>
      <c r="H402" s="91" t="s">
        <v>34</v>
      </c>
      <c r="I402" s="99">
        <v>44470</v>
      </c>
      <c r="J402" s="100">
        <f>EFEITO!$J$402*EFEITO!$Y$360</f>
        <v>0</v>
      </c>
      <c r="K402" s="100">
        <f ca="1">EFEITO!$L$402*EFEITO!$Z$360</f>
        <v>2324.6091829964221</v>
      </c>
      <c r="L402" s="100">
        <f>EFEITO!$N$402*EFEITO!$AA$360</f>
        <v>5088.1899334734881</v>
      </c>
      <c r="M402" s="100">
        <f>$J$402-EFEITO!$K$402*EFEITO!$Y$402</f>
        <v>0</v>
      </c>
      <c r="N402" s="100">
        <f ca="1">$K$402-EFEITO!$M$402*EFEITO!$Z$402</f>
        <v>46.492183659928287</v>
      </c>
      <c r="O402" s="100">
        <f>$L$402-EFEITO!$O$402*EFEITO!$AA$402</f>
        <v>101.76379866946991</v>
      </c>
      <c r="P402" s="17"/>
      <c r="Q402" s="17"/>
      <c r="R402" s="17"/>
      <c r="S402" s="17"/>
      <c r="T402" s="17"/>
      <c r="U402" s="17"/>
      <c r="V402" s="17"/>
      <c r="W402" s="17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91" t="s">
        <v>55</v>
      </c>
      <c r="B403" s="91" t="s">
        <v>38</v>
      </c>
      <c r="C403" s="91" t="s">
        <v>40</v>
      </c>
      <c r="D403" s="91" t="s">
        <v>43</v>
      </c>
      <c r="E403" s="91" t="s">
        <v>51</v>
      </c>
      <c r="F403" s="91" t="s">
        <v>25</v>
      </c>
      <c r="G403" s="91" t="s">
        <v>25</v>
      </c>
      <c r="H403" s="91" t="s">
        <v>34</v>
      </c>
      <c r="I403" s="99">
        <v>44470</v>
      </c>
      <c r="J403" s="100">
        <f>EFEITO!$J$403*EFEITO!$Y$360</f>
        <v>0</v>
      </c>
      <c r="K403" s="100">
        <f ca="1">EFEITO!$L$403*EFEITO!$Z$360</f>
        <v>304.72217309771565</v>
      </c>
      <c r="L403" s="100">
        <f>EFEITO!$N$403*EFEITO!$AA$360</f>
        <v>666.98708109867641</v>
      </c>
      <c r="M403" s="100">
        <f>$J$403-EFEITO!$K$403*EFEITO!$Y$403</f>
        <v>0</v>
      </c>
      <c r="N403" s="100">
        <f ca="1">$K$403-EFEITO!$M$403*EFEITO!$Z$403</f>
        <v>6.0944434619543131</v>
      </c>
      <c r="O403" s="100">
        <f>$L$403-EFEITO!$O$403*EFEITO!$AA$403</f>
        <v>13.339741621973531</v>
      </c>
      <c r="P403" s="17"/>
      <c r="Q403" s="17"/>
      <c r="R403" s="17"/>
      <c r="S403" s="17"/>
      <c r="T403" s="17"/>
      <c r="U403" s="17"/>
      <c r="V403" s="17"/>
      <c r="W403" s="17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91" t="s">
        <v>21</v>
      </c>
      <c r="B404" s="91" t="s">
        <v>38</v>
      </c>
      <c r="C404" s="91" t="s">
        <v>40</v>
      </c>
      <c r="D404" s="91" t="s">
        <v>43</v>
      </c>
      <c r="E404" s="91" t="s">
        <v>51</v>
      </c>
      <c r="F404" s="91" t="s">
        <v>25</v>
      </c>
      <c r="G404" s="91" t="s">
        <v>25</v>
      </c>
      <c r="H404" s="91" t="s">
        <v>34</v>
      </c>
      <c r="I404" s="99">
        <v>44501</v>
      </c>
      <c r="J404" s="100">
        <f>EFEITO!$J$404*EFEITO!$Y$360</f>
        <v>0</v>
      </c>
      <c r="K404" s="100">
        <f ca="1">EFEITO!$L$404*EFEITO!$Z$360</f>
        <v>17829.254252924569</v>
      </c>
      <c r="L404" s="100">
        <f>EFEITO!$N$404*EFEITO!$AA$360</f>
        <v>39025.326353625518</v>
      </c>
      <c r="M404" s="100">
        <f>$J$404-EFEITO!$K$404*EFEITO!$Y$404</f>
        <v>0</v>
      </c>
      <c r="N404" s="100">
        <f ca="1">$K$404-EFEITO!$M$404*EFEITO!$Z$404</f>
        <v>356.58508505849022</v>
      </c>
      <c r="O404" s="100">
        <f>$L$404-EFEITO!$O$404*EFEITO!$AA$404</f>
        <v>780.50652707250993</v>
      </c>
      <c r="P404" s="17"/>
      <c r="Q404" s="17"/>
      <c r="R404" s="17"/>
      <c r="S404" s="17"/>
      <c r="T404" s="17"/>
      <c r="U404" s="17"/>
      <c r="V404" s="17"/>
      <c r="W404" s="17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91" t="s">
        <v>55</v>
      </c>
      <c r="B405" s="91" t="s">
        <v>38</v>
      </c>
      <c r="C405" s="91" t="s">
        <v>40</v>
      </c>
      <c r="D405" s="91" t="s">
        <v>43</v>
      </c>
      <c r="E405" s="91" t="s">
        <v>51</v>
      </c>
      <c r="F405" s="91" t="s">
        <v>25</v>
      </c>
      <c r="G405" s="91" t="s">
        <v>25</v>
      </c>
      <c r="H405" s="91" t="s">
        <v>34</v>
      </c>
      <c r="I405" s="99">
        <v>44501</v>
      </c>
      <c r="J405" s="100">
        <f>EFEITO!$J$405*EFEITO!$Y$360</f>
        <v>0</v>
      </c>
      <c r="K405" s="100">
        <f ca="1">EFEITO!$L$405*EFEITO!$Z$360</f>
        <v>5555.4661182877289</v>
      </c>
      <c r="L405" s="100">
        <f>EFEITO!$N$405*EFEITO!$AA$360</f>
        <v>12160.008222280245</v>
      </c>
      <c r="M405" s="100">
        <f>$J$405-EFEITO!$K$405*EFEITO!$Y$405</f>
        <v>0</v>
      </c>
      <c r="N405" s="100">
        <f ca="1">$K$405-EFEITO!$M$405*EFEITO!$Z$405</f>
        <v>111.10932236575445</v>
      </c>
      <c r="O405" s="100">
        <f>$L$405-EFEITO!$O$405*EFEITO!$AA$405</f>
        <v>243.20016444560497</v>
      </c>
      <c r="P405" s="17"/>
      <c r="Q405" s="17"/>
      <c r="R405" s="17"/>
      <c r="S405" s="17"/>
      <c r="T405" s="17"/>
      <c r="U405" s="17"/>
      <c r="V405" s="17"/>
      <c r="W405" s="17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91" t="s">
        <v>21</v>
      </c>
      <c r="B406" s="91" t="s">
        <v>38</v>
      </c>
      <c r="C406" s="91" t="s">
        <v>40</v>
      </c>
      <c r="D406" s="91" t="s">
        <v>43</v>
      </c>
      <c r="E406" s="91" t="s">
        <v>51</v>
      </c>
      <c r="F406" s="91" t="s">
        <v>25</v>
      </c>
      <c r="G406" s="91" t="s">
        <v>25</v>
      </c>
      <c r="H406" s="91" t="s">
        <v>34</v>
      </c>
      <c r="I406" s="99">
        <v>44531</v>
      </c>
      <c r="J406" s="100">
        <f>EFEITO!$J$406*EFEITO!$Y$360</f>
        <v>0</v>
      </c>
      <c r="K406" s="100">
        <f ca="1">EFEITO!$L$406*EFEITO!$Z$360</f>
        <v>38006.372802055645</v>
      </c>
      <c r="L406" s="100">
        <f>EFEITO!$N$406*EFEITO!$AA$360</f>
        <v>83189.744286387329</v>
      </c>
      <c r="M406" s="100">
        <f>$J$406-EFEITO!$K$406*EFEITO!$Y$406</f>
        <v>0</v>
      </c>
      <c r="N406" s="100">
        <f ca="1">$K$406-EFEITO!$M$406*EFEITO!$Z$406</f>
        <v>760.12745604111115</v>
      </c>
      <c r="O406" s="100">
        <f>$L$406-EFEITO!$O$406*EFEITO!$AA$406</f>
        <v>1663.7948857277515</v>
      </c>
      <c r="P406" s="17"/>
      <c r="Q406" s="17"/>
      <c r="R406" s="17"/>
      <c r="S406" s="17"/>
      <c r="T406" s="17"/>
      <c r="U406" s="17"/>
      <c r="V406" s="17"/>
      <c r="W406" s="17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91" t="s">
        <v>55</v>
      </c>
      <c r="B407" s="91" t="s">
        <v>38</v>
      </c>
      <c r="C407" s="91" t="s">
        <v>40</v>
      </c>
      <c r="D407" s="91" t="s">
        <v>43</v>
      </c>
      <c r="E407" s="91" t="s">
        <v>51</v>
      </c>
      <c r="F407" s="91" t="s">
        <v>25</v>
      </c>
      <c r="G407" s="91" t="s">
        <v>25</v>
      </c>
      <c r="H407" s="91" t="s">
        <v>34</v>
      </c>
      <c r="I407" s="99">
        <v>44531</v>
      </c>
      <c r="J407" s="100">
        <f>EFEITO!$J$407*EFEITO!$Y$360</f>
        <v>0</v>
      </c>
      <c r="K407" s="100">
        <f ca="1">EFEITO!$L$407*EFEITO!$Z$360</f>
        <v>7723.9051875715713</v>
      </c>
      <c r="L407" s="100">
        <f>EFEITO!$N$407*EFEITO!$AA$360</f>
        <v>16906.36727669066</v>
      </c>
      <c r="M407" s="100">
        <f>$J$407-EFEITO!$K$407*EFEITO!$Y$407</f>
        <v>0</v>
      </c>
      <c r="N407" s="100">
        <f ca="1">$K$407-EFEITO!$M$407*EFEITO!$Z$407</f>
        <v>154.47810375143126</v>
      </c>
      <c r="O407" s="100">
        <f>$L$407-EFEITO!$O$407*EFEITO!$AA$407</f>
        <v>338.12734553381233</v>
      </c>
      <c r="P407" s="17"/>
      <c r="Q407" s="17"/>
      <c r="R407" s="17"/>
      <c r="S407" s="17"/>
      <c r="T407" s="17"/>
      <c r="U407" s="17"/>
      <c r="V407" s="17"/>
      <c r="W407" s="17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91" t="s">
        <v>21</v>
      </c>
      <c r="B408" s="91" t="s">
        <v>38</v>
      </c>
      <c r="C408" s="91" t="s">
        <v>40</v>
      </c>
      <c r="D408" s="91" t="s">
        <v>43</v>
      </c>
      <c r="E408" s="91" t="s">
        <v>51</v>
      </c>
      <c r="F408" s="91" t="s">
        <v>25</v>
      </c>
      <c r="G408" s="91" t="s">
        <v>25</v>
      </c>
      <c r="H408" s="91" t="s">
        <v>34</v>
      </c>
      <c r="I408" s="99">
        <v>44562</v>
      </c>
      <c r="J408" s="100">
        <f>EFEITO!$J$408*EFEITO!$Y$360</f>
        <v>0</v>
      </c>
      <c r="K408" s="100">
        <f ca="1">EFEITO!$L$408*EFEITO!$Z$360</f>
        <v>24936.097039973265</v>
      </c>
      <c r="L408" s="100">
        <f>EFEITO!$N$408*EFEITO!$AA$360</f>
        <v>54581.044791091364</v>
      </c>
      <c r="M408" s="100">
        <f>$J$408-EFEITO!$K$408*EFEITO!$Y$408</f>
        <v>0</v>
      </c>
      <c r="N408" s="100">
        <f ca="1">$K$408-EFEITO!$M$408*EFEITO!$Z$408</f>
        <v>498.72194079946348</v>
      </c>
      <c r="O408" s="100">
        <f>$L$408-EFEITO!$O$408*EFEITO!$AA$408</f>
        <v>1091.620895821834</v>
      </c>
      <c r="P408" s="17"/>
      <c r="Q408" s="17"/>
      <c r="R408" s="17"/>
      <c r="S408" s="17"/>
      <c r="T408" s="17"/>
      <c r="U408" s="17"/>
      <c r="V408" s="17"/>
      <c r="W408" s="17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91" t="s">
        <v>55</v>
      </c>
      <c r="B409" s="91" t="s">
        <v>38</v>
      </c>
      <c r="C409" s="91" t="s">
        <v>40</v>
      </c>
      <c r="D409" s="91" t="s">
        <v>43</v>
      </c>
      <c r="E409" s="91" t="s">
        <v>51</v>
      </c>
      <c r="F409" s="91" t="s">
        <v>25</v>
      </c>
      <c r="G409" s="91" t="s">
        <v>25</v>
      </c>
      <c r="H409" s="91" t="s">
        <v>34</v>
      </c>
      <c r="I409" s="99">
        <v>44562</v>
      </c>
      <c r="J409" s="100">
        <f>EFEITO!$J$409*EFEITO!$Y$360</f>
        <v>0</v>
      </c>
      <c r="K409" s="100">
        <f ca="1">EFEITO!$L$409*EFEITO!$Z$360</f>
        <v>945.54087461537893</v>
      </c>
      <c r="L409" s="100">
        <f>EFEITO!$N$409*EFEITO!$AA$360</f>
        <v>2069.6345842117812</v>
      </c>
      <c r="M409" s="100">
        <f>$J$409-EFEITO!$K$409*EFEITO!$Y$409</f>
        <v>0</v>
      </c>
      <c r="N409" s="100">
        <f ca="1">$K$409-EFEITO!$M$409*EFEITO!$Z$409</f>
        <v>18.910817492307615</v>
      </c>
      <c r="O409" s="100">
        <f>$L$409-EFEITO!$O$409*EFEITO!$AA$409</f>
        <v>41.392691684235842</v>
      </c>
      <c r="P409" s="17"/>
      <c r="Q409" s="17"/>
      <c r="R409" s="17"/>
      <c r="S409" s="17"/>
      <c r="T409" s="17"/>
      <c r="U409" s="17"/>
      <c r="V409" s="17"/>
      <c r="W409" s="17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91" t="s">
        <v>21</v>
      </c>
      <c r="B410" s="91" t="s">
        <v>38</v>
      </c>
      <c r="C410" s="91" t="s">
        <v>40</v>
      </c>
      <c r="D410" s="91" t="s">
        <v>43</v>
      </c>
      <c r="E410" s="91" t="s">
        <v>51</v>
      </c>
      <c r="F410" s="91" t="s">
        <v>25</v>
      </c>
      <c r="G410" s="91" t="s">
        <v>25</v>
      </c>
      <c r="H410" s="91" t="s">
        <v>34</v>
      </c>
      <c r="I410" s="99">
        <v>44593</v>
      </c>
      <c r="J410" s="100">
        <f>EFEITO!$J$410*EFEITO!$Y$360</f>
        <v>0</v>
      </c>
      <c r="K410" s="100">
        <f ca="1">EFEITO!$L$410*EFEITO!$Z$360</f>
        <v>12564.97823754765</v>
      </c>
      <c r="L410" s="100">
        <f>EFEITO!$N$410*EFEITO!$AA$360</f>
        <v>27502.685720355686</v>
      </c>
      <c r="M410" s="100">
        <f>$J$410-EFEITO!$K$410*EFEITO!$Y$410</f>
        <v>0</v>
      </c>
      <c r="N410" s="100">
        <f ca="1">$K$410-EFEITO!$M$410*EFEITO!$Z$410</f>
        <v>251.29956475095241</v>
      </c>
      <c r="O410" s="100">
        <f>$L$410-EFEITO!$O$410*EFEITO!$AA$410</f>
        <v>550.05371440711315</v>
      </c>
      <c r="P410" s="17"/>
      <c r="Q410" s="17"/>
      <c r="R410" s="17"/>
      <c r="S410" s="17"/>
      <c r="T410" s="17"/>
      <c r="U410" s="17"/>
      <c r="V410" s="17"/>
      <c r="W410" s="17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91" t="s">
        <v>55</v>
      </c>
      <c r="B411" s="91" t="s">
        <v>38</v>
      </c>
      <c r="C411" s="91" t="s">
        <v>40</v>
      </c>
      <c r="D411" s="91" t="s">
        <v>43</v>
      </c>
      <c r="E411" s="91" t="s">
        <v>51</v>
      </c>
      <c r="F411" s="91" t="s">
        <v>25</v>
      </c>
      <c r="G411" s="91" t="s">
        <v>25</v>
      </c>
      <c r="H411" s="91" t="s">
        <v>34</v>
      </c>
      <c r="I411" s="99">
        <v>44593</v>
      </c>
      <c r="J411" s="100">
        <f>EFEITO!$J$411*EFEITO!$Y$360</f>
        <v>0</v>
      </c>
      <c r="K411" s="100">
        <f ca="1">EFEITO!$L$411*EFEITO!$Z$360</f>
        <v>67.560113377585651</v>
      </c>
      <c r="L411" s="100">
        <f>EFEITO!$N$411*EFEITO!$AA$360</f>
        <v>147.87805679621971</v>
      </c>
      <c r="M411" s="100">
        <f>$J$411-EFEITO!$K$411*EFEITO!$Y$411</f>
        <v>0</v>
      </c>
      <c r="N411" s="100">
        <f ca="1">$K$411-EFEITO!$M$411*EFEITO!$Z$411</f>
        <v>1.351202267551713</v>
      </c>
      <c r="O411" s="100">
        <f>$L$411-EFEITO!$O$411*EFEITO!$AA$411</f>
        <v>2.9575611359243794</v>
      </c>
      <c r="P411" s="17"/>
      <c r="Q411" s="17"/>
      <c r="R411" s="17"/>
      <c r="S411" s="17"/>
      <c r="T411" s="17"/>
      <c r="U411" s="17"/>
      <c r="V411" s="17"/>
      <c r="W411" s="17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91" t="s">
        <v>21</v>
      </c>
      <c r="B412" s="91" t="s">
        <v>38</v>
      </c>
      <c r="C412" s="91" t="s">
        <v>40</v>
      </c>
      <c r="D412" s="91" t="s">
        <v>43</v>
      </c>
      <c r="E412" s="91" t="s">
        <v>51</v>
      </c>
      <c r="F412" s="91" t="s">
        <v>25</v>
      </c>
      <c r="G412" s="91" t="s">
        <v>25</v>
      </c>
      <c r="H412" s="91" t="s">
        <v>34</v>
      </c>
      <c r="I412" s="99">
        <v>44621</v>
      </c>
      <c r="J412" s="100">
        <f>EFEITO!$J$412*EFEITO!$Y$360</f>
        <v>0</v>
      </c>
      <c r="K412" s="100">
        <f ca="1">EFEITO!$L$412*EFEITO!$Z$360</f>
        <v>2235.1972822059083</v>
      </c>
      <c r="L412" s="100">
        <f>EFEITO!$N$412*EFEITO!$AA$360</f>
        <v>4892.4818820458504</v>
      </c>
      <c r="M412" s="100">
        <f>$J$412-EFEITO!$K$412*EFEITO!$Y$412</f>
        <v>0</v>
      </c>
      <c r="N412" s="100">
        <f ca="1">$K$412-EFEITO!$M$412*EFEITO!$Z$412</f>
        <v>44.703945644117994</v>
      </c>
      <c r="O412" s="100">
        <f>$L$412-EFEITO!$O$412*EFEITO!$AA$412</f>
        <v>97.849637640917535</v>
      </c>
      <c r="P412" s="17"/>
      <c r="Q412" s="17"/>
      <c r="R412" s="17"/>
      <c r="S412" s="17"/>
      <c r="T412" s="17"/>
      <c r="U412" s="17"/>
      <c r="V412" s="17"/>
      <c r="W412" s="17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91" t="s">
        <v>55</v>
      </c>
      <c r="B413" s="91" t="s">
        <v>38</v>
      </c>
      <c r="C413" s="91" t="s">
        <v>40</v>
      </c>
      <c r="D413" s="91" t="s">
        <v>43</v>
      </c>
      <c r="E413" s="91" t="s">
        <v>51</v>
      </c>
      <c r="F413" s="91" t="s">
        <v>25</v>
      </c>
      <c r="G413" s="91" t="s">
        <v>25</v>
      </c>
      <c r="H413" s="91" t="s">
        <v>34</v>
      </c>
      <c r="I413" s="99">
        <v>44621</v>
      </c>
      <c r="J413" s="100">
        <f>EFEITO!$J$413*EFEITO!$Y$360</f>
        <v>0</v>
      </c>
      <c r="K413" s="100">
        <f ca="1">EFEITO!$L$413*EFEITO!$Z$360</f>
        <v>44.204762610556777</v>
      </c>
      <c r="L413" s="100">
        <f>EFEITO!$N$413*EFEITO!$AA$360</f>
        <v>96.75700748832773</v>
      </c>
      <c r="M413" s="100">
        <f>$J$413-EFEITO!$K$413*EFEITO!$Y$413</f>
        <v>0</v>
      </c>
      <c r="N413" s="100">
        <f ca="1">$K$413-EFEITO!$M$413*EFEITO!$Z$413</f>
        <v>0.88409525221113228</v>
      </c>
      <c r="O413" s="100">
        <f>$L$413-EFEITO!$O$413*EFEITO!$AA$413</f>
        <v>1.9351401497665535</v>
      </c>
      <c r="P413" s="17"/>
      <c r="Q413" s="17"/>
      <c r="R413" s="17"/>
      <c r="S413" s="17"/>
      <c r="T413" s="17"/>
      <c r="U413" s="17"/>
      <c r="V413" s="17"/>
      <c r="W413" s="17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91" t="s">
        <v>21</v>
      </c>
      <c r="B414" s="91" t="s">
        <v>38</v>
      </c>
      <c r="C414" s="91" t="s">
        <v>40</v>
      </c>
      <c r="D414" s="91" t="s">
        <v>43</v>
      </c>
      <c r="E414" s="91" t="s">
        <v>51</v>
      </c>
      <c r="F414" s="91" t="s">
        <v>25</v>
      </c>
      <c r="G414" s="91" t="s">
        <v>25</v>
      </c>
      <c r="H414" s="91" t="s">
        <v>34</v>
      </c>
      <c r="I414" s="99">
        <v>44652</v>
      </c>
      <c r="J414" s="100">
        <f>EFEITO!$J$414*EFEITO!$Y$360</f>
        <v>0</v>
      </c>
      <c r="K414" s="100">
        <f ca="1">EFEITO!$L$414*EFEITO!$Z$360</f>
        <v>982.92948335401297</v>
      </c>
      <c r="L414" s="100">
        <f>EFEITO!$N$414*EFEITO!$AA$360</f>
        <v>2151.4721438334277</v>
      </c>
      <c r="M414" s="100">
        <f>$J$414-EFEITO!$K$414*EFEITO!$Y$414</f>
        <v>0</v>
      </c>
      <c r="N414" s="100">
        <f ca="1">$K$414-EFEITO!$M$414*EFEITO!$Z$414</f>
        <v>19.65858966708015</v>
      </c>
      <c r="O414" s="100">
        <f>$L$414-EFEITO!$O$414*EFEITO!$AA$414</f>
        <v>43.029442876668327</v>
      </c>
      <c r="P414" s="17"/>
      <c r="Q414" s="17"/>
      <c r="R414" s="17"/>
      <c r="S414" s="17"/>
      <c r="T414" s="17"/>
      <c r="U414" s="17"/>
      <c r="V414" s="17"/>
      <c r="W414" s="17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91" t="s">
        <v>55</v>
      </c>
      <c r="B415" s="91" t="s">
        <v>38</v>
      </c>
      <c r="C415" s="91" t="s">
        <v>40</v>
      </c>
      <c r="D415" s="91" t="s">
        <v>43</v>
      </c>
      <c r="E415" s="91" t="s">
        <v>51</v>
      </c>
      <c r="F415" s="91" t="s">
        <v>25</v>
      </c>
      <c r="G415" s="91" t="s">
        <v>25</v>
      </c>
      <c r="H415" s="91" t="s">
        <v>34</v>
      </c>
      <c r="I415" s="99">
        <v>44652</v>
      </c>
      <c r="J415" s="100">
        <f>EFEITO!$J$415*EFEITO!$Y$360</f>
        <v>0</v>
      </c>
      <c r="K415" s="100">
        <f ca="1">EFEITO!$L$415*EFEITO!$Z$360</f>
        <v>32.17625577775221</v>
      </c>
      <c r="L415" s="100">
        <f>EFEITO!$N$415*EFEITO!$AA$360</f>
        <v>70.428570076537881</v>
      </c>
      <c r="M415" s="100">
        <f>$J$415-EFEITO!$K$415*EFEITO!$Y$415</f>
        <v>0</v>
      </c>
      <c r="N415" s="100">
        <f ca="1">$K$415-EFEITO!$M$415*EFEITO!$Z$415</f>
        <v>0.64352511555503966</v>
      </c>
      <c r="O415" s="100">
        <f>$L$415-EFEITO!$O$415*EFEITO!$AA$415</f>
        <v>1.4085714015307644</v>
      </c>
      <c r="P415" s="17"/>
      <c r="Q415" s="17"/>
      <c r="R415" s="17"/>
      <c r="S415" s="17"/>
      <c r="T415" s="17"/>
      <c r="U415" s="17"/>
      <c r="V415" s="17"/>
      <c r="W415" s="17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91" t="s">
        <v>21</v>
      </c>
      <c r="B416" s="91" t="s">
        <v>38</v>
      </c>
      <c r="C416" s="91" t="s">
        <v>40</v>
      </c>
      <c r="D416" s="91" t="s">
        <v>43</v>
      </c>
      <c r="E416" s="91" t="s">
        <v>51</v>
      </c>
      <c r="F416" s="91" t="s">
        <v>25</v>
      </c>
      <c r="G416" s="91" t="s">
        <v>25</v>
      </c>
      <c r="H416" s="91" t="s">
        <v>34</v>
      </c>
      <c r="I416" s="99">
        <v>44682</v>
      </c>
      <c r="J416" s="100">
        <f>EFEITO!$J$416*EFEITO!$Y$360</f>
        <v>0</v>
      </c>
      <c r="K416" s="100">
        <f ca="1">EFEITO!$L$416*EFEITO!$Z$360</f>
        <v>1564.6080262770538</v>
      </c>
      <c r="L416" s="100">
        <f>EFEITO!$N$416*EFEITO!$AA$360</f>
        <v>3424.6714963385662</v>
      </c>
      <c r="M416" s="100">
        <f>$J$416-EFEITO!$K$416*EFEITO!$Y$416</f>
        <v>0</v>
      </c>
      <c r="N416" s="100">
        <f ca="1">$K$416-EFEITO!$M$416*EFEITO!$Z$416</f>
        <v>31.292160525541021</v>
      </c>
      <c r="O416" s="100">
        <f>$L$416-EFEITO!$O$416*EFEITO!$AA$416</f>
        <v>68.493429926771569</v>
      </c>
      <c r="P416" s="17"/>
      <c r="Q416" s="17"/>
      <c r="R416" s="17"/>
      <c r="S416" s="17"/>
      <c r="T416" s="17"/>
      <c r="U416" s="17"/>
      <c r="V416" s="17"/>
      <c r="W416" s="17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91" t="s">
        <v>55</v>
      </c>
      <c r="B417" s="91" t="s">
        <v>38</v>
      </c>
      <c r="C417" s="91" t="s">
        <v>40</v>
      </c>
      <c r="D417" s="91" t="s">
        <v>43</v>
      </c>
      <c r="E417" s="91" t="s">
        <v>51</v>
      </c>
      <c r="F417" s="91" t="s">
        <v>25</v>
      </c>
      <c r="G417" s="91" t="s">
        <v>25</v>
      </c>
      <c r="H417" s="91" t="s">
        <v>34</v>
      </c>
      <c r="I417" s="99">
        <v>44682</v>
      </c>
      <c r="J417" s="100">
        <f>EFEITO!$J$417*EFEITO!$Y$360</f>
        <v>0</v>
      </c>
      <c r="K417" s="100">
        <f ca="1">EFEITO!$L$417*EFEITO!$Z$360</f>
        <v>33.37910646103267</v>
      </c>
      <c r="L417" s="100">
        <f>EFEITO!$N$417*EFEITO!$AA$360</f>
        <v>73.061413817716868</v>
      </c>
      <c r="M417" s="100">
        <f>$J$417-EFEITO!$K$417*EFEITO!$Y$417</f>
        <v>0</v>
      </c>
      <c r="N417" s="100">
        <f ca="1">$K$417-EFEITO!$M$417*EFEITO!$Z$417</f>
        <v>0.66758212922064786</v>
      </c>
      <c r="O417" s="100">
        <f>$L$417-EFEITO!$O$417*EFEITO!$AA$417</f>
        <v>1.4612282763543476</v>
      </c>
      <c r="P417" s="17"/>
      <c r="Q417" s="17"/>
      <c r="R417" s="17"/>
      <c r="S417" s="17"/>
      <c r="T417" s="17"/>
      <c r="U417" s="17"/>
      <c r="V417" s="17"/>
      <c r="W417" s="17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91" t="s">
        <v>56</v>
      </c>
      <c r="B418" s="91" t="s">
        <v>38</v>
      </c>
      <c r="C418" s="91" t="s">
        <v>40</v>
      </c>
      <c r="D418" s="91" t="s">
        <v>43</v>
      </c>
      <c r="E418" s="91" t="s">
        <v>51</v>
      </c>
      <c r="F418" s="91" t="s">
        <v>25</v>
      </c>
      <c r="G418" s="91" t="s">
        <v>25</v>
      </c>
      <c r="H418" s="91" t="s">
        <v>34</v>
      </c>
      <c r="I418" s="99">
        <v>44713</v>
      </c>
      <c r="J418" s="100">
        <f>EFEITO!$J$418*EFEITO!$Y$360</f>
        <v>0</v>
      </c>
      <c r="K418" s="100">
        <f ca="1">EFEITO!$L$418*EFEITO!$Z$360</f>
        <v>1564.6080262770538</v>
      </c>
      <c r="L418" s="100">
        <f>EFEITO!$N$418*EFEITO!$AA$360</f>
        <v>3424.6714963385662</v>
      </c>
      <c r="M418" s="100">
        <f>$J$418-EFEITO!$K$418*EFEITO!$Y$418</f>
        <v>0</v>
      </c>
      <c r="N418" s="100">
        <f ca="1">$K$418-EFEITO!$M$418*EFEITO!$Z$418</f>
        <v>31.292160525541021</v>
      </c>
      <c r="O418" s="100">
        <f>$L$418-EFEITO!$O$418*EFEITO!$AA$418</f>
        <v>68.493429926771569</v>
      </c>
      <c r="P418" s="17"/>
      <c r="Q418" s="17"/>
      <c r="R418" s="17"/>
      <c r="S418" s="17"/>
      <c r="T418" s="17"/>
      <c r="U418" s="17"/>
      <c r="V418" s="17"/>
      <c r="W418" s="17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91" t="s">
        <v>56</v>
      </c>
      <c r="B419" s="91" t="s">
        <v>38</v>
      </c>
      <c r="C419" s="91" t="s">
        <v>40</v>
      </c>
      <c r="D419" s="91" t="s">
        <v>43</v>
      </c>
      <c r="E419" s="91" t="s">
        <v>51</v>
      </c>
      <c r="F419" s="91" t="s">
        <v>25</v>
      </c>
      <c r="G419" s="91" t="s">
        <v>25</v>
      </c>
      <c r="H419" s="91" t="s">
        <v>34</v>
      </c>
      <c r="I419" s="99">
        <v>44713</v>
      </c>
      <c r="J419" s="100">
        <f>EFEITO!$J$419*EFEITO!$Y$360</f>
        <v>0</v>
      </c>
      <c r="K419" s="100">
        <f ca="1">EFEITO!$L$419*EFEITO!$Z$360</f>
        <v>33.37910646103267</v>
      </c>
      <c r="L419" s="100">
        <f>EFEITO!$N$419*EFEITO!$AA$360</f>
        <v>73.061413817716868</v>
      </c>
      <c r="M419" s="100">
        <f>$J$419-EFEITO!$K$419*EFEITO!$Y$419</f>
        <v>0</v>
      </c>
      <c r="N419" s="100">
        <f ca="1">$K$419-EFEITO!$M$419*EFEITO!$Z$419</f>
        <v>0.66758212922064786</v>
      </c>
      <c r="O419" s="100">
        <f>$L$419-EFEITO!$O$419*EFEITO!$AA$419</f>
        <v>1.4612282763543476</v>
      </c>
      <c r="P419" s="17"/>
      <c r="Q419" s="17"/>
      <c r="R419" s="17"/>
      <c r="S419" s="17"/>
      <c r="T419" s="17"/>
      <c r="U419" s="17"/>
      <c r="V419" s="17"/>
      <c r="W419" s="17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91" t="s">
        <v>21</v>
      </c>
      <c r="B420" s="91" t="s">
        <v>38</v>
      </c>
      <c r="C420" s="91" t="s">
        <v>40</v>
      </c>
      <c r="D420" s="91" t="s">
        <v>43</v>
      </c>
      <c r="E420" s="91" t="s">
        <v>51</v>
      </c>
      <c r="F420" s="91" t="s">
        <v>25</v>
      </c>
      <c r="G420" s="91" t="s">
        <v>25</v>
      </c>
      <c r="H420" s="91" t="s">
        <v>25</v>
      </c>
      <c r="I420" s="99">
        <v>44378</v>
      </c>
      <c r="J420" s="100">
        <f ca="1">EFEITO!$J$420*EFEITO!$Y$372</f>
        <v>6836.8310643242612</v>
      </c>
      <c r="K420" s="100">
        <f>EFEITO!$L$420*EFEITO!$Z$372</f>
        <v>0</v>
      </c>
      <c r="L420" s="100">
        <f>EFEITO!$N$420*EFEITO!$AA$372</f>
        <v>0</v>
      </c>
      <c r="M420" s="100">
        <f ca="1">$J$420-EFEITO!$K$420*EFEITO!$Y$420</f>
        <v>136.73662128648539</v>
      </c>
      <c r="N420" s="100">
        <f>$K$420-EFEITO!$M$420*EFEITO!$Z$420</f>
        <v>0</v>
      </c>
      <c r="O420" s="100">
        <f>$L$420-EFEITO!$O$420*EFEITO!$AA$420</f>
        <v>0</v>
      </c>
      <c r="P420" s="17"/>
      <c r="Q420" s="17"/>
      <c r="R420" s="17"/>
      <c r="S420" s="17"/>
      <c r="T420" s="17"/>
      <c r="U420" s="17"/>
      <c r="V420" s="17"/>
      <c r="W420" s="17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91" t="s">
        <v>21</v>
      </c>
      <c r="B421" s="91" t="s">
        <v>38</v>
      </c>
      <c r="C421" s="91" t="s">
        <v>40</v>
      </c>
      <c r="D421" s="91" t="s">
        <v>43</v>
      </c>
      <c r="E421" s="91" t="s">
        <v>51</v>
      </c>
      <c r="F421" s="91" t="s">
        <v>25</v>
      </c>
      <c r="G421" s="91" t="s">
        <v>25</v>
      </c>
      <c r="H421" s="91" t="s">
        <v>25</v>
      </c>
      <c r="I421" s="99">
        <v>44409</v>
      </c>
      <c r="J421" s="100">
        <f ca="1">EFEITO!$J$421*EFEITO!$Y$372</f>
        <v>9541.1775742125246</v>
      </c>
      <c r="K421" s="100">
        <f>EFEITO!$L$421*EFEITO!$Z$372</f>
        <v>0</v>
      </c>
      <c r="L421" s="100">
        <f>EFEITO!$N$421*EFEITO!$AA$372</f>
        <v>0</v>
      </c>
      <c r="M421" s="100">
        <f ca="1">$J$421-EFEITO!$K$421*EFEITO!$Y$421</f>
        <v>190.82355148425086</v>
      </c>
      <c r="N421" s="100">
        <f>$K$421-EFEITO!$M$421*EFEITO!$Z$421</f>
        <v>0</v>
      </c>
      <c r="O421" s="100">
        <f>$L$421-EFEITO!$O$421*EFEITO!$AA$421</f>
        <v>0</v>
      </c>
      <c r="P421" s="17"/>
      <c r="Q421" s="17"/>
      <c r="R421" s="17"/>
      <c r="S421" s="17"/>
      <c r="T421" s="17"/>
      <c r="U421" s="17"/>
      <c r="V421" s="17"/>
      <c r="W421" s="17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91" t="s">
        <v>55</v>
      </c>
      <c r="B422" s="91" t="s">
        <v>38</v>
      </c>
      <c r="C422" s="91" t="s">
        <v>40</v>
      </c>
      <c r="D422" s="91" t="s">
        <v>43</v>
      </c>
      <c r="E422" s="91" t="s">
        <v>51</v>
      </c>
      <c r="F422" s="91" t="s">
        <v>25</v>
      </c>
      <c r="G422" s="91" t="s">
        <v>25</v>
      </c>
      <c r="H422" s="91" t="s">
        <v>25</v>
      </c>
      <c r="I422" s="99">
        <v>44409</v>
      </c>
      <c r="J422" s="100">
        <f ca="1">EFEITO!$J$422*EFEITO!$Y$372</f>
        <v>470.981695542338</v>
      </c>
      <c r="K422" s="100">
        <f>EFEITO!$L$422*EFEITO!$Z$372</f>
        <v>0</v>
      </c>
      <c r="L422" s="100">
        <f>EFEITO!$N$422*EFEITO!$AA$372</f>
        <v>0</v>
      </c>
      <c r="M422" s="100">
        <f ca="1">$J$422-EFEITO!$K$422*EFEITO!$Y$422</f>
        <v>9.4196339108467555</v>
      </c>
      <c r="N422" s="100">
        <f>$K$422-EFEITO!$M$422*EFEITO!$Z$422</f>
        <v>0</v>
      </c>
      <c r="O422" s="100">
        <f>$L$422-EFEITO!$O$422*EFEITO!$AA$422</f>
        <v>0</v>
      </c>
      <c r="P422" s="17"/>
      <c r="Q422" s="17"/>
      <c r="R422" s="17"/>
      <c r="S422" s="17"/>
      <c r="T422" s="17"/>
      <c r="U422" s="17"/>
      <c r="V422" s="17"/>
      <c r="W422" s="17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91" t="s">
        <v>21</v>
      </c>
      <c r="B423" s="91" t="s">
        <v>38</v>
      </c>
      <c r="C423" s="91" t="s">
        <v>40</v>
      </c>
      <c r="D423" s="91" t="s">
        <v>43</v>
      </c>
      <c r="E423" s="91" t="s">
        <v>51</v>
      </c>
      <c r="F423" s="91" t="s">
        <v>25</v>
      </c>
      <c r="G423" s="91" t="s">
        <v>25</v>
      </c>
      <c r="H423" s="91" t="s">
        <v>25</v>
      </c>
      <c r="I423" s="99">
        <v>44440</v>
      </c>
      <c r="J423" s="100">
        <f ca="1">EFEITO!$J$423*EFEITO!$Y$372</f>
        <v>11531.45506182692</v>
      </c>
      <c r="K423" s="100">
        <f>EFEITO!$L$423*EFEITO!$Z$372</f>
        <v>0</v>
      </c>
      <c r="L423" s="100">
        <f>EFEITO!$N$423*EFEITO!$AA$372</f>
        <v>0</v>
      </c>
      <c r="M423" s="100">
        <f ca="1">$J$423-EFEITO!$K$423*EFEITO!$Y$423</f>
        <v>230.62910123653819</v>
      </c>
      <c r="N423" s="100">
        <f>$K$423-EFEITO!$M$423*EFEITO!$Z$423</f>
        <v>0</v>
      </c>
      <c r="O423" s="100">
        <f>$L$423-EFEITO!$O$423*EFEITO!$AA$423</f>
        <v>0</v>
      </c>
      <c r="P423" s="17"/>
      <c r="Q423" s="17"/>
      <c r="R423" s="17"/>
      <c r="S423" s="17"/>
      <c r="T423" s="17"/>
      <c r="U423" s="17"/>
      <c r="V423" s="17"/>
      <c r="W423" s="17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91" t="s">
        <v>55</v>
      </c>
      <c r="B424" s="91" t="s">
        <v>38</v>
      </c>
      <c r="C424" s="91" t="s">
        <v>40</v>
      </c>
      <c r="D424" s="91" t="s">
        <v>43</v>
      </c>
      <c r="E424" s="91" t="s">
        <v>51</v>
      </c>
      <c r="F424" s="91" t="s">
        <v>25</v>
      </c>
      <c r="G424" s="91" t="s">
        <v>25</v>
      </c>
      <c r="H424" s="91" t="s">
        <v>25</v>
      </c>
      <c r="I424" s="99">
        <v>44440</v>
      </c>
      <c r="J424" s="100">
        <f ca="1">EFEITO!$J$424*EFEITO!$Y$372</f>
        <v>1990.277487614396</v>
      </c>
      <c r="K424" s="100">
        <f>EFEITO!$L$424*EFEITO!$Z$372</f>
        <v>0</v>
      </c>
      <c r="L424" s="100">
        <f>EFEITO!$N$424*EFEITO!$AA$372</f>
        <v>0</v>
      </c>
      <c r="M424" s="100">
        <f ca="1">$J$424-EFEITO!$K$424*EFEITO!$Y$424</f>
        <v>39.805549752287789</v>
      </c>
      <c r="N424" s="100">
        <f>$K$424-EFEITO!$M$424*EFEITO!$Z$424</f>
        <v>0</v>
      </c>
      <c r="O424" s="100">
        <f>$L$424-EFEITO!$O$424*EFEITO!$AA$424</f>
        <v>0</v>
      </c>
      <c r="P424" s="17"/>
      <c r="Q424" s="17"/>
      <c r="R424" s="17"/>
      <c r="S424" s="17"/>
      <c r="T424" s="17"/>
      <c r="U424" s="17"/>
      <c r="V424" s="17"/>
      <c r="W424" s="17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91" t="s">
        <v>21</v>
      </c>
      <c r="B425" s="91" t="s">
        <v>38</v>
      </c>
      <c r="C425" s="91" t="s">
        <v>40</v>
      </c>
      <c r="D425" s="91" t="s">
        <v>43</v>
      </c>
      <c r="E425" s="91" t="s">
        <v>51</v>
      </c>
      <c r="F425" s="91" t="s">
        <v>25</v>
      </c>
      <c r="G425" s="91" t="s">
        <v>25</v>
      </c>
      <c r="H425" s="91" t="s">
        <v>25</v>
      </c>
      <c r="I425" s="99">
        <v>44470</v>
      </c>
      <c r="J425" s="100">
        <f ca="1">EFEITO!$J$425*EFEITO!$Y$372</f>
        <v>17198.428366255695</v>
      </c>
      <c r="K425" s="100">
        <f>EFEITO!$L$425*EFEITO!$Z$372</f>
        <v>0</v>
      </c>
      <c r="L425" s="100">
        <f>EFEITO!$N$425*EFEITO!$AA$372</f>
        <v>0</v>
      </c>
      <c r="M425" s="100">
        <f ca="1">$J$425-EFEITO!$K$425*EFEITO!$Y$425</f>
        <v>343.96856732511151</v>
      </c>
      <c r="N425" s="100">
        <f>$K$425-EFEITO!$M$425*EFEITO!$Z$425</f>
        <v>0</v>
      </c>
      <c r="O425" s="100">
        <f>$L$425-EFEITO!$O$425*EFEITO!$AA$425</f>
        <v>0</v>
      </c>
      <c r="P425" s="17"/>
      <c r="Q425" s="17"/>
      <c r="R425" s="17"/>
      <c r="S425" s="17"/>
      <c r="T425" s="17"/>
      <c r="U425" s="17"/>
      <c r="V425" s="17"/>
      <c r="W425" s="17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91" t="s">
        <v>55</v>
      </c>
      <c r="B426" s="91" t="s">
        <v>38</v>
      </c>
      <c r="C426" s="91" t="s">
        <v>40</v>
      </c>
      <c r="D426" s="91" t="s">
        <v>43</v>
      </c>
      <c r="E426" s="91" t="s">
        <v>51</v>
      </c>
      <c r="F426" s="91" t="s">
        <v>25</v>
      </c>
      <c r="G426" s="91" t="s">
        <v>25</v>
      </c>
      <c r="H426" s="91" t="s">
        <v>25</v>
      </c>
      <c r="I426" s="99">
        <v>44470</v>
      </c>
      <c r="J426" s="100">
        <f ca="1">EFEITO!$J$426*EFEITO!$Y$372</f>
        <v>3813.4324381008655</v>
      </c>
      <c r="K426" s="100">
        <f>EFEITO!$L$426*EFEITO!$Z$372</f>
        <v>0</v>
      </c>
      <c r="L426" s="100">
        <f>EFEITO!$N$426*EFEITO!$AA$372</f>
        <v>0</v>
      </c>
      <c r="M426" s="100">
        <f ca="1">$J$426-EFEITO!$K$426*EFEITO!$Y$426</f>
        <v>76.268648762017165</v>
      </c>
      <c r="N426" s="100">
        <f>$K$426-EFEITO!$M$426*EFEITO!$Z$426</f>
        <v>0</v>
      </c>
      <c r="O426" s="100">
        <f>$L$426-EFEITO!$O$426*EFEITO!$AA$426</f>
        <v>0</v>
      </c>
      <c r="P426" s="17"/>
      <c r="Q426" s="17"/>
      <c r="R426" s="17"/>
      <c r="S426" s="17"/>
      <c r="T426" s="17"/>
      <c r="U426" s="17"/>
      <c r="V426" s="17"/>
      <c r="W426" s="17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91" t="s">
        <v>21</v>
      </c>
      <c r="B427" s="91" t="s">
        <v>38</v>
      </c>
      <c r="C427" s="91" t="s">
        <v>40</v>
      </c>
      <c r="D427" s="91" t="s">
        <v>43</v>
      </c>
      <c r="E427" s="91" t="s">
        <v>51</v>
      </c>
      <c r="F427" s="91" t="s">
        <v>25</v>
      </c>
      <c r="G427" s="91" t="s">
        <v>25</v>
      </c>
      <c r="H427" s="91" t="s">
        <v>25</v>
      </c>
      <c r="I427" s="99">
        <v>44501</v>
      </c>
      <c r="J427" s="100">
        <f ca="1">EFEITO!$J$427*EFEITO!$Y$372</f>
        <v>43406.280779498702</v>
      </c>
      <c r="K427" s="100">
        <f>EFEITO!$L$427*EFEITO!$Z$372</f>
        <v>0</v>
      </c>
      <c r="L427" s="100">
        <f>EFEITO!$N$427*EFEITO!$AA$372</f>
        <v>0</v>
      </c>
      <c r="M427" s="100">
        <f ca="1">$J$427-EFEITO!$K$427*EFEITO!$Y$427</f>
        <v>868.1256155899755</v>
      </c>
      <c r="N427" s="100">
        <f>$K$427-EFEITO!$M$427*EFEITO!$Z$427</f>
        <v>0</v>
      </c>
      <c r="O427" s="100">
        <f>$L$427-EFEITO!$O$427*EFEITO!$AA$427</f>
        <v>0</v>
      </c>
      <c r="P427" s="17"/>
      <c r="Q427" s="17"/>
      <c r="R427" s="17"/>
      <c r="S427" s="17"/>
      <c r="T427" s="17"/>
      <c r="U427" s="17"/>
      <c r="V427" s="17"/>
      <c r="W427" s="17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91" t="s">
        <v>55</v>
      </c>
      <c r="B428" s="91" t="s">
        <v>38</v>
      </c>
      <c r="C428" s="91" t="s">
        <v>40</v>
      </c>
      <c r="D428" s="91" t="s">
        <v>43</v>
      </c>
      <c r="E428" s="91" t="s">
        <v>51</v>
      </c>
      <c r="F428" s="91" t="s">
        <v>25</v>
      </c>
      <c r="G428" s="91" t="s">
        <v>25</v>
      </c>
      <c r="H428" s="91" t="s">
        <v>25</v>
      </c>
      <c r="I428" s="99">
        <v>44501</v>
      </c>
      <c r="J428" s="100">
        <f ca="1">EFEITO!$J$428*EFEITO!$Y$372</f>
        <v>3934.9761014666306</v>
      </c>
      <c r="K428" s="100">
        <f>EFEITO!$L$428*EFEITO!$Z$372</f>
        <v>0</v>
      </c>
      <c r="L428" s="100">
        <f>EFEITO!$N$428*EFEITO!$AA$372</f>
        <v>0</v>
      </c>
      <c r="M428" s="100">
        <f ca="1">$J$428-EFEITO!$K$428*EFEITO!$Y$428</f>
        <v>78.699522029332911</v>
      </c>
      <c r="N428" s="100">
        <f>$K$428-EFEITO!$M$428*EFEITO!$Z$428</f>
        <v>0</v>
      </c>
      <c r="O428" s="100">
        <f>$L$428-EFEITO!$O$428*EFEITO!$AA$428</f>
        <v>0</v>
      </c>
      <c r="P428" s="17"/>
      <c r="Q428" s="17"/>
      <c r="R428" s="17"/>
      <c r="S428" s="17"/>
      <c r="T428" s="17"/>
      <c r="U428" s="17"/>
      <c r="V428" s="17"/>
      <c r="W428" s="17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91" t="s">
        <v>21</v>
      </c>
      <c r="B429" s="91" t="s">
        <v>38</v>
      </c>
      <c r="C429" s="91" t="s">
        <v>40</v>
      </c>
      <c r="D429" s="91" t="s">
        <v>43</v>
      </c>
      <c r="E429" s="91" t="s">
        <v>51</v>
      </c>
      <c r="F429" s="91" t="s">
        <v>25</v>
      </c>
      <c r="G429" s="91" t="s">
        <v>25</v>
      </c>
      <c r="H429" s="91" t="s">
        <v>25</v>
      </c>
      <c r="I429" s="99">
        <v>44531</v>
      </c>
      <c r="J429" s="100">
        <f ca="1">EFEITO!$J$429*EFEITO!$Y$372</f>
        <v>54968.121757167057</v>
      </c>
      <c r="K429" s="100">
        <f>EFEITO!$L$429*EFEITO!$Z$372</f>
        <v>0</v>
      </c>
      <c r="L429" s="100">
        <f>EFEITO!$N$429*EFEITO!$AA$372</f>
        <v>0</v>
      </c>
      <c r="M429" s="100">
        <f ca="1">$J$429-EFEITO!$K$429*EFEITO!$Y$429</f>
        <v>1099.3624351433391</v>
      </c>
      <c r="N429" s="100">
        <f>$K$429-EFEITO!$M$429*EFEITO!$Z$429</f>
        <v>0</v>
      </c>
      <c r="O429" s="100">
        <f>$L$429-EFEITO!$O$429*EFEITO!$AA$429</f>
        <v>0</v>
      </c>
      <c r="P429" s="17"/>
      <c r="Q429" s="17"/>
      <c r="R429" s="17"/>
      <c r="S429" s="17"/>
      <c r="T429" s="17"/>
      <c r="U429" s="17"/>
      <c r="V429" s="17"/>
      <c r="W429" s="17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91" t="s">
        <v>55</v>
      </c>
      <c r="B430" s="91" t="s">
        <v>38</v>
      </c>
      <c r="C430" s="91" t="s">
        <v>40</v>
      </c>
      <c r="D430" s="91" t="s">
        <v>43</v>
      </c>
      <c r="E430" s="91" t="s">
        <v>51</v>
      </c>
      <c r="F430" s="91" t="s">
        <v>25</v>
      </c>
      <c r="G430" s="91" t="s">
        <v>25</v>
      </c>
      <c r="H430" s="91" t="s">
        <v>25</v>
      </c>
      <c r="I430" s="99">
        <v>44531</v>
      </c>
      <c r="J430" s="100">
        <f ca="1">EFEITO!$J$430*EFEITO!$Y$372</f>
        <v>3859.0113118630275</v>
      </c>
      <c r="K430" s="100">
        <f>EFEITO!$L$430*EFEITO!$Z$372</f>
        <v>0</v>
      </c>
      <c r="L430" s="100">
        <f>EFEITO!$N$430*EFEITO!$AA$372</f>
        <v>0</v>
      </c>
      <c r="M430" s="100">
        <f ca="1">$J$430-EFEITO!$K$430*EFEITO!$Y$430</f>
        <v>77.18022623726074</v>
      </c>
      <c r="N430" s="100">
        <f>$K$430-EFEITO!$M$430*EFEITO!$Z$430</f>
        <v>0</v>
      </c>
      <c r="O430" s="100">
        <f>$L$430-EFEITO!$O$430*EFEITO!$AA$430</f>
        <v>0</v>
      </c>
      <c r="P430" s="17"/>
      <c r="Q430" s="17"/>
      <c r="R430" s="17"/>
      <c r="S430" s="17"/>
      <c r="T430" s="17"/>
      <c r="U430" s="17"/>
      <c r="V430" s="17"/>
      <c r="W430" s="17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91" t="s">
        <v>21</v>
      </c>
      <c r="B431" s="91" t="s">
        <v>38</v>
      </c>
      <c r="C431" s="91" t="s">
        <v>40</v>
      </c>
      <c r="D431" s="91" t="s">
        <v>43</v>
      </c>
      <c r="E431" s="91" t="s">
        <v>51</v>
      </c>
      <c r="F431" s="91" t="s">
        <v>25</v>
      </c>
      <c r="G431" s="91" t="s">
        <v>25</v>
      </c>
      <c r="H431" s="91" t="s">
        <v>25</v>
      </c>
      <c r="I431" s="99">
        <v>44562</v>
      </c>
      <c r="J431" s="100">
        <f ca="1">EFEITO!$J$431*EFEITO!$Y$372</f>
        <v>55454.296410630122</v>
      </c>
      <c r="K431" s="100">
        <f>EFEITO!$L$431*EFEITO!$Z$372</f>
        <v>0</v>
      </c>
      <c r="L431" s="100">
        <f>EFEITO!$N$431*EFEITO!$AA$372</f>
        <v>0</v>
      </c>
      <c r="M431" s="100">
        <f ca="1">$J$431-EFEITO!$K$431*EFEITO!$Y$431</f>
        <v>1109.0859282126039</v>
      </c>
      <c r="N431" s="100">
        <f>$K$431-EFEITO!$M$431*EFEITO!$Z$431</f>
        <v>0</v>
      </c>
      <c r="O431" s="100">
        <f>$L$431-EFEITO!$O$431*EFEITO!$AA$431</f>
        <v>0</v>
      </c>
      <c r="P431" s="17"/>
      <c r="Q431" s="17"/>
      <c r="R431" s="17"/>
      <c r="S431" s="17"/>
      <c r="T431" s="17"/>
      <c r="U431" s="17"/>
      <c r="V431" s="17"/>
      <c r="W431" s="17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91" t="s">
        <v>55</v>
      </c>
      <c r="B432" s="91" t="s">
        <v>38</v>
      </c>
      <c r="C432" s="91" t="s">
        <v>40</v>
      </c>
      <c r="D432" s="91" t="s">
        <v>43</v>
      </c>
      <c r="E432" s="91" t="s">
        <v>51</v>
      </c>
      <c r="F432" s="91" t="s">
        <v>25</v>
      </c>
      <c r="G432" s="91" t="s">
        <v>25</v>
      </c>
      <c r="H432" s="91" t="s">
        <v>25</v>
      </c>
      <c r="I432" s="99">
        <v>44562</v>
      </c>
      <c r="J432" s="100">
        <f ca="1">EFEITO!$J$432*EFEITO!$Y$372</f>
        <v>2339.7155197909692</v>
      </c>
      <c r="K432" s="100">
        <f>EFEITO!$L$432*EFEITO!$Z$372</f>
        <v>0</v>
      </c>
      <c r="L432" s="100">
        <f>EFEITO!$N$432*EFEITO!$AA$372</f>
        <v>0</v>
      </c>
      <c r="M432" s="100">
        <f ca="1">$J$432-EFEITO!$K$432*EFEITO!$Y$432</f>
        <v>46.794310395819139</v>
      </c>
      <c r="N432" s="100">
        <f>$K$432-EFEITO!$M$432*EFEITO!$Z$432</f>
        <v>0</v>
      </c>
      <c r="O432" s="100">
        <f>$L$432-EFEITO!$O$432*EFEITO!$AA$432</f>
        <v>0</v>
      </c>
      <c r="P432" s="17"/>
      <c r="Q432" s="17"/>
      <c r="R432" s="17"/>
      <c r="S432" s="17"/>
      <c r="T432" s="17"/>
      <c r="U432" s="17"/>
      <c r="V432" s="17"/>
      <c r="W432" s="17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91" t="s">
        <v>21</v>
      </c>
      <c r="B433" s="91" t="s">
        <v>38</v>
      </c>
      <c r="C433" s="91" t="s">
        <v>40</v>
      </c>
      <c r="D433" s="91" t="s">
        <v>43</v>
      </c>
      <c r="E433" s="91" t="s">
        <v>51</v>
      </c>
      <c r="F433" s="91" t="s">
        <v>25</v>
      </c>
      <c r="G433" s="91" t="s">
        <v>25</v>
      </c>
      <c r="H433" s="91" t="s">
        <v>25</v>
      </c>
      <c r="I433" s="99">
        <v>44593</v>
      </c>
      <c r="J433" s="100">
        <f ca="1">EFEITO!$J$433*EFEITO!$Y$372</f>
        <v>46080.241373545519</v>
      </c>
      <c r="K433" s="100">
        <f>EFEITO!$L$433*EFEITO!$Z$372</f>
        <v>0</v>
      </c>
      <c r="L433" s="100">
        <f>EFEITO!$N$433*EFEITO!$AA$372</f>
        <v>0</v>
      </c>
      <c r="M433" s="100">
        <f ca="1">$J$433-EFEITO!$K$433*EFEITO!$Y$433</f>
        <v>921.6048274709101</v>
      </c>
      <c r="N433" s="100">
        <f>$K$433-EFEITO!$M$433*EFEITO!$Z$433</f>
        <v>0</v>
      </c>
      <c r="O433" s="100">
        <f>$L$433-EFEITO!$O$433*EFEITO!$AA$433</f>
        <v>0</v>
      </c>
      <c r="P433" s="17"/>
      <c r="Q433" s="17"/>
      <c r="R433" s="17"/>
      <c r="S433" s="17"/>
      <c r="T433" s="17"/>
      <c r="U433" s="17"/>
      <c r="V433" s="17"/>
      <c r="W433" s="17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91" t="s">
        <v>55</v>
      </c>
      <c r="B434" s="91" t="s">
        <v>38</v>
      </c>
      <c r="C434" s="91" t="s">
        <v>40</v>
      </c>
      <c r="D434" s="91" t="s">
        <v>43</v>
      </c>
      <c r="E434" s="91" t="s">
        <v>51</v>
      </c>
      <c r="F434" s="91" t="s">
        <v>25</v>
      </c>
      <c r="G434" s="91" t="s">
        <v>25</v>
      </c>
      <c r="H434" s="91" t="s">
        <v>25</v>
      </c>
      <c r="I434" s="99">
        <v>44593</v>
      </c>
      <c r="J434" s="100">
        <f ca="1">EFEITO!$J$434*EFEITO!$Y$372</f>
        <v>2263.7507301873666</v>
      </c>
      <c r="K434" s="100">
        <f>EFEITO!$L$434*EFEITO!$Z$372</f>
        <v>0</v>
      </c>
      <c r="L434" s="100">
        <f>EFEITO!$N$434*EFEITO!$AA$372</f>
        <v>0</v>
      </c>
      <c r="M434" s="100">
        <f ca="1">$J$434-EFEITO!$K$434*EFEITO!$Y$434</f>
        <v>45.275014603747422</v>
      </c>
      <c r="N434" s="100">
        <f>$K$434-EFEITO!$M$434*EFEITO!$Z$434</f>
        <v>0</v>
      </c>
      <c r="O434" s="100">
        <f>$L$434-EFEITO!$O$434*EFEITO!$AA$434</f>
        <v>0</v>
      </c>
      <c r="P434" s="17"/>
      <c r="Q434" s="17"/>
      <c r="R434" s="17"/>
      <c r="S434" s="17"/>
      <c r="T434" s="17"/>
      <c r="U434" s="17"/>
      <c r="V434" s="17"/>
      <c r="W434" s="17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91" t="s">
        <v>21</v>
      </c>
      <c r="B435" s="91" t="s">
        <v>38</v>
      </c>
      <c r="C435" s="91" t="s">
        <v>40</v>
      </c>
      <c r="D435" s="91" t="s">
        <v>43</v>
      </c>
      <c r="E435" s="91" t="s">
        <v>51</v>
      </c>
      <c r="F435" s="91" t="s">
        <v>25</v>
      </c>
      <c r="G435" s="91" t="s">
        <v>25</v>
      </c>
      <c r="H435" s="91" t="s">
        <v>25</v>
      </c>
      <c r="I435" s="99">
        <v>44621</v>
      </c>
      <c r="J435" s="100">
        <f ca="1">EFEITO!$J$435*EFEITO!$Y$372</f>
        <v>15831.062153390845</v>
      </c>
      <c r="K435" s="100">
        <f>EFEITO!$L$435*EFEITO!$Z$372</f>
        <v>0</v>
      </c>
      <c r="L435" s="100">
        <f>EFEITO!$N$435*EFEITO!$AA$372</f>
        <v>0</v>
      </c>
      <c r="M435" s="100">
        <f ca="1">$J$435-EFEITO!$K$435*EFEITO!$Y$435</f>
        <v>316.62124306781698</v>
      </c>
      <c r="N435" s="100">
        <f>$K$435-EFEITO!$M$435*EFEITO!$Z$435</f>
        <v>0</v>
      </c>
      <c r="O435" s="100">
        <f>$L$435-EFEITO!$O$435*EFEITO!$AA$435</f>
        <v>0</v>
      </c>
      <c r="P435" s="17"/>
      <c r="Q435" s="17"/>
      <c r="R435" s="17"/>
      <c r="S435" s="17"/>
      <c r="T435" s="17"/>
      <c r="U435" s="17"/>
      <c r="V435" s="17"/>
      <c r="W435" s="17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91" t="s">
        <v>55</v>
      </c>
      <c r="B436" s="91" t="s">
        <v>38</v>
      </c>
      <c r="C436" s="91" t="s">
        <v>40</v>
      </c>
      <c r="D436" s="91" t="s">
        <v>43</v>
      </c>
      <c r="E436" s="91" t="s">
        <v>51</v>
      </c>
      <c r="F436" s="91" t="s">
        <v>25</v>
      </c>
      <c r="G436" s="91" t="s">
        <v>25</v>
      </c>
      <c r="H436" s="91" t="s">
        <v>25</v>
      </c>
      <c r="I436" s="99">
        <v>44621</v>
      </c>
      <c r="J436" s="100">
        <f ca="1">EFEITO!$J$436*EFEITO!$Y$372</f>
        <v>470.981695542338</v>
      </c>
      <c r="K436" s="100">
        <f>EFEITO!$L$436*EFEITO!$Z$372</f>
        <v>0</v>
      </c>
      <c r="L436" s="100">
        <f>EFEITO!$N$436*EFEITO!$AA$372</f>
        <v>0</v>
      </c>
      <c r="M436" s="100">
        <f ca="1">$J$436-EFEITO!$K$436*EFEITO!$Y$436</f>
        <v>9.4196339108467555</v>
      </c>
      <c r="N436" s="100">
        <f>$K$436-EFEITO!$M$436*EFEITO!$Z$436</f>
        <v>0</v>
      </c>
      <c r="O436" s="100">
        <f>$L$436-EFEITO!$O$436*EFEITO!$AA$436</f>
        <v>0</v>
      </c>
      <c r="P436" s="17"/>
      <c r="Q436" s="17"/>
      <c r="R436" s="17"/>
      <c r="S436" s="17"/>
      <c r="T436" s="17"/>
      <c r="U436" s="17"/>
      <c r="V436" s="17"/>
      <c r="W436" s="17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91" t="s">
        <v>21</v>
      </c>
      <c r="B437" s="91" t="s">
        <v>38</v>
      </c>
      <c r="C437" s="91" t="s">
        <v>40</v>
      </c>
      <c r="D437" s="91" t="s">
        <v>43</v>
      </c>
      <c r="E437" s="91" t="s">
        <v>51</v>
      </c>
      <c r="F437" s="91" t="s">
        <v>25</v>
      </c>
      <c r="G437" s="91" t="s">
        <v>25</v>
      </c>
      <c r="H437" s="91" t="s">
        <v>25</v>
      </c>
      <c r="I437" s="99">
        <v>44652</v>
      </c>
      <c r="J437" s="100">
        <f ca="1">EFEITO!$J$437*EFEITO!$Y$372</f>
        <v>6730.4803588792174</v>
      </c>
      <c r="K437" s="100">
        <f>EFEITO!$L$437*EFEITO!$Z$372</f>
        <v>0</v>
      </c>
      <c r="L437" s="100">
        <f>EFEITO!$N$437*EFEITO!$AA$372</f>
        <v>0</v>
      </c>
      <c r="M437" s="100">
        <f ca="1">$J$437-EFEITO!$K$437*EFEITO!$Y$437</f>
        <v>134.60960717758462</v>
      </c>
      <c r="N437" s="100">
        <f>$K$437-EFEITO!$M$437*EFEITO!$Z$437</f>
        <v>0</v>
      </c>
      <c r="O437" s="100">
        <f>$L$437-EFEITO!$O$437*EFEITO!$AA$437</f>
        <v>0</v>
      </c>
      <c r="P437" s="17"/>
      <c r="Q437" s="17"/>
      <c r="R437" s="17"/>
      <c r="S437" s="17"/>
      <c r="T437" s="17"/>
      <c r="U437" s="17"/>
      <c r="V437" s="17"/>
      <c r="W437" s="17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91" t="s">
        <v>55</v>
      </c>
      <c r="B438" s="91" t="s">
        <v>38</v>
      </c>
      <c r="C438" s="91" t="s">
        <v>40</v>
      </c>
      <c r="D438" s="91" t="s">
        <v>43</v>
      </c>
      <c r="E438" s="91" t="s">
        <v>51</v>
      </c>
      <c r="F438" s="91" t="s">
        <v>25</v>
      </c>
      <c r="G438" s="91" t="s">
        <v>25</v>
      </c>
      <c r="H438" s="91" t="s">
        <v>25</v>
      </c>
      <c r="I438" s="99">
        <v>44652</v>
      </c>
      <c r="J438" s="100">
        <f ca="1">EFEITO!$J$438*EFEITO!$Y$372</f>
        <v>455.78873762161743</v>
      </c>
      <c r="K438" s="100">
        <f>EFEITO!$L$438*EFEITO!$Z$372</f>
        <v>0</v>
      </c>
      <c r="L438" s="100">
        <f>EFEITO!$N$438*EFEITO!$AA$372</f>
        <v>0</v>
      </c>
      <c r="M438" s="100">
        <f ca="1">$J$438-EFEITO!$K$438*EFEITO!$Y$438</f>
        <v>9.115774752432344</v>
      </c>
      <c r="N438" s="100">
        <f>$K$438-EFEITO!$M$438*EFEITO!$Z$438</f>
        <v>0</v>
      </c>
      <c r="O438" s="100">
        <f>$L$438-EFEITO!$O$438*EFEITO!$AA$438</f>
        <v>0</v>
      </c>
      <c r="P438" s="17"/>
      <c r="Q438" s="17"/>
      <c r="R438" s="17"/>
      <c r="S438" s="17"/>
      <c r="T438" s="17"/>
      <c r="U438" s="17"/>
      <c r="V438" s="17"/>
      <c r="W438" s="17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91" t="s">
        <v>21</v>
      </c>
      <c r="B439" s="91" t="s">
        <v>38</v>
      </c>
      <c r="C439" s="91" t="s">
        <v>40</v>
      </c>
      <c r="D439" s="91" t="s">
        <v>43</v>
      </c>
      <c r="E439" s="91" t="s">
        <v>51</v>
      </c>
      <c r="F439" s="91" t="s">
        <v>25</v>
      </c>
      <c r="G439" s="91" t="s">
        <v>25</v>
      </c>
      <c r="H439" s="91" t="s">
        <v>25</v>
      </c>
      <c r="I439" s="99">
        <v>44682</v>
      </c>
      <c r="J439" s="100">
        <f ca="1">EFEITO!$J$439*EFEITO!$Y$372</f>
        <v>9753.8789851026122</v>
      </c>
      <c r="K439" s="100">
        <f>EFEITO!$L$439*EFEITO!$Z$372</f>
        <v>0</v>
      </c>
      <c r="L439" s="100">
        <f>EFEITO!$N$439*EFEITO!$AA$372</f>
        <v>0</v>
      </c>
      <c r="M439" s="100">
        <f ca="1">$J$439-EFEITO!$K$439*EFEITO!$Y$439</f>
        <v>195.07757970205239</v>
      </c>
      <c r="N439" s="100">
        <f>$K$439-EFEITO!$M$439*EFEITO!$Z$439</f>
        <v>0</v>
      </c>
      <c r="O439" s="100">
        <f>$L$439-EFEITO!$O$439*EFEITO!$AA$439</f>
        <v>0</v>
      </c>
      <c r="P439" s="17"/>
      <c r="Q439" s="17"/>
      <c r="R439" s="17"/>
      <c r="S439" s="17"/>
      <c r="T439" s="17"/>
      <c r="U439" s="17"/>
      <c r="V439" s="17"/>
      <c r="W439" s="17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91" t="s">
        <v>55</v>
      </c>
      <c r="B440" s="91" t="s">
        <v>38</v>
      </c>
      <c r="C440" s="91" t="s">
        <v>40</v>
      </c>
      <c r="D440" s="91" t="s">
        <v>43</v>
      </c>
      <c r="E440" s="91" t="s">
        <v>51</v>
      </c>
      <c r="F440" s="91" t="s">
        <v>25</v>
      </c>
      <c r="G440" s="91" t="s">
        <v>25</v>
      </c>
      <c r="H440" s="91" t="s">
        <v>25</v>
      </c>
      <c r="I440" s="99">
        <v>44682</v>
      </c>
      <c r="J440" s="100">
        <f ca="1">EFEITO!$J$440*EFEITO!$Y$372</f>
        <v>395.01690593873508</v>
      </c>
      <c r="K440" s="100">
        <f>EFEITO!$L$440*EFEITO!$Z$372</f>
        <v>0</v>
      </c>
      <c r="L440" s="100">
        <f>EFEITO!$N$440*EFEITO!$AA$372</f>
        <v>0</v>
      </c>
      <c r="M440" s="100">
        <f ca="1">$J$440-EFEITO!$K$440*EFEITO!$Y$440</f>
        <v>7.9003381187746982</v>
      </c>
      <c r="N440" s="100">
        <f>$K$440-EFEITO!$M$440*EFEITO!$Z$440</f>
        <v>0</v>
      </c>
      <c r="O440" s="100">
        <f>$L$440-EFEITO!$O$440*EFEITO!$AA$440</f>
        <v>0</v>
      </c>
      <c r="P440" s="17"/>
      <c r="Q440" s="17"/>
      <c r="R440" s="17"/>
      <c r="S440" s="17"/>
      <c r="T440" s="17"/>
      <c r="U440" s="17"/>
      <c r="V440" s="17"/>
      <c r="W440" s="17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91" t="s">
        <v>56</v>
      </c>
      <c r="B441" s="91" t="s">
        <v>38</v>
      </c>
      <c r="C441" s="91" t="s">
        <v>40</v>
      </c>
      <c r="D441" s="91" t="s">
        <v>43</v>
      </c>
      <c r="E441" s="91" t="s">
        <v>51</v>
      </c>
      <c r="F441" s="91" t="s">
        <v>25</v>
      </c>
      <c r="G441" s="91" t="s">
        <v>25</v>
      </c>
      <c r="H441" s="91" t="s">
        <v>25</v>
      </c>
      <c r="I441" s="99">
        <v>44713</v>
      </c>
      <c r="J441" s="100">
        <f ca="1">EFEITO!$J$441*EFEITO!$Y$372</f>
        <v>9753.8789851026122</v>
      </c>
      <c r="K441" s="100">
        <f>EFEITO!$L$441*EFEITO!$Z$372</f>
        <v>0</v>
      </c>
      <c r="L441" s="100">
        <f>EFEITO!$N$441*EFEITO!$AA$372</f>
        <v>0</v>
      </c>
      <c r="M441" s="100">
        <f ca="1">$J$441-EFEITO!$K$441*EFEITO!$Y$441</f>
        <v>195.07757970205239</v>
      </c>
      <c r="N441" s="100">
        <f>$K$441-EFEITO!$M$441*EFEITO!$Z$441</f>
        <v>0</v>
      </c>
      <c r="O441" s="100">
        <f>$L$441-EFEITO!$O$441*EFEITO!$AA$441</f>
        <v>0</v>
      </c>
      <c r="P441" s="17"/>
      <c r="Q441" s="17"/>
      <c r="R441" s="17"/>
      <c r="S441" s="17"/>
      <c r="T441" s="17"/>
      <c r="U441" s="17"/>
      <c r="V441" s="17"/>
      <c r="W441" s="17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91" t="s">
        <v>56</v>
      </c>
      <c r="B442" s="91" t="s">
        <v>38</v>
      </c>
      <c r="C442" s="91" t="s">
        <v>40</v>
      </c>
      <c r="D442" s="91" t="s">
        <v>43</v>
      </c>
      <c r="E442" s="91" t="s">
        <v>51</v>
      </c>
      <c r="F442" s="91" t="s">
        <v>25</v>
      </c>
      <c r="G442" s="91" t="s">
        <v>25</v>
      </c>
      <c r="H442" s="91" t="s">
        <v>25</v>
      </c>
      <c r="I442" s="99">
        <v>44713</v>
      </c>
      <c r="J442" s="100">
        <f ca="1">EFEITO!$J$442*EFEITO!$Y$372</f>
        <v>395.01690593873508</v>
      </c>
      <c r="K442" s="100">
        <f>EFEITO!$L$442*EFEITO!$Z$372</f>
        <v>0</v>
      </c>
      <c r="L442" s="100">
        <f>EFEITO!$N$442*EFEITO!$AA$372</f>
        <v>0</v>
      </c>
      <c r="M442" s="100">
        <f ca="1">$J$442-EFEITO!$K$442*EFEITO!$Y$442</f>
        <v>7.9003381187746982</v>
      </c>
      <c r="N442" s="100">
        <f>$K$442-EFEITO!$M$442*EFEITO!$Z$442</f>
        <v>0</v>
      </c>
      <c r="O442" s="100">
        <f>$L$442-EFEITO!$O$442*EFEITO!$AA$442</f>
        <v>0</v>
      </c>
      <c r="P442" s="17"/>
      <c r="Q442" s="17"/>
      <c r="R442" s="17"/>
      <c r="S442" s="17"/>
      <c r="T442" s="17"/>
      <c r="U442" s="17"/>
      <c r="V442" s="17"/>
      <c r="W442" s="17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91" t="s">
        <v>21</v>
      </c>
      <c r="B443" s="91" t="s">
        <v>38</v>
      </c>
      <c r="C443" s="91" t="s">
        <v>40</v>
      </c>
      <c r="D443" s="91" t="s">
        <v>43</v>
      </c>
      <c r="E443" s="91" t="s">
        <v>51</v>
      </c>
      <c r="F443" s="91" t="s">
        <v>25</v>
      </c>
      <c r="G443" s="91" t="s">
        <v>25</v>
      </c>
      <c r="H443" s="91" t="s">
        <v>33</v>
      </c>
      <c r="I443" s="99">
        <v>44378</v>
      </c>
      <c r="J443" s="100">
        <f>EFEITO!$J$443*EFEITO!$Y$384</f>
        <v>0</v>
      </c>
      <c r="K443" s="100">
        <f ca="1">EFEITO!$L$443*EFEITO!$Z$384</f>
        <v>1550.3033323217214</v>
      </c>
      <c r="L443" s="100">
        <f>EFEITO!$N$443*EFEITO!$AA$384</f>
        <v>510.17409314760664</v>
      </c>
      <c r="M443" s="100">
        <f>$J$443-EFEITO!$K$443*EFEITO!$Y$443</f>
        <v>0</v>
      </c>
      <c r="N443" s="100">
        <f ca="1">$K$443-EFEITO!$M$443*EFEITO!$Z$443</f>
        <v>31.006066646434419</v>
      </c>
      <c r="O443" s="100">
        <f>$L$443-EFEITO!$O$443*EFEITO!$AA$443</f>
        <v>10.203481862952117</v>
      </c>
      <c r="P443" s="17"/>
      <c r="Q443" s="17"/>
      <c r="R443" s="17"/>
      <c r="S443" s="17"/>
      <c r="T443" s="17"/>
      <c r="U443" s="17"/>
      <c r="V443" s="17"/>
      <c r="W443" s="17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91" t="s">
        <v>21</v>
      </c>
      <c r="B444" s="91" t="s">
        <v>38</v>
      </c>
      <c r="C444" s="91" t="s">
        <v>40</v>
      </c>
      <c r="D444" s="91" t="s">
        <v>43</v>
      </c>
      <c r="E444" s="91" t="s">
        <v>51</v>
      </c>
      <c r="F444" s="91" t="s">
        <v>25</v>
      </c>
      <c r="G444" s="91" t="s">
        <v>25</v>
      </c>
      <c r="H444" s="91" t="s">
        <v>33</v>
      </c>
      <c r="I444" s="99">
        <v>44409</v>
      </c>
      <c r="J444" s="100">
        <f>EFEITO!$J$444*EFEITO!$Y$384</f>
        <v>0</v>
      </c>
      <c r="K444" s="100">
        <f ca="1">EFEITO!$L$444*EFEITO!$Z$384</f>
        <v>1870.4629948524719</v>
      </c>
      <c r="L444" s="100">
        <f>EFEITO!$N$444*EFEITO!$AA$384</f>
        <v>615.53229117808951</v>
      </c>
      <c r="M444" s="100">
        <f>$J$444-EFEITO!$K$444*EFEITO!$Y$444</f>
        <v>0</v>
      </c>
      <c r="N444" s="100">
        <f ca="1">$K$444-EFEITO!$M$444*EFEITO!$Z$444</f>
        <v>37.409259897049424</v>
      </c>
      <c r="O444" s="100">
        <f>$L$444-EFEITO!$O$444*EFEITO!$AA$444</f>
        <v>12.310645823561799</v>
      </c>
      <c r="P444" s="17"/>
      <c r="Q444" s="17"/>
      <c r="R444" s="17"/>
      <c r="S444" s="17"/>
      <c r="T444" s="17"/>
      <c r="U444" s="17"/>
      <c r="V444" s="17"/>
      <c r="W444" s="17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91" t="s">
        <v>55</v>
      </c>
      <c r="B445" s="91" t="s">
        <v>38</v>
      </c>
      <c r="C445" s="91" t="s">
        <v>40</v>
      </c>
      <c r="D445" s="91" t="s">
        <v>43</v>
      </c>
      <c r="E445" s="91" t="s">
        <v>51</v>
      </c>
      <c r="F445" s="91" t="s">
        <v>25</v>
      </c>
      <c r="G445" s="91" t="s">
        <v>25</v>
      </c>
      <c r="H445" s="91" t="s">
        <v>33</v>
      </c>
      <c r="I445" s="99">
        <v>44409</v>
      </c>
      <c r="J445" s="100">
        <f>EFEITO!$J$445*EFEITO!$Y$384</f>
        <v>0</v>
      </c>
      <c r="K445" s="100">
        <f ca="1">EFEITO!$L$445*EFEITO!$Z$384</f>
        <v>82.725818841838205</v>
      </c>
      <c r="L445" s="100">
        <f>EFEITO!$N$445*EFEITO!$AA$384</f>
        <v>27.223427007876445</v>
      </c>
      <c r="M445" s="100">
        <f>$J$445-EFEITO!$K$445*EFEITO!$Y$445</f>
        <v>0</v>
      </c>
      <c r="N445" s="100">
        <f ca="1">$K$445-EFEITO!$M$445*EFEITO!$Z$445</f>
        <v>1.654516376836753</v>
      </c>
      <c r="O445" s="100">
        <f>$L$445-EFEITO!$O$445*EFEITO!$AA$445</f>
        <v>0.54446854015753132</v>
      </c>
      <c r="P445" s="17"/>
      <c r="Q445" s="17"/>
      <c r="R445" s="17"/>
      <c r="S445" s="17"/>
      <c r="T445" s="17"/>
      <c r="U445" s="17"/>
      <c r="V445" s="17"/>
      <c r="W445" s="17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91" t="s">
        <v>21</v>
      </c>
      <c r="B446" s="91" t="s">
        <v>38</v>
      </c>
      <c r="C446" s="91" t="s">
        <v>40</v>
      </c>
      <c r="D446" s="91" t="s">
        <v>43</v>
      </c>
      <c r="E446" s="91" t="s">
        <v>51</v>
      </c>
      <c r="F446" s="91" t="s">
        <v>25</v>
      </c>
      <c r="G446" s="91" t="s">
        <v>25</v>
      </c>
      <c r="H446" s="91" t="s">
        <v>33</v>
      </c>
      <c r="I446" s="99">
        <v>44440</v>
      </c>
      <c r="J446" s="100">
        <f>EFEITO!$J$446*EFEITO!$Y$384</f>
        <v>0</v>
      </c>
      <c r="K446" s="100">
        <f ca="1">EFEITO!$L$446*EFEITO!$Z$384</f>
        <v>1745.8370859478844</v>
      </c>
      <c r="L446" s="100">
        <f>EFEITO!$N$446*EFEITO!$AA$384</f>
        <v>574.52037516622363</v>
      </c>
      <c r="M446" s="100">
        <f>$J$446-EFEITO!$K$446*EFEITO!$Y$446</f>
        <v>0</v>
      </c>
      <c r="N446" s="100">
        <f ca="1">$K$446-EFEITO!$M$446*EFEITO!$Z$446</f>
        <v>34.91674171895761</v>
      </c>
      <c r="O446" s="100">
        <f>$L$446-EFEITO!$O$446*EFEITO!$AA$446</f>
        <v>11.490407503324491</v>
      </c>
      <c r="P446" s="17"/>
      <c r="Q446" s="17"/>
      <c r="R446" s="17"/>
      <c r="S446" s="17"/>
      <c r="T446" s="17"/>
      <c r="U446" s="17"/>
      <c r="V446" s="17"/>
      <c r="W446" s="17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91" t="s">
        <v>55</v>
      </c>
      <c r="B447" s="91" t="s">
        <v>38</v>
      </c>
      <c r="C447" s="91" t="s">
        <v>40</v>
      </c>
      <c r="D447" s="91" t="s">
        <v>43</v>
      </c>
      <c r="E447" s="91" t="s">
        <v>51</v>
      </c>
      <c r="F447" s="91" t="s">
        <v>25</v>
      </c>
      <c r="G447" s="91" t="s">
        <v>25</v>
      </c>
      <c r="H447" s="91" t="s">
        <v>33</v>
      </c>
      <c r="I447" s="99">
        <v>44440</v>
      </c>
      <c r="J447" s="100">
        <f>EFEITO!$J$447*EFEITO!$Y$384</f>
        <v>0</v>
      </c>
      <c r="K447" s="100">
        <f ca="1">EFEITO!$L$447*EFEITO!$Z$384</f>
        <v>179.4183343712595</v>
      </c>
      <c r="L447" s="100">
        <f>EFEITO!$N$447*EFEITO!$AA$384</f>
        <v>59.043017017082683</v>
      </c>
      <c r="M447" s="100">
        <f>$J$447-EFEITO!$K$447*EFEITO!$Y$447</f>
        <v>0</v>
      </c>
      <c r="N447" s="100">
        <f ca="1">$K$447-EFEITO!$M$447*EFEITO!$Z$447</f>
        <v>3.5883666874251787</v>
      </c>
      <c r="O447" s="100">
        <f>$L$447-EFEITO!$O$447*EFEITO!$AA$447</f>
        <v>1.1808603403416527</v>
      </c>
      <c r="P447" s="17"/>
      <c r="Q447" s="17"/>
      <c r="R447" s="17"/>
      <c r="S447" s="17"/>
      <c r="T447" s="17"/>
      <c r="U447" s="17"/>
      <c r="V447" s="17"/>
      <c r="W447" s="17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91" t="s">
        <v>21</v>
      </c>
      <c r="B448" s="91" t="s">
        <v>38</v>
      </c>
      <c r="C448" s="91" t="s">
        <v>40</v>
      </c>
      <c r="D448" s="91" t="s">
        <v>43</v>
      </c>
      <c r="E448" s="91" t="s">
        <v>51</v>
      </c>
      <c r="F448" s="91" t="s">
        <v>25</v>
      </c>
      <c r="G448" s="91" t="s">
        <v>25</v>
      </c>
      <c r="H448" s="91" t="s">
        <v>33</v>
      </c>
      <c r="I448" s="99">
        <v>44470</v>
      </c>
      <c r="J448" s="100">
        <f>EFEITO!$J$448*EFEITO!$Y$384</f>
        <v>0</v>
      </c>
      <c r="K448" s="100">
        <f ca="1">EFEITO!$L$448*EFEITO!$Z$384</f>
        <v>1721.1267764236989</v>
      </c>
      <c r="L448" s="100">
        <f>EFEITO!$N$448*EFEITO!$AA$384</f>
        <v>566.38870216387102</v>
      </c>
      <c r="M448" s="100">
        <f>$J$448-EFEITO!$K$448*EFEITO!$Y$448</f>
        <v>0</v>
      </c>
      <c r="N448" s="100">
        <f ca="1">$K$448-EFEITO!$M$448*EFEITO!$Z$448</f>
        <v>34.422535528473645</v>
      </c>
      <c r="O448" s="100">
        <f>$L$448-EFEITO!$O$448*EFEITO!$AA$448</f>
        <v>11.327774043277486</v>
      </c>
      <c r="P448" s="17"/>
      <c r="Q448" s="17"/>
      <c r="R448" s="17"/>
      <c r="S448" s="17"/>
      <c r="T448" s="17"/>
      <c r="U448" s="17"/>
      <c r="V448" s="17"/>
      <c r="W448" s="17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91" t="s">
        <v>55</v>
      </c>
      <c r="B449" s="91" t="s">
        <v>38</v>
      </c>
      <c r="C449" s="91" t="s">
        <v>40</v>
      </c>
      <c r="D449" s="91" t="s">
        <v>43</v>
      </c>
      <c r="E449" s="91" t="s">
        <v>51</v>
      </c>
      <c r="F449" s="91" t="s">
        <v>25</v>
      </c>
      <c r="G449" s="91" t="s">
        <v>25</v>
      </c>
      <c r="H449" s="91" t="s">
        <v>33</v>
      </c>
      <c r="I449" s="99">
        <v>44470</v>
      </c>
      <c r="J449" s="100">
        <f>EFEITO!$J$449*EFEITO!$Y$384</f>
        <v>0</v>
      </c>
      <c r="K449" s="100">
        <f ca="1">EFEITO!$L$449*EFEITO!$Z$384</f>
        <v>188.01322464054138</v>
      </c>
      <c r="L449" s="100">
        <f>EFEITO!$N$449*EFEITO!$AA$384</f>
        <v>61.871425017901004</v>
      </c>
      <c r="M449" s="100">
        <f>$J$449-EFEITO!$K$449*EFEITO!$Y$449</f>
        <v>0</v>
      </c>
      <c r="N449" s="100">
        <f ca="1">$K$449-EFEITO!$M$449*EFEITO!$Z$449</f>
        <v>3.7602644928108191</v>
      </c>
      <c r="O449" s="100">
        <f>$L$449-EFEITO!$O$449*EFEITO!$AA$449</f>
        <v>1.2374285003580212</v>
      </c>
      <c r="P449" s="17"/>
      <c r="Q449" s="17"/>
      <c r="R449" s="17"/>
      <c r="S449" s="17"/>
      <c r="T449" s="17"/>
      <c r="U449" s="17"/>
      <c r="V449" s="17"/>
      <c r="W449" s="17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91" t="s">
        <v>21</v>
      </c>
      <c r="B450" s="91" t="s">
        <v>38</v>
      </c>
      <c r="C450" s="91" t="s">
        <v>40</v>
      </c>
      <c r="D450" s="91" t="s">
        <v>43</v>
      </c>
      <c r="E450" s="91" t="s">
        <v>51</v>
      </c>
      <c r="F450" s="91" t="s">
        <v>25</v>
      </c>
      <c r="G450" s="91" t="s">
        <v>25</v>
      </c>
      <c r="H450" s="91" t="s">
        <v>33</v>
      </c>
      <c r="I450" s="99">
        <v>44501</v>
      </c>
      <c r="J450" s="100">
        <f>EFEITO!$J$450*EFEITO!$Y$384</f>
        <v>0</v>
      </c>
      <c r="K450" s="100">
        <f ca="1">EFEITO!$L$450*EFEITO!$Z$384</f>
        <v>3800.0158603062564</v>
      </c>
      <c r="L450" s="100">
        <f>EFEITO!$N$450*EFEITO!$AA$384</f>
        <v>1250.5098873618049</v>
      </c>
      <c r="M450" s="100">
        <f>$J$450-EFEITO!$K$450*EFEITO!$Y$450</f>
        <v>0</v>
      </c>
      <c r="N450" s="100">
        <f ca="1">$K$450-EFEITO!$M$450*EFEITO!$Z$450</f>
        <v>76.000317206124691</v>
      </c>
      <c r="O450" s="100">
        <f>$L$450-EFEITO!$O$450*EFEITO!$AA$450</f>
        <v>25.010197747236134</v>
      </c>
      <c r="P450" s="17"/>
      <c r="Q450" s="17"/>
      <c r="R450" s="17"/>
      <c r="S450" s="17"/>
      <c r="T450" s="17"/>
      <c r="U450" s="17"/>
      <c r="V450" s="17"/>
      <c r="W450" s="17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91" t="s">
        <v>55</v>
      </c>
      <c r="B451" s="91" t="s">
        <v>38</v>
      </c>
      <c r="C451" s="91" t="s">
        <v>40</v>
      </c>
      <c r="D451" s="91" t="s">
        <v>43</v>
      </c>
      <c r="E451" s="91" t="s">
        <v>51</v>
      </c>
      <c r="F451" s="91" t="s">
        <v>25</v>
      </c>
      <c r="G451" s="91" t="s">
        <v>25</v>
      </c>
      <c r="H451" s="91" t="s">
        <v>33</v>
      </c>
      <c r="I451" s="99">
        <v>44501</v>
      </c>
      <c r="J451" s="100">
        <f>EFEITO!$J$451*EFEITO!$Y$384</f>
        <v>0</v>
      </c>
      <c r="K451" s="100">
        <f ca="1">EFEITO!$L$451*EFEITO!$Z$384</f>
        <v>1678.1523250772896</v>
      </c>
      <c r="L451" s="100">
        <f>EFEITO!$N$451*EFEITO!$AA$384</f>
        <v>552.24666215977936</v>
      </c>
      <c r="M451" s="100">
        <f>$J$451-EFEITO!$K$451*EFEITO!$Y$451</f>
        <v>0</v>
      </c>
      <c r="N451" s="100">
        <f ca="1">$K$451-EFEITO!$M$451*EFEITO!$Z$451</f>
        <v>33.563046501545841</v>
      </c>
      <c r="O451" s="100">
        <f>$L$451-EFEITO!$O$451*EFEITO!$AA$451</f>
        <v>11.044933243195601</v>
      </c>
      <c r="P451" s="17"/>
      <c r="Q451" s="17"/>
      <c r="R451" s="17"/>
      <c r="S451" s="17"/>
      <c r="T451" s="17"/>
      <c r="U451" s="17"/>
      <c r="V451" s="17"/>
      <c r="W451" s="17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91" t="s">
        <v>21</v>
      </c>
      <c r="B452" s="91" t="s">
        <v>38</v>
      </c>
      <c r="C452" s="91" t="s">
        <v>40</v>
      </c>
      <c r="D452" s="91" t="s">
        <v>43</v>
      </c>
      <c r="E452" s="91" t="s">
        <v>51</v>
      </c>
      <c r="F452" s="91" t="s">
        <v>25</v>
      </c>
      <c r="G452" s="91" t="s">
        <v>25</v>
      </c>
      <c r="H452" s="91" t="s">
        <v>33</v>
      </c>
      <c r="I452" s="99">
        <v>44531</v>
      </c>
      <c r="J452" s="100">
        <f>EFEITO!$J$452*EFEITO!$Y$384</f>
        <v>0</v>
      </c>
      <c r="K452" s="100">
        <f ca="1">EFEITO!$L$452*EFEITO!$Z$384</f>
        <v>18433.890905042339</v>
      </c>
      <c r="L452" s="100">
        <f>EFEITO!$N$452*EFEITO!$AA$384</f>
        <v>6066.228059755118</v>
      </c>
      <c r="M452" s="100">
        <f>$J$452-EFEITO!$K$452*EFEITO!$Y$452</f>
        <v>0</v>
      </c>
      <c r="N452" s="100">
        <f ca="1">$K$452-EFEITO!$M$452*EFEITO!$Z$452</f>
        <v>368.67781810084489</v>
      </c>
      <c r="O452" s="100">
        <f>$L$452-EFEITO!$O$452*EFEITO!$AA$452</f>
        <v>121.32456119510243</v>
      </c>
      <c r="P452" s="17"/>
      <c r="Q452" s="17"/>
      <c r="R452" s="17"/>
      <c r="S452" s="17"/>
      <c r="T452" s="17"/>
      <c r="U452" s="17"/>
      <c r="V452" s="17"/>
      <c r="W452" s="17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91" t="s">
        <v>55</v>
      </c>
      <c r="B453" s="91" t="s">
        <v>38</v>
      </c>
      <c r="C453" s="91" t="s">
        <v>40</v>
      </c>
      <c r="D453" s="91" t="s">
        <v>43</v>
      </c>
      <c r="E453" s="91" t="s">
        <v>51</v>
      </c>
      <c r="F453" s="91" t="s">
        <v>25</v>
      </c>
      <c r="G453" s="91" t="s">
        <v>25</v>
      </c>
      <c r="H453" s="91" t="s">
        <v>33</v>
      </c>
      <c r="I453" s="99">
        <v>44531</v>
      </c>
      <c r="J453" s="100">
        <f>EFEITO!$J$453*EFEITO!$Y$384</f>
        <v>0</v>
      </c>
      <c r="K453" s="100">
        <f ca="1">EFEITO!$L$453*EFEITO!$Z$384</f>
        <v>1532.0391904994972</v>
      </c>
      <c r="L453" s="100">
        <f>EFEITO!$N$453*EFEITO!$AA$384</f>
        <v>504.16372614586766</v>
      </c>
      <c r="M453" s="100">
        <f>$J$453-EFEITO!$K$453*EFEITO!$Y$453</f>
        <v>0</v>
      </c>
      <c r="N453" s="100">
        <f ca="1">$K$453-EFEITO!$M$453*EFEITO!$Z$453</f>
        <v>30.640783809989898</v>
      </c>
      <c r="O453" s="100">
        <f>$L$453-EFEITO!$O$453*EFEITO!$AA$453</f>
        <v>10.08327452291735</v>
      </c>
      <c r="P453" s="17"/>
      <c r="Q453" s="17"/>
      <c r="R453" s="17"/>
      <c r="S453" s="17"/>
      <c r="T453" s="17"/>
      <c r="U453" s="17"/>
      <c r="V453" s="17"/>
      <c r="W453" s="17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91" t="s">
        <v>21</v>
      </c>
      <c r="B454" s="91" t="s">
        <v>38</v>
      </c>
      <c r="C454" s="91" t="s">
        <v>40</v>
      </c>
      <c r="D454" s="91" t="s">
        <v>43</v>
      </c>
      <c r="E454" s="91" t="s">
        <v>51</v>
      </c>
      <c r="F454" s="91" t="s">
        <v>25</v>
      </c>
      <c r="G454" s="91" t="s">
        <v>25</v>
      </c>
      <c r="H454" s="91" t="s">
        <v>33</v>
      </c>
      <c r="I454" s="99">
        <v>44562</v>
      </c>
      <c r="J454" s="100">
        <f>EFEITO!$J$454*EFEITO!$Y$384</f>
        <v>0</v>
      </c>
      <c r="K454" s="100">
        <f ca="1">EFEITO!$L$454*EFEITO!$Z$384</f>
        <v>11051.954525012854</v>
      </c>
      <c r="L454" s="100">
        <f>EFEITO!$N$454*EFEITO!$AA$384</f>
        <v>3636.9791380522729</v>
      </c>
      <c r="M454" s="100">
        <f>$J$454-EFEITO!$K$454*EFEITO!$Y$454</f>
        <v>0</v>
      </c>
      <c r="N454" s="100">
        <f ca="1">$K$454-EFEITO!$M$454*EFEITO!$Z$454</f>
        <v>221.03909050025686</v>
      </c>
      <c r="O454" s="100">
        <f>$L$454-EFEITO!$O$454*EFEITO!$AA$454</f>
        <v>72.739582761045767</v>
      </c>
      <c r="P454" s="17"/>
      <c r="Q454" s="17"/>
      <c r="R454" s="17"/>
      <c r="S454" s="17"/>
      <c r="T454" s="17"/>
      <c r="U454" s="17"/>
      <c r="V454" s="17"/>
      <c r="W454" s="17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91" t="s">
        <v>55</v>
      </c>
      <c r="B455" s="91" t="s">
        <v>38</v>
      </c>
      <c r="C455" s="91" t="s">
        <v>40</v>
      </c>
      <c r="D455" s="91" t="s">
        <v>43</v>
      </c>
      <c r="E455" s="91" t="s">
        <v>51</v>
      </c>
      <c r="F455" s="91" t="s">
        <v>25</v>
      </c>
      <c r="G455" s="91" t="s">
        <v>25</v>
      </c>
      <c r="H455" s="91" t="s">
        <v>33</v>
      </c>
      <c r="I455" s="99">
        <v>44562</v>
      </c>
      <c r="J455" s="100">
        <f>EFEITO!$J$455*EFEITO!$Y$384</f>
        <v>0</v>
      </c>
      <c r="K455" s="100">
        <f ca="1">EFEITO!$L$455*EFEITO!$Z$384</f>
        <v>241.73128882355323</v>
      </c>
      <c r="L455" s="100">
        <f>EFEITO!$N$455*EFEITO!$AA$384</f>
        <v>79.548975023015586</v>
      </c>
      <c r="M455" s="100">
        <f>$J$455-EFEITO!$K$455*EFEITO!$Y$455</f>
        <v>0</v>
      </c>
      <c r="N455" s="100">
        <f ca="1">$K$455-EFEITO!$M$455*EFEITO!$Z$455</f>
        <v>4.8346257764710572</v>
      </c>
      <c r="O455" s="100">
        <f>$L$455-EFEITO!$O$455*EFEITO!$AA$455</f>
        <v>1.5909795004603069</v>
      </c>
      <c r="P455" s="17"/>
      <c r="Q455" s="17"/>
      <c r="R455" s="17"/>
      <c r="S455" s="17"/>
      <c r="T455" s="17"/>
      <c r="U455" s="17"/>
      <c r="V455" s="17"/>
      <c r="W455" s="17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91" t="s">
        <v>21</v>
      </c>
      <c r="B456" s="91" t="s">
        <v>38</v>
      </c>
      <c r="C456" s="91" t="s">
        <v>40</v>
      </c>
      <c r="D456" s="91" t="s">
        <v>43</v>
      </c>
      <c r="E456" s="91" t="s">
        <v>51</v>
      </c>
      <c r="F456" s="91" t="s">
        <v>25</v>
      </c>
      <c r="G456" s="91" t="s">
        <v>25</v>
      </c>
      <c r="H456" s="91" t="s">
        <v>33</v>
      </c>
      <c r="I456" s="99">
        <v>44593</v>
      </c>
      <c r="J456" s="100">
        <f>EFEITO!$J$456*EFEITO!$Y$384</f>
        <v>0</v>
      </c>
      <c r="K456" s="100">
        <f ca="1">EFEITO!$L$456*EFEITO!$Z$384</f>
        <v>7619.370223718397</v>
      </c>
      <c r="L456" s="100">
        <f>EFEITO!$N$456*EFEITO!$AA$384</f>
        <v>2507.3836927254511</v>
      </c>
      <c r="M456" s="100">
        <f>$J$456-EFEITO!$K$456*EFEITO!$Y$456</f>
        <v>0</v>
      </c>
      <c r="N456" s="100">
        <f ca="1">$K$456-EFEITO!$M$456*EFEITO!$Z$456</f>
        <v>152.38740447436794</v>
      </c>
      <c r="O456" s="100">
        <f>$L$456-EFEITO!$O$456*EFEITO!$AA$456</f>
        <v>50.147673854508866</v>
      </c>
      <c r="P456" s="17"/>
      <c r="Q456" s="17"/>
      <c r="R456" s="17"/>
      <c r="S456" s="17"/>
      <c r="T456" s="17"/>
      <c r="U456" s="17"/>
      <c r="V456" s="17"/>
      <c r="W456" s="17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91" t="s">
        <v>55</v>
      </c>
      <c r="B457" s="91" t="s">
        <v>38</v>
      </c>
      <c r="C457" s="91" t="s">
        <v>40</v>
      </c>
      <c r="D457" s="91" t="s">
        <v>43</v>
      </c>
      <c r="E457" s="91" t="s">
        <v>51</v>
      </c>
      <c r="F457" s="91" t="s">
        <v>25</v>
      </c>
      <c r="G457" s="91" t="s">
        <v>25</v>
      </c>
      <c r="H457" s="91" t="s">
        <v>33</v>
      </c>
      <c r="I457" s="99">
        <v>44593</v>
      </c>
      <c r="J457" s="100">
        <f>EFEITO!$J$457*EFEITO!$Y$384</f>
        <v>0</v>
      </c>
      <c r="K457" s="100">
        <f ca="1">EFEITO!$L$457*EFEITO!$Z$384</f>
        <v>111.73357350066459</v>
      </c>
      <c r="L457" s="100">
        <f>EFEITO!$N$457*EFEITO!$AA$384</f>
        <v>36.769304010638315</v>
      </c>
      <c r="M457" s="100">
        <f>$J$457-EFEITO!$K$457*EFEITO!$Y$457</f>
        <v>0</v>
      </c>
      <c r="N457" s="100">
        <f ca="1">$K$457-EFEITO!$M$457*EFEITO!$Z$457</f>
        <v>2.2346714700132821</v>
      </c>
      <c r="O457" s="100">
        <f>$L$457-EFEITO!$O$457*EFEITO!$AA$457</f>
        <v>0.73538608021276985</v>
      </c>
      <c r="P457" s="17"/>
      <c r="Q457" s="17"/>
      <c r="R457" s="17"/>
      <c r="S457" s="17"/>
      <c r="T457" s="17"/>
      <c r="U457" s="17"/>
      <c r="V457" s="17"/>
      <c r="W457" s="17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91" t="s">
        <v>21</v>
      </c>
      <c r="B458" s="91" t="s">
        <v>38</v>
      </c>
      <c r="C458" s="91" t="s">
        <v>40</v>
      </c>
      <c r="D458" s="91" t="s">
        <v>43</v>
      </c>
      <c r="E458" s="91" t="s">
        <v>51</v>
      </c>
      <c r="F458" s="91" t="s">
        <v>25</v>
      </c>
      <c r="G458" s="91" t="s">
        <v>25</v>
      </c>
      <c r="H458" s="91" t="s">
        <v>33</v>
      </c>
      <c r="I458" s="99">
        <v>44621</v>
      </c>
      <c r="J458" s="100">
        <f>EFEITO!$J$458*EFEITO!$Y$384</f>
        <v>0</v>
      </c>
      <c r="K458" s="100">
        <f ca="1">EFEITO!$L$458*EFEITO!$Z$384</f>
        <v>1843.6039627609657</v>
      </c>
      <c r="L458" s="100">
        <f>EFEITO!$N$458*EFEITO!$AA$384</f>
        <v>606.69351617553218</v>
      </c>
      <c r="M458" s="100">
        <f>$J$458-EFEITO!$K$458*EFEITO!$Y$458</f>
        <v>0</v>
      </c>
      <c r="N458" s="100">
        <f ca="1">$K$458-EFEITO!$M$458*EFEITO!$Z$458</f>
        <v>36.872079255219205</v>
      </c>
      <c r="O458" s="100">
        <f>$L$458-EFEITO!$O$458*EFEITO!$AA$458</f>
        <v>12.133870323510678</v>
      </c>
      <c r="P458" s="17"/>
      <c r="Q458" s="17"/>
      <c r="R458" s="17"/>
      <c r="S458" s="17"/>
      <c r="T458" s="17"/>
      <c r="U458" s="17"/>
      <c r="V458" s="17"/>
      <c r="W458" s="17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91" t="s">
        <v>55</v>
      </c>
      <c r="B459" s="91" t="s">
        <v>38</v>
      </c>
      <c r="C459" s="91" t="s">
        <v>40</v>
      </c>
      <c r="D459" s="91" t="s">
        <v>43</v>
      </c>
      <c r="E459" s="91" t="s">
        <v>51</v>
      </c>
      <c r="F459" s="91" t="s">
        <v>25</v>
      </c>
      <c r="G459" s="91" t="s">
        <v>25</v>
      </c>
      <c r="H459" s="91" t="s">
        <v>33</v>
      </c>
      <c r="I459" s="99">
        <v>44621</v>
      </c>
      <c r="J459" s="100">
        <f>EFEITO!$J$459*EFEITO!$Y$384</f>
        <v>0</v>
      </c>
      <c r="K459" s="100">
        <f ca="1">EFEITO!$L$459*EFEITO!$Z$384</f>
        <v>109.58485093334411</v>
      </c>
      <c r="L459" s="100">
        <f>EFEITO!$N$459*EFEITO!$AA$384</f>
        <v>36.06220201043373</v>
      </c>
      <c r="M459" s="100">
        <f>$J$459-EFEITO!$K$459*EFEITO!$Y$459</f>
        <v>0</v>
      </c>
      <c r="N459" s="100">
        <f ca="1">$K$459-EFEITO!$M$459*EFEITO!$Z$459</f>
        <v>2.1916970186668721</v>
      </c>
      <c r="O459" s="100">
        <f>$L$459-EFEITO!$O$459*EFEITO!$AA$459</f>
        <v>0.72124404020867416</v>
      </c>
      <c r="P459" s="17"/>
      <c r="Q459" s="17"/>
      <c r="R459" s="17"/>
      <c r="S459" s="17"/>
      <c r="T459" s="17"/>
      <c r="U459" s="17"/>
      <c r="V459" s="17"/>
      <c r="W459" s="17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91" t="s">
        <v>21</v>
      </c>
      <c r="B460" s="91" t="s">
        <v>38</v>
      </c>
      <c r="C460" s="91" t="s">
        <v>40</v>
      </c>
      <c r="D460" s="91" t="s">
        <v>43</v>
      </c>
      <c r="E460" s="91" t="s">
        <v>51</v>
      </c>
      <c r="F460" s="91" t="s">
        <v>25</v>
      </c>
      <c r="G460" s="91" t="s">
        <v>25</v>
      </c>
      <c r="H460" s="91" t="s">
        <v>33</v>
      </c>
      <c r="I460" s="99">
        <v>44652</v>
      </c>
      <c r="J460" s="100">
        <f>EFEITO!$J$460*EFEITO!$Y$384</f>
        <v>0</v>
      </c>
      <c r="K460" s="100">
        <f ca="1">EFEITO!$L$460*EFEITO!$Z$384</f>
        <v>1481.5442101674662</v>
      </c>
      <c r="L460" s="100">
        <f>EFEITO!$N$460*EFEITO!$AA$384</f>
        <v>487.54682914105996</v>
      </c>
      <c r="M460" s="100">
        <f>$J$460-EFEITO!$K$460*EFEITO!$Y$460</f>
        <v>0</v>
      </c>
      <c r="N460" s="100">
        <f ca="1">$K$460-EFEITO!$M$460*EFEITO!$Z$460</f>
        <v>29.630884203349297</v>
      </c>
      <c r="O460" s="100">
        <f>$L$460-EFEITO!$O$460*EFEITO!$AA$460</f>
        <v>9.7509365828212253</v>
      </c>
      <c r="P460" s="17"/>
      <c r="Q460" s="17"/>
      <c r="R460" s="17"/>
      <c r="S460" s="17"/>
      <c r="T460" s="17"/>
      <c r="U460" s="17"/>
      <c r="V460" s="17"/>
      <c r="W460" s="17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91" t="s">
        <v>55</v>
      </c>
      <c r="B461" s="91" t="s">
        <v>38</v>
      </c>
      <c r="C461" s="91" t="s">
        <v>40</v>
      </c>
      <c r="D461" s="91" t="s">
        <v>43</v>
      </c>
      <c r="E461" s="91" t="s">
        <v>51</v>
      </c>
      <c r="F461" s="91" t="s">
        <v>25</v>
      </c>
      <c r="G461" s="91" t="s">
        <v>25</v>
      </c>
      <c r="H461" s="91" t="s">
        <v>33</v>
      </c>
      <c r="I461" s="99">
        <v>44652</v>
      </c>
      <c r="J461" s="100">
        <f>EFEITO!$J$461*EFEITO!$Y$384</f>
        <v>0</v>
      </c>
      <c r="K461" s="100">
        <f ca="1">EFEITO!$L$461*EFEITO!$Z$384</f>
        <v>74.130928572556329</v>
      </c>
      <c r="L461" s="100">
        <f>EFEITO!$N$461*EFEITO!$AA$384</f>
        <v>24.395019007058114</v>
      </c>
      <c r="M461" s="100">
        <f>$J$461-EFEITO!$K$461*EFEITO!$Y$461</f>
        <v>0</v>
      </c>
      <c r="N461" s="100">
        <f ca="1">$K$461-EFEITO!$M$461*EFEITO!$Z$461</f>
        <v>1.4826185714511269</v>
      </c>
      <c r="O461" s="100">
        <f>$L$461-EFEITO!$O$461*EFEITO!$AA$461</f>
        <v>0.48790038014116277</v>
      </c>
      <c r="P461" s="17"/>
      <c r="Q461" s="17"/>
      <c r="R461" s="17"/>
      <c r="S461" s="17"/>
      <c r="T461" s="17"/>
      <c r="U461" s="17"/>
      <c r="V461" s="17"/>
      <c r="W461" s="17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91" t="s">
        <v>21</v>
      </c>
      <c r="B462" s="91" t="s">
        <v>38</v>
      </c>
      <c r="C462" s="91" t="s">
        <v>40</v>
      </c>
      <c r="D462" s="91" t="s">
        <v>43</v>
      </c>
      <c r="E462" s="91" t="s">
        <v>51</v>
      </c>
      <c r="F462" s="91" t="s">
        <v>25</v>
      </c>
      <c r="G462" s="91" t="s">
        <v>25</v>
      </c>
      <c r="H462" s="91" t="s">
        <v>33</v>
      </c>
      <c r="I462" s="99">
        <v>44682</v>
      </c>
      <c r="J462" s="100">
        <f>EFEITO!$J$462*EFEITO!$Y$384</f>
        <v>0</v>
      </c>
      <c r="K462" s="100">
        <f ca="1">EFEITO!$L$462*EFEITO!$Z$384</f>
        <v>3110.2759161963845</v>
      </c>
      <c r="L462" s="100">
        <f>EFEITO!$N$462*EFEITO!$AA$384</f>
        <v>1023.5301452961338</v>
      </c>
      <c r="M462" s="100">
        <f>$J$462-EFEITO!$K$462*EFEITO!$Y$462</f>
        <v>0</v>
      </c>
      <c r="N462" s="100">
        <f ca="1">$K$462-EFEITO!$M$462*EFEITO!$Z$462</f>
        <v>62.205518323927208</v>
      </c>
      <c r="O462" s="100">
        <f>$L$462-EFEITO!$O$462*EFEITO!$AA$462</f>
        <v>20.470602905922647</v>
      </c>
      <c r="P462" s="17"/>
      <c r="Q462" s="17"/>
      <c r="R462" s="17"/>
      <c r="S462" s="17"/>
      <c r="T462" s="17"/>
      <c r="U462" s="17"/>
      <c r="V462" s="17"/>
      <c r="W462" s="17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91" t="s">
        <v>55</v>
      </c>
      <c r="B463" s="91" t="s">
        <v>38</v>
      </c>
      <c r="C463" s="91" t="s">
        <v>40</v>
      </c>
      <c r="D463" s="91" t="s">
        <v>43</v>
      </c>
      <c r="E463" s="91" t="s">
        <v>51</v>
      </c>
      <c r="F463" s="91" t="s">
        <v>25</v>
      </c>
      <c r="G463" s="91" t="s">
        <v>25</v>
      </c>
      <c r="H463" s="91" t="s">
        <v>33</v>
      </c>
      <c r="I463" s="99">
        <v>44682</v>
      </c>
      <c r="J463" s="100">
        <f>EFEITO!$J$463*EFEITO!$Y$384</f>
        <v>0</v>
      </c>
      <c r="K463" s="100">
        <f ca="1">EFEITO!$L$463*EFEITO!$Z$384</f>
        <v>85.948902692818919</v>
      </c>
      <c r="L463" s="100">
        <f>EFEITO!$N$463*EFEITO!$AA$384</f>
        <v>28.28408000818332</v>
      </c>
      <c r="M463" s="100">
        <f>$J$463-EFEITO!$K$463*EFEITO!$Y$463</f>
        <v>0</v>
      </c>
      <c r="N463" s="100">
        <f ca="1">$K$463-EFEITO!$M$463*EFEITO!$Z$463</f>
        <v>1.7189780538563753</v>
      </c>
      <c r="O463" s="100">
        <f>$L$463-EFEITO!$O$463*EFEITO!$AA$463</f>
        <v>0.56568160016366775</v>
      </c>
      <c r="P463" s="17"/>
      <c r="Q463" s="17"/>
      <c r="R463" s="17"/>
      <c r="S463" s="17"/>
      <c r="T463" s="17"/>
      <c r="U463" s="17"/>
      <c r="V463" s="17"/>
      <c r="W463" s="17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91" t="s">
        <v>56</v>
      </c>
      <c r="B464" s="91" t="s">
        <v>38</v>
      </c>
      <c r="C464" s="91" t="s">
        <v>40</v>
      </c>
      <c r="D464" s="91" t="s">
        <v>43</v>
      </c>
      <c r="E464" s="91" t="s">
        <v>51</v>
      </c>
      <c r="F464" s="91" t="s">
        <v>25</v>
      </c>
      <c r="G464" s="91" t="s">
        <v>25</v>
      </c>
      <c r="H464" s="91" t="s">
        <v>33</v>
      </c>
      <c r="I464" s="99">
        <v>44713</v>
      </c>
      <c r="J464" s="100">
        <f>EFEITO!$J$464*EFEITO!$Y$384</f>
        <v>0</v>
      </c>
      <c r="K464" s="100">
        <f ca="1">EFEITO!$L$464*EFEITO!$Z$384</f>
        <v>3110.2759161963845</v>
      </c>
      <c r="L464" s="100">
        <f>EFEITO!$N$464*EFEITO!$AA$384</f>
        <v>1023.5301452961338</v>
      </c>
      <c r="M464" s="100">
        <f>$J$464-EFEITO!$K$464*EFEITO!$Y$464</f>
        <v>0</v>
      </c>
      <c r="N464" s="100">
        <f ca="1">$K$464-EFEITO!$M$464*EFEITO!$Z$464</f>
        <v>62.205518323927208</v>
      </c>
      <c r="O464" s="100">
        <f>$L$464-EFEITO!$O$464*EFEITO!$AA$464</f>
        <v>20.470602905922647</v>
      </c>
      <c r="P464" s="17"/>
      <c r="Q464" s="17"/>
      <c r="R464" s="17"/>
      <c r="S464" s="17"/>
      <c r="T464" s="17"/>
      <c r="U464" s="17"/>
      <c r="V464" s="17"/>
      <c r="W464" s="17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91" t="s">
        <v>56</v>
      </c>
      <c r="B465" s="91" t="s">
        <v>38</v>
      </c>
      <c r="C465" s="91" t="s">
        <v>40</v>
      </c>
      <c r="D465" s="91" t="s">
        <v>43</v>
      </c>
      <c r="E465" s="91" t="s">
        <v>51</v>
      </c>
      <c r="F465" s="91" t="s">
        <v>25</v>
      </c>
      <c r="G465" s="91" t="s">
        <v>25</v>
      </c>
      <c r="H465" s="91" t="s">
        <v>33</v>
      </c>
      <c r="I465" s="99">
        <v>44713</v>
      </c>
      <c r="J465" s="100">
        <f>EFEITO!$J$465*EFEITO!$Y$384</f>
        <v>0</v>
      </c>
      <c r="K465" s="100">
        <f ca="1">EFEITO!$L$465*EFEITO!$Z$384</f>
        <v>85.948902692818919</v>
      </c>
      <c r="L465" s="100">
        <f>EFEITO!$N$465*EFEITO!$AA$384</f>
        <v>28.28408000818332</v>
      </c>
      <c r="M465" s="100">
        <f>$J$465-EFEITO!$K$465*EFEITO!$Y$465</f>
        <v>0</v>
      </c>
      <c r="N465" s="100">
        <f ca="1">$K$465-EFEITO!$M$465*EFEITO!$Z$465</f>
        <v>1.7189780538563753</v>
      </c>
      <c r="O465" s="100">
        <f>$L$465-EFEITO!$O$465*EFEITO!$AA$465</f>
        <v>0.56568160016366775</v>
      </c>
      <c r="P465" s="17"/>
      <c r="Q465" s="17"/>
      <c r="R465" s="17"/>
      <c r="S465" s="17"/>
      <c r="T465" s="17"/>
      <c r="U465" s="17"/>
      <c r="V465" s="17"/>
      <c r="W465" s="17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91" t="s">
        <v>21</v>
      </c>
      <c r="B466" s="91" t="s">
        <v>38</v>
      </c>
      <c r="C466" s="91" t="s">
        <v>40</v>
      </c>
      <c r="D466" s="91" t="s">
        <v>43</v>
      </c>
      <c r="E466" s="91" t="s">
        <v>25</v>
      </c>
      <c r="F466" s="91" t="s">
        <v>25</v>
      </c>
      <c r="G466" s="91" t="s">
        <v>25</v>
      </c>
      <c r="H466" s="91" t="s">
        <v>34</v>
      </c>
      <c r="I466" s="99">
        <v>44378</v>
      </c>
      <c r="J466" s="100">
        <f>EFEITO!$J$466*EFEITO!$Y$360</f>
        <v>0</v>
      </c>
      <c r="K466" s="100">
        <f ca="1">EFEITO!$L$466*EFEITO!$Z$360</f>
        <v>6090.4339596767113</v>
      </c>
      <c r="L466" s="100">
        <f>EFEITO!$N$466*EFEITO!$AA$360</f>
        <v>13330.965476169598</v>
      </c>
      <c r="M466" s="100">
        <f>$J$466-EFEITO!$K$466*EFEITO!$Y$466</f>
        <v>0</v>
      </c>
      <c r="N466" s="100">
        <f ca="1">$K$466-EFEITO!$M$466*EFEITO!$Z$466</f>
        <v>121.80867919353386</v>
      </c>
      <c r="O466" s="100">
        <f>$L$466-EFEITO!$O$466*EFEITO!$AA$466</f>
        <v>266.61930952339208</v>
      </c>
      <c r="P466" s="17"/>
      <c r="Q466" s="17"/>
      <c r="R466" s="17"/>
      <c r="S466" s="17"/>
      <c r="T466" s="17"/>
      <c r="U466" s="17"/>
      <c r="V466" s="17"/>
      <c r="W466" s="17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91" t="s">
        <v>21</v>
      </c>
      <c r="B467" s="91" t="s">
        <v>38</v>
      </c>
      <c r="C467" s="91" t="s">
        <v>40</v>
      </c>
      <c r="D467" s="91" t="s">
        <v>43</v>
      </c>
      <c r="E467" s="91" t="s">
        <v>25</v>
      </c>
      <c r="F467" s="91" t="s">
        <v>25</v>
      </c>
      <c r="G467" s="91" t="s">
        <v>25</v>
      </c>
      <c r="H467" s="91" t="s">
        <v>34</v>
      </c>
      <c r="I467" s="99">
        <v>44409</v>
      </c>
      <c r="J467" s="100">
        <f>EFEITO!$J$467*EFEITO!$Y$360</f>
        <v>0</v>
      </c>
      <c r="K467" s="100">
        <f ca="1">EFEITO!$L$467*EFEITO!$Z$360</f>
        <v>3813.0366659990473</v>
      </c>
      <c r="L467" s="100">
        <f>EFEITO!$N$467*EFEITO!$AA$360</f>
        <v>8346.1146595373848</v>
      </c>
      <c r="M467" s="100">
        <f>$J$467-EFEITO!$K$467*EFEITO!$Y$467</f>
        <v>0</v>
      </c>
      <c r="N467" s="100">
        <f ca="1">$K$467-EFEITO!$M$467*EFEITO!$Z$467</f>
        <v>76.260733319980773</v>
      </c>
      <c r="O467" s="100">
        <f>$L$467-EFEITO!$O$467*EFEITO!$AA$467</f>
        <v>166.92229319074795</v>
      </c>
      <c r="P467" s="17"/>
      <c r="Q467" s="17"/>
      <c r="R467" s="17"/>
      <c r="S467" s="17"/>
      <c r="T467" s="17"/>
      <c r="U467" s="17"/>
      <c r="V467" s="17"/>
      <c r="W467" s="17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91" t="s">
        <v>21</v>
      </c>
      <c r="B468" s="91" t="s">
        <v>38</v>
      </c>
      <c r="C468" s="91" t="s">
        <v>40</v>
      </c>
      <c r="D468" s="91" t="s">
        <v>43</v>
      </c>
      <c r="E468" s="91" t="s">
        <v>25</v>
      </c>
      <c r="F468" s="91" t="s">
        <v>25</v>
      </c>
      <c r="G468" s="91" t="s">
        <v>25</v>
      </c>
      <c r="H468" s="91" t="s">
        <v>34</v>
      </c>
      <c r="I468" s="99">
        <v>44440</v>
      </c>
      <c r="J468" s="100">
        <f>EFEITO!$J$468*EFEITO!$Y$360</f>
        <v>0</v>
      </c>
      <c r="K468" s="100">
        <f ca="1">EFEITO!$L$468*EFEITO!$Z$360</f>
        <v>3738.9611114203594</v>
      </c>
      <c r="L468" s="100">
        <f>EFEITO!$N$468*EFEITO!$AA$360</f>
        <v>8183.9753658097798</v>
      </c>
      <c r="M468" s="100">
        <f>$J$468-EFEITO!$K$468*EFEITO!$Y$468</f>
        <v>0</v>
      </c>
      <c r="N468" s="100">
        <f ca="1">$K$468-EFEITO!$M$468*EFEITO!$Z$468</f>
        <v>74.779222228406979</v>
      </c>
      <c r="O468" s="100">
        <f>$L$468-EFEITO!$O$468*EFEITO!$AA$468</f>
        <v>163.67950731619567</v>
      </c>
      <c r="P468" s="17"/>
      <c r="Q468" s="17"/>
      <c r="R468" s="17"/>
      <c r="S468" s="17"/>
      <c r="T468" s="17"/>
      <c r="U468" s="17"/>
      <c r="V468" s="17"/>
      <c r="W468" s="17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91" t="s">
        <v>21</v>
      </c>
      <c r="B469" s="91" t="s">
        <v>38</v>
      </c>
      <c r="C469" s="91" t="s">
        <v>40</v>
      </c>
      <c r="D469" s="91" t="s">
        <v>43</v>
      </c>
      <c r="E469" s="91" t="s">
        <v>25</v>
      </c>
      <c r="F469" s="91" t="s">
        <v>25</v>
      </c>
      <c r="G469" s="91" t="s">
        <v>25</v>
      </c>
      <c r="H469" s="91" t="s">
        <v>34</v>
      </c>
      <c r="I469" s="99">
        <v>44470</v>
      </c>
      <c r="J469" s="100">
        <f>EFEITO!$J$469*EFEITO!$Y$360</f>
        <v>0</v>
      </c>
      <c r="K469" s="100">
        <f ca="1">EFEITO!$L$469*EFEITO!$Z$360</f>
        <v>6098.7536769027356</v>
      </c>
      <c r="L469" s="100">
        <f>EFEITO!$N$469*EFEITO!$AA$360</f>
        <v>13349.175978712754</v>
      </c>
      <c r="M469" s="100">
        <f>$J$469-EFEITO!$K$469*EFEITO!$Y$469</f>
        <v>0</v>
      </c>
      <c r="N469" s="100">
        <f ca="1">$K$469-EFEITO!$M$469*EFEITO!$Z$469</f>
        <v>121.97507353805486</v>
      </c>
      <c r="O469" s="100">
        <f>$L$469-EFEITO!$O$469*EFEITO!$AA$469</f>
        <v>266.98351957425621</v>
      </c>
      <c r="P469" s="17"/>
      <c r="Q469" s="17"/>
      <c r="R469" s="17"/>
      <c r="S469" s="17"/>
      <c r="T469" s="17"/>
      <c r="U469" s="17"/>
      <c r="V469" s="17"/>
      <c r="W469" s="17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91" t="s">
        <v>21</v>
      </c>
      <c r="B470" s="91" t="s">
        <v>38</v>
      </c>
      <c r="C470" s="91" t="s">
        <v>40</v>
      </c>
      <c r="D470" s="91" t="s">
        <v>43</v>
      </c>
      <c r="E470" s="91" t="s">
        <v>25</v>
      </c>
      <c r="F470" s="91" t="s">
        <v>25</v>
      </c>
      <c r="G470" s="91" t="s">
        <v>25</v>
      </c>
      <c r="H470" s="91" t="s">
        <v>34</v>
      </c>
      <c r="I470" s="99">
        <v>44501</v>
      </c>
      <c r="J470" s="100">
        <f>EFEITO!$J$470*EFEITO!$Y$360</f>
        <v>0</v>
      </c>
      <c r="K470" s="100">
        <f ca="1">EFEITO!$L$470*EFEITO!$Z$360</f>
        <v>11404.026853068128</v>
      </c>
      <c r="L470" s="100">
        <f>EFEITO!$N$470*EFEITO!$AA$360</f>
        <v>24961.552702827768</v>
      </c>
      <c r="M470" s="100">
        <f>$J$470-EFEITO!$K$470*EFEITO!$Y$470</f>
        <v>0</v>
      </c>
      <c r="N470" s="100">
        <f ca="1">$K$470-EFEITO!$M$470*EFEITO!$Z$470</f>
        <v>228.08053706136161</v>
      </c>
      <c r="O470" s="100">
        <f>$L$470-EFEITO!$O$470*EFEITO!$AA$470</f>
        <v>499.23105405655588</v>
      </c>
      <c r="P470" s="17"/>
      <c r="Q470" s="17"/>
      <c r="R470" s="17"/>
      <c r="S470" s="17"/>
      <c r="T470" s="17"/>
      <c r="U470" s="17"/>
      <c r="V470" s="17"/>
      <c r="W470" s="17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91" t="s">
        <v>21</v>
      </c>
      <c r="B471" s="91" t="s">
        <v>38</v>
      </c>
      <c r="C471" s="91" t="s">
        <v>40</v>
      </c>
      <c r="D471" s="91" t="s">
        <v>43</v>
      </c>
      <c r="E471" s="91" t="s">
        <v>25</v>
      </c>
      <c r="F471" s="91" t="s">
        <v>25</v>
      </c>
      <c r="G471" s="91" t="s">
        <v>25</v>
      </c>
      <c r="H471" s="91" t="s">
        <v>34</v>
      </c>
      <c r="I471" s="99">
        <v>44531</v>
      </c>
      <c r="J471" s="100">
        <f>EFEITO!$J$471*EFEITO!$Y$360</f>
        <v>0</v>
      </c>
      <c r="K471" s="100">
        <f ca="1">EFEITO!$L$471*EFEITO!$Z$360</f>
        <v>6016.7593553257839</v>
      </c>
      <c r="L471" s="100">
        <f>EFEITO!$N$471*EFEITO!$AA$360</f>
        <v>13169.703797022386</v>
      </c>
      <c r="M471" s="100">
        <f>$J$471-EFEITO!$K$471*EFEITO!$Y$471</f>
        <v>0</v>
      </c>
      <c r="N471" s="100">
        <f ca="1">$K$471-EFEITO!$M$471*EFEITO!$Z$471</f>
        <v>120.33518710651606</v>
      </c>
      <c r="O471" s="100">
        <f>$L$471-EFEITO!$O$471*EFEITO!$AA$471</f>
        <v>263.3940759404486</v>
      </c>
      <c r="P471" s="17"/>
      <c r="Q471" s="17"/>
      <c r="R471" s="17"/>
      <c r="S471" s="17"/>
      <c r="T471" s="17"/>
      <c r="U471" s="17"/>
      <c r="V471" s="17"/>
      <c r="W471" s="17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91" t="s">
        <v>21</v>
      </c>
      <c r="B472" s="91" t="s">
        <v>38</v>
      </c>
      <c r="C472" s="91" t="s">
        <v>40</v>
      </c>
      <c r="D472" s="91" t="s">
        <v>43</v>
      </c>
      <c r="E472" s="91" t="s">
        <v>25</v>
      </c>
      <c r="F472" s="91" t="s">
        <v>25</v>
      </c>
      <c r="G472" s="91" t="s">
        <v>25</v>
      </c>
      <c r="H472" s="91" t="s">
        <v>34</v>
      </c>
      <c r="I472" s="99">
        <v>44562</v>
      </c>
      <c r="J472" s="100">
        <f>EFEITO!$J$472*EFEITO!$Y$360</f>
        <v>0</v>
      </c>
      <c r="K472" s="100">
        <f ca="1">EFEITO!$L$472*EFEITO!$Z$360</f>
        <v>7312.7307290035351</v>
      </c>
      <c r="L472" s="100">
        <f>EFEITO!$N$472*EFEITO!$AA$360</f>
        <v>16006.373524497643</v>
      </c>
      <c r="M472" s="100">
        <f>$J$472-EFEITO!$K$472*EFEITO!$Y$472</f>
        <v>0</v>
      </c>
      <c r="N472" s="100">
        <f ca="1">$K$472-EFEITO!$M$472*EFEITO!$Z$472</f>
        <v>146.25461458007067</v>
      </c>
      <c r="O472" s="100">
        <f>$L$472-EFEITO!$O$472*EFEITO!$AA$472</f>
        <v>320.12747048995334</v>
      </c>
      <c r="P472" s="17"/>
      <c r="Q472" s="17"/>
      <c r="R472" s="17"/>
      <c r="S472" s="17"/>
      <c r="T472" s="17"/>
      <c r="U472" s="17"/>
      <c r="V472" s="17"/>
      <c r="W472" s="17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91" t="s">
        <v>27</v>
      </c>
      <c r="B473" s="91" t="s">
        <v>38</v>
      </c>
      <c r="C473" s="91" t="s">
        <v>40</v>
      </c>
      <c r="D473" s="91" t="s">
        <v>43</v>
      </c>
      <c r="E473" s="91" t="s">
        <v>25</v>
      </c>
      <c r="F473" s="91" t="s">
        <v>25</v>
      </c>
      <c r="G473" s="91" t="s">
        <v>25</v>
      </c>
      <c r="H473" s="91" t="s">
        <v>34</v>
      </c>
      <c r="I473" s="99">
        <v>44562</v>
      </c>
      <c r="J473" s="100">
        <f>EFEITO!$J$473*EFEITO!$Y$360</f>
        <v>0</v>
      </c>
      <c r="K473" s="100">
        <f ca="1">EFEITO!$L$473*EFEITO!$Z$360</f>
        <v>9211.9317203464361</v>
      </c>
      <c r="L473" s="100">
        <f>EFEITO!$N$473*EFEITO!$AA$360</f>
        <v>20163.414388174166</v>
      </c>
      <c r="M473" s="100">
        <f>$J$473-EFEITO!$K$473*EFEITO!$Y$473</f>
        <v>0</v>
      </c>
      <c r="N473" s="100">
        <f ca="1">$K$473-EFEITO!$M$473*EFEITO!$Z$473</f>
        <v>184.23863440692912</v>
      </c>
      <c r="O473" s="100">
        <f>$L$473-EFEITO!$O$473*EFEITO!$AA$473</f>
        <v>403.26828776348339</v>
      </c>
      <c r="P473" s="17"/>
      <c r="Q473" s="17"/>
      <c r="R473" s="17"/>
      <c r="S473" s="17"/>
      <c r="T473" s="17"/>
      <c r="U473" s="17"/>
      <c r="V473" s="17"/>
      <c r="W473" s="17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91" t="s">
        <v>21</v>
      </c>
      <c r="B474" s="91" t="s">
        <v>38</v>
      </c>
      <c r="C474" s="91" t="s">
        <v>40</v>
      </c>
      <c r="D474" s="91" t="s">
        <v>43</v>
      </c>
      <c r="E474" s="91" t="s">
        <v>25</v>
      </c>
      <c r="F474" s="91" t="s">
        <v>25</v>
      </c>
      <c r="G474" s="91" t="s">
        <v>25</v>
      </c>
      <c r="H474" s="91" t="s">
        <v>34</v>
      </c>
      <c r="I474" s="99">
        <v>44593</v>
      </c>
      <c r="J474" s="100">
        <f>EFEITO!$J$474*EFEITO!$Y$360</f>
        <v>0</v>
      </c>
      <c r="K474" s="100">
        <f ca="1">EFEITO!$L$474*EFEITO!$Z$360</f>
        <v>4465.2824490078747</v>
      </c>
      <c r="L474" s="100">
        <f>EFEITO!$N$474*EFEITO!$AA$360</f>
        <v>9773.7741781916902</v>
      </c>
      <c r="M474" s="100">
        <f>$J$474-EFEITO!$K$474*EFEITO!$Y$474</f>
        <v>0</v>
      </c>
      <c r="N474" s="100">
        <f ca="1">$K$474-EFEITO!$M$474*EFEITO!$Z$474</f>
        <v>89.305648980157457</v>
      </c>
      <c r="O474" s="100">
        <f>$L$474-EFEITO!$O$474*EFEITO!$AA$474</f>
        <v>195.47548356383413</v>
      </c>
      <c r="P474" s="17"/>
      <c r="Q474" s="17"/>
      <c r="R474" s="17"/>
      <c r="S474" s="17"/>
      <c r="T474" s="17"/>
      <c r="U474" s="17"/>
      <c r="V474" s="17"/>
      <c r="W474" s="17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91" t="s">
        <v>21</v>
      </c>
      <c r="B475" s="91" t="s">
        <v>38</v>
      </c>
      <c r="C475" s="91" t="s">
        <v>40</v>
      </c>
      <c r="D475" s="91" t="s">
        <v>43</v>
      </c>
      <c r="E475" s="91" t="s">
        <v>25</v>
      </c>
      <c r="F475" s="91" t="s">
        <v>25</v>
      </c>
      <c r="G475" s="91" t="s">
        <v>25</v>
      </c>
      <c r="H475" s="91" t="s">
        <v>34</v>
      </c>
      <c r="I475" s="99">
        <v>44621</v>
      </c>
      <c r="J475" s="100">
        <f>EFEITO!$J$475*EFEITO!$Y$360</f>
        <v>0</v>
      </c>
      <c r="K475" s="100">
        <f ca="1">EFEITO!$L$475*EFEITO!$Z$360</f>
        <v>7102.1316218725151</v>
      </c>
      <c r="L475" s="100">
        <f>EFEITO!$N$475*EFEITO!$AA$360</f>
        <v>15545.406466146223</v>
      </c>
      <c r="M475" s="100">
        <f>$J$475-EFEITO!$K$475*EFEITO!$Y$475</f>
        <v>0</v>
      </c>
      <c r="N475" s="100">
        <f ca="1">$K$475-EFEITO!$M$475*EFEITO!$Z$475</f>
        <v>142.04263243745027</v>
      </c>
      <c r="O475" s="100">
        <f>$L$475-EFEITO!$O$475*EFEITO!$AA$475</f>
        <v>310.90812932292647</v>
      </c>
      <c r="P475" s="17"/>
      <c r="Q475" s="17"/>
      <c r="R475" s="17"/>
      <c r="S475" s="17"/>
      <c r="T475" s="17"/>
      <c r="U475" s="17"/>
      <c r="V475" s="17"/>
      <c r="W475" s="17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91" t="s">
        <v>21</v>
      </c>
      <c r="B476" s="91" t="s">
        <v>38</v>
      </c>
      <c r="C476" s="91" t="s">
        <v>40</v>
      </c>
      <c r="D476" s="91" t="s">
        <v>43</v>
      </c>
      <c r="E476" s="91" t="s">
        <v>25</v>
      </c>
      <c r="F476" s="91" t="s">
        <v>25</v>
      </c>
      <c r="G476" s="91" t="s">
        <v>25</v>
      </c>
      <c r="H476" s="91" t="s">
        <v>34</v>
      </c>
      <c r="I476" s="99">
        <v>44652</v>
      </c>
      <c r="J476" s="100">
        <f>EFEITO!$J$476*EFEITO!$Y$360</f>
        <v>0</v>
      </c>
      <c r="K476" s="100">
        <f ca="1">EFEITO!$L$476*EFEITO!$Z$360</f>
        <v>15529.503984049274</v>
      </c>
      <c r="L476" s="100">
        <f>EFEITO!$N$476*EFEITO!$AA$360</f>
        <v>33991.548524136393</v>
      </c>
      <c r="M476" s="100">
        <f>$J$476-EFEITO!$K$476*EFEITO!$Y$476</f>
        <v>0</v>
      </c>
      <c r="N476" s="100">
        <f ca="1">$K$476-EFEITO!$M$476*EFEITO!$Z$476</f>
        <v>310.59007968098376</v>
      </c>
      <c r="O476" s="100">
        <f>$L$476-EFEITO!$O$476*EFEITO!$AA$476</f>
        <v>679.83097048272612</v>
      </c>
      <c r="P476" s="17"/>
      <c r="Q476" s="17"/>
      <c r="R476" s="17"/>
      <c r="S476" s="17"/>
      <c r="T476" s="17"/>
      <c r="U476" s="17"/>
      <c r="V476" s="17"/>
      <c r="W476" s="17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91" t="s">
        <v>21</v>
      </c>
      <c r="B477" s="91" t="s">
        <v>38</v>
      </c>
      <c r="C477" s="91" t="s">
        <v>40</v>
      </c>
      <c r="D477" s="91" t="s">
        <v>43</v>
      </c>
      <c r="E477" s="91" t="s">
        <v>25</v>
      </c>
      <c r="F477" s="91" t="s">
        <v>25</v>
      </c>
      <c r="G477" s="91" t="s">
        <v>25</v>
      </c>
      <c r="H477" s="91" t="s">
        <v>34</v>
      </c>
      <c r="I477" s="99">
        <v>44682</v>
      </c>
      <c r="J477" s="100">
        <f>EFEITO!$J$477*EFEITO!$Y$360</f>
        <v>0</v>
      </c>
      <c r="K477" s="100">
        <f ca="1">EFEITO!$L$477*EFEITO!$Z$360</f>
        <v>7782.443920824554</v>
      </c>
      <c r="L477" s="100">
        <f>EFEITO!$N$477*EFEITO!$AA$360</f>
        <v>17034.499005428039</v>
      </c>
      <c r="M477" s="100">
        <f>$J$477-EFEITO!$K$477*EFEITO!$Y$477</f>
        <v>0</v>
      </c>
      <c r="N477" s="100">
        <f ca="1">$K$477-EFEITO!$M$477*EFEITO!$Z$477</f>
        <v>155.64887841649033</v>
      </c>
      <c r="O477" s="100">
        <f>$L$477-EFEITO!$O$477*EFEITO!$AA$477</f>
        <v>340.68998010856012</v>
      </c>
      <c r="P477" s="17"/>
      <c r="Q477" s="17"/>
      <c r="R477" s="17"/>
      <c r="S477" s="17"/>
      <c r="T477" s="17"/>
      <c r="U477" s="17"/>
      <c r="V477" s="17"/>
      <c r="W477" s="17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91" t="s">
        <v>56</v>
      </c>
      <c r="B478" s="91" t="s">
        <v>38</v>
      </c>
      <c r="C478" s="91" t="s">
        <v>40</v>
      </c>
      <c r="D478" s="91" t="s">
        <v>43</v>
      </c>
      <c r="E478" s="91" t="s">
        <v>25</v>
      </c>
      <c r="F478" s="91" t="s">
        <v>25</v>
      </c>
      <c r="G478" s="91" t="s">
        <v>25</v>
      </c>
      <c r="H478" s="91" t="s">
        <v>34</v>
      </c>
      <c r="I478" s="99">
        <v>44713</v>
      </c>
      <c r="J478" s="100">
        <f>EFEITO!$J$478*EFEITO!$Y$360</f>
        <v>0</v>
      </c>
      <c r="K478" s="100">
        <f ca="1">EFEITO!$L$478*EFEITO!$Z$360</f>
        <v>7782.443920824554</v>
      </c>
      <c r="L478" s="100">
        <f>EFEITO!$N$478*EFEITO!$AA$360</f>
        <v>17034.499005428039</v>
      </c>
      <c r="M478" s="100">
        <f>$J$478-EFEITO!$K$478*EFEITO!$Y$478</f>
        <v>0</v>
      </c>
      <c r="N478" s="100">
        <f ca="1">$K$478-EFEITO!$M$478*EFEITO!$Z$478</f>
        <v>155.64887841649033</v>
      </c>
      <c r="O478" s="100">
        <f>$L$478-EFEITO!$O$478*EFEITO!$AA$478</f>
        <v>340.68998010856012</v>
      </c>
      <c r="P478" s="17"/>
      <c r="Q478" s="17"/>
      <c r="R478" s="17"/>
      <c r="S478" s="17"/>
      <c r="T478" s="17"/>
      <c r="U478" s="17"/>
      <c r="V478" s="17"/>
      <c r="W478" s="17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91" t="s">
        <v>21</v>
      </c>
      <c r="B479" s="91" t="s">
        <v>38</v>
      </c>
      <c r="C479" s="91" t="s">
        <v>40</v>
      </c>
      <c r="D479" s="91" t="s">
        <v>43</v>
      </c>
      <c r="E479" s="91" t="s">
        <v>25</v>
      </c>
      <c r="F479" s="91" t="s">
        <v>25</v>
      </c>
      <c r="G479" s="91" t="s">
        <v>25</v>
      </c>
      <c r="H479" s="91" t="s">
        <v>25</v>
      </c>
      <c r="I479" s="99">
        <v>44378</v>
      </c>
      <c r="J479" s="100">
        <f ca="1">EFEITO!$J$479*EFEITO!$Y$372</f>
        <v>8401.7057301584809</v>
      </c>
      <c r="K479" s="100">
        <f>EFEITO!$L$479*EFEITO!$Z$372</f>
        <v>0</v>
      </c>
      <c r="L479" s="100">
        <f>EFEITO!$N$479*EFEITO!$AA$372</f>
        <v>0</v>
      </c>
      <c r="M479" s="100">
        <f ca="1">$J$479-EFEITO!$K$479*EFEITO!$Y$479</f>
        <v>168.03411460316966</v>
      </c>
      <c r="N479" s="100">
        <f>$K$479-EFEITO!$M$479*EFEITO!$Z$479</f>
        <v>0</v>
      </c>
      <c r="O479" s="100">
        <f>$L$479-EFEITO!$O$479*EFEITO!$AA$479</f>
        <v>0</v>
      </c>
      <c r="P479" s="17"/>
      <c r="Q479" s="17"/>
      <c r="R479" s="17"/>
      <c r="S479" s="17"/>
      <c r="T479" s="17"/>
      <c r="U479" s="17"/>
      <c r="V479" s="17"/>
      <c r="W479" s="17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91" t="s">
        <v>21</v>
      </c>
      <c r="B480" s="91" t="s">
        <v>38</v>
      </c>
      <c r="C480" s="91" t="s">
        <v>40</v>
      </c>
      <c r="D480" s="91" t="s">
        <v>43</v>
      </c>
      <c r="E480" s="91" t="s">
        <v>25</v>
      </c>
      <c r="F480" s="91" t="s">
        <v>25</v>
      </c>
      <c r="G480" s="91" t="s">
        <v>25</v>
      </c>
      <c r="H480" s="91" t="s">
        <v>25</v>
      </c>
      <c r="I480" s="99">
        <v>44409</v>
      </c>
      <c r="J480" s="100">
        <f ca="1">EFEITO!$J$480*EFEITO!$Y$372</f>
        <v>8568.8282672864079</v>
      </c>
      <c r="K480" s="100">
        <f>EFEITO!$L$480*EFEITO!$Z$372</f>
        <v>0</v>
      </c>
      <c r="L480" s="100">
        <f>EFEITO!$N$480*EFEITO!$AA$372</f>
        <v>0</v>
      </c>
      <c r="M480" s="100">
        <f ca="1">$J$480-EFEITO!$K$480*EFEITO!$Y$480</f>
        <v>171.37656534572852</v>
      </c>
      <c r="N480" s="100">
        <f>$K$480-EFEITO!$M$480*EFEITO!$Z$480</f>
        <v>0</v>
      </c>
      <c r="O480" s="100">
        <f>$L$480-EFEITO!$O$480*EFEITO!$AA$480</f>
        <v>0</v>
      </c>
      <c r="P480" s="17"/>
      <c r="Q480" s="17"/>
      <c r="R480" s="17"/>
      <c r="S480" s="17"/>
      <c r="T480" s="17"/>
      <c r="U480" s="17"/>
      <c r="V480" s="17"/>
      <c r="W480" s="17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91" t="s">
        <v>21</v>
      </c>
      <c r="B481" s="91" t="s">
        <v>38</v>
      </c>
      <c r="C481" s="91" t="s">
        <v>40</v>
      </c>
      <c r="D481" s="91" t="s">
        <v>43</v>
      </c>
      <c r="E481" s="91" t="s">
        <v>25</v>
      </c>
      <c r="F481" s="91" t="s">
        <v>25</v>
      </c>
      <c r="G481" s="91" t="s">
        <v>25</v>
      </c>
      <c r="H481" s="91" t="s">
        <v>25</v>
      </c>
      <c r="I481" s="99">
        <v>44440</v>
      </c>
      <c r="J481" s="100">
        <f ca="1">EFEITO!$J$481*EFEITO!$Y$372</f>
        <v>8340.9338984755996</v>
      </c>
      <c r="K481" s="100">
        <f>EFEITO!$L$481*EFEITO!$Z$372</f>
        <v>0</v>
      </c>
      <c r="L481" s="100">
        <f>EFEITO!$N$481*EFEITO!$AA$372</f>
        <v>0</v>
      </c>
      <c r="M481" s="100">
        <f ca="1">$J$481-EFEITO!$K$481*EFEITO!$Y$481</f>
        <v>166.81867796951246</v>
      </c>
      <c r="N481" s="100">
        <f>$K$481-EFEITO!$M$481*EFEITO!$Z$481</f>
        <v>0</v>
      </c>
      <c r="O481" s="100">
        <f>$L$481-EFEITO!$O$481*EFEITO!$AA$481</f>
        <v>0</v>
      </c>
      <c r="P481" s="17"/>
      <c r="Q481" s="17"/>
      <c r="R481" s="17"/>
      <c r="S481" s="17"/>
      <c r="T481" s="17"/>
      <c r="U481" s="17"/>
      <c r="V481" s="17"/>
      <c r="W481" s="17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91" t="s">
        <v>21</v>
      </c>
      <c r="B482" s="91" t="s">
        <v>38</v>
      </c>
      <c r="C482" s="91" t="s">
        <v>40</v>
      </c>
      <c r="D482" s="91" t="s">
        <v>43</v>
      </c>
      <c r="E482" s="91" t="s">
        <v>25</v>
      </c>
      <c r="F482" s="91" t="s">
        <v>25</v>
      </c>
      <c r="G482" s="91" t="s">
        <v>25</v>
      </c>
      <c r="H482" s="91" t="s">
        <v>25</v>
      </c>
      <c r="I482" s="99">
        <v>44470</v>
      </c>
      <c r="J482" s="100">
        <f ca="1">EFEITO!$J$482*EFEITO!$Y$372</f>
        <v>8523.2493935242455</v>
      </c>
      <c r="K482" s="100">
        <f>EFEITO!$L$482*EFEITO!$Z$372</f>
        <v>0</v>
      </c>
      <c r="L482" s="100">
        <f>EFEITO!$N$482*EFEITO!$AA$372</f>
        <v>0</v>
      </c>
      <c r="M482" s="100">
        <f ca="1">$J$482-EFEITO!$K$482*EFEITO!$Y$482</f>
        <v>170.46498787048404</v>
      </c>
      <c r="N482" s="100">
        <f>$K$482-EFEITO!$M$482*EFEITO!$Z$482</f>
        <v>0</v>
      </c>
      <c r="O482" s="100">
        <f>$L$482-EFEITO!$O$482*EFEITO!$AA$482</f>
        <v>0</v>
      </c>
      <c r="P482" s="17"/>
      <c r="Q482" s="17"/>
      <c r="R482" s="17"/>
      <c r="S482" s="17"/>
      <c r="T482" s="17"/>
      <c r="U482" s="17"/>
      <c r="V482" s="17"/>
      <c r="W482" s="17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91" t="s">
        <v>21</v>
      </c>
      <c r="B483" s="91" t="s">
        <v>38</v>
      </c>
      <c r="C483" s="91" t="s">
        <v>40</v>
      </c>
      <c r="D483" s="91" t="s">
        <v>43</v>
      </c>
      <c r="E483" s="91" t="s">
        <v>25</v>
      </c>
      <c r="F483" s="91" t="s">
        <v>25</v>
      </c>
      <c r="G483" s="91" t="s">
        <v>25</v>
      </c>
      <c r="H483" s="91" t="s">
        <v>25</v>
      </c>
      <c r="I483" s="99">
        <v>44501</v>
      </c>
      <c r="J483" s="100">
        <f ca="1">EFEITO!$J$483*EFEITO!$Y$372</f>
        <v>9996.9663118341414</v>
      </c>
      <c r="K483" s="100">
        <f>EFEITO!$L$483*EFEITO!$Z$372</f>
        <v>0</v>
      </c>
      <c r="L483" s="100">
        <f>EFEITO!$N$483*EFEITO!$AA$372</f>
        <v>0</v>
      </c>
      <c r="M483" s="100">
        <f ca="1">$J$483-EFEITO!$K$483*EFEITO!$Y$483</f>
        <v>199.93932623668297</v>
      </c>
      <c r="N483" s="100">
        <f>$K$483-EFEITO!$M$483*EFEITO!$Z$483</f>
        <v>0</v>
      </c>
      <c r="O483" s="100">
        <f>$L$483-EFEITO!$O$483*EFEITO!$AA$483</f>
        <v>0</v>
      </c>
      <c r="P483" s="17"/>
      <c r="Q483" s="17"/>
      <c r="R483" s="17"/>
      <c r="S483" s="17"/>
      <c r="T483" s="17"/>
      <c r="U483" s="17"/>
      <c r="V483" s="17"/>
      <c r="W483" s="17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91" t="s">
        <v>21</v>
      </c>
      <c r="B484" s="91" t="s">
        <v>38</v>
      </c>
      <c r="C484" s="91" t="s">
        <v>40</v>
      </c>
      <c r="D484" s="91" t="s">
        <v>43</v>
      </c>
      <c r="E484" s="91" t="s">
        <v>25</v>
      </c>
      <c r="F484" s="91" t="s">
        <v>25</v>
      </c>
      <c r="G484" s="91" t="s">
        <v>25</v>
      </c>
      <c r="H484" s="91" t="s">
        <v>25</v>
      </c>
      <c r="I484" s="99">
        <v>44531</v>
      </c>
      <c r="J484" s="100">
        <f ca="1">EFEITO!$J$484*EFEITO!$Y$372</f>
        <v>8872.6874257008185</v>
      </c>
      <c r="K484" s="100">
        <f>EFEITO!$L$484*EFEITO!$Z$372</f>
        <v>0</v>
      </c>
      <c r="L484" s="100">
        <f>EFEITO!$N$484*EFEITO!$AA$372</f>
        <v>0</v>
      </c>
      <c r="M484" s="100">
        <f ca="1">$J$484-EFEITO!$K$484*EFEITO!$Y$484</f>
        <v>177.45374851401539</v>
      </c>
      <c r="N484" s="100">
        <f>$K$484-EFEITO!$M$484*EFEITO!$Z$484</f>
        <v>0</v>
      </c>
      <c r="O484" s="100">
        <f>$L$484-EFEITO!$O$484*EFEITO!$AA$484</f>
        <v>0</v>
      </c>
      <c r="P484" s="17"/>
      <c r="Q484" s="17"/>
      <c r="R484" s="17"/>
      <c r="S484" s="17"/>
      <c r="T484" s="17"/>
      <c r="U484" s="17"/>
      <c r="V484" s="17"/>
      <c r="W484" s="17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91" t="s">
        <v>21</v>
      </c>
      <c r="B485" s="91" t="s">
        <v>38</v>
      </c>
      <c r="C485" s="91" t="s">
        <v>40</v>
      </c>
      <c r="D485" s="91" t="s">
        <v>43</v>
      </c>
      <c r="E485" s="91" t="s">
        <v>25</v>
      </c>
      <c r="F485" s="91" t="s">
        <v>25</v>
      </c>
      <c r="G485" s="91" t="s">
        <v>25</v>
      </c>
      <c r="H485" s="91" t="s">
        <v>25</v>
      </c>
      <c r="I485" s="99">
        <v>44562</v>
      </c>
      <c r="J485" s="100">
        <f ca="1">EFEITO!$J$485*EFEITO!$Y$372</f>
        <v>8568.8282672864079</v>
      </c>
      <c r="K485" s="100">
        <f>EFEITO!$L$485*EFEITO!$Z$372</f>
        <v>0</v>
      </c>
      <c r="L485" s="100">
        <f>EFEITO!$N$485*EFEITO!$AA$372</f>
        <v>0</v>
      </c>
      <c r="M485" s="100">
        <f ca="1">$J$485-EFEITO!$K$485*EFEITO!$Y$485</f>
        <v>171.37656534572852</v>
      </c>
      <c r="N485" s="100">
        <f>$K$485-EFEITO!$M$485*EFEITO!$Z$485</f>
        <v>0</v>
      </c>
      <c r="O485" s="100">
        <f>$L$485-EFEITO!$O$485*EFEITO!$AA$485</f>
        <v>0</v>
      </c>
      <c r="P485" s="17"/>
      <c r="Q485" s="17"/>
      <c r="R485" s="17"/>
      <c r="S485" s="17"/>
      <c r="T485" s="17"/>
      <c r="U485" s="17"/>
      <c r="V485" s="17"/>
      <c r="W485" s="17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91" t="s">
        <v>27</v>
      </c>
      <c r="B486" s="91" t="s">
        <v>38</v>
      </c>
      <c r="C486" s="91" t="s">
        <v>40</v>
      </c>
      <c r="D486" s="91" t="s">
        <v>43</v>
      </c>
      <c r="E486" s="91" t="s">
        <v>25</v>
      </c>
      <c r="F486" s="91" t="s">
        <v>25</v>
      </c>
      <c r="G486" s="91" t="s">
        <v>25</v>
      </c>
      <c r="H486" s="91" t="s">
        <v>25</v>
      </c>
      <c r="I486" s="99">
        <v>44562</v>
      </c>
      <c r="J486" s="100">
        <f ca="1">EFEITO!$J$486*EFEITO!$Y$372</f>
        <v>15998.18469051877</v>
      </c>
      <c r="K486" s="100">
        <f>EFEITO!$L$486*EFEITO!$Z$372</f>
        <v>0</v>
      </c>
      <c r="L486" s="100">
        <f>EFEITO!$N$486*EFEITO!$AA$372</f>
        <v>0</v>
      </c>
      <c r="M486" s="100">
        <f ca="1">$J$486-EFEITO!$K$486*EFEITO!$Y$486</f>
        <v>319.96369381037402</v>
      </c>
      <c r="N486" s="100">
        <f>$K$486-EFEITO!$M$486*EFEITO!$Z$486</f>
        <v>0</v>
      </c>
      <c r="O486" s="100">
        <f>$L$486-EFEITO!$O$486*EFEITO!$AA$486</f>
        <v>0</v>
      </c>
      <c r="P486" s="17"/>
      <c r="Q486" s="17"/>
      <c r="R486" s="17"/>
      <c r="S486" s="17"/>
      <c r="T486" s="17"/>
      <c r="U486" s="17"/>
      <c r="V486" s="17"/>
      <c r="W486" s="17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91" t="s">
        <v>21</v>
      </c>
      <c r="B487" s="91" t="s">
        <v>38</v>
      </c>
      <c r="C487" s="91" t="s">
        <v>40</v>
      </c>
      <c r="D487" s="91" t="s">
        <v>43</v>
      </c>
      <c r="E487" s="91" t="s">
        <v>25</v>
      </c>
      <c r="F487" s="91" t="s">
        <v>25</v>
      </c>
      <c r="G487" s="91" t="s">
        <v>25</v>
      </c>
      <c r="H487" s="91" t="s">
        <v>25</v>
      </c>
      <c r="I487" s="99">
        <v>44593</v>
      </c>
      <c r="J487" s="100">
        <f ca="1">EFEITO!$J$487*EFEITO!$Y$372</f>
        <v>7003.9536014521873</v>
      </c>
      <c r="K487" s="100">
        <f>EFEITO!$L$487*EFEITO!$Z$372</f>
        <v>0</v>
      </c>
      <c r="L487" s="100">
        <f>EFEITO!$N$487*EFEITO!$AA$372</f>
        <v>0</v>
      </c>
      <c r="M487" s="100">
        <f ca="1">$J$487-EFEITO!$K$487*EFEITO!$Y$487</f>
        <v>140.07907202904335</v>
      </c>
      <c r="N487" s="100">
        <f>$K$487-EFEITO!$M$487*EFEITO!$Z$487</f>
        <v>0</v>
      </c>
      <c r="O487" s="100">
        <f>$L$487-EFEITO!$O$487*EFEITO!$AA$487</f>
        <v>0</v>
      </c>
      <c r="P487" s="17"/>
      <c r="Q487" s="17"/>
      <c r="R487" s="17"/>
      <c r="S487" s="17"/>
      <c r="T487" s="17"/>
      <c r="U487" s="17"/>
      <c r="V487" s="17"/>
      <c r="W487" s="17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91" t="s">
        <v>21</v>
      </c>
      <c r="B488" s="91" t="s">
        <v>38</v>
      </c>
      <c r="C488" s="91" t="s">
        <v>40</v>
      </c>
      <c r="D488" s="91" t="s">
        <v>43</v>
      </c>
      <c r="E488" s="91" t="s">
        <v>25</v>
      </c>
      <c r="F488" s="91" t="s">
        <v>25</v>
      </c>
      <c r="G488" s="91" t="s">
        <v>25</v>
      </c>
      <c r="H488" s="91" t="s">
        <v>25</v>
      </c>
      <c r="I488" s="99">
        <v>44621</v>
      </c>
      <c r="J488" s="100">
        <f ca="1">EFEITO!$J$488*EFEITO!$Y$372</f>
        <v>7991.4958662990257</v>
      </c>
      <c r="K488" s="100">
        <f>EFEITO!$L$488*EFEITO!$Z$372</f>
        <v>0</v>
      </c>
      <c r="L488" s="100">
        <f>EFEITO!$N$488*EFEITO!$AA$372</f>
        <v>0</v>
      </c>
      <c r="M488" s="100">
        <f ca="1">$J$488-EFEITO!$K$488*EFEITO!$Y$488</f>
        <v>159.82991732598111</v>
      </c>
      <c r="N488" s="100">
        <f>$K$488-EFEITO!$M$488*EFEITO!$Z$488</f>
        <v>0</v>
      </c>
      <c r="O488" s="100">
        <f>$L$488-EFEITO!$O$488*EFEITO!$AA$488</f>
        <v>0</v>
      </c>
      <c r="P488" s="17"/>
      <c r="Q488" s="17"/>
      <c r="R488" s="17"/>
      <c r="S488" s="17"/>
      <c r="T488" s="17"/>
      <c r="U488" s="17"/>
      <c r="V488" s="17"/>
      <c r="W488" s="17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91" t="s">
        <v>21</v>
      </c>
      <c r="B489" s="91" t="s">
        <v>38</v>
      </c>
      <c r="C489" s="91" t="s">
        <v>40</v>
      </c>
      <c r="D489" s="91" t="s">
        <v>43</v>
      </c>
      <c r="E489" s="91" t="s">
        <v>25</v>
      </c>
      <c r="F489" s="91" t="s">
        <v>25</v>
      </c>
      <c r="G489" s="91" t="s">
        <v>25</v>
      </c>
      <c r="H489" s="91" t="s">
        <v>25</v>
      </c>
      <c r="I489" s="99">
        <v>44652</v>
      </c>
      <c r="J489" s="100">
        <f ca="1">EFEITO!$J$489*EFEITO!$Y$372</f>
        <v>8416.8986880792017</v>
      </c>
      <c r="K489" s="100">
        <f>EFEITO!$L$489*EFEITO!$Z$372</f>
        <v>0</v>
      </c>
      <c r="L489" s="100">
        <f>EFEITO!$N$489*EFEITO!$AA$372</f>
        <v>0</v>
      </c>
      <c r="M489" s="100">
        <f ca="1">$J$489-EFEITO!$K$489*EFEITO!$Y$489</f>
        <v>168.33797376158327</v>
      </c>
      <c r="N489" s="100">
        <f>$K$489-EFEITO!$M$489*EFEITO!$Z$489</f>
        <v>0</v>
      </c>
      <c r="O489" s="100">
        <f>$L$489-EFEITO!$O$489*EFEITO!$AA$489</f>
        <v>0</v>
      </c>
      <c r="P489" s="17"/>
      <c r="Q489" s="17"/>
      <c r="R489" s="17"/>
      <c r="S489" s="17"/>
      <c r="T489" s="17"/>
      <c r="U489" s="17"/>
      <c r="V489" s="17"/>
      <c r="W489" s="17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91" t="s">
        <v>21</v>
      </c>
      <c r="B490" s="91" t="s">
        <v>38</v>
      </c>
      <c r="C490" s="91" t="s">
        <v>40</v>
      </c>
      <c r="D490" s="91" t="s">
        <v>43</v>
      </c>
      <c r="E490" s="91" t="s">
        <v>25</v>
      </c>
      <c r="F490" s="91" t="s">
        <v>25</v>
      </c>
      <c r="G490" s="91" t="s">
        <v>25</v>
      </c>
      <c r="H490" s="91" t="s">
        <v>25</v>
      </c>
      <c r="I490" s="99">
        <v>44682</v>
      </c>
      <c r="J490" s="100">
        <f ca="1">EFEITO!$J$490*EFEITO!$Y$372</f>
        <v>9100.5817945116269</v>
      </c>
      <c r="K490" s="100">
        <f>EFEITO!$L$490*EFEITO!$Z$372</f>
        <v>0</v>
      </c>
      <c r="L490" s="100">
        <f>EFEITO!$N$490*EFEITO!$AA$372</f>
        <v>0</v>
      </c>
      <c r="M490" s="100">
        <f ca="1">$J$490-EFEITO!$K$490*EFEITO!$Y$490</f>
        <v>182.01163589023236</v>
      </c>
      <c r="N490" s="100">
        <f>$K$490-EFEITO!$M$490*EFEITO!$Z$490</f>
        <v>0</v>
      </c>
      <c r="O490" s="100">
        <f>$L$490-EFEITO!$O$490*EFEITO!$AA$490</f>
        <v>0</v>
      </c>
      <c r="P490" s="17"/>
      <c r="Q490" s="17"/>
      <c r="R490" s="17"/>
      <c r="S490" s="17"/>
      <c r="T490" s="17"/>
      <c r="U490" s="17"/>
      <c r="V490" s="17"/>
      <c r="W490" s="17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91" t="s">
        <v>56</v>
      </c>
      <c r="B491" s="91" t="s">
        <v>38</v>
      </c>
      <c r="C491" s="91" t="s">
        <v>40</v>
      </c>
      <c r="D491" s="91" t="s">
        <v>43</v>
      </c>
      <c r="E491" s="91" t="s">
        <v>25</v>
      </c>
      <c r="F491" s="91" t="s">
        <v>25</v>
      </c>
      <c r="G491" s="91" t="s">
        <v>25</v>
      </c>
      <c r="H491" s="91" t="s">
        <v>25</v>
      </c>
      <c r="I491" s="99">
        <v>44713</v>
      </c>
      <c r="J491" s="100">
        <f ca="1">EFEITO!$J$491*EFEITO!$Y$372</f>
        <v>9100.5817945116269</v>
      </c>
      <c r="K491" s="100">
        <f>EFEITO!$L$491*EFEITO!$Z$372</f>
        <v>0</v>
      </c>
      <c r="L491" s="100">
        <f>EFEITO!$N$491*EFEITO!$AA$372</f>
        <v>0</v>
      </c>
      <c r="M491" s="100">
        <f ca="1">$J$491-EFEITO!$K$491*EFEITO!$Y$491</f>
        <v>182.01163589023236</v>
      </c>
      <c r="N491" s="100">
        <f>$K$491-EFEITO!$M$491*EFEITO!$Z$491</f>
        <v>0</v>
      </c>
      <c r="O491" s="100">
        <f>$L$491-EFEITO!$O$491*EFEITO!$AA$491</f>
        <v>0</v>
      </c>
      <c r="P491" s="17"/>
      <c r="Q491" s="17"/>
      <c r="R491" s="17"/>
      <c r="S491" s="17"/>
      <c r="T491" s="17"/>
      <c r="U491" s="17"/>
      <c r="V491" s="17"/>
      <c r="W491" s="17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91" t="s">
        <v>21</v>
      </c>
      <c r="B492" s="91" t="s">
        <v>38</v>
      </c>
      <c r="C492" s="91" t="s">
        <v>40</v>
      </c>
      <c r="D492" s="91" t="s">
        <v>43</v>
      </c>
      <c r="E492" s="91" t="s">
        <v>25</v>
      </c>
      <c r="F492" s="91" t="s">
        <v>25</v>
      </c>
      <c r="G492" s="91" t="s">
        <v>25</v>
      </c>
      <c r="H492" s="91" t="s">
        <v>33</v>
      </c>
      <c r="I492" s="99">
        <v>44378</v>
      </c>
      <c r="J492" s="100">
        <f>EFEITO!$J$492*EFEITO!$Y$384</f>
        <v>0</v>
      </c>
      <c r="K492" s="100">
        <f ca="1">EFEITO!$L$492*EFEITO!$Z$384</f>
        <v>5628.5787650959792</v>
      </c>
      <c r="L492" s="100">
        <f>EFEITO!$N$492*EFEITO!$AA$384</f>
        <v>1852.2536895359051</v>
      </c>
      <c r="M492" s="100">
        <f>$J$492-EFEITO!$K$492*EFEITO!$Y$492</f>
        <v>0</v>
      </c>
      <c r="N492" s="100">
        <f ca="1">$K$492-EFEITO!$M$492*EFEITO!$Z$492</f>
        <v>112.57157530191944</v>
      </c>
      <c r="O492" s="100">
        <f>$L$492-EFEITO!$O$492*EFEITO!$AA$492</f>
        <v>37.045073790718106</v>
      </c>
      <c r="P492" s="17"/>
      <c r="Q492" s="17"/>
      <c r="R492" s="17"/>
      <c r="S492" s="17"/>
      <c r="T492" s="17"/>
      <c r="U492" s="17"/>
      <c r="V492" s="17"/>
      <c r="W492" s="17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91" t="s">
        <v>21</v>
      </c>
      <c r="B493" s="91" t="s">
        <v>38</v>
      </c>
      <c r="C493" s="91" t="s">
        <v>40</v>
      </c>
      <c r="D493" s="91" t="s">
        <v>43</v>
      </c>
      <c r="E493" s="91" t="s">
        <v>25</v>
      </c>
      <c r="F493" s="91" t="s">
        <v>25</v>
      </c>
      <c r="G493" s="91" t="s">
        <v>25</v>
      </c>
      <c r="H493" s="91" t="s">
        <v>33</v>
      </c>
      <c r="I493" s="99">
        <v>44409</v>
      </c>
      <c r="J493" s="100">
        <f>EFEITO!$J$493*EFEITO!$Y$384</f>
        <v>0</v>
      </c>
      <c r="K493" s="100">
        <f ca="1">EFEITO!$L$493*EFEITO!$Z$384</f>
        <v>4882.972034235775</v>
      </c>
      <c r="L493" s="100">
        <f>EFEITO!$N$493*EFEITO!$AA$384</f>
        <v>1606.8892954649148</v>
      </c>
      <c r="M493" s="100">
        <f>$J$493-EFEITO!$K$493*EFEITO!$Y$493</f>
        <v>0</v>
      </c>
      <c r="N493" s="100">
        <f ca="1">$K$493-EFEITO!$M$493*EFEITO!$Z$493</f>
        <v>97.659440684715264</v>
      </c>
      <c r="O493" s="100">
        <f>$L$493-EFEITO!$O$493*EFEITO!$AA$493</f>
        <v>32.137785909298373</v>
      </c>
      <c r="P493" s="17"/>
      <c r="Q493" s="17"/>
      <c r="R493" s="17"/>
      <c r="S493" s="17"/>
      <c r="T493" s="17"/>
      <c r="U493" s="17"/>
      <c r="V493" s="17"/>
      <c r="W493" s="17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91" t="s">
        <v>21</v>
      </c>
      <c r="B494" s="91" t="s">
        <v>38</v>
      </c>
      <c r="C494" s="91" t="s">
        <v>40</v>
      </c>
      <c r="D494" s="91" t="s">
        <v>43</v>
      </c>
      <c r="E494" s="91" t="s">
        <v>25</v>
      </c>
      <c r="F494" s="91" t="s">
        <v>25</v>
      </c>
      <c r="G494" s="91" t="s">
        <v>25</v>
      </c>
      <c r="H494" s="91" t="s">
        <v>33</v>
      </c>
      <c r="I494" s="99">
        <v>44440</v>
      </c>
      <c r="J494" s="100">
        <f>EFEITO!$J$494*EFEITO!$Y$384</f>
        <v>0</v>
      </c>
      <c r="K494" s="100">
        <f ca="1">EFEITO!$L$494*EFEITO!$Z$384</f>
        <v>5129.0007681939687</v>
      </c>
      <c r="L494" s="100">
        <f>EFEITO!$N$494*EFEITO!$AA$384</f>
        <v>1687.8524744883396</v>
      </c>
      <c r="M494" s="100">
        <f>$J$494-EFEITO!$K$494*EFEITO!$Y$494</f>
        <v>0</v>
      </c>
      <c r="N494" s="100">
        <f ca="1">$K$494-EFEITO!$M$494*EFEITO!$Z$494</f>
        <v>102.58001536387837</v>
      </c>
      <c r="O494" s="100">
        <f>$L$494-EFEITO!$O$494*EFEITO!$AA$494</f>
        <v>33.757049489766814</v>
      </c>
      <c r="P494" s="17"/>
      <c r="Q494" s="17"/>
      <c r="R494" s="17"/>
      <c r="S494" s="17"/>
      <c r="T494" s="17"/>
      <c r="U494" s="17"/>
      <c r="V494" s="17"/>
      <c r="W494" s="17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91" t="s">
        <v>21</v>
      </c>
      <c r="B495" s="91" t="s">
        <v>38</v>
      </c>
      <c r="C495" s="91" t="s">
        <v>40</v>
      </c>
      <c r="D495" s="91" t="s">
        <v>43</v>
      </c>
      <c r="E495" s="91" t="s">
        <v>25</v>
      </c>
      <c r="F495" s="91" t="s">
        <v>25</v>
      </c>
      <c r="G495" s="91" t="s">
        <v>25</v>
      </c>
      <c r="H495" s="91" t="s">
        <v>33</v>
      </c>
      <c r="I495" s="99">
        <v>44470</v>
      </c>
      <c r="J495" s="100">
        <f>EFEITO!$J$495*EFEITO!$Y$384</f>
        <v>0</v>
      </c>
      <c r="K495" s="100">
        <f ca="1">EFEITO!$L$495*EFEITO!$Z$384</f>
        <v>8851.66261607669</v>
      </c>
      <c r="L495" s="100">
        <f>EFEITO!$N$495*EFEITO!$AA$384</f>
        <v>2912.90668984278</v>
      </c>
      <c r="M495" s="100">
        <f>$J$495-EFEITO!$K$495*EFEITO!$Y$495</f>
        <v>0</v>
      </c>
      <c r="N495" s="100">
        <f ca="1">$K$495-EFEITO!$M$495*EFEITO!$Z$495</f>
        <v>177.03325232153293</v>
      </c>
      <c r="O495" s="100">
        <f>$L$495-EFEITO!$O$495*EFEITO!$AA$495</f>
        <v>58.258133796855873</v>
      </c>
      <c r="P495" s="17"/>
      <c r="Q495" s="17"/>
      <c r="R495" s="17"/>
      <c r="S495" s="17"/>
      <c r="T495" s="17"/>
      <c r="U495" s="17"/>
      <c r="V495" s="17"/>
      <c r="W495" s="17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91" t="s">
        <v>21</v>
      </c>
      <c r="B496" s="91" t="s">
        <v>38</v>
      </c>
      <c r="C496" s="91" t="s">
        <v>40</v>
      </c>
      <c r="D496" s="91" t="s">
        <v>43</v>
      </c>
      <c r="E496" s="91" t="s">
        <v>25</v>
      </c>
      <c r="F496" s="91" t="s">
        <v>25</v>
      </c>
      <c r="G496" s="91" t="s">
        <v>25</v>
      </c>
      <c r="H496" s="91" t="s">
        <v>33</v>
      </c>
      <c r="I496" s="99">
        <v>44501</v>
      </c>
      <c r="J496" s="100">
        <f>EFEITO!$J$496*EFEITO!$Y$384</f>
        <v>0</v>
      </c>
      <c r="K496" s="100">
        <f ca="1">EFEITO!$L$496*EFEITO!$Z$384</f>
        <v>12187.554401841722</v>
      </c>
      <c r="L496" s="100">
        <f>EFEITO!$N$496*EFEITO!$AA$384</f>
        <v>4010.6825451603945</v>
      </c>
      <c r="M496" s="100">
        <f>$J$496-EFEITO!$K$496*EFEITO!$Y$496</f>
        <v>0</v>
      </c>
      <c r="N496" s="100">
        <f ca="1">$K$496-EFEITO!$M$496*EFEITO!$Z$496</f>
        <v>243.75108803683361</v>
      </c>
      <c r="O496" s="100">
        <f>$L$496-EFEITO!$O$496*EFEITO!$AA$496</f>
        <v>80.213650903207963</v>
      </c>
      <c r="P496" s="17"/>
      <c r="Q496" s="17"/>
      <c r="R496" s="17"/>
      <c r="S496" s="17"/>
      <c r="T496" s="17"/>
      <c r="U496" s="17"/>
      <c r="V496" s="17"/>
      <c r="W496" s="17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91" t="s">
        <v>21</v>
      </c>
      <c r="B497" s="91" t="s">
        <v>38</v>
      </c>
      <c r="C497" s="91" t="s">
        <v>40</v>
      </c>
      <c r="D497" s="91" t="s">
        <v>43</v>
      </c>
      <c r="E497" s="91" t="s">
        <v>25</v>
      </c>
      <c r="F497" s="91" t="s">
        <v>25</v>
      </c>
      <c r="G497" s="91" t="s">
        <v>25</v>
      </c>
      <c r="H497" s="91" t="s">
        <v>33</v>
      </c>
      <c r="I497" s="99">
        <v>44531</v>
      </c>
      <c r="J497" s="100">
        <f>EFEITO!$J$497*EFEITO!$Y$384</f>
        <v>0</v>
      </c>
      <c r="K497" s="100">
        <f ca="1">EFEITO!$L$497*EFEITO!$Z$384</f>
        <v>7898.7041574700588</v>
      </c>
      <c r="L497" s="100">
        <f>EFEITO!$N$497*EFEITO!$AA$384</f>
        <v>2599.306952752047</v>
      </c>
      <c r="M497" s="100">
        <f>$J$497-EFEITO!$K$497*EFEITO!$Y$497</f>
        <v>0</v>
      </c>
      <c r="N497" s="100">
        <f ca="1">$K$497-EFEITO!$M$497*EFEITO!$Z$497</f>
        <v>157.97408314940003</v>
      </c>
      <c r="O497" s="100">
        <f>$L$497-EFEITO!$O$497*EFEITO!$AA$497</f>
        <v>51.986139055040894</v>
      </c>
      <c r="P497" s="17"/>
      <c r="Q497" s="17"/>
      <c r="R497" s="17"/>
      <c r="S497" s="17"/>
      <c r="T497" s="17"/>
      <c r="U497" s="17"/>
      <c r="V497" s="17"/>
      <c r="W497" s="17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91" t="s">
        <v>21</v>
      </c>
      <c r="B498" s="91" t="s">
        <v>38</v>
      </c>
      <c r="C498" s="91" t="s">
        <v>40</v>
      </c>
      <c r="D498" s="91" t="s">
        <v>43</v>
      </c>
      <c r="E498" s="91" t="s">
        <v>25</v>
      </c>
      <c r="F498" s="91" t="s">
        <v>25</v>
      </c>
      <c r="G498" s="91" t="s">
        <v>25</v>
      </c>
      <c r="H498" s="91" t="s">
        <v>33</v>
      </c>
      <c r="I498" s="99">
        <v>44562</v>
      </c>
      <c r="J498" s="100">
        <f>EFEITO!$J$498*EFEITO!$Y$384</f>
        <v>0</v>
      </c>
      <c r="K498" s="100">
        <f ca="1">EFEITO!$L$498*EFEITO!$Z$384</f>
        <v>10180.647523964402</v>
      </c>
      <c r="L498" s="100">
        <f>EFEITO!$N$498*EFEITO!$AA$384</f>
        <v>3350.2492769693145</v>
      </c>
      <c r="M498" s="100">
        <f>$J$498-EFEITO!$K$498*EFEITO!$Y$498</f>
        <v>0</v>
      </c>
      <c r="N498" s="100">
        <f ca="1">$K$498-EFEITO!$M$498*EFEITO!$Z$498</f>
        <v>203.61295047928797</v>
      </c>
      <c r="O498" s="100">
        <f>$L$498-EFEITO!$O$498*EFEITO!$AA$498</f>
        <v>67.004985539386325</v>
      </c>
      <c r="P498" s="17"/>
      <c r="Q498" s="17"/>
      <c r="R498" s="17"/>
      <c r="S498" s="17"/>
      <c r="T498" s="17"/>
      <c r="U498" s="17"/>
      <c r="V498" s="17"/>
      <c r="W498" s="17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91" t="s">
        <v>27</v>
      </c>
      <c r="B499" s="91" t="s">
        <v>38</v>
      </c>
      <c r="C499" s="91" t="s">
        <v>40</v>
      </c>
      <c r="D499" s="91" t="s">
        <v>43</v>
      </c>
      <c r="E499" s="91" t="s">
        <v>25</v>
      </c>
      <c r="F499" s="91" t="s">
        <v>25</v>
      </c>
      <c r="G499" s="91" t="s">
        <v>25</v>
      </c>
      <c r="H499" s="91" t="s">
        <v>33</v>
      </c>
      <c r="I499" s="99">
        <v>44562</v>
      </c>
      <c r="J499" s="100">
        <f>EFEITO!$J$499*EFEITO!$Y$384</f>
        <v>0</v>
      </c>
      <c r="K499" s="100">
        <f ca="1">EFEITO!$L$499*EFEITO!$Z$384</f>
        <v>8688.3597009603327</v>
      </c>
      <c r="L499" s="100">
        <f>EFEITO!$N$499*EFEITO!$AA$384</f>
        <v>2859.1669378272313</v>
      </c>
      <c r="M499" s="100">
        <f>$J$499-EFEITO!$K$499*EFEITO!$Y$499</f>
        <v>0</v>
      </c>
      <c r="N499" s="100">
        <f ca="1">$K$499-EFEITO!$M$499*EFEITO!$Z$499</f>
        <v>173.76719401920673</v>
      </c>
      <c r="O499" s="100">
        <f>$L$499-EFEITO!$O$499*EFEITO!$AA$499</f>
        <v>57.183338756544799</v>
      </c>
      <c r="P499" s="17"/>
      <c r="Q499" s="17"/>
      <c r="R499" s="17"/>
      <c r="S499" s="17"/>
      <c r="T499" s="17"/>
      <c r="U499" s="17"/>
      <c r="V499" s="17"/>
      <c r="W499" s="17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91" t="s">
        <v>21</v>
      </c>
      <c r="B500" s="91" t="s">
        <v>38</v>
      </c>
      <c r="C500" s="91" t="s">
        <v>40</v>
      </c>
      <c r="D500" s="91" t="s">
        <v>43</v>
      </c>
      <c r="E500" s="91" t="s">
        <v>25</v>
      </c>
      <c r="F500" s="91" t="s">
        <v>25</v>
      </c>
      <c r="G500" s="91" t="s">
        <v>25</v>
      </c>
      <c r="H500" s="91" t="s">
        <v>33</v>
      </c>
      <c r="I500" s="99">
        <v>44593</v>
      </c>
      <c r="J500" s="100">
        <f>EFEITO!$J$500*EFEITO!$Y$384</f>
        <v>0</v>
      </c>
      <c r="K500" s="100">
        <f ca="1">EFEITO!$L$500*EFEITO!$Z$384</f>
        <v>6292.5340383980056</v>
      </c>
      <c r="L500" s="100">
        <f>EFEITO!$N$500*EFEITO!$AA$384</f>
        <v>2070.7482075991211</v>
      </c>
      <c r="M500" s="100">
        <f>$J$500-EFEITO!$K$500*EFEITO!$Y$500</f>
        <v>0</v>
      </c>
      <c r="N500" s="100">
        <f ca="1">$K$500-EFEITO!$M$500*EFEITO!$Z$500</f>
        <v>125.8506807679596</v>
      </c>
      <c r="O500" s="100">
        <f>$L$500-EFEITO!$O$500*EFEITO!$AA$500</f>
        <v>41.414964151982304</v>
      </c>
      <c r="P500" s="17"/>
      <c r="Q500" s="17"/>
      <c r="R500" s="17"/>
      <c r="S500" s="17"/>
      <c r="T500" s="17"/>
      <c r="U500" s="17"/>
      <c r="V500" s="17"/>
      <c r="W500" s="17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91" t="s">
        <v>21</v>
      </c>
      <c r="B501" s="91" t="s">
        <v>38</v>
      </c>
      <c r="C501" s="91" t="s">
        <v>40</v>
      </c>
      <c r="D501" s="91" t="s">
        <v>43</v>
      </c>
      <c r="E501" s="91" t="s">
        <v>25</v>
      </c>
      <c r="F501" s="91" t="s">
        <v>25</v>
      </c>
      <c r="G501" s="91" t="s">
        <v>25</v>
      </c>
      <c r="H501" s="91" t="s">
        <v>33</v>
      </c>
      <c r="I501" s="99">
        <v>44621</v>
      </c>
      <c r="J501" s="100">
        <f>EFEITO!$J$501*EFEITO!$Y$384</f>
        <v>0</v>
      </c>
      <c r="K501" s="100">
        <f ca="1">EFEITO!$L$501*EFEITO!$Z$384</f>
        <v>10314.942684421932</v>
      </c>
      <c r="L501" s="100">
        <f>EFEITO!$N$501*EFEITO!$AA$384</f>
        <v>3394.443151982101</v>
      </c>
      <c r="M501" s="100">
        <f>$J$501-EFEITO!$K$501*EFEITO!$Y$501</f>
        <v>0</v>
      </c>
      <c r="N501" s="100">
        <f ca="1">$K$501-EFEITO!$M$501*EFEITO!$Z$501</f>
        <v>206.29885368843861</v>
      </c>
      <c r="O501" s="100">
        <f>$L$501-EFEITO!$O$501*EFEITO!$AA$501</f>
        <v>67.888863039642274</v>
      </c>
      <c r="P501" s="17"/>
      <c r="Q501" s="17"/>
      <c r="R501" s="17"/>
      <c r="S501" s="17"/>
      <c r="T501" s="17"/>
      <c r="U501" s="17"/>
      <c r="V501" s="17"/>
      <c r="W501" s="17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91" t="s">
        <v>21</v>
      </c>
      <c r="B502" s="91" t="s">
        <v>38</v>
      </c>
      <c r="C502" s="91" t="s">
        <v>40</v>
      </c>
      <c r="D502" s="91" t="s">
        <v>43</v>
      </c>
      <c r="E502" s="91" t="s">
        <v>25</v>
      </c>
      <c r="F502" s="91" t="s">
        <v>25</v>
      </c>
      <c r="G502" s="91" t="s">
        <v>25</v>
      </c>
      <c r="H502" s="91" t="s">
        <v>33</v>
      </c>
      <c r="I502" s="99">
        <v>44652</v>
      </c>
      <c r="J502" s="100">
        <f>EFEITO!$J$502*EFEITO!$Y$384</f>
        <v>0</v>
      </c>
      <c r="K502" s="100">
        <f ca="1">EFEITO!$L$502*EFEITO!$Z$384</f>
        <v>15195.765996090386</v>
      </c>
      <c r="L502" s="100">
        <f>EFEITO!$N$502*EFEITO!$AA$384</f>
        <v>5000.6253454468106</v>
      </c>
      <c r="M502" s="100">
        <f>$J$502-EFEITO!$K$502*EFEITO!$Y$502</f>
        <v>0</v>
      </c>
      <c r="N502" s="100">
        <f ca="1">$K$502-EFEITO!$M$502*EFEITO!$Z$502</f>
        <v>303.91531992180717</v>
      </c>
      <c r="O502" s="100">
        <f>$L$502-EFEITO!$O$502*EFEITO!$AA$502</f>
        <v>100.0125069089363</v>
      </c>
      <c r="P502" s="17"/>
      <c r="Q502" s="17"/>
      <c r="R502" s="17"/>
      <c r="S502" s="17"/>
      <c r="T502" s="17"/>
      <c r="U502" s="17"/>
      <c r="V502" s="17"/>
      <c r="W502" s="17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91" t="s">
        <v>21</v>
      </c>
      <c r="B503" s="91" t="s">
        <v>38</v>
      </c>
      <c r="C503" s="91" t="s">
        <v>40</v>
      </c>
      <c r="D503" s="91" t="s">
        <v>43</v>
      </c>
      <c r="E503" s="91" t="s">
        <v>25</v>
      </c>
      <c r="F503" s="91" t="s">
        <v>25</v>
      </c>
      <c r="G503" s="91" t="s">
        <v>25</v>
      </c>
      <c r="H503" s="91" t="s">
        <v>33</v>
      </c>
      <c r="I503" s="99">
        <v>44682</v>
      </c>
      <c r="J503" s="100">
        <f>EFEITO!$J$503*EFEITO!$Y$384</f>
        <v>0</v>
      </c>
      <c r="K503" s="100">
        <f ca="1">EFEITO!$L$503*EFEITO!$Z$384</f>
        <v>11536.491463943619</v>
      </c>
      <c r="L503" s="100">
        <f>EFEITO!$N$503*EFEITO!$AA$384</f>
        <v>3796.4306390984057</v>
      </c>
      <c r="M503" s="100">
        <f>$J$503-EFEITO!$K$503*EFEITO!$Y$503</f>
        <v>0</v>
      </c>
      <c r="N503" s="100">
        <f ca="1">$K$503-EFEITO!$M$503*EFEITO!$Z$503</f>
        <v>230.72982927887097</v>
      </c>
      <c r="O503" s="100">
        <f>$L$503-EFEITO!$O$503*EFEITO!$AA$503</f>
        <v>75.928612781967786</v>
      </c>
      <c r="P503" s="17"/>
      <c r="Q503" s="17"/>
      <c r="R503" s="17"/>
      <c r="S503" s="17"/>
      <c r="T503" s="17"/>
      <c r="U503" s="17"/>
      <c r="V503" s="17"/>
      <c r="W503" s="17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91" t="s">
        <v>56</v>
      </c>
      <c r="B504" s="91" t="s">
        <v>38</v>
      </c>
      <c r="C504" s="91" t="s">
        <v>40</v>
      </c>
      <c r="D504" s="91" t="s">
        <v>43</v>
      </c>
      <c r="E504" s="91" t="s">
        <v>25</v>
      </c>
      <c r="F504" s="91" t="s">
        <v>25</v>
      </c>
      <c r="G504" s="91" t="s">
        <v>25</v>
      </c>
      <c r="H504" s="91" t="s">
        <v>33</v>
      </c>
      <c r="I504" s="99">
        <v>44713</v>
      </c>
      <c r="J504" s="100">
        <f>EFEITO!$J$504*EFEITO!$Y$384</f>
        <v>0</v>
      </c>
      <c r="K504" s="100">
        <f ca="1">EFEITO!$L$504*EFEITO!$Z$384</f>
        <v>11536.491463943619</v>
      </c>
      <c r="L504" s="100">
        <f>EFEITO!$N$504*EFEITO!$AA$384</f>
        <v>3796.4306390984057</v>
      </c>
      <c r="M504" s="100">
        <f>$J$504-EFEITO!$K$504*EFEITO!$Y$504</f>
        <v>0</v>
      </c>
      <c r="N504" s="100">
        <f ca="1">$K$504-EFEITO!$M$504*EFEITO!$Z$504</f>
        <v>230.72982927887097</v>
      </c>
      <c r="O504" s="100">
        <f>$L$504-EFEITO!$O$504*EFEITO!$AA$504</f>
        <v>75.928612781967786</v>
      </c>
      <c r="P504" s="17"/>
      <c r="Q504" s="17"/>
      <c r="R504" s="17"/>
      <c r="S504" s="17"/>
      <c r="T504" s="17"/>
      <c r="U504" s="17"/>
      <c r="V504" s="17"/>
      <c r="W504" s="17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91" t="s">
        <v>21</v>
      </c>
      <c r="B505" s="91" t="s">
        <v>22</v>
      </c>
      <c r="C505" s="91" t="s">
        <v>32</v>
      </c>
      <c r="D505" s="91" t="s">
        <v>24</v>
      </c>
      <c r="E505" s="91" t="s">
        <v>24</v>
      </c>
      <c r="F505" s="91" t="s">
        <v>25</v>
      </c>
      <c r="G505" s="91" t="s">
        <v>25</v>
      </c>
      <c r="H505" s="91" t="s">
        <v>34</v>
      </c>
      <c r="I505" s="99">
        <v>44378</v>
      </c>
      <c r="J505" s="100">
        <f>EFEITO!$J$505*EFEITO!$Y$505</f>
        <v>0</v>
      </c>
      <c r="K505" s="100">
        <f ca="1">EFEITO!$L$505*EFEITO!$Z$505</f>
        <v>234.54823444973255</v>
      </c>
      <c r="L505" s="100">
        <f>EFEITO!$N$505*EFEITO!$AA$505</f>
        <v>259.11570486103187</v>
      </c>
      <c r="M505" s="100">
        <f>$J$505-EFEITO!$K$505*EFEITO!$Y$505</f>
        <v>0</v>
      </c>
      <c r="N505" s="100">
        <f ca="1">$K$505-EFEITO!$M$505*EFEITO!$Z$505</f>
        <v>0</v>
      </c>
      <c r="O505" s="100">
        <f>$L$505-EFEITO!$O$505*EFEITO!$AA$505</f>
        <v>0</v>
      </c>
      <c r="P505" s="17"/>
      <c r="Q505" s="17"/>
      <c r="R505" s="17"/>
      <c r="S505" s="17"/>
      <c r="T505" s="17"/>
      <c r="U505" s="17"/>
      <c r="V505" s="17"/>
      <c r="W505" s="17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91" t="s">
        <v>21</v>
      </c>
      <c r="B506" s="91" t="s">
        <v>22</v>
      </c>
      <c r="C506" s="91" t="s">
        <v>32</v>
      </c>
      <c r="D506" s="91" t="s">
        <v>24</v>
      </c>
      <c r="E506" s="91" t="s">
        <v>24</v>
      </c>
      <c r="F506" s="91" t="s">
        <v>25</v>
      </c>
      <c r="G506" s="91" t="s">
        <v>25</v>
      </c>
      <c r="H506" s="91" t="s">
        <v>34</v>
      </c>
      <c r="I506" s="99">
        <v>44409</v>
      </c>
      <c r="J506" s="100">
        <f>EFEITO!$J$506*EFEITO!$Y$506</f>
        <v>0</v>
      </c>
      <c r="K506" s="100">
        <f ca="1">EFEITO!$L$506*EFEITO!$Z$506</f>
        <v>483.59436992811072</v>
      </c>
      <c r="L506" s="100">
        <f>EFEITO!$N$506*EFEITO!$AA$506</f>
        <v>534.24787581423595</v>
      </c>
      <c r="M506" s="100">
        <f>$J$506-EFEITO!$K$506*EFEITO!$Y$506</f>
        <v>0</v>
      </c>
      <c r="N506" s="100">
        <f ca="1">$K$506-EFEITO!$M$506*EFEITO!$Z$506</f>
        <v>0</v>
      </c>
      <c r="O506" s="100">
        <f>$L$506-EFEITO!$O$506*EFEITO!$AA$506</f>
        <v>0</v>
      </c>
      <c r="P506" s="17"/>
      <c r="Q506" s="17"/>
      <c r="R506" s="17"/>
      <c r="S506" s="17"/>
      <c r="T506" s="17"/>
      <c r="U506" s="17"/>
      <c r="V506" s="17"/>
      <c r="W506" s="17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91" t="s">
        <v>21</v>
      </c>
      <c r="B507" s="91" t="s">
        <v>22</v>
      </c>
      <c r="C507" s="91" t="s">
        <v>32</v>
      </c>
      <c r="D507" s="91" t="s">
        <v>24</v>
      </c>
      <c r="E507" s="91" t="s">
        <v>24</v>
      </c>
      <c r="F507" s="91" t="s">
        <v>25</v>
      </c>
      <c r="G507" s="91" t="s">
        <v>25</v>
      </c>
      <c r="H507" s="91" t="s">
        <v>34</v>
      </c>
      <c r="I507" s="99">
        <v>44440</v>
      </c>
      <c r="J507" s="100">
        <f>EFEITO!$J$507*EFEITO!$Y$507</f>
        <v>0</v>
      </c>
      <c r="K507" s="100">
        <f ca="1">EFEITO!$L$507*EFEITO!$Z$507</f>
        <v>142.79439506296163</v>
      </c>
      <c r="L507" s="100">
        <f>EFEITO!$N$507*EFEITO!$AA$507</f>
        <v>157.7512208256409</v>
      </c>
      <c r="M507" s="100">
        <f>$J$507-EFEITO!$K$507*EFEITO!$Y$507</f>
        <v>0</v>
      </c>
      <c r="N507" s="100">
        <f ca="1">$K$507-EFEITO!$M$507*EFEITO!$Z$507</f>
        <v>0</v>
      </c>
      <c r="O507" s="100">
        <f>$L$507-EFEITO!$O$507*EFEITO!$AA$507</f>
        <v>0</v>
      </c>
      <c r="P507" s="17"/>
      <c r="Q507" s="17"/>
      <c r="R507" s="17"/>
      <c r="S507" s="17"/>
      <c r="T507" s="17"/>
      <c r="U507" s="17"/>
      <c r="V507" s="17"/>
      <c r="W507" s="17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91" t="s">
        <v>21</v>
      </c>
      <c r="B508" s="91" t="s">
        <v>22</v>
      </c>
      <c r="C508" s="91" t="s">
        <v>32</v>
      </c>
      <c r="D508" s="91" t="s">
        <v>24</v>
      </c>
      <c r="E508" s="91" t="s">
        <v>24</v>
      </c>
      <c r="F508" s="91" t="s">
        <v>25</v>
      </c>
      <c r="G508" s="91" t="s">
        <v>25</v>
      </c>
      <c r="H508" s="91" t="s">
        <v>34</v>
      </c>
      <c r="I508" s="99">
        <v>44470</v>
      </c>
      <c r="J508" s="100">
        <f>EFEITO!$J$508*EFEITO!$Y$508</f>
        <v>0</v>
      </c>
      <c r="K508" s="100">
        <f ca="1">EFEITO!$L$508*EFEITO!$Z$508</f>
        <v>150.73845042112362</v>
      </c>
      <c r="L508" s="100">
        <f>EFEITO!$N$508*EFEITO!$AA$508</f>
        <v>166.52736662957088</v>
      </c>
      <c r="M508" s="100">
        <f>$J$508-EFEITO!$K$508*EFEITO!$Y$508</f>
        <v>0</v>
      </c>
      <c r="N508" s="100">
        <f ca="1">$K$508-EFEITO!$M$508*EFEITO!$Z$508</f>
        <v>0</v>
      </c>
      <c r="O508" s="100">
        <f>$L$508-EFEITO!$O$508*EFEITO!$AA$508</f>
        <v>0</v>
      </c>
      <c r="P508" s="17"/>
      <c r="Q508" s="17"/>
      <c r="R508" s="17"/>
      <c r="S508" s="17"/>
      <c r="T508" s="17"/>
      <c r="U508" s="17"/>
      <c r="V508" s="17"/>
      <c r="W508" s="17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91" t="s">
        <v>21</v>
      </c>
      <c r="B509" s="91" t="s">
        <v>22</v>
      </c>
      <c r="C509" s="91" t="s">
        <v>32</v>
      </c>
      <c r="D509" s="91" t="s">
        <v>24</v>
      </c>
      <c r="E509" s="91" t="s">
        <v>24</v>
      </c>
      <c r="F509" s="91" t="s">
        <v>25</v>
      </c>
      <c r="G509" s="91" t="s">
        <v>25</v>
      </c>
      <c r="H509" s="91" t="s">
        <v>34</v>
      </c>
      <c r="I509" s="99">
        <v>44501</v>
      </c>
      <c r="J509" s="100">
        <f>EFEITO!$J$509*EFEITO!$Y$509</f>
        <v>0</v>
      </c>
      <c r="K509" s="100">
        <f ca="1">EFEITO!$L$509*EFEITO!$Z$509</f>
        <v>181.72026631795535</v>
      </c>
      <c r="L509" s="100">
        <f>EFEITO!$N$509*EFEITO!$AA$509</f>
        <v>200.75433526489769</v>
      </c>
      <c r="M509" s="100">
        <f>$J$509-EFEITO!$K$509*EFEITO!$Y$509</f>
        <v>0</v>
      </c>
      <c r="N509" s="100">
        <f ca="1">$K$509-EFEITO!$M$509*EFEITO!$Z$509</f>
        <v>0</v>
      </c>
      <c r="O509" s="100">
        <f>$L$509-EFEITO!$O$509*EFEITO!$AA$509</f>
        <v>0</v>
      </c>
      <c r="P509" s="17"/>
      <c r="Q509" s="17"/>
      <c r="R509" s="17"/>
      <c r="S509" s="17"/>
      <c r="T509" s="17"/>
      <c r="U509" s="17"/>
      <c r="V509" s="17"/>
      <c r="W509" s="17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91" t="s">
        <v>21</v>
      </c>
      <c r="B510" s="91" t="s">
        <v>22</v>
      </c>
      <c r="C510" s="91" t="s">
        <v>32</v>
      </c>
      <c r="D510" s="91" t="s">
        <v>24</v>
      </c>
      <c r="E510" s="91" t="s">
        <v>24</v>
      </c>
      <c r="F510" s="91" t="s">
        <v>25</v>
      </c>
      <c r="G510" s="91" t="s">
        <v>25</v>
      </c>
      <c r="H510" s="91" t="s">
        <v>34</v>
      </c>
      <c r="I510" s="99">
        <v>44531</v>
      </c>
      <c r="J510" s="100">
        <f>EFEITO!$J$510*EFEITO!$Y$510</f>
        <v>0</v>
      </c>
      <c r="K510" s="100">
        <f ca="1">EFEITO!$L$510*EFEITO!$Z$510</f>
        <v>200.58739779359007</v>
      </c>
      <c r="L510" s="100">
        <f>EFEITO!$N$510*EFEITO!$AA$510</f>
        <v>221.59768154923131</v>
      </c>
      <c r="M510" s="100">
        <f>$J$510-EFEITO!$K$510*EFEITO!$Y$510</f>
        <v>0</v>
      </c>
      <c r="N510" s="100">
        <f ca="1">$K$510-EFEITO!$M$510*EFEITO!$Z$510</f>
        <v>0</v>
      </c>
      <c r="O510" s="100">
        <f>$L$510-EFEITO!$O$510*EFEITO!$AA$510</f>
        <v>0</v>
      </c>
      <c r="P510" s="17"/>
      <c r="Q510" s="17"/>
      <c r="R510" s="17"/>
      <c r="S510" s="17"/>
      <c r="T510" s="17"/>
      <c r="U510" s="17"/>
      <c r="V510" s="17"/>
      <c r="W510" s="17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91" t="s">
        <v>21</v>
      </c>
      <c r="B511" s="91" t="s">
        <v>22</v>
      </c>
      <c r="C511" s="91" t="s">
        <v>32</v>
      </c>
      <c r="D511" s="91" t="s">
        <v>24</v>
      </c>
      <c r="E511" s="91" t="s">
        <v>24</v>
      </c>
      <c r="F511" s="91" t="s">
        <v>25</v>
      </c>
      <c r="G511" s="91" t="s">
        <v>25</v>
      </c>
      <c r="H511" s="91" t="s">
        <v>34</v>
      </c>
      <c r="I511" s="99">
        <v>44562</v>
      </c>
      <c r="J511" s="100">
        <f>EFEITO!$J$511*EFEITO!$Y$511</f>
        <v>0</v>
      </c>
      <c r="K511" s="100">
        <f ca="1">EFEITO!$L$511*EFEITO!$Z$511</f>
        <v>279.23354583939368</v>
      </c>
      <c r="L511" s="100">
        <f>EFEITO!$N$511*EFEITO!$AA$511</f>
        <v>308.48152500813785</v>
      </c>
      <c r="M511" s="100">
        <f>$J$511-EFEITO!$K$511*EFEITO!$Y$511</f>
        <v>0</v>
      </c>
      <c r="N511" s="100">
        <f ca="1">$K$511-EFEITO!$M$511*EFEITO!$Z$511</f>
        <v>0</v>
      </c>
      <c r="O511" s="100">
        <f>$L$511-EFEITO!$O$511*EFEITO!$AA$511</f>
        <v>0</v>
      </c>
      <c r="P511" s="17"/>
      <c r="Q511" s="17"/>
      <c r="R511" s="17"/>
      <c r="S511" s="17"/>
      <c r="T511" s="17"/>
      <c r="U511" s="17"/>
      <c r="V511" s="17"/>
      <c r="W511" s="17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91" t="s">
        <v>21</v>
      </c>
      <c r="B512" s="91" t="s">
        <v>22</v>
      </c>
      <c r="C512" s="91" t="s">
        <v>32</v>
      </c>
      <c r="D512" s="91" t="s">
        <v>24</v>
      </c>
      <c r="E512" s="91" t="s">
        <v>24</v>
      </c>
      <c r="F512" s="91" t="s">
        <v>25</v>
      </c>
      <c r="G512" s="91" t="s">
        <v>25</v>
      </c>
      <c r="H512" s="91" t="s">
        <v>34</v>
      </c>
      <c r="I512" s="99">
        <v>44593</v>
      </c>
      <c r="J512" s="100">
        <f>EFEITO!$J$512*EFEITO!$Y$512</f>
        <v>0</v>
      </c>
      <c r="K512" s="100">
        <f ca="1">EFEITO!$L$512*EFEITO!$Z$512</f>
        <v>60.970624873893215</v>
      </c>
      <c r="L512" s="100">
        <f>EFEITO!$N$512*EFEITO!$AA$512</f>
        <v>67.356919045162385</v>
      </c>
      <c r="M512" s="100">
        <f>$J$512-EFEITO!$K$512*EFEITO!$Y$512</f>
        <v>0</v>
      </c>
      <c r="N512" s="100">
        <f ca="1">$K$512-EFEITO!$M$512*EFEITO!$Z$512</f>
        <v>0</v>
      </c>
      <c r="O512" s="100">
        <f>$L$512-EFEITO!$O$512*EFEITO!$AA$512</f>
        <v>0</v>
      </c>
      <c r="P512" s="17"/>
      <c r="Q512" s="17"/>
      <c r="R512" s="17"/>
      <c r="S512" s="17"/>
      <c r="T512" s="17"/>
      <c r="U512" s="17"/>
      <c r="V512" s="17"/>
      <c r="W512" s="17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91" t="s">
        <v>21</v>
      </c>
      <c r="B513" s="91" t="s">
        <v>22</v>
      </c>
      <c r="C513" s="91" t="s">
        <v>32</v>
      </c>
      <c r="D513" s="91" t="s">
        <v>24</v>
      </c>
      <c r="E513" s="91" t="s">
        <v>24</v>
      </c>
      <c r="F513" s="91" t="s">
        <v>25</v>
      </c>
      <c r="G513" s="91" t="s">
        <v>25</v>
      </c>
      <c r="H513" s="91" t="s">
        <v>34</v>
      </c>
      <c r="I513" s="99">
        <v>44621</v>
      </c>
      <c r="J513" s="100">
        <f>EFEITO!$J$513*EFEITO!$Y$513</f>
        <v>0</v>
      </c>
      <c r="K513" s="100">
        <f ca="1">EFEITO!$L$513*EFEITO!$Z$513</f>
        <v>183.70628015749585</v>
      </c>
      <c r="L513" s="100">
        <f>EFEITO!$N$513*EFEITO!$AA$513</f>
        <v>202.94837171588017</v>
      </c>
      <c r="M513" s="100">
        <f>$J$513-EFEITO!$K$513*EFEITO!$Y$513</f>
        <v>0</v>
      </c>
      <c r="N513" s="100">
        <f ca="1">$K$513-EFEITO!$M$513*EFEITO!$Z$513</f>
        <v>0</v>
      </c>
      <c r="O513" s="100">
        <f>$L$513-EFEITO!$O$513*EFEITO!$AA$513</f>
        <v>0</v>
      </c>
      <c r="P513" s="17"/>
      <c r="Q513" s="17"/>
      <c r="R513" s="17"/>
      <c r="S513" s="17"/>
      <c r="T513" s="17"/>
      <c r="U513" s="17"/>
      <c r="V513" s="17"/>
      <c r="W513" s="17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91" t="s">
        <v>21</v>
      </c>
      <c r="B514" s="91" t="s">
        <v>22</v>
      </c>
      <c r="C514" s="91" t="s">
        <v>32</v>
      </c>
      <c r="D514" s="91" t="s">
        <v>24</v>
      </c>
      <c r="E514" s="91" t="s">
        <v>24</v>
      </c>
      <c r="F514" s="91" t="s">
        <v>25</v>
      </c>
      <c r="G514" s="91" t="s">
        <v>25</v>
      </c>
      <c r="H514" s="91" t="s">
        <v>34</v>
      </c>
      <c r="I514" s="99">
        <v>44652</v>
      </c>
      <c r="J514" s="100">
        <f>EFEITO!$J$514*EFEITO!$Y$514</f>
        <v>0</v>
      </c>
      <c r="K514" s="100">
        <f ca="1">EFEITO!$L$514*EFEITO!$Z$514</f>
        <v>138.82236738388065</v>
      </c>
      <c r="L514" s="100">
        <f>EFEITO!$N$514*EFEITO!$AA$514</f>
        <v>153.36314792367591</v>
      </c>
      <c r="M514" s="100">
        <f>$J$514-EFEITO!$K$514*EFEITO!$Y$514</f>
        <v>0</v>
      </c>
      <c r="N514" s="100">
        <f ca="1">$K$514-EFEITO!$M$514*EFEITO!$Z$514</f>
        <v>0</v>
      </c>
      <c r="O514" s="100">
        <f>$L$514-EFEITO!$O$514*EFEITO!$AA$514</f>
        <v>0</v>
      </c>
      <c r="P514" s="17"/>
      <c r="Q514" s="17"/>
      <c r="R514" s="17"/>
      <c r="S514" s="17"/>
      <c r="T514" s="17"/>
      <c r="U514" s="17"/>
      <c r="V514" s="17"/>
      <c r="W514" s="17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91" t="s">
        <v>21</v>
      </c>
      <c r="B515" s="91" t="s">
        <v>22</v>
      </c>
      <c r="C515" s="91" t="s">
        <v>32</v>
      </c>
      <c r="D515" s="91" t="s">
        <v>24</v>
      </c>
      <c r="E515" s="91" t="s">
        <v>24</v>
      </c>
      <c r="F515" s="91" t="s">
        <v>25</v>
      </c>
      <c r="G515" s="91" t="s">
        <v>25</v>
      </c>
      <c r="H515" s="91" t="s">
        <v>34</v>
      </c>
      <c r="I515" s="99">
        <v>44682</v>
      </c>
      <c r="J515" s="100">
        <f>EFEITO!$J$515*EFEITO!$Y$515</f>
        <v>0</v>
      </c>
      <c r="K515" s="100">
        <f ca="1">EFEITO!$L$515*EFEITO!$Z$515</f>
        <v>150.14264626926146</v>
      </c>
      <c r="L515" s="100">
        <f>EFEITO!$N$515*EFEITO!$AA$515</f>
        <v>165.86915569427612</v>
      </c>
      <c r="M515" s="100">
        <f>$J$515-EFEITO!$K$515*EFEITO!$Y$515</f>
        <v>0</v>
      </c>
      <c r="N515" s="100">
        <f ca="1">$K$515-EFEITO!$M$515*EFEITO!$Z$515</f>
        <v>0</v>
      </c>
      <c r="O515" s="100">
        <f>$L$515-EFEITO!$O$515*EFEITO!$AA$515</f>
        <v>0</v>
      </c>
      <c r="P515" s="17"/>
      <c r="Q515" s="17"/>
      <c r="R515" s="17"/>
      <c r="S515" s="17"/>
      <c r="T515" s="17"/>
      <c r="U515" s="17"/>
      <c r="V515" s="17"/>
      <c r="W515" s="17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91" t="s">
        <v>56</v>
      </c>
      <c r="B516" s="91" t="s">
        <v>22</v>
      </c>
      <c r="C516" s="91" t="s">
        <v>32</v>
      </c>
      <c r="D516" s="91" t="s">
        <v>24</v>
      </c>
      <c r="E516" s="91" t="s">
        <v>24</v>
      </c>
      <c r="F516" s="91" t="s">
        <v>25</v>
      </c>
      <c r="G516" s="91" t="s">
        <v>25</v>
      </c>
      <c r="H516" s="91" t="s">
        <v>34</v>
      </c>
      <c r="I516" s="99">
        <v>44713</v>
      </c>
      <c r="J516" s="100">
        <f>EFEITO!$J$516*EFEITO!$Y$516</f>
        <v>0</v>
      </c>
      <c r="K516" s="100">
        <f ca="1">EFEITO!$L$516*EFEITO!$Z$516</f>
        <v>150.14264626926146</v>
      </c>
      <c r="L516" s="100">
        <f>EFEITO!$N$516*EFEITO!$AA$516</f>
        <v>165.86915569427612</v>
      </c>
      <c r="M516" s="100">
        <f>$J$516-EFEITO!$K$516*EFEITO!$Y$516</f>
        <v>0</v>
      </c>
      <c r="N516" s="100">
        <f ca="1">$K$516-EFEITO!$M$516*EFEITO!$Z$516</f>
        <v>0</v>
      </c>
      <c r="O516" s="100">
        <f>$L$516-EFEITO!$O$516*EFEITO!$AA$516</f>
        <v>0</v>
      </c>
      <c r="P516" s="17"/>
      <c r="Q516" s="17"/>
      <c r="R516" s="17"/>
      <c r="S516" s="17"/>
      <c r="T516" s="17"/>
      <c r="U516" s="17"/>
      <c r="V516" s="17"/>
      <c r="W516" s="17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91" t="s">
        <v>21</v>
      </c>
      <c r="B517" s="91" t="s">
        <v>22</v>
      </c>
      <c r="C517" s="91" t="s">
        <v>32</v>
      </c>
      <c r="D517" s="91" t="s">
        <v>24</v>
      </c>
      <c r="E517" s="91" t="s">
        <v>24</v>
      </c>
      <c r="F517" s="91" t="s">
        <v>25</v>
      </c>
      <c r="G517" s="91" t="s">
        <v>25</v>
      </c>
      <c r="H517" s="91" t="s">
        <v>35</v>
      </c>
      <c r="I517" s="99">
        <v>44378</v>
      </c>
      <c r="J517" s="100">
        <f>EFEITO!$J$517*EFEITO!$Y$517</f>
        <v>0</v>
      </c>
      <c r="K517" s="100">
        <f ca="1">EFEITO!$L$517*EFEITO!$Z$517</f>
        <v>15.82719044500352</v>
      </c>
      <c r="L517" s="100">
        <f>EFEITO!$N$517*EFEITO!$AA$517</f>
        <v>7.0209166431439627</v>
      </c>
      <c r="M517" s="100">
        <f>$J$517-EFEITO!$K$517*EFEITO!$Y$517</f>
        <v>0</v>
      </c>
      <c r="N517" s="100">
        <f ca="1">$K$517-EFEITO!$M$517*EFEITO!$Z$517</f>
        <v>0</v>
      </c>
      <c r="O517" s="100">
        <f>$L$517-EFEITO!$O$517*EFEITO!$AA$517</f>
        <v>0</v>
      </c>
      <c r="P517" s="17"/>
      <c r="Q517" s="17"/>
      <c r="R517" s="17"/>
      <c r="S517" s="17"/>
      <c r="T517" s="17"/>
      <c r="U517" s="17"/>
      <c r="V517" s="17"/>
      <c r="W517" s="17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91" t="s">
        <v>21</v>
      </c>
      <c r="B518" s="91" t="s">
        <v>22</v>
      </c>
      <c r="C518" s="91" t="s">
        <v>32</v>
      </c>
      <c r="D518" s="91" t="s">
        <v>24</v>
      </c>
      <c r="E518" s="91" t="s">
        <v>24</v>
      </c>
      <c r="F518" s="91" t="s">
        <v>25</v>
      </c>
      <c r="G518" s="91" t="s">
        <v>25</v>
      </c>
      <c r="H518" s="91" t="s">
        <v>35</v>
      </c>
      <c r="I518" s="99">
        <v>44409</v>
      </c>
      <c r="J518" s="100">
        <f>EFEITO!$J$518*EFEITO!$Y$518</f>
        <v>0</v>
      </c>
      <c r="K518" s="100">
        <f ca="1">EFEITO!$L$518*EFEITO!$Z$518</f>
        <v>16.321790146409882</v>
      </c>
      <c r="L518" s="100">
        <f>EFEITO!$N$518*EFEITO!$AA$518</f>
        <v>7.240320288242212</v>
      </c>
      <c r="M518" s="100">
        <f>$J$518-EFEITO!$K$518*EFEITO!$Y$518</f>
        <v>0</v>
      </c>
      <c r="N518" s="100">
        <f ca="1">$K$518-EFEITO!$M$518*EFEITO!$Z$518</f>
        <v>0</v>
      </c>
      <c r="O518" s="100">
        <f>$L$518-EFEITO!$O$518*EFEITO!$AA$518</f>
        <v>0</v>
      </c>
      <c r="P518" s="17"/>
      <c r="Q518" s="17"/>
      <c r="R518" s="17"/>
      <c r="S518" s="17"/>
      <c r="T518" s="17"/>
      <c r="U518" s="17"/>
      <c r="V518" s="17"/>
      <c r="W518" s="17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91" t="s">
        <v>21</v>
      </c>
      <c r="B519" s="91" t="s">
        <v>22</v>
      </c>
      <c r="C519" s="91" t="s">
        <v>32</v>
      </c>
      <c r="D519" s="91" t="s">
        <v>24</v>
      </c>
      <c r="E519" s="91" t="s">
        <v>24</v>
      </c>
      <c r="F519" s="91" t="s">
        <v>25</v>
      </c>
      <c r="G519" s="91" t="s">
        <v>25</v>
      </c>
      <c r="H519" s="91" t="s">
        <v>35</v>
      </c>
      <c r="I519" s="99">
        <v>44440</v>
      </c>
      <c r="J519" s="100">
        <f>EFEITO!$J$519*EFEITO!$Y$519</f>
        <v>0</v>
      </c>
      <c r="K519" s="100">
        <f ca="1">EFEITO!$L$519*EFEITO!$Z$519</f>
        <v>19.28938835484804</v>
      </c>
      <c r="L519" s="100">
        <f>EFEITO!$N$519*EFEITO!$AA$519</f>
        <v>8.556742158831705</v>
      </c>
      <c r="M519" s="100">
        <f>$J$519-EFEITO!$K$519*EFEITO!$Y$519</f>
        <v>0</v>
      </c>
      <c r="N519" s="100">
        <f ca="1">$K$519-EFEITO!$M$519*EFEITO!$Z$519</f>
        <v>0</v>
      </c>
      <c r="O519" s="100">
        <f>$L$519-EFEITO!$O$519*EFEITO!$AA$519</f>
        <v>0</v>
      </c>
      <c r="P519" s="17"/>
      <c r="Q519" s="17"/>
      <c r="R519" s="17"/>
      <c r="S519" s="17"/>
      <c r="T519" s="17"/>
      <c r="U519" s="17"/>
      <c r="V519" s="17"/>
      <c r="W519" s="17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91" t="s">
        <v>21</v>
      </c>
      <c r="B520" s="91" t="s">
        <v>22</v>
      </c>
      <c r="C520" s="91" t="s">
        <v>32</v>
      </c>
      <c r="D520" s="91" t="s">
        <v>24</v>
      </c>
      <c r="E520" s="91" t="s">
        <v>24</v>
      </c>
      <c r="F520" s="91" t="s">
        <v>25</v>
      </c>
      <c r="G520" s="91" t="s">
        <v>25</v>
      </c>
      <c r="H520" s="91" t="s">
        <v>35</v>
      </c>
      <c r="I520" s="99">
        <v>44470</v>
      </c>
      <c r="J520" s="100">
        <f>EFEITO!$J$520*EFEITO!$Y$520</f>
        <v>0</v>
      </c>
      <c r="K520" s="100">
        <f ca="1">EFEITO!$L$520*EFEITO!$Z$520</f>
        <v>17.805589250628959</v>
      </c>
      <c r="L520" s="100">
        <f>EFEITO!$N$520*EFEITO!$AA$520</f>
        <v>7.8985312235369571</v>
      </c>
      <c r="M520" s="100">
        <f>$J$520-EFEITO!$K$520*EFEITO!$Y$520</f>
        <v>0</v>
      </c>
      <c r="N520" s="100">
        <f ca="1">$K$520-EFEITO!$M$520*EFEITO!$Z$520</f>
        <v>0</v>
      </c>
      <c r="O520" s="100">
        <f>$L$520-EFEITO!$O$520*EFEITO!$AA$520</f>
        <v>0</v>
      </c>
      <c r="P520" s="17"/>
      <c r="Q520" s="17"/>
      <c r="R520" s="17"/>
      <c r="S520" s="17"/>
      <c r="T520" s="17"/>
      <c r="U520" s="17"/>
      <c r="V520" s="17"/>
      <c r="W520" s="17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91" t="s">
        <v>21</v>
      </c>
      <c r="B521" s="91" t="s">
        <v>22</v>
      </c>
      <c r="C521" s="91" t="s">
        <v>32</v>
      </c>
      <c r="D521" s="91" t="s">
        <v>24</v>
      </c>
      <c r="E521" s="91" t="s">
        <v>24</v>
      </c>
      <c r="F521" s="91" t="s">
        <v>25</v>
      </c>
      <c r="G521" s="91" t="s">
        <v>25</v>
      </c>
      <c r="H521" s="91" t="s">
        <v>35</v>
      </c>
      <c r="I521" s="99">
        <v>44501</v>
      </c>
      <c r="J521" s="100">
        <f>EFEITO!$J$521*EFEITO!$Y$521</f>
        <v>0</v>
      </c>
      <c r="K521" s="100">
        <f ca="1">EFEITO!$L$521*EFEITO!$Z$521</f>
        <v>26.70838387594344</v>
      </c>
      <c r="L521" s="100">
        <f>EFEITO!$N$521*EFEITO!$AA$521</f>
        <v>11.847796835305436</v>
      </c>
      <c r="M521" s="100">
        <f>$J$521-EFEITO!$K$521*EFEITO!$Y$521</f>
        <v>0</v>
      </c>
      <c r="N521" s="100">
        <f ca="1">$K$521-EFEITO!$M$521*EFEITO!$Z$521</f>
        <v>0</v>
      </c>
      <c r="O521" s="100">
        <f>$L$521-EFEITO!$O$521*EFEITO!$AA$521</f>
        <v>0</v>
      </c>
      <c r="P521" s="17"/>
      <c r="Q521" s="17"/>
      <c r="R521" s="17"/>
      <c r="S521" s="17"/>
      <c r="T521" s="17"/>
      <c r="U521" s="17"/>
      <c r="V521" s="17"/>
      <c r="W521" s="17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91" t="s">
        <v>21</v>
      </c>
      <c r="B522" s="91" t="s">
        <v>22</v>
      </c>
      <c r="C522" s="91" t="s">
        <v>32</v>
      </c>
      <c r="D522" s="91" t="s">
        <v>24</v>
      </c>
      <c r="E522" s="91" t="s">
        <v>24</v>
      </c>
      <c r="F522" s="91" t="s">
        <v>25</v>
      </c>
      <c r="G522" s="91" t="s">
        <v>25</v>
      </c>
      <c r="H522" s="91" t="s">
        <v>35</v>
      </c>
      <c r="I522" s="99">
        <v>44531</v>
      </c>
      <c r="J522" s="100">
        <f>EFEITO!$J$522*EFEITO!$Y$522</f>
        <v>0</v>
      </c>
      <c r="K522" s="100">
        <f ca="1">EFEITO!$L$522*EFEITO!$Z$522</f>
        <v>39.567976112508802</v>
      </c>
      <c r="L522" s="100">
        <f>EFEITO!$N$522*EFEITO!$AA$522</f>
        <v>17.552291607859907</v>
      </c>
      <c r="M522" s="100">
        <f>$J$522-EFEITO!$K$522*EFEITO!$Y$522</f>
        <v>0</v>
      </c>
      <c r="N522" s="100">
        <f ca="1">$K$522-EFEITO!$M$522*EFEITO!$Z$522</f>
        <v>0</v>
      </c>
      <c r="O522" s="100">
        <f>$L$522-EFEITO!$O$522*EFEITO!$AA$522</f>
        <v>0</v>
      </c>
      <c r="P522" s="17"/>
      <c r="Q522" s="17"/>
      <c r="R522" s="17"/>
      <c r="S522" s="17"/>
      <c r="T522" s="17"/>
      <c r="U522" s="17"/>
      <c r="V522" s="17"/>
      <c r="W522" s="17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91" t="s">
        <v>21</v>
      </c>
      <c r="B523" s="91" t="s">
        <v>22</v>
      </c>
      <c r="C523" s="91" t="s">
        <v>32</v>
      </c>
      <c r="D523" s="91" t="s">
        <v>24</v>
      </c>
      <c r="E523" s="91" t="s">
        <v>24</v>
      </c>
      <c r="F523" s="91" t="s">
        <v>25</v>
      </c>
      <c r="G523" s="91" t="s">
        <v>25</v>
      </c>
      <c r="H523" s="91" t="s">
        <v>35</v>
      </c>
      <c r="I523" s="99">
        <v>44562</v>
      </c>
      <c r="J523" s="100">
        <f>EFEITO!$J$523*EFEITO!$Y$523</f>
        <v>0</v>
      </c>
      <c r="K523" s="100">
        <f ca="1">EFEITO!$L$523*EFEITO!$Z$523</f>
        <v>49.459970140636003</v>
      </c>
      <c r="L523" s="100">
        <f>EFEITO!$N$523*EFEITO!$AA$523</f>
        <v>21.940364509824885</v>
      </c>
      <c r="M523" s="100">
        <f>$J$523-EFEITO!$K$523*EFEITO!$Y$523</f>
        <v>0</v>
      </c>
      <c r="N523" s="100">
        <f ca="1">$K$523-EFEITO!$M$523*EFEITO!$Z$523</f>
        <v>0</v>
      </c>
      <c r="O523" s="100">
        <f>$L$523-EFEITO!$O$523*EFEITO!$AA$523</f>
        <v>0</v>
      </c>
      <c r="P523" s="17"/>
      <c r="Q523" s="17"/>
      <c r="R523" s="17"/>
      <c r="S523" s="17"/>
      <c r="T523" s="17"/>
      <c r="U523" s="17"/>
      <c r="V523" s="17"/>
      <c r="W523" s="17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91" t="s">
        <v>21</v>
      </c>
      <c r="B524" s="91" t="s">
        <v>22</v>
      </c>
      <c r="C524" s="91" t="s">
        <v>32</v>
      </c>
      <c r="D524" s="91" t="s">
        <v>24</v>
      </c>
      <c r="E524" s="91" t="s">
        <v>24</v>
      </c>
      <c r="F524" s="91" t="s">
        <v>25</v>
      </c>
      <c r="G524" s="91" t="s">
        <v>25</v>
      </c>
      <c r="H524" s="91" t="s">
        <v>35</v>
      </c>
      <c r="I524" s="99">
        <v>44593</v>
      </c>
      <c r="J524" s="100">
        <f>EFEITO!$J$524*EFEITO!$Y$524</f>
        <v>0</v>
      </c>
      <c r="K524" s="100">
        <f ca="1">EFEITO!$L$524*EFEITO!$Z$524</f>
        <v>17.310989549222601</v>
      </c>
      <c r="L524" s="100">
        <f>EFEITO!$N$524*EFEITO!$AA$524</f>
        <v>7.6791275784387096</v>
      </c>
      <c r="M524" s="100">
        <f>$J$524-EFEITO!$K$524*EFEITO!$Y$524</f>
        <v>0</v>
      </c>
      <c r="N524" s="100">
        <f ca="1">$K$524-EFEITO!$M$524*EFEITO!$Z$524</f>
        <v>0</v>
      </c>
      <c r="O524" s="100">
        <f>$L$524-EFEITO!$O$524*EFEITO!$AA$524</f>
        <v>0</v>
      </c>
      <c r="P524" s="17"/>
      <c r="Q524" s="17"/>
      <c r="R524" s="17"/>
      <c r="S524" s="17"/>
      <c r="T524" s="17"/>
      <c r="U524" s="17"/>
      <c r="V524" s="17"/>
      <c r="W524" s="17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91" t="s">
        <v>21</v>
      </c>
      <c r="B525" s="91" t="s">
        <v>22</v>
      </c>
      <c r="C525" s="91" t="s">
        <v>32</v>
      </c>
      <c r="D525" s="91" t="s">
        <v>24</v>
      </c>
      <c r="E525" s="91" t="s">
        <v>24</v>
      </c>
      <c r="F525" s="91" t="s">
        <v>25</v>
      </c>
      <c r="G525" s="91" t="s">
        <v>25</v>
      </c>
      <c r="H525" s="91" t="s">
        <v>35</v>
      </c>
      <c r="I525" s="99">
        <v>44621</v>
      </c>
      <c r="J525" s="100">
        <f>EFEITO!$J$525*EFEITO!$Y$525</f>
        <v>0</v>
      </c>
      <c r="K525" s="100">
        <f ca="1">EFEITO!$L$525*EFEITO!$Z$525</f>
        <v>63.803361481420438</v>
      </c>
      <c r="L525" s="100">
        <f>EFEITO!$N$525*EFEITO!$AA$525</f>
        <v>28.303070217674101</v>
      </c>
      <c r="M525" s="100">
        <f>$J$525-EFEITO!$K$525*EFEITO!$Y$525</f>
        <v>0</v>
      </c>
      <c r="N525" s="100">
        <f ca="1">$K$525-EFEITO!$M$525*EFEITO!$Z$525</f>
        <v>0</v>
      </c>
      <c r="O525" s="100">
        <f>$L$525-EFEITO!$O$525*EFEITO!$AA$525</f>
        <v>0</v>
      </c>
      <c r="P525" s="17"/>
      <c r="Q525" s="17"/>
      <c r="R525" s="17"/>
      <c r="S525" s="17"/>
      <c r="T525" s="17"/>
      <c r="U525" s="17"/>
      <c r="V525" s="17"/>
      <c r="W525" s="17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91" t="s">
        <v>21</v>
      </c>
      <c r="B526" s="91" t="s">
        <v>22</v>
      </c>
      <c r="C526" s="91" t="s">
        <v>32</v>
      </c>
      <c r="D526" s="91" t="s">
        <v>24</v>
      </c>
      <c r="E526" s="91" t="s">
        <v>24</v>
      </c>
      <c r="F526" s="91" t="s">
        <v>25</v>
      </c>
      <c r="G526" s="91" t="s">
        <v>25</v>
      </c>
      <c r="H526" s="91" t="s">
        <v>35</v>
      </c>
      <c r="I526" s="99">
        <v>44652</v>
      </c>
      <c r="J526" s="100">
        <f>EFEITO!$J$526*EFEITO!$Y$526</f>
        <v>0</v>
      </c>
      <c r="K526" s="100">
        <f ca="1">EFEITO!$L$526*EFEITO!$Z$526</f>
        <v>16.816389847816239</v>
      </c>
      <c r="L526" s="100">
        <f>EFEITO!$N$526*EFEITO!$AA$526</f>
        <v>7.4597239333404604</v>
      </c>
      <c r="M526" s="100">
        <f>$J$526-EFEITO!$K$526*EFEITO!$Y$526</f>
        <v>0</v>
      </c>
      <c r="N526" s="100">
        <f ca="1">$K$526-EFEITO!$M$526*EFEITO!$Z$526</f>
        <v>0</v>
      </c>
      <c r="O526" s="100">
        <f>$L$526-EFEITO!$O$526*EFEITO!$AA$526</f>
        <v>0</v>
      </c>
      <c r="P526" s="17"/>
      <c r="Q526" s="17"/>
      <c r="R526" s="17"/>
      <c r="S526" s="17"/>
      <c r="T526" s="17"/>
      <c r="U526" s="17"/>
      <c r="V526" s="17"/>
      <c r="W526" s="17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91" t="s">
        <v>21</v>
      </c>
      <c r="B527" s="91" t="s">
        <v>22</v>
      </c>
      <c r="C527" s="91" t="s">
        <v>32</v>
      </c>
      <c r="D527" s="91" t="s">
        <v>24</v>
      </c>
      <c r="E527" s="91" t="s">
        <v>24</v>
      </c>
      <c r="F527" s="91" t="s">
        <v>25</v>
      </c>
      <c r="G527" s="91" t="s">
        <v>25</v>
      </c>
      <c r="H527" s="91" t="s">
        <v>35</v>
      </c>
      <c r="I527" s="99">
        <v>44682</v>
      </c>
      <c r="J527" s="100">
        <f>EFEITO!$J$527*EFEITO!$Y$527</f>
        <v>0</v>
      </c>
      <c r="K527" s="100">
        <f ca="1">EFEITO!$L$527*EFEITO!$Z$527</f>
        <v>18.794788653441678</v>
      </c>
      <c r="L527" s="100">
        <f>EFEITO!$N$527*EFEITO!$AA$527</f>
        <v>8.3373385137334548</v>
      </c>
      <c r="M527" s="100">
        <f>$J$527-EFEITO!$K$527*EFEITO!$Y$527</f>
        <v>0</v>
      </c>
      <c r="N527" s="100">
        <f ca="1">$K$527-EFEITO!$M$527*EFEITO!$Z$527</f>
        <v>0</v>
      </c>
      <c r="O527" s="100">
        <f>$L$527-EFEITO!$O$527*EFEITO!$AA$527</f>
        <v>0</v>
      </c>
      <c r="P527" s="17"/>
      <c r="Q527" s="17"/>
      <c r="R527" s="17"/>
      <c r="S527" s="17"/>
      <c r="T527" s="17"/>
      <c r="U527" s="17"/>
      <c r="V527" s="17"/>
      <c r="W527" s="17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91" t="s">
        <v>56</v>
      </c>
      <c r="B528" s="91" t="s">
        <v>22</v>
      </c>
      <c r="C528" s="91" t="s">
        <v>32</v>
      </c>
      <c r="D528" s="91" t="s">
        <v>24</v>
      </c>
      <c r="E528" s="91" t="s">
        <v>24</v>
      </c>
      <c r="F528" s="91" t="s">
        <v>25</v>
      </c>
      <c r="G528" s="91" t="s">
        <v>25</v>
      </c>
      <c r="H528" s="91" t="s">
        <v>35</v>
      </c>
      <c r="I528" s="99">
        <v>44713</v>
      </c>
      <c r="J528" s="100">
        <f>EFEITO!$J$528*EFEITO!$Y$528</f>
        <v>0</v>
      </c>
      <c r="K528" s="100">
        <f ca="1">EFEITO!$L$528*EFEITO!$Z$528</f>
        <v>18.794788653441678</v>
      </c>
      <c r="L528" s="100">
        <f>EFEITO!$N$528*EFEITO!$AA$528</f>
        <v>8.3373385137334548</v>
      </c>
      <c r="M528" s="100">
        <f>$J$528-EFEITO!$K$528*EFEITO!$Y$528</f>
        <v>0</v>
      </c>
      <c r="N528" s="100">
        <f ca="1">$K$528-EFEITO!$M$528*EFEITO!$Z$528</f>
        <v>0</v>
      </c>
      <c r="O528" s="100">
        <f>$L$528-EFEITO!$O$528*EFEITO!$AA$528</f>
        <v>0</v>
      </c>
      <c r="P528" s="17"/>
      <c r="Q528" s="17"/>
      <c r="R528" s="17"/>
      <c r="S528" s="17"/>
      <c r="T528" s="17"/>
      <c r="U528" s="17"/>
      <c r="V528" s="17"/>
      <c r="W528" s="17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91" t="s">
        <v>21</v>
      </c>
      <c r="B529" s="91" t="s">
        <v>22</v>
      </c>
      <c r="C529" s="91" t="s">
        <v>32</v>
      </c>
      <c r="D529" s="91" t="s">
        <v>24</v>
      </c>
      <c r="E529" s="91" t="s">
        <v>24</v>
      </c>
      <c r="F529" s="91" t="s">
        <v>25</v>
      </c>
      <c r="G529" s="91" t="s">
        <v>25</v>
      </c>
      <c r="H529" s="91" t="s">
        <v>33</v>
      </c>
      <c r="I529" s="99">
        <v>44378</v>
      </c>
      <c r="J529" s="100">
        <f>EFEITO!$J$529*EFEITO!$Y$529</f>
        <v>0</v>
      </c>
      <c r="K529" s="100">
        <f ca="1">EFEITO!$L$529*EFEITO!$Z$529</f>
        <v>71.761592126534026</v>
      </c>
      <c r="L529" s="100">
        <f>EFEITO!$N$529*EFEITO!$AA$529</f>
        <v>29.344733008490195</v>
      </c>
      <c r="M529" s="100">
        <f>$J$529-EFEITO!$K$529*EFEITO!$Y$529</f>
        <v>0</v>
      </c>
      <c r="N529" s="100">
        <f ca="1">$K$529-EFEITO!$M$529*EFEITO!$Z$529</f>
        <v>0</v>
      </c>
      <c r="O529" s="100">
        <f>$L$529-EFEITO!$O$529*EFEITO!$AA$529</f>
        <v>0</v>
      </c>
      <c r="P529" s="17"/>
      <c r="Q529" s="17"/>
      <c r="R529" s="17"/>
      <c r="S529" s="17"/>
      <c r="T529" s="17"/>
      <c r="U529" s="17"/>
      <c r="V529" s="17"/>
      <c r="W529" s="17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91" t="s">
        <v>21</v>
      </c>
      <c r="B530" s="91" t="s">
        <v>22</v>
      </c>
      <c r="C530" s="91" t="s">
        <v>32</v>
      </c>
      <c r="D530" s="91" t="s">
        <v>24</v>
      </c>
      <c r="E530" s="91" t="s">
        <v>24</v>
      </c>
      <c r="F530" s="91" t="s">
        <v>25</v>
      </c>
      <c r="G530" s="91" t="s">
        <v>25</v>
      </c>
      <c r="H530" s="91" t="s">
        <v>33</v>
      </c>
      <c r="I530" s="99">
        <v>44409</v>
      </c>
      <c r="J530" s="100">
        <f>EFEITO!$J$530*EFEITO!$Y$530</f>
        <v>0</v>
      </c>
      <c r="K530" s="100">
        <f ca="1">EFEITO!$L$530*EFEITO!$Z$530</f>
        <v>53.605044721025422</v>
      </c>
      <c r="L530" s="100">
        <f>EFEITO!$N$530*EFEITO!$AA$530</f>
        <v>21.920162006342071</v>
      </c>
      <c r="M530" s="100">
        <f>$J$530-EFEITO!$K$530*EFEITO!$Y$530</f>
        <v>0</v>
      </c>
      <c r="N530" s="100">
        <f ca="1">$K$530-EFEITO!$M$530*EFEITO!$Z$530</f>
        <v>0</v>
      </c>
      <c r="O530" s="100">
        <f>$L$530-EFEITO!$O$530*EFEITO!$AA$530</f>
        <v>0</v>
      </c>
      <c r="P530" s="17"/>
      <c r="Q530" s="17"/>
      <c r="R530" s="17"/>
      <c r="S530" s="17"/>
      <c r="T530" s="17"/>
      <c r="U530" s="17"/>
      <c r="V530" s="17"/>
      <c r="W530" s="17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91" t="s">
        <v>21</v>
      </c>
      <c r="B531" s="91" t="s">
        <v>22</v>
      </c>
      <c r="C531" s="91" t="s">
        <v>32</v>
      </c>
      <c r="D531" s="91" t="s">
        <v>24</v>
      </c>
      <c r="E531" s="91" t="s">
        <v>24</v>
      </c>
      <c r="F531" s="91" t="s">
        <v>25</v>
      </c>
      <c r="G531" s="91" t="s">
        <v>25</v>
      </c>
      <c r="H531" s="91" t="s">
        <v>33</v>
      </c>
      <c r="I531" s="99">
        <v>44440</v>
      </c>
      <c r="J531" s="100">
        <f>EFEITO!$J$531*EFEITO!$Y$531</f>
        <v>0</v>
      </c>
      <c r="K531" s="100">
        <f ca="1">EFEITO!$L$531*EFEITO!$Z$531</f>
        <v>63.980214667030339</v>
      </c>
      <c r="L531" s="100">
        <f>EFEITO!$N$531*EFEITO!$AA$531</f>
        <v>26.162774007569567</v>
      </c>
      <c r="M531" s="100">
        <f>$J$531-EFEITO!$K$531*EFEITO!$Y$531</f>
        <v>0</v>
      </c>
      <c r="N531" s="100">
        <f ca="1">$K$531-EFEITO!$M$531*EFEITO!$Z$531</f>
        <v>0</v>
      </c>
      <c r="O531" s="100">
        <f>$L$531-EFEITO!$O$531*EFEITO!$AA$531</f>
        <v>0</v>
      </c>
      <c r="P531" s="17"/>
      <c r="Q531" s="17"/>
      <c r="R531" s="17"/>
      <c r="S531" s="17"/>
      <c r="T531" s="17"/>
      <c r="U531" s="17"/>
      <c r="V531" s="17"/>
      <c r="W531" s="17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91" t="s">
        <v>21</v>
      </c>
      <c r="B532" s="91" t="s">
        <v>22</v>
      </c>
      <c r="C532" s="91" t="s">
        <v>32</v>
      </c>
      <c r="D532" s="91" t="s">
        <v>24</v>
      </c>
      <c r="E532" s="91" t="s">
        <v>24</v>
      </c>
      <c r="F532" s="91" t="s">
        <v>25</v>
      </c>
      <c r="G532" s="91" t="s">
        <v>25</v>
      </c>
      <c r="H532" s="91" t="s">
        <v>33</v>
      </c>
      <c r="I532" s="99">
        <v>44470</v>
      </c>
      <c r="J532" s="100">
        <f>EFEITO!$J$532*EFEITO!$Y$532</f>
        <v>0</v>
      </c>
      <c r="K532" s="100">
        <f ca="1">EFEITO!$L$532*EFEITO!$Z$532</f>
        <v>70.032397135533216</v>
      </c>
      <c r="L532" s="100">
        <f>EFEITO!$N$532*EFEITO!$AA$532</f>
        <v>28.637631008285609</v>
      </c>
      <c r="M532" s="100">
        <f>$J$532-EFEITO!$K$532*EFEITO!$Y$532</f>
        <v>0</v>
      </c>
      <c r="N532" s="100">
        <f ca="1">$K$532-EFEITO!$M$532*EFEITO!$Z$532</f>
        <v>0</v>
      </c>
      <c r="O532" s="100">
        <f>$L$532-EFEITO!$O$532*EFEITO!$AA$532</f>
        <v>0</v>
      </c>
      <c r="P532" s="17"/>
      <c r="Q532" s="17"/>
      <c r="R532" s="17"/>
      <c r="S532" s="17"/>
      <c r="T532" s="17"/>
      <c r="U532" s="17"/>
      <c r="V532" s="17"/>
      <c r="W532" s="17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91" t="s">
        <v>21</v>
      </c>
      <c r="B533" s="91" t="s">
        <v>22</v>
      </c>
      <c r="C533" s="91" t="s">
        <v>32</v>
      </c>
      <c r="D533" s="91" t="s">
        <v>24</v>
      </c>
      <c r="E533" s="91" t="s">
        <v>24</v>
      </c>
      <c r="F533" s="91" t="s">
        <v>25</v>
      </c>
      <c r="G533" s="91" t="s">
        <v>25</v>
      </c>
      <c r="H533" s="91" t="s">
        <v>33</v>
      </c>
      <c r="I533" s="99">
        <v>44501</v>
      </c>
      <c r="J533" s="100">
        <f>EFEITO!$J$533*EFEITO!$Y$533</f>
        <v>0</v>
      </c>
      <c r="K533" s="100">
        <f ca="1">EFEITO!$L$533*EFEITO!$Z$533</f>
        <v>82.136762072538957</v>
      </c>
      <c r="L533" s="100">
        <f>EFEITO!$N$533*EFEITO!$AA$533</f>
        <v>33.587345009717694</v>
      </c>
      <c r="M533" s="100">
        <f>$J$533-EFEITO!$K$533*EFEITO!$Y$533</f>
        <v>0</v>
      </c>
      <c r="N533" s="100">
        <f ca="1">$K$533-EFEITO!$M$533*EFEITO!$Z$533</f>
        <v>0</v>
      </c>
      <c r="O533" s="100">
        <f>$L$533-EFEITO!$O$533*EFEITO!$AA$533</f>
        <v>0</v>
      </c>
      <c r="P533" s="17"/>
      <c r="Q533" s="17"/>
      <c r="R533" s="17"/>
      <c r="S533" s="17"/>
      <c r="T533" s="17"/>
      <c r="U533" s="17"/>
      <c r="V533" s="17"/>
      <c r="W533" s="17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91" t="s">
        <v>21</v>
      </c>
      <c r="B534" s="91" t="s">
        <v>22</v>
      </c>
      <c r="C534" s="91" t="s">
        <v>32</v>
      </c>
      <c r="D534" s="91" t="s">
        <v>24</v>
      </c>
      <c r="E534" s="91" t="s">
        <v>24</v>
      </c>
      <c r="F534" s="91" t="s">
        <v>25</v>
      </c>
      <c r="G534" s="91" t="s">
        <v>25</v>
      </c>
      <c r="H534" s="91" t="s">
        <v>33</v>
      </c>
      <c r="I534" s="99">
        <v>44531</v>
      </c>
      <c r="J534" s="100">
        <f>EFEITO!$J$534*EFEITO!$Y$534</f>
        <v>0</v>
      </c>
      <c r="K534" s="100">
        <f ca="1">EFEITO!$L$534*EFEITO!$Z$534</f>
        <v>89.053542036542225</v>
      </c>
      <c r="L534" s="100">
        <f>EFEITO!$N$534*EFEITO!$AA$534</f>
        <v>36.415753010536022</v>
      </c>
      <c r="M534" s="100">
        <f>$J$534-EFEITO!$K$534*EFEITO!$Y$534</f>
        <v>0</v>
      </c>
      <c r="N534" s="100">
        <f ca="1">$K$534-EFEITO!$M$534*EFEITO!$Z$534</f>
        <v>0</v>
      </c>
      <c r="O534" s="100">
        <f>$L$534-EFEITO!$O$534*EFEITO!$AA$534</f>
        <v>0</v>
      </c>
      <c r="P534" s="17"/>
      <c r="Q534" s="17"/>
      <c r="R534" s="17"/>
      <c r="S534" s="17"/>
      <c r="T534" s="17"/>
      <c r="U534" s="17"/>
      <c r="V534" s="17"/>
      <c r="W534" s="17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91" t="s">
        <v>21</v>
      </c>
      <c r="B535" s="91" t="s">
        <v>22</v>
      </c>
      <c r="C535" s="91" t="s">
        <v>32</v>
      </c>
      <c r="D535" s="91" t="s">
        <v>24</v>
      </c>
      <c r="E535" s="91" t="s">
        <v>24</v>
      </c>
      <c r="F535" s="91" t="s">
        <v>25</v>
      </c>
      <c r="G535" s="91" t="s">
        <v>25</v>
      </c>
      <c r="H535" s="91" t="s">
        <v>33</v>
      </c>
      <c r="I535" s="99">
        <v>44562</v>
      </c>
      <c r="J535" s="100">
        <f>EFEITO!$J$535*EFEITO!$Y$535</f>
        <v>0</v>
      </c>
      <c r="K535" s="100">
        <f ca="1">EFEITO!$L$535*EFEITO!$Z$535</f>
        <v>107.21008944205084</v>
      </c>
      <c r="L535" s="100">
        <f>EFEITO!$N$535*EFEITO!$AA$535</f>
        <v>43.840324012684142</v>
      </c>
      <c r="M535" s="100">
        <f>$J$535-EFEITO!$K$535*EFEITO!$Y$535</f>
        <v>0</v>
      </c>
      <c r="N535" s="100">
        <f ca="1">$K$535-EFEITO!$M$535*EFEITO!$Z$535</f>
        <v>0</v>
      </c>
      <c r="O535" s="100">
        <f>$L$535-EFEITO!$O$535*EFEITO!$AA$535</f>
        <v>0</v>
      </c>
      <c r="P535" s="17"/>
      <c r="Q535" s="17"/>
      <c r="R535" s="17"/>
      <c r="S535" s="17"/>
      <c r="T535" s="17"/>
      <c r="U535" s="17"/>
      <c r="V535" s="17"/>
      <c r="W535" s="17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91" t="s">
        <v>21</v>
      </c>
      <c r="B536" s="91" t="s">
        <v>22</v>
      </c>
      <c r="C536" s="91" t="s">
        <v>32</v>
      </c>
      <c r="D536" s="91" t="s">
        <v>24</v>
      </c>
      <c r="E536" s="91" t="s">
        <v>24</v>
      </c>
      <c r="F536" s="91" t="s">
        <v>25</v>
      </c>
      <c r="G536" s="91" t="s">
        <v>25</v>
      </c>
      <c r="H536" s="91" t="s">
        <v>33</v>
      </c>
      <c r="I536" s="99">
        <v>44593</v>
      </c>
      <c r="J536" s="100">
        <f>EFEITO!$J$536*EFEITO!$Y$536</f>
        <v>0</v>
      </c>
      <c r="K536" s="100">
        <f ca="1">EFEITO!$L$536*EFEITO!$Z$536</f>
        <v>50.146654739023781</v>
      </c>
      <c r="L536" s="100">
        <f>EFEITO!$N$536*EFEITO!$AA$536</f>
        <v>20.505958005932907</v>
      </c>
      <c r="M536" s="100">
        <f>$J$536-EFEITO!$K$536*EFEITO!$Y$536</f>
        <v>0</v>
      </c>
      <c r="N536" s="100">
        <f ca="1">$K$536-EFEITO!$M$536*EFEITO!$Z$536</f>
        <v>0</v>
      </c>
      <c r="O536" s="100">
        <f>$L$536-EFEITO!$O$536*EFEITO!$AA$536</f>
        <v>0</v>
      </c>
      <c r="P536" s="17"/>
      <c r="Q536" s="17"/>
      <c r="R536" s="17"/>
      <c r="S536" s="17"/>
      <c r="T536" s="17"/>
      <c r="U536" s="17"/>
      <c r="V536" s="17"/>
      <c r="W536" s="17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91" t="s">
        <v>21</v>
      </c>
      <c r="B537" s="91" t="s">
        <v>22</v>
      </c>
      <c r="C537" s="91" t="s">
        <v>32</v>
      </c>
      <c r="D537" s="91" t="s">
        <v>24</v>
      </c>
      <c r="E537" s="91" t="s">
        <v>24</v>
      </c>
      <c r="F537" s="91" t="s">
        <v>25</v>
      </c>
      <c r="G537" s="91" t="s">
        <v>25</v>
      </c>
      <c r="H537" s="91" t="s">
        <v>33</v>
      </c>
      <c r="I537" s="99">
        <v>44621</v>
      </c>
      <c r="J537" s="100">
        <f>EFEITO!$J$537*EFEITO!$Y$537</f>
        <v>0</v>
      </c>
      <c r="K537" s="100">
        <f ca="1">EFEITO!$L$537*EFEITO!$Z$537</f>
        <v>177.24248657758403</v>
      </c>
      <c r="L537" s="100">
        <f>EFEITO!$N$537*EFEITO!$AA$537</f>
        <v>72.477955020969745</v>
      </c>
      <c r="M537" s="100">
        <f>$J$537-EFEITO!$K$537*EFEITO!$Y$537</f>
        <v>0</v>
      </c>
      <c r="N537" s="100">
        <f ca="1">$K$537-EFEITO!$M$537*EFEITO!$Z$537</f>
        <v>0</v>
      </c>
      <c r="O537" s="100">
        <f>$L$537-EFEITO!$O$537*EFEITO!$AA$537</f>
        <v>0</v>
      </c>
      <c r="P537" s="17"/>
      <c r="Q537" s="17"/>
      <c r="R537" s="17"/>
      <c r="S537" s="17"/>
      <c r="T537" s="17"/>
      <c r="U537" s="17"/>
      <c r="V537" s="17"/>
      <c r="W537" s="17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91" t="s">
        <v>21</v>
      </c>
      <c r="B538" s="91" t="s">
        <v>22</v>
      </c>
      <c r="C538" s="91" t="s">
        <v>32</v>
      </c>
      <c r="D538" s="91" t="s">
        <v>24</v>
      </c>
      <c r="E538" s="91" t="s">
        <v>24</v>
      </c>
      <c r="F538" s="91" t="s">
        <v>25</v>
      </c>
      <c r="G538" s="91" t="s">
        <v>25</v>
      </c>
      <c r="H538" s="91" t="s">
        <v>33</v>
      </c>
      <c r="I538" s="99">
        <v>44652</v>
      </c>
      <c r="J538" s="100">
        <f>EFEITO!$J$538*EFEITO!$Y$538</f>
        <v>0</v>
      </c>
      <c r="K538" s="100">
        <f ca="1">EFEITO!$L$538*EFEITO!$Z$538</f>
        <v>62.251019676029514</v>
      </c>
      <c r="L538" s="100">
        <f>EFEITO!$N$538*EFEITO!$AA$538</f>
        <v>25.455672007364985</v>
      </c>
      <c r="M538" s="100">
        <f>$J$538-EFEITO!$K$538*EFEITO!$Y$538</f>
        <v>0</v>
      </c>
      <c r="N538" s="100">
        <f ca="1">$K$538-EFEITO!$M$538*EFEITO!$Z$538</f>
        <v>0</v>
      </c>
      <c r="O538" s="100">
        <f>$L$538-EFEITO!$O$538*EFEITO!$AA$538</f>
        <v>0</v>
      </c>
      <c r="P538" s="17"/>
      <c r="Q538" s="17"/>
      <c r="R538" s="17"/>
      <c r="S538" s="17"/>
      <c r="T538" s="17"/>
      <c r="U538" s="17"/>
      <c r="V538" s="17"/>
      <c r="W538" s="17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91" t="s">
        <v>21</v>
      </c>
      <c r="B539" s="91" t="s">
        <v>22</v>
      </c>
      <c r="C539" s="91" t="s">
        <v>32</v>
      </c>
      <c r="D539" s="91" t="s">
        <v>24</v>
      </c>
      <c r="E539" s="91" t="s">
        <v>24</v>
      </c>
      <c r="F539" s="91" t="s">
        <v>25</v>
      </c>
      <c r="G539" s="91" t="s">
        <v>25</v>
      </c>
      <c r="H539" s="91" t="s">
        <v>33</v>
      </c>
      <c r="I539" s="99">
        <v>44682</v>
      </c>
      <c r="J539" s="100">
        <f>EFEITO!$J$539*EFEITO!$Y$539</f>
        <v>0</v>
      </c>
      <c r="K539" s="100">
        <f ca="1">EFEITO!$L$539*EFEITO!$Z$539</f>
        <v>63.115617171529927</v>
      </c>
      <c r="L539" s="100">
        <f>EFEITO!$N$539*EFEITO!$AA$539</f>
        <v>25.809223007467278</v>
      </c>
      <c r="M539" s="100">
        <f>$J$539-EFEITO!$K$539*EFEITO!$Y$539</f>
        <v>0</v>
      </c>
      <c r="N539" s="100">
        <f ca="1">$K$539-EFEITO!$M$539*EFEITO!$Z$539</f>
        <v>0</v>
      </c>
      <c r="O539" s="100">
        <f>$L$539-EFEITO!$O$539*EFEITO!$AA$539</f>
        <v>0</v>
      </c>
      <c r="P539" s="17"/>
      <c r="Q539" s="17"/>
      <c r="R539" s="17"/>
      <c r="S539" s="17"/>
      <c r="T539" s="17"/>
      <c r="U539" s="17"/>
      <c r="V539" s="17"/>
      <c r="W539" s="17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91" t="s">
        <v>56</v>
      </c>
      <c r="B540" s="91" t="s">
        <v>22</v>
      </c>
      <c r="C540" s="91" t="s">
        <v>32</v>
      </c>
      <c r="D540" s="91" t="s">
        <v>24</v>
      </c>
      <c r="E540" s="91" t="s">
        <v>24</v>
      </c>
      <c r="F540" s="91" t="s">
        <v>25</v>
      </c>
      <c r="G540" s="91" t="s">
        <v>25</v>
      </c>
      <c r="H540" s="91" t="s">
        <v>33</v>
      </c>
      <c r="I540" s="99">
        <v>44713</v>
      </c>
      <c r="J540" s="100">
        <f>EFEITO!$J$540*EFEITO!$Y$540</f>
        <v>0</v>
      </c>
      <c r="K540" s="100">
        <f ca="1">EFEITO!$L$540*EFEITO!$Z$540</f>
        <v>63.115617171529927</v>
      </c>
      <c r="L540" s="100">
        <f>EFEITO!$N$540*EFEITO!$AA$540</f>
        <v>25.809223007467278</v>
      </c>
      <c r="M540" s="100">
        <f>$J$540-EFEITO!$K$540*EFEITO!$Y$540</f>
        <v>0</v>
      </c>
      <c r="N540" s="100">
        <f ca="1">$K$540-EFEITO!$M$540*EFEITO!$Z$540</f>
        <v>0</v>
      </c>
      <c r="O540" s="100">
        <f>$L$540-EFEITO!$O$540*EFEITO!$AA$540</f>
        <v>0</v>
      </c>
      <c r="P540" s="17"/>
      <c r="Q540" s="17"/>
      <c r="R540" s="17"/>
      <c r="S540" s="17"/>
      <c r="T540" s="17"/>
      <c r="U540" s="17"/>
      <c r="V540" s="17"/>
      <c r="W540" s="17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91" t="s">
        <v>21</v>
      </c>
      <c r="B541" s="91" t="s">
        <v>22</v>
      </c>
      <c r="C541" s="91" t="s">
        <v>23</v>
      </c>
      <c r="D541" s="91" t="s">
        <v>24</v>
      </c>
      <c r="E541" s="91" t="s">
        <v>24</v>
      </c>
      <c r="F541" s="91" t="s">
        <v>25</v>
      </c>
      <c r="G541" s="91" t="s">
        <v>25</v>
      </c>
      <c r="H541" s="91" t="s">
        <v>25</v>
      </c>
      <c r="I541" s="99">
        <v>44378</v>
      </c>
      <c r="J541" s="100">
        <f>EFEITO!$J$541*EFEITO!$Y$541</f>
        <v>0</v>
      </c>
      <c r="K541" s="100">
        <f ca="1">EFEITO!$L$541*EFEITO!$Z$541</f>
        <v>1835846.7376758985</v>
      </c>
      <c r="L541" s="100">
        <f>EFEITO!$N$541*EFEITO!$AA$541</f>
        <v>1282163.7224974651</v>
      </c>
      <c r="M541" s="100">
        <f>$J$541-EFEITO!$K$541*EFEITO!$Y$541</f>
        <v>0</v>
      </c>
      <c r="N541" s="100">
        <f ca="1">$K$541-EFEITO!$M$541*EFEITO!$Z$541</f>
        <v>0</v>
      </c>
      <c r="O541" s="100">
        <f>$L$541-EFEITO!$O$541*EFEITO!$AA$541</f>
        <v>0</v>
      </c>
      <c r="P541" s="17"/>
      <c r="Q541" s="17"/>
      <c r="R541" s="17"/>
      <c r="S541" s="17"/>
      <c r="T541" s="17"/>
      <c r="U541" s="17"/>
      <c r="V541" s="17"/>
      <c r="W541" s="17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91" t="s">
        <v>27</v>
      </c>
      <c r="B542" s="91" t="s">
        <v>22</v>
      </c>
      <c r="C542" s="91" t="s">
        <v>23</v>
      </c>
      <c r="D542" s="91" t="s">
        <v>24</v>
      </c>
      <c r="E542" s="91" t="s">
        <v>24</v>
      </c>
      <c r="F542" s="91" t="s">
        <v>25</v>
      </c>
      <c r="G542" s="91" t="s">
        <v>25</v>
      </c>
      <c r="H542" s="91" t="s">
        <v>25</v>
      </c>
      <c r="I542" s="99">
        <v>44378</v>
      </c>
      <c r="J542" s="100">
        <f>EFEITO!$J$542*EFEITO!$Y$542</f>
        <v>0</v>
      </c>
      <c r="K542" s="100">
        <f ca="1">EFEITO!$L$542*EFEITO!$Z$542</f>
        <v>-1457.9697643712245</v>
      </c>
      <c r="L542" s="100">
        <f>EFEITO!$N$542*EFEITO!$AA$542</f>
        <v>-1018.2527233953548</v>
      </c>
      <c r="M542" s="100">
        <f>$J$542-EFEITO!$K$542*EFEITO!$Y$542</f>
        <v>0</v>
      </c>
      <c r="N542" s="100">
        <f ca="1">$K$542-EFEITO!$M$542*EFEITO!$Z$542</f>
        <v>0</v>
      </c>
      <c r="O542" s="100">
        <f>$L$542-EFEITO!$O$542*EFEITO!$AA$542</f>
        <v>0</v>
      </c>
      <c r="P542" s="17"/>
      <c r="Q542" s="17"/>
      <c r="R542" s="17"/>
      <c r="S542" s="17"/>
      <c r="T542" s="17"/>
      <c r="U542" s="17"/>
      <c r="V542" s="17"/>
      <c r="W542" s="17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91" t="s">
        <v>21</v>
      </c>
      <c r="B543" s="91" t="s">
        <v>22</v>
      </c>
      <c r="C543" s="91" t="s">
        <v>23</v>
      </c>
      <c r="D543" s="91" t="s">
        <v>24</v>
      </c>
      <c r="E543" s="91" t="s">
        <v>24</v>
      </c>
      <c r="F543" s="91" t="s">
        <v>25</v>
      </c>
      <c r="G543" s="91" t="s">
        <v>25</v>
      </c>
      <c r="H543" s="91" t="s">
        <v>25</v>
      </c>
      <c r="I543" s="99">
        <v>44409</v>
      </c>
      <c r="J543" s="100">
        <f>EFEITO!$J$543*EFEITO!$Y$543</f>
        <v>0</v>
      </c>
      <c r="K543" s="100">
        <f ca="1">EFEITO!$L$543*EFEITO!$Z$543</f>
        <v>1743494.4558825986</v>
      </c>
      <c r="L543" s="100">
        <f>EFEITO!$N$543*EFEITO!$AA$543</f>
        <v>1217664.4682976645</v>
      </c>
      <c r="M543" s="100">
        <f>$J$543-EFEITO!$K$543*EFEITO!$Y$543</f>
        <v>0</v>
      </c>
      <c r="N543" s="100">
        <f ca="1">$K$543-EFEITO!$M$543*EFEITO!$Z$543</f>
        <v>0</v>
      </c>
      <c r="O543" s="100">
        <f>$L$543-EFEITO!$O$543*EFEITO!$AA$543</f>
        <v>0</v>
      </c>
      <c r="P543" s="17"/>
      <c r="Q543" s="17"/>
      <c r="R543" s="17"/>
      <c r="S543" s="17"/>
      <c r="T543" s="17"/>
      <c r="U543" s="17"/>
      <c r="V543" s="17"/>
      <c r="W543" s="17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91" t="s">
        <v>27</v>
      </c>
      <c r="B544" s="91" t="s">
        <v>22</v>
      </c>
      <c r="C544" s="91" t="s">
        <v>23</v>
      </c>
      <c r="D544" s="91" t="s">
        <v>24</v>
      </c>
      <c r="E544" s="91" t="s">
        <v>24</v>
      </c>
      <c r="F544" s="91" t="s">
        <v>25</v>
      </c>
      <c r="G544" s="91" t="s">
        <v>25</v>
      </c>
      <c r="H544" s="91" t="s">
        <v>25</v>
      </c>
      <c r="I544" s="99">
        <v>44409</v>
      </c>
      <c r="J544" s="100">
        <f>EFEITO!$J$544*EFEITO!$Y$544</f>
        <v>0</v>
      </c>
      <c r="K544" s="100">
        <f ca="1">EFEITO!$L$544*EFEITO!$Z$544</f>
        <v>-4111.1049605866137</v>
      </c>
      <c r="L544" s="100">
        <f>EFEITO!$N$544*EFEITO!$AA$544</f>
        <v>-2871.2144274725902</v>
      </c>
      <c r="M544" s="100">
        <f>$J$544-EFEITO!$K$544*EFEITO!$Y$544</f>
        <v>0</v>
      </c>
      <c r="N544" s="100">
        <f ca="1">$K$544-EFEITO!$M$544*EFEITO!$Z$544</f>
        <v>0</v>
      </c>
      <c r="O544" s="100">
        <f>$L$544-EFEITO!$O$544*EFEITO!$AA$544</f>
        <v>0</v>
      </c>
      <c r="P544" s="17"/>
      <c r="Q544" s="17"/>
      <c r="R544" s="17"/>
      <c r="S544" s="17"/>
      <c r="T544" s="17"/>
      <c r="U544" s="17"/>
      <c r="V544" s="17"/>
      <c r="W544" s="17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91" t="s">
        <v>55</v>
      </c>
      <c r="B545" s="91" t="s">
        <v>22</v>
      </c>
      <c r="C545" s="91" t="s">
        <v>23</v>
      </c>
      <c r="D545" s="91" t="s">
        <v>24</v>
      </c>
      <c r="E545" s="91" t="s">
        <v>24</v>
      </c>
      <c r="F545" s="91" t="s">
        <v>25</v>
      </c>
      <c r="G545" s="91" t="s">
        <v>25</v>
      </c>
      <c r="H545" s="91" t="s">
        <v>25</v>
      </c>
      <c r="I545" s="99">
        <v>44409</v>
      </c>
      <c r="J545" s="100">
        <f>EFEITO!$J$545*EFEITO!$Y$545</f>
        <v>0</v>
      </c>
      <c r="K545" s="100">
        <f ca="1">EFEITO!$L$545*EFEITO!$Z$545</f>
        <v>38054.463537354182</v>
      </c>
      <c r="L545" s="100">
        <f>EFEITO!$N$545*EFEITO!$AA$545</f>
        <v>26577.410644020692</v>
      </c>
      <c r="M545" s="100">
        <f>$J$545-EFEITO!$K$545*EFEITO!$Y$545</f>
        <v>0</v>
      </c>
      <c r="N545" s="100">
        <f ca="1">$K$545-EFEITO!$M$545*EFEITO!$Z$545</f>
        <v>0</v>
      </c>
      <c r="O545" s="100">
        <f>$L$545-EFEITO!$O$545*EFEITO!$AA$545</f>
        <v>0</v>
      </c>
      <c r="P545" s="17"/>
      <c r="Q545" s="17"/>
      <c r="R545" s="17"/>
      <c r="S545" s="17"/>
      <c r="T545" s="17"/>
      <c r="U545" s="17"/>
      <c r="V545" s="17"/>
      <c r="W545" s="17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91" t="s">
        <v>21</v>
      </c>
      <c r="B546" s="91" t="s">
        <v>22</v>
      </c>
      <c r="C546" s="91" t="s">
        <v>23</v>
      </c>
      <c r="D546" s="91" t="s">
        <v>24</v>
      </c>
      <c r="E546" s="91" t="s">
        <v>24</v>
      </c>
      <c r="F546" s="91" t="s">
        <v>25</v>
      </c>
      <c r="G546" s="91" t="s">
        <v>25</v>
      </c>
      <c r="H546" s="91" t="s">
        <v>25</v>
      </c>
      <c r="I546" s="99">
        <v>44440</v>
      </c>
      <c r="J546" s="100">
        <f>EFEITO!$J$546*EFEITO!$Y$546</f>
        <v>0</v>
      </c>
      <c r="K546" s="100">
        <f ca="1">EFEITO!$L$546*EFEITO!$Z$546</f>
        <v>1624217.6060969443</v>
      </c>
      <c r="L546" s="100">
        <f>EFEITO!$N$546*EFEITO!$AA$546</f>
        <v>1134360.9731907956</v>
      </c>
      <c r="M546" s="100">
        <f>$J$546-EFEITO!$K$546*EFEITO!$Y$546</f>
        <v>0</v>
      </c>
      <c r="N546" s="100">
        <f ca="1">$K$546-EFEITO!$M$546*EFEITO!$Z$546</f>
        <v>0</v>
      </c>
      <c r="O546" s="100">
        <f>$L$546-EFEITO!$O$546*EFEITO!$AA$546</f>
        <v>0</v>
      </c>
      <c r="P546" s="17"/>
      <c r="Q546" s="17"/>
      <c r="R546" s="17"/>
      <c r="S546" s="17"/>
      <c r="T546" s="17"/>
      <c r="U546" s="17"/>
      <c r="V546" s="17"/>
      <c r="W546" s="17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91" t="s">
        <v>27</v>
      </c>
      <c r="B547" s="91" t="s">
        <v>22</v>
      </c>
      <c r="C547" s="91" t="s">
        <v>23</v>
      </c>
      <c r="D547" s="91" t="s">
        <v>24</v>
      </c>
      <c r="E547" s="91" t="s">
        <v>24</v>
      </c>
      <c r="F547" s="91" t="s">
        <v>25</v>
      </c>
      <c r="G547" s="91" t="s">
        <v>25</v>
      </c>
      <c r="H547" s="91" t="s">
        <v>25</v>
      </c>
      <c r="I547" s="99">
        <v>44440</v>
      </c>
      <c r="J547" s="100">
        <f>EFEITO!$J$547*EFEITO!$Y$547</f>
        <v>0</v>
      </c>
      <c r="K547" s="100">
        <f ca="1">EFEITO!$L$547*EFEITO!$Z$547</f>
        <v>-3413.4849170819948</v>
      </c>
      <c r="L547" s="100">
        <f>EFEITO!$N$547*EFEITO!$AA$547</f>
        <v>-2383.9934119530285</v>
      </c>
      <c r="M547" s="100">
        <f>$J$547-EFEITO!$K$547*EFEITO!$Y$547</f>
        <v>0</v>
      </c>
      <c r="N547" s="100">
        <f ca="1">$K$547-EFEITO!$M$547*EFEITO!$Z$547</f>
        <v>0</v>
      </c>
      <c r="O547" s="100">
        <f>$L$547-EFEITO!$O$547*EFEITO!$AA$547</f>
        <v>0</v>
      </c>
      <c r="P547" s="17"/>
      <c r="Q547" s="17"/>
      <c r="R547" s="17"/>
      <c r="S547" s="17"/>
      <c r="T547" s="17"/>
      <c r="U547" s="17"/>
      <c r="V547" s="17"/>
      <c r="W547" s="17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91" t="s">
        <v>55</v>
      </c>
      <c r="B548" s="91" t="s">
        <v>22</v>
      </c>
      <c r="C548" s="91" t="s">
        <v>23</v>
      </c>
      <c r="D548" s="91" t="s">
        <v>24</v>
      </c>
      <c r="E548" s="91" t="s">
        <v>24</v>
      </c>
      <c r="F548" s="91" t="s">
        <v>25</v>
      </c>
      <c r="G548" s="91" t="s">
        <v>25</v>
      </c>
      <c r="H548" s="91" t="s">
        <v>25</v>
      </c>
      <c r="I548" s="99">
        <v>44440</v>
      </c>
      <c r="J548" s="100">
        <f>EFEITO!$J$548*EFEITO!$Y$548</f>
        <v>0</v>
      </c>
      <c r="K548" s="100">
        <f ca="1">EFEITO!$L$548*EFEITO!$Z$548</f>
        <v>28785.32831662906</v>
      </c>
      <c r="L548" s="100">
        <f>EFEITO!$N$548*EFEITO!$AA$548</f>
        <v>20103.804391909147</v>
      </c>
      <c r="M548" s="100">
        <f>$J$548-EFEITO!$K$548*EFEITO!$Y$548</f>
        <v>0</v>
      </c>
      <c r="N548" s="100">
        <f ca="1">$K$548-EFEITO!$M$548*EFEITO!$Z$548</f>
        <v>0</v>
      </c>
      <c r="O548" s="100">
        <f>$L$548-EFEITO!$O$548*EFEITO!$AA$548</f>
        <v>0</v>
      </c>
      <c r="P548" s="17"/>
      <c r="Q548" s="17"/>
      <c r="R548" s="17"/>
      <c r="S548" s="17"/>
      <c r="T548" s="17"/>
      <c r="U548" s="17"/>
      <c r="V548" s="17"/>
      <c r="W548" s="17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91" t="s">
        <v>21</v>
      </c>
      <c r="B549" s="91" t="s">
        <v>22</v>
      </c>
      <c r="C549" s="91" t="s">
        <v>23</v>
      </c>
      <c r="D549" s="91" t="s">
        <v>24</v>
      </c>
      <c r="E549" s="91" t="s">
        <v>24</v>
      </c>
      <c r="F549" s="91" t="s">
        <v>25</v>
      </c>
      <c r="G549" s="91" t="s">
        <v>25</v>
      </c>
      <c r="H549" s="91" t="s">
        <v>25</v>
      </c>
      <c r="I549" s="99">
        <v>44470</v>
      </c>
      <c r="J549" s="100">
        <f>EFEITO!$J$549*EFEITO!$Y$549</f>
        <v>0</v>
      </c>
      <c r="K549" s="100">
        <f ca="1">EFEITO!$L$549*EFEITO!$Z$549</f>
        <v>1596105.1361090718</v>
      </c>
      <c r="L549" s="100">
        <f>EFEITO!$N$549*EFEITO!$AA$549</f>
        <v>1114727.0961200551</v>
      </c>
      <c r="M549" s="100">
        <f>$J$549-EFEITO!$K$549*EFEITO!$Y$549</f>
        <v>0</v>
      </c>
      <c r="N549" s="100">
        <f ca="1">$K$549-EFEITO!$M$549*EFEITO!$Z$549</f>
        <v>0</v>
      </c>
      <c r="O549" s="100">
        <f>$L$549-EFEITO!$O$549*EFEITO!$AA$549</f>
        <v>0</v>
      </c>
      <c r="P549" s="17"/>
      <c r="Q549" s="17"/>
      <c r="R549" s="17"/>
      <c r="S549" s="17"/>
      <c r="T549" s="17"/>
      <c r="U549" s="17"/>
      <c r="V549" s="17"/>
      <c r="W549" s="17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91" t="s">
        <v>27</v>
      </c>
      <c r="B550" s="91" t="s">
        <v>22</v>
      </c>
      <c r="C550" s="91" t="s">
        <v>23</v>
      </c>
      <c r="D550" s="91" t="s">
        <v>24</v>
      </c>
      <c r="E550" s="91" t="s">
        <v>24</v>
      </c>
      <c r="F550" s="91" t="s">
        <v>25</v>
      </c>
      <c r="G550" s="91" t="s">
        <v>25</v>
      </c>
      <c r="H550" s="91" t="s">
        <v>25</v>
      </c>
      <c r="I550" s="99">
        <v>44470</v>
      </c>
      <c r="J550" s="100">
        <f>EFEITO!$J$550*EFEITO!$Y$550</f>
        <v>0</v>
      </c>
      <c r="K550" s="100">
        <f ca="1">EFEITO!$L$550*EFEITO!$Z$550</f>
        <v>-2381.746802575637</v>
      </c>
      <c r="L550" s="100">
        <f>EFEITO!$N$550*EFEITO!$AA$550</f>
        <v>-1663.4228139886977</v>
      </c>
      <c r="M550" s="100">
        <f>$J$550-EFEITO!$K$550*EFEITO!$Y$550</f>
        <v>0</v>
      </c>
      <c r="N550" s="100">
        <f ca="1">$K$550-EFEITO!$M$550*EFEITO!$Z$550</f>
        <v>0</v>
      </c>
      <c r="O550" s="100">
        <f>$L$550-EFEITO!$O$550*EFEITO!$AA$550</f>
        <v>0</v>
      </c>
      <c r="P550" s="17"/>
      <c r="Q550" s="17"/>
      <c r="R550" s="17"/>
      <c r="S550" s="17"/>
      <c r="T550" s="17"/>
      <c r="U550" s="17"/>
      <c r="V550" s="17"/>
      <c r="W550" s="17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91" t="s">
        <v>55</v>
      </c>
      <c r="B551" s="91" t="s">
        <v>22</v>
      </c>
      <c r="C551" s="91" t="s">
        <v>23</v>
      </c>
      <c r="D551" s="91" t="s">
        <v>24</v>
      </c>
      <c r="E551" s="91" t="s">
        <v>24</v>
      </c>
      <c r="F551" s="91" t="s">
        <v>25</v>
      </c>
      <c r="G551" s="91" t="s">
        <v>25</v>
      </c>
      <c r="H551" s="91" t="s">
        <v>25</v>
      </c>
      <c r="I551" s="99">
        <v>44470</v>
      </c>
      <c r="J551" s="100">
        <f>EFEITO!$J$551*EFEITO!$Y$551</f>
        <v>0</v>
      </c>
      <c r="K551" s="100">
        <f ca="1">EFEITO!$L$551*EFEITO!$Z$551</f>
        <v>29312.587762666393</v>
      </c>
      <c r="L551" s="100">
        <f>EFEITO!$N$551*EFEITO!$AA$551</f>
        <v>20472.044790292839</v>
      </c>
      <c r="M551" s="100">
        <f>$J$551-EFEITO!$K$551*EFEITO!$Y$551</f>
        <v>0</v>
      </c>
      <c r="N551" s="100">
        <f ca="1">$K$551-EFEITO!$M$551*EFEITO!$Z$551</f>
        <v>0</v>
      </c>
      <c r="O551" s="100">
        <f>$L$551-EFEITO!$O$551*EFEITO!$AA$551</f>
        <v>0</v>
      </c>
      <c r="P551" s="17"/>
      <c r="Q551" s="17"/>
      <c r="R551" s="17"/>
      <c r="S551" s="17"/>
      <c r="T551" s="17"/>
      <c r="U551" s="17"/>
      <c r="V551" s="17"/>
      <c r="W551" s="17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91" t="s">
        <v>21</v>
      </c>
      <c r="B552" s="91" t="s">
        <v>22</v>
      </c>
      <c r="C552" s="91" t="s">
        <v>23</v>
      </c>
      <c r="D552" s="91" t="s">
        <v>24</v>
      </c>
      <c r="E552" s="91" t="s">
        <v>24</v>
      </c>
      <c r="F552" s="91" t="s">
        <v>25</v>
      </c>
      <c r="G552" s="91" t="s">
        <v>25</v>
      </c>
      <c r="H552" s="91" t="s">
        <v>25</v>
      </c>
      <c r="I552" s="99">
        <v>44501</v>
      </c>
      <c r="J552" s="100">
        <f>EFEITO!$J$552*EFEITO!$Y$552</f>
        <v>0</v>
      </c>
      <c r="K552" s="100">
        <f ca="1">EFEITO!$L$552*EFEITO!$Z$552</f>
        <v>1681510.9315250232</v>
      </c>
      <c r="L552" s="100">
        <f>EFEITO!$N$552*EFEITO!$AA$552</f>
        <v>1174374.8925978811</v>
      </c>
      <c r="M552" s="100">
        <f>$J$552-EFEITO!$K$552*EFEITO!$Y$552</f>
        <v>0</v>
      </c>
      <c r="N552" s="100">
        <f ca="1">$K$552-EFEITO!$M$552*EFEITO!$Z$552</f>
        <v>0</v>
      </c>
      <c r="O552" s="100">
        <f>$L$552-EFEITO!$O$552*EFEITO!$AA$552</f>
        <v>0</v>
      </c>
      <c r="P552" s="17"/>
      <c r="Q552" s="17"/>
      <c r="R552" s="17"/>
      <c r="S552" s="17"/>
      <c r="T552" s="17"/>
      <c r="U552" s="17"/>
      <c r="V552" s="17"/>
      <c r="W552" s="17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91" t="s">
        <v>27</v>
      </c>
      <c r="B553" s="91" t="s">
        <v>22</v>
      </c>
      <c r="C553" s="91" t="s">
        <v>23</v>
      </c>
      <c r="D553" s="91" t="s">
        <v>24</v>
      </c>
      <c r="E553" s="91" t="s">
        <v>24</v>
      </c>
      <c r="F553" s="91" t="s">
        <v>25</v>
      </c>
      <c r="G553" s="91" t="s">
        <v>25</v>
      </c>
      <c r="H553" s="91" t="s">
        <v>25</v>
      </c>
      <c r="I553" s="99">
        <v>44501</v>
      </c>
      <c r="J553" s="100">
        <f>EFEITO!$J$553*EFEITO!$Y$553</f>
        <v>0</v>
      </c>
      <c r="K553" s="100">
        <f ca="1">EFEITO!$L$553*EFEITO!$Z$553</f>
        <v>-801.9494016435018</v>
      </c>
      <c r="L553" s="100">
        <f>EFEITO!$N$553*EFEITO!$AA$553</f>
        <v>-560.08511438571475</v>
      </c>
      <c r="M553" s="100">
        <f>$J$553-EFEITO!$K$553*EFEITO!$Y$553</f>
        <v>0</v>
      </c>
      <c r="N553" s="100">
        <f ca="1">$K$553-EFEITO!$M$553*EFEITO!$Z$553</f>
        <v>0</v>
      </c>
      <c r="O553" s="100">
        <f>$L$553-EFEITO!$O$553*EFEITO!$AA$553</f>
        <v>0</v>
      </c>
      <c r="P553" s="17"/>
      <c r="Q553" s="17"/>
      <c r="R553" s="17"/>
      <c r="S553" s="17"/>
      <c r="T553" s="17"/>
      <c r="U553" s="17"/>
      <c r="V553" s="17"/>
      <c r="W553" s="17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91" t="s">
        <v>55</v>
      </c>
      <c r="B554" s="91" t="s">
        <v>22</v>
      </c>
      <c r="C554" s="91" t="s">
        <v>23</v>
      </c>
      <c r="D554" s="91" t="s">
        <v>24</v>
      </c>
      <c r="E554" s="91" t="s">
        <v>24</v>
      </c>
      <c r="F554" s="91" t="s">
        <v>25</v>
      </c>
      <c r="G554" s="91" t="s">
        <v>25</v>
      </c>
      <c r="H554" s="91" t="s">
        <v>25</v>
      </c>
      <c r="I554" s="99">
        <v>44501</v>
      </c>
      <c r="J554" s="100">
        <f>EFEITO!$J$554*EFEITO!$Y$554</f>
        <v>0</v>
      </c>
      <c r="K554" s="100">
        <f ca="1">EFEITO!$L$554*EFEITO!$Z$554</f>
        <v>52696.560702231764</v>
      </c>
      <c r="L554" s="100">
        <f>EFEITO!$N$554*EFEITO!$AA$554</f>
        <v>36803.51798773912</v>
      </c>
      <c r="M554" s="100">
        <f>$J$554-EFEITO!$K$554*EFEITO!$Y$554</f>
        <v>0</v>
      </c>
      <c r="N554" s="100">
        <f ca="1">$K$554-EFEITO!$M$554*EFEITO!$Z$554</f>
        <v>0</v>
      </c>
      <c r="O554" s="100">
        <f>$L$554-EFEITO!$O$554*EFEITO!$AA$554</f>
        <v>0</v>
      </c>
      <c r="P554" s="17"/>
      <c r="Q554" s="17"/>
      <c r="R554" s="17"/>
      <c r="S554" s="17"/>
      <c r="T554" s="17"/>
      <c r="U554" s="17"/>
      <c r="V554" s="17"/>
      <c r="W554" s="17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91" t="s">
        <v>55</v>
      </c>
      <c r="B555" s="91" t="s">
        <v>22</v>
      </c>
      <c r="C555" s="91" t="s">
        <v>23</v>
      </c>
      <c r="D555" s="91" t="s">
        <v>24</v>
      </c>
      <c r="E555" s="91" t="s">
        <v>24</v>
      </c>
      <c r="F555" s="91" t="s">
        <v>25</v>
      </c>
      <c r="G555" s="91" t="s">
        <v>25</v>
      </c>
      <c r="H555" s="91" t="s">
        <v>25</v>
      </c>
      <c r="I555" s="99">
        <v>44501</v>
      </c>
      <c r="J555" s="100">
        <f>EFEITO!$J$555*EFEITO!$Y$555</f>
        <v>0</v>
      </c>
      <c r="K555" s="100">
        <f ca="1">EFEITO!$L$555*EFEITO!$Z$555</f>
        <v>-25122.575471082331</v>
      </c>
      <c r="L555" s="100">
        <f>EFEITO!$N$555*EFEITO!$AA$555</f>
        <v>-17545.721123487936</v>
      </c>
      <c r="M555" s="100">
        <f>$J$555-EFEITO!$K$555*EFEITO!$Y$555</f>
        <v>0</v>
      </c>
      <c r="N555" s="100">
        <f ca="1">$K$555-EFEITO!$M$555*EFEITO!$Z$555</f>
        <v>0</v>
      </c>
      <c r="O555" s="100">
        <f>$L$555-EFEITO!$O$555*EFEITO!$AA$555</f>
        <v>0</v>
      </c>
      <c r="P555" s="17"/>
      <c r="Q555" s="17"/>
      <c r="R555" s="17"/>
      <c r="S555" s="17"/>
      <c r="T555" s="17"/>
      <c r="U555" s="17"/>
      <c r="V555" s="17"/>
      <c r="W555" s="17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91" t="s">
        <v>21</v>
      </c>
      <c r="B556" s="91" t="s">
        <v>22</v>
      </c>
      <c r="C556" s="91" t="s">
        <v>23</v>
      </c>
      <c r="D556" s="91" t="s">
        <v>24</v>
      </c>
      <c r="E556" s="91" t="s">
        <v>24</v>
      </c>
      <c r="F556" s="91" t="s">
        <v>25</v>
      </c>
      <c r="G556" s="91" t="s">
        <v>25</v>
      </c>
      <c r="H556" s="91" t="s">
        <v>25</v>
      </c>
      <c r="I556" s="99">
        <v>44531</v>
      </c>
      <c r="J556" s="100">
        <f>EFEITO!$J$556*EFEITO!$Y$556</f>
        <v>0</v>
      </c>
      <c r="K556" s="100">
        <f ca="1">EFEITO!$L$556*EFEITO!$Z$556</f>
        <v>1721847.4346935672</v>
      </c>
      <c r="L556" s="100">
        <f>EFEITO!$N$556*EFEITO!$AA$556</f>
        <v>1202546.0901133034</v>
      </c>
      <c r="M556" s="100">
        <f>$J$556-EFEITO!$K$556*EFEITO!$Y$556</f>
        <v>0</v>
      </c>
      <c r="N556" s="100">
        <f ca="1">$K$556-EFEITO!$M$556*EFEITO!$Z$556</f>
        <v>0</v>
      </c>
      <c r="O556" s="100">
        <f>$L$556-EFEITO!$O$556*EFEITO!$AA$556</f>
        <v>0</v>
      </c>
      <c r="P556" s="17"/>
      <c r="Q556" s="17"/>
      <c r="R556" s="17"/>
      <c r="S556" s="17"/>
      <c r="T556" s="17"/>
      <c r="U556" s="17"/>
      <c r="V556" s="17"/>
      <c r="W556" s="17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91" t="s">
        <v>27</v>
      </c>
      <c r="B557" s="91" t="s">
        <v>22</v>
      </c>
      <c r="C557" s="91" t="s">
        <v>23</v>
      </c>
      <c r="D557" s="91" t="s">
        <v>24</v>
      </c>
      <c r="E557" s="91" t="s">
        <v>24</v>
      </c>
      <c r="F557" s="91" t="s">
        <v>25</v>
      </c>
      <c r="G557" s="91" t="s">
        <v>25</v>
      </c>
      <c r="H557" s="91" t="s">
        <v>25</v>
      </c>
      <c r="I557" s="99">
        <v>44531</v>
      </c>
      <c r="J557" s="100">
        <f>EFEITO!$J$557*EFEITO!$Y$557</f>
        <v>0</v>
      </c>
      <c r="K557" s="100">
        <f ca="1">EFEITO!$L$557*EFEITO!$Z$557</f>
        <v>-33302.195242888738</v>
      </c>
      <c r="L557" s="100">
        <f>EFEITO!$N$557*EFEITO!$AA$557</f>
        <v>-23258.404824149147</v>
      </c>
      <c r="M557" s="100">
        <f>$J$557-EFEITO!$K$557*EFEITO!$Y$557</f>
        <v>0</v>
      </c>
      <c r="N557" s="100">
        <f ca="1">$K$557-EFEITO!$M$557*EFEITO!$Z$557</f>
        <v>0</v>
      </c>
      <c r="O557" s="100">
        <f>$L$557-EFEITO!$O$557*EFEITO!$AA$557</f>
        <v>0</v>
      </c>
      <c r="P557" s="17"/>
      <c r="Q557" s="17"/>
      <c r="R557" s="17"/>
      <c r="S557" s="17"/>
      <c r="T557" s="17"/>
      <c r="U557" s="17"/>
      <c r="V557" s="17"/>
      <c r="W557" s="17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91" t="s">
        <v>55</v>
      </c>
      <c r="B558" s="91" t="s">
        <v>22</v>
      </c>
      <c r="C558" s="91" t="s">
        <v>23</v>
      </c>
      <c r="D558" s="91" t="s">
        <v>24</v>
      </c>
      <c r="E558" s="91" t="s">
        <v>24</v>
      </c>
      <c r="F558" s="91" t="s">
        <v>25</v>
      </c>
      <c r="G558" s="91" t="s">
        <v>25</v>
      </c>
      <c r="H558" s="91" t="s">
        <v>25</v>
      </c>
      <c r="I558" s="99">
        <v>44531</v>
      </c>
      <c r="J558" s="100">
        <f>EFEITO!$J$558*EFEITO!$Y$558</f>
        <v>0</v>
      </c>
      <c r="K558" s="100">
        <f ca="1">EFEITO!$L$558*EFEITO!$Z$558</f>
        <v>30476.718512026204</v>
      </c>
      <c r="L558" s="100">
        <f>EFEITO!$N$558*EFEITO!$AA$558</f>
        <v>21285.079007387954</v>
      </c>
      <c r="M558" s="100">
        <f>$J$558-EFEITO!$K$558*EFEITO!$Y$558</f>
        <v>0</v>
      </c>
      <c r="N558" s="100">
        <f ca="1">$K$558-EFEITO!$M$558*EFEITO!$Z$558</f>
        <v>0</v>
      </c>
      <c r="O558" s="100">
        <f>$L$558-EFEITO!$O$558*EFEITO!$AA$558</f>
        <v>0</v>
      </c>
      <c r="P558" s="17"/>
      <c r="Q558" s="17"/>
      <c r="R558" s="17"/>
      <c r="S558" s="17"/>
      <c r="T558" s="17"/>
      <c r="U558" s="17"/>
      <c r="V558" s="17"/>
      <c r="W558" s="17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91" t="s">
        <v>21</v>
      </c>
      <c r="B559" s="91" t="s">
        <v>22</v>
      </c>
      <c r="C559" s="91" t="s">
        <v>23</v>
      </c>
      <c r="D559" s="91" t="s">
        <v>24</v>
      </c>
      <c r="E559" s="91" t="s">
        <v>24</v>
      </c>
      <c r="F559" s="91" t="s">
        <v>25</v>
      </c>
      <c r="G559" s="91" t="s">
        <v>25</v>
      </c>
      <c r="H559" s="91" t="s">
        <v>25</v>
      </c>
      <c r="I559" s="99">
        <v>44562</v>
      </c>
      <c r="J559" s="100">
        <f>EFEITO!$J$559*EFEITO!$Y$559</f>
        <v>0</v>
      </c>
      <c r="K559" s="100">
        <f ca="1">EFEITO!$L$559*EFEITO!$Z$559</f>
        <v>1970104.0947279886</v>
      </c>
      <c r="L559" s="100">
        <f>EFEITO!$N$559*EFEITO!$AA$559</f>
        <v>1375929.6721041847</v>
      </c>
      <c r="M559" s="100">
        <f>$J$559-EFEITO!$K$559*EFEITO!$Y$559</f>
        <v>0</v>
      </c>
      <c r="N559" s="100">
        <f ca="1">$K$559-EFEITO!$M$559*EFEITO!$Z$559</f>
        <v>0</v>
      </c>
      <c r="O559" s="100">
        <f>$L$559-EFEITO!$O$559*EFEITO!$AA$559</f>
        <v>0</v>
      </c>
      <c r="P559" s="17"/>
      <c r="Q559" s="17"/>
      <c r="R559" s="17"/>
      <c r="S559" s="17"/>
      <c r="T559" s="17"/>
      <c r="U559" s="17"/>
      <c r="V559" s="17"/>
      <c r="W559" s="17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91" t="s">
        <v>27</v>
      </c>
      <c r="B560" s="91" t="s">
        <v>22</v>
      </c>
      <c r="C560" s="91" t="s">
        <v>23</v>
      </c>
      <c r="D560" s="91" t="s">
        <v>24</v>
      </c>
      <c r="E560" s="91" t="s">
        <v>24</v>
      </c>
      <c r="F560" s="91" t="s">
        <v>25</v>
      </c>
      <c r="G560" s="91" t="s">
        <v>25</v>
      </c>
      <c r="H560" s="91" t="s">
        <v>25</v>
      </c>
      <c r="I560" s="99">
        <v>44562</v>
      </c>
      <c r="J560" s="100">
        <f>EFEITO!$J$560*EFEITO!$Y$560</f>
        <v>0</v>
      </c>
      <c r="K560" s="100">
        <f ca="1">EFEITO!$L$560*EFEITO!$Z$560</f>
        <v>-4028.8960676227466</v>
      </c>
      <c r="L560" s="100">
        <f>EFEITO!$N$560*EFEITO!$AA$560</f>
        <v>-2813.7993622267918</v>
      </c>
      <c r="M560" s="100">
        <f>$J$560-EFEITO!$K$560*EFEITO!$Y$560</f>
        <v>0</v>
      </c>
      <c r="N560" s="100">
        <f ca="1">$K$560-EFEITO!$M$560*EFEITO!$Z$560</f>
        <v>0</v>
      </c>
      <c r="O560" s="100">
        <f>$L$560-EFEITO!$O$560*EFEITO!$AA$560</f>
        <v>0</v>
      </c>
      <c r="P560" s="17"/>
      <c r="Q560" s="17"/>
      <c r="R560" s="17"/>
      <c r="S560" s="17"/>
      <c r="T560" s="17"/>
      <c r="U560" s="17"/>
      <c r="V560" s="17"/>
      <c r="W560" s="17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91" t="s">
        <v>55</v>
      </c>
      <c r="B561" s="91" t="s">
        <v>22</v>
      </c>
      <c r="C561" s="91" t="s">
        <v>23</v>
      </c>
      <c r="D561" s="91" t="s">
        <v>24</v>
      </c>
      <c r="E561" s="91" t="s">
        <v>24</v>
      </c>
      <c r="F561" s="91" t="s">
        <v>25</v>
      </c>
      <c r="G561" s="91" t="s">
        <v>25</v>
      </c>
      <c r="H561" s="91" t="s">
        <v>25</v>
      </c>
      <c r="I561" s="99">
        <v>44562</v>
      </c>
      <c r="J561" s="100">
        <f>EFEITO!$J$561*EFEITO!$Y$561</f>
        <v>0</v>
      </c>
      <c r="K561" s="100">
        <f ca="1">EFEITO!$L$561*EFEITO!$Z$561</f>
        <v>36185.449308163625</v>
      </c>
      <c r="L561" s="100">
        <f>EFEITO!$N$561*EFEITO!$AA$561</f>
        <v>25272.08259439635</v>
      </c>
      <c r="M561" s="100">
        <f>$J$561-EFEITO!$K$561*EFEITO!$Y$561</f>
        <v>0</v>
      </c>
      <c r="N561" s="100">
        <f ca="1">$K$561-EFEITO!$M$561*EFEITO!$Z$561</f>
        <v>0</v>
      </c>
      <c r="O561" s="100">
        <f>$L$561-EFEITO!$O$561*EFEITO!$AA$561</f>
        <v>0</v>
      </c>
      <c r="P561" s="17"/>
      <c r="Q561" s="17"/>
      <c r="R561" s="17"/>
      <c r="S561" s="17"/>
      <c r="T561" s="17"/>
      <c r="U561" s="17"/>
      <c r="V561" s="17"/>
      <c r="W561" s="17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91" t="s">
        <v>55</v>
      </c>
      <c r="B562" s="91" t="s">
        <v>22</v>
      </c>
      <c r="C562" s="91" t="s">
        <v>23</v>
      </c>
      <c r="D562" s="91" t="s">
        <v>24</v>
      </c>
      <c r="E562" s="91" t="s">
        <v>24</v>
      </c>
      <c r="F562" s="91" t="s">
        <v>25</v>
      </c>
      <c r="G562" s="91" t="s">
        <v>25</v>
      </c>
      <c r="H562" s="91" t="s">
        <v>25</v>
      </c>
      <c r="I562" s="99">
        <v>44562</v>
      </c>
      <c r="J562" s="100">
        <f>EFEITO!$J$562*EFEITO!$Y$562</f>
        <v>0</v>
      </c>
      <c r="K562" s="100">
        <f ca="1">EFEITO!$L$562*EFEITO!$Z$562</f>
        <v>-333.1276024118128</v>
      </c>
      <c r="L562" s="100">
        <f>EFEITO!$N$562*EFEITO!$AA$562</f>
        <v>-232.65783467072302</v>
      </c>
      <c r="M562" s="100">
        <f>$J$562-EFEITO!$K$562*EFEITO!$Y$562</f>
        <v>0</v>
      </c>
      <c r="N562" s="100">
        <f ca="1">$K$562-EFEITO!$M$562*EFEITO!$Z$562</f>
        <v>0</v>
      </c>
      <c r="O562" s="100">
        <f>$L$562-EFEITO!$O$562*EFEITO!$AA$562</f>
        <v>0</v>
      </c>
      <c r="P562" s="17"/>
      <c r="Q562" s="17"/>
      <c r="R562" s="17"/>
      <c r="S562" s="17"/>
      <c r="T562" s="17"/>
      <c r="U562" s="17"/>
      <c r="V562" s="17"/>
      <c r="W562" s="17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91" t="s">
        <v>21</v>
      </c>
      <c r="B563" s="91" t="s">
        <v>22</v>
      </c>
      <c r="C563" s="91" t="s">
        <v>23</v>
      </c>
      <c r="D563" s="91" t="s">
        <v>24</v>
      </c>
      <c r="E563" s="91" t="s">
        <v>24</v>
      </c>
      <c r="F563" s="91" t="s">
        <v>25</v>
      </c>
      <c r="G563" s="91" t="s">
        <v>25</v>
      </c>
      <c r="H563" s="91" t="s">
        <v>25</v>
      </c>
      <c r="I563" s="99">
        <v>44593</v>
      </c>
      <c r="J563" s="100">
        <f>EFEITO!$J$563*EFEITO!$Y$563</f>
        <v>0</v>
      </c>
      <c r="K563" s="100">
        <f ca="1">EFEITO!$L$563*EFEITO!$Z$563</f>
        <v>1930699.6225025652</v>
      </c>
      <c r="L563" s="100">
        <f>EFEITO!$N$563*EFEITO!$AA$563</f>
        <v>1348409.4092441399</v>
      </c>
      <c r="M563" s="100">
        <f>$J$563-EFEITO!$K$563*EFEITO!$Y$563</f>
        <v>0</v>
      </c>
      <c r="N563" s="100">
        <f ca="1">$K$563-EFEITO!$M$563*EFEITO!$Z$563</f>
        <v>0</v>
      </c>
      <c r="O563" s="100">
        <f>$L$563-EFEITO!$O$563*EFEITO!$AA$563</f>
        <v>0</v>
      </c>
      <c r="P563" s="17"/>
      <c r="Q563" s="17"/>
      <c r="R563" s="17"/>
      <c r="S563" s="17"/>
      <c r="T563" s="17"/>
      <c r="U563" s="17"/>
      <c r="V563" s="17"/>
      <c r="W563" s="17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91" t="s">
        <v>27</v>
      </c>
      <c r="B564" s="91" t="s">
        <v>22</v>
      </c>
      <c r="C564" s="91" t="s">
        <v>23</v>
      </c>
      <c r="D564" s="91" t="s">
        <v>24</v>
      </c>
      <c r="E564" s="91" t="s">
        <v>24</v>
      </c>
      <c r="F564" s="91" t="s">
        <v>25</v>
      </c>
      <c r="G564" s="91" t="s">
        <v>25</v>
      </c>
      <c r="H564" s="91" t="s">
        <v>25</v>
      </c>
      <c r="I564" s="99">
        <v>44593</v>
      </c>
      <c r="J564" s="100">
        <f>EFEITO!$J$564*EFEITO!$Y$564</f>
        <v>0</v>
      </c>
      <c r="K564" s="100">
        <f ca="1">EFEITO!$L$564*EFEITO!$Z$564</f>
        <v>-3170.1598001568154</v>
      </c>
      <c r="L564" s="100">
        <f>EFEITO!$N$564*EFEITO!$AA$564</f>
        <v>-2214.0540421291207</v>
      </c>
      <c r="M564" s="100">
        <f>$J$564-EFEITO!$K$564*EFEITO!$Y$564</f>
        <v>0</v>
      </c>
      <c r="N564" s="100">
        <f ca="1">$K$564-EFEITO!$M$564*EFEITO!$Z$564</f>
        <v>0</v>
      </c>
      <c r="O564" s="100">
        <f>$L$564-EFEITO!$O$564*EFEITO!$AA$564</f>
        <v>0</v>
      </c>
      <c r="P564" s="17"/>
      <c r="Q564" s="17"/>
      <c r="R564" s="17"/>
      <c r="S564" s="17"/>
      <c r="T564" s="17"/>
      <c r="U564" s="17"/>
      <c r="V564" s="17"/>
      <c r="W564" s="17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91" t="s">
        <v>55</v>
      </c>
      <c r="B565" s="91" t="s">
        <v>22</v>
      </c>
      <c r="C565" s="91" t="s">
        <v>23</v>
      </c>
      <c r="D565" s="91" t="s">
        <v>24</v>
      </c>
      <c r="E565" s="91" t="s">
        <v>24</v>
      </c>
      <c r="F565" s="91" t="s">
        <v>25</v>
      </c>
      <c r="G565" s="91" t="s">
        <v>25</v>
      </c>
      <c r="H565" s="91" t="s">
        <v>25</v>
      </c>
      <c r="I565" s="99">
        <v>44593</v>
      </c>
      <c r="J565" s="100">
        <f>EFEITO!$J$565*EFEITO!$Y$565</f>
        <v>0</v>
      </c>
      <c r="K565" s="100">
        <f ca="1">EFEITO!$L$565*EFEITO!$Z$565</f>
        <v>41367.580970656993</v>
      </c>
      <c r="L565" s="100">
        <f>EFEITO!$N$565*EFEITO!$AA$565</f>
        <v>28891.30694820375</v>
      </c>
      <c r="M565" s="100">
        <f>$J$565-EFEITO!$K$565*EFEITO!$Y$565</f>
        <v>0</v>
      </c>
      <c r="N565" s="100">
        <f ca="1">$K$565-EFEITO!$M$565*EFEITO!$Z$565</f>
        <v>0</v>
      </c>
      <c r="O565" s="100">
        <f>$L$565-EFEITO!$O$565*EFEITO!$AA$565</f>
        <v>0</v>
      </c>
      <c r="P565" s="17"/>
      <c r="Q565" s="17"/>
      <c r="R565" s="17"/>
      <c r="S565" s="17"/>
      <c r="T565" s="17"/>
      <c r="U565" s="17"/>
      <c r="V565" s="17"/>
      <c r="W565" s="17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91" t="s">
        <v>21</v>
      </c>
      <c r="B566" s="91" t="s">
        <v>22</v>
      </c>
      <c r="C566" s="91" t="s">
        <v>23</v>
      </c>
      <c r="D566" s="91" t="s">
        <v>24</v>
      </c>
      <c r="E566" s="91" t="s">
        <v>24</v>
      </c>
      <c r="F566" s="91" t="s">
        <v>25</v>
      </c>
      <c r="G566" s="91" t="s">
        <v>25</v>
      </c>
      <c r="H566" s="91" t="s">
        <v>25</v>
      </c>
      <c r="I566" s="99">
        <v>44621</v>
      </c>
      <c r="J566" s="100">
        <f>EFEITO!$J$566*EFEITO!$Y$566</f>
        <v>0</v>
      </c>
      <c r="K566" s="100">
        <f ca="1">EFEITO!$L$566*EFEITO!$Z$566</f>
        <v>1900868.0291987774</v>
      </c>
      <c r="L566" s="100">
        <f>EFEITO!$N$566*EFEITO!$AA$566</f>
        <v>1327574.8886202469</v>
      </c>
      <c r="M566" s="100">
        <f>$J$566-EFEITO!$K$566*EFEITO!$Y$566</f>
        <v>0</v>
      </c>
      <c r="N566" s="100">
        <f ca="1">$K$566-EFEITO!$M$566*EFEITO!$Z$566</f>
        <v>0</v>
      </c>
      <c r="O566" s="100">
        <f>$L$566-EFEITO!$O$566*EFEITO!$AA$566</f>
        <v>0</v>
      </c>
      <c r="P566" s="17"/>
      <c r="Q566" s="17"/>
      <c r="R566" s="17"/>
      <c r="S566" s="17"/>
      <c r="T566" s="17"/>
      <c r="U566" s="17"/>
      <c r="V566" s="17"/>
      <c r="W566" s="17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91" t="s">
        <v>27</v>
      </c>
      <c r="B567" s="91" t="s">
        <v>22</v>
      </c>
      <c r="C567" s="91" t="s">
        <v>23</v>
      </c>
      <c r="D567" s="91" t="s">
        <v>24</v>
      </c>
      <c r="E567" s="91" t="s">
        <v>24</v>
      </c>
      <c r="F567" s="91" t="s">
        <v>25</v>
      </c>
      <c r="G567" s="91" t="s">
        <v>25</v>
      </c>
      <c r="H567" s="91" t="s">
        <v>25</v>
      </c>
      <c r="I567" s="99">
        <v>44621</v>
      </c>
      <c r="J567" s="100">
        <f>EFEITO!$J$567*EFEITO!$Y$567</f>
        <v>0</v>
      </c>
      <c r="K567" s="100">
        <f ca="1">EFEITO!$L$567*EFEITO!$Z$567</f>
        <v>-9283.0017809840847</v>
      </c>
      <c r="L567" s="100">
        <f>EFEITO!$N$567*EFEITO!$AA$567</f>
        <v>-6483.2907209481864</v>
      </c>
      <c r="M567" s="100">
        <f>$J$567-EFEITO!$K$567*EFEITO!$Y$567</f>
        <v>0</v>
      </c>
      <c r="N567" s="100">
        <f ca="1">$K$567-EFEITO!$M$567*EFEITO!$Z$567</f>
        <v>0</v>
      </c>
      <c r="O567" s="100">
        <f>$L$567-EFEITO!$O$567*EFEITO!$AA$567</f>
        <v>0</v>
      </c>
      <c r="P567" s="17"/>
      <c r="Q567" s="17"/>
      <c r="R567" s="17"/>
      <c r="S567" s="17"/>
      <c r="T567" s="17"/>
      <c r="U567" s="17"/>
      <c r="V567" s="17"/>
      <c r="W567" s="17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91" t="s">
        <v>55</v>
      </c>
      <c r="B568" s="91" t="s">
        <v>22</v>
      </c>
      <c r="C568" s="91" t="s">
        <v>23</v>
      </c>
      <c r="D568" s="91" t="s">
        <v>24</v>
      </c>
      <c r="E568" s="91" t="s">
        <v>24</v>
      </c>
      <c r="F568" s="91" t="s">
        <v>25</v>
      </c>
      <c r="G568" s="91" t="s">
        <v>25</v>
      </c>
      <c r="H568" s="91" t="s">
        <v>25</v>
      </c>
      <c r="I568" s="99">
        <v>44621</v>
      </c>
      <c r="J568" s="100">
        <f>EFEITO!$J$568*EFEITO!$Y$568</f>
        <v>0</v>
      </c>
      <c r="K568" s="100">
        <f ca="1">EFEITO!$L$568*EFEITO!$Z$568</f>
        <v>44580.991232573921</v>
      </c>
      <c r="L568" s="100">
        <f>EFEITO!$N$568*EFEITO!$AA$568</f>
        <v>31135.567309799535</v>
      </c>
      <c r="M568" s="100">
        <f>$J$568-EFEITO!$K$568*EFEITO!$Y$568</f>
        <v>0</v>
      </c>
      <c r="N568" s="100">
        <f ca="1">$K$568-EFEITO!$M$568*EFEITO!$Z$568</f>
        <v>0</v>
      </c>
      <c r="O568" s="100">
        <f>$L$568-EFEITO!$O$568*EFEITO!$AA$568</f>
        <v>0</v>
      </c>
      <c r="P568" s="17"/>
      <c r="Q568" s="17"/>
      <c r="R568" s="17"/>
      <c r="S568" s="17"/>
      <c r="T568" s="17"/>
      <c r="U568" s="17"/>
      <c r="V568" s="17"/>
      <c r="W568" s="17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91" t="s">
        <v>55</v>
      </c>
      <c r="B569" s="91" t="s">
        <v>22</v>
      </c>
      <c r="C569" s="91" t="s">
        <v>23</v>
      </c>
      <c r="D569" s="91" t="s">
        <v>24</v>
      </c>
      <c r="E569" s="91" t="s">
        <v>24</v>
      </c>
      <c r="F569" s="91" t="s">
        <v>25</v>
      </c>
      <c r="G569" s="91" t="s">
        <v>25</v>
      </c>
      <c r="H569" s="91" t="s">
        <v>25</v>
      </c>
      <c r="I569" s="99">
        <v>44621</v>
      </c>
      <c r="J569" s="100">
        <f>EFEITO!$J$569*EFEITO!$Y$569</f>
        <v>0</v>
      </c>
      <c r="K569" s="100">
        <f ca="1">EFEITO!$L$569*EFEITO!$Z$569</f>
        <v>1141.6801279881554</v>
      </c>
      <c r="L569" s="100">
        <f>EFEITO!$N$569*EFEITO!$AA$569</f>
        <v>797.3546008834096</v>
      </c>
      <c r="M569" s="100">
        <f>$J$569-EFEITO!$K$569*EFEITO!$Y$569</f>
        <v>0</v>
      </c>
      <c r="N569" s="100">
        <f ca="1">$K$569-EFEITO!$M$569*EFEITO!$Z$569</f>
        <v>0</v>
      </c>
      <c r="O569" s="100">
        <f>$L$569-EFEITO!$O$569*EFEITO!$AA$569</f>
        <v>0</v>
      </c>
      <c r="P569" s="17"/>
      <c r="Q569" s="17"/>
      <c r="R569" s="17"/>
      <c r="S569" s="17"/>
      <c r="T569" s="17"/>
      <c r="U569" s="17"/>
      <c r="V569" s="17"/>
      <c r="W569" s="17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91" t="s">
        <v>21</v>
      </c>
      <c r="B570" s="91" t="s">
        <v>22</v>
      </c>
      <c r="C570" s="91" t="s">
        <v>23</v>
      </c>
      <c r="D570" s="91" t="s">
        <v>24</v>
      </c>
      <c r="E570" s="91" t="s">
        <v>24</v>
      </c>
      <c r="F570" s="91" t="s">
        <v>25</v>
      </c>
      <c r="G570" s="91" t="s">
        <v>25</v>
      </c>
      <c r="H570" s="91" t="s">
        <v>25</v>
      </c>
      <c r="I570" s="99">
        <v>44652</v>
      </c>
      <c r="J570" s="100">
        <f>EFEITO!$J$570*EFEITO!$Y$570</f>
        <v>0</v>
      </c>
      <c r="K570" s="100">
        <f ca="1">EFEITO!$L$570*EFEITO!$Z$570</f>
        <v>1489647.5911266345</v>
      </c>
      <c r="L570" s="100">
        <f>EFEITO!$N$570*EFEITO!$AA$570</f>
        <v>1040376.6618700689</v>
      </c>
      <c r="M570" s="100">
        <f>$J$570-EFEITO!$K$570*EFEITO!$Y$570</f>
        <v>0</v>
      </c>
      <c r="N570" s="100">
        <f ca="1">$K$570-EFEITO!$M$570*EFEITO!$Z$570</f>
        <v>0</v>
      </c>
      <c r="O570" s="100">
        <f>$L$570-EFEITO!$O$570*EFEITO!$AA$570</f>
        <v>0</v>
      </c>
      <c r="P570" s="17"/>
      <c r="Q570" s="17"/>
      <c r="R570" s="17"/>
      <c r="S570" s="17"/>
      <c r="T570" s="17"/>
      <c r="U570" s="17"/>
      <c r="V570" s="17"/>
      <c r="W570" s="17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91" t="s">
        <v>27</v>
      </c>
      <c r="B571" s="91" t="s">
        <v>22</v>
      </c>
      <c r="C571" s="91" t="s">
        <v>23</v>
      </c>
      <c r="D571" s="91" t="s">
        <v>24</v>
      </c>
      <c r="E571" s="91" t="s">
        <v>24</v>
      </c>
      <c r="F571" s="91" t="s">
        <v>25</v>
      </c>
      <c r="G571" s="91" t="s">
        <v>25</v>
      </c>
      <c r="H571" s="91" t="s">
        <v>25</v>
      </c>
      <c r="I571" s="99">
        <v>44652</v>
      </c>
      <c r="J571" s="100">
        <f>EFEITO!$J$571*EFEITO!$Y$571</f>
        <v>0</v>
      </c>
      <c r="K571" s="100">
        <f ca="1">EFEITO!$L$571*EFEITO!$Z$571</f>
        <v>-2902.4031246801255</v>
      </c>
      <c r="L571" s="100">
        <f>EFEITO!$N$571*EFEITO!$AA$571</f>
        <v>-2027.0515605454175</v>
      </c>
      <c r="M571" s="100">
        <f>$J$571-EFEITO!$K$571*EFEITO!$Y$571</f>
        <v>0</v>
      </c>
      <c r="N571" s="100">
        <f ca="1">$K$571-EFEITO!$M$571*EFEITO!$Z$571</f>
        <v>0</v>
      </c>
      <c r="O571" s="100">
        <f>$L$571-EFEITO!$O$571*EFEITO!$AA$571</f>
        <v>0</v>
      </c>
      <c r="P571" s="17"/>
      <c r="Q571" s="17"/>
      <c r="R571" s="17"/>
      <c r="S571" s="17"/>
      <c r="T571" s="17"/>
      <c r="U571" s="17"/>
      <c r="V571" s="17"/>
      <c r="W571" s="17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91" t="s">
        <v>55</v>
      </c>
      <c r="B572" s="91" t="s">
        <v>22</v>
      </c>
      <c r="C572" s="91" t="s">
        <v>23</v>
      </c>
      <c r="D572" s="91" t="s">
        <v>24</v>
      </c>
      <c r="E572" s="91" t="s">
        <v>24</v>
      </c>
      <c r="F572" s="91" t="s">
        <v>25</v>
      </c>
      <c r="G572" s="91" t="s">
        <v>25</v>
      </c>
      <c r="H572" s="91" t="s">
        <v>25</v>
      </c>
      <c r="I572" s="99">
        <v>44652</v>
      </c>
      <c r="J572" s="100">
        <f>EFEITO!$J$572*EFEITO!$Y$572</f>
        <v>0</v>
      </c>
      <c r="K572" s="100">
        <f ca="1">EFEITO!$L$572*EFEITO!$Z$572</f>
        <v>38385.280046389496</v>
      </c>
      <c r="L572" s="100">
        <f>EFEITO!$N$572*EFEITO!$AA$572</f>
        <v>26808.454400551975</v>
      </c>
      <c r="M572" s="100">
        <f>$J$572-EFEITO!$K$572*EFEITO!$Y$572</f>
        <v>0</v>
      </c>
      <c r="N572" s="100">
        <f ca="1">$K$572-EFEITO!$M$572*EFEITO!$Z$572</f>
        <v>0</v>
      </c>
      <c r="O572" s="100">
        <f>$L$572-EFEITO!$O$572*EFEITO!$AA$572</f>
        <v>0</v>
      </c>
      <c r="P572" s="17"/>
      <c r="Q572" s="17"/>
      <c r="R572" s="17"/>
      <c r="S572" s="17"/>
      <c r="T572" s="17"/>
      <c r="U572" s="17"/>
      <c r="V572" s="17"/>
      <c r="W572" s="17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91" t="s">
        <v>55</v>
      </c>
      <c r="B573" s="91" t="s">
        <v>22</v>
      </c>
      <c r="C573" s="91" t="s">
        <v>23</v>
      </c>
      <c r="D573" s="91" t="s">
        <v>24</v>
      </c>
      <c r="E573" s="91" t="s">
        <v>24</v>
      </c>
      <c r="F573" s="91" t="s">
        <v>25</v>
      </c>
      <c r="G573" s="91" t="s">
        <v>25</v>
      </c>
      <c r="H573" s="91" t="s">
        <v>25</v>
      </c>
      <c r="I573" s="99">
        <v>44652</v>
      </c>
      <c r="J573" s="100">
        <f>EFEITO!$J$573*EFEITO!$Y$573</f>
        <v>0</v>
      </c>
      <c r="K573" s="100">
        <f ca="1">EFEITO!$L$573*EFEITO!$Z$573</f>
        <v>-106.97060771201919</v>
      </c>
      <c r="L573" s="100">
        <f>EFEITO!$N$573*EFEITO!$AA$573</f>
        <v>-74.708759596941789</v>
      </c>
      <c r="M573" s="100">
        <f>$J$573-EFEITO!$K$573*EFEITO!$Y$573</f>
        <v>0</v>
      </c>
      <c r="N573" s="100">
        <f ca="1">$K$573-EFEITO!$M$573*EFEITO!$Z$573</f>
        <v>0</v>
      </c>
      <c r="O573" s="100">
        <f>$L$573-EFEITO!$O$573*EFEITO!$AA$573</f>
        <v>0</v>
      </c>
      <c r="P573" s="17"/>
      <c r="Q573" s="17"/>
      <c r="R573" s="17"/>
      <c r="S573" s="17"/>
      <c r="T573" s="17"/>
      <c r="U573" s="17"/>
      <c r="V573" s="17"/>
      <c r="W573" s="17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91" t="s">
        <v>21</v>
      </c>
      <c r="B574" s="91" t="s">
        <v>22</v>
      </c>
      <c r="C574" s="91" t="s">
        <v>23</v>
      </c>
      <c r="D574" s="91" t="s">
        <v>24</v>
      </c>
      <c r="E574" s="91" t="s">
        <v>24</v>
      </c>
      <c r="F574" s="91" t="s">
        <v>25</v>
      </c>
      <c r="G574" s="91" t="s">
        <v>25</v>
      </c>
      <c r="H574" s="91" t="s">
        <v>25</v>
      </c>
      <c r="I574" s="99">
        <v>44682</v>
      </c>
      <c r="J574" s="100">
        <f>EFEITO!$J$574*EFEITO!$Y$574</f>
        <v>0</v>
      </c>
      <c r="K574" s="100">
        <f ca="1">EFEITO!$L$574*EFEITO!$Z$574</f>
        <v>1517919.5265574849</v>
      </c>
      <c r="L574" s="100">
        <f>EFEITO!$N$574*EFEITO!$AA$574</f>
        <v>1060121.9103324309</v>
      </c>
      <c r="M574" s="100">
        <f>$J$574-EFEITO!$K$574*EFEITO!$Y$574</f>
        <v>0</v>
      </c>
      <c r="N574" s="100">
        <f ca="1">$K$574-EFEITO!$M$574*EFEITO!$Z$574</f>
        <v>0</v>
      </c>
      <c r="O574" s="100">
        <f>$L$574-EFEITO!$O$574*EFEITO!$AA$574</f>
        <v>0</v>
      </c>
      <c r="P574" s="17"/>
      <c r="Q574" s="17"/>
      <c r="R574" s="17"/>
      <c r="S574" s="17"/>
      <c r="T574" s="17"/>
      <c r="U574" s="17"/>
      <c r="V574" s="17"/>
      <c r="W574" s="17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91" t="s">
        <v>27</v>
      </c>
      <c r="B575" s="91" t="s">
        <v>22</v>
      </c>
      <c r="C575" s="91" t="s">
        <v>23</v>
      </c>
      <c r="D575" s="91" t="s">
        <v>24</v>
      </c>
      <c r="E575" s="91" t="s">
        <v>24</v>
      </c>
      <c r="F575" s="91" t="s">
        <v>25</v>
      </c>
      <c r="G575" s="91" t="s">
        <v>25</v>
      </c>
      <c r="H575" s="91" t="s">
        <v>25</v>
      </c>
      <c r="I575" s="99">
        <v>44682</v>
      </c>
      <c r="J575" s="100">
        <f>EFEITO!$J$575*EFEITO!$Y$575</f>
        <v>0</v>
      </c>
      <c r="K575" s="100">
        <f ca="1">EFEITO!$L$575*EFEITO!$Z$575</f>
        <v>-1780.532368490492</v>
      </c>
      <c r="L575" s="100">
        <f>EFEITO!$N$575*EFEITO!$AA$575</f>
        <v>-1243.531915142923</v>
      </c>
      <c r="M575" s="100">
        <f>$J$575-EFEITO!$K$575*EFEITO!$Y$575</f>
        <v>0</v>
      </c>
      <c r="N575" s="100">
        <f ca="1">$K$575-EFEITO!$M$575*EFEITO!$Z$575</f>
        <v>0</v>
      </c>
      <c r="O575" s="100">
        <f>$L$575-EFEITO!$O$575*EFEITO!$AA$575</f>
        <v>0</v>
      </c>
      <c r="P575" s="17"/>
      <c r="Q575" s="17"/>
      <c r="R575" s="17"/>
      <c r="S575" s="17"/>
      <c r="T575" s="17"/>
      <c r="U575" s="17"/>
      <c r="V575" s="17"/>
      <c r="W575" s="17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91" t="s">
        <v>55</v>
      </c>
      <c r="B576" s="91" t="s">
        <v>22</v>
      </c>
      <c r="C576" s="91" t="s">
        <v>23</v>
      </c>
      <c r="D576" s="91" t="s">
        <v>24</v>
      </c>
      <c r="E576" s="91" t="s">
        <v>24</v>
      </c>
      <c r="F576" s="91" t="s">
        <v>25</v>
      </c>
      <c r="G576" s="91" t="s">
        <v>25</v>
      </c>
      <c r="H576" s="91" t="s">
        <v>25</v>
      </c>
      <c r="I576" s="99">
        <v>44682</v>
      </c>
      <c r="J576" s="100">
        <f>EFEITO!$J$576*EFEITO!$Y$576</f>
        <v>0</v>
      </c>
      <c r="K576" s="100">
        <f ca="1">EFEITO!$L$576*EFEITO!$Z$576</f>
        <v>46385.625003419285</v>
      </c>
      <c r="L576" s="100">
        <f>EFEITO!$N$576*EFEITO!$AA$576</f>
        <v>32395.931754110909</v>
      </c>
      <c r="M576" s="100">
        <f>$J$576-EFEITO!$K$576*EFEITO!$Y$576</f>
        <v>0</v>
      </c>
      <c r="N576" s="100">
        <f ca="1">$K$576-EFEITO!$M$576*EFEITO!$Z$576</f>
        <v>0</v>
      </c>
      <c r="O576" s="100">
        <f>$L$576-EFEITO!$O$576*EFEITO!$AA$576</f>
        <v>0</v>
      </c>
      <c r="P576" s="17"/>
      <c r="Q576" s="17"/>
      <c r="R576" s="17"/>
      <c r="S576" s="17"/>
      <c r="T576" s="17"/>
      <c r="U576" s="17"/>
      <c r="V576" s="17"/>
      <c r="W576" s="17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91" t="s">
        <v>56</v>
      </c>
      <c r="B577" s="91" t="s">
        <v>22</v>
      </c>
      <c r="C577" s="91" t="s">
        <v>23</v>
      </c>
      <c r="D577" s="91" t="s">
        <v>24</v>
      </c>
      <c r="E577" s="91" t="s">
        <v>24</v>
      </c>
      <c r="F577" s="91" t="s">
        <v>25</v>
      </c>
      <c r="G577" s="91" t="s">
        <v>25</v>
      </c>
      <c r="H577" s="91" t="s">
        <v>25</v>
      </c>
      <c r="I577" s="99">
        <v>44713</v>
      </c>
      <c r="J577" s="100">
        <f>EFEITO!$J$577*EFEITO!$Y$577</f>
        <v>0</v>
      </c>
      <c r="K577" s="100">
        <f ca="1">EFEITO!$L$577*EFEITO!$Z$577</f>
        <v>1517919.5265574849</v>
      </c>
      <c r="L577" s="100">
        <f>EFEITO!$N$577*EFEITO!$AA$577</f>
        <v>1060121.9103324309</v>
      </c>
      <c r="M577" s="100">
        <f>$J$577-EFEITO!$K$577*EFEITO!$Y$577</f>
        <v>0</v>
      </c>
      <c r="N577" s="100">
        <f ca="1">$K$577-EFEITO!$M$577*EFEITO!$Z$577</f>
        <v>0</v>
      </c>
      <c r="O577" s="100">
        <f>$L$577-EFEITO!$O$577*EFEITO!$AA$577</f>
        <v>0</v>
      </c>
      <c r="P577" s="17"/>
      <c r="Q577" s="17"/>
      <c r="R577" s="17"/>
      <c r="S577" s="17"/>
      <c r="T577" s="17"/>
      <c r="U577" s="17"/>
      <c r="V577" s="17"/>
      <c r="W577" s="17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91" t="s">
        <v>56</v>
      </c>
      <c r="B578" s="91" t="s">
        <v>22</v>
      </c>
      <c r="C578" s="91" t="s">
        <v>23</v>
      </c>
      <c r="D578" s="91" t="s">
        <v>24</v>
      </c>
      <c r="E578" s="91" t="s">
        <v>24</v>
      </c>
      <c r="F578" s="91" t="s">
        <v>25</v>
      </c>
      <c r="G578" s="91" t="s">
        <v>25</v>
      </c>
      <c r="H578" s="91" t="s">
        <v>25</v>
      </c>
      <c r="I578" s="99">
        <v>44713</v>
      </c>
      <c r="J578" s="100">
        <f>EFEITO!$J$578*EFEITO!$Y$578</f>
        <v>0</v>
      </c>
      <c r="K578" s="100">
        <f ca="1">EFEITO!$L$578*EFEITO!$Z$578</f>
        <v>-1780.532368490492</v>
      </c>
      <c r="L578" s="100">
        <f>EFEITO!$N$578*EFEITO!$AA$578</f>
        <v>-1243.531915142923</v>
      </c>
      <c r="M578" s="100">
        <f>$J$578-EFEITO!$K$578*EFEITO!$Y$578</f>
        <v>0</v>
      </c>
      <c r="N578" s="100">
        <f ca="1">$K$578-EFEITO!$M$578*EFEITO!$Z$578</f>
        <v>0</v>
      </c>
      <c r="O578" s="100">
        <f>$L$578-EFEITO!$O$578*EFEITO!$AA$578</f>
        <v>0</v>
      </c>
      <c r="P578" s="17"/>
      <c r="Q578" s="17"/>
      <c r="R578" s="17"/>
      <c r="S578" s="17"/>
      <c r="T578" s="17"/>
      <c r="U578" s="17"/>
      <c r="V578" s="17"/>
      <c r="W578" s="17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91" t="s">
        <v>56</v>
      </c>
      <c r="B579" s="91" t="s">
        <v>22</v>
      </c>
      <c r="C579" s="91" t="s">
        <v>23</v>
      </c>
      <c r="D579" s="91" t="s">
        <v>24</v>
      </c>
      <c r="E579" s="91" t="s">
        <v>24</v>
      </c>
      <c r="F579" s="91" t="s">
        <v>25</v>
      </c>
      <c r="G579" s="91" t="s">
        <v>25</v>
      </c>
      <c r="H579" s="91" t="s">
        <v>25</v>
      </c>
      <c r="I579" s="99">
        <v>44713</v>
      </c>
      <c r="J579" s="100">
        <f>EFEITO!$J$579*EFEITO!$Y$579</f>
        <v>0</v>
      </c>
      <c r="K579" s="100">
        <f ca="1">EFEITO!$L$579*EFEITO!$Z$579</f>
        <v>46385.625003419285</v>
      </c>
      <c r="L579" s="100">
        <f>EFEITO!$N$579*EFEITO!$AA$579</f>
        <v>32395.931754110909</v>
      </c>
      <c r="M579" s="100">
        <f>$J$579-EFEITO!$K$579*EFEITO!$Y$579</f>
        <v>0</v>
      </c>
      <c r="N579" s="100">
        <f ca="1">$K$579-EFEITO!$M$579*EFEITO!$Z$579</f>
        <v>0</v>
      </c>
      <c r="O579" s="100">
        <f>$L$579-EFEITO!$O$579*EFEITO!$AA$579</f>
        <v>0</v>
      </c>
      <c r="P579" s="17"/>
      <c r="Q579" s="17"/>
      <c r="R579" s="17"/>
      <c r="S579" s="17"/>
      <c r="T579" s="17"/>
      <c r="U579" s="17"/>
      <c r="V579" s="17"/>
      <c r="W579" s="17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91" t="s">
        <v>21</v>
      </c>
      <c r="B580" s="91" t="s">
        <v>22</v>
      </c>
      <c r="C580" s="91" t="s">
        <v>23</v>
      </c>
      <c r="D580" s="91" t="s">
        <v>24</v>
      </c>
      <c r="E580" s="91" t="s">
        <v>28</v>
      </c>
      <c r="F580" s="91" t="s">
        <v>25</v>
      </c>
      <c r="G580" s="91" t="s">
        <v>25</v>
      </c>
      <c r="H580" s="91" t="s">
        <v>25</v>
      </c>
      <c r="I580" s="99">
        <v>44378</v>
      </c>
      <c r="J580" s="100">
        <f>EFEITO!$J$580*EFEITO!$Y$541</f>
        <v>0</v>
      </c>
      <c r="K580" s="100">
        <f ca="1">EFEITO!$L$580*EFEITO!$Z$626</f>
        <v>4662.6074430992212</v>
      </c>
      <c r="L580" s="100">
        <f>EFEITO!$N$580*EFEITO!$AA$626</f>
        <v>4801.4212996516017</v>
      </c>
      <c r="M580" s="100">
        <f>$J$580-EFEITO!$K$580*EFEITO!$Y$580</f>
        <v>0</v>
      </c>
      <c r="N580" s="100">
        <f ca="1">$K$580-EFEITO!$M$580*EFEITO!$Z$580</f>
        <v>3030.6948380144936</v>
      </c>
      <c r="O580" s="100">
        <f>$L$580-EFEITO!$O$580*EFEITO!$AA$580</f>
        <v>3120.9238447735415</v>
      </c>
      <c r="P580" s="17"/>
      <c r="Q580" s="17"/>
      <c r="R580" s="17"/>
      <c r="S580" s="17"/>
      <c r="T580" s="17"/>
      <c r="U580" s="17"/>
      <c r="V580" s="17"/>
      <c r="W580" s="17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91" t="s">
        <v>21</v>
      </c>
      <c r="B581" s="91" t="s">
        <v>22</v>
      </c>
      <c r="C581" s="91" t="s">
        <v>23</v>
      </c>
      <c r="D581" s="91" t="s">
        <v>24</v>
      </c>
      <c r="E581" s="91" t="s">
        <v>28</v>
      </c>
      <c r="F581" s="91" t="s">
        <v>25</v>
      </c>
      <c r="G581" s="91" t="s">
        <v>25</v>
      </c>
      <c r="H581" s="91" t="s">
        <v>25</v>
      </c>
      <c r="I581" s="99">
        <v>44409</v>
      </c>
      <c r="J581" s="100">
        <f>EFEITO!$J$581*EFEITO!$Y$541</f>
        <v>0</v>
      </c>
      <c r="K581" s="100">
        <f ca="1">EFEITO!$L$581*EFEITO!$Z$626</f>
        <v>4675.3706676229049</v>
      </c>
      <c r="L581" s="100">
        <f>EFEITO!$N$581*EFEITO!$AA$626</f>
        <v>4814.5645073584701</v>
      </c>
      <c r="M581" s="100">
        <f>$J$581-EFEITO!$K$581*EFEITO!$Y$581</f>
        <v>0</v>
      </c>
      <c r="N581" s="100">
        <f ca="1">$K$581-EFEITO!$M$581*EFEITO!$Z$581</f>
        <v>3038.9909339548885</v>
      </c>
      <c r="O581" s="100">
        <f>$L$581-EFEITO!$O$581*EFEITO!$AA$581</f>
        <v>3129.4669297830055</v>
      </c>
      <c r="P581" s="17"/>
      <c r="Q581" s="17"/>
      <c r="R581" s="17"/>
      <c r="S581" s="17"/>
      <c r="T581" s="17"/>
      <c r="U581" s="17"/>
      <c r="V581" s="17"/>
      <c r="W581" s="17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91" t="s">
        <v>21</v>
      </c>
      <c r="B582" s="91" t="s">
        <v>22</v>
      </c>
      <c r="C582" s="91" t="s">
        <v>23</v>
      </c>
      <c r="D582" s="91" t="s">
        <v>24</v>
      </c>
      <c r="E582" s="91" t="s">
        <v>28</v>
      </c>
      <c r="F582" s="91" t="s">
        <v>25</v>
      </c>
      <c r="G582" s="91" t="s">
        <v>25</v>
      </c>
      <c r="H582" s="91" t="s">
        <v>25</v>
      </c>
      <c r="I582" s="99">
        <v>44440</v>
      </c>
      <c r="J582" s="100">
        <f>EFEITO!$J$582*EFEITO!$Y$541</f>
        <v>0</v>
      </c>
      <c r="K582" s="100">
        <f ca="1">EFEITO!$L$582*EFEITO!$Z$626</f>
        <v>4668.6531810314927</v>
      </c>
      <c r="L582" s="100">
        <f>EFEITO!$N$582*EFEITO!$AA$626</f>
        <v>4807.6470296180132</v>
      </c>
      <c r="M582" s="100">
        <f>$J$582-EFEITO!$K$582*EFEITO!$Y$582</f>
        <v>0</v>
      </c>
      <c r="N582" s="100">
        <f ca="1">$K$582-EFEITO!$M$582*EFEITO!$Z$582</f>
        <v>3034.6245676704702</v>
      </c>
      <c r="O582" s="100">
        <f>$L$582-EFEITO!$O$582*EFEITO!$AA$582</f>
        <v>3124.9705692517086</v>
      </c>
      <c r="P582" s="17"/>
      <c r="Q582" s="17"/>
      <c r="R582" s="17"/>
      <c r="S582" s="17"/>
      <c r="T582" s="17"/>
      <c r="U582" s="17"/>
      <c r="V582" s="17"/>
      <c r="W582" s="17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91" t="s">
        <v>55</v>
      </c>
      <c r="B583" s="91" t="s">
        <v>22</v>
      </c>
      <c r="C583" s="91" t="s">
        <v>23</v>
      </c>
      <c r="D583" s="91" t="s">
        <v>24</v>
      </c>
      <c r="E583" s="91" t="s">
        <v>28</v>
      </c>
      <c r="F583" s="91" t="s">
        <v>25</v>
      </c>
      <c r="G583" s="91" t="s">
        <v>25</v>
      </c>
      <c r="H583" s="91" t="s">
        <v>25</v>
      </c>
      <c r="I583" s="99">
        <v>44440</v>
      </c>
      <c r="J583" s="100">
        <f>EFEITO!$J$583*EFEITO!$Y$541</f>
        <v>0</v>
      </c>
      <c r="K583" s="100">
        <f ca="1">EFEITO!$L$583*EFEITO!$Z$626</f>
        <v>5.1500730534160351</v>
      </c>
      <c r="L583" s="100">
        <f>EFEITO!$N$583*EFEITO!$AA$626</f>
        <v>5.3033996010174729</v>
      </c>
      <c r="M583" s="100">
        <f>$J$583-EFEITO!$K$583*EFEITO!$Y$583</f>
        <v>0</v>
      </c>
      <c r="N583" s="100">
        <f ca="1">$K$583-EFEITO!$M$583*EFEITO!$Z$583</f>
        <v>4.5191891043725709</v>
      </c>
      <c r="O583" s="100">
        <f>$L$583-EFEITO!$O$583*EFEITO!$AA$583</f>
        <v>4.6537331498928323</v>
      </c>
      <c r="P583" s="17"/>
      <c r="Q583" s="17"/>
      <c r="R583" s="17"/>
      <c r="S583" s="17"/>
      <c r="T583" s="17"/>
      <c r="U583" s="17"/>
      <c r="V583" s="17"/>
      <c r="W583" s="17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91" t="s">
        <v>21</v>
      </c>
      <c r="B584" s="91" t="s">
        <v>22</v>
      </c>
      <c r="C584" s="91" t="s">
        <v>23</v>
      </c>
      <c r="D584" s="91" t="s">
        <v>24</v>
      </c>
      <c r="E584" s="91" t="s">
        <v>28</v>
      </c>
      <c r="F584" s="91" t="s">
        <v>25</v>
      </c>
      <c r="G584" s="91" t="s">
        <v>25</v>
      </c>
      <c r="H584" s="91" t="s">
        <v>25</v>
      </c>
      <c r="I584" s="99">
        <v>44470</v>
      </c>
      <c r="J584" s="100">
        <f>EFEITO!$J$584*EFEITO!$Y$541</f>
        <v>0</v>
      </c>
      <c r="K584" s="100">
        <f ca="1">EFEITO!$L$584*EFEITO!$Z$626</f>
        <v>4729.1105603542028</v>
      </c>
      <c r="L584" s="100">
        <f>EFEITO!$N$584*EFEITO!$AA$626</f>
        <v>4869.9043292821316</v>
      </c>
      <c r="M584" s="100">
        <f>$J$584-EFEITO!$K$584*EFEITO!$Y$584</f>
        <v>0</v>
      </c>
      <c r="N584" s="100">
        <f ca="1">$K$584-EFEITO!$M$584*EFEITO!$Z$584</f>
        <v>3073.9218642302321</v>
      </c>
      <c r="O584" s="100">
        <f>$L$584-EFEITO!$O$584*EFEITO!$AA$584</f>
        <v>3165.4378140333856</v>
      </c>
      <c r="P584" s="17"/>
      <c r="Q584" s="17"/>
      <c r="R584" s="17"/>
      <c r="S584" s="17"/>
      <c r="T584" s="17"/>
      <c r="U584" s="17"/>
      <c r="V584" s="17"/>
      <c r="W584" s="17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91" t="s">
        <v>21</v>
      </c>
      <c r="B585" s="91" t="s">
        <v>22</v>
      </c>
      <c r="C585" s="91" t="s">
        <v>23</v>
      </c>
      <c r="D585" s="91" t="s">
        <v>24</v>
      </c>
      <c r="E585" s="91" t="s">
        <v>28</v>
      </c>
      <c r="F585" s="91" t="s">
        <v>25</v>
      </c>
      <c r="G585" s="91" t="s">
        <v>25</v>
      </c>
      <c r="H585" s="91" t="s">
        <v>25</v>
      </c>
      <c r="I585" s="99">
        <v>44501</v>
      </c>
      <c r="J585" s="100">
        <f>EFEITO!$J$585*EFEITO!$Y$541</f>
        <v>0</v>
      </c>
      <c r="K585" s="100">
        <f ca="1">EFEITO!$L$585*EFEITO!$Z$626</f>
        <v>4784.4178666234966</v>
      </c>
      <c r="L585" s="100">
        <f>EFEITO!$N$585*EFEITO!$AA$626</f>
        <v>4926.8582293452318</v>
      </c>
      <c r="M585" s="100">
        <f>$J$585-EFEITO!$K$585*EFEITO!$Y$585</f>
        <v>0</v>
      </c>
      <c r="N585" s="100">
        <f ca="1">$K$585-EFEITO!$M$585*EFEITO!$Z$585</f>
        <v>3109.8716133052731</v>
      </c>
      <c r="O585" s="100">
        <f>$L$585-EFEITO!$O$585*EFEITO!$AA$585</f>
        <v>3202.4578490744007</v>
      </c>
      <c r="P585" s="17"/>
      <c r="Q585" s="17"/>
      <c r="R585" s="17"/>
      <c r="S585" s="17"/>
      <c r="T585" s="17"/>
      <c r="U585" s="17"/>
      <c r="V585" s="17"/>
      <c r="W585" s="17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91" t="s">
        <v>55</v>
      </c>
      <c r="B586" s="91" t="s">
        <v>22</v>
      </c>
      <c r="C586" s="91" t="s">
        <v>23</v>
      </c>
      <c r="D586" s="91" t="s">
        <v>24</v>
      </c>
      <c r="E586" s="91" t="s">
        <v>28</v>
      </c>
      <c r="F586" s="91" t="s">
        <v>25</v>
      </c>
      <c r="G586" s="91" t="s">
        <v>25</v>
      </c>
      <c r="H586" s="91" t="s">
        <v>25</v>
      </c>
      <c r="I586" s="99">
        <v>44501</v>
      </c>
      <c r="J586" s="100">
        <f>EFEITO!$J$586*EFEITO!$Y$541</f>
        <v>0</v>
      </c>
      <c r="K586" s="100">
        <f ca="1">EFEITO!$L$586*EFEITO!$Z$626</f>
        <v>6.7174865914122188</v>
      </c>
      <c r="L586" s="100">
        <f>EFEITO!$N$586*EFEITO!$AA$626</f>
        <v>6.9174777404575725</v>
      </c>
      <c r="M586" s="100">
        <f>$J$586-EFEITO!$K$586*EFEITO!$Y$586</f>
        <v>0</v>
      </c>
      <c r="N586" s="100">
        <f ca="1">$K$586-EFEITO!$M$586*EFEITO!$Z$586</f>
        <v>5.8945944839642221</v>
      </c>
      <c r="O586" s="100">
        <f>$L$586-EFEITO!$O$586*EFEITO!$AA$586</f>
        <v>6.0700867172515194</v>
      </c>
      <c r="P586" s="17"/>
      <c r="Q586" s="17"/>
      <c r="R586" s="17"/>
      <c r="S586" s="17"/>
      <c r="T586" s="17"/>
      <c r="U586" s="17"/>
      <c r="V586" s="17"/>
      <c r="W586" s="17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91" t="s">
        <v>21</v>
      </c>
      <c r="B587" s="91" t="s">
        <v>22</v>
      </c>
      <c r="C587" s="91" t="s">
        <v>23</v>
      </c>
      <c r="D587" s="91" t="s">
        <v>24</v>
      </c>
      <c r="E587" s="91" t="s">
        <v>28</v>
      </c>
      <c r="F587" s="91" t="s">
        <v>25</v>
      </c>
      <c r="G587" s="91" t="s">
        <v>25</v>
      </c>
      <c r="H587" s="91" t="s">
        <v>25</v>
      </c>
      <c r="I587" s="99">
        <v>44531</v>
      </c>
      <c r="J587" s="100">
        <f>EFEITO!$J$587*EFEITO!$Y$541</f>
        <v>0</v>
      </c>
      <c r="K587" s="100">
        <f ca="1">EFEITO!$L$587*EFEITO!$Z$626</f>
        <v>4776.1329664940877</v>
      </c>
      <c r="L587" s="100">
        <f>EFEITO!$N$587*EFEITO!$AA$626</f>
        <v>4918.3266734653344</v>
      </c>
      <c r="M587" s="100">
        <f>$J$587-EFEITO!$K$587*EFEITO!$Y$587</f>
        <v>0</v>
      </c>
      <c r="N587" s="100">
        <f ca="1">$K$587-EFEITO!$M$587*EFEITO!$Z$587</f>
        <v>3104.486428221157</v>
      </c>
      <c r="O587" s="100">
        <f>$L$587-EFEITO!$O$587*EFEITO!$AA$587</f>
        <v>3196.9123377524675</v>
      </c>
      <c r="P587" s="17"/>
      <c r="Q587" s="17"/>
      <c r="R587" s="17"/>
      <c r="S587" s="17"/>
      <c r="T587" s="17"/>
      <c r="U587" s="17"/>
      <c r="V587" s="17"/>
      <c r="W587" s="17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91" t="s">
        <v>55</v>
      </c>
      <c r="B588" s="91" t="s">
        <v>22</v>
      </c>
      <c r="C588" s="91" t="s">
        <v>23</v>
      </c>
      <c r="D588" s="91" t="s">
        <v>24</v>
      </c>
      <c r="E588" s="91" t="s">
        <v>28</v>
      </c>
      <c r="F588" s="91" t="s">
        <v>25</v>
      </c>
      <c r="G588" s="91" t="s">
        <v>25</v>
      </c>
      <c r="H588" s="91" t="s">
        <v>25</v>
      </c>
      <c r="I588" s="99">
        <v>44531</v>
      </c>
      <c r="J588" s="100">
        <f>EFEITO!$J$588*EFEITO!$Y$541</f>
        <v>0</v>
      </c>
      <c r="K588" s="100">
        <f ca="1">EFEITO!$L$588*EFEITO!$Z$626</f>
        <v>3.8065757351335914</v>
      </c>
      <c r="L588" s="100">
        <f>EFEITO!$N$588*EFEITO!$AA$626</f>
        <v>3.9199040529259581</v>
      </c>
      <c r="M588" s="100">
        <f>$J$588-EFEITO!$K$588*EFEITO!$Y$588</f>
        <v>0</v>
      </c>
      <c r="N588" s="100">
        <f ca="1">$K$588-EFEITO!$M$588*EFEITO!$Z$588</f>
        <v>3.3402702075797266</v>
      </c>
      <c r="O588" s="100">
        <f>$L$588-EFEITO!$O$588*EFEITO!$AA$588</f>
        <v>3.4397158064425284</v>
      </c>
      <c r="P588" s="17"/>
      <c r="Q588" s="17"/>
      <c r="R588" s="17"/>
      <c r="S588" s="17"/>
      <c r="T588" s="17"/>
      <c r="U588" s="17"/>
      <c r="V588" s="17"/>
      <c r="W588" s="17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91" t="s">
        <v>21</v>
      </c>
      <c r="B589" s="91" t="s">
        <v>22</v>
      </c>
      <c r="C589" s="91" t="s">
        <v>23</v>
      </c>
      <c r="D589" s="91" t="s">
        <v>24</v>
      </c>
      <c r="E589" s="91" t="s">
        <v>28</v>
      </c>
      <c r="F589" s="91" t="s">
        <v>25</v>
      </c>
      <c r="G589" s="91" t="s">
        <v>25</v>
      </c>
      <c r="H589" s="91" t="s">
        <v>25</v>
      </c>
      <c r="I589" s="99">
        <v>44562</v>
      </c>
      <c r="J589" s="100">
        <f>EFEITO!$J$589*EFEITO!$Y$541</f>
        <v>0</v>
      </c>
      <c r="K589" s="100">
        <f ca="1">EFEITO!$L$589*EFEITO!$Z$626</f>
        <v>4782.8504530854998</v>
      </c>
      <c r="L589" s="100">
        <f>EFEITO!$N$589*EFEITO!$AA$626</f>
        <v>4925.2441512057921</v>
      </c>
      <c r="M589" s="100">
        <f>$J$589-EFEITO!$K$589*EFEITO!$Y$589</f>
        <v>0</v>
      </c>
      <c r="N589" s="100">
        <f ca="1">$K$589-EFEITO!$M$589*EFEITO!$Z$589</f>
        <v>3108.8527945055748</v>
      </c>
      <c r="O589" s="100">
        <f>$L$589-EFEITO!$O$589*EFEITO!$AA$589</f>
        <v>3201.4086982837653</v>
      </c>
      <c r="P589" s="17"/>
      <c r="Q589" s="17"/>
      <c r="R589" s="17"/>
      <c r="S589" s="17"/>
      <c r="T589" s="17"/>
      <c r="U589" s="17"/>
      <c r="V589" s="17"/>
      <c r="W589" s="17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91" t="s">
        <v>55</v>
      </c>
      <c r="B590" s="91" t="s">
        <v>22</v>
      </c>
      <c r="C590" s="91" t="s">
        <v>23</v>
      </c>
      <c r="D590" s="91" t="s">
        <v>24</v>
      </c>
      <c r="E590" s="91" t="s">
        <v>28</v>
      </c>
      <c r="F590" s="91" t="s">
        <v>25</v>
      </c>
      <c r="G590" s="91" t="s">
        <v>25</v>
      </c>
      <c r="H590" s="91" t="s">
        <v>25</v>
      </c>
      <c r="I590" s="99">
        <v>44562</v>
      </c>
      <c r="J590" s="100">
        <f>EFEITO!$J$590*EFEITO!$Y$541</f>
        <v>0</v>
      </c>
      <c r="K590" s="100">
        <f ca="1">EFEITO!$L$590*EFEITO!$Z$626</f>
        <v>6.7174865914122188</v>
      </c>
      <c r="L590" s="100">
        <f>EFEITO!$N$590*EFEITO!$AA$626</f>
        <v>6.9174777404575725</v>
      </c>
      <c r="M590" s="100">
        <f>$J$590-EFEITO!$K$590*EFEITO!$Y$590</f>
        <v>0</v>
      </c>
      <c r="N590" s="100">
        <f ca="1">$K$590-EFEITO!$M$590*EFEITO!$Z$590</f>
        <v>5.8945944839642221</v>
      </c>
      <c r="O590" s="100">
        <f>$L$590-EFEITO!$O$590*EFEITO!$AA$590</f>
        <v>6.0700867172515194</v>
      </c>
      <c r="P590" s="17"/>
      <c r="Q590" s="17"/>
      <c r="R590" s="17"/>
      <c r="S590" s="17"/>
      <c r="T590" s="17"/>
      <c r="U590" s="17"/>
      <c r="V590" s="17"/>
      <c r="W590" s="17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91" t="s">
        <v>21</v>
      </c>
      <c r="B591" s="91" t="s">
        <v>22</v>
      </c>
      <c r="C591" s="91" t="s">
        <v>23</v>
      </c>
      <c r="D591" s="91" t="s">
        <v>24</v>
      </c>
      <c r="E591" s="91" t="s">
        <v>28</v>
      </c>
      <c r="F591" s="91" t="s">
        <v>25</v>
      </c>
      <c r="G591" s="91" t="s">
        <v>25</v>
      </c>
      <c r="H591" s="91" t="s">
        <v>25</v>
      </c>
      <c r="I591" s="99">
        <v>44593</v>
      </c>
      <c r="J591" s="100">
        <f>EFEITO!$J$591*EFEITO!$Y$541</f>
        <v>0</v>
      </c>
      <c r="K591" s="100">
        <f ca="1">EFEITO!$L$591*EFEITO!$Z$626</f>
        <v>4790.2396883360534</v>
      </c>
      <c r="L591" s="100">
        <f>EFEITO!$N$591*EFEITO!$AA$626</f>
        <v>4932.8533767202953</v>
      </c>
      <c r="M591" s="100">
        <f>$J$591-EFEITO!$K$591*EFEITO!$Y$591</f>
        <v>0</v>
      </c>
      <c r="N591" s="100">
        <f ca="1">$K$591-EFEITO!$M$591*EFEITO!$Z$591</f>
        <v>3113.6557974184343</v>
      </c>
      <c r="O591" s="100">
        <f>$L$591-EFEITO!$O$591*EFEITO!$AA$591</f>
        <v>3206.3546948681919</v>
      </c>
      <c r="P591" s="17"/>
      <c r="Q591" s="17"/>
      <c r="R591" s="17"/>
      <c r="S591" s="17"/>
      <c r="T591" s="17"/>
      <c r="U591" s="17"/>
      <c r="V591" s="17"/>
      <c r="W591" s="17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91" t="s">
        <v>55</v>
      </c>
      <c r="B592" s="91" t="s">
        <v>22</v>
      </c>
      <c r="C592" s="91" t="s">
        <v>23</v>
      </c>
      <c r="D592" s="91" t="s">
        <v>24</v>
      </c>
      <c r="E592" s="91" t="s">
        <v>28</v>
      </c>
      <c r="F592" s="91" t="s">
        <v>25</v>
      </c>
      <c r="G592" s="91" t="s">
        <v>25</v>
      </c>
      <c r="H592" s="91" t="s">
        <v>25</v>
      </c>
      <c r="I592" s="99">
        <v>44593</v>
      </c>
      <c r="J592" s="100">
        <f>EFEITO!$J$592*EFEITO!$Y$541</f>
        <v>0</v>
      </c>
      <c r="K592" s="100">
        <f ca="1">EFEITO!$L$592*EFEITO!$Z$626</f>
        <v>6.7174865914122188</v>
      </c>
      <c r="L592" s="100">
        <f>EFEITO!$N$592*EFEITO!$AA$626</f>
        <v>6.9174777404575725</v>
      </c>
      <c r="M592" s="100">
        <f>$J$592-EFEITO!$K$592*EFEITO!$Y$592</f>
        <v>0</v>
      </c>
      <c r="N592" s="100">
        <f ca="1">$K$592-EFEITO!$M$592*EFEITO!$Z$592</f>
        <v>5.8945944839642221</v>
      </c>
      <c r="O592" s="100">
        <f>$L$592-EFEITO!$O$592*EFEITO!$AA$592</f>
        <v>6.0700867172515194</v>
      </c>
      <c r="P592" s="17"/>
      <c r="Q592" s="17"/>
      <c r="R592" s="17"/>
      <c r="S592" s="17"/>
      <c r="T592" s="17"/>
      <c r="U592" s="17"/>
      <c r="V592" s="17"/>
      <c r="W592" s="17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91" t="s">
        <v>21</v>
      </c>
      <c r="B593" s="91" t="s">
        <v>22</v>
      </c>
      <c r="C593" s="91" t="s">
        <v>23</v>
      </c>
      <c r="D593" s="91" t="s">
        <v>24</v>
      </c>
      <c r="E593" s="91" t="s">
        <v>28</v>
      </c>
      <c r="F593" s="91" t="s">
        <v>25</v>
      </c>
      <c r="G593" s="91" t="s">
        <v>25</v>
      </c>
      <c r="H593" s="91" t="s">
        <v>25</v>
      </c>
      <c r="I593" s="99">
        <v>44621</v>
      </c>
      <c r="J593" s="100">
        <f>EFEITO!$J$593*EFEITO!$Y$541</f>
        <v>0</v>
      </c>
      <c r="K593" s="100">
        <f ca="1">EFEITO!$L$593*EFEITO!$Z$626</f>
        <v>4883.6127519566835</v>
      </c>
      <c r="L593" s="100">
        <f>EFEITO!$N$593*EFEITO!$AA$626</f>
        <v>5029.0063173126555</v>
      </c>
      <c r="M593" s="100">
        <f>$J$593-EFEITO!$K$593*EFEITO!$Y$593</f>
        <v>0</v>
      </c>
      <c r="N593" s="100">
        <f ca="1">$K$593-EFEITO!$M$593*EFEITO!$Z$593</f>
        <v>3174.3482887718446</v>
      </c>
      <c r="O593" s="100">
        <f>$L$593-EFEITO!$O$593*EFEITO!$AA$593</f>
        <v>3268.8541062532263</v>
      </c>
      <c r="P593" s="17"/>
      <c r="Q593" s="17"/>
      <c r="R593" s="17"/>
      <c r="S593" s="17"/>
      <c r="T593" s="17"/>
      <c r="U593" s="17"/>
      <c r="V593" s="17"/>
      <c r="W593" s="17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91" t="s">
        <v>55</v>
      </c>
      <c r="B594" s="91" t="s">
        <v>22</v>
      </c>
      <c r="C594" s="91" t="s">
        <v>23</v>
      </c>
      <c r="D594" s="91" t="s">
        <v>24</v>
      </c>
      <c r="E594" s="91" t="s">
        <v>28</v>
      </c>
      <c r="F594" s="91" t="s">
        <v>25</v>
      </c>
      <c r="G594" s="91" t="s">
        <v>25</v>
      </c>
      <c r="H594" s="91" t="s">
        <v>25</v>
      </c>
      <c r="I594" s="99">
        <v>44621</v>
      </c>
      <c r="J594" s="100">
        <f>EFEITO!$J$594*EFEITO!$Y$541</f>
        <v>0</v>
      </c>
      <c r="K594" s="100">
        <f ca="1">EFEITO!$L$594*EFEITO!$Z$626</f>
        <v>6.7174865914122188</v>
      </c>
      <c r="L594" s="100">
        <f>EFEITO!$N$594*EFEITO!$AA$626</f>
        <v>6.9174777404575725</v>
      </c>
      <c r="M594" s="100">
        <f>$J$594-EFEITO!$K$594*EFEITO!$Y$594</f>
        <v>0</v>
      </c>
      <c r="N594" s="100">
        <f ca="1">$K$594-EFEITO!$M$594*EFEITO!$Z$594</f>
        <v>5.8945944839642221</v>
      </c>
      <c r="O594" s="100">
        <f>$L$594-EFEITO!$O$594*EFEITO!$AA$594</f>
        <v>6.0700867172515194</v>
      </c>
      <c r="P594" s="17"/>
      <c r="Q594" s="17"/>
      <c r="R594" s="17"/>
      <c r="S594" s="17"/>
      <c r="T594" s="17"/>
      <c r="U594" s="17"/>
      <c r="V594" s="17"/>
      <c r="W594" s="17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91" t="s">
        <v>21</v>
      </c>
      <c r="B595" s="91" t="s">
        <v>22</v>
      </c>
      <c r="C595" s="91" t="s">
        <v>23</v>
      </c>
      <c r="D595" s="91" t="s">
        <v>24</v>
      </c>
      <c r="E595" s="91" t="s">
        <v>28</v>
      </c>
      <c r="F595" s="91" t="s">
        <v>25</v>
      </c>
      <c r="G595" s="91" t="s">
        <v>25</v>
      </c>
      <c r="H595" s="91" t="s">
        <v>25</v>
      </c>
      <c r="I595" s="99">
        <v>44652</v>
      </c>
      <c r="J595" s="100">
        <f>EFEITO!$J$595*EFEITO!$Y$541</f>
        <v>0</v>
      </c>
      <c r="K595" s="100">
        <f ca="1">EFEITO!$L$595*EFEITO!$Z$626</f>
        <v>4984.3750508278672</v>
      </c>
      <c r="L595" s="100">
        <f>EFEITO!$N$595*EFEITO!$AA$626</f>
        <v>5132.7684834195197</v>
      </c>
      <c r="M595" s="100">
        <f>$J$595-EFEITO!$K$595*EFEITO!$Y$595</f>
        <v>0</v>
      </c>
      <c r="N595" s="100">
        <f ca="1">$K$595-EFEITO!$M$595*EFEITO!$Z$595</f>
        <v>3239.8437830381135</v>
      </c>
      <c r="O595" s="100">
        <f>$L$595-EFEITO!$O$595*EFEITO!$AA$595</f>
        <v>3336.2995142226882</v>
      </c>
      <c r="P595" s="17"/>
      <c r="Q595" s="17"/>
      <c r="R595" s="17"/>
      <c r="S595" s="17"/>
      <c r="T595" s="17"/>
      <c r="U595" s="17"/>
      <c r="V595" s="17"/>
      <c r="W595" s="17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91" t="s">
        <v>55</v>
      </c>
      <c r="B596" s="91" t="s">
        <v>22</v>
      </c>
      <c r="C596" s="91" t="s">
        <v>23</v>
      </c>
      <c r="D596" s="91" t="s">
        <v>24</v>
      </c>
      <c r="E596" s="91" t="s">
        <v>28</v>
      </c>
      <c r="F596" s="91" t="s">
        <v>25</v>
      </c>
      <c r="G596" s="91" t="s">
        <v>25</v>
      </c>
      <c r="H596" s="91" t="s">
        <v>25</v>
      </c>
      <c r="I596" s="99">
        <v>44652</v>
      </c>
      <c r="J596" s="100">
        <f>EFEITO!$J$596*EFEITO!$Y$541</f>
        <v>0</v>
      </c>
      <c r="K596" s="100">
        <f ca="1">EFEITO!$L$596*EFEITO!$Z$626</f>
        <v>6.7174865914122188</v>
      </c>
      <c r="L596" s="100">
        <f>EFEITO!$N$596*EFEITO!$AA$626</f>
        <v>6.9174777404575725</v>
      </c>
      <c r="M596" s="100">
        <f>$J$596-EFEITO!$K$596*EFEITO!$Y$596</f>
        <v>0</v>
      </c>
      <c r="N596" s="100">
        <f ca="1">$K$596-EFEITO!$M$596*EFEITO!$Z$596</f>
        <v>5.8945944839642221</v>
      </c>
      <c r="O596" s="100">
        <f>$L$596-EFEITO!$O$596*EFEITO!$AA$596</f>
        <v>6.0700867172515194</v>
      </c>
      <c r="P596" s="17"/>
      <c r="Q596" s="17"/>
      <c r="R596" s="17"/>
      <c r="S596" s="17"/>
      <c r="T596" s="17"/>
      <c r="U596" s="17"/>
      <c r="V596" s="17"/>
      <c r="W596" s="17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91" t="s">
        <v>21</v>
      </c>
      <c r="B597" s="91" t="s">
        <v>22</v>
      </c>
      <c r="C597" s="91" t="s">
        <v>23</v>
      </c>
      <c r="D597" s="91" t="s">
        <v>24</v>
      </c>
      <c r="E597" s="91" t="s">
        <v>28</v>
      </c>
      <c r="F597" s="91" t="s">
        <v>25</v>
      </c>
      <c r="G597" s="91" t="s">
        <v>25</v>
      </c>
      <c r="H597" s="91" t="s">
        <v>25</v>
      </c>
      <c r="I597" s="99">
        <v>44682</v>
      </c>
      <c r="J597" s="100">
        <f>EFEITO!$J$597*EFEITO!$Y$541</f>
        <v>0</v>
      </c>
      <c r="K597" s="100">
        <f ca="1">EFEITO!$L$597*EFEITO!$Z$626</f>
        <v>5002.7361808443929</v>
      </c>
      <c r="L597" s="100">
        <f>EFEITO!$N$597*EFEITO!$AA$626</f>
        <v>5151.6762559101026</v>
      </c>
      <c r="M597" s="100">
        <f>$J$597-EFEITO!$K$597*EFEITO!$Y$597</f>
        <v>0</v>
      </c>
      <c r="N597" s="100">
        <f ca="1">$K$597-EFEITO!$M$597*EFEITO!$Z$597</f>
        <v>3251.7785175488552</v>
      </c>
      <c r="O597" s="100">
        <f>$L$597-EFEITO!$O$597*EFEITO!$AA$597</f>
        <v>3348.5895663415668</v>
      </c>
      <c r="P597" s="17"/>
      <c r="Q597" s="17"/>
      <c r="R597" s="17"/>
      <c r="S597" s="17"/>
      <c r="T597" s="17"/>
      <c r="U597" s="17"/>
      <c r="V597" s="17"/>
      <c r="W597" s="17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91" t="s">
        <v>55</v>
      </c>
      <c r="B598" s="91" t="s">
        <v>22</v>
      </c>
      <c r="C598" s="91" t="s">
        <v>23</v>
      </c>
      <c r="D598" s="91" t="s">
        <v>24</v>
      </c>
      <c r="E598" s="91" t="s">
        <v>28</v>
      </c>
      <c r="F598" s="91" t="s">
        <v>25</v>
      </c>
      <c r="G598" s="91" t="s">
        <v>25</v>
      </c>
      <c r="H598" s="91" t="s">
        <v>25</v>
      </c>
      <c r="I598" s="99">
        <v>44682</v>
      </c>
      <c r="J598" s="100">
        <f>EFEITO!$J$598*EFEITO!$Y$541</f>
        <v>0</v>
      </c>
      <c r="K598" s="100">
        <f ca="1">EFEITO!$L$598*EFEITO!$Z$626</f>
        <v>6.7174865914122188</v>
      </c>
      <c r="L598" s="100">
        <f>EFEITO!$N$598*EFEITO!$AA$626</f>
        <v>6.9174777404575725</v>
      </c>
      <c r="M598" s="100">
        <f>$J$598-EFEITO!$K$598*EFEITO!$Y$598</f>
        <v>0</v>
      </c>
      <c r="N598" s="100">
        <f ca="1">$K$598-EFEITO!$M$598*EFEITO!$Z$598</f>
        <v>5.8945944839642221</v>
      </c>
      <c r="O598" s="100">
        <f>$L$598-EFEITO!$O$598*EFEITO!$AA$598</f>
        <v>6.0700867172515194</v>
      </c>
      <c r="P598" s="17"/>
      <c r="Q598" s="17"/>
      <c r="R598" s="17"/>
      <c r="S598" s="17"/>
      <c r="T598" s="17"/>
      <c r="U598" s="17"/>
      <c r="V598" s="17"/>
      <c r="W598" s="17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91" t="s">
        <v>56</v>
      </c>
      <c r="B599" s="91" t="s">
        <v>22</v>
      </c>
      <c r="C599" s="91" t="s">
        <v>23</v>
      </c>
      <c r="D599" s="91" t="s">
        <v>24</v>
      </c>
      <c r="E599" s="91" t="s">
        <v>28</v>
      </c>
      <c r="F599" s="91" t="s">
        <v>25</v>
      </c>
      <c r="G599" s="91" t="s">
        <v>25</v>
      </c>
      <c r="H599" s="91" t="s">
        <v>25</v>
      </c>
      <c r="I599" s="99">
        <v>44713</v>
      </c>
      <c r="J599" s="100">
        <f>EFEITO!$J$599*EFEITO!$Y$541</f>
        <v>0</v>
      </c>
      <c r="K599" s="100">
        <f ca="1">EFEITO!$L$599*EFEITO!$Z$626</f>
        <v>5002.7361808443929</v>
      </c>
      <c r="L599" s="100">
        <f>EFEITO!$N$599*EFEITO!$AA$626</f>
        <v>5151.6762559101026</v>
      </c>
      <c r="M599" s="100">
        <f>$J$599-EFEITO!$K$599*EFEITO!$Y$599</f>
        <v>0</v>
      </c>
      <c r="N599" s="100">
        <f ca="1">$K$599-EFEITO!$M$599*EFEITO!$Z$599</f>
        <v>3251.7785175488552</v>
      </c>
      <c r="O599" s="100">
        <f>$L$599-EFEITO!$O$599*EFEITO!$AA$599</f>
        <v>3348.5895663415668</v>
      </c>
      <c r="P599" s="17"/>
      <c r="Q599" s="17"/>
      <c r="R599" s="17"/>
      <c r="S599" s="17"/>
      <c r="T599" s="17"/>
      <c r="U599" s="17"/>
      <c r="V599" s="17"/>
      <c r="W599" s="17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91" t="s">
        <v>56</v>
      </c>
      <c r="B600" s="91" t="s">
        <v>22</v>
      </c>
      <c r="C600" s="91" t="s">
        <v>23</v>
      </c>
      <c r="D600" s="91" t="s">
        <v>24</v>
      </c>
      <c r="E600" s="91" t="s">
        <v>28</v>
      </c>
      <c r="F600" s="91" t="s">
        <v>25</v>
      </c>
      <c r="G600" s="91" t="s">
        <v>25</v>
      </c>
      <c r="H600" s="91" t="s">
        <v>25</v>
      </c>
      <c r="I600" s="99">
        <v>44713</v>
      </c>
      <c r="J600" s="100">
        <f>EFEITO!$J$600*EFEITO!$Y$541</f>
        <v>0</v>
      </c>
      <c r="K600" s="100">
        <f ca="1">EFEITO!$L$600*EFEITO!$Z$626</f>
        <v>6.7174865914122188</v>
      </c>
      <c r="L600" s="100">
        <f>EFEITO!$N$600*EFEITO!$AA$626</f>
        <v>6.9174777404575725</v>
      </c>
      <c r="M600" s="100">
        <f>$J$600-EFEITO!$K$600*EFEITO!$Y$600</f>
        <v>0</v>
      </c>
      <c r="N600" s="100">
        <f ca="1">$K$600-EFEITO!$M$600*EFEITO!$Z$600</f>
        <v>5.8945944839642221</v>
      </c>
      <c r="O600" s="100">
        <f>$L$600-EFEITO!$O$600*EFEITO!$AA$600</f>
        <v>6.0700867172515194</v>
      </c>
      <c r="P600" s="17"/>
      <c r="Q600" s="17"/>
      <c r="R600" s="17"/>
      <c r="S600" s="17"/>
      <c r="T600" s="17"/>
      <c r="U600" s="17"/>
      <c r="V600" s="17"/>
      <c r="W600" s="17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91" t="s">
        <v>21</v>
      </c>
      <c r="B601" s="91" t="s">
        <v>22</v>
      </c>
      <c r="C601" s="91" t="s">
        <v>23</v>
      </c>
      <c r="D601" s="91" t="s">
        <v>24</v>
      </c>
      <c r="E601" s="91" t="s">
        <v>29</v>
      </c>
      <c r="F601" s="91" t="s">
        <v>25</v>
      </c>
      <c r="G601" s="91" t="s">
        <v>25</v>
      </c>
      <c r="H601" s="91" t="s">
        <v>25</v>
      </c>
      <c r="I601" s="99">
        <v>44378</v>
      </c>
      <c r="J601" s="100">
        <f>EFEITO!$J$601*EFEITO!$Y$541</f>
        <v>0</v>
      </c>
      <c r="K601" s="100">
        <f ca="1">EFEITO!$L$601*EFEITO!$Z$626</f>
        <v>9599.0644229083482</v>
      </c>
      <c r="L601" s="100">
        <f>EFEITO!$N$601*EFEITO!$AA$626</f>
        <v>9884.8451085225224</v>
      </c>
      <c r="M601" s="100">
        <f>$J$601-EFEITO!$K$601*EFEITO!$Y$601</f>
        <v>0</v>
      </c>
      <c r="N601" s="100">
        <f ca="1">$K$601-EFEITO!$M$601*EFEITO!$Z$601</f>
        <v>3839.62576916334</v>
      </c>
      <c r="O601" s="100">
        <f>$L$601-EFEITO!$O$601*EFEITO!$AA$601</f>
        <v>3953.938043409009</v>
      </c>
      <c r="P601" s="17"/>
      <c r="Q601" s="17"/>
      <c r="R601" s="17"/>
      <c r="S601" s="17"/>
      <c r="T601" s="17"/>
      <c r="U601" s="17"/>
      <c r="V601" s="17"/>
      <c r="W601" s="17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91" t="s">
        <v>21</v>
      </c>
      <c r="B602" s="91" t="s">
        <v>22</v>
      </c>
      <c r="C602" s="91" t="s">
        <v>23</v>
      </c>
      <c r="D602" s="91" t="s">
        <v>24</v>
      </c>
      <c r="E602" s="91" t="s">
        <v>29</v>
      </c>
      <c r="F602" s="91" t="s">
        <v>25</v>
      </c>
      <c r="G602" s="91" t="s">
        <v>25</v>
      </c>
      <c r="H602" s="91" t="s">
        <v>25</v>
      </c>
      <c r="I602" s="99">
        <v>44409</v>
      </c>
      <c r="J602" s="100">
        <f>EFEITO!$J$602*EFEITO!$Y$541</f>
        <v>0</v>
      </c>
      <c r="K602" s="100">
        <f ca="1">EFEITO!$L$602*EFEITO!$Z$626</f>
        <v>9741.0273062068591</v>
      </c>
      <c r="L602" s="100">
        <f>EFEITO!$N$602*EFEITO!$AA$626</f>
        <v>10031.034471437526</v>
      </c>
      <c r="M602" s="100">
        <f>$J$602-EFEITO!$K$602*EFEITO!$Y$602</f>
        <v>0</v>
      </c>
      <c r="N602" s="100">
        <f ca="1">$K$602-EFEITO!$M$602*EFEITO!$Z$602</f>
        <v>3896.4109224827434</v>
      </c>
      <c r="O602" s="100">
        <f>$L$602-EFEITO!$O$602*EFEITO!$AA$602</f>
        <v>4012.4137885750106</v>
      </c>
      <c r="P602" s="17"/>
      <c r="Q602" s="17"/>
      <c r="R602" s="17"/>
      <c r="S602" s="17"/>
      <c r="T602" s="17"/>
      <c r="U602" s="17"/>
      <c r="V602" s="17"/>
      <c r="W602" s="17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91" t="s">
        <v>21</v>
      </c>
      <c r="B603" s="91" t="s">
        <v>22</v>
      </c>
      <c r="C603" s="91" t="s">
        <v>23</v>
      </c>
      <c r="D603" s="91" t="s">
        <v>24</v>
      </c>
      <c r="E603" s="91" t="s">
        <v>29</v>
      </c>
      <c r="F603" s="91" t="s">
        <v>25</v>
      </c>
      <c r="G603" s="91" t="s">
        <v>25</v>
      </c>
      <c r="H603" s="91" t="s">
        <v>25</v>
      </c>
      <c r="I603" s="99">
        <v>44440</v>
      </c>
      <c r="J603" s="100">
        <f>EFEITO!$J$603*EFEITO!$Y$541</f>
        <v>0</v>
      </c>
      <c r="K603" s="100">
        <f ca="1">EFEITO!$L$603*EFEITO!$Z$626</f>
        <v>9819.6218993263828</v>
      </c>
      <c r="L603" s="100">
        <f>EFEITO!$N$603*EFEITO!$AA$626</f>
        <v>10111.968961000881</v>
      </c>
      <c r="M603" s="100">
        <f>$J$603-EFEITO!$K$603*EFEITO!$Y$603</f>
        <v>0</v>
      </c>
      <c r="N603" s="100">
        <f ca="1">$K$603-EFEITO!$M$603*EFEITO!$Z$603</f>
        <v>3927.8487597305539</v>
      </c>
      <c r="O603" s="100">
        <f>$L$603-EFEITO!$O$603*EFEITO!$AA$603</f>
        <v>4044.7875844003538</v>
      </c>
      <c r="P603" s="17"/>
      <c r="Q603" s="17"/>
      <c r="R603" s="17"/>
      <c r="S603" s="17"/>
      <c r="T603" s="17"/>
      <c r="U603" s="17"/>
      <c r="V603" s="17"/>
      <c r="W603" s="17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91" t="s">
        <v>21</v>
      </c>
      <c r="B604" s="91" t="s">
        <v>22</v>
      </c>
      <c r="C604" s="91" t="s">
        <v>23</v>
      </c>
      <c r="D604" s="91" t="s">
        <v>24</v>
      </c>
      <c r="E604" s="91" t="s">
        <v>29</v>
      </c>
      <c r="F604" s="91" t="s">
        <v>25</v>
      </c>
      <c r="G604" s="91" t="s">
        <v>25</v>
      </c>
      <c r="H604" s="91" t="s">
        <v>25</v>
      </c>
      <c r="I604" s="99">
        <v>44470</v>
      </c>
      <c r="J604" s="100">
        <f>EFEITO!$J$604*EFEITO!$Y$541</f>
        <v>0</v>
      </c>
      <c r="K604" s="100">
        <f ca="1">EFEITO!$L$604*EFEITO!$Z$626</f>
        <v>10022.042161947604</v>
      </c>
      <c r="L604" s="100">
        <f>EFEITO!$N$604*EFEITO!$AA$626</f>
        <v>10320.415623580002</v>
      </c>
      <c r="M604" s="100">
        <f>$J$604-EFEITO!$K$604*EFEITO!$Y$604</f>
        <v>0</v>
      </c>
      <c r="N604" s="100">
        <f ca="1">$K$604-EFEITO!$M$604*EFEITO!$Z$604</f>
        <v>4008.8168647790408</v>
      </c>
      <c r="O604" s="100">
        <f>$L$604-EFEITO!$O$604*EFEITO!$AA$604</f>
        <v>4128.1662494320017</v>
      </c>
      <c r="P604" s="17"/>
      <c r="Q604" s="17"/>
      <c r="R604" s="17"/>
      <c r="S604" s="17"/>
      <c r="T604" s="17"/>
      <c r="U604" s="17"/>
      <c r="V604" s="17"/>
      <c r="W604" s="17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91" t="s">
        <v>21</v>
      </c>
      <c r="B605" s="91" t="s">
        <v>22</v>
      </c>
      <c r="C605" s="91" t="s">
        <v>23</v>
      </c>
      <c r="D605" s="91" t="s">
        <v>24</v>
      </c>
      <c r="E605" s="91" t="s">
        <v>29</v>
      </c>
      <c r="F605" s="91" t="s">
        <v>25</v>
      </c>
      <c r="G605" s="91" t="s">
        <v>25</v>
      </c>
      <c r="H605" s="91" t="s">
        <v>25</v>
      </c>
      <c r="I605" s="99">
        <v>44501</v>
      </c>
      <c r="J605" s="100">
        <f>EFEITO!$J$605*EFEITO!$Y$541</f>
        <v>0</v>
      </c>
      <c r="K605" s="100">
        <f ca="1">EFEITO!$L$605*EFEITO!$Z$626</f>
        <v>10248.197543858481</v>
      </c>
      <c r="L605" s="100">
        <f>EFEITO!$N$605*EFEITO!$AA$626</f>
        <v>10553.304040842073</v>
      </c>
      <c r="M605" s="100">
        <f>$J$605-EFEITO!$K$605*EFEITO!$Y$605</f>
        <v>0</v>
      </c>
      <c r="N605" s="100">
        <f ca="1">$K$605-EFEITO!$M$605*EFEITO!$Z$605</f>
        <v>4099.279017543392</v>
      </c>
      <c r="O605" s="100">
        <f>$L$605-EFEITO!$O$605*EFEITO!$AA$605</f>
        <v>4221.3216163368297</v>
      </c>
      <c r="P605" s="17"/>
      <c r="Q605" s="17"/>
      <c r="R605" s="17"/>
      <c r="S605" s="17"/>
      <c r="T605" s="17"/>
      <c r="U605" s="17"/>
      <c r="V605" s="17"/>
      <c r="W605" s="17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91" t="s">
        <v>21</v>
      </c>
      <c r="B606" s="91" t="s">
        <v>22</v>
      </c>
      <c r="C606" s="91" t="s">
        <v>23</v>
      </c>
      <c r="D606" s="91" t="s">
        <v>24</v>
      </c>
      <c r="E606" s="91" t="s">
        <v>29</v>
      </c>
      <c r="F606" s="91" t="s">
        <v>25</v>
      </c>
      <c r="G606" s="91" t="s">
        <v>25</v>
      </c>
      <c r="H606" s="91" t="s">
        <v>25</v>
      </c>
      <c r="I606" s="99">
        <v>44531</v>
      </c>
      <c r="J606" s="100">
        <f>EFEITO!$J$606*EFEITO!$Y$541</f>
        <v>0</v>
      </c>
      <c r="K606" s="100">
        <f ca="1">EFEITO!$L$606*EFEITO!$Z$626</f>
        <v>10307.759258302336</v>
      </c>
      <c r="L606" s="100">
        <f>EFEITO!$N$606*EFEITO!$AA$626</f>
        <v>10614.639010140796</v>
      </c>
      <c r="M606" s="100">
        <f>$J$606-EFEITO!$K$606*EFEITO!$Y$606</f>
        <v>0</v>
      </c>
      <c r="N606" s="100">
        <f ca="1">$K$606-EFEITO!$M$606*EFEITO!$Z$606</f>
        <v>4123.1037033209341</v>
      </c>
      <c r="O606" s="100">
        <f>$L$606-EFEITO!$O$606*EFEITO!$AA$606</f>
        <v>4245.855604056319</v>
      </c>
      <c r="P606" s="17"/>
      <c r="Q606" s="17"/>
      <c r="R606" s="17"/>
      <c r="S606" s="17"/>
      <c r="T606" s="17"/>
      <c r="U606" s="17"/>
      <c r="V606" s="17"/>
      <c r="W606" s="17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91" t="s">
        <v>21</v>
      </c>
      <c r="B607" s="91" t="s">
        <v>22</v>
      </c>
      <c r="C607" s="91" t="s">
        <v>23</v>
      </c>
      <c r="D607" s="91" t="s">
        <v>24</v>
      </c>
      <c r="E607" s="91" t="s">
        <v>29</v>
      </c>
      <c r="F607" s="91" t="s">
        <v>25</v>
      </c>
      <c r="G607" s="91" t="s">
        <v>25</v>
      </c>
      <c r="H607" s="91" t="s">
        <v>25</v>
      </c>
      <c r="I607" s="99">
        <v>44562</v>
      </c>
      <c r="J607" s="100">
        <f>EFEITO!$J$607*EFEITO!$Y$541</f>
        <v>0</v>
      </c>
      <c r="K607" s="100">
        <f ca="1">EFEITO!$L$607*EFEITO!$Z$626</f>
        <v>10507.716442506708</v>
      </c>
      <c r="L607" s="100">
        <f>EFEITO!$N$607*EFEITO!$AA$626</f>
        <v>10820.549264215084</v>
      </c>
      <c r="M607" s="100">
        <f>$J$607-EFEITO!$K$607*EFEITO!$Y$607</f>
        <v>0</v>
      </c>
      <c r="N607" s="100">
        <f ca="1">$K$607-EFEITO!$M$607*EFEITO!$Z$607</f>
        <v>4203.086577002683</v>
      </c>
      <c r="O607" s="100">
        <f>$L$607-EFEITO!$O$607*EFEITO!$AA$607</f>
        <v>4328.2197056860341</v>
      </c>
      <c r="P607" s="17"/>
      <c r="Q607" s="17"/>
      <c r="R607" s="17"/>
      <c r="S607" s="17"/>
      <c r="T607" s="17"/>
      <c r="U607" s="17"/>
      <c r="V607" s="17"/>
      <c r="W607" s="17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91" t="s">
        <v>21</v>
      </c>
      <c r="B608" s="91" t="s">
        <v>22</v>
      </c>
      <c r="C608" s="91" t="s">
        <v>23</v>
      </c>
      <c r="D608" s="91" t="s">
        <v>24</v>
      </c>
      <c r="E608" s="91" t="s">
        <v>29</v>
      </c>
      <c r="F608" s="91" t="s">
        <v>25</v>
      </c>
      <c r="G608" s="91" t="s">
        <v>25</v>
      </c>
      <c r="H608" s="91" t="s">
        <v>25</v>
      </c>
      <c r="I608" s="99">
        <v>44593</v>
      </c>
      <c r="J608" s="100">
        <f>EFEITO!$J$608*EFEITO!$Y$541</f>
        <v>0</v>
      </c>
      <c r="K608" s="100">
        <f ca="1">EFEITO!$L$608*EFEITO!$Z$626</f>
        <v>10436.958917077165</v>
      </c>
      <c r="L608" s="100">
        <f>EFEITO!$N$608*EFEITO!$AA$626</f>
        <v>10747.68516534893</v>
      </c>
      <c r="M608" s="100">
        <f>$J$608-EFEITO!$K$608*EFEITO!$Y$608</f>
        <v>0</v>
      </c>
      <c r="N608" s="100">
        <f ca="1">$K$608-EFEITO!$M$608*EFEITO!$Z$608</f>
        <v>4174.7835668308662</v>
      </c>
      <c r="O608" s="100">
        <f>$L$608-EFEITO!$O$608*EFEITO!$AA$608</f>
        <v>4299.074066139573</v>
      </c>
      <c r="P608" s="17"/>
      <c r="Q608" s="17"/>
      <c r="R608" s="17"/>
      <c r="S608" s="17"/>
      <c r="T608" s="17"/>
      <c r="U608" s="17"/>
      <c r="V608" s="17"/>
      <c r="W608" s="17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91" t="s">
        <v>21</v>
      </c>
      <c r="B609" s="91" t="s">
        <v>22</v>
      </c>
      <c r="C609" s="91" t="s">
        <v>23</v>
      </c>
      <c r="D609" s="91" t="s">
        <v>24</v>
      </c>
      <c r="E609" s="91" t="s">
        <v>29</v>
      </c>
      <c r="F609" s="91" t="s">
        <v>25</v>
      </c>
      <c r="G609" s="91" t="s">
        <v>25</v>
      </c>
      <c r="H609" s="91" t="s">
        <v>25</v>
      </c>
      <c r="I609" s="99">
        <v>44621</v>
      </c>
      <c r="J609" s="100">
        <f>EFEITO!$J$609*EFEITO!$Y$541</f>
        <v>0</v>
      </c>
      <c r="K609" s="100">
        <f ca="1">EFEITO!$L$609*EFEITO!$Z$626</f>
        <v>10410.31288693123</v>
      </c>
      <c r="L609" s="100">
        <f>EFEITO!$N$609*EFEITO!$AA$626</f>
        <v>10720.245836978449</v>
      </c>
      <c r="M609" s="100">
        <f>$J$609-EFEITO!$K$609*EFEITO!$Y$609</f>
        <v>0</v>
      </c>
      <c r="N609" s="100">
        <f ca="1">$K$609-EFEITO!$M$609*EFEITO!$Z$609</f>
        <v>4164.1251547724914</v>
      </c>
      <c r="O609" s="100">
        <f>$L$609-EFEITO!$O$609*EFEITO!$AA$609</f>
        <v>4288.0983347913807</v>
      </c>
      <c r="P609" s="17"/>
      <c r="Q609" s="17"/>
      <c r="R609" s="17"/>
      <c r="S609" s="17"/>
      <c r="T609" s="17"/>
      <c r="U609" s="17"/>
      <c r="V609" s="17"/>
      <c r="W609" s="17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91" t="s">
        <v>21</v>
      </c>
      <c r="B610" s="91" t="s">
        <v>22</v>
      </c>
      <c r="C610" s="91" t="s">
        <v>23</v>
      </c>
      <c r="D610" s="91" t="s">
        <v>24</v>
      </c>
      <c r="E610" s="91" t="s">
        <v>29</v>
      </c>
      <c r="F610" s="91" t="s">
        <v>25</v>
      </c>
      <c r="G610" s="91" t="s">
        <v>25</v>
      </c>
      <c r="H610" s="91" t="s">
        <v>25</v>
      </c>
      <c r="I610" s="99">
        <v>44652</v>
      </c>
      <c r="J610" s="100">
        <f>EFEITO!$J$610*EFEITO!$Y$541</f>
        <v>0</v>
      </c>
      <c r="K610" s="100">
        <f ca="1">EFEITO!$L$610*EFEITO!$Z$626</f>
        <v>10468.755020276516</v>
      </c>
      <c r="L610" s="100">
        <f>EFEITO!$N$610*EFEITO!$AA$626</f>
        <v>10780.42789332043</v>
      </c>
      <c r="M610" s="100">
        <f>$J$610-EFEITO!$K$610*EFEITO!$Y$610</f>
        <v>0</v>
      </c>
      <c r="N610" s="100">
        <f ca="1">$K$610-EFEITO!$M$610*EFEITO!$Z$610</f>
        <v>4187.5020081106059</v>
      </c>
      <c r="O610" s="100">
        <f>$L$610-EFEITO!$O$610*EFEITO!$AA$610</f>
        <v>4312.1711573281718</v>
      </c>
      <c r="P610" s="17"/>
      <c r="Q610" s="17"/>
      <c r="R610" s="17"/>
      <c r="S610" s="17"/>
      <c r="T610" s="17"/>
      <c r="U610" s="17"/>
      <c r="V610" s="17"/>
      <c r="W610" s="17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91" t="s">
        <v>21</v>
      </c>
      <c r="B611" s="91" t="s">
        <v>22</v>
      </c>
      <c r="C611" s="91" t="s">
        <v>23</v>
      </c>
      <c r="D611" s="91" t="s">
        <v>24</v>
      </c>
      <c r="E611" s="91" t="s">
        <v>29</v>
      </c>
      <c r="F611" s="91" t="s">
        <v>25</v>
      </c>
      <c r="G611" s="91" t="s">
        <v>25</v>
      </c>
      <c r="H611" s="91" t="s">
        <v>25</v>
      </c>
      <c r="I611" s="99">
        <v>44682</v>
      </c>
      <c r="J611" s="100">
        <f>EFEITO!$J$611*EFEITO!$Y$541</f>
        <v>0</v>
      </c>
      <c r="K611" s="100">
        <f ca="1">EFEITO!$L$611*EFEITO!$Z$626</f>
        <v>10413.447714007223</v>
      </c>
      <c r="L611" s="100">
        <f>EFEITO!$N$611*EFEITO!$AA$626</f>
        <v>10723.47399325733</v>
      </c>
      <c r="M611" s="100">
        <f>$J$611-EFEITO!$K$611*EFEITO!$Y$611</f>
        <v>0</v>
      </c>
      <c r="N611" s="100">
        <f ca="1">$K$611-EFEITO!$M$611*EFEITO!$Z$611</f>
        <v>4165.37908560289</v>
      </c>
      <c r="O611" s="100">
        <f>$L$611-EFEITO!$O$611*EFEITO!$AA$611</f>
        <v>4289.389597302933</v>
      </c>
      <c r="P611" s="17"/>
      <c r="Q611" s="17"/>
      <c r="R611" s="17"/>
      <c r="S611" s="17"/>
      <c r="T611" s="17"/>
      <c r="U611" s="17"/>
      <c r="V611" s="17"/>
      <c r="W611" s="17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91" t="s">
        <v>56</v>
      </c>
      <c r="B612" s="91" t="s">
        <v>22</v>
      </c>
      <c r="C612" s="91" t="s">
        <v>23</v>
      </c>
      <c r="D612" s="91" t="s">
        <v>24</v>
      </c>
      <c r="E612" s="91" t="s">
        <v>29</v>
      </c>
      <c r="F612" s="91" t="s">
        <v>25</v>
      </c>
      <c r="G612" s="91" t="s">
        <v>25</v>
      </c>
      <c r="H612" s="91" t="s">
        <v>25</v>
      </c>
      <c r="I612" s="99">
        <v>44713</v>
      </c>
      <c r="J612" s="100">
        <f>EFEITO!$J$612*EFEITO!$Y$541</f>
        <v>0</v>
      </c>
      <c r="K612" s="100">
        <f ca="1">EFEITO!$L$612*EFEITO!$Z$626</f>
        <v>10413.447714007223</v>
      </c>
      <c r="L612" s="100">
        <f>EFEITO!$N$612*EFEITO!$AA$626</f>
        <v>10723.47399325733</v>
      </c>
      <c r="M612" s="100">
        <f>$J$612-EFEITO!$K$612*EFEITO!$Y$612</f>
        <v>0</v>
      </c>
      <c r="N612" s="100">
        <f ca="1">$K$612-EFEITO!$M$612*EFEITO!$Z$612</f>
        <v>4165.37908560289</v>
      </c>
      <c r="O612" s="100">
        <f>$L$612-EFEITO!$O$612*EFEITO!$AA$612</f>
        <v>4289.389597302933</v>
      </c>
      <c r="P612" s="17"/>
      <c r="Q612" s="17"/>
      <c r="R612" s="17"/>
      <c r="S612" s="17"/>
      <c r="T612" s="17"/>
      <c r="U612" s="17"/>
      <c r="V612" s="17"/>
      <c r="W612" s="17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91" t="s">
        <v>21</v>
      </c>
      <c r="B613" s="91" t="s">
        <v>22</v>
      </c>
      <c r="C613" s="91" t="s">
        <v>23</v>
      </c>
      <c r="D613" s="91" t="s">
        <v>24</v>
      </c>
      <c r="E613" s="91" t="s">
        <v>30</v>
      </c>
      <c r="F613" s="91" t="s">
        <v>25</v>
      </c>
      <c r="G613" s="91" t="s">
        <v>25</v>
      </c>
      <c r="H613" s="91" t="s">
        <v>25</v>
      </c>
      <c r="I613" s="99">
        <v>44378</v>
      </c>
      <c r="J613" s="100">
        <f>EFEITO!$J$613*EFEITO!$Y$541</f>
        <v>0</v>
      </c>
      <c r="K613" s="100">
        <f ca="1">EFEITO!$L$613*EFEITO!$Z$626</f>
        <v>9456.205874730982</v>
      </c>
      <c r="L613" s="100">
        <f>EFEITO!$N$613*EFEITO!$AA$626</f>
        <v>9737.7334152421263</v>
      </c>
      <c r="M613" s="100">
        <f>$J$613-EFEITO!$K$613*EFEITO!$Y$613</f>
        <v>0</v>
      </c>
      <c r="N613" s="100">
        <f ca="1">$K$613-EFEITO!$M$613*EFEITO!$Z$613</f>
        <v>945.62058747309857</v>
      </c>
      <c r="O613" s="100">
        <f>$L$613-EFEITO!$O$613*EFEITO!$AA$613</f>
        <v>973.77334152421281</v>
      </c>
      <c r="P613" s="17"/>
      <c r="Q613" s="17"/>
      <c r="R613" s="17"/>
      <c r="S613" s="17"/>
      <c r="T613" s="17"/>
      <c r="U613" s="17"/>
      <c r="V613" s="17"/>
      <c r="W613" s="17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91" t="s">
        <v>21</v>
      </c>
      <c r="B614" s="91" t="s">
        <v>22</v>
      </c>
      <c r="C614" s="91" t="s">
        <v>23</v>
      </c>
      <c r="D614" s="91" t="s">
        <v>24</v>
      </c>
      <c r="E614" s="91" t="s">
        <v>30</v>
      </c>
      <c r="F614" s="91" t="s">
        <v>25</v>
      </c>
      <c r="G614" s="91" t="s">
        <v>25</v>
      </c>
      <c r="H614" s="91" t="s">
        <v>25</v>
      </c>
      <c r="I614" s="99">
        <v>44409</v>
      </c>
      <c r="J614" s="100">
        <f>EFEITO!$J$614*EFEITO!$Y$541</f>
        <v>0</v>
      </c>
      <c r="K614" s="100">
        <f ca="1">EFEITO!$L$614*EFEITO!$Z$626</f>
        <v>9672.2850267547401</v>
      </c>
      <c r="L614" s="100">
        <f>EFEITO!$N$614*EFEITO!$AA$626</f>
        <v>9960.2456158935111</v>
      </c>
      <c r="M614" s="100">
        <f>$J$614-EFEITO!$K$614*EFEITO!$Y$614</f>
        <v>0</v>
      </c>
      <c r="N614" s="100">
        <f ca="1">$K$614-EFEITO!$M$614*EFEITO!$Z$614</f>
        <v>967.22850267547437</v>
      </c>
      <c r="O614" s="100">
        <f>$L$614-EFEITO!$O$614*EFEITO!$AA$614</f>
        <v>996.02456158935092</v>
      </c>
      <c r="P614" s="17"/>
      <c r="Q614" s="17"/>
      <c r="R614" s="17"/>
      <c r="S614" s="17"/>
      <c r="T614" s="17"/>
      <c r="U614" s="17"/>
      <c r="V614" s="17"/>
      <c r="W614" s="17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91" t="s">
        <v>21</v>
      </c>
      <c r="B615" s="91" t="s">
        <v>22</v>
      </c>
      <c r="C615" s="91" t="s">
        <v>23</v>
      </c>
      <c r="D615" s="91" t="s">
        <v>24</v>
      </c>
      <c r="E615" s="91" t="s">
        <v>30</v>
      </c>
      <c r="F615" s="91" t="s">
        <v>25</v>
      </c>
      <c r="G615" s="91" t="s">
        <v>25</v>
      </c>
      <c r="H615" s="91" t="s">
        <v>25</v>
      </c>
      <c r="I615" s="99">
        <v>44440</v>
      </c>
      <c r="J615" s="100">
        <f>EFEITO!$J$615*EFEITO!$Y$541</f>
        <v>0</v>
      </c>
      <c r="K615" s="100">
        <f ca="1">EFEITO!$L$615*EFEITO!$Z$626</f>
        <v>9355.6674920795103</v>
      </c>
      <c r="L615" s="100">
        <f>EFEITO!$N$615*EFEITO!$AA$626</f>
        <v>9634.2018317266102</v>
      </c>
      <c r="M615" s="100">
        <f>$J$615-EFEITO!$K$615*EFEITO!$Y$615</f>
        <v>0</v>
      </c>
      <c r="N615" s="100">
        <f ca="1">$K$615-EFEITO!$M$615*EFEITO!$Z$615</f>
        <v>935.56674920795012</v>
      </c>
      <c r="O615" s="100">
        <f>$L$615-EFEITO!$O$615*EFEITO!$AA$615</f>
        <v>963.42018317266047</v>
      </c>
      <c r="P615" s="17"/>
      <c r="Q615" s="17"/>
      <c r="R615" s="17"/>
      <c r="S615" s="17"/>
      <c r="T615" s="17"/>
      <c r="U615" s="17"/>
      <c r="V615" s="17"/>
      <c r="W615" s="17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91" t="s">
        <v>27</v>
      </c>
      <c r="B616" s="91" t="s">
        <v>22</v>
      </c>
      <c r="C616" s="91" t="s">
        <v>23</v>
      </c>
      <c r="D616" s="91" t="s">
        <v>24</v>
      </c>
      <c r="E616" s="91" t="s">
        <v>30</v>
      </c>
      <c r="F616" s="91" t="s">
        <v>25</v>
      </c>
      <c r="G616" s="91" t="s">
        <v>25</v>
      </c>
      <c r="H616" s="91" t="s">
        <v>25</v>
      </c>
      <c r="I616" s="99">
        <v>44440</v>
      </c>
      <c r="J616" s="100">
        <f>EFEITO!$J$616*EFEITO!$Y$541</f>
        <v>0</v>
      </c>
      <c r="K616" s="100">
        <f ca="1">EFEITO!$L$616*EFEITO!$Z$626</f>
        <v>-6.0457379322709972</v>
      </c>
      <c r="L616" s="100">
        <f>EFEITO!$N$616*EFEITO!$AA$626</f>
        <v>-6.2257299664118158</v>
      </c>
      <c r="M616" s="100">
        <f>$J$616-EFEITO!$K$616*EFEITO!$Y$616</f>
        <v>0</v>
      </c>
      <c r="N616" s="100">
        <f ca="1">$K$616-EFEITO!$M$616*EFEITO!$Z$616</f>
        <v>-0.60457379322709937</v>
      </c>
      <c r="O616" s="100">
        <f>$L$616-EFEITO!$O$616*EFEITO!$AA$616</f>
        <v>-0.62257299664118104</v>
      </c>
      <c r="P616" s="17"/>
      <c r="Q616" s="17"/>
      <c r="R616" s="17"/>
      <c r="S616" s="17"/>
      <c r="T616" s="17"/>
      <c r="U616" s="17"/>
      <c r="V616" s="17"/>
      <c r="W616" s="17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91" t="s">
        <v>21</v>
      </c>
      <c r="B617" s="91" t="s">
        <v>22</v>
      </c>
      <c r="C617" s="91" t="s">
        <v>23</v>
      </c>
      <c r="D617" s="91" t="s">
        <v>24</v>
      </c>
      <c r="E617" s="91" t="s">
        <v>30</v>
      </c>
      <c r="F617" s="91" t="s">
        <v>25</v>
      </c>
      <c r="G617" s="91" t="s">
        <v>25</v>
      </c>
      <c r="H617" s="91" t="s">
        <v>25</v>
      </c>
      <c r="I617" s="99">
        <v>44470</v>
      </c>
      <c r="J617" s="100">
        <f>EFEITO!$J$617*EFEITO!$Y$541</f>
        <v>0</v>
      </c>
      <c r="K617" s="100">
        <f ca="1">EFEITO!$L$617*EFEITO!$Z$626</f>
        <v>9679.4503457855808</v>
      </c>
      <c r="L617" s="100">
        <f>EFEITO!$N$617*EFEITO!$AA$626</f>
        <v>9967.624258816666</v>
      </c>
      <c r="M617" s="100">
        <f>$J$617-EFEITO!$K$617*EFEITO!$Y$617</f>
        <v>0</v>
      </c>
      <c r="N617" s="100">
        <f ca="1">$K$617-EFEITO!$M$617*EFEITO!$Z$617</f>
        <v>967.94503457855717</v>
      </c>
      <c r="O617" s="100">
        <f>$L$617-EFEITO!$O$617*EFEITO!$AA$617</f>
        <v>996.76242588166679</v>
      </c>
      <c r="P617" s="17"/>
      <c r="Q617" s="17"/>
      <c r="R617" s="17"/>
      <c r="S617" s="17"/>
      <c r="T617" s="17"/>
      <c r="U617" s="17"/>
      <c r="V617" s="17"/>
      <c r="W617" s="17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91" t="s">
        <v>21</v>
      </c>
      <c r="B618" s="91" t="s">
        <v>22</v>
      </c>
      <c r="C618" s="91" t="s">
        <v>23</v>
      </c>
      <c r="D618" s="91" t="s">
        <v>24</v>
      </c>
      <c r="E618" s="91" t="s">
        <v>30</v>
      </c>
      <c r="F618" s="91" t="s">
        <v>25</v>
      </c>
      <c r="G618" s="91" t="s">
        <v>25</v>
      </c>
      <c r="H618" s="91" t="s">
        <v>25</v>
      </c>
      <c r="I618" s="99">
        <v>44501</v>
      </c>
      <c r="J618" s="100">
        <f>EFEITO!$J$618*EFEITO!$Y$541</f>
        <v>0</v>
      </c>
      <c r="K618" s="100">
        <f ca="1">EFEITO!$L$618*EFEITO!$Z$626</f>
        <v>10297.011279756076</v>
      </c>
      <c r="L618" s="100">
        <f>EFEITO!$N$618*EFEITO!$AA$626</f>
        <v>10603.571045756064</v>
      </c>
      <c r="M618" s="100">
        <f>$J$618-EFEITO!$K$618*EFEITO!$Y$618</f>
        <v>0</v>
      </c>
      <c r="N618" s="100">
        <f ca="1">$K$618-EFEITO!$M$618*EFEITO!$Z$618</f>
        <v>1029.7011279756061</v>
      </c>
      <c r="O618" s="100">
        <f>$L$618-EFEITO!$O$618*EFEITO!$AA$618</f>
        <v>1060.3571045756053</v>
      </c>
      <c r="P618" s="17"/>
      <c r="Q618" s="17"/>
      <c r="R618" s="17"/>
      <c r="S618" s="17"/>
      <c r="T618" s="17"/>
      <c r="U618" s="17"/>
      <c r="V618" s="17"/>
      <c r="W618" s="17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91" t="s">
        <v>21</v>
      </c>
      <c r="B619" s="91" t="s">
        <v>22</v>
      </c>
      <c r="C619" s="91" t="s">
        <v>23</v>
      </c>
      <c r="D619" s="91" t="s">
        <v>24</v>
      </c>
      <c r="E619" s="91" t="s">
        <v>30</v>
      </c>
      <c r="F619" s="91" t="s">
        <v>25</v>
      </c>
      <c r="G619" s="91" t="s">
        <v>25</v>
      </c>
      <c r="H619" s="91" t="s">
        <v>25</v>
      </c>
      <c r="I619" s="99">
        <v>44531</v>
      </c>
      <c r="J619" s="100">
        <f>EFEITO!$J$619*EFEITO!$Y$541</f>
        <v>0</v>
      </c>
      <c r="K619" s="100">
        <f ca="1">EFEITO!$L$619*EFEITO!$Z$626</f>
        <v>10198.488143082031</v>
      </c>
      <c r="L619" s="100">
        <f>EFEITO!$N$619*EFEITO!$AA$626</f>
        <v>10502.114705562688</v>
      </c>
      <c r="M619" s="100">
        <f>$J$619-EFEITO!$K$619*EFEITO!$Y$619</f>
        <v>0</v>
      </c>
      <c r="N619" s="100">
        <f ca="1">$K$619-EFEITO!$M$619*EFEITO!$Z$619</f>
        <v>1019.8488143082031</v>
      </c>
      <c r="O619" s="100">
        <f>$L$619-EFEITO!$O$619*EFEITO!$AA$619</f>
        <v>1050.211470556269</v>
      </c>
      <c r="P619" s="17"/>
      <c r="Q619" s="17"/>
      <c r="R619" s="17"/>
      <c r="S619" s="17"/>
      <c r="T619" s="17"/>
      <c r="U619" s="17"/>
      <c r="V619" s="17"/>
      <c r="W619" s="17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91" t="s">
        <v>21</v>
      </c>
      <c r="B620" s="91" t="s">
        <v>22</v>
      </c>
      <c r="C620" s="91" t="s">
        <v>23</v>
      </c>
      <c r="D620" s="91" t="s">
        <v>24</v>
      </c>
      <c r="E620" s="91" t="s">
        <v>30</v>
      </c>
      <c r="F620" s="91" t="s">
        <v>25</v>
      </c>
      <c r="G620" s="91" t="s">
        <v>25</v>
      </c>
      <c r="H620" s="91" t="s">
        <v>25</v>
      </c>
      <c r="I620" s="99">
        <v>44562</v>
      </c>
      <c r="J620" s="100">
        <f>EFEITO!$J$620*EFEITO!$Y$541</f>
        <v>0</v>
      </c>
      <c r="K620" s="100">
        <f ca="1">EFEITO!$L$620*EFEITO!$Z$626</f>
        <v>11502.352290475143</v>
      </c>
      <c r="L620" s="100">
        <f>EFEITO!$N$620*EFEITO!$AA$626</f>
        <v>11844.797134985502</v>
      </c>
      <c r="M620" s="100">
        <f>$J$620-EFEITO!$K$620*EFEITO!$Y$620</f>
        <v>0</v>
      </c>
      <c r="N620" s="100">
        <f ca="1">$K$620-EFEITO!$M$620*EFEITO!$Z$620</f>
        <v>1150.2352290475137</v>
      </c>
      <c r="O620" s="100">
        <f>$L$620-EFEITO!$O$620*EFEITO!$AA$620</f>
        <v>1184.4797134985492</v>
      </c>
      <c r="P620" s="17"/>
      <c r="Q620" s="17"/>
      <c r="R620" s="17"/>
      <c r="S620" s="17"/>
      <c r="T620" s="17"/>
      <c r="U620" s="17"/>
      <c r="V620" s="17"/>
      <c r="W620" s="17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91" t="s">
        <v>21</v>
      </c>
      <c r="B621" s="91" t="s">
        <v>22</v>
      </c>
      <c r="C621" s="91" t="s">
        <v>23</v>
      </c>
      <c r="D621" s="91" t="s">
        <v>24</v>
      </c>
      <c r="E621" s="91" t="s">
        <v>30</v>
      </c>
      <c r="F621" s="91" t="s">
        <v>25</v>
      </c>
      <c r="G621" s="91" t="s">
        <v>25</v>
      </c>
      <c r="H621" s="91" t="s">
        <v>25</v>
      </c>
      <c r="I621" s="99">
        <v>44593</v>
      </c>
      <c r="J621" s="100">
        <f>EFEITO!$J$621*EFEITO!$Y$541</f>
        <v>0</v>
      </c>
      <c r="K621" s="100">
        <f ca="1">EFEITO!$L$621*EFEITO!$Z$626</f>
        <v>11028.321653341154</v>
      </c>
      <c r="L621" s="100">
        <f>EFEITO!$N$621*EFEITO!$AA$626</f>
        <v>11356.653789100546</v>
      </c>
      <c r="M621" s="100">
        <f>$J$621-EFEITO!$K$621*EFEITO!$Y$621</f>
        <v>0</v>
      </c>
      <c r="N621" s="100">
        <f ca="1">$K$621-EFEITO!$M$621*EFEITO!$Z$621</f>
        <v>1102.8321653341154</v>
      </c>
      <c r="O621" s="100">
        <f>$L$621-EFEITO!$O$621*EFEITO!$AA$621</f>
        <v>1135.6653789100528</v>
      </c>
      <c r="P621" s="17"/>
      <c r="Q621" s="17"/>
      <c r="R621" s="17"/>
      <c r="S621" s="17"/>
      <c r="T621" s="17"/>
      <c r="U621" s="17"/>
      <c r="V621" s="17"/>
      <c r="W621" s="17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91" t="s">
        <v>21</v>
      </c>
      <c r="B622" s="91" t="s">
        <v>22</v>
      </c>
      <c r="C622" s="91" t="s">
        <v>23</v>
      </c>
      <c r="D622" s="91" t="s">
        <v>24</v>
      </c>
      <c r="E622" s="91" t="s">
        <v>30</v>
      </c>
      <c r="F622" s="91" t="s">
        <v>25</v>
      </c>
      <c r="G622" s="91" t="s">
        <v>25</v>
      </c>
      <c r="H622" s="91" t="s">
        <v>25</v>
      </c>
      <c r="I622" s="99">
        <v>44621</v>
      </c>
      <c r="J622" s="100">
        <f>EFEITO!$J$622*EFEITO!$Y$541</f>
        <v>0</v>
      </c>
      <c r="K622" s="100">
        <f ca="1">EFEITO!$L$622*EFEITO!$Z$626</f>
        <v>11258.507527206881</v>
      </c>
      <c r="L622" s="100">
        <f>EFEITO!$N$622*EFEITO!$AA$626</f>
        <v>11593.692693006893</v>
      </c>
      <c r="M622" s="100">
        <f>$J$622-EFEITO!$K$622*EFEITO!$Y$622</f>
        <v>0</v>
      </c>
      <c r="N622" s="100">
        <f ca="1">$K$622-EFEITO!$M$622*EFEITO!$Z$622</f>
        <v>1125.8507527206893</v>
      </c>
      <c r="O622" s="100">
        <f>$L$622-EFEITO!$O$622*EFEITO!$AA$622</f>
        <v>1159.3692693006888</v>
      </c>
      <c r="P622" s="17"/>
      <c r="Q622" s="17"/>
      <c r="R622" s="17"/>
      <c r="S622" s="17"/>
      <c r="T622" s="17"/>
      <c r="U622" s="17"/>
      <c r="V622" s="17"/>
      <c r="W622" s="17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91" t="s">
        <v>21</v>
      </c>
      <c r="B623" s="91" t="s">
        <v>22</v>
      </c>
      <c r="C623" s="91" t="s">
        <v>23</v>
      </c>
      <c r="D623" s="91" t="s">
        <v>24</v>
      </c>
      <c r="E623" s="91" t="s">
        <v>30</v>
      </c>
      <c r="F623" s="91" t="s">
        <v>25</v>
      </c>
      <c r="G623" s="91" t="s">
        <v>25</v>
      </c>
      <c r="H623" s="91" t="s">
        <v>25</v>
      </c>
      <c r="I623" s="99">
        <v>44652</v>
      </c>
      <c r="J623" s="100">
        <f>EFEITO!$J$623*EFEITO!$Y$541</f>
        <v>0</v>
      </c>
      <c r="K623" s="100">
        <f ca="1">EFEITO!$L$623*EFEITO!$Z$626</f>
        <v>9397.3159089462679</v>
      </c>
      <c r="L623" s="100">
        <f>EFEITO!$N$623*EFEITO!$AA$626</f>
        <v>9677.0901937174476</v>
      </c>
      <c r="M623" s="100">
        <f>$J$623-EFEITO!$K$623*EFEITO!$Y$623</f>
        <v>0</v>
      </c>
      <c r="N623" s="100">
        <f ca="1">$K$623-EFEITO!$M$623*EFEITO!$Z$623</f>
        <v>939.7315908946257</v>
      </c>
      <c r="O623" s="100">
        <f>$L$623-EFEITO!$O$623*EFEITO!$AA$623</f>
        <v>967.70901937174312</v>
      </c>
      <c r="P623" s="17"/>
      <c r="Q623" s="17"/>
      <c r="R623" s="17"/>
      <c r="S623" s="17"/>
      <c r="T623" s="17"/>
      <c r="U623" s="17"/>
      <c r="V623" s="17"/>
      <c r="W623" s="17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91" t="s">
        <v>21</v>
      </c>
      <c r="B624" s="91" t="s">
        <v>22</v>
      </c>
      <c r="C624" s="91" t="s">
        <v>23</v>
      </c>
      <c r="D624" s="91" t="s">
        <v>24</v>
      </c>
      <c r="E624" s="91" t="s">
        <v>30</v>
      </c>
      <c r="F624" s="91" t="s">
        <v>25</v>
      </c>
      <c r="G624" s="91" t="s">
        <v>25</v>
      </c>
      <c r="H624" s="91" t="s">
        <v>25</v>
      </c>
      <c r="I624" s="99">
        <v>44682</v>
      </c>
      <c r="J624" s="100">
        <f>EFEITO!$J$624*EFEITO!$Y$541</f>
        <v>0</v>
      </c>
      <c r="K624" s="100">
        <f ca="1">EFEITO!$L$624*EFEITO!$Z$626</f>
        <v>9286.0295477485379</v>
      </c>
      <c r="L624" s="100">
        <f>EFEITO!$N$624*EFEITO!$AA$626</f>
        <v>9562.490645817199</v>
      </c>
      <c r="M624" s="100">
        <f>$J$624-EFEITO!$K$624*EFEITO!$Y$624</f>
        <v>0</v>
      </c>
      <c r="N624" s="100">
        <f ca="1">$K$624-EFEITO!$M$624*EFEITO!$Z$624</f>
        <v>928.60295477485488</v>
      </c>
      <c r="O624" s="100">
        <f>$L$624-EFEITO!$O$624*EFEITO!$AA$624</f>
        <v>956.2490645817179</v>
      </c>
      <c r="P624" s="17"/>
      <c r="Q624" s="17"/>
      <c r="R624" s="17"/>
      <c r="S624" s="17"/>
      <c r="T624" s="17"/>
      <c r="U624" s="17"/>
      <c r="V624" s="17"/>
      <c r="W624" s="17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91" t="s">
        <v>56</v>
      </c>
      <c r="B625" s="91" t="s">
        <v>22</v>
      </c>
      <c r="C625" s="91" t="s">
        <v>23</v>
      </c>
      <c r="D625" s="91" t="s">
        <v>24</v>
      </c>
      <c r="E625" s="91" t="s">
        <v>30</v>
      </c>
      <c r="F625" s="91" t="s">
        <v>25</v>
      </c>
      <c r="G625" s="91" t="s">
        <v>25</v>
      </c>
      <c r="H625" s="91" t="s">
        <v>25</v>
      </c>
      <c r="I625" s="99">
        <v>44713</v>
      </c>
      <c r="J625" s="100">
        <f>EFEITO!$J$625*EFEITO!$Y$541</f>
        <v>0</v>
      </c>
      <c r="K625" s="100">
        <f ca="1">EFEITO!$L$625*EFEITO!$Z$626</f>
        <v>9286.0295477485379</v>
      </c>
      <c r="L625" s="100">
        <f>EFEITO!$N$625*EFEITO!$AA$626</f>
        <v>9562.490645817199</v>
      </c>
      <c r="M625" s="100">
        <f>$J$625-EFEITO!$K$625*EFEITO!$Y$625</f>
        <v>0</v>
      </c>
      <c r="N625" s="100">
        <f ca="1">$K$625-EFEITO!$M$625*EFEITO!$Z$625</f>
        <v>928.60295477485488</v>
      </c>
      <c r="O625" s="100">
        <f>$L$625-EFEITO!$O$625*EFEITO!$AA$625</f>
        <v>956.2490645817179</v>
      </c>
      <c r="P625" s="17"/>
      <c r="Q625" s="17"/>
      <c r="R625" s="17"/>
      <c r="S625" s="17"/>
      <c r="T625" s="17"/>
      <c r="U625" s="17"/>
      <c r="V625" s="17"/>
      <c r="W625" s="17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91" t="s">
        <v>21</v>
      </c>
      <c r="B626" s="91" t="s">
        <v>22</v>
      </c>
      <c r="C626" s="91" t="s">
        <v>23</v>
      </c>
      <c r="D626" s="91" t="s">
        <v>24</v>
      </c>
      <c r="E626" s="91" t="s">
        <v>31</v>
      </c>
      <c r="F626" s="91" t="s">
        <v>25</v>
      </c>
      <c r="G626" s="91" t="s">
        <v>25</v>
      </c>
      <c r="H626" s="91" t="s">
        <v>25</v>
      </c>
      <c r="I626" s="99">
        <v>44378</v>
      </c>
      <c r="J626" s="100">
        <f>EFEITO!$J$626*EFEITO!$Y$541</f>
        <v>0</v>
      </c>
      <c r="K626" s="100">
        <f ca="1">EFEITO!$L$626*EFEITO!$Z$626</f>
        <v>3681.1826520938966</v>
      </c>
      <c r="L626" s="100">
        <f>EFEITO!$N$626*EFEITO!$AA$626</f>
        <v>3790.7778017707501</v>
      </c>
      <c r="M626" s="100">
        <f>$J$626-EFEITO!$K$626*EFEITO!$Y$626</f>
        <v>0</v>
      </c>
      <c r="N626" s="100">
        <f ca="1">$K$626-EFEITO!$M$626*EFEITO!$Z$626</f>
        <v>0</v>
      </c>
      <c r="O626" s="100">
        <f>$L$626-EFEITO!$O$626*EFEITO!$AA$626</f>
        <v>0</v>
      </c>
      <c r="P626" s="17"/>
      <c r="Q626" s="17"/>
      <c r="R626" s="17"/>
      <c r="S626" s="17"/>
      <c r="T626" s="17"/>
      <c r="U626" s="17"/>
      <c r="V626" s="17"/>
      <c r="W626" s="17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91" t="s">
        <v>21</v>
      </c>
      <c r="B627" s="91" t="s">
        <v>22</v>
      </c>
      <c r="C627" s="91" t="s">
        <v>23</v>
      </c>
      <c r="D627" s="91" t="s">
        <v>24</v>
      </c>
      <c r="E627" s="91" t="s">
        <v>31</v>
      </c>
      <c r="F627" s="91" t="s">
        <v>25</v>
      </c>
      <c r="G627" s="91" t="s">
        <v>25</v>
      </c>
      <c r="H627" s="91" t="s">
        <v>25</v>
      </c>
      <c r="I627" s="99">
        <v>44409</v>
      </c>
      <c r="J627" s="100">
        <f>EFEITO!$J$627*EFEITO!$Y$541</f>
        <v>0</v>
      </c>
      <c r="K627" s="100">
        <f ca="1">EFEITO!$L$627*EFEITO!$Z$626</f>
        <v>3343.5169927655752</v>
      </c>
      <c r="L627" s="100">
        <f>EFEITO!$N$627*EFEITO!$AA$626</f>
        <v>3443.0592540170828</v>
      </c>
      <c r="M627" s="100">
        <f>$J$627-EFEITO!$K$627*EFEITO!$Y$627</f>
        <v>0</v>
      </c>
      <c r="N627" s="100">
        <f ca="1">$K$627-EFEITO!$M$627*EFEITO!$Z$627</f>
        <v>0</v>
      </c>
      <c r="O627" s="100">
        <f>$L$627-EFEITO!$O$627*EFEITO!$AA$627</f>
        <v>0</v>
      </c>
      <c r="P627" s="17"/>
      <c r="Q627" s="17"/>
      <c r="R627" s="17"/>
      <c r="S627" s="17"/>
      <c r="T627" s="17"/>
      <c r="U627" s="17"/>
      <c r="V627" s="17"/>
      <c r="W627" s="17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91" t="s">
        <v>21</v>
      </c>
      <c r="B628" s="91" t="s">
        <v>22</v>
      </c>
      <c r="C628" s="91" t="s">
        <v>23</v>
      </c>
      <c r="D628" s="91" t="s">
        <v>24</v>
      </c>
      <c r="E628" s="91" t="s">
        <v>31</v>
      </c>
      <c r="F628" s="91" t="s">
        <v>25</v>
      </c>
      <c r="G628" s="91" t="s">
        <v>25</v>
      </c>
      <c r="H628" s="91" t="s">
        <v>25</v>
      </c>
      <c r="I628" s="99">
        <v>44440</v>
      </c>
      <c r="J628" s="100">
        <f>EFEITO!$J$628*EFEITO!$Y$541</f>
        <v>0</v>
      </c>
      <c r="K628" s="100">
        <f ca="1">EFEITO!$L$628*EFEITO!$Z$626</f>
        <v>2865.4558636767392</v>
      </c>
      <c r="L628" s="100">
        <f>EFEITO!$N$628*EFEITO!$AA$626</f>
        <v>2950.7654214878521</v>
      </c>
      <c r="M628" s="100">
        <f>$J$628-EFEITO!$K$628*EFEITO!$Y$628</f>
        <v>0</v>
      </c>
      <c r="N628" s="100">
        <f ca="1">$K$628-EFEITO!$M$628*EFEITO!$Z$628</f>
        <v>0</v>
      </c>
      <c r="O628" s="100">
        <f>$L$628-EFEITO!$O$628*EFEITO!$AA$628</f>
        <v>0</v>
      </c>
      <c r="P628" s="17"/>
      <c r="Q628" s="17"/>
      <c r="R628" s="17"/>
      <c r="S628" s="17"/>
      <c r="T628" s="17"/>
      <c r="U628" s="17"/>
      <c r="V628" s="17"/>
      <c r="W628" s="17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91" t="s">
        <v>27</v>
      </c>
      <c r="B629" s="91" t="s">
        <v>22</v>
      </c>
      <c r="C629" s="91" t="s">
        <v>23</v>
      </c>
      <c r="D629" s="91" t="s">
        <v>24</v>
      </c>
      <c r="E629" s="91" t="s">
        <v>31</v>
      </c>
      <c r="F629" s="91" t="s">
        <v>25</v>
      </c>
      <c r="G629" s="91" t="s">
        <v>25</v>
      </c>
      <c r="H629" s="91" t="s">
        <v>25</v>
      </c>
      <c r="I629" s="99">
        <v>44440</v>
      </c>
      <c r="J629" s="100">
        <f>EFEITO!$J$629*EFEITO!$Y$541</f>
        <v>0</v>
      </c>
      <c r="K629" s="100">
        <f ca="1">EFEITO!$L$629*EFEITO!$Z$626</f>
        <v>-66.727033474694707</v>
      </c>
      <c r="L629" s="100">
        <f>EFEITO!$N$629*EFEITO!$AA$626</f>
        <v>-68.713612221878549</v>
      </c>
      <c r="M629" s="100">
        <f>$J$629-EFEITO!$K$629*EFEITO!$Y$629</f>
        <v>0</v>
      </c>
      <c r="N629" s="100">
        <f ca="1">$K$629-EFEITO!$M$629*EFEITO!$Z$629</f>
        <v>0</v>
      </c>
      <c r="O629" s="100">
        <f>$L$629-EFEITO!$O$629*EFEITO!$AA$629</f>
        <v>0</v>
      </c>
      <c r="P629" s="17"/>
      <c r="Q629" s="17"/>
      <c r="R629" s="17"/>
      <c r="S629" s="17"/>
      <c r="T629" s="17"/>
      <c r="U629" s="17"/>
      <c r="V629" s="17"/>
      <c r="W629" s="17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91" t="s">
        <v>21</v>
      </c>
      <c r="B630" s="91" t="s">
        <v>22</v>
      </c>
      <c r="C630" s="91" t="s">
        <v>23</v>
      </c>
      <c r="D630" s="91" t="s">
        <v>24</v>
      </c>
      <c r="E630" s="91" t="s">
        <v>31</v>
      </c>
      <c r="F630" s="91" t="s">
        <v>25</v>
      </c>
      <c r="G630" s="91" t="s">
        <v>25</v>
      </c>
      <c r="H630" s="91" t="s">
        <v>25</v>
      </c>
      <c r="I630" s="99">
        <v>44470</v>
      </c>
      <c r="J630" s="100">
        <f>EFEITO!$J$630*EFEITO!$Y$541</f>
        <v>0</v>
      </c>
      <c r="K630" s="100">
        <f ca="1">EFEITO!$L$630*EFEITO!$Z$626</f>
        <v>2841.0489957279415</v>
      </c>
      <c r="L630" s="100">
        <f>EFEITO!$N$630*EFEITO!$AA$626</f>
        <v>2925.6319190308564</v>
      </c>
      <c r="M630" s="100">
        <f>$J$630-EFEITO!$K$630*EFEITO!$Y$630</f>
        <v>0</v>
      </c>
      <c r="N630" s="100">
        <f ca="1">$K$630-EFEITO!$M$630*EFEITO!$Z$630</f>
        <v>0</v>
      </c>
      <c r="O630" s="100">
        <f>$L$630-EFEITO!$O$630*EFEITO!$AA$630</f>
        <v>0</v>
      </c>
      <c r="P630" s="17"/>
      <c r="Q630" s="17"/>
      <c r="R630" s="17"/>
      <c r="S630" s="17"/>
      <c r="T630" s="17"/>
      <c r="U630" s="17"/>
      <c r="V630" s="17"/>
      <c r="W630" s="17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91" t="s">
        <v>21</v>
      </c>
      <c r="B631" s="91" t="s">
        <v>22</v>
      </c>
      <c r="C631" s="91" t="s">
        <v>23</v>
      </c>
      <c r="D631" s="91" t="s">
        <v>24</v>
      </c>
      <c r="E631" s="91" t="s">
        <v>31</v>
      </c>
      <c r="F631" s="91" t="s">
        <v>25</v>
      </c>
      <c r="G631" s="91" t="s">
        <v>25</v>
      </c>
      <c r="H631" s="91" t="s">
        <v>25</v>
      </c>
      <c r="I631" s="99">
        <v>44501</v>
      </c>
      <c r="J631" s="100">
        <f>EFEITO!$J$631*EFEITO!$Y$541</f>
        <v>0</v>
      </c>
      <c r="K631" s="100">
        <f ca="1">EFEITO!$L$631*EFEITO!$Z$626</f>
        <v>3282.611781003438</v>
      </c>
      <c r="L631" s="100">
        <f>EFEITO!$N$631*EFEITO!$AA$626</f>
        <v>3380.3407891702673</v>
      </c>
      <c r="M631" s="100">
        <f>$J$631-EFEITO!$K$631*EFEITO!$Y$631</f>
        <v>0</v>
      </c>
      <c r="N631" s="100">
        <f ca="1">$K$631-EFEITO!$M$631*EFEITO!$Z$631</f>
        <v>0</v>
      </c>
      <c r="O631" s="100">
        <f>$L$631-EFEITO!$O$631*EFEITO!$AA$631</f>
        <v>0</v>
      </c>
      <c r="P631" s="17"/>
      <c r="Q631" s="17"/>
      <c r="R631" s="17"/>
      <c r="S631" s="17"/>
      <c r="T631" s="17"/>
      <c r="U631" s="17"/>
      <c r="V631" s="17"/>
      <c r="W631" s="17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91" t="s">
        <v>21</v>
      </c>
      <c r="B632" s="91" t="s">
        <v>22</v>
      </c>
      <c r="C632" s="91" t="s">
        <v>23</v>
      </c>
      <c r="D632" s="91" t="s">
        <v>24</v>
      </c>
      <c r="E632" s="91" t="s">
        <v>31</v>
      </c>
      <c r="F632" s="91" t="s">
        <v>25</v>
      </c>
      <c r="G632" s="91" t="s">
        <v>25</v>
      </c>
      <c r="H632" s="91" t="s">
        <v>25</v>
      </c>
      <c r="I632" s="99">
        <v>44531</v>
      </c>
      <c r="J632" s="100">
        <f>EFEITO!$J$632*EFEITO!$Y$541</f>
        <v>0</v>
      </c>
      <c r="K632" s="100">
        <f ca="1">EFEITO!$L$632*EFEITO!$Z$626</f>
        <v>2950.5440271679604</v>
      </c>
      <c r="L632" s="100">
        <f>EFEITO!$N$632*EFEITO!$AA$626</f>
        <v>3038.3868062003144</v>
      </c>
      <c r="M632" s="100">
        <f>$J$632-EFEITO!$K$632*EFEITO!$Y$632</f>
        <v>0</v>
      </c>
      <c r="N632" s="100">
        <f ca="1">$K$632-EFEITO!$M$632*EFEITO!$Z$632</f>
        <v>0</v>
      </c>
      <c r="O632" s="100">
        <f>$L$632-EFEITO!$O$632*EFEITO!$AA$632</f>
        <v>0</v>
      </c>
      <c r="P632" s="17"/>
      <c r="Q632" s="17"/>
      <c r="R632" s="17"/>
      <c r="S632" s="17"/>
      <c r="T632" s="17"/>
      <c r="U632" s="17"/>
      <c r="V632" s="17"/>
      <c r="W632" s="17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91" t="s">
        <v>21</v>
      </c>
      <c r="B633" s="91" t="s">
        <v>22</v>
      </c>
      <c r="C633" s="91" t="s">
        <v>23</v>
      </c>
      <c r="D633" s="91" t="s">
        <v>24</v>
      </c>
      <c r="E633" s="91" t="s">
        <v>31</v>
      </c>
      <c r="F633" s="91" t="s">
        <v>25</v>
      </c>
      <c r="G633" s="91" t="s">
        <v>25</v>
      </c>
      <c r="H633" s="91" t="s">
        <v>25</v>
      </c>
      <c r="I633" s="99">
        <v>44562</v>
      </c>
      <c r="J633" s="100">
        <f>EFEITO!$J$633*EFEITO!$Y$541</f>
        <v>0</v>
      </c>
      <c r="K633" s="100">
        <f ca="1">EFEITO!$L$633*EFEITO!$Z$626</f>
        <v>4609.7632152467786</v>
      </c>
      <c r="L633" s="100">
        <f>EFEITO!$N$633*EFEITO!$AA$626</f>
        <v>4747.0038080933355</v>
      </c>
      <c r="M633" s="100">
        <f>$J$633-EFEITO!$K$633*EFEITO!$Y$633</f>
        <v>0</v>
      </c>
      <c r="N633" s="100">
        <f ca="1">$K$633-EFEITO!$M$633*EFEITO!$Z$633</f>
        <v>0</v>
      </c>
      <c r="O633" s="100">
        <f>$L$633-EFEITO!$O$633*EFEITO!$AA$633</f>
        <v>0</v>
      </c>
      <c r="P633" s="17"/>
      <c r="Q633" s="17"/>
      <c r="R633" s="17"/>
      <c r="S633" s="17"/>
      <c r="T633" s="17"/>
      <c r="U633" s="17"/>
      <c r="V633" s="17"/>
      <c r="W633" s="17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91" t="s">
        <v>21</v>
      </c>
      <c r="B634" s="91" t="s">
        <v>22</v>
      </c>
      <c r="C634" s="91" t="s">
        <v>23</v>
      </c>
      <c r="D634" s="91" t="s">
        <v>24</v>
      </c>
      <c r="E634" s="91" t="s">
        <v>31</v>
      </c>
      <c r="F634" s="91" t="s">
        <v>25</v>
      </c>
      <c r="G634" s="91" t="s">
        <v>25</v>
      </c>
      <c r="H634" s="91" t="s">
        <v>25</v>
      </c>
      <c r="I634" s="99">
        <v>44593</v>
      </c>
      <c r="J634" s="100">
        <f>EFEITO!$J$634*EFEITO!$Y$541</f>
        <v>0</v>
      </c>
      <c r="K634" s="100">
        <f ca="1">EFEITO!$L$634*EFEITO!$Z$626</f>
        <v>4123.4171860285342</v>
      </c>
      <c r="L634" s="100">
        <f>EFEITO!$N$634*EFEITO!$AA$626</f>
        <v>4246.1784196842063</v>
      </c>
      <c r="M634" s="100">
        <f>$J$634-EFEITO!$K$634*EFEITO!$Y$634</f>
        <v>0</v>
      </c>
      <c r="N634" s="100">
        <f ca="1">$K$634-EFEITO!$M$634*EFEITO!$Z$634</f>
        <v>0</v>
      </c>
      <c r="O634" s="100">
        <f>$L$634-EFEITO!$O$634*EFEITO!$AA$634</f>
        <v>0</v>
      </c>
      <c r="P634" s="17"/>
      <c r="Q634" s="17"/>
      <c r="R634" s="17"/>
      <c r="S634" s="17"/>
      <c r="T634" s="17"/>
      <c r="U634" s="17"/>
      <c r="V634" s="17"/>
      <c r="W634" s="17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91" t="s">
        <v>27</v>
      </c>
      <c r="B635" s="91" t="s">
        <v>22</v>
      </c>
      <c r="C635" s="91" t="s">
        <v>23</v>
      </c>
      <c r="D635" s="91" t="s">
        <v>24</v>
      </c>
      <c r="E635" s="91" t="s">
        <v>31</v>
      </c>
      <c r="F635" s="91" t="s">
        <v>25</v>
      </c>
      <c r="G635" s="91" t="s">
        <v>25</v>
      </c>
      <c r="H635" s="91" t="s">
        <v>25</v>
      </c>
      <c r="I635" s="99">
        <v>44593</v>
      </c>
      <c r="J635" s="100">
        <f>EFEITO!$J$635*EFEITO!$Y$541</f>
        <v>0</v>
      </c>
      <c r="K635" s="100">
        <f ca="1">EFEITO!$L$635*EFEITO!$Z$626</f>
        <v>12.315392084255736</v>
      </c>
      <c r="L635" s="100">
        <f>EFEITO!$N$635*EFEITO!$AA$626</f>
        <v>12.682042524172218</v>
      </c>
      <c r="M635" s="100">
        <f>$J$635-EFEITO!$K$635*EFEITO!$Y$635</f>
        <v>0</v>
      </c>
      <c r="N635" s="100">
        <f ca="1">$K$635-EFEITO!$M$635*EFEITO!$Z$635</f>
        <v>0</v>
      </c>
      <c r="O635" s="100">
        <f>$L$635-EFEITO!$O$635*EFEITO!$AA$635</f>
        <v>0</v>
      </c>
      <c r="P635" s="17"/>
      <c r="Q635" s="17"/>
      <c r="R635" s="17"/>
      <c r="S635" s="17"/>
      <c r="T635" s="17"/>
      <c r="U635" s="17"/>
      <c r="V635" s="17"/>
      <c r="W635" s="17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91" t="s">
        <v>21</v>
      </c>
      <c r="B636" s="91" t="s">
        <v>22</v>
      </c>
      <c r="C636" s="91" t="s">
        <v>23</v>
      </c>
      <c r="D636" s="91" t="s">
        <v>24</v>
      </c>
      <c r="E636" s="91" t="s">
        <v>31</v>
      </c>
      <c r="F636" s="91" t="s">
        <v>25</v>
      </c>
      <c r="G636" s="91" t="s">
        <v>25</v>
      </c>
      <c r="H636" s="91" t="s">
        <v>25</v>
      </c>
      <c r="I636" s="99">
        <v>44621</v>
      </c>
      <c r="J636" s="100">
        <f>EFEITO!$J$636*EFEITO!$Y$541</f>
        <v>0</v>
      </c>
      <c r="K636" s="100">
        <f ca="1">EFEITO!$L$636*EFEITO!$Z$626</f>
        <v>4889.2106574495274</v>
      </c>
      <c r="L636" s="100">
        <f>EFEITO!$N$636*EFEITO!$AA$626</f>
        <v>5034.7708820963708</v>
      </c>
      <c r="M636" s="100">
        <f>$J$636-EFEITO!$K$636*EFEITO!$Y$636</f>
        <v>0</v>
      </c>
      <c r="N636" s="100">
        <f ca="1">$K$636-EFEITO!$M$636*EFEITO!$Z$636</f>
        <v>0</v>
      </c>
      <c r="O636" s="100">
        <f>$L$636-EFEITO!$O$636*EFEITO!$AA$636</f>
        <v>0</v>
      </c>
      <c r="P636" s="17"/>
      <c r="Q636" s="17"/>
      <c r="R636" s="17"/>
      <c r="S636" s="17"/>
      <c r="T636" s="17"/>
      <c r="U636" s="17"/>
      <c r="V636" s="17"/>
      <c r="W636" s="17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91" t="s">
        <v>21</v>
      </c>
      <c r="B637" s="91" t="s">
        <v>22</v>
      </c>
      <c r="C637" s="91" t="s">
        <v>23</v>
      </c>
      <c r="D637" s="91" t="s">
        <v>24</v>
      </c>
      <c r="E637" s="91" t="s">
        <v>31</v>
      </c>
      <c r="F637" s="91" t="s">
        <v>25</v>
      </c>
      <c r="G637" s="91" t="s">
        <v>25</v>
      </c>
      <c r="H637" s="91" t="s">
        <v>25</v>
      </c>
      <c r="I637" s="99">
        <v>44652</v>
      </c>
      <c r="J637" s="100">
        <f>EFEITO!$J$637*EFEITO!$Y$541</f>
        <v>0</v>
      </c>
      <c r="K637" s="100">
        <f ca="1">EFEITO!$L$637*EFEITO!$Z$626</f>
        <v>2394.1122211793149</v>
      </c>
      <c r="L637" s="100">
        <f>EFEITO!$N$637*EFEITO!$AA$626</f>
        <v>2465.3890666990792</v>
      </c>
      <c r="M637" s="100">
        <f>$J$637-EFEITO!$K$637*EFEITO!$Y$637</f>
        <v>0</v>
      </c>
      <c r="N637" s="100">
        <f ca="1">$K$637-EFEITO!$M$637*EFEITO!$Z$637</f>
        <v>0</v>
      </c>
      <c r="O637" s="100">
        <f>$L$637-EFEITO!$O$637*EFEITO!$AA$637</f>
        <v>0</v>
      </c>
      <c r="P637" s="17"/>
      <c r="Q637" s="17"/>
      <c r="R637" s="17"/>
      <c r="S637" s="17"/>
      <c r="T637" s="17"/>
      <c r="U637" s="17"/>
      <c r="V637" s="17"/>
      <c r="W637" s="17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91" t="s">
        <v>21</v>
      </c>
      <c r="B638" s="91" t="s">
        <v>22</v>
      </c>
      <c r="C638" s="91" t="s">
        <v>23</v>
      </c>
      <c r="D638" s="91" t="s">
        <v>24</v>
      </c>
      <c r="E638" s="91" t="s">
        <v>31</v>
      </c>
      <c r="F638" s="91" t="s">
        <v>25</v>
      </c>
      <c r="G638" s="91" t="s">
        <v>25</v>
      </c>
      <c r="H638" s="91" t="s">
        <v>25</v>
      </c>
      <c r="I638" s="99">
        <v>44682</v>
      </c>
      <c r="J638" s="100">
        <f>EFEITO!$J$638*EFEITO!$Y$541</f>
        <v>0</v>
      </c>
      <c r="K638" s="100">
        <f ca="1">EFEITO!$L$638*EFEITO!$Z$626</f>
        <v>2701.1013584068537</v>
      </c>
      <c r="L638" s="100">
        <f>EFEITO!$N$638*EFEITO!$AA$626</f>
        <v>2781.5177994379901</v>
      </c>
      <c r="M638" s="100">
        <f>$J$638-EFEITO!$K$638*EFEITO!$Y$638</f>
        <v>0</v>
      </c>
      <c r="N638" s="100">
        <f ca="1">$K$638-EFEITO!$M$638*EFEITO!$Z$638</f>
        <v>0</v>
      </c>
      <c r="O638" s="100">
        <f>$L$638-EFEITO!$O$638*EFEITO!$AA$638</f>
        <v>0</v>
      </c>
      <c r="P638" s="17"/>
      <c r="Q638" s="17"/>
      <c r="R638" s="17"/>
      <c r="S638" s="17"/>
      <c r="T638" s="17"/>
      <c r="U638" s="17"/>
      <c r="V638" s="17"/>
      <c r="W638" s="17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91" t="s">
        <v>56</v>
      </c>
      <c r="B639" s="91" t="s">
        <v>22</v>
      </c>
      <c r="C639" s="91" t="s">
        <v>23</v>
      </c>
      <c r="D639" s="91" t="s">
        <v>24</v>
      </c>
      <c r="E639" s="91" t="s">
        <v>31</v>
      </c>
      <c r="F639" s="91" t="s">
        <v>25</v>
      </c>
      <c r="G639" s="91" t="s">
        <v>25</v>
      </c>
      <c r="H639" s="91" t="s">
        <v>25</v>
      </c>
      <c r="I639" s="99">
        <v>44713</v>
      </c>
      <c r="J639" s="100">
        <f>EFEITO!$J$639*EFEITO!$Y$541</f>
        <v>0</v>
      </c>
      <c r="K639" s="100">
        <f ca="1">EFEITO!$L$639*EFEITO!$Z$626</f>
        <v>2701.1013584068537</v>
      </c>
      <c r="L639" s="100">
        <f>EFEITO!$N$639*EFEITO!$AA$626</f>
        <v>2781.5177994379901</v>
      </c>
      <c r="M639" s="100">
        <f>$J$639-EFEITO!$K$639*EFEITO!$Y$639</f>
        <v>0</v>
      </c>
      <c r="N639" s="100">
        <f ca="1">$K$639-EFEITO!$M$639*EFEITO!$Z$639</f>
        <v>0</v>
      </c>
      <c r="O639" s="100">
        <f>$L$639-EFEITO!$O$639*EFEITO!$AA$639</f>
        <v>0</v>
      </c>
      <c r="P639" s="17"/>
      <c r="Q639" s="17"/>
      <c r="R639" s="17"/>
      <c r="S639" s="17"/>
      <c r="T639" s="17"/>
      <c r="U639" s="17"/>
      <c r="V639" s="17"/>
      <c r="W639" s="17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91" t="s">
        <v>21</v>
      </c>
      <c r="B640" s="91" t="s">
        <v>42</v>
      </c>
      <c r="C640" s="91" t="s">
        <v>23</v>
      </c>
      <c r="D640" s="91" t="s">
        <v>43</v>
      </c>
      <c r="E640" s="91" t="s">
        <v>51</v>
      </c>
      <c r="F640" s="91" t="s">
        <v>52</v>
      </c>
      <c r="G640" s="91" t="s">
        <v>25</v>
      </c>
      <c r="H640" s="91" t="s">
        <v>25</v>
      </c>
      <c r="I640" s="99">
        <v>44378</v>
      </c>
      <c r="J640" s="100">
        <f>EFEITO!$J$640*EFEITO!$Y$541</f>
        <v>0</v>
      </c>
      <c r="K640" s="100">
        <f ca="1">EFEITO!$L$640*EFEITO!$Z$541</f>
        <v>3096.5349683056415</v>
      </c>
      <c r="L640" s="100">
        <f>EFEITO!$N$640*EFEITO!$AA$541</f>
        <v>2162.6341242583858</v>
      </c>
      <c r="M640" s="100">
        <f>$J$640-EFEITO!$K$640*EFEITO!$Y$640</f>
        <v>0</v>
      </c>
      <c r="N640" s="100">
        <f ca="1">$K$640-EFEITO!$M$640*EFEITO!$Z$640</f>
        <v>185.79209809833856</v>
      </c>
      <c r="O640" s="100">
        <f>$L$640-EFEITO!$O$640*EFEITO!$AA$640</f>
        <v>129.7580474555034</v>
      </c>
      <c r="P640" s="17"/>
      <c r="Q640" s="17"/>
      <c r="R640" s="17"/>
      <c r="S640" s="17"/>
      <c r="T640" s="17"/>
      <c r="U640" s="17"/>
      <c r="V640" s="17"/>
      <c r="W640" s="17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91" t="s">
        <v>21</v>
      </c>
      <c r="B641" s="91" t="s">
        <v>42</v>
      </c>
      <c r="C641" s="91" t="s">
        <v>23</v>
      </c>
      <c r="D641" s="91" t="s">
        <v>43</v>
      </c>
      <c r="E641" s="91" t="s">
        <v>51</v>
      </c>
      <c r="F641" s="91" t="s">
        <v>52</v>
      </c>
      <c r="G641" s="91" t="s">
        <v>25</v>
      </c>
      <c r="H641" s="91" t="s">
        <v>25</v>
      </c>
      <c r="I641" s="99">
        <v>44409</v>
      </c>
      <c r="J641" s="100">
        <f>EFEITO!$J$641*EFEITO!$Y$541</f>
        <v>0</v>
      </c>
      <c r="K641" s="100">
        <f ca="1">EFEITO!$L$641*EFEITO!$Z$541</f>
        <v>2693.7444084023596</v>
      </c>
      <c r="L641" s="100">
        <f>EFEITO!$N$641*EFEITO!$AA$541</f>
        <v>1881.3233628131113</v>
      </c>
      <c r="M641" s="100">
        <f>$J$641-EFEITO!$K$641*EFEITO!$Y$641</f>
        <v>0</v>
      </c>
      <c r="N641" s="100">
        <f ca="1">$K$641-EFEITO!$M$641*EFEITO!$Z$641</f>
        <v>161.62466450414149</v>
      </c>
      <c r="O641" s="100">
        <f>$L$641-EFEITO!$O$641*EFEITO!$AA$641</f>
        <v>112.87940176878669</v>
      </c>
      <c r="P641" s="17"/>
      <c r="Q641" s="17"/>
      <c r="R641" s="17"/>
      <c r="S641" s="17"/>
      <c r="T641" s="17"/>
      <c r="U641" s="17"/>
      <c r="V641" s="17"/>
      <c r="W641" s="17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91" t="s">
        <v>55</v>
      </c>
      <c r="B642" s="91" t="s">
        <v>42</v>
      </c>
      <c r="C642" s="91" t="s">
        <v>23</v>
      </c>
      <c r="D642" s="91" t="s">
        <v>43</v>
      </c>
      <c r="E642" s="91" t="s">
        <v>51</v>
      </c>
      <c r="F642" s="91" t="s">
        <v>52</v>
      </c>
      <c r="G642" s="91" t="s">
        <v>25</v>
      </c>
      <c r="H642" s="91" t="s">
        <v>25</v>
      </c>
      <c r="I642" s="99">
        <v>44409</v>
      </c>
      <c r="J642" s="100">
        <f>EFEITO!$J$642*EFEITO!$Y$541</f>
        <v>0</v>
      </c>
      <c r="K642" s="100">
        <f ca="1">EFEITO!$L$642*EFEITO!$Z$541</f>
        <v>22.450621371658347</v>
      </c>
      <c r="L642" s="100">
        <f>EFEITO!$N$642*EFEITO!$AA$541</f>
        <v>15.679616211703832</v>
      </c>
      <c r="M642" s="100">
        <f>$J$642-EFEITO!$K$642*EFEITO!$Y$642</f>
        <v>0</v>
      </c>
      <c r="N642" s="100">
        <f ca="1">$K$642-EFEITO!$M$642*EFEITO!$Z$642</f>
        <v>1.3470372822994996</v>
      </c>
      <c r="O642" s="100">
        <f>$L$642-EFEITO!$O$642*EFEITO!$AA$642</f>
        <v>0.94077697270223126</v>
      </c>
      <c r="P642" s="17"/>
      <c r="Q642" s="17"/>
      <c r="R642" s="17"/>
      <c r="S642" s="17"/>
      <c r="T642" s="17"/>
      <c r="U642" s="17"/>
      <c r="V642" s="17"/>
      <c r="W642" s="17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91" t="s">
        <v>21</v>
      </c>
      <c r="B643" s="91" t="s">
        <v>42</v>
      </c>
      <c r="C643" s="91" t="s">
        <v>23</v>
      </c>
      <c r="D643" s="91" t="s">
        <v>43</v>
      </c>
      <c r="E643" s="91" t="s">
        <v>51</v>
      </c>
      <c r="F643" s="91" t="s">
        <v>52</v>
      </c>
      <c r="G643" s="91" t="s">
        <v>25</v>
      </c>
      <c r="H643" s="91" t="s">
        <v>25</v>
      </c>
      <c r="I643" s="99">
        <v>44440</v>
      </c>
      <c r="J643" s="100">
        <f>EFEITO!$J$643*EFEITO!$Y$541</f>
        <v>0</v>
      </c>
      <c r="K643" s="100">
        <f ca="1">EFEITO!$L$643*EFEITO!$Z$541</f>
        <v>2976.027956531299</v>
      </c>
      <c r="L643" s="100">
        <f>EFEITO!$N$643*EFEITO!$AA$541</f>
        <v>2078.471478416152</v>
      </c>
      <c r="M643" s="100">
        <f>$J$643-EFEITO!$K$643*EFEITO!$Y$643</f>
        <v>0</v>
      </c>
      <c r="N643" s="100">
        <f ca="1">$K$643-EFEITO!$M$643*EFEITO!$Z$643</f>
        <v>178.56167739187822</v>
      </c>
      <c r="O643" s="100">
        <f>$L$643-EFEITO!$O$643*EFEITO!$AA$643</f>
        <v>124.70828870496939</v>
      </c>
      <c r="P643" s="17"/>
      <c r="Q643" s="17"/>
      <c r="R643" s="17"/>
      <c r="S643" s="17"/>
      <c r="T643" s="17"/>
      <c r="U643" s="17"/>
      <c r="V643" s="17"/>
      <c r="W643" s="17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91" t="s">
        <v>55</v>
      </c>
      <c r="B644" s="91" t="s">
        <v>42</v>
      </c>
      <c r="C644" s="91" t="s">
        <v>23</v>
      </c>
      <c r="D644" s="91" t="s">
        <v>43</v>
      </c>
      <c r="E644" s="91" t="s">
        <v>51</v>
      </c>
      <c r="F644" s="91" t="s">
        <v>52</v>
      </c>
      <c r="G644" s="91" t="s">
        <v>25</v>
      </c>
      <c r="H644" s="91" t="s">
        <v>25</v>
      </c>
      <c r="I644" s="99">
        <v>44440</v>
      </c>
      <c r="J644" s="100">
        <f>EFEITO!$J$644*EFEITO!$Y$541</f>
        <v>0</v>
      </c>
      <c r="K644" s="100">
        <f ca="1">EFEITO!$L$644*EFEITO!$Z$541</f>
        <v>33.015619664203449</v>
      </c>
      <c r="L644" s="100">
        <f>EFEITO!$N$644*EFEITO!$AA$541</f>
        <v>23.058259134858577</v>
      </c>
      <c r="M644" s="100">
        <f>$J$644-EFEITO!$K$644*EFEITO!$Y$644</f>
        <v>0</v>
      </c>
      <c r="N644" s="100">
        <f ca="1">$K$644-EFEITO!$M$644*EFEITO!$Z$644</f>
        <v>1.9809371798522051</v>
      </c>
      <c r="O644" s="100">
        <f>$L$644-EFEITO!$O$644*EFEITO!$AA$644</f>
        <v>1.383495548091517</v>
      </c>
      <c r="P644" s="17"/>
      <c r="Q644" s="17"/>
      <c r="R644" s="17"/>
      <c r="S644" s="17"/>
      <c r="T644" s="17"/>
      <c r="U644" s="17"/>
      <c r="V644" s="17"/>
      <c r="W644" s="17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91" t="s">
        <v>21</v>
      </c>
      <c r="B645" s="91" t="s">
        <v>42</v>
      </c>
      <c r="C645" s="91" t="s">
        <v>23</v>
      </c>
      <c r="D645" s="91" t="s">
        <v>43</v>
      </c>
      <c r="E645" s="91" t="s">
        <v>51</v>
      </c>
      <c r="F645" s="91" t="s">
        <v>52</v>
      </c>
      <c r="G645" s="91" t="s">
        <v>25</v>
      </c>
      <c r="H645" s="91" t="s">
        <v>25</v>
      </c>
      <c r="I645" s="99">
        <v>44470</v>
      </c>
      <c r="J645" s="100">
        <f>EFEITO!$J$645*EFEITO!$Y$541</f>
        <v>0</v>
      </c>
      <c r="K645" s="100">
        <f ca="1">EFEITO!$L$645*EFEITO!$Z$541</f>
        <v>3230.2482279456658</v>
      </c>
      <c r="L645" s="100">
        <f>EFEITO!$N$645*EFEITO!$AA$541</f>
        <v>2256.0200737545633</v>
      </c>
      <c r="M645" s="100">
        <f>$J$645-EFEITO!$K$645*EFEITO!$Y$645</f>
        <v>0</v>
      </c>
      <c r="N645" s="100">
        <f ca="1">$K$645-EFEITO!$M$645*EFEITO!$Z$645</f>
        <v>193.81489367674021</v>
      </c>
      <c r="O645" s="100">
        <f>$L$645-EFEITO!$O$645*EFEITO!$AA$645</f>
        <v>135.36120442527408</v>
      </c>
      <c r="P645" s="17"/>
      <c r="Q645" s="17"/>
      <c r="R645" s="17"/>
      <c r="S645" s="17"/>
      <c r="T645" s="17"/>
      <c r="U645" s="17"/>
      <c r="V645" s="17"/>
      <c r="W645" s="17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91" t="s">
        <v>55</v>
      </c>
      <c r="B646" s="91" t="s">
        <v>42</v>
      </c>
      <c r="C646" s="91" t="s">
        <v>23</v>
      </c>
      <c r="D646" s="91" t="s">
        <v>43</v>
      </c>
      <c r="E646" s="91" t="s">
        <v>51</v>
      </c>
      <c r="F646" s="91" t="s">
        <v>52</v>
      </c>
      <c r="G646" s="91" t="s">
        <v>25</v>
      </c>
      <c r="H646" s="91" t="s">
        <v>25</v>
      </c>
      <c r="I646" s="99">
        <v>44470</v>
      </c>
      <c r="J646" s="100">
        <f>EFEITO!$J$646*EFEITO!$Y$541</f>
        <v>0</v>
      </c>
      <c r="K646" s="100">
        <f ca="1">EFEITO!$L$646*EFEITO!$Z$541</f>
        <v>49.523429496305177</v>
      </c>
      <c r="L646" s="100">
        <f>EFEITO!$N$646*EFEITO!$AA$541</f>
        <v>34.587388702287861</v>
      </c>
      <c r="M646" s="100">
        <f>$J$646-EFEITO!$K$646*EFEITO!$Y$646</f>
        <v>0</v>
      </c>
      <c r="N646" s="100">
        <f ca="1">$K$646-EFEITO!$M$646*EFEITO!$Z$646</f>
        <v>2.9714057697783147</v>
      </c>
      <c r="O646" s="100">
        <f>$L$646-EFEITO!$O$646*EFEITO!$AA$646</f>
        <v>2.0752433221372755</v>
      </c>
      <c r="P646" s="17"/>
      <c r="Q646" s="17"/>
      <c r="R646" s="17"/>
      <c r="S646" s="17"/>
      <c r="T646" s="17"/>
      <c r="U646" s="17"/>
      <c r="V646" s="17"/>
      <c r="W646" s="17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91" t="s">
        <v>21</v>
      </c>
      <c r="B647" s="91" t="s">
        <v>42</v>
      </c>
      <c r="C647" s="91" t="s">
        <v>23</v>
      </c>
      <c r="D647" s="91" t="s">
        <v>43</v>
      </c>
      <c r="E647" s="91" t="s">
        <v>51</v>
      </c>
      <c r="F647" s="91" t="s">
        <v>52</v>
      </c>
      <c r="G647" s="91" t="s">
        <v>25</v>
      </c>
      <c r="H647" s="91" t="s">
        <v>25</v>
      </c>
      <c r="I647" s="99">
        <v>44501</v>
      </c>
      <c r="J647" s="100">
        <f>EFEITO!$J$647*EFEITO!$Y$541</f>
        <v>0</v>
      </c>
      <c r="K647" s="100">
        <f ca="1">EFEITO!$L$647*EFEITO!$Z$541</f>
        <v>3534.9823974462638</v>
      </c>
      <c r="L647" s="100">
        <f>EFEITO!$N$647*EFEITO!$AA$541</f>
        <v>2468.8478055693081</v>
      </c>
      <c r="M647" s="100">
        <f>$J$647-EFEITO!$K$647*EFEITO!$Y$647</f>
        <v>0</v>
      </c>
      <c r="N647" s="100">
        <f ca="1">$K$647-EFEITO!$M$647*EFEITO!$Z$647</f>
        <v>212.09894384677591</v>
      </c>
      <c r="O647" s="100">
        <f>$L$647-EFEITO!$O$647*EFEITO!$AA$647</f>
        <v>148.130868334159</v>
      </c>
      <c r="P647" s="17"/>
      <c r="Q647" s="17"/>
      <c r="R647" s="17"/>
      <c r="S647" s="17"/>
      <c r="T647" s="17"/>
      <c r="U647" s="17"/>
      <c r="V647" s="17"/>
      <c r="W647" s="17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91" t="s">
        <v>55</v>
      </c>
      <c r="B648" s="91" t="s">
        <v>42</v>
      </c>
      <c r="C648" s="91" t="s">
        <v>23</v>
      </c>
      <c r="D648" s="91" t="s">
        <v>43</v>
      </c>
      <c r="E648" s="91" t="s">
        <v>51</v>
      </c>
      <c r="F648" s="91" t="s">
        <v>52</v>
      </c>
      <c r="G648" s="91" t="s">
        <v>25</v>
      </c>
      <c r="H648" s="91" t="s">
        <v>25</v>
      </c>
      <c r="I648" s="99">
        <v>44501</v>
      </c>
      <c r="J648" s="100">
        <f>EFEITO!$J$648*EFEITO!$Y$541</f>
        <v>0</v>
      </c>
      <c r="K648" s="100">
        <f ca="1">EFEITO!$L$648*EFEITO!$Z$541</f>
        <v>49.523429496305177</v>
      </c>
      <c r="L648" s="100">
        <f>EFEITO!$N$648*EFEITO!$AA$541</f>
        <v>34.587388702287861</v>
      </c>
      <c r="M648" s="100">
        <f>$J$648-EFEITO!$K$648*EFEITO!$Y$648</f>
        <v>0</v>
      </c>
      <c r="N648" s="100">
        <f ca="1">$K$648-EFEITO!$M$648*EFEITO!$Z$648</f>
        <v>2.9714057697783147</v>
      </c>
      <c r="O648" s="100">
        <f>$L$648-EFEITO!$O$648*EFEITO!$AA$648</f>
        <v>2.0752433221372755</v>
      </c>
      <c r="P648" s="17"/>
      <c r="Q648" s="17"/>
      <c r="R648" s="17"/>
      <c r="S648" s="17"/>
      <c r="T648" s="17"/>
      <c r="U648" s="17"/>
      <c r="V648" s="17"/>
      <c r="W648" s="17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91" t="s">
        <v>21</v>
      </c>
      <c r="B649" s="91" t="s">
        <v>42</v>
      </c>
      <c r="C649" s="91" t="s">
        <v>23</v>
      </c>
      <c r="D649" s="91" t="s">
        <v>43</v>
      </c>
      <c r="E649" s="91" t="s">
        <v>51</v>
      </c>
      <c r="F649" s="91" t="s">
        <v>52</v>
      </c>
      <c r="G649" s="91" t="s">
        <v>25</v>
      </c>
      <c r="H649" s="91" t="s">
        <v>25</v>
      </c>
      <c r="I649" s="99">
        <v>44531</v>
      </c>
      <c r="J649" s="100">
        <f>EFEITO!$J$649*EFEITO!$Y$541</f>
        <v>0</v>
      </c>
      <c r="K649" s="100">
        <f ca="1">EFEITO!$L$649*EFEITO!$Z$541</f>
        <v>11730.779822888127</v>
      </c>
      <c r="L649" s="100">
        <f>EFEITO!$N$649*EFEITO!$AA$541</f>
        <v>8192.8300532066005</v>
      </c>
      <c r="M649" s="100">
        <f>$J$649-EFEITO!$K$649*EFEITO!$Y$649</f>
        <v>0</v>
      </c>
      <c r="N649" s="100">
        <f ca="1">$K$649-EFEITO!$M$649*EFEITO!$Z$649</f>
        <v>703.84678937328863</v>
      </c>
      <c r="O649" s="100">
        <f>$L$649-EFEITO!$O$649*EFEITO!$AA$649</f>
        <v>491.56980319239665</v>
      </c>
      <c r="P649" s="17"/>
      <c r="Q649" s="17"/>
      <c r="R649" s="17"/>
      <c r="S649" s="17"/>
      <c r="T649" s="17"/>
      <c r="U649" s="17"/>
      <c r="V649" s="17"/>
      <c r="W649" s="17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91" t="s">
        <v>55</v>
      </c>
      <c r="B650" s="91" t="s">
        <v>42</v>
      </c>
      <c r="C650" s="91" t="s">
        <v>23</v>
      </c>
      <c r="D650" s="91" t="s">
        <v>43</v>
      </c>
      <c r="E650" s="91" t="s">
        <v>51</v>
      </c>
      <c r="F650" s="91" t="s">
        <v>52</v>
      </c>
      <c r="G650" s="91" t="s">
        <v>25</v>
      </c>
      <c r="H650" s="91" t="s">
        <v>25</v>
      </c>
      <c r="I650" s="99">
        <v>44531</v>
      </c>
      <c r="J650" s="100">
        <f>EFEITO!$J$650*EFEITO!$Y$541</f>
        <v>0</v>
      </c>
      <c r="K650" s="100">
        <f ca="1">EFEITO!$L$650*EFEITO!$Z$541</f>
        <v>33.015619664203449</v>
      </c>
      <c r="L650" s="100">
        <f>EFEITO!$N$650*EFEITO!$AA$541</f>
        <v>23.058259134858577</v>
      </c>
      <c r="M650" s="100">
        <f>$J$650-EFEITO!$K$650*EFEITO!$Y$650</f>
        <v>0</v>
      </c>
      <c r="N650" s="100">
        <f ca="1">$K$650-EFEITO!$M$650*EFEITO!$Z$650</f>
        <v>1.9809371798522051</v>
      </c>
      <c r="O650" s="100">
        <f>$L$650-EFEITO!$O$650*EFEITO!$AA$650</f>
        <v>1.383495548091517</v>
      </c>
      <c r="P650" s="17"/>
      <c r="Q650" s="17"/>
      <c r="R650" s="17"/>
      <c r="S650" s="17"/>
      <c r="T650" s="17"/>
      <c r="U650" s="17"/>
      <c r="V650" s="17"/>
      <c r="W650" s="17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91" t="s">
        <v>21</v>
      </c>
      <c r="B651" s="91" t="s">
        <v>42</v>
      </c>
      <c r="C651" s="91" t="s">
        <v>23</v>
      </c>
      <c r="D651" s="91" t="s">
        <v>43</v>
      </c>
      <c r="E651" s="91" t="s">
        <v>51</v>
      </c>
      <c r="F651" s="91" t="s">
        <v>52</v>
      </c>
      <c r="G651" s="91" t="s">
        <v>25</v>
      </c>
      <c r="H651" s="91" t="s">
        <v>25</v>
      </c>
      <c r="I651" s="99">
        <v>44562</v>
      </c>
      <c r="J651" s="100">
        <f>EFEITO!$J$651*EFEITO!$Y$541</f>
        <v>0</v>
      </c>
      <c r="K651" s="100">
        <f ca="1">EFEITO!$L$651*EFEITO!$Z$541</f>
        <v>22220.502502598847</v>
      </c>
      <c r="L651" s="100">
        <f>EFEITO!$N$651*EFEITO!$AA$541</f>
        <v>15518.900145533868</v>
      </c>
      <c r="M651" s="100">
        <f>$J$651-EFEITO!$K$651*EFEITO!$Y$651</f>
        <v>0</v>
      </c>
      <c r="N651" s="100">
        <f ca="1">$K$651-EFEITO!$M$651*EFEITO!$Z$651</f>
        <v>1333.2301501559305</v>
      </c>
      <c r="O651" s="100">
        <f>$L$651-EFEITO!$O$651*EFEITO!$AA$651</f>
        <v>931.13400873203318</v>
      </c>
      <c r="P651" s="17"/>
      <c r="Q651" s="17"/>
      <c r="R651" s="17"/>
      <c r="S651" s="17"/>
      <c r="T651" s="17"/>
      <c r="U651" s="17"/>
      <c r="V651" s="17"/>
      <c r="W651" s="17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91" t="s">
        <v>55</v>
      </c>
      <c r="B652" s="91" t="s">
        <v>42</v>
      </c>
      <c r="C652" s="91" t="s">
        <v>23</v>
      </c>
      <c r="D652" s="91" t="s">
        <v>43</v>
      </c>
      <c r="E652" s="91" t="s">
        <v>51</v>
      </c>
      <c r="F652" s="91" t="s">
        <v>52</v>
      </c>
      <c r="G652" s="91" t="s">
        <v>25</v>
      </c>
      <c r="H652" s="91" t="s">
        <v>25</v>
      </c>
      <c r="I652" s="99">
        <v>44562</v>
      </c>
      <c r="J652" s="100">
        <f>EFEITO!$J$652*EFEITO!$Y$541</f>
        <v>0</v>
      </c>
      <c r="K652" s="100">
        <f ca="1">EFEITO!$L$652*EFEITO!$Z$541</f>
        <v>49.523429496305177</v>
      </c>
      <c r="L652" s="100">
        <f>EFEITO!$N$652*EFEITO!$AA$541</f>
        <v>34.587388702287861</v>
      </c>
      <c r="M652" s="100">
        <f>$J$652-EFEITO!$K$652*EFEITO!$Y$652</f>
        <v>0</v>
      </c>
      <c r="N652" s="100">
        <f ca="1">$K$652-EFEITO!$M$652*EFEITO!$Z$652</f>
        <v>2.9714057697783147</v>
      </c>
      <c r="O652" s="100">
        <f>$L$652-EFEITO!$O$652*EFEITO!$AA$652</f>
        <v>2.0752433221372755</v>
      </c>
      <c r="P652" s="17"/>
      <c r="Q652" s="17"/>
      <c r="R652" s="17"/>
      <c r="S652" s="17"/>
      <c r="T652" s="17"/>
      <c r="U652" s="17"/>
      <c r="V652" s="17"/>
      <c r="W652" s="17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91" t="s">
        <v>21</v>
      </c>
      <c r="B653" s="91" t="s">
        <v>42</v>
      </c>
      <c r="C653" s="91" t="s">
        <v>23</v>
      </c>
      <c r="D653" s="91" t="s">
        <v>43</v>
      </c>
      <c r="E653" s="91" t="s">
        <v>51</v>
      </c>
      <c r="F653" s="91" t="s">
        <v>52</v>
      </c>
      <c r="G653" s="91" t="s">
        <v>25</v>
      </c>
      <c r="H653" s="91" t="s">
        <v>25</v>
      </c>
      <c r="I653" s="99">
        <v>44593</v>
      </c>
      <c r="J653" s="100">
        <f>EFEITO!$J$653*EFEITO!$Y$541</f>
        <v>0</v>
      </c>
      <c r="K653" s="100">
        <f ca="1">EFEITO!$L$653*EFEITO!$Z$541</f>
        <v>10852.894496016957</v>
      </c>
      <c r="L653" s="100">
        <f>EFEITO!$N$653*EFEITO!$AA$541</f>
        <v>7579.7109428107115</v>
      </c>
      <c r="M653" s="100">
        <f>$J$653-EFEITO!$K$653*EFEITO!$Y$653</f>
        <v>0</v>
      </c>
      <c r="N653" s="100">
        <f ca="1">$K$653-EFEITO!$M$653*EFEITO!$Z$653</f>
        <v>651.17366976101766</v>
      </c>
      <c r="O653" s="100">
        <f>$L$653-EFEITO!$O$653*EFEITO!$AA$653</f>
        <v>454.78265656864369</v>
      </c>
      <c r="P653" s="17"/>
      <c r="Q653" s="17"/>
      <c r="R653" s="17"/>
      <c r="S653" s="17"/>
      <c r="T653" s="17"/>
      <c r="U653" s="17"/>
      <c r="V653" s="17"/>
      <c r="W653" s="17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91" t="s">
        <v>55</v>
      </c>
      <c r="B654" s="91" t="s">
        <v>42</v>
      </c>
      <c r="C654" s="91" t="s">
        <v>23</v>
      </c>
      <c r="D654" s="91" t="s">
        <v>43</v>
      </c>
      <c r="E654" s="91" t="s">
        <v>51</v>
      </c>
      <c r="F654" s="91" t="s">
        <v>52</v>
      </c>
      <c r="G654" s="91" t="s">
        <v>25</v>
      </c>
      <c r="H654" s="91" t="s">
        <v>25</v>
      </c>
      <c r="I654" s="99">
        <v>44593</v>
      </c>
      <c r="J654" s="100">
        <f>EFEITO!$J$654*EFEITO!$Y$541</f>
        <v>0</v>
      </c>
      <c r="K654" s="100">
        <f ca="1">EFEITO!$L$654*EFEITO!$Z$541</f>
        <v>33.015619664203449</v>
      </c>
      <c r="L654" s="100">
        <f>EFEITO!$N$654*EFEITO!$AA$541</f>
        <v>23.058259134858577</v>
      </c>
      <c r="M654" s="100">
        <f>$J$654-EFEITO!$K$654*EFEITO!$Y$654</f>
        <v>0</v>
      </c>
      <c r="N654" s="100">
        <f ca="1">$K$654-EFEITO!$M$654*EFEITO!$Z$654</f>
        <v>1.9809371798522051</v>
      </c>
      <c r="O654" s="100">
        <f>$L$654-EFEITO!$O$654*EFEITO!$AA$654</f>
        <v>1.383495548091517</v>
      </c>
      <c r="P654" s="17"/>
      <c r="Q654" s="17"/>
      <c r="R654" s="17"/>
      <c r="S654" s="17"/>
      <c r="T654" s="17"/>
      <c r="U654" s="17"/>
      <c r="V654" s="17"/>
      <c r="W654" s="17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91" t="s">
        <v>21</v>
      </c>
      <c r="B655" s="91" t="s">
        <v>42</v>
      </c>
      <c r="C655" s="91" t="s">
        <v>23</v>
      </c>
      <c r="D655" s="91" t="s">
        <v>43</v>
      </c>
      <c r="E655" s="91" t="s">
        <v>51</v>
      </c>
      <c r="F655" s="91" t="s">
        <v>52</v>
      </c>
      <c r="G655" s="91" t="s">
        <v>25</v>
      </c>
      <c r="H655" s="91" t="s">
        <v>25</v>
      </c>
      <c r="I655" s="99">
        <v>44621</v>
      </c>
      <c r="J655" s="100">
        <f>EFEITO!$J$655*EFEITO!$Y$541</f>
        <v>0</v>
      </c>
      <c r="K655" s="100">
        <f ca="1">EFEITO!$L$655*EFEITO!$Z$541</f>
        <v>7648.068295212729</v>
      </c>
      <c r="L655" s="100">
        <f>EFEITO!$N$655*EFEITO!$AA$541</f>
        <v>5341.4457285899889</v>
      </c>
      <c r="M655" s="100">
        <f>$J$655-EFEITO!$K$655*EFEITO!$Y$655</f>
        <v>0</v>
      </c>
      <c r="N655" s="100">
        <f ca="1">$K$655-EFEITO!$M$655*EFEITO!$Z$655</f>
        <v>458.88409771276383</v>
      </c>
      <c r="O655" s="100">
        <f>$L$655-EFEITO!$O$655*EFEITO!$AA$655</f>
        <v>320.48674371539983</v>
      </c>
      <c r="P655" s="17"/>
      <c r="Q655" s="17"/>
      <c r="R655" s="17"/>
      <c r="S655" s="17"/>
      <c r="T655" s="17"/>
      <c r="U655" s="17"/>
      <c r="V655" s="17"/>
      <c r="W655" s="17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91" t="s">
        <v>55</v>
      </c>
      <c r="B656" s="91" t="s">
        <v>42</v>
      </c>
      <c r="C656" s="91" t="s">
        <v>23</v>
      </c>
      <c r="D656" s="91" t="s">
        <v>43</v>
      </c>
      <c r="E656" s="91" t="s">
        <v>51</v>
      </c>
      <c r="F656" s="91" t="s">
        <v>52</v>
      </c>
      <c r="G656" s="91" t="s">
        <v>25</v>
      </c>
      <c r="H656" s="91" t="s">
        <v>25</v>
      </c>
      <c r="I656" s="99">
        <v>44621</v>
      </c>
      <c r="J656" s="100">
        <f>EFEITO!$J$656*EFEITO!$Y$541</f>
        <v>0</v>
      </c>
      <c r="K656" s="100">
        <f ca="1">EFEITO!$L$656*EFEITO!$Z$541</f>
        <v>33.015619664203449</v>
      </c>
      <c r="L656" s="100">
        <f>EFEITO!$N$656*EFEITO!$AA$541</f>
        <v>23.058259134858577</v>
      </c>
      <c r="M656" s="100">
        <f>$J$656-EFEITO!$K$656*EFEITO!$Y$656</f>
        <v>0</v>
      </c>
      <c r="N656" s="100">
        <f ca="1">$K$656-EFEITO!$M$656*EFEITO!$Z$656</f>
        <v>1.9809371798522051</v>
      </c>
      <c r="O656" s="100">
        <f>$L$656-EFEITO!$O$656*EFEITO!$AA$656</f>
        <v>1.383495548091517</v>
      </c>
      <c r="P656" s="17"/>
      <c r="Q656" s="17"/>
      <c r="R656" s="17"/>
      <c r="S656" s="17"/>
      <c r="T656" s="17"/>
      <c r="U656" s="17"/>
      <c r="V656" s="17"/>
      <c r="W656" s="17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91" t="s">
        <v>21</v>
      </c>
      <c r="B657" s="91" t="s">
        <v>42</v>
      </c>
      <c r="C657" s="91" t="s">
        <v>23</v>
      </c>
      <c r="D657" s="91" t="s">
        <v>43</v>
      </c>
      <c r="E657" s="91" t="s">
        <v>51</v>
      </c>
      <c r="F657" s="91" t="s">
        <v>52</v>
      </c>
      <c r="G657" s="91" t="s">
        <v>25</v>
      </c>
      <c r="H657" s="91" t="s">
        <v>25</v>
      </c>
      <c r="I657" s="99">
        <v>44652</v>
      </c>
      <c r="J657" s="100">
        <f>EFEITO!$J$657*EFEITO!$Y$541</f>
        <v>0</v>
      </c>
      <c r="K657" s="100">
        <f ca="1">EFEITO!$L$657*EFEITO!$Z$541</f>
        <v>2452.7303848536744</v>
      </c>
      <c r="L657" s="100">
        <f>EFEITO!$N$657*EFEITO!$AA$541</f>
        <v>1712.9980711286437</v>
      </c>
      <c r="M657" s="100">
        <f>$J$657-EFEITO!$K$657*EFEITO!$Y$657</f>
        <v>0</v>
      </c>
      <c r="N657" s="100">
        <f ca="1">$K$657-EFEITO!$M$657*EFEITO!$Z$657</f>
        <v>147.16382309122037</v>
      </c>
      <c r="O657" s="100">
        <f>$L$657-EFEITO!$O$657*EFEITO!$AA$657</f>
        <v>102.77988426771867</v>
      </c>
      <c r="P657" s="17"/>
      <c r="Q657" s="17"/>
      <c r="R657" s="17"/>
      <c r="S657" s="17"/>
      <c r="T657" s="17"/>
      <c r="U657" s="17"/>
      <c r="V657" s="17"/>
      <c r="W657" s="17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91" t="s">
        <v>55</v>
      </c>
      <c r="B658" s="91" t="s">
        <v>42</v>
      </c>
      <c r="C658" s="91" t="s">
        <v>23</v>
      </c>
      <c r="D658" s="91" t="s">
        <v>43</v>
      </c>
      <c r="E658" s="91" t="s">
        <v>51</v>
      </c>
      <c r="F658" s="91" t="s">
        <v>52</v>
      </c>
      <c r="G658" s="91" t="s">
        <v>25</v>
      </c>
      <c r="H658" s="91" t="s">
        <v>25</v>
      </c>
      <c r="I658" s="99">
        <v>44652</v>
      </c>
      <c r="J658" s="100">
        <f>EFEITO!$J$658*EFEITO!$Y$541</f>
        <v>0</v>
      </c>
      <c r="K658" s="100">
        <f ca="1">EFEITO!$L$658*EFEITO!$Z$541</f>
        <v>49.523429496305177</v>
      </c>
      <c r="L658" s="100">
        <f>EFEITO!$N$658*EFEITO!$AA$541</f>
        <v>34.587388702287861</v>
      </c>
      <c r="M658" s="100">
        <f>$J$658-EFEITO!$K$658*EFEITO!$Y$658</f>
        <v>0</v>
      </c>
      <c r="N658" s="100">
        <f ca="1">$K$658-EFEITO!$M$658*EFEITO!$Z$658</f>
        <v>2.9714057697783147</v>
      </c>
      <c r="O658" s="100">
        <f>$L$658-EFEITO!$O$658*EFEITO!$AA$658</f>
        <v>2.0752433221372755</v>
      </c>
      <c r="P658" s="17"/>
      <c r="Q658" s="17"/>
      <c r="R658" s="17"/>
      <c r="S658" s="17"/>
      <c r="T658" s="17"/>
      <c r="U658" s="17"/>
      <c r="V658" s="17"/>
      <c r="W658" s="17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91" t="s">
        <v>21</v>
      </c>
      <c r="B659" s="91" t="s">
        <v>42</v>
      </c>
      <c r="C659" s="91" t="s">
        <v>23</v>
      </c>
      <c r="D659" s="91" t="s">
        <v>43</v>
      </c>
      <c r="E659" s="91" t="s">
        <v>51</v>
      </c>
      <c r="F659" s="91" t="s">
        <v>52</v>
      </c>
      <c r="G659" s="91" t="s">
        <v>25</v>
      </c>
      <c r="H659" s="91" t="s">
        <v>25</v>
      </c>
      <c r="I659" s="99">
        <v>44682</v>
      </c>
      <c r="J659" s="100">
        <f>EFEITO!$J$659*EFEITO!$Y$541</f>
        <v>0</v>
      </c>
      <c r="K659" s="100">
        <f ca="1">EFEITO!$L$659*EFEITO!$Z$541</f>
        <v>2042.3462324276254</v>
      </c>
      <c r="L659" s="100">
        <f>EFEITO!$N$659*EFEITO!$AA$541</f>
        <v>1426.3839100823516</v>
      </c>
      <c r="M659" s="100">
        <f>$J$659-EFEITO!$K$659*EFEITO!$Y$659</f>
        <v>0</v>
      </c>
      <c r="N659" s="100">
        <f ca="1">$K$659-EFEITO!$M$659*EFEITO!$Z$659</f>
        <v>122.54077394565752</v>
      </c>
      <c r="O659" s="100">
        <f>$L$659-EFEITO!$O$659*EFEITO!$AA$659</f>
        <v>85.583034604941304</v>
      </c>
      <c r="P659" s="17"/>
      <c r="Q659" s="17"/>
      <c r="R659" s="17"/>
      <c r="S659" s="17"/>
      <c r="T659" s="17"/>
      <c r="U659" s="17"/>
      <c r="V659" s="17"/>
      <c r="W659" s="17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91" t="s">
        <v>56</v>
      </c>
      <c r="B660" s="91" t="s">
        <v>42</v>
      </c>
      <c r="C660" s="91" t="s">
        <v>23</v>
      </c>
      <c r="D660" s="91" t="s">
        <v>43</v>
      </c>
      <c r="E660" s="91" t="s">
        <v>51</v>
      </c>
      <c r="F660" s="91" t="s">
        <v>52</v>
      </c>
      <c r="G660" s="91" t="s">
        <v>25</v>
      </c>
      <c r="H660" s="91" t="s">
        <v>25</v>
      </c>
      <c r="I660" s="99">
        <v>44713</v>
      </c>
      <c r="J660" s="100">
        <f>EFEITO!$J$660*EFEITO!$Y$541</f>
        <v>0</v>
      </c>
      <c r="K660" s="100">
        <f ca="1">EFEITO!$L$660*EFEITO!$Z$541</f>
        <v>2042.3462324276254</v>
      </c>
      <c r="L660" s="100">
        <f>EFEITO!$N$660*EFEITO!$AA$541</f>
        <v>1426.3839100823516</v>
      </c>
      <c r="M660" s="100">
        <f>$J$660-EFEITO!$K$660*EFEITO!$Y$660</f>
        <v>0</v>
      </c>
      <c r="N660" s="100">
        <f ca="1">$K$660-EFEITO!$M$660*EFEITO!$Z$660</f>
        <v>122.54077394565752</v>
      </c>
      <c r="O660" s="100">
        <f>$L$660-EFEITO!$O$660*EFEITO!$AA$660</f>
        <v>85.583034604941304</v>
      </c>
      <c r="P660" s="17"/>
      <c r="Q660" s="17"/>
      <c r="R660" s="17"/>
      <c r="S660" s="17"/>
      <c r="T660" s="17"/>
      <c r="U660" s="17"/>
      <c r="V660" s="17"/>
      <c r="W660" s="17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91" t="s">
        <v>21</v>
      </c>
      <c r="B661" s="91" t="s">
        <v>42</v>
      </c>
      <c r="C661" s="91" t="s">
        <v>23</v>
      </c>
      <c r="D661" s="91" t="s">
        <v>43</v>
      </c>
      <c r="E661" s="91" t="s">
        <v>51</v>
      </c>
      <c r="F661" s="91" t="s">
        <v>53</v>
      </c>
      <c r="G661" s="91" t="s">
        <v>25</v>
      </c>
      <c r="H661" s="91" t="s">
        <v>25</v>
      </c>
      <c r="I661" s="99">
        <v>44378</v>
      </c>
      <c r="J661" s="100">
        <f>EFEITO!$J$661*EFEITO!$Y$541</f>
        <v>0</v>
      </c>
      <c r="K661" s="100">
        <f ca="1">EFEITO!$L$661*EFEITO!$Z$541</f>
        <v>423.26024409508824</v>
      </c>
      <c r="L661" s="100">
        <f>EFEITO!$N$661*EFEITO!$AA$541</f>
        <v>295.60688210888696</v>
      </c>
      <c r="M661" s="100">
        <f>$J$661-EFEITO!$K$661*EFEITO!$Y$661</f>
        <v>0</v>
      </c>
      <c r="N661" s="100">
        <f ca="1">$K$661-EFEITO!$M$661*EFEITO!$Z$661</f>
        <v>264.11439231533507</v>
      </c>
      <c r="O661" s="100">
        <f>$L$661-EFEITO!$O$661*EFEITO!$AA$661</f>
        <v>184.45869443594546</v>
      </c>
      <c r="P661" s="17"/>
      <c r="Q661" s="17"/>
      <c r="R661" s="17"/>
      <c r="S661" s="17"/>
      <c r="T661" s="17"/>
      <c r="U661" s="17"/>
      <c r="V661" s="17"/>
      <c r="W661" s="17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91" t="s">
        <v>21</v>
      </c>
      <c r="B662" s="91" t="s">
        <v>42</v>
      </c>
      <c r="C662" s="91" t="s">
        <v>23</v>
      </c>
      <c r="D662" s="91" t="s">
        <v>43</v>
      </c>
      <c r="E662" s="91" t="s">
        <v>51</v>
      </c>
      <c r="F662" s="91" t="s">
        <v>53</v>
      </c>
      <c r="G662" s="91" t="s">
        <v>25</v>
      </c>
      <c r="H662" s="91" t="s">
        <v>25</v>
      </c>
      <c r="I662" s="99">
        <v>44409</v>
      </c>
      <c r="J662" s="100">
        <f>EFEITO!$J$662*EFEITO!$Y$541</f>
        <v>0</v>
      </c>
      <c r="K662" s="100">
        <f ca="1">EFEITO!$L$662*EFEITO!$Z$541</f>
        <v>305.06432569723989</v>
      </c>
      <c r="L662" s="100">
        <f>EFEITO!$N$662*EFEITO!$AA$541</f>
        <v>213.05831440609325</v>
      </c>
      <c r="M662" s="100">
        <f>$J$662-EFEITO!$K$662*EFEITO!$Y$662</f>
        <v>0</v>
      </c>
      <c r="N662" s="100">
        <f ca="1">$K$662-EFEITO!$M$662*EFEITO!$Z$662</f>
        <v>190.36013923507772</v>
      </c>
      <c r="O662" s="100">
        <f>$L$662-EFEITO!$O$662*EFEITO!$AA$662</f>
        <v>132.94838818940218</v>
      </c>
      <c r="P662" s="17"/>
      <c r="Q662" s="17"/>
      <c r="R662" s="17"/>
      <c r="S662" s="17"/>
      <c r="T662" s="17"/>
      <c r="U662" s="17"/>
      <c r="V662" s="17"/>
      <c r="W662" s="17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91" t="s">
        <v>55</v>
      </c>
      <c r="B663" s="91" t="s">
        <v>42</v>
      </c>
      <c r="C663" s="91" t="s">
        <v>23</v>
      </c>
      <c r="D663" s="91" t="s">
        <v>43</v>
      </c>
      <c r="E663" s="91" t="s">
        <v>51</v>
      </c>
      <c r="F663" s="91" t="s">
        <v>53</v>
      </c>
      <c r="G663" s="91" t="s">
        <v>25</v>
      </c>
      <c r="H663" s="91" t="s">
        <v>25</v>
      </c>
      <c r="I663" s="99">
        <v>44409</v>
      </c>
      <c r="J663" s="100">
        <f>EFEITO!$J$663*EFEITO!$Y$541</f>
        <v>0</v>
      </c>
      <c r="K663" s="100">
        <f ca="1">EFEITO!$L$663*EFEITO!$Z$541</f>
        <v>31.364838680993277</v>
      </c>
      <c r="L663" s="100">
        <f>EFEITO!$N$663*EFEITO!$AA$541</f>
        <v>21.905346178115646</v>
      </c>
      <c r="M663" s="100">
        <f>$J$663-EFEITO!$K$663*EFEITO!$Y$663</f>
        <v>0</v>
      </c>
      <c r="N663" s="100">
        <f ca="1">$K$663-EFEITO!$M$663*EFEITO!$Z$663</f>
        <v>1.881890320859597</v>
      </c>
      <c r="O663" s="100">
        <f>$L$663-EFEITO!$O$663*EFEITO!$AA$663</f>
        <v>1.3143207706869404</v>
      </c>
      <c r="P663" s="17"/>
      <c r="Q663" s="17"/>
      <c r="R663" s="17"/>
      <c r="S663" s="17"/>
      <c r="T663" s="17"/>
      <c r="U663" s="17"/>
      <c r="V663" s="17"/>
      <c r="W663" s="17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91" t="s">
        <v>21</v>
      </c>
      <c r="B664" s="91" t="s">
        <v>42</v>
      </c>
      <c r="C664" s="91" t="s">
        <v>23</v>
      </c>
      <c r="D664" s="91" t="s">
        <v>43</v>
      </c>
      <c r="E664" s="91" t="s">
        <v>51</v>
      </c>
      <c r="F664" s="91" t="s">
        <v>53</v>
      </c>
      <c r="G664" s="91" t="s">
        <v>25</v>
      </c>
      <c r="H664" s="91" t="s">
        <v>25</v>
      </c>
      <c r="I664" s="99">
        <v>44440</v>
      </c>
      <c r="J664" s="100">
        <f>EFEITO!$J$664*EFEITO!$Y$541</f>
        <v>0</v>
      </c>
      <c r="K664" s="100">
        <f ca="1">EFEITO!$L$664*EFEITO!$Z$541</f>
        <v>524.28804026755085</v>
      </c>
      <c r="L664" s="100">
        <f>EFEITO!$N$664*EFEITO!$AA$541</f>
        <v>366.16515506155423</v>
      </c>
      <c r="M664" s="100">
        <f>$J$664-EFEITO!$K$664*EFEITO!$Y$664</f>
        <v>0</v>
      </c>
      <c r="N664" s="100">
        <f ca="1">$K$664-EFEITO!$M$664*EFEITO!$Z$664</f>
        <v>327.15573712695175</v>
      </c>
      <c r="O664" s="100">
        <f>$L$664-EFEITO!$O$664*EFEITO!$AA$664</f>
        <v>228.48705675840986</v>
      </c>
      <c r="P664" s="17"/>
      <c r="Q664" s="17"/>
      <c r="R664" s="17"/>
      <c r="S664" s="17"/>
      <c r="T664" s="17"/>
      <c r="U664" s="17"/>
      <c r="V664" s="17"/>
      <c r="W664" s="17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91" t="s">
        <v>21</v>
      </c>
      <c r="B665" s="91" t="s">
        <v>42</v>
      </c>
      <c r="C665" s="91" t="s">
        <v>23</v>
      </c>
      <c r="D665" s="91" t="s">
        <v>43</v>
      </c>
      <c r="E665" s="91" t="s">
        <v>51</v>
      </c>
      <c r="F665" s="91" t="s">
        <v>53</v>
      </c>
      <c r="G665" s="91" t="s">
        <v>25</v>
      </c>
      <c r="H665" s="91" t="s">
        <v>25</v>
      </c>
      <c r="I665" s="99">
        <v>44470</v>
      </c>
      <c r="J665" s="100">
        <f>EFEITO!$J$665*EFEITO!$Y$541</f>
        <v>0</v>
      </c>
      <c r="K665" s="100">
        <f ca="1">EFEITO!$L$665*EFEITO!$Z$541</f>
        <v>456.93617615257574</v>
      </c>
      <c r="L665" s="100">
        <f>EFEITO!$N$665*EFEITO!$AA$541</f>
        <v>319.12630642644268</v>
      </c>
      <c r="M665" s="100">
        <f>$J$665-EFEITO!$K$665*EFEITO!$Y$665</f>
        <v>0</v>
      </c>
      <c r="N665" s="100">
        <f ca="1">$K$665-EFEITO!$M$665*EFEITO!$Z$665</f>
        <v>285.12817391920726</v>
      </c>
      <c r="O665" s="100">
        <f>$L$665-EFEITO!$O$665*EFEITO!$AA$665</f>
        <v>199.13481521010024</v>
      </c>
      <c r="P665" s="17"/>
      <c r="Q665" s="17"/>
      <c r="R665" s="17"/>
      <c r="S665" s="17"/>
      <c r="T665" s="17"/>
      <c r="U665" s="17"/>
      <c r="V665" s="17"/>
      <c r="W665" s="17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91" t="s">
        <v>21</v>
      </c>
      <c r="B666" s="91" t="s">
        <v>42</v>
      </c>
      <c r="C666" s="91" t="s">
        <v>23</v>
      </c>
      <c r="D666" s="91" t="s">
        <v>43</v>
      </c>
      <c r="E666" s="91" t="s">
        <v>51</v>
      </c>
      <c r="F666" s="91" t="s">
        <v>53</v>
      </c>
      <c r="G666" s="91" t="s">
        <v>25</v>
      </c>
      <c r="H666" s="91" t="s">
        <v>25</v>
      </c>
      <c r="I666" s="99">
        <v>44501</v>
      </c>
      <c r="J666" s="100">
        <f>EFEITO!$J$666*EFEITO!$Y$541</f>
        <v>0</v>
      </c>
      <c r="K666" s="100">
        <f ca="1">EFEITO!$L$666*EFEITO!$Z$541</f>
        <v>7344.3245943020574</v>
      </c>
      <c r="L666" s="100">
        <f>EFEITO!$N$666*EFEITO!$AA$541</f>
        <v>5129.3097445492904</v>
      </c>
      <c r="M666" s="100">
        <f>$J$666-EFEITO!$K$666*EFEITO!$Y$666</f>
        <v>0</v>
      </c>
      <c r="N666" s="100">
        <f ca="1">$K$666-EFEITO!$M$666*EFEITO!$Z$666</f>
        <v>4582.8585468444835</v>
      </c>
      <c r="O666" s="100">
        <f>$L$666-EFEITO!$O$666*EFEITO!$AA$666</f>
        <v>3200.6892805987573</v>
      </c>
      <c r="P666" s="17"/>
      <c r="Q666" s="17"/>
      <c r="R666" s="17"/>
      <c r="S666" s="17"/>
      <c r="T666" s="17"/>
      <c r="U666" s="17"/>
      <c r="V666" s="17"/>
      <c r="W666" s="17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91" t="s">
        <v>21</v>
      </c>
      <c r="B667" s="91" t="s">
        <v>42</v>
      </c>
      <c r="C667" s="91" t="s">
        <v>23</v>
      </c>
      <c r="D667" s="91" t="s">
        <v>43</v>
      </c>
      <c r="E667" s="91" t="s">
        <v>51</v>
      </c>
      <c r="F667" s="91" t="s">
        <v>53</v>
      </c>
      <c r="G667" s="91" t="s">
        <v>25</v>
      </c>
      <c r="H667" s="91" t="s">
        <v>25</v>
      </c>
      <c r="I667" s="99">
        <v>44531</v>
      </c>
      <c r="J667" s="100">
        <f>EFEITO!$J$667*EFEITO!$Y$541</f>
        <v>0</v>
      </c>
      <c r="K667" s="100">
        <f ca="1">EFEITO!$L$667*EFEITO!$Z$541</f>
        <v>12152.059129803365</v>
      </c>
      <c r="L667" s="100">
        <f>EFEITO!$N$667*EFEITO!$AA$541</f>
        <v>8487.0534397673964</v>
      </c>
      <c r="M667" s="100">
        <f>$J$667-EFEITO!$K$667*EFEITO!$Y$667</f>
        <v>0</v>
      </c>
      <c r="N667" s="100">
        <f ca="1">$K$667-EFEITO!$M$667*EFEITO!$Z$667</f>
        <v>7582.8848969973005</v>
      </c>
      <c r="O667" s="100">
        <f>$L$667-EFEITO!$O$667*EFEITO!$AA$667</f>
        <v>5295.9213464148561</v>
      </c>
      <c r="P667" s="17"/>
      <c r="Q667" s="17"/>
      <c r="R667" s="17"/>
      <c r="S667" s="17"/>
      <c r="T667" s="17"/>
      <c r="U667" s="17"/>
      <c r="V667" s="17"/>
      <c r="W667" s="17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91" t="s">
        <v>55</v>
      </c>
      <c r="B668" s="91" t="s">
        <v>42</v>
      </c>
      <c r="C668" s="91" t="s">
        <v>23</v>
      </c>
      <c r="D668" s="91" t="s">
        <v>43</v>
      </c>
      <c r="E668" s="91" t="s">
        <v>51</v>
      </c>
      <c r="F668" s="91" t="s">
        <v>53</v>
      </c>
      <c r="G668" s="91" t="s">
        <v>25</v>
      </c>
      <c r="H668" s="91" t="s">
        <v>25</v>
      </c>
      <c r="I668" s="99">
        <v>44531</v>
      </c>
      <c r="J668" s="100">
        <f>EFEITO!$J$668*EFEITO!$Y$541</f>
        <v>0</v>
      </c>
      <c r="K668" s="100">
        <f ca="1">EFEITO!$L$668*EFEITO!$Z$541</f>
        <v>181.58590815311899</v>
      </c>
      <c r="L668" s="100">
        <f>EFEITO!$N$668*EFEITO!$AA$541</f>
        <v>126.82042524172218</v>
      </c>
      <c r="M668" s="100">
        <f>$J$668-EFEITO!$K$668*EFEITO!$Y$668</f>
        <v>0</v>
      </c>
      <c r="N668" s="100">
        <f ca="1">$K$668-EFEITO!$M$668*EFEITO!$Z$668</f>
        <v>10.895154489187149</v>
      </c>
      <c r="O668" s="100">
        <f>$L$668-EFEITO!$O$668*EFEITO!$AA$668</f>
        <v>7.6092255145033363</v>
      </c>
      <c r="P668" s="17"/>
      <c r="Q668" s="17"/>
      <c r="R668" s="17"/>
      <c r="S668" s="17"/>
      <c r="T668" s="17"/>
      <c r="U668" s="17"/>
      <c r="V668" s="17"/>
      <c r="W668" s="17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91" t="s">
        <v>21</v>
      </c>
      <c r="B669" s="91" t="s">
        <v>42</v>
      </c>
      <c r="C669" s="91" t="s">
        <v>23</v>
      </c>
      <c r="D669" s="91" t="s">
        <v>43</v>
      </c>
      <c r="E669" s="91" t="s">
        <v>51</v>
      </c>
      <c r="F669" s="91" t="s">
        <v>53</v>
      </c>
      <c r="G669" s="91" t="s">
        <v>25</v>
      </c>
      <c r="H669" s="91" t="s">
        <v>25</v>
      </c>
      <c r="I669" s="99">
        <v>44562</v>
      </c>
      <c r="J669" s="100">
        <f>EFEITO!$J$669*EFEITO!$Y$541</f>
        <v>0</v>
      </c>
      <c r="K669" s="100">
        <f ca="1">EFEITO!$L$669*EFEITO!$Z$541</f>
        <v>26134.174057593526</v>
      </c>
      <c r="L669" s="100">
        <f>EFEITO!$N$669*EFEITO!$AA$541</f>
        <v>18252.226183380004</v>
      </c>
      <c r="M669" s="100">
        <f>$J$669-EFEITO!$K$669*EFEITO!$Y$669</f>
        <v>0</v>
      </c>
      <c r="N669" s="100">
        <f ca="1">$K$669-EFEITO!$M$669*EFEITO!$Z$669</f>
        <v>16307.72461193836</v>
      </c>
      <c r="O669" s="100">
        <f>$L$669-EFEITO!$O$669*EFEITO!$AA$669</f>
        <v>11389.389138429124</v>
      </c>
      <c r="P669" s="17"/>
      <c r="Q669" s="17"/>
      <c r="R669" s="17"/>
      <c r="S669" s="17"/>
      <c r="T669" s="17"/>
      <c r="U669" s="17"/>
      <c r="V669" s="17"/>
      <c r="W669" s="17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91" t="s">
        <v>21</v>
      </c>
      <c r="B670" s="91" t="s">
        <v>42</v>
      </c>
      <c r="C670" s="91" t="s">
        <v>23</v>
      </c>
      <c r="D670" s="91" t="s">
        <v>43</v>
      </c>
      <c r="E670" s="91" t="s">
        <v>51</v>
      </c>
      <c r="F670" s="91" t="s">
        <v>53</v>
      </c>
      <c r="G670" s="91" t="s">
        <v>25</v>
      </c>
      <c r="H670" s="91" t="s">
        <v>25</v>
      </c>
      <c r="I670" s="99">
        <v>44593</v>
      </c>
      <c r="J670" s="100">
        <f>EFEITO!$J$670*EFEITO!$Y$541</f>
        <v>0</v>
      </c>
      <c r="K670" s="100">
        <f ca="1">EFEITO!$L$670*EFEITO!$Z$541</f>
        <v>8999.397608068577</v>
      </c>
      <c r="L670" s="100">
        <f>EFEITO!$N$670*EFEITO!$AA$541</f>
        <v>6285.2202749797507</v>
      </c>
      <c r="M670" s="100">
        <f>$J$670-EFEITO!$K$670*EFEITO!$Y$670</f>
        <v>0</v>
      </c>
      <c r="N670" s="100">
        <f ca="1">$K$670-EFEITO!$M$670*EFEITO!$Z$670</f>
        <v>5615.6241074347927</v>
      </c>
      <c r="O670" s="100">
        <f>$L$670-EFEITO!$O$670*EFEITO!$AA$670</f>
        <v>3921.9774515873646</v>
      </c>
      <c r="P670" s="17"/>
      <c r="Q670" s="17"/>
      <c r="R670" s="17"/>
      <c r="S670" s="17"/>
      <c r="T670" s="17"/>
      <c r="U670" s="17"/>
      <c r="V670" s="17"/>
      <c r="W670" s="17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91" t="s">
        <v>55</v>
      </c>
      <c r="B671" s="91" t="s">
        <v>42</v>
      </c>
      <c r="C671" s="91" t="s">
        <v>23</v>
      </c>
      <c r="D671" s="91" t="s">
        <v>43</v>
      </c>
      <c r="E671" s="91" t="s">
        <v>51</v>
      </c>
      <c r="F671" s="91" t="s">
        <v>53</v>
      </c>
      <c r="G671" s="91" t="s">
        <v>25</v>
      </c>
      <c r="H671" s="91" t="s">
        <v>25</v>
      </c>
      <c r="I671" s="99">
        <v>44593</v>
      </c>
      <c r="J671" s="100">
        <f>EFEITO!$J$671*EFEITO!$Y$541</f>
        <v>0</v>
      </c>
      <c r="K671" s="100">
        <f ca="1">EFEITO!$L$671*EFEITO!$Z$541</f>
        <v>132.06247865681379</v>
      </c>
      <c r="L671" s="100">
        <f>EFEITO!$N$671*EFEITO!$AA$541</f>
        <v>92.233036539434309</v>
      </c>
      <c r="M671" s="100">
        <f>$J$671-EFEITO!$K$671*EFEITO!$Y$671</f>
        <v>0</v>
      </c>
      <c r="N671" s="100">
        <f ca="1">$K$671-EFEITO!$M$671*EFEITO!$Z$671</f>
        <v>7.9237487194088203</v>
      </c>
      <c r="O671" s="100">
        <f>$L$671-EFEITO!$O$671*EFEITO!$AA$671</f>
        <v>5.5339821923660679</v>
      </c>
      <c r="P671" s="17"/>
      <c r="Q671" s="17"/>
      <c r="R671" s="17"/>
      <c r="S671" s="17"/>
      <c r="T671" s="17"/>
      <c r="U671" s="17"/>
      <c r="V671" s="17"/>
      <c r="W671" s="17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91" t="s">
        <v>21</v>
      </c>
      <c r="B672" s="91" t="s">
        <v>42</v>
      </c>
      <c r="C672" s="91" t="s">
        <v>23</v>
      </c>
      <c r="D672" s="91" t="s">
        <v>43</v>
      </c>
      <c r="E672" s="91" t="s">
        <v>51</v>
      </c>
      <c r="F672" s="91" t="s">
        <v>53</v>
      </c>
      <c r="G672" s="91" t="s">
        <v>25</v>
      </c>
      <c r="H672" s="91" t="s">
        <v>25</v>
      </c>
      <c r="I672" s="99">
        <v>44621</v>
      </c>
      <c r="J672" s="100">
        <f>EFEITO!$J$672*EFEITO!$Y$541</f>
        <v>0</v>
      </c>
      <c r="K672" s="100">
        <f ca="1">EFEITO!$L$672*EFEITO!$Z$541</f>
        <v>8657.6859445440696</v>
      </c>
      <c r="L672" s="100">
        <f>EFEITO!$N$672*EFEITO!$AA$541</f>
        <v>6046.5672929339644</v>
      </c>
      <c r="M672" s="100">
        <f>$J$672-EFEITO!$K$672*EFEITO!$Y$672</f>
        <v>0</v>
      </c>
      <c r="N672" s="100">
        <f ca="1">$K$672-EFEITO!$M$672*EFEITO!$Z$672</f>
        <v>5402.3960293954988</v>
      </c>
      <c r="O672" s="100">
        <f>$L$672-EFEITO!$O$672*EFEITO!$AA$672</f>
        <v>3773.0579907907941</v>
      </c>
      <c r="P672" s="17"/>
      <c r="Q672" s="17"/>
      <c r="R672" s="17"/>
      <c r="S672" s="17"/>
      <c r="T672" s="17"/>
      <c r="U672" s="17"/>
      <c r="V672" s="17"/>
      <c r="W672" s="17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91" t="s">
        <v>55</v>
      </c>
      <c r="B673" s="91" t="s">
        <v>42</v>
      </c>
      <c r="C673" s="91" t="s">
        <v>23</v>
      </c>
      <c r="D673" s="91" t="s">
        <v>43</v>
      </c>
      <c r="E673" s="91" t="s">
        <v>51</v>
      </c>
      <c r="F673" s="91" t="s">
        <v>53</v>
      </c>
      <c r="G673" s="91" t="s">
        <v>25</v>
      </c>
      <c r="H673" s="91" t="s">
        <v>25</v>
      </c>
      <c r="I673" s="99">
        <v>44621</v>
      </c>
      <c r="J673" s="100">
        <f>EFEITO!$J$673*EFEITO!$Y$541</f>
        <v>0</v>
      </c>
      <c r="K673" s="100">
        <f ca="1">EFEITO!$L$673*EFEITO!$Z$541</f>
        <v>82.539049160508625</v>
      </c>
      <c r="L673" s="100">
        <f>EFEITO!$N$673*EFEITO!$AA$541</f>
        <v>57.645647837146441</v>
      </c>
      <c r="M673" s="100">
        <f>$J$673-EFEITO!$K$673*EFEITO!$Y$673</f>
        <v>0</v>
      </c>
      <c r="N673" s="100">
        <f ca="1">$K$673-EFEITO!$M$673*EFEITO!$Z$673</f>
        <v>4.9523429496305198</v>
      </c>
      <c r="O673" s="100">
        <f>$L$673-EFEITO!$O$673*EFEITO!$AA$673</f>
        <v>3.4587388702287925</v>
      </c>
      <c r="P673" s="17"/>
      <c r="Q673" s="17"/>
      <c r="R673" s="17"/>
      <c r="S673" s="17"/>
      <c r="T673" s="17"/>
      <c r="U673" s="17"/>
      <c r="V673" s="17"/>
      <c r="W673" s="17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91" t="s">
        <v>21</v>
      </c>
      <c r="B674" s="91" t="s">
        <v>42</v>
      </c>
      <c r="C674" s="91" t="s">
        <v>23</v>
      </c>
      <c r="D674" s="91" t="s">
        <v>43</v>
      </c>
      <c r="E674" s="91" t="s">
        <v>51</v>
      </c>
      <c r="F674" s="91" t="s">
        <v>53</v>
      </c>
      <c r="G674" s="91" t="s">
        <v>25</v>
      </c>
      <c r="H674" s="91" t="s">
        <v>25</v>
      </c>
      <c r="I674" s="99">
        <v>44652</v>
      </c>
      <c r="J674" s="100">
        <f>EFEITO!$J$674*EFEITO!$Y$541</f>
        <v>0</v>
      </c>
      <c r="K674" s="100">
        <f ca="1">EFEITO!$L$674*EFEITO!$Z$541</f>
        <v>796.0065901039452</v>
      </c>
      <c r="L674" s="100">
        <f>EFEITO!$N$674*EFEITO!$AA$541</f>
        <v>555.93462774144029</v>
      </c>
      <c r="M674" s="100">
        <f>$J$674-EFEITO!$K$674*EFEITO!$Y$674</f>
        <v>0</v>
      </c>
      <c r="N674" s="100">
        <f ca="1">$K$674-EFEITO!$M$674*EFEITO!$Z$674</f>
        <v>496.70811222486179</v>
      </c>
      <c r="O674" s="100">
        <f>$L$674-EFEITO!$O$674*EFEITO!$AA$674</f>
        <v>346.90320771065876</v>
      </c>
      <c r="P674" s="17"/>
      <c r="Q674" s="17"/>
      <c r="R674" s="17"/>
      <c r="S674" s="17"/>
      <c r="T674" s="17"/>
      <c r="U674" s="17"/>
      <c r="V674" s="17"/>
      <c r="W674" s="17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91" t="s">
        <v>21</v>
      </c>
      <c r="B675" s="91" t="s">
        <v>42</v>
      </c>
      <c r="C675" s="91" t="s">
        <v>23</v>
      </c>
      <c r="D675" s="91" t="s">
        <v>43</v>
      </c>
      <c r="E675" s="91" t="s">
        <v>51</v>
      </c>
      <c r="F675" s="91" t="s">
        <v>53</v>
      </c>
      <c r="G675" s="91" t="s">
        <v>25</v>
      </c>
      <c r="H675" s="91" t="s">
        <v>25</v>
      </c>
      <c r="I675" s="99">
        <v>44682</v>
      </c>
      <c r="J675" s="100">
        <f>EFEITO!$J$675*EFEITO!$Y$541</f>
        <v>0</v>
      </c>
      <c r="K675" s="100">
        <f ca="1">EFEITO!$L$675*EFEITO!$Z$541</f>
        <v>2251.6652610986753</v>
      </c>
      <c r="L675" s="100">
        <f>EFEITO!$N$675*EFEITO!$AA$541</f>
        <v>1572.5732729973549</v>
      </c>
      <c r="M675" s="100">
        <f>$J$675-EFEITO!$K$675*EFEITO!$Y$675</f>
        <v>0</v>
      </c>
      <c r="N675" s="100">
        <f ca="1">$K$675-EFEITO!$M$675*EFEITO!$Z$675</f>
        <v>1405.0391229255733</v>
      </c>
      <c r="O675" s="100">
        <f>$L$675-EFEITO!$O$675*EFEITO!$AA$675</f>
        <v>981.28572235034949</v>
      </c>
      <c r="P675" s="17"/>
      <c r="Q675" s="17"/>
      <c r="R675" s="17"/>
      <c r="S675" s="17"/>
      <c r="T675" s="17"/>
      <c r="U675" s="17"/>
      <c r="V675" s="17"/>
      <c r="W675" s="17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91" t="s">
        <v>56</v>
      </c>
      <c r="B676" s="91" t="s">
        <v>42</v>
      </c>
      <c r="C676" s="91" t="s">
        <v>23</v>
      </c>
      <c r="D676" s="91" t="s">
        <v>43</v>
      </c>
      <c r="E676" s="91" t="s">
        <v>51</v>
      </c>
      <c r="F676" s="91" t="s">
        <v>53</v>
      </c>
      <c r="G676" s="91" t="s">
        <v>25</v>
      </c>
      <c r="H676" s="91" t="s">
        <v>25</v>
      </c>
      <c r="I676" s="99">
        <v>44713</v>
      </c>
      <c r="J676" s="100">
        <f>EFEITO!$J$676*EFEITO!$Y$541</f>
        <v>0</v>
      </c>
      <c r="K676" s="100">
        <f ca="1">EFEITO!$L$676*EFEITO!$Z$541</f>
        <v>2251.6652610986753</v>
      </c>
      <c r="L676" s="100">
        <f>EFEITO!$N$676*EFEITO!$AA$541</f>
        <v>1572.5732729973549</v>
      </c>
      <c r="M676" s="100">
        <f>$J$676-EFEITO!$K$676*EFEITO!$Y$676</f>
        <v>0</v>
      </c>
      <c r="N676" s="100">
        <f ca="1">$K$676-EFEITO!$M$676*EFEITO!$Z$676</f>
        <v>1405.0391229255733</v>
      </c>
      <c r="O676" s="100">
        <f>$L$676-EFEITO!$O$676*EFEITO!$AA$676</f>
        <v>981.28572235034949</v>
      </c>
      <c r="P676" s="17"/>
      <c r="Q676" s="17"/>
      <c r="R676" s="17"/>
      <c r="S676" s="17"/>
      <c r="T676" s="17"/>
      <c r="U676" s="17"/>
      <c r="V676" s="17"/>
      <c r="W676" s="17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91" t="s">
        <v>21</v>
      </c>
      <c r="B677" s="91" t="s">
        <v>42</v>
      </c>
      <c r="C677" s="91" t="s">
        <v>23</v>
      </c>
      <c r="D677" s="91" t="s">
        <v>43</v>
      </c>
      <c r="E677" s="91" t="s">
        <v>54</v>
      </c>
      <c r="F677" s="91" t="s">
        <v>52</v>
      </c>
      <c r="G677" s="91" t="s">
        <v>25</v>
      </c>
      <c r="H677" s="91" t="s">
        <v>25</v>
      </c>
      <c r="I677" s="99">
        <v>44378</v>
      </c>
      <c r="J677" s="100">
        <f>EFEITO!$J$677*EFEITO!$Y$541</f>
        <v>0</v>
      </c>
      <c r="K677" s="100">
        <f ca="1">EFEITO!$L$677*EFEITO!$Z$541</f>
        <v>1531.5945962223982</v>
      </c>
      <c r="L677" s="100">
        <f>EFEITO!$N$677*EFEITO!$AA$541</f>
        <v>1069.6726412660894</v>
      </c>
      <c r="M677" s="100">
        <f>$J$677-EFEITO!$K$677*EFEITO!$Y$677</f>
        <v>0</v>
      </c>
      <c r="N677" s="100">
        <f ca="1">$K$677-EFEITO!$M$677*EFEITO!$Z$677</f>
        <v>91.89567577334401</v>
      </c>
      <c r="O677" s="100">
        <f>$L$677-EFEITO!$O$677*EFEITO!$AA$677</f>
        <v>64.180358475965477</v>
      </c>
      <c r="P677" s="17"/>
      <c r="Q677" s="17"/>
      <c r="R677" s="17"/>
      <c r="S677" s="17"/>
      <c r="T677" s="17"/>
      <c r="U677" s="17"/>
      <c r="V677" s="17"/>
      <c r="W677" s="17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91" t="s">
        <v>21</v>
      </c>
      <c r="B678" s="91" t="s">
        <v>42</v>
      </c>
      <c r="C678" s="91" t="s">
        <v>23</v>
      </c>
      <c r="D678" s="91" t="s">
        <v>43</v>
      </c>
      <c r="E678" s="91" t="s">
        <v>54</v>
      </c>
      <c r="F678" s="91" t="s">
        <v>52</v>
      </c>
      <c r="G678" s="91" t="s">
        <v>25</v>
      </c>
      <c r="H678" s="91" t="s">
        <v>25</v>
      </c>
      <c r="I678" s="99">
        <v>44409</v>
      </c>
      <c r="J678" s="100">
        <f>EFEITO!$J$678*EFEITO!$Y$541</f>
        <v>0</v>
      </c>
      <c r="K678" s="100">
        <f ca="1">EFEITO!$L$678*EFEITO!$Z$541</f>
        <v>1525.9819408794833</v>
      </c>
      <c r="L678" s="100">
        <f>EFEITO!$N$678*EFEITO!$AA$541</f>
        <v>1065.7527372131633</v>
      </c>
      <c r="M678" s="100">
        <f>$J$678-EFEITO!$K$678*EFEITO!$Y$678</f>
        <v>0</v>
      </c>
      <c r="N678" s="100">
        <f ca="1">$K$678-EFEITO!$M$678*EFEITO!$Z$678</f>
        <v>91.558916452768926</v>
      </c>
      <c r="O678" s="100">
        <f>$L$678-EFEITO!$O$678*EFEITO!$AA$678</f>
        <v>63.945164232789807</v>
      </c>
      <c r="P678" s="17"/>
      <c r="Q678" s="17"/>
      <c r="R678" s="17"/>
      <c r="S678" s="17"/>
      <c r="T678" s="17"/>
      <c r="U678" s="17"/>
      <c r="V678" s="17"/>
      <c r="W678" s="17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91" t="s">
        <v>27</v>
      </c>
      <c r="B679" s="91" t="s">
        <v>42</v>
      </c>
      <c r="C679" s="91" t="s">
        <v>23</v>
      </c>
      <c r="D679" s="91" t="s">
        <v>43</v>
      </c>
      <c r="E679" s="91" t="s">
        <v>54</v>
      </c>
      <c r="F679" s="91" t="s">
        <v>52</v>
      </c>
      <c r="G679" s="91" t="s">
        <v>25</v>
      </c>
      <c r="H679" s="91" t="s">
        <v>25</v>
      </c>
      <c r="I679" s="99">
        <v>44409</v>
      </c>
      <c r="J679" s="100">
        <f>EFEITO!$J$679*EFEITO!$Y$541</f>
        <v>0</v>
      </c>
      <c r="K679" s="100">
        <f ca="1">EFEITO!$L$679*EFEITO!$Z$541</f>
        <v>-583.05584326983296</v>
      </c>
      <c r="L679" s="100">
        <f>EFEITO!$N$679*EFEITO!$AA$541</f>
        <v>-407.20885632160247</v>
      </c>
      <c r="M679" s="100">
        <f>$J$679-EFEITO!$K$679*EFEITO!$Y$679</f>
        <v>0</v>
      </c>
      <c r="N679" s="100">
        <f ca="1">$K$679-EFEITO!$M$679*EFEITO!$Z$679</f>
        <v>-34.983350596190007</v>
      </c>
      <c r="O679" s="100">
        <f>$L$679-EFEITO!$O$679*EFEITO!$AA$679</f>
        <v>-24.432531379296165</v>
      </c>
      <c r="P679" s="17"/>
      <c r="Q679" s="17"/>
      <c r="R679" s="17"/>
      <c r="S679" s="17"/>
      <c r="T679" s="17"/>
      <c r="U679" s="17"/>
      <c r="V679" s="17"/>
      <c r="W679" s="17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91" t="s">
        <v>55</v>
      </c>
      <c r="B680" s="91" t="s">
        <v>42</v>
      </c>
      <c r="C680" s="91" t="s">
        <v>23</v>
      </c>
      <c r="D680" s="91" t="s">
        <v>43</v>
      </c>
      <c r="E680" s="91" t="s">
        <v>54</v>
      </c>
      <c r="F680" s="91" t="s">
        <v>52</v>
      </c>
      <c r="G680" s="91" t="s">
        <v>25</v>
      </c>
      <c r="H680" s="91" t="s">
        <v>25</v>
      </c>
      <c r="I680" s="99">
        <v>44409</v>
      </c>
      <c r="J680" s="100">
        <f>EFEITO!$J$680*EFEITO!$Y$541</f>
        <v>0</v>
      </c>
      <c r="K680" s="100">
        <f ca="1">EFEITO!$L$680*EFEITO!$Z$541</f>
        <v>609.13818280455359</v>
      </c>
      <c r="L680" s="100">
        <f>EFEITO!$N$680*EFEITO!$AA$541</f>
        <v>425.42488103814071</v>
      </c>
      <c r="M680" s="100">
        <f>$J$680-EFEITO!$K$680*EFEITO!$Y$680</f>
        <v>0</v>
      </c>
      <c r="N680" s="100">
        <f ca="1">$K$680-EFEITO!$M$680*EFEITO!$Z$680</f>
        <v>36.548290968273136</v>
      </c>
      <c r="O680" s="100">
        <f>$L$680-EFEITO!$O$680*EFEITO!$AA$680</f>
        <v>25.525492862288445</v>
      </c>
      <c r="P680" s="17"/>
      <c r="Q680" s="17"/>
      <c r="R680" s="17"/>
      <c r="S680" s="17"/>
      <c r="T680" s="17"/>
      <c r="U680" s="17"/>
      <c r="V680" s="17"/>
      <c r="W680" s="17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91" t="s">
        <v>21</v>
      </c>
      <c r="B681" s="91" t="s">
        <v>42</v>
      </c>
      <c r="C681" s="91" t="s">
        <v>23</v>
      </c>
      <c r="D681" s="91" t="s">
        <v>43</v>
      </c>
      <c r="E681" s="91" t="s">
        <v>54</v>
      </c>
      <c r="F681" s="91" t="s">
        <v>52</v>
      </c>
      <c r="G681" s="91" t="s">
        <v>25</v>
      </c>
      <c r="H681" s="91" t="s">
        <v>25</v>
      </c>
      <c r="I681" s="99">
        <v>44440</v>
      </c>
      <c r="J681" s="100">
        <f>EFEITO!$J$681*EFEITO!$Y$541</f>
        <v>0</v>
      </c>
      <c r="K681" s="100">
        <f ca="1">EFEITO!$L$681*EFEITO!$Z$541</f>
        <v>576.12256314035028</v>
      </c>
      <c r="L681" s="100">
        <f>EFEITO!$N$681*EFEITO!$AA$541</f>
        <v>402.36662190328218</v>
      </c>
      <c r="M681" s="100">
        <f>$J$681-EFEITO!$K$681*EFEITO!$Y$681</f>
        <v>0</v>
      </c>
      <c r="N681" s="100">
        <f ca="1">$K$681-EFEITO!$M$681*EFEITO!$Z$681</f>
        <v>34.567353788421087</v>
      </c>
      <c r="O681" s="100">
        <f>$L$681-EFEITO!$O$681*EFEITO!$AA$681</f>
        <v>24.141997314196942</v>
      </c>
      <c r="P681" s="17"/>
      <c r="Q681" s="17"/>
      <c r="R681" s="17"/>
      <c r="S681" s="17"/>
      <c r="T681" s="17"/>
      <c r="U681" s="17"/>
      <c r="V681" s="17"/>
      <c r="W681" s="17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91" t="s">
        <v>27</v>
      </c>
      <c r="B682" s="91" t="s">
        <v>42</v>
      </c>
      <c r="C682" s="91" t="s">
        <v>23</v>
      </c>
      <c r="D682" s="91" t="s">
        <v>43</v>
      </c>
      <c r="E682" s="91" t="s">
        <v>54</v>
      </c>
      <c r="F682" s="91" t="s">
        <v>52</v>
      </c>
      <c r="G682" s="91" t="s">
        <v>25</v>
      </c>
      <c r="H682" s="91" t="s">
        <v>25</v>
      </c>
      <c r="I682" s="99">
        <v>44440</v>
      </c>
      <c r="J682" s="100">
        <f>EFEITO!$J$682*EFEITO!$Y$541</f>
        <v>0</v>
      </c>
      <c r="K682" s="100">
        <f ca="1">EFEITO!$L$682*EFEITO!$Z$541</f>
        <v>-512.07226099179547</v>
      </c>
      <c r="L682" s="100">
        <f>EFEITO!$N$682*EFEITO!$AA$541</f>
        <v>-357.63359918165651</v>
      </c>
      <c r="M682" s="100">
        <f>$J$682-EFEITO!$K$682*EFEITO!$Y$682</f>
        <v>0</v>
      </c>
      <c r="N682" s="100">
        <f ca="1">$K$682-EFEITO!$M$682*EFEITO!$Z$682</f>
        <v>-30.724335659507744</v>
      </c>
      <c r="O682" s="100">
        <f>$L$682-EFEITO!$O$682*EFEITO!$AA$682</f>
        <v>-21.458015950899437</v>
      </c>
      <c r="P682" s="17"/>
      <c r="Q682" s="17"/>
      <c r="R682" s="17"/>
      <c r="S682" s="17"/>
      <c r="T682" s="17"/>
      <c r="U682" s="17"/>
      <c r="V682" s="17"/>
      <c r="W682" s="17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91" t="s">
        <v>55</v>
      </c>
      <c r="B683" s="91" t="s">
        <v>42</v>
      </c>
      <c r="C683" s="91" t="s">
        <v>23</v>
      </c>
      <c r="D683" s="91" t="s">
        <v>43</v>
      </c>
      <c r="E683" s="91" t="s">
        <v>54</v>
      </c>
      <c r="F683" s="91" t="s">
        <v>52</v>
      </c>
      <c r="G683" s="91" t="s">
        <v>25</v>
      </c>
      <c r="H683" s="91" t="s">
        <v>25</v>
      </c>
      <c r="I683" s="99">
        <v>44440</v>
      </c>
      <c r="J683" s="100">
        <f>EFEITO!$J$683*EFEITO!$Y$541</f>
        <v>0</v>
      </c>
      <c r="K683" s="100">
        <f ca="1">EFEITO!$L$683*EFEITO!$Z$541</f>
        <v>3406.2214807558698</v>
      </c>
      <c r="L683" s="100">
        <f>EFEITO!$N$683*EFEITO!$AA$541</f>
        <v>2378.9205949433594</v>
      </c>
      <c r="M683" s="100">
        <f>$J$683-EFEITO!$K$683*EFEITO!$Y$683</f>
        <v>0</v>
      </c>
      <c r="N683" s="100">
        <f ca="1">$K$683-EFEITO!$M$683*EFEITO!$Z$683</f>
        <v>204.37328884535191</v>
      </c>
      <c r="O683" s="100">
        <f>$L$683-EFEITO!$O$683*EFEITO!$AA$683</f>
        <v>142.73523569660165</v>
      </c>
      <c r="P683" s="17"/>
      <c r="Q683" s="17"/>
      <c r="R683" s="17"/>
      <c r="S683" s="17"/>
      <c r="T683" s="17"/>
      <c r="U683" s="17"/>
      <c r="V683" s="17"/>
      <c r="W683" s="17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91" t="s">
        <v>21</v>
      </c>
      <c r="B684" s="91" t="s">
        <v>42</v>
      </c>
      <c r="C684" s="91" t="s">
        <v>23</v>
      </c>
      <c r="D684" s="91" t="s">
        <v>43</v>
      </c>
      <c r="E684" s="91" t="s">
        <v>54</v>
      </c>
      <c r="F684" s="91" t="s">
        <v>52</v>
      </c>
      <c r="G684" s="91" t="s">
        <v>25</v>
      </c>
      <c r="H684" s="91" t="s">
        <v>25</v>
      </c>
      <c r="I684" s="99">
        <v>44470</v>
      </c>
      <c r="J684" s="100">
        <f>EFEITO!$J$684*EFEITO!$Y$541</f>
        <v>0</v>
      </c>
      <c r="K684" s="100">
        <f ca="1">EFEITO!$L$684*EFEITO!$Z$541</f>
        <v>968.01796855444513</v>
      </c>
      <c r="L684" s="100">
        <f>EFEITO!$N$684*EFEITO!$AA$541</f>
        <v>676.06815783405341</v>
      </c>
      <c r="M684" s="100">
        <f>$J$684-EFEITO!$K$684*EFEITO!$Y$684</f>
        <v>0</v>
      </c>
      <c r="N684" s="100">
        <f ca="1">$K$684-EFEITO!$M$684*EFEITO!$Z$684</f>
        <v>58.081078113266699</v>
      </c>
      <c r="O684" s="100">
        <f>$L$684-EFEITO!$O$684*EFEITO!$AA$684</f>
        <v>40.5640894700432</v>
      </c>
      <c r="P684" s="17"/>
      <c r="Q684" s="17"/>
      <c r="R684" s="17"/>
      <c r="S684" s="17"/>
      <c r="T684" s="17"/>
      <c r="U684" s="17"/>
      <c r="V684" s="17"/>
      <c r="W684" s="17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91" t="s">
        <v>55</v>
      </c>
      <c r="B685" s="91" t="s">
        <v>42</v>
      </c>
      <c r="C685" s="91" t="s">
        <v>23</v>
      </c>
      <c r="D685" s="91" t="s">
        <v>43</v>
      </c>
      <c r="E685" s="91" t="s">
        <v>54</v>
      </c>
      <c r="F685" s="91" t="s">
        <v>52</v>
      </c>
      <c r="G685" s="91" t="s">
        <v>25</v>
      </c>
      <c r="H685" s="91" t="s">
        <v>25</v>
      </c>
      <c r="I685" s="99">
        <v>44470</v>
      </c>
      <c r="J685" s="100">
        <f>EFEITO!$J$685*EFEITO!$Y$541</f>
        <v>0</v>
      </c>
      <c r="K685" s="100">
        <f ca="1">EFEITO!$L$685*EFEITO!$Z$541</f>
        <v>2954.237647552925</v>
      </c>
      <c r="L685" s="100">
        <f>EFEITO!$N$685*EFEITO!$AA$541</f>
        <v>2063.2530273871457</v>
      </c>
      <c r="M685" s="100">
        <f>$J$685-EFEITO!$K$685*EFEITO!$Y$685</f>
        <v>0</v>
      </c>
      <c r="N685" s="100">
        <f ca="1">$K$685-EFEITO!$M$685*EFEITO!$Z$685</f>
        <v>177.25425885317554</v>
      </c>
      <c r="O685" s="100">
        <f>$L$685-EFEITO!$O$685*EFEITO!$AA$685</f>
        <v>123.79518164322917</v>
      </c>
      <c r="P685" s="17"/>
      <c r="Q685" s="17"/>
      <c r="R685" s="17"/>
      <c r="S685" s="17"/>
      <c r="T685" s="17"/>
      <c r="U685" s="17"/>
      <c r="V685" s="17"/>
      <c r="W685" s="17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91" t="s">
        <v>21</v>
      </c>
      <c r="B686" s="91" t="s">
        <v>42</v>
      </c>
      <c r="C686" s="91" t="s">
        <v>23</v>
      </c>
      <c r="D686" s="91" t="s">
        <v>43</v>
      </c>
      <c r="E686" s="91" t="s">
        <v>54</v>
      </c>
      <c r="F686" s="91" t="s">
        <v>52</v>
      </c>
      <c r="G686" s="91" t="s">
        <v>25</v>
      </c>
      <c r="H686" s="91" t="s">
        <v>25</v>
      </c>
      <c r="I686" s="99">
        <v>44501</v>
      </c>
      <c r="J686" s="100">
        <f>EFEITO!$J$686*EFEITO!$Y$541</f>
        <v>0</v>
      </c>
      <c r="K686" s="100">
        <f ca="1">EFEITO!$L$686*EFEITO!$Z$541</f>
        <v>833.31424032449513</v>
      </c>
      <c r="L686" s="100">
        <f>EFEITO!$N$686*EFEITO!$AA$541</f>
        <v>581.99046056383042</v>
      </c>
      <c r="M686" s="100">
        <f>$J$686-EFEITO!$K$686*EFEITO!$Y$686</f>
        <v>0</v>
      </c>
      <c r="N686" s="100">
        <f ca="1">$K$686-EFEITO!$M$686*EFEITO!$Z$686</f>
        <v>49.998854419469808</v>
      </c>
      <c r="O686" s="100">
        <f>$L$686-EFEITO!$O$686*EFEITO!$AA$686</f>
        <v>34.919427633829855</v>
      </c>
      <c r="P686" s="17"/>
      <c r="Q686" s="17"/>
      <c r="R686" s="17"/>
      <c r="S686" s="17"/>
      <c r="T686" s="17"/>
      <c r="U686" s="17"/>
      <c r="V686" s="17"/>
      <c r="W686" s="17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91" t="s">
        <v>55</v>
      </c>
      <c r="B687" s="91" t="s">
        <v>42</v>
      </c>
      <c r="C687" s="91" t="s">
        <v>23</v>
      </c>
      <c r="D687" s="91" t="s">
        <v>43</v>
      </c>
      <c r="E687" s="91" t="s">
        <v>54</v>
      </c>
      <c r="F687" s="91" t="s">
        <v>52</v>
      </c>
      <c r="G687" s="91" t="s">
        <v>25</v>
      </c>
      <c r="H687" s="91" t="s">
        <v>25</v>
      </c>
      <c r="I687" s="99">
        <v>44501</v>
      </c>
      <c r="J687" s="100">
        <f>EFEITO!$J$687*EFEITO!$Y$541</f>
        <v>0</v>
      </c>
      <c r="K687" s="100">
        <f ca="1">EFEITO!$L$687*EFEITO!$Z$541</f>
        <v>2319.0171252136502</v>
      </c>
      <c r="L687" s="100">
        <f>EFEITO!$N$687*EFEITO!$AA$541</f>
        <v>1619.6121216324664</v>
      </c>
      <c r="M687" s="100">
        <f>$J$687-EFEITO!$K$687*EFEITO!$Y$687</f>
        <v>0</v>
      </c>
      <c r="N687" s="100">
        <f ca="1">$K$687-EFEITO!$M$687*EFEITO!$Z$687</f>
        <v>139.14102751281871</v>
      </c>
      <c r="O687" s="100">
        <f>$L$687-EFEITO!$O$687*EFEITO!$AA$687</f>
        <v>97.176727297947991</v>
      </c>
      <c r="P687" s="17"/>
      <c r="Q687" s="17"/>
      <c r="R687" s="17"/>
      <c r="S687" s="17"/>
      <c r="T687" s="17"/>
      <c r="U687" s="17"/>
      <c r="V687" s="17"/>
      <c r="W687" s="17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91" t="s">
        <v>21</v>
      </c>
      <c r="B688" s="91" t="s">
        <v>42</v>
      </c>
      <c r="C688" s="91" t="s">
        <v>23</v>
      </c>
      <c r="D688" s="91" t="s">
        <v>43</v>
      </c>
      <c r="E688" s="91" t="s">
        <v>54</v>
      </c>
      <c r="F688" s="91" t="s">
        <v>52</v>
      </c>
      <c r="G688" s="91" t="s">
        <v>25</v>
      </c>
      <c r="H688" s="91" t="s">
        <v>25</v>
      </c>
      <c r="I688" s="99">
        <v>44531</v>
      </c>
      <c r="J688" s="100">
        <f>EFEITO!$J$688*EFEITO!$Y$541</f>
        <v>0</v>
      </c>
      <c r="K688" s="100">
        <f ca="1">EFEITO!$L$688*EFEITO!$Z$541</f>
        <v>1662.6666062892857</v>
      </c>
      <c r="L688" s="100">
        <f>EFEITO!$N$688*EFEITO!$AA$541</f>
        <v>1161.2139300314777</v>
      </c>
      <c r="M688" s="100">
        <f>$J$688-EFEITO!$K$688*EFEITO!$Y$688</f>
        <v>0</v>
      </c>
      <c r="N688" s="100">
        <f ca="1">$K$688-EFEITO!$M$688*EFEITO!$Z$688</f>
        <v>99.759996377357311</v>
      </c>
      <c r="O688" s="100">
        <f>$L$688-EFEITO!$O$688*EFEITO!$AA$688</f>
        <v>69.672835801888596</v>
      </c>
      <c r="P688" s="17"/>
      <c r="Q688" s="17"/>
      <c r="R688" s="17"/>
      <c r="S688" s="17"/>
      <c r="T688" s="17"/>
      <c r="U688" s="17"/>
      <c r="V688" s="17"/>
      <c r="W688" s="17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91" t="s">
        <v>55</v>
      </c>
      <c r="B689" s="91" t="s">
        <v>42</v>
      </c>
      <c r="C689" s="91" t="s">
        <v>23</v>
      </c>
      <c r="D689" s="91" t="s">
        <v>43</v>
      </c>
      <c r="E689" s="91" t="s">
        <v>54</v>
      </c>
      <c r="F689" s="91" t="s">
        <v>52</v>
      </c>
      <c r="G689" s="91" t="s">
        <v>25</v>
      </c>
      <c r="H689" s="91" t="s">
        <v>25</v>
      </c>
      <c r="I689" s="99">
        <v>44531</v>
      </c>
      <c r="J689" s="100">
        <f>EFEITO!$J$689*EFEITO!$Y$541</f>
        <v>0</v>
      </c>
      <c r="K689" s="100">
        <f ca="1">EFEITO!$L$689*EFEITO!$Z$541</f>
        <v>2644.2209789060544</v>
      </c>
      <c r="L689" s="100">
        <f>EFEITO!$N$689*EFEITO!$AA$541</f>
        <v>1846.7359741108235</v>
      </c>
      <c r="M689" s="100">
        <f>$J$689-EFEITO!$K$689*EFEITO!$Y$689</f>
        <v>0</v>
      </c>
      <c r="N689" s="100">
        <f ca="1">$K$689-EFEITO!$M$689*EFEITO!$Z$689</f>
        <v>158.65325873436313</v>
      </c>
      <c r="O689" s="100">
        <f>$L$689-EFEITO!$O$689*EFEITO!$AA$689</f>
        <v>110.80415844664958</v>
      </c>
      <c r="P689" s="17"/>
      <c r="Q689" s="17"/>
      <c r="R689" s="17"/>
      <c r="S689" s="17"/>
      <c r="T689" s="17"/>
      <c r="U689" s="17"/>
      <c r="V689" s="17"/>
      <c r="W689" s="17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91" t="s">
        <v>21</v>
      </c>
      <c r="B690" s="91" t="s">
        <v>42</v>
      </c>
      <c r="C690" s="91" t="s">
        <v>23</v>
      </c>
      <c r="D690" s="91" t="s">
        <v>43</v>
      </c>
      <c r="E690" s="91" t="s">
        <v>54</v>
      </c>
      <c r="F690" s="91" t="s">
        <v>52</v>
      </c>
      <c r="G690" s="91" t="s">
        <v>25</v>
      </c>
      <c r="H690" s="91" t="s">
        <v>25</v>
      </c>
      <c r="I690" s="99">
        <v>44562</v>
      </c>
      <c r="J690" s="100">
        <f>EFEITO!$J$690*EFEITO!$Y$541</f>
        <v>0</v>
      </c>
      <c r="K690" s="100">
        <f ca="1">EFEITO!$L$690*EFEITO!$Z$541</f>
        <v>2335.524935045752</v>
      </c>
      <c r="L690" s="100">
        <f>EFEITO!$N$690*EFEITO!$AA$541</f>
        <v>1631.1412511998956</v>
      </c>
      <c r="M690" s="100">
        <f>$J$690-EFEITO!$K$690*EFEITO!$Y$690</f>
        <v>0</v>
      </c>
      <c r="N690" s="100">
        <f ca="1">$K$690-EFEITO!$M$690*EFEITO!$Z$690</f>
        <v>140.13149610274513</v>
      </c>
      <c r="O690" s="100">
        <f>$L$690-EFEITO!$O$690*EFEITO!$AA$690</f>
        <v>97.868475071993771</v>
      </c>
      <c r="P690" s="17"/>
      <c r="Q690" s="17"/>
      <c r="R690" s="17"/>
      <c r="S690" s="17"/>
      <c r="T690" s="17"/>
      <c r="U690" s="17"/>
      <c r="V690" s="17"/>
      <c r="W690" s="17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91" t="s">
        <v>55</v>
      </c>
      <c r="B691" s="91" t="s">
        <v>42</v>
      </c>
      <c r="C691" s="91" t="s">
        <v>23</v>
      </c>
      <c r="D691" s="91" t="s">
        <v>43</v>
      </c>
      <c r="E691" s="91" t="s">
        <v>54</v>
      </c>
      <c r="F691" s="91" t="s">
        <v>52</v>
      </c>
      <c r="G691" s="91" t="s">
        <v>25</v>
      </c>
      <c r="H691" s="91" t="s">
        <v>25</v>
      </c>
      <c r="I691" s="99">
        <v>44562</v>
      </c>
      <c r="J691" s="100">
        <f>EFEITO!$J$691*EFEITO!$Y$541</f>
        <v>0</v>
      </c>
      <c r="K691" s="100">
        <f ca="1">EFEITO!$L$691*EFEITO!$Z$541</f>
        <v>2450.4192914771802</v>
      </c>
      <c r="L691" s="100">
        <f>EFEITO!$N$691*EFEITO!$AA$541</f>
        <v>1711.3839929892035</v>
      </c>
      <c r="M691" s="100">
        <f>$J$691-EFEITO!$K$691*EFEITO!$Y$691</f>
        <v>0</v>
      </c>
      <c r="N691" s="100">
        <f ca="1">$K$691-EFEITO!$M$691*EFEITO!$Z$691</f>
        <v>147.02515748863107</v>
      </c>
      <c r="O691" s="100">
        <f>$L$691-EFEITO!$O$691*EFEITO!$AA$691</f>
        <v>102.68303957935245</v>
      </c>
      <c r="P691" s="17"/>
      <c r="Q691" s="17"/>
      <c r="R691" s="17"/>
      <c r="S691" s="17"/>
      <c r="T691" s="17"/>
      <c r="U691" s="17"/>
      <c r="V691" s="17"/>
      <c r="W691" s="17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91" t="s">
        <v>21</v>
      </c>
      <c r="B692" s="91" t="s">
        <v>42</v>
      </c>
      <c r="C692" s="91" t="s">
        <v>23</v>
      </c>
      <c r="D692" s="91" t="s">
        <v>43</v>
      </c>
      <c r="E692" s="91" t="s">
        <v>54</v>
      </c>
      <c r="F692" s="91" t="s">
        <v>52</v>
      </c>
      <c r="G692" s="91" t="s">
        <v>25</v>
      </c>
      <c r="H692" s="91" t="s">
        <v>25</v>
      </c>
      <c r="I692" s="99">
        <v>44593</v>
      </c>
      <c r="J692" s="100">
        <f>EFEITO!$J$692*EFEITO!$Y$541</f>
        <v>0</v>
      </c>
      <c r="K692" s="100">
        <f ca="1">EFEITO!$L$692*EFEITO!$Z$541</f>
        <v>1676.5331665482513</v>
      </c>
      <c r="L692" s="100">
        <f>EFEITO!$N$692*EFEITO!$AA$541</f>
        <v>1170.8983988681186</v>
      </c>
      <c r="M692" s="100">
        <f>$J$692-EFEITO!$K$692*EFEITO!$Y$692</f>
        <v>0</v>
      </c>
      <c r="N692" s="100">
        <f ca="1">$K$692-EFEITO!$M$692*EFEITO!$Z$692</f>
        <v>100.59198999289515</v>
      </c>
      <c r="O692" s="100">
        <f>$L$692-EFEITO!$O$692*EFEITO!$AA$692</f>
        <v>70.253903932087269</v>
      </c>
      <c r="P692" s="17"/>
      <c r="Q692" s="17"/>
      <c r="R692" s="17"/>
      <c r="S692" s="17"/>
      <c r="T692" s="17"/>
      <c r="U692" s="17"/>
      <c r="V692" s="17"/>
      <c r="W692" s="17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91" t="s">
        <v>55</v>
      </c>
      <c r="B693" s="91" t="s">
        <v>42</v>
      </c>
      <c r="C693" s="91" t="s">
        <v>23</v>
      </c>
      <c r="D693" s="91" t="s">
        <v>43</v>
      </c>
      <c r="E693" s="91" t="s">
        <v>54</v>
      </c>
      <c r="F693" s="91" t="s">
        <v>52</v>
      </c>
      <c r="G693" s="91" t="s">
        <v>25</v>
      </c>
      <c r="H693" s="91" t="s">
        <v>25</v>
      </c>
      <c r="I693" s="99">
        <v>44593</v>
      </c>
      <c r="J693" s="100">
        <f>EFEITO!$J$693*EFEITO!$Y$541</f>
        <v>0</v>
      </c>
      <c r="K693" s="100">
        <f ca="1">EFEITO!$L$693*EFEITO!$Z$541</f>
        <v>3285.0541565882431</v>
      </c>
      <c r="L693" s="100">
        <f>EFEITO!$N$693*EFEITO!$AA$541</f>
        <v>2294.296783918428</v>
      </c>
      <c r="M693" s="100">
        <f>$J$693-EFEITO!$K$693*EFEITO!$Y$693</f>
        <v>0</v>
      </c>
      <c r="N693" s="100">
        <f ca="1">$K$693-EFEITO!$M$693*EFEITO!$Z$693</f>
        <v>197.10324939529482</v>
      </c>
      <c r="O693" s="100">
        <f>$L$693-EFEITO!$O$693*EFEITO!$AA$693</f>
        <v>137.65780703510563</v>
      </c>
      <c r="P693" s="17"/>
      <c r="Q693" s="17"/>
      <c r="R693" s="17"/>
      <c r="S693" s="17"/>
      <c r="T693" s="17"/>
      <c r="U693" s="17"/>
      <c r="V693" s="17"/>
      <c r="W693" s="17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91" t="s">
        <v>21</v>
      </c>
      <c r="B694" s="91" t="s">
        <v>42</v>
      </c>
      <c r="C694" s="91" t="s">
        <v>23</v>
      </c>
      <c r="D694" s="91" t="s">
        <v>43</v>
      </c>
      <c r="E694" s="91" t="s">
        <v>54</v>
      </c>
      <c r="F694" s="91" t="s">
        <v>52</v>
      </c>
      <c r="G694" s="91" t="s">
        <v>25</v>
      </c>
      <c r="H694" s="91" t="s">
        <v>25</v>
      </c>
      <c r="I694" s="99">
        <v>44621</v>
      </c>
      <c r="J694" s="100">
        <f>EFEITO!$J$694*EFEITO!$Y$541</f>
        <v>0</v>
      </c>
      <c r="K694" s="100">
        <f ca="1">EFEITO!$L$694*EFEITO!$Z$541</f>
        <v>1436.8397677861342</v>
      </c>
      <c r="L694" s="100">
        <f>EFEITO!$N$694*EFEITO!$AA$541</f>
        <v>1003.4954375490453</v>
      </c>
      <c r="M694" s="100">
        <f>$J$694-EFEITO!$K$694*EFEITO!$Y$694</f>
        <v>0</v>
      </c>
      <c r="N694" s="100">
        <f ca="1">$K$694-EFEITO!$M$694*EFEITO!$Z$694</f>
        <v>86.210386067167974</v>
      </c>
      <c r="O694" s="100">
        <f>$L$694-EFEITO!$O$694*EFEITO!$AA$694</f>
        <v>60.209726252942801</v>
      </c>
      <c r="P694" s="17"/>
      <c r="Q694" s="17"/>
      <c r="R694" s="17"/>
      <c r="S694" s="17"/>
      <c r="T694" s="17"/>
      <c r="U694" s="17"/>
      <c r="V694" s="17"/>
      <c r="W694" s="17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91" t="s">
        <v>27</v>
      </c>
      <c r="B695" s="91" t="s">
        <v>42</v>
      </c>
      <c r="C695" s="91" t="s">
        <v>23</v>
      </c>
      <c r="D695" s="91" t="s">
        <v>43</v>
      </c>
      <c r="E695" s="91" t="s">
        <v>54</v>
      </c>
      <c r="F695" s="91" t="s">
        <v>52</v>
      </c>
      <c r="G695" s="91" t="s">
        <v>25</v>
      </c>
      <c r="H695" s="91" t="s">
        <v>25</v>
      </c>
      <c r="I695" s="99">
        <v>44621</v>
      </c>
      <c r="J695" s="100">
        <f>EFEITO!$J$695*EFEITO!$Y$541</f>
        <v>0</v>
      </c>
      <c r="K695" s="100">
        <f ca="1">EFEITO!$L$695*EFEITO!$Z$541</f>
        <v>-320.91182313605754</v>
      </c>
      <c r="L695" s="100">
        <f>EFEITO!$N$695*EFEITO!$AA$541</f>
        <v>-224.12627879082535</v>
      </c>
      <c r="M695" s="100">
        <f>$J$695-EFEITO!$K$695*EFEITO!$Y$695</f>
        <v>0</v>
      </c>
      <c r="N695" s="100">
        <f ca="1">$K$695-EFEITO!$M$695*EFEITO!$Z$695</f>
        <v>-19.254709388163462</v>
      </c>
      <c r="O695" s="100">
        <f>$L$695-EFEITO!$O$695*EFEITO!$AA$695</f>
        <v>-13.44757672744953</v>
      </c>
      <c r="P695" s="17"/>
      <c r="Q695" s="17"/>
      <c r="R695" s="17"/>
      <c r="S695" s="17"/>
      <c r="T695" s="17"/>
      <c r="U695" s="17"/>
      <c r="V695" s="17"/>
      <c r="W695" s="17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91" t="s">
        <v>55</v>
      </c>
      <c r="B696" s="91" t="s">
        <v>42</v>
      </c>
      <c r="C696" s="91" t="s">
        <v>23</v>
      </c>
      <c r="D696" s="91" t="s">
        <v>43</v>
      </c>
      <c r="E696" s="91" t="s">
        <v>54</v>
      </c>
      <c r="F696" s="91" t="s">
        <v>52</v>
      </c>
      <c r="G696" s="91" t="s">
        <v>25</v>
      </c>
      <c r="H696" s="91" t="s">
        <v>25</v>
      </c>
      <c r="I696" s="99">
        <v>44621</v>
      </c>
      <c r="J696" s="100">
        <f>EFEITO!$J$696*EFEITO!$Y$541</f>
        <v>0</v>
      </c>
      <c r="K696" s="100">
        <f ca="1">EFEITO!$L$696*EFEITO!$Z$541</f>
        <v>3618.8420713933401</v>
      </c>
      <c r="L696" s="100">
        <f>EFEITO!$N$696*EFEITO!$AA$541</f>
        <v>2527.4157837718485</v>
      </c>
      <c r="M696" s="100">
        <f>$J$696-EFEITO!$K$696*EFEITO!$Y$696</f>
        <v>0</v>
      </c>
      <c r="N696" s="100">
        <f ca="1">$K$696-EFEITO!$M$696*EFEITO!$Z$696</f>
        <v>217.13052428360015</v>
      </c>
      <c r="O696" s="100">
        <f>$L$696-EFEITO!$O$696*EFEITO!$AA$696</f>
        <v>151.644947026311</v>
      </c>
      <c r="P696" s="17"/>
      <c r="Q696" s="17"/>
      <c r="R696" s="17"/>
      <c r="S696" s="17"/>
      <c r="T696" s="17"/>
      <c r="U696" s="17"/>
      <c r="V696" s="17"/>
      <c r="W696" s="17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91" t="s">
        <v>21</v>
      </c>
      <c r="B697" s="91" t="s">
        <v>42</v>
      </c>
      <c r="C697" s="91" t="s">
        <v>23</v>
      </c>
      <c r="D697" s="91" t="s">
        <v>43</v>
      </c>
      <c r="E697" s="91" t="s">
        <v>54</v>
      </c>
      <c r="F697" s="91" t="s">
        <v>52</v>
      </c>
      <c r="G697" s="91" t="s">
        <v>25</v>
      </c>
      <c r="H697" s="91" t="s">
        <v>25</v>
      </c>
      <c r="I697" s="99">
        <v>44652</v>
      </c>
      <c r="J697" s="100">
        <f>EFEITO!$J$697*EFEITO!$Y$541</f>
        <v>0</v>
      </c>
      <c r="K697" s="100">
        <f ca="1">EFEITO!$L$697*EFEITO!$Z$541</f>
        <v>1943.9596858282991</v>
      </c>
      <c r="L697" s="100">
        <f>EFEITO!$N$697*EFEITO!$AA$541</f>
        <v>1357.6702978604731</v>
      </c>
      <c r="M697" s="100">
        <f>$J$697-EFEITO!$K$697*EFEITO!$Y$697</f>
        <v>0</v>
      </c>
      <c r="N697" s="100">
        <f ca="1">$K$697-EFEITO!$M$697*EFEITO!$Z$697</f>
        <v>116.63758114969801</v>
      </c>
      <c r="O697" s="100">
        <f>$L$697-EFEITO!$O$697*EFEITO!$AA$697</f>
        <v>81.460217871628629</v>
      </c>
      <c r="P697" s="17"/>
      <c r="Q697" s="17"/>
      <c r="R697" s="17"/>
      <c r="S697" s="17"/>
      <c r="T697" s="17"/>
      <c r="U697" s="17"/>
      <c r="V697" s="17"/>
      <c r="W697" s="17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91" t="s">
        <v>55</v>
      </c>
      <c r="B698" s="91" t="s">
        <v>42</v>
      </c>
      <c r="C698" s="91" t="s">
        <v>23</v>
      </c>
      <c r="D698" s="91" t="s">
        <v>43</v>
      </c>
      <c r="E698" s="91" t="s">
        <v>54</v>
      </c>
      <c r="F698" s="91" t="s">
        <v>52</v>
      </c>
      <c r="G698" s="91" t="s">
        <v>25</v>
      </c>
      <c r="H698" s="91" t="s">
        <v>25</v>
      </c>
      <c r="I698" s="99">
        <v>44652</v>
      </c>
      <c r="J698" s="100">
        <f>EFEITO!$J$698*EFEITO!$Y$541</f>
        <v>0</v>
      </c>
      <c r="K698" s="100">
        <f ca="1">EFEITO!$L$698*EFEITO!$Z$541</f>
        <v>3326.6538373651397</v>
      </c>
      <c r="L698" s="100">
        <f>EFEITO!$N$698*EFEITO!$AA$541</f>
        <v>2323.3501904283503</v>
      </c>
      <c r="M698" s="100">
        <f>$J$698-EFEITO!$K$698*EFEITO!$Y$698</f>
        <v>0</v>
      </c>
      <c r="N698" s="100">
        <f ca="1">$K$698-EFEITO!$M$698*EFEITO!$Z$698</f>
        <v>199.59923024190857</v>
      </c>
      <c r="O698" s="100">
        <f>$L$698-EFEITO!$O$698*EFEITO!$AA$698</f>
        <v>139.4010114257012</v>
      </c>
      <c r="P698" s="17"/>
      <c r="Q698" s="17"/>
      <c r="R698" s="17"/>
      <c r="S698" s="17"/>
      <c r="T698" s="17"/>
      <c r="U698" s="17"/>
      <c r="V698" s="17"/>
      <c r="W698" s="17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91" t="s">
        <v>21</v>
      </c>
      <c r="B699" s="91" t="s">
        <v>42</v>
      </c>
      <c r="C699" s="91" t="s">
        <v>23</v>
      </c>
      <c r="D699" s="91" t="s">
        <v>43</v>
      </c>
      <c r="E699" s="91" t="s">
        <v>54</v>
      </c>
      <c r="F699" s="91" t="s">
        <v>52</v>
      </c>
      <c r="G699" s="91" t="s">
        <v>25</v>
      </c>
      <c r="H699" s="91" t="s">
        <v>25</v>
      </c>
      <c r="I699" s="99">
        <v>44682</v>
      </c>
      <c r="J699" s="100">
        <f>EFEITO!$J$699*EFEITO!$Y$541</f>
        <v>0</v>
      </c>
      <c r="K699" s="100">
        <f ca="1">EFEITO!$L$699*EFEITO!$Z$541</f>
        <v>2296.566503841992</v>
      </c>
      <c r="L699" s="100">
        <f>EFEITO!$N$699*EFEITO!$AA$541</f>
        <v>1603.9325054207627</v>
      </c>
      <c r="M699" s="100">
        <f>$J$699-EFEITO!$K$699*EFEITO!$Y$699</f>
        <v>0</v>
      </c>
      <c r="N699" s="100">
        <f ca="1">$K$699-EFEITO!$M$699*EFEITO!$Z$699</f>
        <v>137.79399023051928</v>
      </c>
      <c r="O699" s="100">
        <f>$L$699-EFEITO!$O$699*EFEITO!$AA$699</f>
        <v>96.235950325245994</v>
      </c>
      <c r="P699" s="17"/>
      <c r="Q699" s="17"/>
      <c r="R699" s="17"/>
      <c r="S699" s="17"/>
      <c r="T699" s="17"/>
      <c r="U699" s="17"/>
      <c r="V699" s="17"/>
      <c r="W699" s="17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91" t="s">
        <v>55</v>
      </c>
      <c r="B700" s="91" t="s">
        <v>42</v>
      </c>
      <c r="C700" s="91" t="s">
        <v>23</v>
      </c>
      <c r="D700" s="91" t="s">
        <v>43</v>
      </c>
      <c r="E700" s="91" t="s">
        <v>54</v>
      </c>
      <c r="F700" s="91" t="s">
        <v>52</v>
      </c>
      <c r="G700" s="91" t="s">
        <v>25</v>
      </c>
      <c r="H700" s="91" t="s">
        <v>25</v>
      </c>
      <c r="I700" s="99">
        <v>44682</v>
      </c>
      <c r="J700" s="100">
        <f>EFEITO!$J$700*EFEITO!$Y$541</f>
        <v>0</v>
      </c>
      <c r="K700" s="100">
        <f ca="1">EFEITO!$L$700*EFEITO!$Z$541</f>
        <v>3143.0869920321684</v>
      </c>
      <c r="L700" s="100">
        <f>EFEITO!$N$700*EFEITO!$AA$541</f>
        <v>2195.1462696385365</v>
      </c>
      <c r="M700" s="100">
        <f>$J$700-EFEITO!$K$700*EFEITO!$Y$700</f>
        <v>0</v>
      </c>
      <c r="N700" s="100">
        <f ca="1">$K$700-EFEITO!$M$700*EFEITO!$Z$700</f>
        <v>188.58521952193041</v>
      </c>
      <c r="O700" s="100">
        <f>$L$700-EFEITO!$O$700*EFEITO!$AA$700</f>
        <v>131.70877617831275</v>
      </c>
      <c r="P700" s="17"/>
      <c r="Q700" s="17"/>
      <c r="R700" s="17"/>
      <c r="S700" s="17"/>
      <c r="T700" s="17"/>
      <c r="U700" s="17"/>
      <c r="V700" s="17"/>
      <c r="W700" s="17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91" t="s">
        <v>56</v>
      </c>
      <c r="B701" s="91" t="s">
        <v>42</v>
      </c>
      <c r="C701" s="91" t="s">
        <v>23</v>
      </c>
      <c r="D701" s="91" t="s">
        <v>43</v>
      </c>
      <c r="E701" s="91" t="s">
        <v>54</v>
      </c>
      <c r="F701" s="91" t="s">
        <v>52</v>
      </c>
      <c r="G701" s="91" t="s">
        <v>25</v>
      </c>
      <c r="H701" s="91" t="s">
        <v>25</v>
      </c>
      <c r="I701" s="99">
        <v>44713</v>
      </c>
      <c r="J701" s="100">
        <f>EFEITO!$J$701*EFEITO!$Y$541</f>
        <v>0</v>
      </c>
      <c r="K701" s="100">
        <f ca="1">EFEITO!$L$701*EFEITO!$Z$541</f>
        <v>2296.566503841992</v>
      </c>
      <c r="L701" s="100">
        <f>EFEITO!$N$701*EFEITO!$AA$541</f>
        <v>1603.9325054207627</v>
      </c>
      <c r="M701" s="100">
        <f>$J$701-EFEITO!$K$701*EFEITO!$Y$701</f>
        <v>0</v>
      </c>
      <c r="N701" s="100">
        <f ca="1">$K$701-EFEITO!$M$701*EFEITO!$Z$701</f>
        <v>137.79399023051928</v>
      </c>
      <c r="O701" s="100">
        <f>$L$701-EFEITO!$O$701*EFEITO!$AA$701</f>
        <v>96.235950325245994</v>
      </c>
      <c r="P701" s="17"/>
      <c r="Q701" s="17"/>
      <c r="R701" s="17"/>
      <c r="S701" s="17"/>
      <c r="T701" s="17"/>
      <c r="U701" s="17"/>
      <c r="V701" s="17"/>
      <c r="W701" s="17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91" t="s">
        <v>56</v>
      </c>
      <c r="B702" s="91" t="s">
        <v>42</v>
      </c>
      <c r="C702" s="91" t="s">
        <v>23</v>
      </c>
      <c r="D702" s="91" t="s">
        <v>43</v>
      </c>
      <c r="E702" s="91" t="s">
        <v>54</v>
      </c>
      <c r="F702" s="91" t="s">
        <v>52</v>
      </c>
      <c r="G702" s="91" t="s">
        <v>25</v>
      </c>
      <c r="H702" s="91" t="s">
        <v>25</v>
      </c>
      <c r="I702" s="99">
        <v>44713</v>
      </c>
      <c r="J702" s="100">
        <f>EFEITO!$J$702*EFEITO!$Y$541</f>
        <v>0</v>
      </c>
      <c r="K702" s="100">
        <f ca="1">EFEITO!$L$702*EFEITO!$Z$541</f>
        <v>3143.0869920321684</v>
      </c>
      <c r="L702" s="100">
        <f>EFEITO!$N$702*EFEITO!$AA$541</f>
        <v>2195.1462696385365</v>
      </c>
      <c r="M702" s="100">
        <f>$J$702-EFEITO!$K$702*EFEITO!$Y$702</f>
        <v>0</v>
      </c>
      <c r="N702" s="100">
        <f ca="1">$K$702-EFEITO!$M$702*EFEITO!$Z$702</f>
        <v>188.58521952193041</v>
      </c>
      <c r="O702" s="100">
        <f>$L$702-EFEITO!$O$702*EFEITO!$AA$702</f>
        <v>131.70877617831275</v>
      </c>
      <c r="P702" s="17"/>
      <c r="Q702" s="17"/>
      <c r="R702" s="17"/>
      <c r="S702" s="17"/>
      <c r="T702" s="17"/>
      <c r="U702" s="17"/>
      <c r="V702" s="17"/>
      <c r="W702" s="17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91" t="s">
        <v>21</v>
      </c>
      <c r="B703" s="91" t="s">
        <v>42</v>
      </c>
      <c r="C703" s="91" t="s">
        <v>23</v>
      </c>
      <c r="D703" s="91" t="s">
        <v>43</v>
      </c>
      <c r="E703" s="91" t="s">
        <v>54</v>
      </c>
      <c r="F703" s="91" t="s">
        <v>53</v>
      </c>
      <c r="G703" s="91" t="s">
        <v>25</v>
      </c>
      <c r="H703" s="91" t="s">
        <v>25</v>
      </c>
      <c r="I703" s="99">
        <v>44378</v>
      </c>
      <c r="J703" s="100">
        <f>EFEITO!$J$703*EFEITO!$Y$541</f>
        <v>0</v>
      </c>
      <c r="K703" s="100">
        <f ca="1">EFEITO!$L$703*EFEITO!$Z$541</f>
        <v>580.41459369669667</v>
      </c>
      <c r="L703" s="100">
        <f>EFEITO!$N$703*EFEITO!$AA$541</f>
        <v>405.36419559081378</v>
      </c>
      <c r="M703" s="100">
        <f>$J$703-EFEITO!$K$703*EFEITO!$Y$703</f>
        <v>0</v>
      </c>
      <c r="N703" s="100">
        <f ca="1">$K$703-EFEITO!$M$703*EFEITO!$Z$703</f>
        <v>362.17870646673873</v>
      </c>
      <c r="O703" s="100">
        <f>$L$703-EFEITO!$O$703*EFEITO!$AA$703</f>
        <v>252.94725804866781</v>
      </c>
      <c r="P703" s="17"/>
      <c r="Q703" s="17"/>
      <c r="R703" s="17"/>
      <c r="S703" s="17"/>
      <c r="T703" s="17"/>
      <c r="U703" s="17"/>
      <c r="V703" s="17"/>
      <c r="W703" s="17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91" t="s">
        <v>21</v>
      </c>
      <c r="B704" s="91" t="s">
        <v>42</v>
      </c>
      <c r="C704" s="91" t="s">
        <v>23</v>
      </c>
      <c r="D704" s="91" t="s">
        <v>43</v>
      </c>
      <c r="E704" s="91" t="s">
        <v>54</v>
      </c>
      <c r="F704" s="91" t="s">
        <v>53</v>
      </c>
      <c r="G704" s="91" t="s">
        <v>25</v>
      </c>
      <c r="H704" s="91" t="s">
        <v>25</v>
      </c>
      <c r="I704" s="99">
        <v>44409</v>
      </c>
      <c r="J704" s="100">
        <f>EFEITO!$J$704*EFEITO!$Y$541</f>
        <v>0</v>
      </c>
      <c r="K704" s="100">
        <f ca="1">EFEITO!$L$704*EFEITO!$Z$541</f>
        <v>230.7791814527821</v>
      </c>
      <c r="L704" s="100">
        <f>EFEITO!$N$704*EFEITO!$AA$541</f>
        <v>161.17723135266144</v>
      </c>
      <c r="M704" s="100">
        <f>$J$704-EFEITO!$K$704*EFEITO!$Y$704</f>
        <v>0</v>
      </c>
      <c r="N704" s="100">
        <f ca="1">$K$704-EFEITO!$M$704*EFEITO!$Z$704</f>
        <v>144.00620922653601</v>
      </c>
      <c r="O704" s="100">
        <f>$L$704-EFEITO!$O$704*EFEITO!$AA$704</f>
        <v>100.57459236406073</v>
      </c>
      <c r="P704" s="17"/>
      <c r="Q704" s="17"/>
      <c r="R704" s="17"/>
      <c r="S704" s="17"/>
      <c r="T704" s="17"/>
      <c r="U704" s="17"/>
      <c r="V704" s="17"/>
      <c r="W704" s="17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91" t="s">
        <v>27</v>
      </c>
      <c r="B705" s="91" t="s">
        <v>42</v>
      </c>
      <c r="C705" s="91" t="s">
        <v>23</v>
      </c>
      <c r="D705" s="91" t="s">
        <v>43</v>
      </c>
      <c r="E705" s="91" t="s">
        <v>54</v>
      </c>
      <c r="F705" s="91" t="s">
        <v>53</v>
      </c>
      <c r="G705" s="91" t="s">
        <v>25</v>
      </c>
      <c r="H705" s="91" t="s">
        <v>25</v>
      </c>
      <c r="I705" s="99">
        <v>44409</v>
      </c>
      <c r="J705" s="100">
        <f>EFEITO!$J$705*EFEITO!$Y$541</f>
        <v>0</v>
      </c>
      <c r="K705" s="100">
        <f ca="1">EFEITO!$L$705*EFEITO!$Z$541</f>
        <v>13.536404062323415</v>
      </c>
      <c r="L705" s="100">
        <f>EFEITO!$N$705*EFEITO!$AA$541</f>
        <v>9.4538862452920167</v>
      </c>
      <c r="M705" s="100">
        <f>$J$705-EFEITO!$K$705*EFEITO!$Y$705</f>
        <v>0</v>
      </c>
      <c r="N705" s="100">
        <f ca="1">$K$705-EFEITO!$M$705*EFEITO!$Z$705</f>
        <v>8.4467161348898117</v>
      </c>
      <c r="O705" s="100">
        <f>$L$705-EFEITO!$O$705*EFEITO!$AA$705</f>
        <v>5.8992250170622187</v>
      </c>
      <c r="P705" s="17"/>
      <c r="Q705" s="17"/>
      <c r="R705" s="17"/>
      <c r="S705" s="17"/>
      <c r="T705" s="17"/>
      <c r="U705" s="17"/>
      <c r="V705" s="17"/>
      <c r="W705" s="17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91" t="s">
        <v>55</v>
      </c>
      <c r="B706" s="91" t="s">
        <v>42</v>
      </c>
      <c r="C706" s="91" t="s">
        <v>23</v>
      </c>
      <c r="D706" s="91" t="s">
        <v>43</v>
      </c>
      <c r="E706" s="91" t="s">
        <v>54</v>
      </c>
      <c r="F706" s="91" t="s">
        <v>53</v>
      </c>
      <c r="G706" s="91" t="s">
        <v>25</v>
      </c>
      <c r="H706" s="91" t="s">
        <v>25</v>
      </c>
      <c r="I706" s="99">
        <v>44409</v>
      </c>
      <c r="J706" s="100">
        <f>EFEITO!$J$706*EFEITO!$Y$541</f>
        <v>0</v>
      </c>
      <c r="K706" s="100">
        <f ca="1">EFEITO!$L$706*EFEITO!$Z$541</f>
        <v>2063.4762290127155</v>
      </c>
      <c r="L706" s="100">
        <f>EFEITO!$N$706*EFEITO!$AA$541</f>
        <v>1441.1411959286611</v>
      </c>
      <c r="M706" s="100">
        <f>$J$706-EFEITO!$K$706*EFEITO!$Y$706</f>
        <v>0</v>
      </c>
      <c r="N706" s="100">
        <f ca="1">$K$706-EFEITO!$M$706*EFEITO!$Z$706</f>
        <v>123.80857374076277</v>
      </c>
      <c r="O706" s="100">
        <f>$L$706-EFEITO!$O$706*EFEITO!$AA$706</f>
        <v>86.468471755719975</v>
      </c>
      <c r="P706" s="17"/>
      <c r="Q706" s="17"/>
      <c r="R706" s="17"/>
      <c r="S706" s="17"/>
      <c r="T706" s="17"/>
      <c r="U706" s="17"/>
      <c r="V706" s="17"/>
      <c r="W706" s="17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91" t="s">
        <v>21</v>
      </c>
      <c r="B707" s="91" t="s">
        <v>42</v>
      </c>
      <c r="C707" s="91" t="s">
        <v>23</v>
      </c>
      <c r="D707" s="91" t="s">
        <v>43</v>
      </c>
      <c r="E707" s="91" t="s">
        <v>54</v>
      </c>
      <c r="F707" s="91" t="s">
        <v>53</v>
      </c>
      <c r="G707" s="91" t="s">
        <v>25</v>
      </c>
      <c r="H707" s="91" t="s">
        <v>25</v>
      </c>
      <c r="I707" s="99">
        <v>44440</v>
      </c>
      <c r="J707" s="100">
        <f>EFEITO!$J$707*EFEITO!$Y$541</f>
        <v>0</v>
      </c>
      <c r="K707" s="100">
        <f ca="1">EFEITO!$L$707*EFEITO!$Z$541</f>
        <v>775.20674971549693</v>
      </c>
      <c r="L707" s="100">
        <f>EFEITO!$N$707*EFEITO!$AA$541</f>
        <v>541.40792448647937</v>
      </c>
      <c r="M707" s="100">
        <f>$J$707-EFEITO!$K$707*EFEITO!$Y$707</f>
        <v>0</v>
      </c>
      <c r="N707" s="100">
        <f ca="1">$K$707-EFEITO!$M$707*EFEITO!$Z$707</f>
        <v>483.72901182247006</v>
      </c>
      <c r="O707" s="100">
        <f>$L$707-EFEITO!$O$707*EFEITO!$AA$707</f>
        <v>337.83854487956313</v>
      </c>
      <c r="P707" s="17"/>
      <c r="Q707" s="17"/>
      <c r="R707" s="17"/>
      <c r="S707" s="17"/>
      <c r="T707" s="17"/>
      <c r="U707" s="17"/>
      <c r="V707" s="17"/>
      <c r="W707" s="17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91" t="s">
        <v>27</v>
      </c>
      <c r="B708" s="91" t="s">
        <v>42</v>
      </c>
      <c r="C708" s="91" t="s">
        <v>23</v>
      </c>
      <c r="D708" s="91" t="s">
        <v>43</v>
      </c>
      <c r="E708" s="91" t="s">
        <v>54</v>
      </c>
      <c r="F708" s="91" t="s">
        <v>53</v>
      </c>
      <c r="G708" s="91" t="s">
        <v>25</v>
      </c>
      <c r="H708" s="91" t="s">
        <v>25</v>
      </c>
      <c r="I708" s="99">
        <v>44440</v>
      </c>
      <c r="J708" s="100">
        <f>EFEITO!$J$708*EFEITO!$Y$541</f>
        <v>0</v>
      </c>
      <c r="K708" s="100">
        <f ca="1">EFEITO!$L$708*EFEITO!$Z$541</f>
        <v>15.517341242175622</v>
      </c>
      <c r="L708" s="100">
        <f>EFEITO!$N$708*EFEITO!$AA$541</f>
        <v>10.83738179338353</v>
      </c>
      <c r="M708" s="100">
        <f>$J$708-EFEITO!$K$708*EFEITO!$Y$708</f>
        <v>0</v>
      </c>
      <c r="N708" s="100">
        <f ca="1">$K$708-EFEITO!$M$708*EFEITO!$Z$708</f>
        <v>9.6828209351175882</v>
      </c>
      <c r="O708" s="100">
        <f>$L$708-EFEITO!$O$708*EFEITO!$AA$708</f>
        <v>6.762526239071323</v>
      </c>
      <c r="P708" s="17"/>
      <c r="Q708" s="17"/>
      <c r="R708" s="17"/>
      <c r="S708" s="17"/>
      <c r="T708" s="17"/>
      <c r="U708" s="17"/>
      <c r="V708" s="17"/>
      <c r="W708" s="17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91" t="s">
        <v>55</v>
      </c>
      <c r="B709" s="91" t="s">
        <v>42</v>
      </c>
      <c r="C709" s="91" t="s">
        <v>23</v>
      </c>
      <c r="D709" s="91" t="s">
        <v>43</v>
      </c>
      <c r="E709" s="91" t="s">
        <v>54</v>
      </c>
      <c r="F709" s="91" t="s">
        <v>53</v>
      </c>
      <c r="G709" s="91" t="s">
        <v>25</v>
      </c>
      <c r="H709" s="91" t="s">
        <v>25</v>
      </c>
      <c r="I709" s="99">
        <v>44440</v>
      </c>
      <c r="J709" s="100">
        <f>EFEITO!$J$709*EFEITO!$Y$541</f>
        <v>0</v>
      </c>
      <c r="K709" s="100">
        <f ca="1">EFEITO!$L$709*EFEITO!$Z$541</f>
        <v>3351.4155521132921</v>
      </c>
      <c r="L709" s="100">
        <f>EFEITO!$N$709*EFEITO!$AA$541</f>
        <v>2340.6438847794939</v>
      </c>
      <c r="M709" s="100">
        <f>$J$709-EFEITO!$K$709*EFEITO!$Y$709</f>
        <v>0</v>
      </c>
      <c r="N709" s="100">
        <f ca="1">$K$709-EFEITO!$M$709*EFEITO!$Z$709</f>
        <v>201.0849331267973</v>
      </c>
      <c r="O709" s="100">
        <f>$L$709-EFEITO!$O$709*EFEITO!$AA$709</f>
        <v>140.43863308676964</v>
      </c>
      <c r="P709" s="17"/>
      <c r="Q709" s="17"/>
      <c r="R709" s="17"/>
      <c r="S709" s="17"/>
      <c r="T709" s="17"/>
      <c r="U709" s="17"/>
      <c r="V709" s="17"/>
      <c r="W709" s="17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91" t="s">
        <v>21</v>
      </c>
      <c r="B710" s="91" t="s">
        <v>42</v>
      </c>
      <c r="C710" s="91" t="s">
        <v>23</v>
      </c>
      <c r="D710" s="91" t="s">
        <v>43</v>
      </c>
      <c r="E710" s="91" t="s">
        <v>54</v>
      </c>
      <c r="F710" s="91" t="s">
        <v>53</v>
      </c>
      <c r="G710" s="91" t="s">
        <v>25</v>
      </c>
      <c r="H710" s="91" t="s">
        <v>25</v>
      </c>
      <c r="I710" s="99">
        <v>44470</v>
      </c>
      <c r="J710" s="100">
        <f>EFEITO!$J$710*EFEITO!$Y$541</f>
        <v>0</v>
      </c>
      <c r="K710" s="100">
        <f ca="1">EFEITO!$L$710*EFEITO!$Z$541</f>
        <v>789.07330997446252</v>
      </c>
      <c r="L710" s="100">
        <f>EFEITO!$N$710*EFEITO!$AA$541</f>
        <v>551.09239332312006</v>
      </c>
      <c r="M710" s="100">
        <f>$J$710-EFEITO!$K$710*EFEITO!$Y$710</f>
        <v>0</v>
      </c>
      <c r="N710" s="100">
        <f ca="1">$K$710-EFEITO!$M$710*EFEITO!$Z$710</f>
        <v>492.38174542406466</v>
      </c>
      <c r="O710" s="100">
        <f>$L$710-EFEITO!$O$710*EFEITO!$AA$710</f>
        <v>343.88165343362698</v>
      </c>
      <c r="P710" s="17"/>
      <c r="Q710" s="17"/>
      <c r="R710" s="17"/>
      <c r="S710" s="17"/>
      <c r="T710" s="17"/>
      <c r="U710" s="17"/>
      <c r="V710" s="17"/>
      <c r="W710" s="17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91" t="s">
        <v>55</v>
      </c>
      <c r="B711" s="91" t="s">
        <v>42</v>
      </c>
      <c r="C711" s="91" t="s">
        <v>23</v>
      </c>
      <c r="D711" s="91" t="s">
        <v>43</v>
      </c>
      <c r="E711" s="91" t="s">
        <v>54</v>
      </c>
      <c r="F711" s="91" t="s">
        <v>53</v>
      </c>
      <c r="G711" s="91" t="s">
        <v>25</v>
      </c>
      <c r="H711" s="91" t="s">
        <v>25</v>
      </c>
      <c r="I711" s="99">
        <v>44470</v>
      </c>
      <c r="J711" s="100">
        <f>EFEITO!$J$711*EFEITO!$Y$541</f>
        <v>0</v>
      </c>
      <c r="K711" s="100">
        <f ca="1">EFEITO!$L$711*EFEITO!$Z$541</f>
        <v>3093.5635625358632</v>
      </c>
      <c r="L711" s="100">
        <f>EFEITO!$N$711*EFEITO!$AA$541</f>
        <v>2160.5588809362484</v>
      </c>
      <c r="M711" s="100">
        <f>$J$711-EFEITO!$K$711*EFEITO!$Y$711</f>
        <v>0</v>
      </c>
      <c r="N711" s="100">
        <f ca="1">$K$711-EFEITO!$M$711*EFEITO!$Z$711</f>
        <v>185.61381375215205</v>
      </c>
      <c r="O711" s="100">
        <f>$L$711-EFEITO!$O$711*EFEITO!$AA$711</f>
        <v>129.63353285617518</v>
      </c>
      <c r="P711" s="17"/>
      <c r="Q711" s="17"/>
      <c r="R711" s="17"/>
      <c r="S711" s="17"/>
      <c r="T711" s="17"/>
      <c r="U711" s="17"/>
      <c r="V711" s="17"/>
      <c r="W711" s="17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91" t="s">
        <v>21</v>
      </c>
      <c r="B712" s="91" t="s">
        <v>42</v>
      </c>
      <c r="C712" s="91" t="s">
        <v>23</v>
      </c>
      <c r="D712" s="91" t="s">
        <v>43</v>
      </c>
      <c r="E712" s="91" t="s">
        <v>54</v>
      </c>
      <c r="F712" s="91" t="s">
        <v>53</v>
      </c>
      <c r="G712" s="91" t="s">
        <v>25</v>
      </c>
      <c r="H712" s="91" t="s">
        <v>25</v>
      </c>
      <c r="I712" s="99">
        <v>44501</v>
      </c>
      <c r="J712" s="100">
        <f>EFEITO!$J$712*EFEITO!$Y$541</f>
        <v>0</v>
      </c>
      <c r="K712" s="100">
        <f ca="1">EFEITO!$L$712*EFEITO!$Z$541</f>
        <v>381.33040712154985</v>
      </c>
      <c r="L712" s="100">
        <f>EFEITO!$N$712*EFEITO!$AA$541</f>
        <v>266.32289300761659</v>
      </c>
      <c r="M712" s="100">
        <f>$J$712-EFEITO!$K$712*EFEITO!$Y$712</f>
        <v>0</v>
      </c>
      <c r="N712" s="100">
        <f ca="1">$K$712-EFEITO!$M$712*EFEITO!$Z$712</f>
        <v>237.95017404384711</v>
      </c>
      <c r="O712" s="100">
        <f>$L$712-EFEITO!$O$712*EFEITO!$AA$712</f>
        <v>166.18548523675275</v>
      </c>
      <c r="P712" s="17"/>
      <c r="Q712" s="17"/>
      <c r="R712" s="17"/>
      <c r="S712" s="17"/>
      <c r="T712" s="17"/>
      <c r="U712" s="17"/>
      <c r="V712" s="17"/>
      <c r="W712" s="17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91" t="s">
        <v>55</v>
      </c>
      <c r="B713" s="91" t="s">
        <v>42</v>
      </c>
      <c r="C713" s="91" t="s">
        <v>23</v>
      </c>
      <c r="D713" s="91" t="s">
        <v>43</v>
      </c>
      <c r="E713" s="91" t="s">
        <v>54</v>
      </c>
      <c r="F713" s="91" t="s">
        <v>53</v>
      </c>
      <c r="G713" s="91" t="s">
        <v>25</v>
      </c>
      <c r="H713" s="91" t="s">
        <v>25</v>
      </c>
      <c r="I713" s="99">
        <v>44501</v>
      </c>
      <c r="J713" s="100">
        <f>EFEITO!$J$713*EFEITO!$Y$541</f>
        <v>0</v>
      </c>
      <c r="K713" s="100">
        <f ca="1">EFEITO!$L$713*EFEITO!$Z$541</f>
        <v>3252.0385369240398</v>
      </c>
      <c r="L713" s="100">
        <f>EFEITO!$N$713*EFEITO!$AA$541</f>
        <v>2271.2385247835696</v>
      </c>
      <c r="M713" s="100">
        <f>$J$713-EFEITO!$K$713*EFEITO!$Y$713</f>
        <v>0</v>
      </c>
      <c r="N713" s="100">
        <f ca="1">$K$713-EFEITO!$M$713*EFEITO!$Z$713</f>
        <v>195.12231221544243</v>
      </c>
      <c r="O713" s="100">
        <f>$L$713-EFEITO!$O$713*EFEITO!$AA$713</f>
        <v>136.27431148701407</v>
      </c>
      <c r="P713" s="17"/>
      <c r="Q713" s="17"/>
      <c r="R713" s="17"/>
      <c r="S713" s="17"/>
      <c r="T713" s="17"/>
      <c r="U713" s="17"/>
      <c r="V713" s="17"/>
      <c r="W713" s="17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91" t="s">
        <v>21</v>
      </c>
      <c r="B714" s="91" t="s">
        <v>42</v>
      </c>
      <c r="C714" s="91" t="s">
        <v>23</v>
      </c>
      <c r="D714" s="91" t="s">
        <v>43</v>
      </c>
      <c r="E714" s="91" t="s">
        <v>54</v>
      </c>
      <c r="F714" s="91" t="s">
        <v>53</v>
      </c>
      <c r="G714" s="91" t="s">
        <v>25</v>
      </c>
      <c r="H714" s="91" t="s">
        <v>25</v>
      </c>
      <c r="I714" s="99">
        <v>44531</v>
      </c>
      <c r="J714" s="100">
        <f>EFEITO!$J$714*EFEITO!$Y$541</f>
        <v>0</v>
      </c>
      <c r="K714" s="100">
        <f ca="1">EFEITO!$L$714*EFEITO!$Z$541</f>
        <v>785.44159181140003</v>
      </c>
      <c r="L714" s="100">
        <f>EFEITO!$N$714*EFEITO!$AA$541</f>
        <v>548.55598481828554</v>
      </c>
      <c r="M714" s="100">
        <f>$J$714-EFEITO!$K$714*EFEITO!$Y$714</f>
        <v>0</v>
      </c>
      <c r="N714" s="100">
        <f ca="1">$K$714-EFEITO!$M$714*EFEITO!$Z$714</f>
        <v>490.11555329031358</v>
      </c>
      <c r="O714" s="100">
        <f>$L$714-EFEITO!$O$714*EFEITO!$AA$714</f>
        <v>342.2989345266102</v>
      </c>
      <c r="P714" s="17"/>
      <c r="Q714" s="17"/>
      <c r="R714" s="17"/>
      <c r="S714" s="17"/>
      <c r="T714" s="17"/>
      <c r="U714" s="17"/>
      <c r="V714" s="17"/>
      <c r="W714" s="17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91" t="s">
        <v>55</v>
      </c>
      <c r="B715" s="91" t="s">
        <v>42</v>
      </c>
      <c r="C715" s="91" t="s">
        <v>23</v>
      </c>
      <c r="D715" s="91" t="s">
        <v>43</v>
      </c>
      <c r="E715" s="91" t="s">
        <v>54</v>
      </c>
      <c r="F715" s="91" t="s">
        <v>53</v>
      </c>
      <c r="G715" s="91" t="s">
        <v>25</v>
      </c>
      <c r="H715" s="91" t="s">
        <v>25</v>
      </c>
      <c r="I715" s="99">
        <v>44531</v>
      </c>
      <c r="J715" s="100">
        <f>EFEITO!$J$715*EFEITO!$Y$541</f>
        <v>0</v>
      </c>
      <c r="K715" s="100">
        <f ca="1">EFEITO!$L$715*EFEITO!$Z$541</f>
        <v>3358.3488322427752</v>
      </c>
      <c r="L715" s="100">
        <f>EFEITO!$N$715*EFEITO!$AA$541</f>
        <v>2345.4861191978143</v>
      </c>
      <c r="M715" s="100">
        <f>$J$715-EFEITO!$K$715*EFEITO!$Y$715</f>
        <v>0</v>
      </c>
      <c r="N715" s="100">
        <f ca="1">$K$715-EFEITO!$M$715*EFEITO!$Z$715</f>
        <v>201.50092993456656</v>
      </c>
      <c r="O715" s="100">
        <f>$L$715-EFEITO!$O$715*EFEITO!$AA$715</f>
        <v>140.72916715186875</v>
      </c>
      <c r="P715" s="17"/>
      <c r="Q715" s="17"/>
      <c r="R715" s="17"/>
      <c r="S715" s="17"/>
      <c r="T715" s="17"/>
      <c r="U715" s="17"/>
      <c r="V715" s="17"/>
      <c r="W715" s="17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91" t="s">
        <v>21</v>
      </c>
      <c r="B716" s="91" t="s">
        <v>42</v>
      </c>
      <c r="C716" s="91" t="s">
        <v>23</v>
      </c>
      <c r="D716" s="91" t="s">
        <v>43</v>
      </c>
      <c r="E716" s="91" t="s">
        <v>54</v>
      </c>
      <c r="F716" s="91" t="s">
        <v>53</v>
      </c>
      <c r="G716" s="91" t="s">
        <v>25</v>
      </c>
      <c r="H716" s="91" t="s">
        <v>25</v>
      </c>
      <c r="I716" s="99">
        <v>44562</v>
      </c>
      <c r="J716" s="100">
        <f>EFEITO!$J$716*EFEITO!$Y$541</f>
        <v>0</v>
      </c>
      <c r="K716" s="100">
        <f ca="1">EFEITO!$L$716*EFEITO!$Z$541</f>
        <v>2308.7822831177473</v>
      </c>
      <c r="L716" s="100">
        <f>EFEITO!$N$716*EFEITO!$AA$541</f>
        <v>1612.4640613006604</v>
      </c>
      <c r="M716" s="100">
        <f>$J$716-EFEITO!$K$716*EFEITO!$Y$716</f>
        <v>0</v>
      </c>
      <c r="N716" s="100">
        <f ca="1">$K$716-EFEITO!$M$716*EFEITO!$Z$716</f>
        <v>1440.6801446654742</v>
      </c>
      <c r="O716" s="100">
        <f>$L$716-EFEITO!$O$716*EFEITO!$AA$716</f>
        <v>1006.1775742516122</v>
      </c>
      <c r="P716" s="17"/>
      <c r="Q716" s="17"/>
      <c r="R716" s="17"/>
      <c r="S716" s="17"/>
      <c r="T716" s="17"/>
      <c r="U716" s="17"/>
      <c r="V716" s="17"/>
      <c r="W716" s="17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91" t="s">
        <v>55</v>
      </c>
      <c r="B717" s="91" t="s">
        <v>42</v>
      </c>
      <c r="C717" s="91" t="s">
        <v>23</v>
      </c>
      <c r="D717" s="91" t="s">
        <v>43</v>
      </c>
      <c r="E717" s="91" t="s">
        <v>54</v>
      </c>
      <c r="F717" s="91" t="s">
        <v>53</v>
      </c>
      <c r="G717" s="91" t="s">
        <v>25</v>
      </c>
      <c r="H717" s="91" t="s">
        <v>25</v>
      </c>
      <c r="I717" s="99">
        <v>44562</v>
      </c>
      <c r="J717" s="100">
        <f>EFEITO!$J$717*EFEITO!$Y$541</f>
        <v>0</v>
      </c>
      <c r="K717" s="100">
        <f ca="1">EFEITO!$L$717*EFEITO!$Z$541</f>
        <v>3294.9588424875046</v>
      </c>
      <c r="L717" s="100">
        <f>EFEITO!$N$717*EFEITO!$AA$541</f>
        <v>2301.2142616588862</v>
      </c>
      <c r="M717" s="100">
        <f>$J$717-EFEITO!$K$717*EFEITO!$Y$717</f>
        <v>0</v>
      </c>
      <c r="N717" s="100">
        <f ca="1">$K$717-EFEITO!$M$717*EFEITO!$Z$717</f>
        <v>197.69753054925059</v>
      </c>
      <c r="O717" s="100">
        <f>$L$717-EFEITO!$O$717*EFEITO!$AA$717</f>
        <v>138.07285569953365</v>
      </c>
      <c r="P717" s="17"/>
      <c r="Q717" s="17"/>
      <c r="R717" s="17"/>
      <c r="S717" s="17"/>
      <c r="T717" s="17"/>
      <c r="U717" s="17"/>
      <c r="V717" s="17"/>
      <c r="W717" s="17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91" t="s">
        <v>21</v>
      </c>
      <c r="B718" s="91" t="s">
        <v>42</v>
      </c>
      <c r="C718" s="91" t="s">
        <v>23</v>
      </c>
      <c r="D718" s="91" t="s">
        <v>43</v>
      </c>
      <c r="E718" s="91" t="s">
        <v>54</v>
      </c>
      <c r="F718" s="91" t="s">
        <v>53</v>
      </c>
      <c r="G718" s="91" t="s">
        <v>25</v>
      </c>
      <c r="H718" s="91" t="s">
        <v>25</v>
      </c>
      <c r="I718" s="99">
        <v>44593</v>
      </c>
      <c r="J718" s="100">
        <f>EFEITO!$J$718*EFEITO!$Y$541</f>
        <v>0</v>
      </c>
      <c r="K718" s="100">
        <f ca="1">EFEITO!$L$718*EFEITO!$Z$541</f>
        <v>325.53400988904599</v>
      </c>
      <c r="L718" s="100">
        <f>EFEITO!$N$718*EFEITO!$AA$541</f>
        <v>227.35443506970557</v>
      </c>
      <c r="M718" s="100">
        <f>$J$718-EFEITO!$K$718*EFEITO!$Y$718</f>
        <v>0</v>
      </c>
      <c r="N718" s="100">
        <f ca="1">$K$718-EFEITO!$M$718*EFEITO!$Z$718</f>
        <v>203.1332221707647</v>
      </c>
      <c r="O718" s="100">
        <f>$L$718-EFEITO!$O$718*EFEITO!$AA$718</f>
        <v>141.86916748349631</v>
      </c>
      <c r="P718" s="17"/>
      <c r="Q718" s="17"/>
      <c r="R718" s="17"/>
      <c r="S718" s="17"/>
      <c r="T718" s="17"/>
      <c r="U718" s="17"/>
      <c r="V718" s="17"/>
      <c r="W718" s="17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91" t="s">
        <v>55</v>
      </c>
      <c r="B719" s="91" t="s">
        <v>42</v>
      </c>
      <c r="C719" s="91" t="s">
        <v>23</v>
      </c>
      <c r="D719" s="91" t="s">
        <v>43</v>
      </c>
      <c r="E719" s="91" t="s">
        <v>54</v>
      </c>
      <c r="F719" s="91" t="s">
        <v>53</v>
      </c>
      <c r="G719" s="91" t="s">
        <v>25</v>
      </c>
      <c r="H719" s="91" t="s">
        <v>25</v>
      </c>
      <c r="I719" s="99">
        <v>44593</v>
      </c>
      <c r="J719" s="100">
        <f>EFEITO!$J$719*EFEITO!$Y$541</f>
        <v>0</v>
      </c>
      <c r="K719" s="100">
        <f ca="1">EFEITO!$L$719*EFEITO!$Z$541</f>
        <v>3451.1227234991866</v>
      </c>
      <c r="L719" s="100">
        <f>EFEITO!$N$719*EFEITO!$AA$541</f>
        <v>2410.2798273667668</v>
      </c>
      <c r="M719" s="100">
        <f>$J$719-EFEITO!$K$719*EFEITO!$Y$719</f>
        <v>0</v>
      </c>
      <c r="N719" s="100">
        <f ca="1">$K$719-EFEITO!$M$719*EFEITO!$Z$719</f>
        <v>207.06736340995121</v>
      </c>
      <c r="O719" s="100">
        <f>$L$719-EFEITO!$O$719*EFEITO!$AA$719</f>
        <v>144.6167896420061</v>
      </c>
      <c r="P719" s="17"/>
      <c r="Q719" s="17"/>
      <c r="R719" s="17"/>
      <c r="S719" s="17"/>
      <c r="T719" s="17"/>
      <c r="U719" s="17"/>
      <c r="V719" s="17"/>
      <c r="W719" s="17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91" t="s">
        <v>21</v>
      </c>
      <c r="B720" s="91" t="s">
        <v>42</v>
      </c>
      <c r="C720" s="91" t="s">
        <v>23</v>
      </c>
      <c r="D720" s="91" t="s">
        <v>43</v>
      </c>
      <c r="E720" s="91" t="s">
        <v>54</v>
      </c>
      <c r="F720" s="91" t="s">
        <v>53</v>
      </c>
      <c r="G720" s="91" t="s">
        <v>25</v>
      </c>
      <c r="H720" s="91" t="s">
        <v>25</v>
      </c>
      <c r="I720" s="99">
        <v>44621</v>
      </c>
      <c r="J720" s="100">
        <f>EFEITO!$J$720*EFEITO!$Y$541</f>
        <v>0</v>
      </c>
      <c r="K720" s="100">
        <f ca="1">EFEITO!$L$720*EFEITO!$Z$541</f>
        <v>777.51784309199127</v>
      </c>
      <c r="L720" s="100">
        <f>EFEITO!$N$720*EFEITO!$AA$541</f>
        <v>543.02200262591953</v>
      </c>
      <c r="M720" s="100">
        <f>$J$720-EFEITO!$K$720*EFEITO!$Y$720</f>
        <v>0</v>
      </c>
      <c r="N720" s="100">
        <f ca="1">$K$720-EFEITO!$M$720*EFEITO!$Z$720</f>
        <v>485.17113408940259</v>
      </c>
      <c r="O720" s="100">
        <f>$L$720-EFEITO!$O$720*EFEITO!$AA$720</f>
        <v>338.84572963857386</v>
      </c>
      <c r="P720" s="17"/>
      <c r="Q720" s="17"/>
      <c r="R720" s="17"/>
      <c r="S720" s="17"/>
      <c r="T720" s="17"/>
      <c r="U720" s="17"/>
      <c r="V720" s="17"/>
      <c r="W720" s="17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91" t="s">
        <v>27</v>
      </c>
      <c r="B721" s="91" t="s">
        <v>42</v>
      </c>
      <c r="C721" s="91" t="s">
        <v>23</v>
      </c>
      <c r="D721" s="91" t="s">
        <v>43</v>
      </c>
      <c r="E721" s="91" t="s">
        <v>54</v>
      </c>
      <c r="F721" s="91" t="s">
        <v>53</v>
      </c>
      <c r="G721" s="91" t="s">
        <v>25</v>
      </c>
      <c r="H721" s="91" t="s">
        <v>25</v>
      </c>
      <c r="I721" s="99">
        <v>44621</v>
      </c>
      <c r="J721" s="100">
        <f>EFEITO!$J$721*EFEITO!$Y$541</f>
        <v>0</v>
      </c>
      <c r="K721" s="100">
        <f ca="1">EFEITO!$L$721*EFEITO!$Z$541</f>
        <v>3.6317181630623794</v>
      </c>
      <c r="L721" s="100">
        <f>EFEITO!$N$721*EFEITO!$AA$541</f>
        <v>2.5364085048344434</v>
      </c>
      <c r="M721" s="100">
        <f>$J$721-EFEITO!$K$721*EFEITO!$Y$721</f>
        <v>0</v>
      </c>
      <c r="N721" s="100">
        <f ca="1">$K$721-EFEITO!$M$721*EFEITO!$Z$721</f>
        <v>2.2661921337509243</v>
      </c>
      <c r="O721" s="100">
        <f>$L$721-EFEITO!$O$721*EFEITO!$AA$721</f>
        <v>1.5827189070166927</v>
      </c>
      <c r="P721" s="17"/>
      <c r="Q721" s="17"/>
      <c r="R721" s="17"/>
      <c r="S721" s="17"/>
      <c r="T721" s="17"/>
      <c r="U721" s="17"/>
      <c r="V721" s="17"/>
      <c r="W721" s="17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91" t="s">
        <v>55</v>
      </c>
      <c r="B722" s="91" t="s">
        <v>42</v>
      </c>
      <c r="C722" s="91" t="s">
        <v>23</v>
      </c>
      <c r="D722" s="91" t="s">
        <v>43</v>
      </c>
      <c r="E722" s="91" t="s">
        <v>54</v>
      </c>
      <c r="F722" s="91" t="s">
        <v>53</v>
      </c>
      <c r="G722" s="91" t="s">
        <v>25</v>
      </c>
      <c r="H722" s="91" t="s">
        <v>25</v>
      </c>
      <c r="I722" s="99">
        <v>44621</v>
      </c>
      <c r="J722" s="100">
        <f>EFEITO!$J$722*EFEITO!$Y$541</f>
        <v>0</v>
      </c>
      <c r="K722" s="100">
        <f ca="1">EFEITO!$L$722*EFEITO!$Z$541</f>
        <v>3072.7637221474151</v>
      </c>
      <c r="L722" s="100">
        <f>EFEITO!$N$722*EFEITO!$AA$541</f>
        <v>2146.032177681288</v>
      </c>
      <c r="M722" s="100">
        <f>$J$722-EFEITO!$K$722*EFEITO!$Y$722</f>
        <v>0</v>
      </c>
      <c r="N722" s="100">
        <f ca="1">$K$722-EFEITO!$M$722*EFEITO!$Z$722</f>
        <v>184.36582332884473</v>
      </c>
      <c r="O722" s="100">
        <f>$L$722-EFEITO!$O$722*EFEITO!$AA$722</f>
        <v>128.76193066087762</v>
      </c>
      <c r="P722" s="17"/>
      <c r="Q722" s="17"/>
      <c r="R722" s="17"/>
      <c r="S722" s="17"/>
      <c r="T722" s="17"/>
      <c r="U722" s="17"/>
      <c r="V722" s="17"/>
      <c r="W722" s="17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91" t="s">
        <v>21</v>
      </c>
      <c r="B723" s="91" t="s">
        <v>42</v>
      </c>
      <c r="C723" s="91" t="s">
        <v>23</v>
      </c>
      <c r="D723" s="91" t="s">
        <v>43</v>
      </c>
      <c r="E723" s="91" t="s">
        <v>54</v>
      </c>
      <c r="F723" s="91" t="s">
        <v>53</v>
      </c>
      <c r="G723" s="91" t="s">
        <v>25</v>
      </c>
      <c r="H723" s="91" t="s">
        <v>25</v>
      </c>
      <c r="I723" s="99">
        <v>44652</v>
      </c>
      <c r="J723" s="100">
        <f>EFEITO!$J$723*EFEITO!$Y$541</f>
        <v>0</v>
      </c>
      <c r="K723" s="100">
        <f ca="1">EFEITO!$L$723*EFEITO!$Z$541</f>
        <v>1329.8691600741149</v>
      </c>
      <c r="L723" s="100">
        <f>EFEITO!$N$723*EFEITO!$AA$541</f>
        <v>928.78667795210333</v>
      </c>
      <c r="M723" s="100">
        <f>$J$723-EFEITO!$K$723*EFEITO!$Y$723</f>
        <v>0</v>
      </c>
      <c r="N723" s="100">
        <f ca="1">$K$723-EFEITO!$M$723*EFEITO!$Z$723</f>
        <v>829.83835588624765</v>
      </c>
      <c r="O723" s="100">
        <f>$L$723-EFEITO!$O$723*EFEITO!$AA$723</f>
        <v>579.56288704211249</v>
      </c>
      <c r="P723" s="17"/>
      <c r="Q723" s="17"/>
      <c r="R723" s="17"/>
      <c r="S723" s="17"/>
      <c r="T723" s="17"/>
      <c r="U723" s="17"/>
      <c r="V723" s="17"/>
      <c r="W723" s="17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91" t="s">
        <v>55</v>
      </c>
      <c r="B724" s="91" t="s">
        <v>42</v>
      </c>
      <c r="C724" s="91" t="s">
        <v>23</v>
      </c>
      <c r="D724" s="91" t="s">
        <v>43</v>
      </c>
      <c r="E724" s="91" t="s">
        <v>54</v>
      </c>
      <c r="F724" s="91" t="s">
        <v>53</v>
      </c>
      <c r="G724" s="91" t="s">
        <v>25</v>
      </c>
      <c r="H724" s="91" t="s">
        <v>25</v>
      </c>
      <c r="I724" s="99">
        <v>44652</v>
      </c>
      <c r="J724" s="100">
        <f>EFEITO!$J$724*EFEITO!$Y$541</f>
        <v>0</v>
      </c>
      <c r="K724" s="100">
        <f ca="1">EFEITO!$L$724*EFEITO!$Z$541</f>
        <v>3248.7369749576196</v>
      </c>
      <c r="L724" s="100">
        <f>EFEITO!$N$724*EFEITO!$AA$541</f>
        <v>2268.9326988700841</v>
      </c>
      <c r="M724" s="100">
        <f>$J$724-EFEITO!$K$724*EFEITO!$Y$724</f>
        <v>0</v>
      </c>
      <c r="N724" s="100">
        <f ca="1">$K$724-EFEITO!$M$724*EFEITO!$Z$724</f>
        <v>194.92421849745733</v>
      </c>
      <c r="O724" s="100">
        <f>$L$724-EFEITO!$O$724*EFEITO!$AA$724</f>
        <v>136.13596193220565</v>
      </c>
      <c r="P724" s="17"/>
      <c r="Q724" s="17"/>
      <c r="R724" s="17"/>
      <c r="S724" s="17"/>
      <c r="T724" s="17"/>
      <c r="U724" s="17"/>
      <c r="V724" s="17"/>
      <c r="W724" s="17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91" t="s">
        <v>21</v>
      </c>
      <c r="B725" s="91" t="s">
        <v>42</v>
      </c>
      <c r="C725" s="91" t="s">
        <v>23</v>
      </c>
      <c r="D725" s="91" t="s">
        <v>43</v>
      </c>
      <c r="E725" s="91" t="s">
        <v>54</v>
      </c>
      <c r="F725" s="91" t="s">
        <v>53</v>
      </c>
      <c r="G725" s="91" t="s">
        <v>25</v>
      </c>
      <c r="H725" s="91" t="s">
        <v>25</v>
      </c>
      <c r="I725" s="99">
        <v>44682</v>
      </c>
      <c r="J725" s="100">
        <f>EFEITO!$J$725*EFEITO!$Y$541</f>
        <v>0</v>
      </c>
      <c r="K725" s="100">
        <f ca="1">EFEITO!$L$725*EFEITO!$Z$541</f>
        <v>532.54194518360168</v>
      </c>
      <c r="L725" s="100">
        <f>EFEITO!$N$725*EFEITO!$AA$541</f>
        <v>371.92971984526883</v>
      </c>
      <c r="M725" s="100">
        <f>$J$725-EFEITO!$K$725*EFEITO!$Y$725</f>
        <v>0</v>
      </c>
      <c r="N725" s="100">
        <f ca="1">$K$725-EFEITO!$M$725*EFEITO!$Z$725</f>
        <v>332.30617379456748</v>
      </c>
      <c r="O725" s="100">
        <f>$L$725-EFEITO!$O$725*EFEITO!$AA$725</f>
        <v>232.08414518344776</v>
      </c>
      <c r="P725" s="17"/>
      <c r="Q725" s="17"/>
      <c r="R725" s="17"/>
      <c r="S725" s="17"/>
      <c r="T725" s="17"/>
      <c r="U725" s="17"/>
      <c r="V725" s="17"/>
      <c r="W725" s="17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91" t="s">
        <v>55</v>
      </c>
      <c r="B726" s="91" t="s">
        <v>42</v>
      </c>
      <c r="C726" s="91" t="s">
        <v>23</v>
      </c>
      <c r="D726" s="91" t="s">
        <v>43</v>
      </c>
      <c r="E726" s="91" t="s">
        <v>54</v>
      </c>
      <c r="F726" s="91" t="s">
        <v>53</v>
      </c>
      <c r="G726" s="91" t="s">
        <v>25</v>
      </c>
      <c r="H726" s="91" t="s">
        <v>25</v>
      </c>
      <c r="I726" s="99">
        <v>44682</v>
      </c>
      <c r="J726" s="100">
        <f>EFEITO!$J$726*EFEITO!$Y$541</f>
        <v>0</v>
      </c>
      <c r="K726" s="100">
        <f ca="1">EFEITO!$L$726*EFEITO!$Z$541</f>
        <v>2620.1195765511857</v>
      </c>
      <c r="L726" s="100">
        <f>EFEITO!$N$726*EFEITO!$AA$541</f>
        <v>1829.9034449423766</v>
      </c>
      <c r="M726" s="100">
        <f>$J$726-EFEITO!$K$726*EFEITO!$Y$726</f>
        <v>0</v>
      </c>
      <c r="N726" s="100">
        <f ca="1">$K$726-EFEITO!$M$726*EFEITO!$Z$726</f>
        <v>157.20717459307116</v>
      </c>
      <c r="O726" s="100">
        <f>$L$726-EFEITO!$O$726*EFEITO!$AA$726</f>
        <v>109.79420669654269</v>
      </c>
      <c r="P726" s="17"/>
      <c r="Q726" s="17"/>
      <c r="R726" s="17"/>
      <c r="S726" s="17"/>
      <c r="T726" s="17"/>
      <c r="U726" s="17"/>
      <c r="V726" s="17"/>
      <c r="W726" s="17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91" t="s">
        <v>56</v>
      </c>
      <c r="B727" s="91" t="s">
        <v>42</v>
      </c>
      <c r="C727" s="91" t="s">
        <v>23</v>
      </c>
      <c r="D727" s="91" t="s">
        <v>43</v>
      </c>
      <c r="E727" s="91" t="s">
        <v>54</v>
      </c>
      <c r="F727" s="91" t="s">
        <v>53</v>
      </c>
      <c r="G727" s="91" t="s">
        <v>25</v>
      </c>
      <c r="H727" s="91" t="s">
        <v>25</v>
      </c>
      <c r="I727" s="99">
        <v>44713</v>
      </c>
      <c r="J727" s="100">
        <f>EFEITO!$J$727*EFEITO!$Y$541</f>
        <v>0</v>
      </c>
      <c r="K727" s="100">
        <f ca="1">EFEITO!$L$727*EFEITO!$Z$541</f>
        <v>532.54194518360168</v>
      </c>
      <c r="L727" s="100">
        <f>EFEITO!$N$727*EFEITO!$AA$541</f>
        <v>371.92971984526883</v>
      </c>
      <c r="M727" s="100">
        <f>$J$727-EFEITO!$K$727*EFEITO!$Y$727</f>
        <v>0</v>
      </c>
      <c r="N727" s="100">
        <f ca="1">$K$727-EFEITO!$M$727*EFEITO!$Z$727</f>
        <v>332.30617379456748</v>
      </c>
      <c r="O727" s="100">
        <f>$L$727-EFEITO!$O$727*EFEITO!$AA$727</f>
        <v>232.08414518344776</v>
      </c>
      <c r="P727" s="17"/>
      <c r="Q727" s="17"/>
      <c r="R727" s="17"/>
      <c r="S727" s="17"/>
      <c r="T727" s="17"/>
      <c r="U727" s="17"/>
      <c r="V727" s="17"/>
      <c r="W727" s="17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91" t="s">
        <v>56</v>
      </c>
      <c r="B728" s="91" t="s">
        <v>42</v>
      </c>
      <c r="C728" s="91" t="s">
        <v>23</v>
      </c>
      <c r="D728" s="91" t="s">
        <v>43</v>
      </c>
      <c r="E728" s="91" t="s">
        <v>54</v>
      </c>
      <c r="F728" s="91" t="s">
        <v>53</v>
      </c>
      <c r="G728" s="91" t="s">
        <v>25</v>
      </c>
      <c r="H728" s="91" t="s">
        <v>25</v>
      </c>
      <c r="I728" s="99">
        <v>44713</v>
      </c>
      <c r="J728" s="100">
        <f>EFEITO!$J$728*EFEITO!$Y$541</f>
        <v>0</v>
      </c>
      <c r="K728" s="100">
        <f ca="1">EFEITO!$L$728*EFEITO!$Z$541</f>
        <v>2620.1195765511857</v>
      </c>
      <c r="L728" s="100">
        <f>EFEITO!$N$728*EFEITO!$AA$541</f>
        <v>1829.9034449423766</v>
      </c>
      <c r="M728" s="100">
        <f>$J$728-EFEITO!$K$728*EFEITO!$Y$728</f>
        <v>0</v>
      </c>
      <c r="N728" s="100">
        <f ca="1">$K$728-EFEITO!$M$728*EFEITO!$Z$728</f>
        <v>157.20717459307116</v>
      </c>
      <c r="O728" s="100">
        <f>$L$728-EFEITO!$O$728*EFEITO!$AA$728</f>
        <v>109.79420669654269</v>
      </c>
      <c r="P728" s="17"/>
      <c r="Q728" s="17"/>
      <c r="R728" s="17"/>
      <c r="S728" s="17"/>
      <c r="T728" s="17"/>
      <c r="U728" s="17"/>
      <c r="V728" s="17"/>
      <c r="W728" s="17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91" t="s">
        <v>21</v>
      </c>
      <c r="B729" s="91" t="s">
        <v>42</v>
      </c>
      <c r="C729" s="91" t="s">
        <v>23</v>
      </c>
      <c r="D729" s="91" t="s">
        <v>43</v>
      </c>
      <c r="E729" s="91" t="s">
        <v>25</v>
      </c>
      <c r="F729" s="91" t="s">
        <v>25</v>
      </c>
      <c r="G729" s="91" t="s">
        <v>25</v>
      </c>
      <c r="H729" s="91" t="s">
        <v>25</v>
      </c>
      <c r="I729" s="99">
        <v>44378</v>
      </c>
      <c r="J729" s="100">
        <f>EFEITO!$J$729*EFEITO!$Y$541</f>
        <v>0</v>
      </c>
      <c r="K729" s="100">
        <f ca="1">EFEITO!$L$729*EFEITO!$Z$541</f>
        <v>482374.38094764785</v>
      </c>
      <c r="L729" s="100">
        <f>EFEITO!$N$729*EFEITO!$AA$541</f>
        <v>336892.46450725989</v>
      </c>
      <c r="M729" s="100">
        <f>$J$729-EFEITO!$K$729*EFEITO!$Y$729</f>
        <v>0</v>
      </c>
      <c r="N729" s="100">
        <f ca="1">$K$729-EFEITO!$M$729*EFEITO!$Z$729</f>
        <v>28942.462856858852</v>
      </c>
      <c r="O729" s="100">
        <f>$L$729-EFEITO!$O$729*EFEITO!$AA$729</f>
        <v>20213.547870435636</v>
      </c>
      <c r="P729" s="17"/>
      <c r="Q729" s="17"/>
      <c r="R729" s="17"/>
      <c r="S729" s="17"/>
      <c r="T729" s="17"/>
      <c r="U729" s="17"/>
      <c r="V729" s="17"/>
      <c r="W729" s="17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91" t="s">
        <v>27</v>
      </c>
      <c r="B730" s="91" t="s">
        <v>42</v>
      </c>
      <c r="C730" s="91" t="s">
        <v>23</v>
      </c>
      <c r="D730" s="91" t="s">
        <v>43</v>
      </c>
      <c r="E730" s="91" t="s">
        <v>25</v>
      </c>
      <c r="F730" s="91" t="s">
        <v>25</v>
      </c>
      <c r="G730" s="91" t="s">
        <v>25</v>
      </c>
      <c r="H730" s="91" t="s">
        <v>25</v>
      </c>
      <c r="I730" s="99">
        <v>44378</v>
      </c>
      <c r="J730" s="100">
        <f>EFEITO!$J$730*EFEITO!$Y$541</f>
        <v>0</v>
      </c>
      <c r="K730" s="100">
        <f ca="1">EFEITO!$L$730*EFEITO!$Z$541</f>
        <v>-929.38969354732706</v>
      </c>
      <c r="L730" s="100">
        <f>EFEITO!$N$730*EFEITO!$AA$541</f>
        <v>-649.08999464626891</v>
      </c>
      <c r="M730" s="100">
        <f>$J$730-EFEITO!$K$730*EFEITO!$Y$730</f>
        <v>0</v>
      </c>
      <c r="N730" s="100">
        <f ca="1">$K$730-EFEITO!$M$730*EFEITO!$Z$730</f>
        <v>-55.763381612839567</v>
      </c>
      <c r="O730" s="100">
        <f>$L$730-EFEITO!$O$730*EFEITO!$AA$730</f>
        <v>-38.945399678776198</v>
      </c>
      <c r="P730" s="17"/>
      <c r="Q730" s="17"/>
      <c r="R730" s="17"/>
      <c r="S730" s="17"/>
      <c r="T730" s="17"/>
      <c r="U730" s="17"/>
      <c r="V730" s="17"/>
      <c r="W730" s="17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91" t="s">
        <v>21</v>
      </c>
      <c r="B731" s="91" t="s">
        <v>42</v>
      </c>
      <c r="C731" s="91" t="s">
        <v>23</v>
      </c>
      <c r="D731" s="91" t="s">
        <v>43</v>
      </c>
      <c r="E731" s="91" t="s">
        <v>25</v>
      </c>
      <c r="F731" s="91" t="s">
        <v>25</v>
      </c>
      <c r="G731" s="91" t="s">
        <v>25</v>
      </c>
      <c r="H731" s="91" t="s">
        <v>25</v>
      </c>
      <c r="I731" s="99">
        <v>44409</v>
      </c>
      <c r="J731" s="100">
        <f>EFEITO!$J$731*EFEITO!$Y$541</f>
        <v>0</v>
      </c>
      <c r="K731" s="100">
        <f ca="1">EFEITO!$L$731*EFEITO!$Z$541</f>
        <v>478424.39221102255</v>
      </c>
      <c r="L731" s="100">
        <f>EFEITO!$N$731*EFEITO!$AA$541</f>
        <v>334133.77438436542</v>
      </c>
      <c r="M731" s="100">
        <f>$J$731-EFEITO!$K$731*EFEITO!$Y$731</f>
        <v>0</v>
      </c>
      <c r="N731" s="100">
        <f ca="1">$K$731-EFEITO!$M$731*EFEITO!$Z$731</f>
        <v>28705.463532661321</v>
      </c>
      <c r="O731" s="100">
        <f>$L$731-EFEITO!$O$731*EFEITO!$AA$731</f>
        <v>20048.026463061979</v>
      </c>
      <c r="P731" s="17"/>
      <c r="Q731" s="17"/>
      <c r="R731" s="17"/>
      <c r="S731" s="17"/>
      <c r="T731" s="17"/>
      <c r="U731" s="17"/>
      <c r="V731" s="17"/>
      <c r="W731" s="17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91" t="s">
        <v>27</v>
      </c>
      <c r="B732" s="91" t="s">
        <v>42</v>
      </c>
      <c r="C732" s="91" t="s">
        <v>23</v>
      </c>
      <c r="D732" s="91" t="s">
        <v>43</v>
      </c>
      <c r="E732" s="91" t="s">
        <v>25</v>
      </c>
      <c r="F732" s="91" t="s">
        <v>25</v>
      </c>
      <c r="G732" s="91" t="s">
        <v>25</v>
      </c>
      <c r="H732" s="91" t="s">
        <v>25</v>
      </c>
      <c r="I732" s="99">
        <v>44409</v>
      </c>
      <c r="J732" s="100">
        <f>EFEITO!$J$732*EFEITO!$Y$541</f>
        <v>0</v>
      </c>
      <c r="K732" s="100">
        <f ca="1">EFEITO!$L$732*EFEITO!$Z$541</f>
        <v>-1187.241683124756</v>
      </c>
      <c r="L732" s="100">
        <f>EFEITO!$N$732*EFEITO!$AA$541</f>
        <v>-829.17499848951445</v>
      </c>
      <c r="M732" s="100">
        <f>$J$732-EFEITO!$K$732*EFEITO!$Y$732</f>
        <v>0</v>
      </c>
      <c r="N732" s="100">
        <f ca="1">$K$732-EFEITO!$M$732*EFEITO!$Z$732</f>
        <v>-71.234500987485262</v>
      </c>
      <c r="O732" s="100">
        <f>$L$732-EFEITO!$O$732*EFEITO!$AA$732</f>
        <v>-49.750499909371001</v>
      </c>
      <c r="P732" s="17"/>
      <c r="Q732" s="17"/>
      <c r="R732" s="17"/>
      <c r="S732" s="17"/>
      <c r="T732" s="17"/>
      <c r="U732" s="17"/>
      <c r="V732" s="17"/>
      <c r="W732" s="17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91" t="s">
        <v>55</v>
      </c>
      <c r="B733" s="91" t="s">
        <v>42</v>
      </c>
      <c r="C733" s="91" t="s">
        <v>23</v>
      </c>
      <c r="D733" s="91" t="s">
        <v>43</v>
      </c>
      <c r="E733" s="91" t="s">
        <v>25</v>
      </c>
      <c r="F733" s="91" t="s">
        <v>25</v>
      </c>
      <c r="G733" s="91" t="s">
        <v>25</v>
      </c>
      <c r="H733" s="91" t="s">
        <v>25</v>
      </c>
      <c r="I733" s="99">
        <v>44409</v>
      </c>
      <c r="J733" s="100">
        <f>EFEITO!$J$733*EFEITO!$Y$541</f>
        <v>0</v>
      </c>
      <c r="K733" s="100">
        <f ca="1">EFEITO!$L$733*EFEITO!$Z$541</f>
        <v>16699.300426154103</v>
      </c>
      <c r="L733" s="100">
        <f>EFEITO!$N$733*EFEITO!$AA$541</f>
        <v>11662.867470411467</v>
      </c>
      <c r="M733" s="100">
        <f>$J$733-EFEITO!$K$733*EFEITO!$Y$733</f>
        <v>0</v>
      </c>
      <c r="N733" s="100">
        <f ca="1">$K$733-EFEITO!$M$733*EFEITO!$Z$733</f>
        <v>1001.9580255692454</v>
      </c>
      <c r="O733" s="100">
        <f>$L$733-EFEITO!$O$733*EFEITO!$AA$733</f>
        <v>699.77204822468957</v>
      </c>
      <c r="P733" s="17"/>
      <c r="Q733" s="17"/>
      <c r="R733" s="17"/>
      <c r="S733" s="17"/>
      <c r="T733" s="17"/>
      <c r="U733" s="17"/>
      <c r="V733" s="17"/>
      <c r="W733" s="17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91" t="s">
        <v>55</v>
      </c>
      <c r="B734" s="91" t="s">
        <v>42</v>
      </c>
      <c r="C734" s="91" t="s">
        <v>23</v>
      </c>
      <c r="D734" s="91" t="s">
        <v>43</v>
      </c>
      <c r="E734" s="91" t="s">
        <v>25</v>
      </c>
      <c r="F734" s="91" t="s">
        <v>25</v>
      </c>
      <c r="G734" s="91" t="s">
        <v>25</v>
      </c>
      <c r="H734" s="91" t="s">
        <v>25</v>
      </c>
      <c r="I734" s="99">
        <v>44409</v>
      </c>
      <c r="J734" s="100">
        <f>EFEITO!$J$734*EFEITO!$Y$541</f>
        <v>0</v>
      </c>
      <c r="K734" s="100">
        <f ca="1">EFEITO!$L$734*EFEITO!$Z$541</f>
        <v>944.24672239621862</v>
      </c>
      <c r="L734" s="100">
        <f>EFEITO!$N$734*EFEITO!$AA$541</f>
        <v>659.46621125695526</v>
      </c>
      <c r="M734" s="100">
        <f>$J$734-EFEITO!$K$734*EFEITO!$Y$734</f>
        <v>0</v>
      </c>
      <c r="N734" s="100">
        <f ca="1">$K$734-EFEITO!$M$734*EFEITO!$Z$734</f>
        <v>56.654803343773096</v>
      </c>
      <c r="O734" s="100">
        <f>$L$734-EFEITO!$O$734*EFEITO!$AA$734</f>
        <v>39.567972675417423</v>
      </c>
      <c r="P734" s="17"/>
      <c r="Q734" s="17"/>
      <c r="R734" s="17"/>
      <c r="S734" s="17"/>
      <c r="T734" s="17"/>
      <c r="U734" s="17"/>
      <c r="V734" s="17"/>
      <c r="W734" s="17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91" t="s">
        <v>21</v>
      </c>
      <c r="B735" s="91" t="s">
        <v>42</v>
      </c>
      <c r="C735" s="91" t="s">
        <v>23</v>
      </c>
      <c r="D735" s="91" t="s">
        <v>43</v>
      </c>
      <c r="E735" s="91" t="s">
        <v>25</v>
      </c>
      <c r="F735" s="91" t="s">
        <v>25</v>
      </c>
      <c r="G735" s="91" t="s">
        <v>25</v>
      </c>
      <c r="H735" s="91" t="s">
        <v>25</v>
      </c>
      <c r="I735" s="99">
        <v>44440</v>
      </c>
      <c r="J735" s="100">
        <f>EFEITO!$J$735*EFEITO!$Y$541</f>
        <v>0</v>
      </c>
      <c r="K735" s="100">
        <f ca="1">EFEITO!$L$735*EFEITO!$Z$541</f>
        <v>490985.18471226882</v>
      </c>
      <c r="L735" s="100">
        <f>EFEITO!$N$735*EFEITO!$AA$541</f>
        <v>342906.28907222237</v>
      </c>
      <c r="M735" s="100">
        <f>$J$735-EFEITO!$K$735*EFEITO!$Y$735</f>
        <v>0</v>
      </c>
      <c r="N735" s="100">
        <f ca="1">$K$735-EFEITO!$M$735*EFEITO!$Z$735</f>
        <v>29459.11108273617</v>
      </c>
      <c r="O735" s="100">
        <f>$L$735-EFEITO!$O$735*EFEITO!$AA$735</f>
        <v>20574.377344333392</v>
      </c>
      <c r="P735" s="17"/>
      <c r="Q735" s="17"/>
      <c r="R735" s="17"/>
      <c r="S735" s="17"/>
      <c r="T735" s="17"/>
      <c r="U735" s="17"/>
      <c r="V735" s="17"/>
      <c r="W735" s="17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91" t="s">
        <v>27</v>
      </c>
      <c r="B736" s="91" t="s">
        <v>42</v>
      </c>
      <c r="C736" s="91" t="s">
        <v>23</v>
      </c>
      <c r="D736" s="91" t="s">
        <v>43</v>
      </c>
      <c r="E736" s="91" t="s">
        <v>25</v>
      </c>
      <c r="F736" s="91" t="s">
        <v>25</v>
      </c>
      <c r="G736" s="91" t="s">
        <v>25</v>
      </c>
      <c r="H736" s="91" t="s">
        <v>25</v>
      </c>
      <c r="I736" s="99">
        <v>44440</v>
      </c>
      <c r="J736" s="100">
        <f>EFEITO!$J$736*EFEITO!$Y$541</f>
        <v>0</v>
      </c>
      <c r="K736" s="100">
        <f ca="1">EFEITO!$L$736*EFEITO!$Z$541</f>
        <v>-883.16782601744228</v>
      </c>
      <c r="L736" s="100">
        <f>EFEITO!$N$736*EFEITO!$AA$541</f>
        <v>-616.80843185746687</v>
      </c>
      <c r="M736" s="100">
        <f>$J$736-EFEITO!$K$736*EFEITO!$Y$736</f>
        <v>0</v>
      </c>
      <c r="N736" s="100">
        <f ca="1">$K$736-EFEITO!$M$736*EFEITO!$Z$736</f>
        <v>-52.990069561046653</v>
      </c>
      <c r="O736" s="100">
        <f>$L$736-EFEITO!$O$736*EFEITO!$AA$736</f>
        <v>-37.008505911448083</v>
      </c>
      <c r="P736" s="17"/>
      <c r="Q736" s="17"/>
      <c r="R736" s="17"/>
      <c r="S736" s="17"/>
      <c r="T736" s="17"/>
      <c r="U736" s="17"/>
      <c r="V736" s="17"/>
      <c r="W736" s="17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91" t="s">
        <v>55</v>
      </c>
      <c r="B737" s="91" t="s">
        <v>42</v>
      </c>
      <c r="C737" s="91" t="s">
        <v>23</v>
      </c>
      <c r="D737" s="91" t="s">
        <v>43</v>
      </c>
      <c r="E737" s="91" t="s">
        <v>25</v>
      </c>
      <c r="F737" s="91" t="s">
        <v>25</v>
      </c>
      <c r="G737" s="91" t="s">
        <v>25</v>
      </c>
      <c r="H737" s="91" t="s">
        <v>25</v>
      </c>
      <c r="I737" s="99">
        <v>44440</v>
      </c>
      <c r="J737" s="100">
        <f>EFEITO!$J$737*EFEITO!$Y$541</f>
        <v>0</v>
      </c>
      <c r="K737" s="100">
        <f ca="1">EFEITO!$L$737*EFEITO!$Z$541</f>
        <v>14156.107243420514</v>
      </c>
      <c r="L737" s="100">
        <f>EFEITO!$N$737*EFEITO!$AA$541</f>
        <v>9886.689769253313</v>
      </c>
      <c r="M737" s="100">
        <f>$J$737-EFEITO!$K$737*EFEITO!$Y$737</f>
        <v>0</v>
      </c>
      <c r="N737" s="100">
        <f ca="1">$K$737-EFEITO!$M$737*EFEITO!$Z$737</f>
        <v>849.36643460523192</v>
      </c>
      <c r="O737" s="100">
        <f>$L$737-EFEITO!$O$737*EFEITO!$AA$737</f>
        <v>593.20138615520045</v>
      </c>
      <c r="P737" s="17"/>
      <c r="Q737" s="17"/>
      <c r="R737" s="17"/>
      <c r="S737" s="17"/>
      <c r="T737" s="17"/>
      <c r="U737" s="17"/>
      <c r="V737" s="17"/>
      <c r="W737" s="17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91" t="s">
        <v>21</v>
      </c>
      <c r="B738" s="91" t="s">
        <v>42</v>
      </c>
      <c r="C738" s="91" t="s">
        <v>23</v>
      </c>
      <c r="D738" s="91" t="s">
        <v>43</v>
      </c>
      <c r="E738" s="91" t="s">
        <v>25</v>
      </c>
      <c r="F738" s="91" t="s">
        <v>25</v>
      </c>
      <c r="G738" s="91" t="s">
        <v>25</v>
      </c>
      <c r="H738" s="91" t="s">
        <v>25</v>
      </c>
      <c r="I738" s="99">
        <v>44470</v>
      </c>
      <c r="J738" s="100">
        <f>EFEITO!$J$738*EFEITO!$Y$541</f>
        <v>0</v>
      </c>
      <c r="K738" s="100">
        <f ca="1">EFEITO!$L$738*EFEITO!$Z$541</f>
        <v>485815.59898524778</v>
      </c>
      <c r="L738" s="100">
        <f>EFEITO!$N$738*EFEITO!$AA$541</f>
        <v>339295.82685688621</v>
      </c>
      <c r="M738" s="100">
        <f>$J$738-EFEITO!$K$738*EFEITO!$Y$738</f>
        <v>0</v>
      </c>
      <c r="N738" s="100">
        <f ca="1">$K$738-EFEITO!$M$738*EFEITO!$Z$738</f>
        <v>29148.93593911489</v>
      </c>
      <c r="O738" s="100">
        <f>$L$738-EFEITO!$O$738*EFEITO!$AA$738</f>
        <v>20357.749611413223</v>
      </c>
      <c r="P738" s="17"/>
      <c r="Q738" s="17"/>
      <c r="R738" s="17"/>
      <c r="S738" s="17"/>
      <c r="T738" s="17"/>
      <c r="U738" s="17"/>
      <c r="V738" s="17"/>
      <c r="W738" s="17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91" t="s">
        <v>27</v>
      </c>
      <c r="B739" s="91" t="s">
        <v>42</v>
      </c>
      <c r="C739" s="91" t="s">
        <v>23</v>
      </c>
      <c r="D739" s="91" t="s">
        <v>43</v>
      </c>
      <c r="E739" s="91" t="s">
        <v>25</v>
      </c>
      <c r="F739" s="91" t="s">
        <v>25</v>
      </c>
      <c r="G739" s="91" t="s">
        <v>25</v>
      </c>
      <c r="H739" s="91" t="s">
        <v>25</v>
      </c>
      <c r="I739" s="99">
        <v>44470</v>
      </c>
      <c r="J739" s="100">
        <f>EFEITO!$J$739*EFEITO!$Y$541</f>
        <v>0</v>
      </c>
      <c r="K739" s="100">
        <f ca="1">EFEITO!$L$739*EFEITO!$Z$541</f>
        <v>-177.62403379341458</v>
      </c>
      <c r="L739" s="100">
        <f>EFEITO!$N$739*EFEITO!$AA$541</f>
        <v>-124.05343414553914</v>
      </c>
      <c r="M739" s="100">
        <f>$J$739-EFEITO!$K$739*EFEITO!$Y$739</f>
        <v>0</v>
      </c>
      <c r="N739" s="100">
        <f ca="1">$K$739-EFEITO!$M$739*EFEITO!$Z$739</f>
        <v>-10.657442027604901</v>
      </c>
      <c r="O739" s="100">
        <f>$L$739-EFEITO!$O$739*EFEITO!$AA$739</f>
        <v>-7.4432060487323497</v>
      </c>
      <c r="P739" s="17"/>
      <c r="Q739" s="17"/>
      <c r="R739" s="17"/>
      <c r="S739" s="17"/>
      <c r="T739" s="17"/>
      <c r="U739" s="17"/>
      <c r="V739" s="17"/>
      <c r="W739" s="17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91" t="s">
        <v>55</v>
      </c>
      <c r="B740" s="91" t="s">
        <v>42</v>
      </c>
      <c r="C740" s="91" t="s">
        <v>23</v>
      </c>
      <c r="D740" s="91" t="s">
        <v>43</v>
      </c>
      <c r="E740" s="91" t="s">
        <v>25</v>
      </c>
      <c r="F740" s="91" t="s">
        <v>25</v>
      </c>
      <c r="G740" s="91" t="s">
        <v>25</v>
      </c>
      <c r="H740" s="91" t="s">
        <v>25</v>
      </c>
      <c r="I740" s="99">
        <v>44470</v>
      </c>
      <c r="J740" s="100">
        <f>EFEITO!$J$740*EFEITO!$Y$541</f>
        <v>0</v>
      </c>
      <c r="K740" s="100">
        <f ca="1">EFEITO!$L$740*EFEITO!$Z$541</f>
        <v>50663.458843310123</v>
      </c>
      <c r="L740" s="100">
        <f>EFEITO!$N$740*EFEITO!$AA$541</f>
        <v>35383.590390214529</v>
      </c>
      <c r="M740" s="100">
        <f>$J$740-EFEITO!$K$740*EFEITO!$Y$740</f>
        <v>0</v>
      </c>
      <c r="N740" s="100">
        <f ca="1">$K$740-EFEITO!$M$740*EFEITO!$Z$740</f>
        <v>3039.8075305986131</v>
      </c>
      <c r="O740" s="100">
        <f>$L$740-EFEITO!$O$740*EFEITO!$AA$740</f>
        <v>2123.0154234128713</v>
      </c>
      <c r="P740" s="17"/>
      <c r="Q740" s="17"/>
      <c r="R740" s="17"/>
      <c r="S740" s="17"/>
      <c r="T740" s="17"/>
      <c r="U740" s="17"/>
      <c r="V740" s="17"/>
      <c r="W740" s="17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91" t="s">
        <v>55</v>
      </c>
      <c r="B741" s="91" t="s">
        <v>42</v>
      </c>
      <c r="C741" s="91" t="s">
        <v>23</v>
      </c>
      <c r="D741" s="91" t="s">
        <v>43</v>
      </c>
      <c r="E741" s="91" t="s">
        <v>25</v>
      </c>
      <c r="F741" s="91" t="s">
        <v>25</v>
      </c>
      <c r="G741" s="91" t="s">
        <v>25</v>
      </c>
      <c r="H741" s="91" t="s">
        <v>25</v>
      </c>
      <c r="I741" s="99">
        <v>44470</v>
      </c>
      <c r="J741" s="100">
        <f>EFEITO!$J$741*EFEITO!$Y$541</f>
        <v>0</v>
      </c>
      <c r="K741" s="100">
        <f ca="1">EFEITO!$L$741*EFEITO!$Z$541</f>
        <v>-32904.357025935082</v>
      </c>
      <c r="L741" s="100">
        <f>EFEITO!$N$741*EFEITO!$AA$541</f>
        <v>-22980.552801574104</v>
      </c>
      <c r="M741" s="100">
        <f>$J$741-EFEITO!$K$741*EFEITO!$Y$741</f>
        <v>0</v>
      </c>
      <c r="N741" s="100">
        <f ca="1">$K$741-EFEITO!$M$741*EFEITO!$Z$741</f>
        <v>-1974.2614215561043</v>
      </c>
      <c r="O741" s="100">
        <f>$L$741-EFEITO!$O$741*EFEITO!$AA$741</f>
        <v>-1378.8331680944502</v>
      </c>
      <c r="P741" s="17"/>
      <c r="Q741" s="17"/>
      <c r="R741" s="17"/>
      <c r="S741" s="17"/>
      <c r="T741" s="17"/>
      <c r="U741" s="17"/>
      <c r="V741" s="17"/>
      <c r="W741" s="17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91" t="s">
        <v>21</v>
      </c>
      <c r="B742" s="91" t="s">
        <v>42</v>
      </c>
      <c r="C742" s="91" t="s">
        <v>23</v>
      </c>
      <c r="D742" s="91" t="s">
        <v>43</v>
      </c>
      <c r="E742" s="91" t="s">
        <v>25</v>
      </c>
      <c r="F742" s="91" t="s">
        <v>25</v>
      </c>
      <c r="G742" s="91" t="s">
        <v>25</v>
      </c>
      <c r="H742" s="91" t="s">
        <v>25</v>
      </c>
      <c r="I742" s="99">
        <v>44501</v>
      </c>
      <c r="J742" s="100">
        <f>EFEITO!$J$742*EFEITO!$Y$541</f>
        <v>0</v>
      </c>
      <c r="K742" s="100">
        <f ca="1">EFEITO!$L$742*EFEITO!$Z$541</f>
        <v>490756.71662419249</v>
      </c>
      <c r="L742" s="100">
        <f>EFEITO!$N$742*EFEITO!$AA$541</f>
        <v>342746.72591900913</v>
      </c>
      <c r="M742" s="100">
        <f>$J$742-EFEITO!$K$742*EFEITO!$Y$742</f>
        <v>0</v>
      </c>
      <c r="N742" s="100">
        <f ca="1">$K$742-EFEITO!$M$742*EFEITO!$Z$742</f>
        <v>29445.402997451543</v>
      </c>
      <c r="O742" s="100">
        <f>$L$742-EFEITO!$O$742*EFEITO!$AA$742</f>
        <v>20564.803555140563</v>
      </c>
      <c r="P742" s="17"/>
      <c r="Q742" s="17"/>
      <c r="R742" s="17"/>
      <c r="S742" s="17"/>
      <c r="T742" s="17"/>
      <c r="U742" s="17"/>
      <c r="V742" s="17"/>
      <c r="W742" s="17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91" t="s">
        <v>27</v>
      </c>
      <c r="B743" s="91" t="s">
        <v>42</v>
      </c>
      <c r="C743" s="91" t="s">
        <v>23</v>
      </c>
      <c r="D743" s="91" t="s">
        <v>43</v>
      </c>
      <c r="E743" s="91" t="s">
        <v>25</v>
      </c>
      <c r="F743" s="91" t="s">
        <v>25</v>
      </c>
      <c r="G743" s="91" t="s">
        <v>25</v>
      </c>
      <c r="H743" s="91" t="s">
        <v>25</v>
      </c>
      <c r="I743" s="99">
        <v>44501</v>
      </c>
      <c r="J743" s="100">
        <f>EFEITO!$J$743*EFEITO!$Y$541</f>
        <v>0</v>
      </c>
      <c r="K743" s="100">
        <f ca="1">EFEITO!$L$743*EFEITO!$Z$541</f>
        <v>-2640.9194169396337</v>
      </c>
      <c r="L743" s="100">
        <f>EFEITO!$N$743*EFEITO!$AA$541</f>
        <v>-1844.4301481973375</v>
      </c>
      <c r="M743" s="100">
        <f>$J$743-EFEITO!$K$743*EFEITO!$Y$743</f>
        <v>0</v>
      </c>
      <c r="N743" s="100">
        <f ca="1">$K$743-EFEITO!$M$743*EFEITO!$Z$743</f>
        <v>-158.45516501637803</v>
      </c>
      <c r="O743" s="100">
        <f>$L$743-EFEITO!$O$743*EFEITO!$AA$743</f>
        <v>-110.66580889184047</v>
      </c>
      <c r="P743" s="17"/>
      <c r="Q743" s="17"/>
      <c r="R743" s="17"/>
      <c r="S743" s="17"/>
      <c r="T743" s="17"/>
      <c r="U743" s="17"/>
      <c r="V743" s="17"/>
      <c r="W743" s="17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91" t="s">
        <v>55</v>
      </c>
      <c r="B744" s="91" t="s">
        <v>42</v>
      </c>
      <c r="C744" s="91" t="s">
        <v>23</v>
      </c>
      <c r="D744" s="91" t="s">
        <v>43</v>
      </c>
      <c r="E744" s="91" t="s">
        <v>25</v>
      </c>
      <c r="F744" s="91" t="s">
        <v>25</v>
      </c>
      <c r="G744" s="91" t="s">
        <v>25</v>
      </c>
      <c r="H744" s="91" t="s">
        <v>25</v>
      </c>
      <c r="I744" s="99">
        <v>44501</v>
      </c>
      <c r="J744" s="100">
        <f>EFEITO!$J$744*EFEITO!$Y$541</f>
        <v>0</v>
      </c>
      <c r="K744" s="100">
        <f ca="1">EFEITO!$L$744*EFEITO!$Z$541</f>
        <v>15969.985387771852</v>
      </c>
      <c r="L744" s="100">
        <f>EFEITO!$N$744*EFEITO!$AA$541</f>
        <v>11153.510526122443</v>
      </c>
      <c r="M744" s="100">
        <f>$J$744-EFEITO!$K$744*EFEITO!$Y$744</f>
        <v>0</v>
      </c>
      <c r="N744" s="100">
        <f ca="1">$K$744-EFEITO!$M$744*EFEITO!$Z$744</f>
        <v>958.19912326631311</v>
      </c>
      <c r="O744" s="100">
        <f>$L$744-EFEITO!$O$744*EFEITO!$AA$744</f>
        <v>669.21063156734817</v>
      </c>
      <c r="P744" s="17"/>
      <c r="Q744" s="17"/>
      <c r="R744" s="17"/>
      <c r="S744" s="17"/>
      <c r="T744" s="17"/>
      <c r="U744" s="17"/>
      <c r="V744" s="17"/>
      <c r="W744" s="17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91" t="s">
        <v>55</v>
      </c>
      <c r="B745" s="91" t="s">
        <v>42</v>
      </c>
      <c r="C745" s="91" t="s">
        <v>23</v>
      </c>
      <c r="D745" s="91" t="s">
        <v>43</v>
      </c>
      <c r="E745" s="91" t="s">
        <v>25</v>
      </c>
      <c r="F745" s="91" t="s">
        <v>25</v>
      </c>
      <c r="G745" s="91" t="s">
        <v>25</v>
      </c>
      <c r="H745" s="91" t="s">
        <v>25</v>
      </c>
      <c r="I745" s="99">
        <v>44501</v>
      </c>
      <c r="J745" s="100">
        <f>EFEITO!$J$745*EFEITO!$Y$541</f>
        <v>0</v>
      </c>
      <c r="K745" s="100">
        <f ca="1">EFEITO!$L$745*EFEITO!$Z$541</f>
        <v>-138.99575878629653</v>
      </c>
      <c r="L745" s="100">
        <f>EFEITO!$N$745*EFEITO!$AA$541</f>
        <v>-97.075270957754597</v>
      </c>
      <c r="M745" s="100">
        <f>$J$745-EFEITO!$K$745*EFEITO!$Y$745</f>
        <v>0</v>
      </c>
      <c r="N745" s="100">
        <f ca="1">$K$745-EFEITO!$M$745*EFEITO!$Z$745</f>
        <v>-8.3397455271777972</v>
      </c>
      <c r="O745" s="100">
        <f>$L$745-EFEITO!$O$745*EFEITO!$AA$745</f>
        <v>-5.8245162574652767</v>
      </c>
      <c r="P745" s="17"/>
      <c r="Q745" s="17"/>
      <c r="R745" s="17"/>
      <c r="S745" s="17"/>
      <c r="T745" s="17"/>
      <c r="U745" s="17"/>
      <c r="V745" s="17"/>
      <c r="W745" s="17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91" t="s">
        <v>21</v>
      </c>
      <c r="B746" s="91" t="s">
        <v>42</v>
      </c>
      <c r="C746" s="91" t="s">
        <v>23</v>
      </c>
      <c r="D746" s="91" t="s">
        <v>43</v>
      </c>
      <c r="E746" s="91" t="s">
        <v>25</v>
      </c>
      <c r="F746" s="91" t="s">
        <v>25</v>
      </c>
      <c r="G746" s="91" t="s">
        <v>25</v>
      </c>
      <c r="H746" s="91" t="s">
        <v>25</v>
      </c>
      <c r="I746" s="99">
        <v>44531</v>
      </c>
      <c r="J746" s="100">
        <f>EFEITO!$J$746*EFEITO!$Y$541</f>
        <v>0</v>
      </c>
      <c r="K746" s="100">
        <f ca="1">EFEITO!$L$746*EFEITO!$Z$541</f>
        <v>490422.2683969941</v>
      </c>
      <c r="L746" s="100">
        <f>EFEITO!$N$746*EFEITO!$AA$541</f>
        <v>342513.14575397299</v>
      </c>
      <c r="M746" s="100">
        <f>$J$746-EFEITO!$K$746*EFEITO!$Y$746</f>
        <v>0</v>
      </c>
      <c r="N746" s="100">
        <f ca="1">$K$746-EFEITO!$M$746*EFEITO!$Z$746</f>
        <v>29425.33610381966</v>
      </c>
      <c r="O746" s="100">
        <f>$L$746-EFEITO!$O$746*EFEITO!$AA$746</f>
        <v>20550.788745238387</v>
      </c>
      <c r="P746" s="17"/>
      <c r="Q746" s="17"/>
      <c r="R746" s="17"/>
      <c r="S746" s="17"/>
      <c r="T746" s="17"/>
      <c r="U746" s="17"/>
      <c r="V746" s="17"/>
      <c r="W746" s="17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91" t="s">
        <v>27</v>
      </c>
      <c r="B747" s="91" t="s">
        <v>42</v>
      </c>
      <c r="C747" s="91" t="s">
        <v>23</v>
      </c>
      <c r="D747" s="91" t="s">
        <v>43</v>
      </c>
      <c r="E747" s="91" t="s">
        <v>25</v>
      </c>
      <c r="F747" s="91" t="s">
        <v>25</v>
      </c>
      <c r="G747" s="91" t="s">
        <v>25</v>
      </c>
      <c r="H747" s="91" t="s">
        <v>25</v>
      </c>
      <c r="I747" s="99">
        <v>44531</v>
      </c>
      <c r="J747" s="100">
        <f>EFEITO!$J$747*EFEITO!$Y$541</f>
        <v>0</v>
      </c>
      <c r="K747" s="100">
        <f ca="1">EFEITO!$L$747*EFEITO!$Z$541</f>
        <v>-1596.9655231575207</v>
      </c>
      <c r="L747" s="100">
        <f>EFEITO!$N$747*EFEITO!$AA$541</f>
        <v>-1115.3279943531093</v>
      </c>
      <c r="M747" s="100">
        <f>$J$747-EFEITO!$K$747*EFEITO!$Y$747</f>
        <v>0</v>
      </c>
      <c r="N747" s="100">
        <f ca="1">$K$747-EFEITO!$M$747*EFEITO!$Z$747</f>
        <v>-95.817931389451132</v>
      </c>
      <c r="O747" s="100">
        <f>$L$747-EFEITO!$O$747*EFEITO!$AA$747</f>
        <v>-66.919679661186592</v>
      </c>
      <c r="P747" s="17"/>
      <c r="Q747" s="17"/>
      <c r="R747" s="17"/>
      <c r="S747" s="17"/>
      <c r="T747" s="17"/>
      <c r="U747" s="17"/>
      <c r="V747" s="17"/>
      <c r="W747" s="17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91" t="s">
        <v>55</v>
      </c>
      <c r="B748" s="91" t="s">
        <v>42</v>
      </c>
      <c r="C748" s="91" t="s">
        <v>23</v>
      </c>
      <c r="D748" s="91" t="s">
        <v>43</v>
      </c>
      <c r="E748" s="91" t="s">
        <v>25</v>
      </c>
      <c r="F748" s="91" t="s">
        <v>25</v>
      </c>
      <c r="G748" s="91" t="s">
        <v>25</v>
      </c>
      <c r="H748" s="91" t="s">
        <v>25</v>
      </c>
      <c r="I748" s="99">
        <v>44531</v>
      </c>
      <c r="J748" s="100">
        <f>EFEITO!$J$748*EFEITO!$Y$541</f>
        <v>0</v>
      </c>
      <c r="K748" s="100">
        <f ca="1">EFEITO!$L$748*EFEITO!$Z$541</f>
        <v>18046.337708453604</v>
      </c>
      <c r="L748" s="100">
        <f>EFEITO!$N$748*EFEITO!$AA$541</f>
        <v>12603.644443113697</v>
      </c>
      <c r="M748" s="100">
        <f>$J$748-EFEITO!$K$748*EFEITO!$Y$748</f>
        <v>0</v>
      </c>
      <c r="N748" s="100">
        <f ca="1">$K$748-EFEITO!$M$748*EFEITO!$Z$748</f>
        <v>1082.7802625072145</v>
      </c>
      <c r="O748" s="100">
        <f>$L$748-EFEITO!$O$748*EFEITO!$AA$748</f>
        <v>756.21866658682302</v>
      </c>
      <c r="P748" s="17"/>
      <c r="Q748" s="17"/>
      <c r="R748" s="17"/>
      <c r="S748" s="17"/>
      <c r="T748" s="17"/>
      <c r="U748" s="17"/>
      <c r="V748" s="17"/>
      <c r="W748" s="17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91" t="s">
        <v>55</v>
      </c>
      <c r="B749" s="91" t="s">
        <v>42</v>
      </c>
      <c r="C749" s="91" t="s">
        <v>23</v>
      </c>
      <c r="D749" s="91" t="s">
        <v>43</v>
      </c>
      <c r="E749" s="91" t="s">
        <v>25</v>
      </c>
      <c r="F749" s="91" t="s">
        <v>25</v>
      </c>
      <c r="G749" s="91" t="s">
        <v>25</v>
      </c>
      <c r="H749" s="91" t="s">
        <v>25</v>
      </c>
      <c r="I749" s="99">
        <v>44531</v>
      </c>
      <c r="J749" s="100">
        <f>EFEITO!$J$749*EFEITO!$Y$541</f>
        <v>0</v>
      </c>
      <c r="K749" s="100">
        <f ca="1">EFEITO!$L$749*EFEITO!$Z$541</f>
        <v>-1286.6186983140085</v>
      </c>
      <c r="L749" s="100">
        <f>EFEITO!$N$749*EFEITO!$AA$541</f>
        <v>-898.58035848543864</v>
      </c>
      <c r="M749" s="100">
        <f>$J$749-EFEITO!$K$749*EFEITO!$Y$749</f>
        <v>0</v>
      </c>
      <c r="N749" s="100">
        <f ca="1">$K$749-EFEITO!$M$749*EFEITO!$Z$749</f>
        <v>-77.197121898840578</v>
      </c>
      <c r="O749" s="100">
        <f>$L$749-EFEITO!$O$749*EFEITO!$AA$749</f>
        <v>-53.914821509126341</v>
      </c>
      <c r="P749" s="17"/>
      <c r="Q749" s="17"/>
      <c r="R749" s="17"/>
      <c r="S749" s="17"/>
      <c r="T749" s="17"/>
      <c r="U749" s="17"/>
      <c r="V749" s="17"/>
      <c r="W749" s="17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91" t="s">
        <v>21</v>
      </c>
      <c r="B750" s="91" t="s">
        <v>42</v>
      </c>
      <c r="C750" s="91" t="s">
        <v>23</v>
      </c>
      <c r="D750" s="91" t="s">
        <v>43</v>
      </c>
      <c r="E750" s="91" t="s">
        <v>25</v>
      </c>
      <c r="F750" s="91" t="s">
        <v>25</v>
      </c>
      <c r="G750" s="91" t="s">
        <v>25</v>
      </c>
      <c r="H750" s="91" t="s">
        <v>25</v>
      </c>
      <c r="I750" s="99">
        <v>44562</v>
      </c>
      <c r="J750" s="100">
        <f>EFEITO!$J$750*EFEITO!$Y$541</f>
        <v>0</v>
      </c>
      <c r="K750" s="100">
        <f ca="1">EFEITO!$L$750*EFEITO!$Z$541</f>
        <v>529055.8259032584</v>
      </c>
      <c r="L750" s="100">
        <f>EFEITO!$N$750*EFEITO!$AA$541</f>
        <v>369494.99826321914</v>
      </c>
      <c r="M750" s="100">
        <f>$J$750-EFEITO!$K$750*EFEITO!$Y$750</f>
        <v>0</v>
      </c>
      <c r="N750" s="100">
        <f ca="1">$K$750-EFEITO!$M$750*EFEITO!$Z$750</f>
        <v>31743.349554195476</v>
      </c>
      <c r="O750" s="100">
        <f>$L$750-EFEITO!$O$750*EFEITO!$AA$750</f>
        <v>22169.699895793223</v>
      </c>
      <c r="P750" s="17"/>
      <c r="Q750" s="17"/>
      <c r="R750" s="17"/>
      <c r="S750" s="17"/>
      <c r="T750" s="17"/>
      <c r="U750" s="17"/>
      <c r="V750" s="17"/>
      <c r="W750" s="17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91" t="s">
        <v>27</v>
      </c>
      <c r="B751" s="91" t="s">
        <v>42</v>
      </c>
      <c r="C751" s="91" t="s">
        <v>23</v>
      </c>
      <c r="D751" s="91" t="s">
        <v>43</v>
      </c>
      <c r="E751" s="91" t="s">
        <v>25</v>
      </c>
      <c r="F751" s="91" t="s">
        <v>25</v>
      </c>
      <c r="G751" s="91" t="s">
        <v>25</v>
      </c>
      <c r="H751" s="91" t="s">
        <v>25</v>
      </c>
      <c r="I751" s="99">
        <v>44562</v>
      </c>
      <c r="J751" s="100">
        <f>EFEITO!$J$751*EFEITO!$Y$541</f>
        <v>0</v>
      </c>
      <c r="K751" s="100">
        <f ca="1">EFEITO!$L$751*EFEITO!$Z$541</f>
        <v>-19917.66303102066</v>
      </c>
      <c r="L751" s="100">
        <f>EFEITO!$N$751*EFEITO!$AA$541</f>
        <v>-13910.586570877484</v>
      </c>
      <c r="M751" s="100">
        <f>$J$751-EFEITO!$K$751*EFEITO!$Y$751</f>
        <v>0</v>
      </c>
      <c r="N751" s="100">
        <f ca="1">$K$751-EFEITO!$M$751*EFEITO!$Z$751</f>
        <v>-1195.0597818612405</v>
      </c>
      <c r="O751" s="100">
        <f>$L$751-EFEITO!$O$751*EFEITO!$AA$751</f>
        <v>-834.63519425265076</v>
      </c>
      <c r="P751" s="17"/>
      <c r="Q751" s="17"/>
      <c r="R751" s="17"/>
      <c r="S751" s="17"/>
      <c r="T751" s="17"/>
      <c r="U751" s="17"/>
      <c r="V751" s="17"/>
      <c r="W751" s="17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91" t="s">
        <v>55</v>
      </c>
      <c r="B752" s="91" t="s">
        <v>42</v>
      </c>
      <c r="C752" s="91" t="s">
        <v>23</v>
      </c>
      <c r="D752" s="91" t="s">
        <v>43</v>
      </c>
      <c r="E752" s="91" t="s">
        <v>25</v>
      </c>
      <c r="F752" s="91" t="s">
        <v>25</v>
      </c>
      <c r="G752" s="91" t="s">
        <v>25</v>
      </c>
      <c r="H752" s="91" t="s">
        <v>25</v>
      </c>
      <c r="I752" s="99">
        <v>44562</v>
      </c>
      <c r="J752" s="100">
        <f>EFEITO!$J$752*EFEITO!$Y$541</f>
        <v>0</v>
      </c>
      <c r="K752" s="100">
        <f ca="1">EFEITO!$L$752*EFEITO!$Z$541</f>
        <v>15938.9507052875</v>
      </c>
      <c r="L752" s="100">
        <f>EFEITO!$N$752*EFEITO!$AA$541</f>
        <v>11131.835762535675</v>
      </c>
      <c r="M752" s="100">
        <f>$J$752-EFEITO!$K$752*EFEITO!$Y$752</f>
        <v>0</v>
      </c>
      <c r="N752" s="100">
        <f ca="1">$K$752-EFEITO!$M$752*EFEITO!$Z$752</f>
        <v>956.33704231725096</v>
      </c>
      <c r="O752" s="100">
        <f>$L$752-EFEITO!$O$752*EFEITO!$AA$752</f>
        <v>667.91014575214103</v>
      </c>
      <c r="P752" s="17"/>
      <c r="Q752" s="17"/>
      <c r="R752" s="17"/>
      <c r="S752" s="17"/>
      <c r="T752" s="17"/>
      <c r="U752" s="17"/>
      <c r="V752" s="17"/>
      <c r="W752" s="17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91" t="s">
        <v>21</v>
      </c>
      <c r="B753" s="91" t="s">
        <v>42</v>
      </c>
      <c r="C753" s="91" t="s">
        <v>23</v>
      </c>
      <c r="D753" s="91" t="s">
        <v>43</v>
      </c>
      <c r="E753" s="91" t="s">
        <v>25</v>
      </c>
      <c r="F753" s="91" t="s">
        <v>25</v>
      </c>
      <c r="G753" s="91" t="s">
        <v>25</v>
      </c>
      <c r="H753" s="91" t="s">
        <v>25</v>
      </c>
      <c r="I753" s="99">
        <v>44593</v>
      </c>
      <c r="J753" s="100">
        <f>EFEITO!$J$753*EFEITO!$Y$541</f>
        <v>0</v>
      </c>
      <c r="K753" s="100">
        <f ca="1">EFEITO!$L$753*EFEITO!$Z$541</f>
        <v>608104.79390906403</v>
      </c>
      <c r="L753" s="100">
        <f>EFEITO!$N$753*EFEITO!$AA$541</f>
        <v>424703.15752721962</v>
      </c>
      <c r="M753" s="100">
        <f>$J$753-EFEITO!$K$753*EFEITO!$Y$753</f>
        <v>0</v>
      </c>
      <c r="N753" s="100">
        <f ca="1">$K$753-EFEITO!$M$753*EFEITO!$Z$753</f>
        <v>36486.287634543842</v>
      </c>
      <c r="O753" s="100">
        <f>$L$753-EFEITO!$O$753*EFEITO!$AA$753</f>
        <v>25482.189451633196</v>
      </c>
      <c r="P753" s="17"/>
      <c r="Q753" s="17"/>
      <c r="R753" s="17"/>
      <c r="S753" s="17"/>
      <c r="T753" s="17"/>
      <c r="U753" s="17"/>
      <c r="V753" s="17"/>
      <c r="W753" s="17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91" t="s">
        <v>27</v>
      </c>
      <c r="B754" s="91" t="s">
        <v>42</v>
      </c>
      <c r="C754" s="91" t="s">
        <v>23</v>
      </c>
      <c r="D754" s="91" t="s">
        <v>43</v>
      </c>
      <c r="E754" s="91" t="s">
        <v>25</v>
      </c>
      <c r="F754" s="91" t="s">
        <v>25</v>
      </c>
      <c r="G754" s="91" t="s">
        <v>25</v>
      </c>
      <c r="H754" s="91" t="s">
        <v>25</v>
      </c>
      <c r="I754" s="99">
        <v>44593</v>
      </c>
      <c r="J754" s="100">
        <f>EFEITO!$J$754*EFEITO!$Y$541</f>
        <v>0</v>
      </c>
      <c r="K754" s="100">
        <f ca="1">EFEITO!$L$754*EFEITO!$Z$541</f>
        <v>-601.87474647842885</v>
      </c>
      <c r="L754" s="100">
        <f>EFEITO!$N$754*EFEITO!$AA$541</f>
        <v>-420.35206402847183</v>
      </c>
      <c r="M754" s="100">
        <f>$J$754-EFEITO!$K$754*EFEITO!$Y$754</f>
        <v>0</v>
      </c>
      <c r="N754" s="100">
        <f ca="1">$K$754-EFEITO!$M$754*EFEITO!$Z$754</f>
        <v>-36.112484788705729</v>
      </c>
      <c r="O754" s="100">
        <f>$L$754-EFEITO!$O$754*EFEITO!$AA$754</f>
        <v>-25.221123841708334</v>
      </c>
      <c r="P754" s="17"/>
      <c r="Q754" s="17"/>
      <c r="R754" s="17"/>
      <c r="S754" s="17"/>
      <c r="T754" s="17"/>
      <c r="U754" s="17"/>
      <c r="V754" s="17"/>
      <c r="W754" s="17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91" t="s">
        <v>55</v>
      </c>
      <c r="B755" s="91" t="s">
        <v>42</v>
      </c>
      <c r="C755" s="91" t="s">
        <v>23</v>
      </c>
      <c r="D755" s="91" t="s">
        <v>43</v>
      </c>
      <c r="E755" s="91" t="s">
        <v>25</v>
      </c>
      <c r="F755" s="91" t="s">
        <v>25</v>
      </c>
      <c r="G755" s="91" t="s">
        <v>25</v>
      </c>
      <c r="H755" s="91" t="s">
        <v>25</v>
      </c>
      <c r="I755" s="99">
        <v>44593</v>
      </c>
      <c r="J755" s="100">
        <f>EFEITO!$J$755*EFEITO!$Y$541</f>
        <v>0</v>
      </c>
      <c r="K755" s="100">
        <f ca="1">EFEITO!$L$755*EFEITO!$Z$541</f>
        <v>18419.744366855746</v>
      </c>
      <c r="L755" s="100">
        <f>EFEITO!$N$755*EFEITO!$AA$541</f>
        <v>12864.433353928947</v>
      </c>
      <c r="M755" s="100">
        <f>$J$755-EFEITO!$K$755*EFEITO!$Y$755</f>
        <v>0</v>
      </c>
      <c r="N755" s="100">
        <f ca="1">$K$755-EFEITO!$M$755*EFEITO!$Z$755</f>
        <v>1105.1846620113465</v>
      </c>
      <c r="O755" s="100">
        <f>$L$755-EFEITO!$O$755*EFEITO!$AA$755</f>
        <v>771.86600123573771</v>
      </c>
      <c r="P755" s="17"/>
      <c r="Q755" s="17"/>
      <c r="R755" s="17"/>
      <c r="S755" s="17"/>
      <c r="T755" s="17"/>
      <c r="U755" s="17"/>
      <c r="V755" s="17"/>
      <c r="W755" s="17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91" t="s">
        <v>21</v>
      </c>
      <c r="B756" s="91" t="s">
        <v>42</v>
      </c>
      <c r="C756" s="91" t="s">
        <v>23</v>
      </c>
      <c r="D756" s="91" t="s">
        <v>43</v>
      </c>
      <c r="E756" s="91" t="s">
        <v>25</v>
      </c>
      <c r="F756" s="91" t="s">
        <v>25</v>
      </c>
      <c r="G756" s="91" t="s">
        <v>25</v>
      </c>
      <c r="H756" s="91" t="s">
        <v>25</v>
      </c>
      <c r="I756" s="99">
        <v>44621</v>
      </c>
      <c r="J756" s="100">
        <f>EFEITO!$J$756*EFEITO!$Y$541</f>
        <v>0</v>
      </c>
      <c r="K756" s="100">
        <f ca="1">EFEITO!$L$756*EFEITO!$Z$541</f>
        <v>481007.53429354989</v>
      </c>
      <c r="L756" s="100">
        <f>EFEITO!$N$756*EFEITO!$AA$541</f>
        <v>335937.85257907677</v>
      </c>
      <c r="M756" s="100">
        <f>$J$756-EFEITO!$K$756*EFEITO!$Y$756</f>
        <v>0</v>
      </c>
      <c r="N756" s="100">
        <f ca="1">$K$756-EFEITO!$M$756*EFEITO!$Z$756</f>
        <v>28860.452057613002</v>
      </c>
      <c r="O756" s="100">
        <f>$L$756-EFEITO!$O$756*EFEITO!$AA$756</f>
        <v>20156.271154744667</v>
      </c>
      <c r="P756" s="17"/>
      <c r="Q756" s="17"/>
      <c r="R756" s="17"/>
      <c r="S756" s="17"/>
      <c r="T756" s="17"/>
      <c r="U756" s="17"/>
      <c r="V756" s="17"/>
      <c r="W756" s="17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91" t="s">
        <v>27</v>
      </c>
      <c r="B757" s="91" t="s">
        <v>42</v>
      </c>
      <c r="C757" s="91" t="s">
        <v>23</v>
      </c>
      <c r="D757" s="91" t="s">
        <v>43</v>
      </c>
      <c r="E757" s="91" t="s">
        <v>25</v>
      </c>
      <c r="F757" s="91" t="s">
        <v>25</v>
      </c>
      <c r="G757" s="91" t="s">
        <v>25</v>
      </c>
      <c r="H757" s="91" t="s">
        <v>25</v>
      </c>
      <c r="I757" s="99">
        <v>44621</v>
      </c>
      <c r="J757" s="100">
        <f>EFEITO!$J$757*EFEITO!$Y$541</f>
        <v>0</v>
      </c>
      <c r="K757" s="100">
        <f ca="1">EFEITO!$L$757*EFEITO!$Z$541</f>
        <v>-65015.01855514272</v>
      </c>
      <c r="L757" s="100">
        <f>EFEITO!$N$757*EFEITO!$AA$541</f>
        <v>-45406.785053546206</v>
      </c>
      <c r="M757" s="100">
        <f>$J$757-EFEITO!$K$757*EFEITO!$Y$757</f>
        <v>0</v>
      </c>
      <c r="N757" s="100">
        <f ca="1">$K$757-EFEITO!$M$757*EFEITO!$Z$757</f>
        <v>-3900.901113308566</v>
      </c>
      <c r="O757" s="100">
        <f>$L$757-EFEITO!$O$757*EFEITO!$AA$757</f>
        <v>-2724.4071032127758</v>
      </c>
      <c r="P757" s="17"/>
      <c r="Q757" s="17"/>
      <c r="R757" s="17"/>
      <c r="S757" s="17"/>
      <c r="T757" s="17"/>
      <c r="U757" s="17"/>
      <c r="V757" s="17"/>
      <c r="W757" s="17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91" t="s">
        <v>55</v>
      </c>
      <c r="B758" s="91" t="s">
        <v>42</v>
      </c>
      <c r="C758" s="91" t="s">
        <v>23</v>
      </c>
      <c r="D758" s="91" t="s">
        <v>43</v>
      </c>
      <c r="E758" s="91" t="s">
        <v>25</v>
      </c>
      <c r="F758" s="91" t="s">
        <v>25</v>
      </c>
      <c r="G758" s="91" t="s">
        <v>25</v>
      </c>
      <c r="H758" s="91" t="s">
        <v>25</v>
      </c>
      <c r="I758" s="99">
        <v>44621</v>
      </c>
      <c r="J758" s="100">
        <f>EFEITO!$J$758*EFEITO!$Y$541</f>
        <v>0</v>
      </c>
      <c r="K758" s="100">
        <f ca="1">EFEITO!$L$758*EFEITO!$Z$541</f>
        <v>20097.928314387209</v>
      </c>
      <c r="L758" s="100">
        <f>EFEITO!$N$758*EFEITO!$AA$541</f>
        <v>14036.484665753811</v>
      </c>
      <c r="M758" s="100">
        <f>$J$758-EFEITO!$K$758*EFEITO!$Y$758</f>
        <v>0</v>
      </c>
      <c r="N758" s="100">
        <f ca="1">$K$758-EFEITO!$M$758*EFEITO!$Z$758</f>
        <v>1205.875698863234</v>
      </c>
      <c r="O758" s="100">
        <f>$L$758-EFEITO!$O$758*EFEITO!$AA$758</f>
        <v>842.18907994523033</v>
      </c>
      <c r="P758" s="17"/>
      <c r="Q758" s="17"/>
      <c r="R758" s="17"/>
      <c r="S758" s="17"/>
      <c r="T758" s="17"/>
      <c r="U758" s="17"/>
      <c r="V758" s="17"/>
      <c r="W758" s="17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91" t="s">
        <v>55</v>
      </c>
      <c r="B759" s="91" t="s">
        <v>42</v>
      </c>
      <c r="C759" s="91" t="s">
        <v>23</v>
      </c>
      <c r="D759" s="91" t="s">
        <v>43</v>
      </c>
      <c r="E759" s="91" t="s">
        <v>25</v>
      </c>
      <c r="F759" s="91" t="s">
        <v>25</v>
      </c>
      <c r="G759" s="91" t="s">
        <v>25</v>
      </c>
      <c r="H759" s="91" t="s">
        <v>25</v>
      </c>
      <c r="I759" s="99">
        <v>44621</v>
      </c>
      <c r="J759" s="100">
        <f>EFEITO!$J$759*EFEITO!$Y$541</f>
        <v>0</v>
      </c>
      <c r="K759" s="100">
        <f ca="1">EFEITO!$L$759*EFEITO!$Z$541</f>
        <v>66.031239328406897</v>
      </c>
      <c r="L759" s="100">
        <f>EFEITO!$N$759*EFEITO!$AA$541</f>
        <v>46.116518269717155</v>
      </c>
      <c r="M759" s="100">
        <f>$J$759-EFEITO!$K$759*EFEITO!$Y$759</f>
        <v>0</v>
      </c>
      <c r="N759" s="100">
        <f ca="1">$K$759-EFEITO!$M$759*EFEITO!$Z$759</f>
        <v>3.9618743597044102</v>
      </c>
      <c r="O759" s="100">
        <f>$L$759-EFEITO!$O$759*EFEITO!$AA$759</f>
        <v>2.766991096183034</v>
      </c>
      <c r="P759" s="17"/>
      <c r="Q759" s="17"/>
      <c r="R759" s="17"/>
      <c r="S759" s="17"/>
      <c r="T759" s="17"/>
      <c r="U759" s="17"/>
      <c r="V759" s="17"/>
      <c r="W759" s="17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91" t="s">
        <v>21</v>
      </c>
      <c r="B760" s="91" t="s">
        <v>42</v>
      </c>
      <c r="C760" s="91" t="s">
        <v>23</v>
      </c>
      <c r="D760" s="91" t="s">
        <v>43</v>
      </c>
      <c r="E760" s="91" t="s">
        <v>25</v>
      </c>
      <c r="F760" s="91" t="s">
        <v>25</v>
      </c>
      <c r="G760" s="91" t="s">
        <v>25</v>
      </c>
      <c r="H760" s="91" t="s">
        <v>25</v>
      </c>
      <c r="I760" s="99">
        <v>44652</v>
      </c>
      <c r="J760" s="100">
        <f>EFEITO!$J$760*EFEITO!$Y$541</f>
        <v>0</v>
      </c>
      <c r="K760" s="100">
        <f ca="1">EFEITO!$L$760*EFEITO!$Z$541</f>
        <v>465669.13770995423</v>
      </c>
      <c r="L760" s="100">
        <f>EFEITO!$N$760*EFEITO!$AA$541</f>
        <v>325225.44655020413</v>
      </c>
      <c r="M760" s="100">
        <f>$J$760-EFEITO!$K$760*EFEITO!$Y$760</f>
        <v>0</v>
      </c>
      <c r="N760" s="100">
        <f ca="1">$K$760-EFEITO!$M$760*EFEITO!$Z$760</f>
        <v>27940.148262597271</v>
      </c>
      <c r="O760" s="100">
        <f>$L$760-EFEITO!$O$760*EFEITO!$AA$760</f>
        <v>19513.526793012279</v>
      </c>
      <c r="P760" s="17"/>
      <c r="Q760" s="17"/>
      <c r="R760" s="17"/>
      <c r="S760" s="17"/>
      <c r="T760" s="17"/>
      <c r="U760" s="17"/>
      <c r="V760" s="17"/>
      <c r="W760" s="17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91" t="s">
        <v>27</v>
      </c>
      <c r="B761" s="91" t="s">
        <v>42</v>
      </c>
      <c r="C761" s="91" t="s">
        <v>23</v>
      </c>
      <c r="D761" s="91" t="s">
        <v>43</v>
      </c>
      <c r="E761" s="91" t="s">
        <v>25</v>
      </c>
      <c r="F761" s="91" t="s">
        <v>25</v>
      </c>
      <c r="G761" s="91" t="s">
        <v>25</v>
      </c>
      <c r="H761" s="91" t="s">
        <v>25</v>
      </c>
      <c r="I761" s="99">
        <v>44652</v>
      </c>
      <c r="J761" s="100">
        <f>EFEITO!$J$761*EFEITO!$Y$541</f>
        <v>0</v>
      </c>
      <c r="K761" s="100">
        <f ca="1">EFEITO!$L$761*EFEITO!$Z$541</f>
        <v>-37218.508047456548</v>
      </c>
      <c r="L761" s="100">
        <f>EFEITO!$N$761*EFEITO!$AA$541</f>
        <v>-25993.575522726074</v>
      </c>
      <c r="M761" s="100">
        <f>$J$761-EFEITO!$K$761*EFEITO!$Y$761</f>
        <v>0</v>
      </c>
      <c r="N761" s="100">
        <f ca="1">$K$761-EFEITO!$M$761*EFEITO!$Z$761</f>
        <v>-2233.1104828473908</v>
      </c>
      <c r="O761" s="100">
        <f>$L$761-EFEITO!$O$761*EFEITO!$AA$761</f>
        <v>-1559.6145313635679</v>
      </c>
      <c r="P761" s="17"/>
      <c r="Q761" s="17"/>
      <c r="R761" s="17"/>
      <c r="S761" s="17"/>
      <c r="T761" s="17"/>
      <c r="U761" s="17"/>
      <c r="V761" s="17"/>
      <c r="W761" s="17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91" t="s">
        <v>55</v>
      </c>
      <c r="B762" s="91" t="s">
        <v>42</v>
      </c>
      <c r="C762" s="91" t="s">
        <v>23</v>
      </c>
      <c r="D762" s="91" t="s">
        <v>43</v>
      </c>
      <c r="E762" s="91" t="s">
        <v>25</v>
      </c>
      <c r="F762" s="91" t="s">
        <v>25</v>
      </c>
      <c r="G762" s="91" t="s">
        <v>25</v>
      </c>
      <c r="H762" s="91" t="s">
        <v>25</v>
      </c>
      <c r="I762" s="99">
        <v>44652</v>
      </c>
      <c r="J762" s="100">
        <f>EFEITO!$J$762*EFEITO!$Y$541</f>
        <v>0</v>
      </c>
      <c r="K762" s="100">
        <f ca="1">EFEITO!$L$762*EFEITO!$Z$541</f>
        <v>31421.955703012351</v>
      </c>
      <c r="L762" s="100">
        <f>EFEITO!$N$762*EFEITO!$AA$541</f>
        <v>21945.236966418954</v>
      </c>
      <c r="M762" s="100">
        <f>$J$762-EFEITO!$K$762*EFEITO!$Y$762</f>
        <v>0</v>
      </c>
      <c r="N762" s="100">
        <f ca="1">$K$762-EFEITO!$M$762*EFEITO!$Z$762</f>
        <v>1885.3173421807405</v>
      </c>
      <c r="O762" s="100">
        <f>$L$762-EFEITO!$O$762*EFEITO!$AA$762</f>
        <v>1316.7142179851398</v>
      </c>
      <c r="P762" s="17"/>
      <c r="Q762" s="17"/>
      <c r="R762" s="17"/>
      <c r="S762" s="17"/>
      <c r="T762" s="17"/>
      <c r="U762" s="17"/>
      <c r="V762" s="17"/>
      <c r="W762" s="17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91" t="s">
        <v>21</v>
      </c>
      <c r="B763" s="91" t="s">
        <v>42</v>
      </c>
      <c r="C763" s="91" t="s">
        <v>23</v>
      </c>
      <c r="D763" s="91" t="s">
        <v>43</v>
      </c>
      <c r="E763" s="91" t="s">
        <v>25</v>
      </c>
      <c r="F763" s="91" t="s">
        <v>25</v>
      </c>
      <c r="G763" s="91" t="s">
        <v>25</v>
      </c>
      <c r="H763" s="91" t="s">
        <v>25</v>
      </c>
      <c r="I763" s="99">
        <v>44682</v>
      </c>
      <c r="J763" s="100">
        <f>EFEITO!$J$763*EFEITO!$Y$541</f>
        <v>0</v>
      </c>
      <c r="K763" s="100">
        <f ca="1">EFEITO!$L$763*EFEITO!$Z$541</f>
        <v>425105.48707812052</v>
      </c>
      <c r="L763" s="100">
        <f>EFEITO!$N$763*EFEITO!$AA$541</f>
        <v>296895.60821193416</v>
      </c>
      <c r="M763" s="100">
        <f>$J$763-EFEITO!$K$763*EFEITO!$Y$763</f>
        <v>0</v>
      </c>
      <c r="N763" s="100">
        <f ca="1">$K$763-EFEITO!$M$763*EFEITO!$Z$763</f>
        <v>25506.329224687244</v>
      </c>
      <c r="O763" s="100">
        <f>$L$763-EFEITO!$O$763*EFEITO!$AA$763</f>
        <v>17813.736492716067</v>
      </c>
      <c r="P763" s="17"/>
      <c r="Q763" s="17"/>
      <c r="R763" s="17"/>
      <c r="S763" s="17"/>
      <c r="T763" s="17"/>
      <c r="U763" s="17"/>
      <c r="V763" s="17"/>
      <c r="W763" s="17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91" t="s">
        <v>27</v>
      </c>
      <c r="B764" s="91" t="s">
        <v>42</v>
      </c>
      <c r="C764" s="91" t="s">
        <v>23</v>
      </c>
      <c r="D764" s="91" t="s">
        <v>43</v>
      </c>
      <c r="E764" s="91" t="s">
        <v>25</v>
      </c>
      <c r="F764" s="91" t="s">
        <v>25</v>
      </c>
      <c r="G764" s="91" t="s">
        <v>25</v>
      </c>
      <c r="H764" s="91" t="s">
        <v>25</v>
      </c>
      <c r="I764" s="99">
        <v>44682</v>
      </c>
      <c r="J764" s="100">
        <f>EFEITO!$J$764*EFEITO!$Y$541</f>
        <v>0</v>
      </c>
      <c r="K764" s="100">
        <f ca="1">EFEITO!$L$764*EFEITO!$Z$541</f>
        <v>-1366.8466540980228</v>
      </c>
      <c r="L764" s="100">
        <f>EFEITO!$N$764*EFEITO!$AA$541</f>
        <v>-954.61192818314498</v>
      </c>
      <c r="M764" s="100">
        <f>$J$764-EFEITO!$K$764*EFEITO!$Y$764</f>
        <v>0</v>
      </c>
      <c r="N764" s="100">
        <f ca="1">$K$764-EFEITO!$M$764*EFEITO!$Z$764</f>
        <v>-82.010799245881344</v>
      </c>
      <c r="O764" s="100">
        <f>$L$764-EFEITO!$O$764*EFEITO!$AA$764</f>
        <v>-57.276715690988794</v>
      </c>
      <c r="P764" s="17"/>
      <c r="Q764" s="17"/>
      <c r="R764" s="17"/>
      <c r="S764" s="17"/>
      <c r="T764" s="17"/>
      <c r="U764" s="17"/>
      <c r="V764" s="17"/>
      <c r="W764" s="17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91" t="s">
        <v>55</v>
      </c>
      <c r="B765" s="91" t="s">
        <v>42</v>
      </c>
      <c r="C765" s="91" t="s">
        <v>23</v>
      </c>
      <c r="D765" s="91" t="s">
        <v>43</v>
      </c>
      <c r="E765" s="91" t="s">
        <v>25</v>
      </c>
      <c r="F765" s="91" t="s">
        <v>25</v>
      </c>
      <c r="G765" s="91" t="s">
        <v>25</v>
      </c>
      <c r="H765" s="91" t="s">
        <v>25</v>
      </c>
      <c r="I765" s="99">
        <v>44682</v>
      </c>
      <c r="J765" s="100">
        <f>EFEITO!$J$765*EFEITO!$Y$541</f>
        <v>0</v>
      </c>
      <c r="K765" s="100">
        <f ca="1">EFEITO!$L$765*EFEITO!$Z$541</f>
        <v>29035.256557487082</v>
      </c>
      <c r="L765" s="100">
        <f>EFEITO!$N$765*EFEITO!$AA$541</f>
        <v>20278.355413560028</v>
      </c>
      <c r="M765" s="100">
        <f>$J$765-EFEITO!$K$765*EFEITO!$Y$765</f>
        <v>0</v>
      </c>
      <c r="N765" s="100">
        <f ca="1">$K$765-EFEITO!$M$765*EFEITO!$Z$765</f>
        <v>1742.1153934492249</v>
      </c>
      <c r="O765" s="100">
        <f>$L$765-EFEITO!$O$765*EFEITO!$AA$765</f>
        <v>1216.7013248136063</v>
      </c>
      <c r="P765" s="17"/>
      <c r="Q765" s="17"/>
      <c r="R765" s="17"/>
      <c r="S765" s="17"/>
      <c r="T765" s="17"/>
      <c r="U765" s="17"/>
      <c r="V765" s="17"/>
      <c r="W765" s="17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91" t="s">
        <v>55</v>
      </c>
      <c r="B766" s="91" t="s">
        <v>42</v>
      </c>
      <c r="C766" s="91" t="s">
        <v>23</v>
      </c>
      <c r="D766" s="91" t="s">
        <v>43</v>
      </c>
      <c r="E766" s="91" t="s">
        <v>25</v>
      </c>
      <c r="F766" s="91" t="s">
        <v>25</v>
      </c>
      <c r="G766" s="91" t="s">
        <v>25</v>
      </c>
      <c r="H766" s="91" t="s">
        <v>25</v>
      </c>
      <c r="I766" s="99">
        <v>44682</v>
      </c>
      <c r="J766" s="100">
        <f>EFEITO!$J$766*EFEITO!$Y$541</f>
        <v>0</v>
      </c>
      <c r="K766" s="100">
        <f ca="1">EFEITO!$L$766*EFEITO!$Z$541</f>
        <v>-39.288587400402101</v>
      </c>
      <c r="L766" s="100">
        <f>EFEITO!$N$766*EFEITO!$AA$541</f>
        <v>-27.439328370481704</v>
      </c>
      <c r="M766" s="100">
        <f>$J$766-EFEITO!$K$766*EFEITO!$Y$766</f>
        <v>0</v>
      </c>
      <c r="N766" s="100">
        <f ca="1">$K$766-EFEITO!$M$766*EFEITO!$Z$766</f>
        <v>-2.3573152440241216</v>
      </c>
      <c r="O766" s="100">
        <f>$L$766-EFEITO!$O$766*EFEITO!$AA$766</f>
        <v>-1.6463597022289029</v>
      </c>
      <c r="P766" s="17"/>
      <c r="Q766" s="17"/>
      <c r="R766" s="17"/>
      <c r="S766" s="17"/>
      <c r="T766" s="17"/>
      <c r="U766" s="17"/>
      <c r="V766" s="17"/>
      <c r="W766" s="17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91" t="s">
        <v>56</v>
      </c>
      <c r="B767" s="91" t="s">
        <v>42</v>
      </c>
      <c r="C767" s="91" t="s">
        <v>23</v>
      </c>
      <c r="D767" s="91" t="s">
        <v>43</v>
      </c>
      <c r="E767" s="91" t="s">
        <v>25</v>
      </c>
      <c r="F767" s="91" t="s">
        <v>25</v>
      </c>
      <c r="G767" s="91" t="s">
        <v>25</v>
      </c>
      <c r="H767" s="91" t="s">
        <v>25</v>
      </c>
      <c r="I767" s="99">
        <v>44713</v>
      </c>
      <c r="J767" s="100">
        <f>EFEITO!$J$767*EFEITO!$Y$541</f>
        <v>0</v>
      </c>
      <c r="K767" s="100">
        <f ca="1">EFEITO!$L$767*EFEITO!$Z$541</f>
        <v>425105.48707812052</v>
      </c>
      <c r="L767" s="100">
        <f>EFEITO!$N$767*EFEITO!$AA$541</f>
        <v>296895.60821193416</v>
      </c>
      <c r="M767" s="100">
        <f>$J$767-EFEITO!$K$767*EFEITO!$Y$767</f>
        <v>0</v>
      </c>
      <c r="N767" s="100">
        <f ca="1">$K$767-EFEITO!$M$767*EFEITO!$Z$767</f>
        <v>25506.329224687244</v>
      </c>
      <c r="O767" s="100">
        <f>$L$767-EFEITO!$O$767*EFEITO!$AA$767</f>
        <v>17813.736492716067</v>
      </c>
      <c r="P767" s="17"/>
      <c r="Q767" s="17"/>
      <c r="R767" s="17"/>
      <c r="S767" s="17"/>
      <c r="T767" s="17"/>
      <c r="U767" s="17"/>
      <c r="V767" s="17"/>
      <c r="W767" s="17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91" t="s">
        <v>56</v>
      </c>
      <c r="B768" s="91" t="s">
        <v>42</v>
      </c>
      <c r="C768" s="91" t="s">
        <v>23</v>
      </c>
      <c r="D768" s="91" t="s">
        <v>43</v>
      </c>
      <c r="E768" s="91" t="s">
        <v>25</v>
      </c>
      <c r="F768" s="91" t="s">
        <v>25</v>
      </c>
      <c r="G768" s="91" t="s">
        <v>25</v>
      </c>
      <c r="H768" s="91" t="s">
        <v>25</v>
      </c>
      <c r="I768" s="99">
        <v>44713</v>
      </c>
      <c r="J768" s="100">
        <f>EFEITO!$J$768*EFEITO!$Y$541</f>
        <v>0</v>
      </c>
      <c r="K768" s="100">
        <f ca="1">EFEITO!$L$768*EFEITO!$Z$541</f>
        <v>-1366.8466540980228</v>
      </c>
      <c r="L768" s="100">
        <f>EFEITO!$N$768*EFEITO!$AA$541</f>
        <v>-954.61192818314498</v>
      </c>
      <c r="M768" s="100">
        <f>$J$768-EFEITO!$K$768*EFEITO!$Y$768</f>
        <v>0</v>
      </c>
      <c r="N768" s="100">
        <f ca="1">$K$768-EFEITO!$M$768*EFEITO!$Z$768</f>
        <v>-82.010799245881344</v>
      </c>
      <c r="O768" s="100">
        <f>$L$768-EFEITO!$O$768*EFEITO!$AA$768</f>
        <v>-57.276715690988794</v>
      </c>
      <c r="P768" s="17"/>
      <c r="Q768" s="17"/>
      <c r="R768" s="17"/>
      <c r="S768" s="17"/>
      <c r="T768" s="17"/>
      <c r="U768" s="17"/>
      <c r="V768" s="17"/>
      <c r="W768" s="17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91" t="s">
        <v>56</v>
      </c>
      <c r="B769" s="91" t="s">
        <v>42</v>
      </c>
      <c r="C769" s="91" t="s">
        <v>23</v>
      </c>
      <c r="D769" s="91" t="s">
        <v>43</v>
      </c>
      <c r="E769" s="91" t="s">
        <v>25</v>
      </c>
      <c r="F769" s="91" t="s">
        <v>25</v>
      </c>
      <c r="G769" s="91" t="s">
        <v>25</v>
      </c>
      <c r="H769" s="91" t="s">
        <v>25</v>
      </c>
      <c r="I769" s="99">
        <v>44713</v>
      </c>
      <c r="J769" s="100">
        <f>EFEITO!$J$769*EFEITO!$Y$541</f>
        <v>0</v>
      </c>
      <c r="K769" s="100">
        <f ca="1">EFEITO!$L$769*EFEITO!$Z$541</f>
        <v>29035.256557487082</v>
      </c>
      <c r="L769" s="100">
        <f>EFEITO!$N$769*EFEITO!$AA$541</f>
        <v>20278.355413560028</v>
      </c>
      <c r="M769" s="100">
        <f>$J$769-EFEITO!$K$769*EFEITO!$Y$769</f>
        <v>0</v>
      </c>
      <c r="N769" s="100">
        <f ca="1">$K$769-EFEITO!$M$769*EFEITO!$Z$769</f>
        <v>1742.1153934492249</v>
      </c>
      <c r="O769" s="100">
        <f>$L$769-EFEITO!$O$769*EFEITO!$AA$769</f>
        <v>1216.7013248136063</v>
      </c>
      <c r="P769" s="17"/>
      <c r="Q769" s="17"/>
      <c r="R769" s="17"/>
      <c r="S769" s="17"/>
      <c r="T769" s="17"/>
      <c r="U769" s="17"/>
      <c r="V769" s="17"/>
      <c r="W769" s="17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91" t="s">
        <v>56</v>
      </c>
      <c r="B770" s="91" t="s">
        <v>42</v>
      </c>
      <c r="C770" s="91" t="s">
        <v>23</v>
      </c>
      <c r="D770" s="91" t="s">
        <v>43</v>
      </c>
      <c r="E770" s="91" t="s">
        <v>25</v>
      </c>
      <c r="F770" s="91" t="s">
        <v>25</v>
      </c>
      <c r="G770" s="91" t="s">
        <v>25</v>
      </c>
      <c r="H770" s="91" t="s">
        <v>25</v>
      </c>
      <c r="I770" s="99">
        <v>44713</v>
      </c>
      <c r="J770" s="100">
        <f>EFEITO!$J$770*EFEITO!$Y$541</f>
        <v>0</v>
      </c>
      <c r="K770" s="100">
        <f ca="1">EFEITO!$L$770*EFEITO!$Z$541</f>
        <v>-39.288587400402101</v>
      </c>
      <c r="L770" s="100">
        <f>EFEITO!$N$770*EFEITO!$AA$541</f>
        <v>-27.439328370481704</v>
      </c>
      <c r="M770" s="100">
        <f>$J$770-EFEITO!$K$770*EFEITO!$Y$770</f>
        <v>0</v>
      </c>
      <c r="N770" s="100">
        <f ca="1">$K$770-EFEITO!$M$770*EFEITO!$Z$770</f>
        <v>-2.3573152440241216</v>
      </c>
      <c r="O770" s="100">
        <f>$L$770-EFEITO!$O$770*EFEITO!$AA$770</f>
        <v>-1.6463597022289029</v>
      </c>
      <c r="P770" s="17"/>
      <c r="Q770" s="17"/>
      <c r="R770" s="17"/>
      <c r="S770" s="17"/>
      <c r="T770" s="17"/>
      <c r="U770" s="17"/>
      <c r="V770" s="17"/>
      <c r="W770" s="17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91" t="s">
        <v>21</v>
      </c>
      <c r="B771" s="91" t="s">
        <v>36</v>
      </c>
      <c r="C771" s="91" t="s">
        <v>32</v>
      </c>
      <c r="D771" s="91" t="s">
        <v>41</v>
      </c>
      <c r="E771" s="91" t="s">
        <v>25</v>
      </c>
      <c r="F771" s="91" t="s">
        <v>25</v>
      </c>
      <c r="G771" s="91" t="s">
        <v>25</v>
      </c>
      <c r="H771" s="91" t="s">
        <v>34</v>
      </c>
      <c r="I771" s="99">
        <v>44378</v>
      </c>
      <c r="J771" s="100">
        <f>EFEITO!$J$771*EFEITO!$Y$771</f>
        <v>0</v>
      </c>
      <c r="K771" s="100">
        <f ca="1">EFEITO!$L$771*EFEITO!$Z$771</f>
        <v>4448.6139780017702</v>
      </c>
      <c r="L771" s="100">
        <f>EFEITO!$N$771*EFEITO!$AA$771</f>
        <v>4371.6176285826077</v>
      </c>
      <c r="M771" s="100">
        <f>$J$771-EFEITO!$K$771*EFEITO!$Y$771</f>
        <v>0</v>
      </c>
      <c r="N771" s="100">
        <f ca="1">$K$771-EFEITO!$M$771*EFEITO!$Z$771</f>
        <v>0</v>
      </c>
      <c r="O771" s="100">
        <f>$L$771-EFEITO!$O$771*EFEITO!$AA$771</f>
        <v>0</v>
      </c>
      <c r="P771" s="17"/>
      <c r="Q771" s="17"/>
      <c r="R771" s="17"/>
      <c r="S771" s="17"/>
      <c r="T771" s="17"/>
      <c r="U771" s="17"/>
      <c r="V771" s="17"/>
      <c r="W771" s="17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91" t="s">
        <v>21</v>
      </c>
      <c r="B772" s="91" t="s">
        <v>36</v>
      </c>
      <c r="C772" s="91" t="s">
        <v>32</v>
      </c>
      <c r="D772" s="91" t="s">
        <v>41</v>
      </c>
      <c r="E772" s="91" t="s">
        <v>25</v>
      </c>
      <c r="F772" s="91" t="s">
        <v>25</v>
      </c>
      <c r="G772" s="91" t="s">
        <v>25</v>
      </c>
      <c r="H772" s="91" t="s">
        <v>34</v>
      </c>
      <c r="I772" s="99">
        <v>44409</v>
      </c>
      <c r="J772" s="100">
        <f>EFEITO!$J$772*EFEITO!$Y$772</f>
        <v>0</v>
      </c>
      <c r="K772" s="100">
        <f ca="1">EFEITO!$L$772*EFEITO!$Z$772</f>
        <v>3818.9983484928621</v>
      </c>
      <c r="L772" s="100">
        <f>EFEITO!$N$772*EFEITO!$AA$772</f>
        <v>3752.8993494055462</v>
      </c>
      <c r="M772" s="100">
        <f>$J$772-EFEITO!$K$772*EFEITO!$Y$772</f>
        <v>0</v>
      </c>
      <c r="N772" s="100">
        <f ca="1">$K$772-EFEITO!$M$772*EFEITO!$Z$772</f>
        <v>0</v>
      </c>
      <c r="O772" s="100">
        <f>$L$772-EFEITO!$O$772*EFEITO!$AA$772</f>
        <v>0</v>
      </c>
      <c r="P772" s="17"/>
      <c r="Q772" s="17"/>
      <c r="R772" s="17"/>
      <c r="S772" s="17"/>
      <c r="T772" s="17"/>
      <c r="U772" s="17"/>
      <c r="V772" s="17"/>
      <c r="W772" s="17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91" t="s">
        <v>21</v>
      </c>
      <c r="B773" s="91" t="s">
        <v>36</v>
      </c>
      <c r="C773" s="91" t="s">
        <v>32</v>
      </c>
      <c r="D773" s="91" t="s">
        <v>41</v>
      </c>
      <c r="E773" s="91" t="s">
        <v>25</v>
      </c>
      <c r="F773" s="91" t="s">
        <v>25</v>
      </c>
      <c r="G773" s="91" t="s">
        <v>25</v>
      </c>
      <c r="H773" s="91" t="s">
        <v>34</v>
      </c>
      <c r="I773" s="99">
        <v>44440</v>
      </c>
      <c r="J773" s="100">
        <f>EFEITO!$J$773*EFEITO!$Y$773</f>
        <v>0</v>
      </c>
      <c r="K773" s="100">
        <f ca="1">EFEITO!$L$773*EFEITO!$Z$773</f>
        <v>3626.0948364731116</v>
      </c>
      <c r="L773" s="100">
        <f>EFEITO!$N$773*EFEITO!$AA$773</f>
        <v>3563.3346000406591</v>
      </c>
      <c r="M773" s="100">
        <f>$J$773-EFEITO!$K$773*EFEITO!$Y$773</f>
        <v>0</v>
      </c>
      <c r="N773" s="100">
        <f ca="1">$K$773-EFEITO!$M$773*EFEITO!$Z$773</f>
        <v>0</v>
      </c>
      <c r="O773" s="100">
        <f>$L$773-EFEITO!$O$773*EFEITO!$AA$773</f>
        <v>0</v>
      </c>
      <c r="P773" s="17"/>
      <c r="Q773" s="17"/>
      <c r="R773" s="17"/>
      <c r="S773" s="17"/>
      <c r="T773" s="17"/>
      <c r="U773" s="17"/>
      <c r="V773" s="17"/>
      <c r="W773" s="17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91" t="s">
        <v>21</v>
      </c>
      <c r="B774" s="91" t="s">
        <v>36</v>
      </c>
      <c r="C774" s="91" t="s">
        <v>32</v>
      </c>
      <c r="D774" s="91" t="s">
        <v>41</v>
      </c>
      <c r="E774" s="91" t="s">
        <v>25</v>
      </c>
      <c r="F774" s="91" t="s">
        <v>25</v>
      </c>
      <c r="G774" s="91" t="s">
        <v>25</v>
      </c>
      <c r="H774" s="91" t="s">
        <v>34</v>
      </c>
      <c r="I774" s="99">
        <v>44470</v>
      </c>
      <c r="J774" s="100">
        <f>EFEITO!$J$774*EFEITO!$Y$774</f>
        <v>0</v>
      </c>
      <c r="K774" s="100">
        <f ca="1">EFEITO!$L$774*EFEITO!$Z$774</f>
        <v>3711.8297307041121</v>
      </c>
      <c r="L774" s="100">
        <f>EFEITO!$N$774*EFEITO!$AA$774</f>
        <v>3647.5855997583867</v>
      </c>
      <c r="M774" s="100">
        <f>$J$774-EFEITO!$K$774*EFEITO!$Y$774</f>
        <v>0</v>
      </c>
      <c r="N774" s="100">
        <f ca="1">$K$774-EFEITO!$M$774*EFEITO!$Z$774</f>
        <v>0</v>
      </c>
      <c r="O774" s="100">
        <f>$L$774-EFEITO!$O$774*EFEITO!$AA$774</f>
        <v>0</v>
      </c>
      <c r="P774" s="17"/>
      <c r="Q774" s="17"/>
      <c r="R774" s="17"/>
      <c r="S774" s="17"/>
      <c r="T774" s="17"/>
      <c r="U774" s="17"/>
      <c r="V774" s="17"/>
      <c r="W774" s="17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91" t="s">
        <v>21</v>
      </c>
      <c r="B775" s="91" t="s">
        <v>36</v>
      </c>
      <c r="C775" s="91" t="s">
        <v>32</v>
      </c>
      <c r="D775" s="91" t="s">
        <v>41</v>
      </c>
      <c r="E775" s="91" t="s">
        <v>25</v>
      </c>
      <c r="F775" s="91" t="s">
        <v>25</v>
      </c>
      <c r="G775" s="91" t="s">
        <v>25</v>
      </c>
      <c r="H775" s="91" t="s">
        <v>34</v>
      </c>
      <c r="I775" s="99">
        <v>44501</v>
      </c>
      <c r="J775" s="100">
        <f>EFEITO!$J$775*EFEITO!$Y$775</f>
        <v>0</v>
      </c>
      <c r="K775" s="100">
        <f ca="1">EFEITO!$L$775*EFEITO!$Z$775</f>
        <v>4209.2707316068945</v>
      </c>
      <c r="L775" s="100">
        <f>EFEITO!$N$775*EFEITO!$AA$775</f>
        <v>4136.4169210372856</v>
      </c>
      <c r="M775" s="100">
        <f>$J$775-EFEITO!$K$775*EFEITO!$Y$775</f>
        <v>0</v>
      </c>
      <c r="N775" s="100">
        <f ca="1">$K$775-EFEITO!$M$775*EFEITO!$Z$775</f>
        <v>0</v>
      </c>
      <c r="O775" s="100">
        <f>$L$775-EFEITO!$O$775*EFEITO!$AA$775</f>
        <v>0</v>
      </c>
      <c r="P775" s="17"/>
      <c r="Q775" s="17"/>
      <c r="R775" s="17"/>
      <c r="S775" s="17"/>
      <c r="T775" s="17"/>
      <c r="U775" s="17"/>
      <c r="V775" s="17"/>
      <c r="W775" s="17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91" t="s">
        <v>21</v>
      </c>
      <c r="B776" s="91" t="s">
        <v>36</v>
      </c>
      <c r="C776" s="91" t="s">
        <v>32</v>
      </c>
      <c r="D776" s="91" t="s">
        <v>41</v>
      </c>
      <c r="E776" s="91" t="s">
        <v>25</v>
      </c>
      <c r="F776" s="91" t="s">
        <v>25</v>
      </c>
      <c r="G776" s="91" t="s">
        <v>25</v>
      </c>
      <c r="H776" s="91" t="s">
        <v>34</v>
      </c>
      <c r="I776" s="99">
        <v>44531</v>
      </c>
      <c r="J776" s="100">
        <f>EFEITO!$J$776*EFEITO!$Y$776</f>
        <v>0</v>
      </c>
      <c r="K776" s="100">
        <f ca="1">EFEITO!$L$776*EFEITO!$Z$776</f>
        <v>4121.0798898849016</v>
      </c>
      <c r="L776" s="100">
        <f>EFEITO!$N$776*EFEITO!$AA$776</f>
        <v>4049.7524812234765</v>
      </c>
      <c r="M776" s="100">
        <f>$J$776-EFEITO!$K$776*EFEITO!$Y$776</f>
        <v>0</v>
      </c>
      <c r="N776" s="100">
        <f ca="1">$K$776-EFEITO!$M$776*EFEITO!$Z$776</f>
        <v>0</v>
      </c>
      <c r="O776" s="100">
        <f>$L$776-EFEITO!$O$776*EFEITO!$AA$776</f>
        <v>0</v>
      </c>
      <c r="P776" s="17"/>
      <c r="Q776" s="17"/>
      <c r="R776" s="17"/>
      <c r="S776" s="17"/>
      <c r="T776" s="17"/>
      <c r="U776" s="17"/>
      <c r="V776" s="17"/>
      <c r="W776" s="17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91" t="s">
        <v>21</v>
      </c>
      <c r="B777" s="91" t="s">
        <v>36</v>
      </c>
      <c r="C777" s="91" t="s">
        <v>32</v>
      </c>
      <c r="D777" s="91" t="s">
        <v>41</v>
      </c>
      <c r="E777" s="91" t="s">
        <v>25</v>
      </c>
      <c r="F777" s="91" t="s">
        <v>25</v>
      </c>
      <c r="G777" s="91" t="s">
        <v>25</v>
      </c>
      <c r="H777" s="91" t="s">
        <v>34</v>
      </c>
      <c r="I777" s="99">
        <v>44562</v>
      </c>
      <c r="J777" s="100">
        <f>EFEITO!$J$777*EFEITO!$Y$777</f>
        <v>0</v>
      </c>
      <c r="K777" s="100">
        <f ca="1">EFEITO!$L$777*EFEITO!$Z$777</f>
        <v>5609.3840694261717</v>
      </c>
      <c r="L777" s="100">
        <f>EFEITO!$N$777*EFEITO!$AA$777</f>
        <v>5512.2971794484038</v>
      </c>
      <c r="M777" s="100">
        <f>$J$777-EFEITO!$K$777*EFEITO!$Y$777</f>
        <v>0</v>
      </c>
      <c r="N777" s="100">
        <f ca="1">$K$777-EFEITO!$M$777*EFEITO!$Z$777</f>
        <v>0</v>
      </c>
      <c r="O777" s="100">
        <f>$L$777-EFEITO!$O$777*EFEITO!$AA$777</f>
        <v>0</v>
      </c>
      <c r="P777" s="17"/>
      <c r="Q777" s="17"/>
      <c r="R777" s="17"/>
      <c r="S777" s="17"/>
      <c r="T777" s="17"/>
      <c r="U777" s="17"/>
      <c r="V777" s="17"/>
      <c r="W777" s="17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91" t="s">
        <v>21</v>
      </c>
      <c r="B778" s="91" t="s">
        <v>36</v>
      </c>
      <c r="C778" s="91" t="s">
        <v>32</v>
      </c>
      <c r="D778" s="91" t="s">
        <v>41</v>
      </c>
      <c r="E778" s="91" t="s">
        <v>25</v>
      </c>
      <c r="F778" s="91" t="s">
        <v>25</v>
      </c>
      <c r="G778" s="91" t="s">
        <v>25</v>
      </c>
      <c r="H778" s="91" t="s">
        <v>34</v>
      </c>
      <c r="I778" s="99">
        <v>44593</v>
      </c>
      <c r="J778" s="100">
        <f>EFEITO!$J$778*EFEITO!$Y$778</f>
        <v>0</v>
      </c>
      <c r="K778" s="100">
        <f ca="1">EFEITO!$L$778*EFEITO!$Z$778</f>
        <v>4013.6880041424251</v>
      </c>
      <c r="L778" s="100">
        <f>EFEITO!$N$778*EFEITO!$AA$778</f>
        <v>3944.2193279312191</v>
      </c>
      <c r="M778" s="100">
        <f>$J$778-EFEITO!$K$778*EFEITO!$Y$778</f>
        <v>0</v>
      </c>
      <c r="N778" s="100">
        <f ca="1">$K$778-EFEITO!$M$778*EFEITO!$Z$778</f>
        <v>0</v>
      </c>
      <c r="O778" s="100">
        <f>$L$778-EFEITO!$O$778*EFEITO!$AA$778</f>
        <v>0</v>
      </c>
      <c r="P778" s="17"/>
      <c r="Q778" s="17"/>
      <c r="R778" s="17"/>
      <c r="S778" s="17"/>
      <c r="T778" s="17"/>
      <c r="U778" s="17"/>
      <c r="V778" s="17"/>
      <c r="W778" s="17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91" t="s">
        <v>21</v>
      </c>
      <c r="B779" s="91" t="s">
        <v>36</v>
      </c>
      <c r="C779" s="91" t="s">
        <v>32</v>
      </c>
      <c r="D779" s="91" t="s">
        <v>41</v>
      </c>
      <c r="E779" s="91" t="s">
        <v>25</v>
      </c>
      <c r="F779" s="91" t="s">
        <v>25</v>
      </c>
      <c r="G779" s="91" t="s">
        <v>25</v>
      </c>
      <c r="H779" s="91" t="s">
        <v>34</v>
      </c>
      <c r="I779" s="99">
        <v>44621</v>
      </c>
      <c r="J779" s="100">
        <f>EFEITO!$J$779*EFEITO!$Y$779</f>
        <v>0</v>
      </c>
      <c r="K779" s="100">
        <f ca="1">EFEITO!$L$779*EFEITO!$Z$779</f>
        <v>3035.1045629588989</v>
      </c>
      <c r="L779" s="100">
        <f>EFEITO!$N$779*EFEITO!$AA$779</f>
        <v>2982.5731514655945</v>
      </c>
      <c r="M779" s="100">
        <f>$J$779-EFEITO!$K$779*EFEITO!$Y$779</f>
        <v>0</v>
      </c>
      <c r="N779" s="100">
        <f ca="1">$K$779-EFEITO!$M$779*EFEITO!$Z$779</f>
        <v>0</v>
      </c>
      <c r="O779" s="100">
        <f>$L$779-EFEITO!$O$779*EFEITO!$AA$779</f>
        <v>0</v>
      </c>
      <c r="P779" s="17"/>
      <c r="Q779" s="17"/>
      <c r="R779" s="17"/>
      <c r="S779" s="17"/>
      <c r="T779" s="17"/>
      <c r="U779" s="17"/>
      <c r="V779" s="17"/>
      <c r="W779" s="17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91" t="s">
        <v>21</v>
      </c>
      <c r="B780" s="91" t="s">
        <v>36</v>
      </c>
      <c r="C780" s="91" t="s">
        <v>32</v>
      </c>
      <c r="D780" s="91" t="s">
        <v>41</v>
      </c>
      <c r="E780" s="91" t="s">
        <v>25</v>
      </c>
      <c r="F780" s="91" t="s">
        <v>25</v>
      </c>
      <c r="G780" s="91" t="s">
        <v>25</v>
      </c>
      <c r="H780" s="91" t="s">
        <v>34</v>
      </c>
      <c r="I780" s="99">
        <v>44652</v>
      </c>
      <c r="J780" s="100">
        <f>EFEITO!$J$780*EFEITO!$Y$780</f>
        <v>0</v>
      </c>
      <c r="K780" s="100">
        <f ca="1">EFEITO!$L$780*EFEITO!$Z$780</f>
        <v>4800.0377371673803</v>
      </c>
      <c r="L780" s="100">
        <f>EFEITO!$N$780*EFEITO!$AA$780</f>
        <v>4716.9589659672511</v>
      </c>
      <c r="M780" s="100">
        <f>$J$780-EFEITO!$K$780*EFEITO!$Y$780</f>
        <v>0</v>
      </c>
      <c r="N780" s="100">
        <f ca="1">$K$780-EFEITO!$M$780*EFEITO!$Z$780</f>
        <v>0</v>
      </c>
      <c r="O780" s="100">
        <f>$L$780-EFEITO!$O$780*EFEITO!$AA$780</f>
        <v>0</v>
      </c>
      <c r="P780" s="17"/>
      <c r="Q780" s="17"/>
      <c r="R780" s="17"/>
      <c r="S780" s="17"/>
      <c r="T780" s="17"/>
      <c r="U780" s="17"/>
      <c r="V780" s="17"/>
      <c r="W780" s="17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91" t="s">
        <v>21</v>
      </c>
      <c r="B781" s="91" t="s">
        <v>36</v>
      </c>
      <c r="C781" s="91" t="s">
        <v>32</v>
      </c>
      <c r="D781" s="91" t="s">
        <v>41</v>
      </c>
      <c r="E781" s="91" t="s">
        <v>25</v>
      </c>
      <c r="F781" s="91" t="s">
        <v>25</v>
      </c>
      <c r="G781" s="91" t="s">
        <v>25</v>
      </c>
      <c r="H781" s="91" t="s">
        <v>34</v>
      </c>
      <c r="I781" s="99">
        <v>44682</v>
      </c>
      <c r="J781" s="100">
        <f>EFEITO!$J$781*EFEITO!$Y$781</f>
        <v>0</v>
      </c>
      <c r="K781" s="100">
        <f ca="1">EFEITO!$L$781*EFEITO!$Z$781</f>
        <v>3456.8577275483767</v>
      </c>
      <c r="L781" s="100">
        <f>EFEITO!$N$781*EFEITO!$AA$781</f>
        <v>3397.0266370561867</v>
      </c>
      <c r="M781" s="100">
        <f>$J$781-EFEITO!$K$781*EFEITO!$Y$781</f>
        <v>0</v>
      </c>
      <c r="N781" s="100">
        <f ca="1">$K$781-EFEITO!$M$781*EFEITO!$Z$781</f>
        <v>0</v>
      </c>
      <c r="O781" s="100">
        <f>$L$781-EFEITO!$O$781*EFEITO!$AA$781</f>
        <v>0</v>
      </c>
      <c r="P781" s="17"/>
      <c r="Q781" s="17"/>
      <c r="R781" s="17"/>
      <c r="S781" s="17"/>
      <c r="T781" s="17"/>
      <c r="U781" s="17"/>
      <c r="V781" s="17"/>
      <c r="W781" s="17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91" t="s">
        <v>56</v>
      </c>
      <c r="B782" s="91" t="s">
        <v>36</v>
      </c>
      <c r="C782" s="91" t="s">
        <v>32</v>
      </c>
      <c r="D782" s="91" t="s">
        <v>41</v>
      </c>
      <c r="E782" s="91" t="s">
        <v>25</v>
      </c>
      <c r="F782" s="91" t="s">
        <v>25</v>
      </c>
      <c r="G782" s="91" t="s">
        <v>25</v>
      </c>
      <c r="H782" s="91" t="s">
        <v>34</v>
      </c>
      <c r="I782" s="99">
        <v>44713</v>
      </c>
      <c r="J782" s="100">
        <f>EFEITO!$J$782*EFEITO!$Y$782</f>
        <v>0</v>
      </c>
      <c r="K782" s="100">
        <f ca="1">EFEITO!$L$782*EFEITO!$Z$782</f>
        <v>3456.8577275483767</v>
      </c>
      <c r="L782" s="100">
        <f>EFEITO!$N$782*EFEITO!$AA$782</f>
        <v>3397.0266370561867</v>
      </c>
      <c r="M782" s="100">
        <f>$J$782-EFEITO!$K$782*EFEITO!$Y$782</f>
        <v>0</v>
      </c>
      <c r="N782" s="100">
        <f ca="1">$K$782-EFEITO!$M$782*EFEITO!$Z$782</f>
        <v>0</v>
      </c>
      <c r="O782" s="100">
        <f>$L$782-EFEITO!$O$782*EFEITO!$AA$782</f>
        <v>0</v>
      </c>
      <c r="P782" s="17"/>
      <c r="Q782" s="17"/>
      <c r="R782" s="17"/>
      <c r="S782" s="17"/>
      <c r="T782" s="17"/>
      <c r="U782" s="17"/>
      <c r="V782" s="17"/>
      <c r="W782" s="17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91" t="s">
        <v>21</v>
      </c>
      <c r="B783" s="91" t="s">
        <v>36</v>
      </c>
      <c r="C783" s="91" t="s">
        <v>32</v>
      </c>
      <c r="D783" s="91" t="s">
        <v>41</v>
      </c>
      <c r="E783" s="91" t="s">
        <v>25</v>
      </c>
      <c r="F783" s="91" t="s">
        <v>25</v>
      </c>
      <c r="G783" s="91" t="s">
        <v>25</v>
      </c>
      <c r="H783" s="91" t="s">
        <v>35</v>
      </c>
      <c r="I783" s="99">
        <v>44378</v>
      </c>
      <c r="J783" s="100">
        <f>EFEITO!$J$783*EFEITO!$Y$783</f>
        <v>0</v>
      </c>
      <c r="K783" s="100">
        <f ca="1">EFEITO!$L$783*EFEITO!$Z$783</f>
        <v>541.31237538706455</v>
      </c>
      <c r="L783" s="100">
        <f>EFEITO!$N$783*EFEITO!$AA$783</f>
        <v>282.37249124144626</v>
      </c>
      <c r="M783" s="100">
        <f>$J$783-EFEITO!$K$783*EFEITO!$Y$783</f>
        <v>0</v>
      </c>
      <c r="N783" s="100">
        <f ca="1">$K$783-EFEITO!$M$783*EFEITO!$Z$783</f>
        <v>0</v>
      </c>
      <c r="O783" s="100">
        <f>$L$783-EFEITO!$O$783*EFEITO!$AA$783</f>
        <v>0</v>
      </c>
      <c r="P783" s="17"/>
      <c r="Q783" s="17"/>
      <c r="R783" s="17"/>
      <c r="S783" s="17"/>
      <c r="T783" s="17"/>
      <c r="U783" s="17"/>
      <c r="V783" s="17"/>
      <c r="W783" s="17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91" t="s">
        <v>21</v>
      </c>
      <c r="B784" s="91" t="s">
        <v>36</v>
      </c>
      <c r="C784" s="91" t="s">
        <v>32</v>
      </c>
      <c r="D784" s="91" t="s">
        <v>41</v>
      </c>
      <c r="E784" s="91" t="s">
        <v>25</v>
      </c>
      <c r="F784" s="91" t="s">
        <v>25</v>
      </c>
      <c r="G784" s="91" t="s">
        <v>25</v>
      </c>
      <c r="H784" s="91" t="s">
        <v>35</v>
      </c>
      <c r="I784" s="99">
        <v>44409</v>
      </c>
      <c r="J784" s="100">
        <f>EFEITO!$J$784*EFEITO!$Y$784</f>
        <v>0</v>
      </c>
      <c r="K784" s="100">
        <f ca="1">EFEITO!$L$784*EFEITO!$Z$784</f>
        <v>485.79315739864774</v>
      </c>
      <c r="L784" s="100">
        <f>EFEITO!$N$784*EFEITO!$AA$784</f>
        <v>253.41121008847742</v>
      </c>
      <c r="M784" s="100">
        <f>$J$784-EFEITO!$K$784*EFEITO!$Y$784</f>
        <v>0</v>
      </c>
      <c r="N784" s="100">
        <f ca="1">$K$784-EFEITO!$M$784*EFEITO!$Z$784</f>
        <v>0</v>
      </c>
      <c r="O784" s="100">
        <f>$L$784-EFEITO!$O$784*EFEITO!$AA$784</f>
        <v>0</v>
      </c>
      <c r="P784" s="17"/>
      <c r="Q784" s="17"/>
      <c r="R784" s="17"/>
      <c r="S784" s="17"/>
      <c r="T784" s="17"/>
      <c r="U784" s="17"/>
      <c r="V784" s="17"/>
      <c r="W784" s="17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91" t="s">
        <v>21</v>
      </c>
      <c r="B785" s="91" t="s">
        <v>36</v>
      </c>
      <c r="C785" s="91" t="s">
        <v>32</v>
      </c>
      <c r="D785" s="91" t="s">
        <v>41</v>
      </c>
      <c r="E785" s="91" t="s">
        <v>25</v>
      </c>
      <c r="F785" s="91" t="s">
        <v>25</v>
      </c>
      <c r="G785" s="91" t="s">
        <v>25</v>
      </c>
      <c r="H785" s="91" t="s">
        <v>35</v>
      </c>
      <c r="I785" s="99">
        <v>44440</v>
      </c>
      <c r="J785" s="100">
        <f>EFEITO!$J$785*EFEITO!$Y$785</f>
        <v>0</v>
      </c>
      <c r="K785" s="100">
        <f ca="1">EFEITO!$L$785*EFEITO!$Z$785</f>
        <v>468.96915194761226</v>
      </c>
      <c r="L785" s="100">
        <f>EFEITO!$N$785*EFEITO!$AA$785</f>
        <v>244.63506428454744</v>
      </c>
      <c r="M785" s="100">
        <f>$J$785-EFEITO!$K$785*EFEITO!$Y$785</f>
        <v>0</v>
      </c>
      <c r="N785" s="100">
        <f ca="1">$K$785-EFEITO!$M$785*EFEITO!$Z$785</f>
        <v>0</v>
      </c>
      <c r="O785" s="100">
        <f>$L$785-EFEITO!$O$785*EFEITO!$AA$785</f>
        <v>0</v>
      </c>
      <c r="P785" s="17"/>
      <c r="Q785" s="17"/>
      <c r="R785" s="17"/>
      <c r="S785" s="17"/>
      <c r="T785" s="17"/>
      <c r="U785" s="17"/>
      <c r="V785" s="17"/>
      <c r="W785" s="17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91" t="s">
        <v>21</v>
      </c>
      <c r="B786" s="91" t="s">
        <v>36</v>
      </c>
      <c r="C786" s="91" t="s">
        <v>32</v>
      </c>
      <c r="D786" s="91" t="s">
        <v>41</v>
      </c>
      <c r="E786" s="91" t="s">
        <v>25</v>
      </c>
      <c r="F786" s="91" t="s">
        <v>25</v>
      </c>
      <c r="G786" s="91" t="s">
        <v>25</v>
      </c>
      <c r="H786" s="91" t="s">
        <v>35</v>
      </c>
      <c r="I786" s="99">
        <v>44470</v>
      </c>
      <c r="J786" s="100">
        <f>EFEITO!$J$786*EFEITO!$Y$786</f>
        <v>0</v>
      </c>
      <c r="K786" s="100">
        <f ca="1">EFEITO!$L$786*EFEITO!$Z$786</f>
        <v>486.6343576711995</v>
      </c>
      <c r="L786" s="100">
        <f>EFEITO!$N$786*EFEITO!$AA$786</f>
        <v>253.8500173786739</v>
      </c>
      <c r="M786" s="100">
        <f>$J$786-EFEITO!$K$786*EFEITO!$Y$786</f>
        <v>0</v>
      </c>
      <c r="N786" s="100">
        <f ca="1">$K$786-EFEITO!$M$786*EFEITO!$Z$786</f>
        <v>0</v>
      </c>
      <c r="O786" s="100">
        <f>$L$786-EFEITO!$O$786*EFEITO!$AA$786</f>
        <v>0</v>
      </c>
      <c r="P786" s="17"/>
      <c r="Q786" s="17"/>
      <c r="R786" s="17"/>
      <c r="S786" s="17"/>
      <c r="T786" s="17"/>
      <c r="U786" s="17"/>
      <c r="V786" s="17"/>
      <c r="W786" s="17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91" t="s">
        <v>21</v>
      </c>
      <c r="B787" s="91" t="s">
        <v>36</v>
      </c>
      <c r="C787" s="91" t="s">
        <v>32</v>
      </c>
      <c r="D787" s="91" t="s">
        <v>41</v>
      </c>
      <c r="E787" s="91" t="s">
        <v>25</v>
      </c>
      <c r="F787" s="91" t="s">
        <v>25</v>
      </c>
      <c r="G787" s="91" t="s">
        <v>25</v>
      </c>
      <c r="H787" s="91" t="s">
        <v>35</v>
      </c>
      <c r="I787" s="99">
        <v>44501</v>
      </c>
      <c r="J787" s="100">
        <f>EFEITO!$J$787*EFEITO!$Y$787</f>
        <v>0</v>
      </c>
      <c r="K787" s="100">
        <f ca="1">EFEITO!$L$787*EFEITO!$Z$787</f>
        <v>595.14919283037796</v>
      </c>
      <c r="L787" s="100">
        <f>EFEITO!$N$787*EFEITO!$AA$787</f>
        <v>310.45615781402211</v>
      </c>
      <c r="M787" s="100">
        <f>$J$787-EFEITO!$K$787*EFEITO!$Y$787</f>
        <v>0</v>
      </c>
      <c r="N787" s="100">
        <f ca="1">$K$787-EFEITO!$M$787*EFEITO!$Z$787</f>
        <v>0</v>
      </c>
      <c r="O787" s="100">
        <f>$L$787-EFEITO!$O$787*EFEITO!$AA$787</f>
        <v>0</v>
      </c>
      <c r="P787" s="17"/>
      <c r="Q787" s="17"/>
      <c r="R787" s="17"/>
      <c r="S787" s="17"/>
      <c r="T787" s="17"/>
      <c r="U787" s="17"/>
      <c r="V787" s="17"/>
      <c r="W787" s="17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91" t="s">
        <v>21</v>
      </c>
      <c r="B788" s="91" t="s">
        <v>36</v>
      </c>
      <c r="C788" s="91" t="s">
        <v>32</v>
      </c>
      <c r="D788" s="91" t="s">
        <v>41</v>
      </c>
      <c r="E788" s="91" t="s">
        <v>25</v>
      </c>
      <c r="F788" s="91" t="s">
        <v>25</v>
      </c>
      <c r="G788" s="91" t="s">
        <v>25</v>
      </c>
      <c r="H788" s="91" t="s">
        <v>35</v>
      </c>
      <c r="I788" s="99">
        <v>44531</v>
      </c>
      <c r="J788" s="100">
        <f>EFEITO!$J$788*EFEITO!$Y$788</f>
        <v>0</v>
      </c>
      <c r="K788" s="100">
        <f ca="1">EFEITO!$L$788*EFEITO!$Z$788</f>
        <v>646.04180931976009</v>
      </c>
      <c r="L788" s="100">
        <f>EFEITO!$N$788*EFEITO!$AA$788</f>
        <v>337.00399887091021</v>
      </c>
      <c r="M788" s="100">
        <f>$J$788-EFEITO!$K$788*EFEITO!$Y$788</f>
        <v>0</v>
      </c>
      <c r="N788" s="100">
        <f ca="1">$K$788-EFEITO!$M$788*EFEITO!$Z$788</f>
        <v>0</v>
      </c>
      <c r="O788" s="100">
        <f>$L$788-EFEITO!$O$788*EFEITO!$AA$788</f>
        <v>0</v>
      </c>
      <c r="P788" s="17"/>
      <c r="Q788" s="17"/>
      <c r="R788" s="17"/>
      <c r="S788" s="17"/>
      <c r="T788" s="17"/>
      <c r="U788" s="17"/>
      <c r="V788" s="17"/>
      <c r="W788" s="17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91" t="s">
        <v>21</v>
      </c>
      <c r="B789" s="91" t="s">
        <v>36</v>
      </c>
      <c r="C789" s="91" t="s">
        <v>32</v>
      </c>
      <c r="D789" s="91" t="s">
        <v>41</v>
      </c>
      <c r="E789" s="91" t="s">
        <v>25</v>
      </c>
      <c r="F789" s="91" t="s">
        <v>25</v>
      </c>
      <c r="G789" s="91" t="s">
        <v>25</v>
      </c>
      <c r="H789" s="91" t="s">
        <v>35</v>
      </c>
      <c r="I789" s="99">
        <v>44562</v>
      </c>
      <c r="J789" s="100">
        <f>EFEITO!$J$789*EFEITO!$Y$789</f>
        <v>0</v>
      </c>
      <c r="K789" s="100">
        <f ca="1">EFEITO!$L$789*EFEITO!$Z$789</f>
        <v>876.53068399894528</v>
      </c>
      <c r="L789" s="100">
        <f>EFEITO!$N$789*EFEITO!$AA$789</f>
        <v>457.23719638475058</v>
      </c>
      <c r="M789" s="100">
        <f>$J$789-EFEITO!$K$789*EFEITO!$Y$789</f>
        <v>0</v>
      </c>
      <c r="N789" s="100">
        <f ca="1">$K$789-EFEITO!$M$789*EFEITO!$Z$789</f>
        <v>0</v>
      </c>
      <c r="O789" s="100">
        <f>$L$789-EFEITO!$O$789*EFEITO!$AA$789</f>
        <v>0</v>
      </c>
      <c r="P789" s="17"/>
      <c r="Q789" s="17"/>
      <c r="R789" s="17"/>
      <c r="S789" s="17"/>
      <c r="T789" s="17"/>
      <c r="U789" s="17"/>
      <c r="V789" s="17"/>
      <c r="W789" s="17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91" t="s">
        <v>21</v>
      </c>
      <c r="B790" s="91" t="s">
        <v>36</v>
      </c>
      <c r="C790" s="91" t="s">
        <v>32</v>
      </c>
      <c r="D790" s="91" t="s">
        <v>41</v>
      </c>
      <c r="E790" s="91" t="s">
        <v>25</v>
      </c>
      <c r="F790" s="91" t="s">
        <v>25</v>
      </c>
      <c r="G790" s="91" t="s">
        <v>25</v>
      </c>
      <c r="H790" s="91" t="s">
        <v>35</v>
      </c>
      <c r="I790" s="99">
        <v>44593</v>
      </c>
      <c r="J790" s="100">
        <f>EFEITO!$J$790*EFEITO!$Y$790</f>
        <v>0</v>
      </c>
      <c r="K790" s="100">
        <f ca="1">EFEITO!$L$790*EFEITO!$Z$790</f>
        <v>689.78422349245216</v>
      </c>
      <c r="L790" s="100">
        <f>EFEITO!$N$790*EFEITO!$AA$790</f>
        <v>359.82197796112808</v>
      </c>
      <c r="M790" s="100">
        <f>$J$790-EFEITO!$K$790*EFEITO!$Y$790</f>
        <v>0</v>
      </c>
      <c r="N790" s="100">
        <f ca="1">$K$790-EFEITO!$M$790*EFEITO!$Z$790</f>
        <v>0</v>
      </c>
      <c r="O790" s="100">
        <f>$L$790-EFEITO!$O$790*EFEITO!$AA$790</f>
        <v>0</v>
      </c>
      <c r="P790" s="17"/>
      <c r="Q790" s="17"/>
      <c r="R790" s="17"/>
      <c r="S790" s="17"/>
      <c r="T790" s="17"/>
      <c r="U790" s="17"/>
      <c r="V790" s="17"/>
      <c r="W790" s="17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91" t="s">
        <v>21</v>
      </c>
      <c r="B791" s="91" t="s">
        <v>36</v>
      </c>
      <c r="C791" s="91" t="s">
        <v>32</v>
      </c>
      <c r="D791" s="91" t="s">
        <v>41</v>
      </c>
      <c r="E791" s="91" t="s">
        <v>25</v>
      </c>
      <c r="F791" s="91" t="s">
        <v>25</v>
      </c>
      <c r="G791" s="91" t="s">
        <v>25</v>
      </c>
      <c r="H791" s="91" t="s">
        <v>35</v>
      </c>
      <c r="I791" s="99">
        <v>44621</v>
      </c>
      <c r="J791" s="100">
        <f>EFEITO!$J$791*EFEITO!$Y$791</f>
        <v>0</v>
      </c>
      <c r="K791" s="100">
        <f ca="1">EFEITO!$L$791*EFEITO!$Z$791</f>
        <v>627.53540332362115</v>
      </c>
      <c r="L791" s="100">
        <f>EFEITO!$N$791*EFEITO!$AA$791</f>
        <v>327.35023848658727</v>
      </c>
      <c r="M791" s="100">
        <f>$J$791-EFEITO!$K$791*EFEITO!$Y$791</f>
        <v>0</v>
      </c>
      <c r="N791" s="100">
        <f ca="1">$K$791-EFEITO!$M$791*EFEITO!$Z$791</f>
        <v>0</v>
      </c>
      <c r="O791" s="100">
        <f>$L$791-EFEITO!$O$791*EFEITO!$AA$791</f>
        <v>0</v>
      </c>
      <c r="P791" s="17"/>
      <c r="Q791" s="17"/>
      <c r="R791" s="17"/>
      <c r="S791" s="17"/>
      <c r="T791" s="17"/>
      <c r="U791" s="17"/>
      <c r="V791" s="17"/>
      <c r="W791" s="17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91" t="s">
        <v>21</v>
      </c>
      <c r="B792" s="91" t="s">
        <v>36</v>
      </c>
      <c r="C792" s="91" t="s">
        <v>32</v>
      </c>
      <c r="D792" s="91" t="s">
        <v>41</v>
      </c>
      <c r="E792" s="91" t="s">
        <v>25</v>
      </c>
      <c r="F792" s="91" t="s">
        <v>25</v>
      </c>
      <c r="G792" s="91" t="s">
        <v>25</v>
      </c>
      <c r="H792" s="91" t="s">
        <v>35</v>
      </c>
      <c r="I792" s="99">
        <v>44652</v>
      </c>
      <c r="J792" s="100">
        <f>EFEITO!$J$792*EFEITO!$Y$792</f>
        <v>0</v>
      </c>
      <c r="K792" s="100">
        <f ca="1">EFEITO!$L$792*EFEITO!$Z$792</f>
        <v>643.09760836582882</v>
      </c>
      <c r="L792" s="100">
        <f>EFEITO!$N$792*EFEITO!$AA$792</f>
        <v>335.46817335522246</v>
      </c>
      <c r="M792" s="100">
        <f>$J$792-EFEITO!$K$792*EFEITO!$Y$792</f>
        <v>0</v>
      </c>
      <c r="N792" s="100">
        <f ca="1">$K$792-EFEITO!$M$792*EFEITO!$Z$792</f>
        <v>0</v>
      </c>
      <c r="O792" s="100">
        <f>$L$792-EFEITO!$O$792*EFEITO!$AA$792</f>
        <v>0</v>
      </c>
      <c r="P792" s="17"/>
      <c r="Q792" s="17"/>
      <c r="R792" s="17"/>
      <c r="S792" s="17"/>
      <c r="T792" s="17"/>
      <c r="U792" s="17"/>
      <c r="V792" s="17"/>
      <c r="W792" s="17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91" t="s">
        <v>21</v>
      </c>
      <c r="B793" s="91" t="s">
        <v>36</v>
      </c>
      <c r="C793" s="91" t="s">
        <v>32</v>
      </c>
      <c r="D793" s="91" t="s">
        <v>41</v>
      </c>
      <c r="E793" s="91" t="s">
        <v>25</v>
      </c>
      <c r="F793" s="91" t="s">
        <v>25</v>
      </c>
      <c r="G793" s="91" t="s">
        <v>25</v>
      </c>
      <c r="H793" s="91" t="s">
        <v>35</v>
      </c>
      <c r="I793" s="99">
        <v>44682</v>
      </c>
      <c r="J793" s="100">
        <f>EFEITO!$J$793*EFEITO!$Y$793</f>
        <v>0</v>
      </c>
      <c r="K793" s="100">
        <f ca="1">EFEITO!$L$793*EFEITO!$Z$793</f>
        <v>479.06355521823355</v>
      </c>
      <c r="L793" s="100">
        <f>EFEITO!$N$793*EFEITO!$AA$793</f>
        <v>249.90075176690542</v>
      </c>
      <c r="M793" s="100">
        <f>$J$793-EFEITO!$K$793*EFEITO!$Y$793</f>
        <v>0</v>
      </c>
      <c r="N793" s="100">
        <f ca="1">$K$793-EFEITO!$M$793*EFEITO!$Z$793</f>
        <v>0</v>
      </c>
      <c r="O793" s="100">
        <f>$L$793-EFEITO!$O$793*EFEITO!$AA$793</f>
        <v>0</v>
      </c>
      <c r="P793" s="17"/>
      <c r="Q793" s="17"/>
      <c r="R793" s="17"/>
      <c r="S793" s="17"/>
      <c r="T793" s="17"/>
      <c r="U793" s="17"/>
      <c r="V793" s="17"/>
      <c r="W793" s="17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91" t="s">
        <v>56</v>
      </c>
      <c r="B794" s="91" t="s">
        <v>36</v>
      </c>
      <c r="C794" s="91" t="s">
        <v>32</v>
      </c>
      <c r="D794" s="91" t="s">
        <v>41</v>
      </c>
      <c r="E794" s="91" t="s">
        <v>25</v>
      </c>
      <c r="F794" s="91" t="s">
        <v>25</v>
      </c>
      <c r="G794" s="91" t="s">
        <v>25</v>
      </c>
      <c r="H794" s="91" t="s">
        <v>35</v>
      </c>
      <c r="I794" s="99">
        <v>44713</v>
      </c>
      <c r="J794" s="100">
        <f>EFEITO!$J$794*EFEITO!$Y$794</f>
        <v>0</v>
      </c>
      <c r="K794" s="100">
        <f ca="1">EFEITO!$L$794*EFEITO!$Z$794</f>
        <v>479.06355521823355</v>
      </c>
      <c r="L794" s="100">
        <f>EFEITO!$N$794*EFEITO!$AA$794</f>
        <v>249.90075176690542</v>
      </c>
      <c r="M794" s="100">
        <f>$J$794-EFEITO!$K$794*EFEITO!$Y$794</f>
        <v>0</v>
      </c>
      <c r="N794" s="100">
        <f ca="1">$K$794-EFEITO!$M$794*EFEITO!$Z$794</f>
        <v>0</v>
      </c>
      <c r="O794" s="100">
        <f>$L$794-EFEITO!$O$794*EFEITO!$AA$794</f>
        <v>0</v>
      </c>
      <c r="P794" s="17"/>
      <c r="Q794" s="17"/>
      <c r="R794" s="17"/>
      <c r="S794" s="17"/>
      <c r="T794" s="17"/>
      <c r="U794" s="17"/>
      <c r="V794" s="17"/>
      <c r="W794" s="17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91" t="s">
        <v>21</v>
      </c>
      <c r="B795" s="91" t="s">
        <v>36</v>
      </c>
      <c r="C795" s="91" t="s">
        <v>32</v>
      </c>
      <c r="D795" s="91" t="s">
        <v>41</v>
      </c>
      <c r="E795" s="91" t="s">
        <v>25</v>
      </c>
      <c r="F795" s="91" t="s">
        <v>25</v>
      </c>
      <c r="G795" s="91" t="s">
        <v>25</v>
      </c>
      <c r="H795" s="91" t="s">
        <v>33</v>
      </c>
      <c r="I795" s="99">
        <v>44378</v>
      </c>
      <c r="J795" s="100">
        <f>EFEITO!$J$795*EFEITO!$Y$795</f>
        <v>0</v>
      </c>
      <c r="K795" s="100">
        <f ca="1">EFEITO!$L$795*EFEITO!$Z$795</f>
        <v>1845.8074098565971</v>
      </c>
      <c r="L795" s="100">
        <f>EFEITO!$N$795*EFEITO!$AA$795</f>
        <v>587.2482111699062</v>
      </c>
      <c r="M795" s="100">
        <f>$J$795-EFEITO!$K$795*EFEITO!$Y$795</f>
        <v>0</v>
      </c>
      <c r="N795" s="100">
        <f ca="1">$K$795-EFEITO!$M$795*EFEITO!$Z$795</f>
        <v>0</v>
      </c>
      <c r="O795" s="100">
        <f>$L$795-EFEITO!$O$795*EFEITO!$AA$795</f>
        <v>0</v>
      </c>
      <c r="P795" s="17"/>
      <c r="Q795" s="17"/>
      <c r="R795" s="17"/>
      <c r="S795" s="17"/>
      <c r="T795" s="17"/>
      <c r="U795" s="17"/>
      <c r="V795" s="17"/>
      <c r="W795" s="17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91" t="s">
        <v>21</v>
      </c>
      <c r="B796" s="91" t="s">
        <v>36</v>
      </c>
      <c r="C796" s="91" t="s">
        <v>32</v>
      </c>
      <c r="D796" s="91" t="s">
        <v>41</v>
      </c>
      <c r="E796" s="91" t="s">
        <v>25</v>
      </c>
      <c r="F796" s="91" t="s">
        <v>25</v>
      </c>
      <c r="G796" s="91" t="s">
        <v>25</v>
      </c>
      <c r="H796" s="91" t="s">
        <v>33</v>
      </c>
      <c r="I796" s="99">
        <v>44409</v>
      </c>
      <c r="J796" s="100">
        <f>EFEITO!$J$796*EFEITO!$Y$796</f>
        <v>0</v>
      </c>
      <c r="K796" s="100">
        <f ca="1">EFEITO!$L$796*EFEITO!$Z$796</f>
        <v>1555.7678349182636</v>
      </c>
      <c r="L796" s="100">
        <f>EFEITO!$N$796*EFEITO!$AA$796</f>
        <v>494.97140014320803</v>
      </c>
      <c r="M796" s="100">
        <f>$J$796-EFEITO!$K$796*EFEITO!$Y$796</f>
        <v>0</v>
      </c>
      <c r="N796" s="100">
        <f ca="1">$K$796-EFEITO!$M$796*EFEITO!$Z$796</f>
        <v>0</v>
      </c>
      <c r="O796" s="100">
        <f>$L$796-EFEITO!$O$796*EFEITO!$AA$796</f>
        <v>0</v>
      </c>
      <c r="P796" s="17"/>
      <c r="Q796" s="17"/>
      <c r="R796" s="17"/>
      <c r="S796" s="17"/>
      <c r="T796" s="17"/>
      <c r="U796" s="17"/>
      <c r="V796" s="17"/>
      <c r="W796" s="17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91" t="s">
        <v>21</v>
      </c>
      <c r="B797" s="91" t="s">
        <v>36</v>
      </c>
      <c r="C797" s="91" t="s">
        <v>32</v>
      </c>
      <c r="D797" s="91" t="s">
        <v>41</v>
      </c>
      <c r="E797" s="91" t="s">
        <v>25</v>
      </c>
      <c r="F797" s="91" t="s">
        <v>25</v>
      </c>
      <c r="G797" s="91" t="s">
        <v>25</v>
      </c>
      <c r="H797" s="91" t="s">
        <v>33</v>
      </c>
      <c r="I797" s="99">
        <v>44440</v>
      </c>
      <c r="J797" s="100">
        <f>EFEITO!$J$797*EFEITO!$Y$797</f>
        <v>0</v>
      </c>
      <c r="K797" s="100">
        <f ca="1">EFEITO!$L$797*EFEITO!$Z$797</f>
        <v>1556.879097657491</v>
      </c>
      <c r="L797" s="100">
        <f>EFEITO!$N$797*EFEITO!$AA$797</f>
        <v>495.32495114331039</v>
      </c>
      <c r="M797" s="100">
        <f>$J$797-EFEITO!$K$797*EFEITO!$Y$797</f>
        <v>0</v>
      </c>
      <c r="N797" s="100">
        <f ca="1">$K$797-EFEITO!$M$797*EFEITO!$Z$797</f>
        <v>0</v>
      </c>
      <c r="O797" s="100">
        <f>$L$797-EFEITO!$O$797*EFEITO!$AA$797</f>
        <v>0</v>
      </c>
      <c r="P797" s="17"/>
      <c r="Q797" s="17"/>
      <c r="R797" s="17"/>
      <c r="S797" s="17"/>
      <c r="T797" s="17"/>
      <c r="U797" s="17"/>
      <c r="V797" s="17"/>
      <c r="W797" s="17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91" t="s">
        <v>21</v>
      </c>
      <c r="B798" s="91" t="s">
        <v>36</v>
      </c>
      <c r="C798" s="91" t="s">
        <v>32</v>
      </c>
      <c r="D798" s="91" t="s">
        <v>41</v>
      </c>
      <c r="E798" s="91" t="s">
        <v>25</v>
      </c>
      <c r="F798" s="91" t="s">
        <v>25</v>
      </c>
      <c r="G798" s="91" t="s">
        <v>25</v>
      </c>
      <c r="H798" s="91" t="s">
        <v>33</v>
      </c>
      <c r="I798" s="99">
        <v>44470</v>
      </c>
      <c r="J798" s="100">
        <f>EFEITO!$J$798*EFEITO!$Y$798</f>
        <v>0</v>
      </c>
      <c r="K798" s="100">
        <f ca="1">EFEITO!$L$798*EFEITO!$Z$798</f>
        <v>1673.5616852763608</v>
      </c>
      <c r="L798" s="100">
        <f>EFEITO!$N$798*EFEITO!$AA$798</f>
        <v>532.44780615405102</v>
      </c>
      <c r="M798" s="100">
        <f>$J$798-EFEITO!$K$798*EFEITO!$Y$798</f>
        <v>0</v>
      </c>
      <c r="N798" s="100">
        <f ca="1">$K$798-EFEITO!$M$798*EFEITO!$Z$798</f>
        <v>0</v>
      </c>
      <c r="O798" s="100">
        <f>$L$798-EFEITO!$O$798*EFEITO!$AA$798</f>
        <v>0</v>
      </c>
      <c r="P798" s="17"/>
      <c r="Q798" s="17"/>
      <c r="R798" s="17"/>
      <c r="S798" s="17"/>
      <c r="T798" s="17"/>
      <c r="U798" s="17"/>
      <c r="V798" s="17"/>
      <c r="W798" s="17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91" t="s">
        <v>21</v>
      </c>
      <c r="B799" s="91" t="s">
        <v>36</v>
      </c>
      <c r="C799" s="91" t="s">
        <v>32</v>
      </c>
      <c r="D799" s="91" t="s">
        <v>41</v>
      </c>
      <c r="E799" s="91" t="s">
        <v>25</v>
      </c>
      <c r="F799" s="91" t="s">
        <v>25</v>
      </c>
      <c r="G799" s="91" t="s">
        <v>25</v>
      </c>
      <c r="H799" s="91" t="s">
        <v>33</v>
      </c>
      <c r="I799" s="99">
        <v>44501</v>
      </c>
      <c r="J799" s="100">
        <f>EFEITO!$J$799*EFEITO!$Y$799</f>
        <v>0</v>
      </c>
      <c r="K799" s="100">
        <f ca="1">EFEITO!$L$799*EFEITO!$Z$799</f>
        <v>2072.5050086589727</v>
      </c>
      <c r="L799" s="100">
        <f>EFEITO!$N$799*EFEITO!$AA$799</f>
        <v>659.37261519077356</v>
      </c>
      <c r="M799" s="100">
        <f>$J$799-EFEITO!$K$799*EFEITO!$Y$799</f>
        <v>0</v>
      </c>
      <c r="N799" s="100">
        <f ca="1">$K$799-EFEITO!$M$799*EFEITO!$Z$799</f>
        <v>0</v>
      </c>
      <c r="O799" s="100">
        <f>$L$799-EFEITO!$O$799*EFEITO!$AA$799</f>
        <v>0</v>
      </c>
      <c r="P799" s="17"/>
      <c r="Q799" s="17"/>
      <c r="R799" s="17"/>
      <c r="S799" s="17"/>
      <c r="T799" s="17"/>
      <c r="U799" s="17"/>
      <c r="V799" s="17"/>
      <c r="W799" s="17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91" t="s">
        <v>21</v>
      </c>
      <c r="B800" s="91" t="s">
        <v>36</v>
      </c>
      <c r="C800" s="91" t="s">
        <v>32</v>
      </c>
      <c r="D800" s="91" t="s">
        <v>41</v>
      </c>
      <c r="E800" s="91" t="s">
        <v>25</v>
      </c>
      <c r="F800" s="91" t="s">
        <v>25</v>
      </c>
      <c r="G800" s="91" t="s">
        <v>25</v>
      </c>
      <c r="H800" s="91" t="s">
        <v>33</v>
      </c>
      <c r="I800" s="99">
        <v>44531</v>
      </c>
      <c r="J800" s="100">
        <f>EFEITO!$J$800*EFEITO!$Y$800</f>
        <v>0</v>
      </c>
      <c r="K800" s="100">
        <f ca="1">EFEITO!$L$800*EFEITO!$Z$800</f>
        <v>2218.0804274977531</v>
      </c>
      <c r="L800" s="100">
        <f>EFEITO!$N$800*EFEITO!$AA$800</f>
        <v>705.68779620417376</v>
      </c>
      <c r="M800" s="100">
        <f>$J$800-EFEITO!$K$800*EFEITO!$Y$800</f>
        <v>0</v>
      </c>
      <c r="N800" s="100">
        <f ca="1">$K$800-EFEITO!$M$800*EFEITO!$Z$800</f>
        <v>0</v>
      </c>
      <c r="O800" s="100">
        <f>$L$800-EFEITO!$O$800*EFEITO!$AA$800</f>
        <v>0</v>
      </c>
      <c r="P800" s="17"/>
      <c r="Q800" s="17"/>
      <c r="R800" s="17"/>
      <c r="S800" s="17"/>
      <c r="T800" s="17"/>
      <c r="U800" s="17"/>
      <c r="V800" s="17"/>
      <c r="W800" s="17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91" t="s">
        <v>21</v>
      </c>
      <c r="B801" s="91" t="s">
        <v>36</v>
      </c>
      <c r="C801" s="91" t="s">
        <v>32</v>
      </c>
      <c r="D801" s="91" t="s">
        <v>41</v>
      </c>
      <c r="E801" s="91" t="s">
        <v>25</v>
      </c>
      <c r="F801" s="91" t="s">
        <v>25</v>
      </c>
      <c r="G801" s="91" t="s">
        <v>25</v>
      </c>
      <c r="H801" s="91" t="s">
        <v>33</v>
      </c>
      <c r="I801" s="99">
        <v>44562</v>
      </c>
      <c r="J801" s="100">
        <f>EFEITO!$J$801*EFEITO!$Y$801</f>
        <v>0</v>
      </c>
      <c r="K801" s="100">
        <f ca="1">EFEITO!$L$801*EFEITO!$Z$801</f>
        <v>2820.3848321589662</v>
      </c>
      <c r="L801" s="100">
        <f>EFEITO!$N$801*EFEITO!$AA$801</f>
        <v>897.31243825961576</v>
      </c>
      <c r="M801" s="100">
        <f>$J$801-EFEITO!$K$801*EFEITO!$Y$801</f>
        <v>0</v>
      </c>
      <c r="N801" s="100">
        <f ca="1">$K$801-EFEITO!$M$801*EFEITO!$Z$801</f>
        <v>0</v>
      </c>
      <c r="O801" s="100">
        <f>$L$801-EFEITO!$O$801*EFEITO!$AA$801</f>
        <v>0</v>
      </c>
      <c r="P801" s="17"/>
      <c r="Q801" s="17"/>
      <c r="R801" s="17"/>
      <c r="S801" s="17"/>
      <c r="T801" s="17"/>
      <c r="U801" s="17"/>
      <c r="V801" s="17"/>
      <c r="W801" s="17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91" t="s">
        <v>21</v>
      </c>
      <c r="B802" s="91" t="s">
        <v>36</v>
      </c>
      <c r="C802" s="91" t="s">
        <v>32</v>
      </c>
      <c r="D802" s="91" t="s">
        <v>41</v>
      </c>
      <c r="E802" s="91" t="s">
        <v>25</v>
      </c>
      <c r="F802" s="91" t="s">
        <v>25</v>
      </c>
      <c r="G802" s="91" t="s">
        <v>25</v>
      </c>
      <c r="H802" s="91" t="s">
        <v>33</v>
      </c>
      <c r="I802" s="99">
        <v>44593</v>
      </c>
      <c r="J802" s="100">
        <f>EFEITO!$J$802*EFEITO!$Y$802</f>
        <v>0</v>
      </c>
      <c r="K802" s="100">
        <f ca="1">EFEITO!$L$802*EFEITO!$Z$802</f>
        <v>2079.1725850943367</v>
      </c>
      <c r="L802" s="100">
        <f>EFEITO!$N$802*EFEITO!$AA$802</f>
        <v>661.49392119138736</v>
      </c>
      <c r="M802" s="100">
        <f>$J$802-EFEITO!$K$802*EFEITO!$Y$802</f>
        <v>0</v>
      </c>
      <c r="N802" s="100">
        <f ca="1">$K$802-EFEITO!$M$802*EFEITO!$Z$802</f>
        <v>0</v>
      </c>
      <c r="O802" s="100">
        <f>$L$802-EFEITO!$O$802*EFEITO!$AA$802</f>
        <v>0</v>
      </c>
      <c r="P802" s="17"/>
      <c r="Q802" s="17"/>
      <c r="R802" s="17"/>
      <c r="S802" s="17"/>
      <c r="T802" s="17"/>
      <c r="U802" s="17"/>
      <c r="V802" s="17"/>
      <c r="W802" s="17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91" t="s">
        <v>21</v>
      </c>
      <c r="B803" s="91" t="s">
        <v>36</v>
      </c>
      <c r="C803" s="91" t="s">
        <v>32</v>
      </c>
      <c r="D803" s="91" t="s">
        <v>41</v>
      </c>
      <c r="E803" s="91" t="s">
        <v>25</v>
      </c>
      <c r="F803" s="91" t="s">
        <v>25</v>
      </c>
      <c r="G803" s="91" t="s">
        <v>25</v>
      </c>
      <c r="H803" s="91" t="s">
        <v>33</v>
      </c>
      <c r="I803" s="99">
        <v>44621</v>
      </c>
      <c r="J803" s="100">
        <f>EFEITO!$J$803*EFEITO!$Y$803</f>
        <v>0</v>
      </c>
      <c r="K803" s="100">
        <f ca="1">EFEITO!$L$803*EFEITO!$Z$803</f>
        <v>1633.5562266641768</v>
      </c>
      <c r="L803" s="100">
        <f>EFEITO!$N$803*EFEITO!$AA$803</f>
        <v>519.71997015036845</v>
      </c>
      <c r="M803" s="100">
        <f>$J$803-EFEITO!$K$803*EFEITO!$Y$803</f>
        <v>0</v>
      </c>
      <c r="N803" s="100">
        <f ca="1">$K$803-EFEITO!$M$803*EFEITO!$Z$803</f>
        <v>0</v>
      </c>
      <c r="O803" s="100">
        <f>$L$803-EFEITO!$O$803*EFEITO!$AA$803</f>
        <v>0</v>
      </c>
      <c r="P803" s="17"/>
      <c r="Q803" s="17"/>
      <c r="R803" s="17"/>
      <c r="S803" s="17"/>
      <c r="T803" s="17"/>
      <c r="U803" s="17"/>
      <c r="V803" s="17"/>
      <c r="W803" s="17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91" t="s">
        <v>21</v>
      </c>
      <c r="B804" s="91" t="s">
        <v>36</v>
      </c>
      <c r="C804" s="91" t="s">
        <v>32</v>
      </c>
      <c r="D804" s="91" t="s">
        <v>41</v>
      </c>
      <c r="E804" s="91" t="s">
        <v>25</v>
      </c>
      <c r="F804" s="91" t="s">
        <v>25</v>
      </c>
      <c r="G804" s="91" t="s">
        <v>25</v>
      </c>
      <c r="H804" s="91" t="s">
        <v>33</v>
      </c>
      <c r="I804" s="99">
        <v>44652</v>
      </c>
      <c r="J804" s="100">
        <f>EFEITO!$J$804*EFEITO!$Y$804</f>
        <v>0</v>
      </c>
      <c r="K804" s="100">
        <f ca="1">EFEITO!$L$804*EFEITO!$Z$804</f>
        <v>2118.0667809672932</v>
      </c>
      <c r="L804" s="100">
        <f>EFEITO!$N$804*EFEITO!$AA$804</f>
        <v>673.86820619496757</v>
      </c>
      <c r="M804" s="100">
        <f>$J$804-EFEITO!$K$804*EFEITO!$Y$804</f>
        <v>0</v>
      </c>
      <c r="N804" s="100">
        <f ca="1">$K$804-EFEITO!$M$804*EFEITO!$Z$804</f>
        <v>0</v>
      </c>
      <c r="O804" s="100">
        <f>$L$804-EFEITO!$O$804*EFEITO!$AA$804</f>
        <v>0</v>
      </c>
      <c r="P804" s="17"/>
      <c r="Q804" s="17"/>
      <c r="R804" s="17"/>
      <c r="S804" s="17"/>
      <c r="T804" s="17"/>
      <c r="U804" s="17"/>
      <c r="V804" s="17"/>
      <c r="W804" s="17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91" t="s">
        <v>21</v>
      </c>
      <c r="B805" s="91" t="s">
        <v>36</v>
      </c>
      <c r="C805" s="91" t="s">
        <v>32</v>
      </c>
      <c r="D805" s="91" t="s">
        <v>41</v>
      </c>
      <c r="E805" s="91" t="s">
        <v>25</v>
      </c>
      <c r="F805" s="91" t="s">
        <v>25</v>
      </c>
      <c r="G805" s="91" t="s">
        <v>25</v>
      </c>
      <c r="H805" s="91" t="s">
        <v>33</v>
      </c>
      <c r="I805" s="99">
        <v>44682</v>
      </c>
      <c r="J805" s="100">
        <f>EFEITO!$J$805*EFEITO!$Y$805</f>
        <v>0</v>
      </c>
      <c r="K805" s="100">
        <f ca="1">EFEITO!$L$805*EFEITO!$Z$805</f>
        <v>1587.9944543558563</v>
      </c>
      <c r="L805" s="100">
        <f>EFEITO!$N$805*EFEITO!$AA$805</f>
        <v>505.22437914617456</v>
      </c>
      <c r="M805" s="100">
        <f>$J$805-EFEITO!$K$805*EFEITO!$Y$805</f>
        <v>0</v>
      </c>
      <c r="N805" s="100">
        <f ca="1">$K$805-EFEITO!$M$805*EFEITO!$Z$805</f>
        <v>0</v>
      </c>
      <c r="O805" s="100">
        <f>$L$805-EFEITO!$O$805*EFEITO!$AA$805</f>
        <v>0</v>
      </c>
      <c r="P805" s="17"/>
      <c r="Q805" s="17"/>
      <c r="R805" s="17"/>
      <c r="S805" s="17"/>
      <c r="T805" s="17"/>
      <c r="U805" s="17"/>
      <c r="V805" s="17"/>
      <c r="W805" s="17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91" t="s">
        <v>56</v>
      </c>
      <c r="B806" s="91" t="s">
        <v>36</v>
      </c>
      <c r="C806" s="91" t="s">
        <v>32</v>
      </c>
      <c r="D806" s="91" t="s">
        <v>41</v>
      </c>
      <c r="E806" s="91" t="s">
        <v>25</v>
      </c>
      <c r="F806" s="91" t="s">
        <v>25</v>
      </c>
      <c r="G806" s="91" t="s">
        <v>25</v>
      </c>
      <c r="H806" s="91" t="s">
        <v>33</v>
      </c>
      <c r="I806" s="99">
        <v>44713</v>
      </c>
      <c r="J806" s="100">
        <f>EFEITO!$J$806*EFEITO!$Y$806</f>
        <v>0</v>
      </c>
      <c r="K806" s="100">
        <f ca="1">EFEITO!$L$806*EFEITO!$Z$806</f>
        <v>1587.9944543558563</v>
      </c>
      <c r="L806" s="100">
        <f>EFEITO!$N$806*EFEITO!$AA$806</f>
        <v>505.22437914617456</v>
      </c>
      <c r="M806" s="100">
        <f>$J$806-EFEITO!$K$806*EFEITO!$Y$806</f>
        <v>0</v>
      </c>
      <c r="N806" s="100">
        <f ca="1">$K$806-EFEITO!$M$806*EFEITO!$Z$806</f>
        <v>0</v>
      </c>
      <c r="O806" s="100">
        <f>$L$806-EFEITO!$O$806*EFEITO!$AA$806</f>
        <v>0</v>
      </c>
      <c r="P806" s="17"/>
      <c r="Q806" s="17"/>
      <c r="R806" s="17"/>
      <c r="S806" s="17"/>
      <c r="T806" s="17"/>
      <c r="U806" s="17"/>
      <c r="V806" s="17"/>
      <c r="W806" s="17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91" t="s">
        <v>21</v>
      </c>
      <c r="B807" s="91" t="s">
        <v>36</v>
      </c>
      <c r="C807" s="91" t="s">
        <v>23</v>
      </c>
      <c r="D807" s="91" t="s">
        <v>41</v>
      </c>
      <c r="E807" s="91" t="s">
        <v>25</v>
      </c>
      <c r="F807" s="91" t="s">
        <v>25</v>
      </c>
      <c r="G807" s="91" t="s">
        <v>25</v>
      </c>
      <c r="H807" s="91" t="s">
        <v>25</v>
      </c>
      <c r="I807" s="99">
        <v>44378</v>
      </c>
      <c r="J807" s="100">
        <f>EFEITO!$J$807*EFEITO!$Y$807</f>
        <v>0</v>
      </c>
      <c r="K807" s="100">
        <f ca="1">EFEITO!$L$807*EFEITO!$Z$807</f>
        <v>493972.43797948596</v>
      </c>
      <c r="L807" s="100">
        <f>EFEITO!$N$807*EFEITO!$AA$807</f>
        <v>344992.60035874438</v>
      </c>
      <c r="M807" s="100">
        <f>$J$807-EFEITO!$K$807*EFEITO!$Y$807</f>
        <v>0</v>
      </c>
      <c r="N807" s="100">
        <f ca="1">$K$807-EFEITO!$M$807*EFEITO!$Z$807</f>
        <v>0</v>
      </c>
      <c r="O807" s="100">
        <f>$L$807-EFEITO!$O$807*EFEITO!$AA$807</f>
        <v>0</v>
      </c>
      <c r="P807" s="17"/>
      <c r="Q807" s="17"/>
      <c r="R807" s="17"/>
      <c r="S807" s="17"/>
      <c r="T807" s="17"/>
      <c r="U807" s="17"/>
      <c r="V807" s="17"/>
      <c r="W807" s="17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91" t="s">
        <v>27</v>
      </c>
      <c r="B808" s="91" t="s">
        <v>36</v>
      </c>
      <c r="C808" s="91" t="s">
        <v>23</v>
      </c>
      <c r="D808" s="91" t="s">
        <v>41</v>
      </c>
      <c r="E808" s="91" t="s">
        <v>25</v>
      </c>
      <c r="F808" s="91" t="s">
        <v>25</v>
      </c>
      <c r="G808" s="91" t="s">
        <v>25</v>
      </c>
      <c r="H808" s="91" t="s">
        <v>25</v>
      </c>
      <c r="I808" s="99">
        <v>44378</v>
      </c>
      <c r="J808" s="100">
        <f>EFEITO!$J$808*EFEITO!$Y$808</f>
        <v>0</v>
      </c>
      <c r="K808" s="100">
        <f ca="1">EFEITO!$L$808*EFEITO!$Z$808</f>
        <v>13.86656025896545</v>
      </c>
      <c r="L808" s="100">
        <f>EFEITO!$N$808*EFEITO!$AA$808</f>
        <v>9.6844688366406029</v>
      </c>
      <c r="M808" s="100">
        <f>$J$808-EFEITO!$K$808*EFEITO!$Y$808</f>
        <v>0</v>
      </c>
      <c r="N808" s="100">
        <f ca="1">$K$808-EFEITO!$M$808*EFEITO!$Z$808</f>
        <v>0</v>
      </c>
      <c r="O808" s="100">
        <f>$L$808-EFEITO!$O$808*EFEITO!$AA$808</f>
        <v>0</v>
      </c>
      <c r="P808" s="17"/>
      <c r="Q808" s="17"/>
      <c r="R808" s="17"/>
      <c r="S808" s="17"/>
      <c r="T808" s="17"/>
      <c r="U808" s="17"/>
      <c r="V808" s="17"/>
      <c r="W808" s="17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91" t="s">
        <v>21</v>
      </c>
      <c r="B809" s="91" t="s">
        <v>36</v>
      </c>
      <c r="C809" s="91" t="s">
        <v>23</v>
      </c>
      <c r="D809" s="91" t="s">
        <v>41</v>
      </c>
      <c r="E809" s="91" t="s">
        <v>25</v>
      </c>
      <c r="F809" s="91" t="s">
        <v>25</v>
      </c>
      <c r="G809" s="91" t="s">
        <v>25</v>
      </c>
      <c r="H809" s="91" t="s">
        <v>25</v>
      </c>
      <c r="I809" s="99">
        <v>44409</v>
      </c>
      <c r="J809" s="100">
        <f>EFEITO!$J$809*EFEITO!$Y$809</f>
        <v>0</v>
      </c>
      <c r="K809" s="100">
        <f ca="1">EFEITO!$L$809*EFEITO!$Z$809</f>
        <v>488720.9735156977</v>
      </c>
      <c r="L809" s="100">
        <f>EFEITO!$N$809*EFEITO!$AA$809</f>
        <v>341324.95366075373</v>
      </c>
      <c r="M809" s="100">
        <f>$J$809-EFEITO!$K$809*EFEITO!$Y$809</f>
        <v>0</v>
      </c>
      <c r="N809" s="100">
        <f ca="1">$K$809-EFEITO!$M$809*EFEITO!$Z$809</f>
        <v>0</v>
      </c>
      <c r="O809" s="100">
        <f>$L$809-EFEITO!$O$809*EFEITO!$AA$809</f>
        <v>0</v>
      </c>
      <c r="P809" s="17"/>
      <c r="Q809" s="17"/>
      <c r="R809" s="17"/>
      <c r="S809" s="17"/>
      <c r="T809" s="17"/>
      <c r="U809" s="17"/>
      <c r="V809" s="17"/>
      <c r="W809" s="17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91" t="s">
        <v>27</v>
      </c>
      <c r="B810" s="91" t="s">
        <v>36</v>
      </c>
      <c r="C810" s="91" t="s">
        <v>23</v>
      </c>
      <c r="D810" s="91" t="s">
        <v>41</v>
      </c>
      <c r="E810" s="91" t="s">
        <v>25</v>
      </c>
      <c r="F810" s="91" t="s">
        <v>25</v>
      </c>
      <c r="G810" s="91" t="s">
        <v>25</v>
      </c>
      <c r="H810" s="91" t="s">
        <v>25</v>
      </c>
      <c r="I810" s="99">
        <v>44409</v>
      </c>
      <c r="J810" s="100">
        <f>EFEITO!$J$810*EFEITO!$Y$810</f>
        <v>0</v>
      </c>
      <c r="K810" s="100">
        <f ca="1">EFEITO!$L$810*EFEITO!$Z$810</f>
        <v>-21.790308978374277</v>
      </c>
      <c r="L810" s="100">
        <f>EFEITO!$N$810*EFEITO!$AA$810</f>
        <v>-15.218451029006662</v>
      </c>
      <c r="M810" s="100">
        <f>$J$810-EFEITO!$K$810*EFEITO!$Y$810</f>
        <v>0</v>
      </c>
      <c r="N810" s="100">
        <f ca="1">$K$810-EFEITO!$M$810*EFEITO!$Z$810</f>
        <v>0</v>
      </c>
      <c r="O810" s="100">
        <f>$L$810-EFEITO!$O$810*EFEITO!$AA$810</f>
        <v>0</v>
      </c>
      <c r="P810" s="17"/>
      <c r="Q810" s="17"/>
      <c r="R810" s="17"/>
      <c r="S810" s="17"/>
      <c r="T810" s="17"/>
      <c r="U810" s="17"/>
      <c r="V810" s="17"/>
      <c r="W810" s="17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91" t="s">
        <v>55</v>
      </c>
      <c r="B811" s="91" t="s">
        <v>36</v>
      </c>
      <c r="C811" s="91" t="s">
        <v>23</v>
      </c>
      <c r="D811" s="91" t="s">
        <v>41</v>
      </c>
      <c r="E811" s="91" t="s">
        <v>25</v>
      </c>
      <c r="F811" s="91" t="s">
        <v>25</v>
      </c>
      <c r="G811" s="91" t="s">
        <v>25</v>
      </c>
      <c r="H811" s="91" t="s">
        <v>25</v>
      </c>
      <c r="I811" s="99">
        <v>44409</v>
      </c>
      <c r="J811" s="100">
        <f>EFEITO!$J$811*EFEITO!$Y$811</f>
        <v>0</v>
      </c>
      <c r="K811" s="100">
        <f ca="1">EFEITO!$L$811*EFEITO!$Z$811</f>
        <v>32491.331623935901</v>
      </c>
      <c r="L811" s="100">
        <f>EFEITO!$N$811*EFEITO!$AA$811</f>
        <v>22692.093979797024</v>
      </c>
      <c r="M811" s="100">
        <f>$J$811-EFEITO!$K$811*EFEITO!$Y$811</f>
        <v>0</v>
      </c>
      <c r="N811" s="100">
        <f ca="1">$K$811-EFEITO!$M$811*EFEITO!$Z$811</f>
        <v>0</v>
      </c>
      <c r="O811" s="100">
        <f>$L$811-EFEITO!$O$811*EFEITO!$AA$811</f>
        <v>0</v>
      </c>
      <c r="P811" s="17"/>
      <c r="Q811" s="17"/>
      <c r="R811" s="17"/>
      <c r="S811" s="17"/>
      <c r="T811" s="17"/>
      <c r="U811" s="17"/>
      <c r="V811" s="17"/>
      <c r="W811" s="17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91" t="s">
        <v>21</v>
      </c>
      <c r="B812" s="91" t="s">
        <v>36</v>
      </c>
      <c r="C812" s="91" t="s">
        <v>23</v>
      </c>
      <c r="D812" s="91" t="s">
        <v>41</v>
      </c>
      <c r="E812" s="91" t="s">
        <v>25</v>
      </c>
      <c r="F812" s="91" t="s">
        <v>25</v>
      </c>
      <c r="G812" s="91" t="s">
        <v>25</v>
      </c>
      <c r="H812" s="91" t="s">
        <v>25</v>
      </c>
      <c r="I812" s="99">
        <v>44440</v>
      </c>
      <c r="J812" s="100">
        <f>EFEITO!$J$812*EFEITO!$Y$812</f>
        <v>0</v>
      </c>
      <c r="K812" s="100">
        <f ca="1">EFEITO!$L$812*EFEITO!$Z$812</f>
        <v>473129.67728547426</v>
      </c>
      <c r="L812" s="100">
        <f>EFEITO!$N$812*EFEITO!$AA$812</f>
        <v>330435.92136690812</v>
      </c>
      <c r="M812" s="100">
        <f>$J$812-EFEITO!$K$812*EFEITO!$Y$812</f>
        <v>0</v>
      </c>
      <c r="N812" s="100">
        <f ca="1">$K$812-EFEITO!$M$812*EFEITO!$Z$812</f>
        <v>0</v>
      </c>
      <c r="O812" s="100">
        <f>$L$812-EFEITO!$O$812*EFEITO!$AA$812</f>
        <v>0</v>
      </c>
      <c r="P812" s="17"/>
      <c r="Q812" s="17"/>
      <c r="R812" s="17"/>
      <c r="S812" s="17"/>
      <c r="T812" s="17"/>
      <c r="U812" s="17"/>
      <c r="V812" s="17"/>
      <c r="W812" s="17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91" t="s">
        <v>27</v>
      </c>
      <c r="B813" s="91" t="s">
        <v>36</v>
      </c>
      <c r="C813" s="91" t="s">
        <v>23</v>
      </c>
      <c r="D813" s="91" t="s">
        <v>41</v>
      </c>
      <c r="E813" s="91" t="s">
        <v>25</v>
      </c>
      <c r="F813" s="91" t="s">
        <v>25</v>
      </c>
      <c r="G813" s="91" t="s">
        <v>25</v>
      </c>
      <c r="H813" s="91" t="s">
        <v>25</v>
      </c>
      <c r="I813" s="99">
        <v>44440</v>
      </c>
      <c r="J813" s="100">
        <f>EFEITO!$J$813*EFEITO!$Y$813</f>
        <v>0</v>
      </c>
      <c r="K813" s="100">
        <f ca="1">EFEITO!$L$813*EFEITO!$Z$813</f>
        <v>-1000.3732758253644</v>
      </c>
      <c r="L813" s="100">
        <f>EFEITO!$N$813*EFEITO!$AA$813</f>
        <v>-698.66525178621487</v>
      </c>
      <c r="M813" s="100">
        <f>$J$813-EFEITO!$K$813*EFEITO!$Y$813</f>
        <v>0</v>
      </c>
      <c r="N813" s="100">
        <f ca="1">$K$813-EFEITO!$M$813*EFEITO!$Z$813</f>
        <v>0</v>
      </c>
      <c r="O813" s="100">
        <f>$L$813-EFEITO!$O$813*EFEITO!$AA$813</f>
        <v>0</v>
      </c>
      <c r="P813" s="17"/>
      <c r="Q813" s="17"/>
      <c r="R813" s="17"/>
      <c r="S813" s="17"/>
      <c r="T813" s="17"/>
      <c r="U813" s="17"/>
      <c r="V813" s="17"/>
      <c r="W813" s="17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91" t="s">
        <v>55</v>
      </c>
      <c r="B814" s="91" t="s">
        <v>36</v>
      </c>
      <c r="C814" s="91" t="s">
        <v>23</v>
      </c>
      <c r="D814" s="91" t="s">
        <v>41</v>
      </c>
      <c r="E814" s="91" t="s">
        <v>25</v>
      </c>
      <c r="F814" s="91" t="s">
        <v>25</v>
      </c>
      <c r="G814" s="91" t="s">
        <v>25</v>
      </c>
      <c r="H814" s="91" t="s">
        <v>25</v>
      </c>
      <c r="I814" s="99">
        <v>44440</v>
      </c>
      <c r="J814" s="100">
        <f>EFEITO!$J$814*EFEITO!$Y$814</f>
        <v>0</v>
      </c>
      <c r="K814" s="100">
        <f ca="1">EFEITO!$L$814*EFEITO!$Z$814</f>
        <v>33699.3731474491</v>
      </c>
      <c r="L814" s="100">
        <f>EFEITO!$N$814*EFEITO!$AA$814</f>
        <v>23535.795681541498</v>
      </c>
      <c r="M814" s="100">
        <f>$J$814-EFEITO!$K$814*EFEITO!$Y$814</f>
        <v>0</v>
      </c>
      <c r="N814" s="100">
        <f ca="1">$K$814-EFEITO!$M$814*EFEITO!$Z$814</f>
        <v>0</v>
      </c>
      <c r="O814" s="100">
        <f>$L$814-EFEITO!$O$814*EFEITO!$AA$814</f>
        <v>0</v>
      </c>
      <c r="P814" s="17"/>
      <c r="Q814" s="17"/>
      <c r="R814" s="17"/>
      <c r="S814" s="17"/>
      <c r="T814" s="17"/>
      <c r="U814" s="17"/>
      <c r="V814" s="17"/>
      <c r="W814" s="17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91" t="s">
        <v>55</v>
      </c>
      <c r="B815" s="91" t="s">
        <v>36</v>
      </c>
      <c r="C815" s="91" t="s">
        <v>23</v>
      </c>
      <c r="D815" s="91" t="s">
        <v>41</v>
      </c>
      <c r="E815" s="91" t="s">
        <v>25</v>
      </c>
      <c r="F815" s="91" t="s">
        <v>25</v>
      </c>
      <c r="G815" s="91" t="s">
        <v>25</v>
      </c>
      <c r="H815" s="91" t="s">
        <v>25</v>
      </c>
      <c r="I815" s="99">
        <v>44440</v>
      </c>
      <c r="J815" s="100">
        <f>EFEITO!$J$815*EFEITO!$Y$815</f>
        <v>0</v>
      </c>
      <c r="K815" s="100">
        <f ca="1">EFEITO!$L$815*EFEITO!$Z$815</f>
        <v>329.16572805210842</v>
      </c>
      <c r="L815" s="100">
        <f>EFEITO!$N$815*EFEITO!$AA$815</f>
        <v>229.89084357454001</v>
      </c>
      <c r="M815" s="100">
        <f>$J$815-EFEITO!$K$815*EFEITO!$Y$815</f>
        <v>0</v>
      </c>
      <c r="N815" s="100">
        <f ca="1">$K$815-EFEITO!$M$815*EFEITO!$Z$815</f>
        <v>0</v>
      </c>
      <c r="O815" s="100">
        <f>$L$815-EFEITO!$O$815*EFEITO!$AA$815</f>
        <v>0</v>
      </c>
      <c r="P815" s="17"/>
      <c r="Q815" s="17"/>
      <c r="R815" s="17"/>
      <c r="S815" s="17"/>
      <c r="T815" s="17"/>
      <c r="U815" s="17"/>
      <c r="V815" s="17"/>
      <c r="W815" s="17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91" t="s">
        <v>21</v>
      </c>
      <c r="B816" s="91" t="s">
        <v>36</v>
      </c>
      <c r="C816" s="91" t="s">
        <v>23</v>
      </c>
      <c r="D816" s="91" t="s">
        <v>41</v>
      </c>
      <c r="E816" s="91" t="s">
        <v>25</v>
      </c>
      <c r="F816" s="91" t="s">
        <v>25</v>
      </c>
      <c r="G816" s="91" t="s">
        <v>25</v>
      </c>
      <c r="H816" s="91" t="s">
        <v>25</v>
      </c>
      <c r="I816" s="99">
        <v>44470</v>
      </c>
      <c r="J816" s="100">
        <f>EFEITO!$J$816*EFEITO!$Y$816</f>
        <v>0</v>
      </c>
      <c r="K816" s="100">
        <f ca="1">EFEITO!$L$816*EFEITO!$Z$816</f>
        <v>480864.90681660053</v>
      </c>
      <c r="L816" s="100">
        <f>EFEITO!$N$816*EFEITO!$AA$816</f>
        <v>335838.24089961417</v>
      </c>
      <c r="M816" s="100">
        <f>$J$816-EFEITO!$K$816*EFEITO!$Y$816</f>
        <v>0</v>
      </c>
      <c r="N816" s="100">
        <f ca="1">$K$816-EFEITO!$M$816*EFEITO!$Z$816</f>
        <v>0</v>
      </c>
      <c r="O816" s="100">
        <f>$L$816-EFEITO!$O$816*EFEITO!$AA$816</f>
        <v>0</v>
      </c>
      <c r="P816" s="17"/>
      <c r="Q816" s="17"/>
      <c r="R816" s="17"/>
      <c r="S816" s="17"/>
      <c r="T816" s="17"/>
      <c r="U816" s="17"/>
      <c r="V816" s="17"/>
      <c r="W816" s="17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91" t="s">
        <v>27</v>
      </c>
      <c r="B817" s="91" t="s">
        <v>36</v>
      </c>
      <c r="C817" s="91" t="s">
        <v>23</v>
      </c>
      <c r="D817" s="91" t="s">
        <v>41</v>
      </c>
      <c r="E817" s="91" t="s">
        <v>25</v>
      </c>
      <c r="F817" s="91" t="s">
        <v>25</v>
      </c>
      <c r="G817" s="91" t="s">
        <v>25</v>
      </c>
      <c r="H817" s="91" t="s">
        <v>25</v>
      </c>
      <c r="I817" s="99">
        <v>44470</v>
      </c>
      <c r="J817" s="100">
        <f>EFEITO!$J$817*EFEITO!$Y$817</f>
        <v>0</v>
      </c>
      <c r="K817" s="100">
        <f ca="1">EFEITO!$L$817*EFEITO!$Z$817</f>
        <v>-3647.8958166978391</v>
      </c>
      <c r="L817" s="100">
        <f>EFEITO!$N$817*EFEITO!$AA$817</f>
        <v>-2547.7070518105238</v>
      </c>
      <c r="M817" s="100">
        <f>$J$817-EFEITO!$K$817*EFEITO!$Y$817</f>
        <v>0</v>
      </c>
      <c r="N817" s="100">
        <f ca="1">$K$817-EFEITO!$M$817*EFEITO!$Z$817</f>
        <v>0</v>
      </c>
      <c r="O817" s="100">
        <f>$L$817-EFEITO!$O$817*EFEITO!$AA$817</f>
        <v>0</v>
      </c>
      <c r="P817" s="17"/>
      <c r="Q817" s="17"/>
      <c r="R817" s="17"/>
      <c r="S817" s="17"/>
      <c r="T817" s="17"/>
      <c r="U817" s="17"/>
      <c r="V817" s="17"/>
      <c r="W817" s="17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91" t="s">
        <v>55</v>
      </c>
      <c r="B818" s="91" t="s">
        <v>36</v>
      </c>
      <c r="C818" s="91" t="s">
        <v>23</v>
      </c>
      <c r="D818" s="91" t="s">
        <v>41</v>
      </c>
      <c r="E818" s="91" t="s">
        <v>25</v>
      </c>
      <c r="F818" s="91" t="s">
        <v>25</v>
      </c>
      <c r="G818" s="91" t="s">
        <v>25</v>
      </c>
      <c r="H818" s="91" t="s">
        <v>25</v>
      </c>
      <c r="I818" s="99">
        <v>44470</v>
      </c>
      <c r="J818" s="100">
        <f>EFEITO!$J$818*EFEITO!$Y$818</f>
        <v>0</v>
      </c>
      <c r="K818" s="100">
        <f ca="1">EFEITO!$L$818*EFEITO!$Z$818</f>
        <v>31158.821214288651</v>
      </c>
      <c r="L818" s="100">
        <f>EFEITO!$N$818*EFEITO!$AA$818</f>
        <v>21761.462641114133</v>
      </c>
      <c r="M818" s="100">
        <f>$J$818-EFEITO!$K$818*EFEITO!$Y$818</f>
        <v>0</v>
      </c>
      <c r="N818" s="100">
        <f ca="1">$K$818-EFEITO!$M$818*EFEITO!$Z$818</f>
        <v>0</v>
      </c>
      <c r="O818" s="100">
        <f>$L$818-EFEITO!$O$818*EFEITO!$AA$818</f>
        <v>0</v>
      </c>
      <c r="P818" s="17"/>
      <c r="Q818" s="17"/>
      <c r="R818" s="17"/>
      <c r="S818" s="17"/>
      <c r="T818" s="17"/>
      <c r="U818" s="17"/>
      <c r="V818" s="17"/>
      <c r="W818" s="17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91" t="s">
        <v>21</v>
      </c>
      <c r="B819" s="91" t="s">
        <v>36</v>
      </c>
      <c r="C819" s="91" t="s">
        <v>23</v>
      </c>
      <c r="D819" s="91" t="s">
        <v>41</v>
      </c>
      <c r="E819" s="91" t="s">
        <v>25</v>
      </c>
      <c r="F819" s="91" t="s">
        <v>25</v>
      </c>
      <c r="G819" s="91" t="s">
        <v>25</v>
      </c>
      <c r="H819" s="91" t="s">
        <v>25</v>
      </c>
      <c r="I819" s="99">
        <v>44501</v>
      </c>
      <c r="J819" s="100">
        <f>EFEITO!$J$819*EFEITO!$Y$819</f>
        <v>0</v>
      </c>
      <c r="K819" s="100">
        <f ca="1">EFEITO!$L$819*EFEITO!$Z$819</f>
        <v>536262.80551975733</v>
      </c>
      <c r="L819" s="100">
        <f>EFEITO!$N$819*EFEITO!$AA$819</f>
        <v>374528.38564976741</v>
      </c>
      <c r="M819" s="100">
        <f>$J$819-EFEITO!$K$819*EFEITO!$Y$819</f>
        <v>0</v>
      </c>
      <c r="N819" s="100">
        <f ca="1">$K$819-EFEITO!$M$819*EFEITO!$Z$819</f>
        <v>0</v>
      </c>
      <c r="O819" s="100">
        <f>$L$819-EFEITO!$O$819*EFEITO!$AA$819</f>
        <v>0</v>
      </c>
      <c r="P819" s="17"/>
      <c r="Q819" s="17"/>
      <c r="R819" s="17"/>
      <c r="S819" s="17"/>
      <c r="T819" s="17"/>
      <c r="U819" s="17"/>
      <c r="V819" s="17"/>
      <c r="W819" s="17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91" t="s">
        <v>27</v>
      </c>
      <c r="B820" s="91" t="s">
        <v>36</v>
      </c>
      <c r="C820" s="91" t="s">
        <v>23</v>
      </c>
      <c r="D820" s="91" t="s">
        <v>41</v>
      </c>
      <c r="E820" s="91" t="s">
        <v>25</v>
      </c>
      <c r="F820" s="91" t="s">
        <v>25</v>
      </c>
      <c r="G820" s="91" t="s">
        <v>25</v>
      </c>
      <c r="H820" s="91" t="s">
        <v>25</v>
      </c>
      <c r="I820" s="99">
        <v>44501</v>
      </c>
      <c r="J820" s="100">
        <f>EFEITO!$J$820*EFEITO!$Y$820</f>
        <v>0</v>
      </c>
      <c r="K820" s="100">
        <f ca="1">EFEITO!$L$820*EFEITO!$Z$820</f>
        <v>-2508.8569382828205</v>
      </c>
      <c r="L820" s="100">
        <f>EFEITO!$N$820*EFEITO!$AA$820</f>
        <v>-1752.1971116579032</v>
      </c>
      <c r="M820" s="100">
        <f>$J$820-EFEITO!$K$820*EFEITO!$Y$820</f>
        <v>0</v>
      </c>
      <c r="N820" s="100">
        <f ca="1">$K$820-EFEITO!$M$820*EFEITO!$Z$820</f>
        <v>0</v>
      </c>
      <c r="O820" s="100">
        <f>$L$820-EFEITO!$O$820*EFEITO!$AA$820</f>
        <v>0</v>
      </c>
      <c r="P820" s="17"/>
      <c r="Q820" s="17"/>
      <c r="R820" s="17"/>
      <c r="S820" s="17"/>
      <c r="T820" s="17"/>
      <c r="U820" s="17"/>
      <c r="V820" s="17"/>
      <c r="W820" s="17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91" t="s">
        <v>55</v>
      </c>
      <c r="B821" s="91" t="s">
        <v>36</v>
      </c>
      <c r="C821" s="91" t="s">
        <v>23</v>
      </c>
      <c r="D821" s="91" t="s">
        <v>41</v>
      </c>
      <c r="E821" s="91" t="s">
        <v>25</v>
      </c>
      <c r="F821" s="91" t="s">
        <v>25</v>
      </c>
      <c r="G821" s="91" t="s">
        <v>25</v>
      </c>
      <c r="H821" s="91" t="s">
        <v>25</v>
      </c>
      <c r="I821" s="99">
        <v>44501</v>
      </c>
      <c r="J821" s="100">
        <f>EFEITO!$J$821*EFEITO!$Y$821</f>
        <v>0</v>
      </c>
      <c r="K821" s="100">
        <f ca="1">EFEITO!$L$821*EFEITO!$Z$821</f>
        <v>30088.12466857853</v>
      </c>
      <c r="L821" s="100">
        <f>EFEITO!$N$821*EFEITO!$AA$821</f>
        <v>21013.683297370666</v>
      </c>
      <c r="M821" s="100">
        <f>$J$821-EFEITO!$K$821*EFEITO!$Y$821</f>
        <v>0</v>
      </c>
      <c r="N821" s="100">
        <f ca="1">$K$821-EFEITO!$M$821*EFEITO!$Z$821</f>
        <v>0</v>
      </c>
      <c r="O821" s="100">
        <f>$L$821-EFEITO!$O$821*EFEITO!$AA$821</f>
        <v>0</v>
      </c>
      <c r="P821" s="17"/>
      <c r="Q821" s="17"/>
      <c r="R821" s="17"/>
      <c r="S821" s="17"/>
      <c r="T821" s="17"/>
      <c r="U821" s="17"/>
      <c r="V821" s="17"/>
      <c r="W821" s="17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91" t="s">
        <v>21</v>
      </c>
      <c r="B822" s="91" t="s">
        <v>36</v>
      </c>
      <c r="C822" s="91" t="s">
        <v>23</v>
      </c>
      <c r="D822" s="91" t="s">
        <v>41</v>
      </c>
      <c r="E822" s="91" t="s">
        <v>25</v>
      </c>
      <c r="F822" s="91" t="s">
        <v>25</v>
      </c>
      <c r="G822" s="91" t="s">
        <v>25</v>
      </c>
      <c r="H822" s="91" t="s">
        <v>25</v>
      </c>
      <c r="I822" s="99">
        <v>44531</v>
      </c>
      <c r="J822" s="100">
        <f>EFEITO!$J$822*EFEITO!$Y$822</f>
        <v>0</v>
      </c>
      <c r="K822" s="100">
        <f ca="1">EFEITO!$L$822*EFEITO!$Z$822</f>
        <v>562664.07594043436</v>
      </c>
      <c r="L822" s="100">
        <f>EFEITO!$N$822*EFEITO!$AA$822</f>
        <v>392967.15314954845</v>
      </c>
      <c r="M822" s="100">
        <f>$J$822-EFEITO!$K$822*EFEITO!$Y$822</f>
        <v>0</v>
      </c>
      <c r="N822" s="100">
        <f ca="1">$K$822-EFEITO!$M$822*EFEITO!$Z$822</f>
        <v>0</v>
      </c>
      <c r="O822" s="100">
        <f>$L$822-EFEITO!$O$822*EFEITO!$AA$822</f>
        <v>0</v>
      </c>
      <c r="P822" s="17"/>
      <c r="Q822" s="17"/>
      <c r="R822" s="17"/>
      <c r="S822" s="17"/>
      <c r="T822" s="17"/>
      <c r="U822" s="17"/>
      <c r="V822" s="17"/>
      <c r="W822" s="17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91" t="s">
        <v>27</v>
      </c>
      <c r="B823" s="91" t="s">
        <v>36</v>
      </c>
      <c r="C823" s="91" t="s">
        <v>23</v>
      </c>
      <c r="D823" s="91" t="s">
        <v>41</v>
      </c>
      <c r="E823" s="91" t="s">
        <v>25</v>
      </c>
      <c r="F823" s="91" t="s">
        <v>25</v>
      </c>
      <c r="G823" s="91" t="s">
        <v>25</v>
      </c>
      <c r="H823" s="91" t="s">
        <v>25</v>
      </c>
      <c r="I823" s="99">
        <v>44531</v>
      </c>
      <c r="J823" s="100">
        <f>EFEITO!$J$823*EFEITO!$Y$823</f>
        <v>0</v>
      </c>
      <c r="K823" s="100">
        <f ca="1">EFEITO!$L$823*EFEITO!$Z$823</f>
        <v>-69898.689015871685</v>
      </c>
      <c r="L823" s="100">
        <f>EFEITO!$N$823*EFEITO!$AA$823</f>
        <v>-48817.562744774485</v>
      </c>
      <c r="M823" s="100">
        <f>$J$823-EFEITO!$K$823*EFEITO!$Y$823</f>
        <v>0</v>
      </c>
      <c r="N823" s="100">
        <f ca="1">$K$823-EFEITO!$M$823*EFEITO!$Z$823</f>
        <v>0</v>
      </c>
      <c r="O823" s="100">
        <f>$L$823-EFEITO!$O$823*EFEITO!$AA$823</f>
        <v>0</v>
      </c>
      <c r="P823" s="17"/>
      <c r="Q823" s="17"/>
      <c r="R823" s="17"/>
      <c r="S823" s="17"/>
      <c r="T823" s="17"/>
      <c r="U823" s="17"/>
      <c r="V823" s="17"/>
      <c r="W823" s="17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91" t="s">
        <v>55</v>
      </c>
      <c r="B824" s="91" t="s">
        <v>36</v>
      </c>
      <c r="C824" s="91" t="s">
        <v>23</v>
      </c>
      <c r="D824" s="91" t="s">
        <v>41</v>
      </c>
      <c r="E824" s="91" t="s">
        <v>25</v>
      </c>
      <c r="F824" s="91" t="s">
        <v>25</v>
      </c>
      <c r="G824" s="91" t="s">
        <v>25</v>
      </c>
      <c r="H824" s="91" t="s">
        <v>25</v>
      </c>
      <c r="I824" s="99">
        <v>44531</v>
      </c>
      <c r="J824" s="100">
        <f>EFEITO!$J$824*EFEITO!$Y$824</f>
        <v>0</v>
      </c>
      <c r="K824" s="100">
        <f ca="1">EFEITO!$L$824*EFEITO!$Z$824</f>
        <v>39935.363389623853</v>
      </c>
      <c r="L824" s="100">
        <f>EFEITO!$N$824*EFEITO!$AA$824</f>
        <v>27891.039666933586</v>
      </c>
      <c r="M824" s="100">
        <f>$J$824-EFEITO!$K$824*EFEITO!$Y$824</f>
        <v>0</v>
      </c>
      <c r="N824" s="100">
        <f ca="1">$K$824-EFEITO!$M$824*EFEITO!$Z$824</f>
        <v>0</v>
      </c>
      <c r="O824" s="100">
        <f>$L$824-EFEITO!$O$824*EFEITO!$AA$824</f>
        <v>0</v>
      </c>
      <c r="P824" s="17"/>
      <c r="Q824" s="17"/>
      <c r="R824" s="17"/>
      <c r="S824" s="17"/>
      <c r="T824" s="17"/>
      <c r="U824" s="17"/>
      <c r="V824" s="17"/>
      <c r="W824" s="17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91" t="s">
        <v>55</v>
      </c>
      <c r="B825" s="91" t="s">
        <v>36</v>
      </c>
      <c r="C825" s="91" t="s">
        <v>23</v>
      </c>
      <c r="D825" s="91" t="s">
        <v>41</v>
      </c>
      <c r="E825" s="91" t="s">
        <v>25</v>
      </c>
      <c r="F825" s="91" t="s">
        <v>25</v>
      </c>
      <c r="G825" s="91" t="s">
        <v>25</v>
      </c>
      <c r="H825" s="91" t="s">
        <v>25</v>
      </c>
      <c r="I825" s="99">
        <v>44531</v>
      </c>
      <c r="J825" s="100">
        <f>EFEITO!$J$825*EFEITO!$Y$825</f>
        <v>0</v>
      </c>
      <c r="K825" s="100">
        <f ca="1">EFEITO!$L$825*EFEITO!$Z$825</f>
        <v>33.015619664203449</v>
      </c>
      <c r="L825" s="100">
        <f>EFEITO!$N$825*EFEITO!$AA$825</f>
        <v>23.058259134858577</v>
      </c>
      <c r="M825" s="100">
        <f>$J$825-EFEITO!$K$825*EFEITO!$Y$825</f>
        <v>0</v>
      </c>
      <c r="N825" s="100">
        <f ca="1">$K$825-EFEITO!$M$825*EFEITO!$Z$825</f>
        <v>0</v>
      </c>
      <c r="O825" s="100">
        <f>$L$825-EFEITO!$O$825*EFEITO!$AA$825</f>
        <v>0</v>
      </c>
      <c r="P825" s="17"/>
      <c r="Q825" s="17"/>
      <c r="R825" s="17"/>
      <c r="S825" s="17"/>
      <c r="T825" s="17"/>
      <c r="U825" s="17"/>
      <c r="V825" s="17"/>
      <c r="W825" s="17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91" t="s">
        <v>21</v>
      </c>
      <c r="B826" s="91" t="s">
        <v>36</v>
      </c>
      <c r="C826" s="91" t="s">
        <v>23</v>
      </c>
      <c r="D826" s="91" t="s">
        <v>41</v>
      </c>
      <c r="E826" s="91" t="s">
        <v>25</v>
      </c>
      <c r="F826" s="91" t="s">
        <v>25</v>
      </c>
      <c r="G826" s="91" t="s">
        <v>25</v>
      </c>
      <c r="H826" s="91" t="s">
        <v>25</v>
      </c>
      <c r="I826" s="99">
        <v>44562</v>
      </c>
      <c r="J826" s="100">
        <f>EFEITO!$J$826*EFEITO!$Y$826</f>
        <v>0</v>
      </c>
      <c r="K826" s="100">
        <f ca="1">EFEITO!$L$826*EFEITO!$Z$826</f>
        <v>627098.019589487</v>
      </c>
      <c r="L826" s="100">
        <f>EFEITO!$N$826*EFEITO!$AA$826</f>
        <v>437968.1128423211</v>
      </c>
      <c r="M826" s="100">
        <f>$J$826-EFEITO!$K$826*EFEITO!$Y$826</f>
        <v>0</v>
      </c>
      <c r="N826" s="100">
        <f ca="1">$K$826-EFEITO!$M$826*EFEITO!$Z$826</f>
        <v>0</v>
      </c>
      <c r="O826" s="100">
        <f>$L$826-EFEITO!$O$826*EFEITO!$AA$826</f>
        <v>0</v>
      </c>
      <c r="P826" s="17"/>
      <c r="Q826" s="17"/>
      <c r="R826" s="17"/>
      <c r="S826" s="17"/>
      <c r="T826" s="17"/>
      <c r="U826" s="17"/>
      <c r="V826" s="17"/>
      <c r="W826" s="17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91" t="s">
        <v>27</v>
      </c>
      <c r="B827" s="91" t="s">
        <v>36</v>
      </c>
      <c r="C827" s="91" t="s">
        <v>23</v>
      </c>
      <c r="D827" s="91" t="s">
        <v>41</v>
      </c>
      <c r="E827" s="91" t="s">
        <v>25</v>
      </c>
      <c r="F827" s="91" t="s">
        <v>25</v>
      </c>
      <c r="G827" s="91" t="s">
        <v>25</v>
      </c>
      <c r="H827" s="91" t="s">
        <v>25</v>
      </c>
      <c r="I827" s="99">
        <v>44562</v>
      </c>
      <c r="J827" s="100">
        <f>EFEITO!$J$827*EFEITO!$Y$827</f>
        <v>0</v>
      </c>
      <c r="K827" s="100">
        <f ca="1">EFEITO!$L$827*EFEITO!$Z$827</f>
        <v>-156.49403720832436</v>
      </c>
      <c r="L827" s="100">
        <f>EFEITO!$N$827*EFEITO!$AA$827</f>
        <v>-109.29614829922964</v>
      </c>
      <c r="M827" s="100">
        <f>$J$827-EFEITO!$K$827*EFEITO!$Y$827</f>
        <v>0</v>
      </c>
      <c r="N827" s="100">
        <f ca="1">$K$827-EFEITO!$M$827*EFEITO!$Z$827</f>
        <v>0</v>
      </c>
      <c r="O827" s="100">
        <f>$L$827-EFEITO!$O$827*EFEITO!$AA$827</f>
        <v>0</v>
      </c>
      <c r="P827" s="17"/>
      <c r="Q827" s="17"/>
      <c r="R827" s="17"/>
      <c r="S827" s="17"/>
      <c r="T827" s="17"/>
      <c r="U827" s="17"/>
      <c r="V827" s="17"/>
      <c r="W827" s="17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91" t="s">
        <v>55</v>
      </c>
      <c r="B828" s="91" t="s">
        <v>36</v>
      </c>
      <c r="C828" s="91" t="s">
        <v>23</v>
      </c>
      <c r="D828" s="91" t="s">
        <v>41</v>
      </c>
      <c r="E828" s="91" t="s">
        <v>25</v>
      </c>
      <c r="F828" s="91" t="s">
        <v>25</v>
      </c>
      <c r="G828" s="91" t="s">
        <v>25</v>
      </c>
      <c r="H828" s="91" t="s">
        <v>25</v>
      </c>
      <c r="I828" s="99">
        <v>44562</v>
      </c>
      <c r="J828" s="100">
        <f>EFEITO!$J$828*EFEITO!$Y$828</f>
        <v>0</v>
      </c>
      <c r="K828" s="100">
        <f ca="1">EFEITO!$L$828*EFEITO!$Z$828</f>
        <v>38119.834464289299</v>
      </c>
      <c r="L828" s="100">
        <f>EFEITO!$N$828*EFEITO!$AA$828</f>
        <v>26623.065997107711</v>
      </c>
      <c r="M828" s="100">
        <f>$J$828-EFEITO!$K$828*EFEITO!$Y$828</f>
        <v>0</v>
      </c>
      <c r="N828" s="100">
        <f ca="1">$K$828-EFEITO!$M$828*EFEITO!$Z$828</f>
        <v>0</v>
      </c>
      <c r="O828" s="100">
        <f>$L$828-EFEITO!$O$828*EFEITO!$AA$828</f>
        <v>0</v>
      </c>
      <c r="P828" s="17"/>
      <c r="Q828" s="17"/>
      <c r="R828" s="17"/>
      <c r="S828" s="17"/>
      <c r="T828" s="17"/>
      <c r="U828" s="17"/>
      <c r="V828" s="17"/>
      <c r="W828" s="17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91" t="s">
        <v>55</v>
      </c>
      <c r="B829" s="91" t="s">
        <v>36</v>
      </c>
      <c r="C829" s="91" t="s">
        <v>23</v>
      </c>
      <c r="D829" s="91" t="s">
        <v>41</v>
      </c>
      <c r="E829" s="91" t="s">
        <v>25</v>
      </c>
      <c r="F829" s="91" t="s">
        <v>25</v>
      </c>
      <c r="G829" s="91" t="s">
        <v>25</v>
      </c>
      <c r="H829" s="91" t="s">
        <v>25</v>
      </c>
      <c r="I829" s="99">
        <v>44562</v>
      </c>
      <c r="J829" s="100">
        <f>EFEITO!$J$829*EFEITO!$Y$829</f>
        <v>0</v>
      </c>
      <c r="K829" s="100">
        <f ca="1">EFEITO!$L$829*EFEITO!$Z$829</f>
        <v>33.015619664203449</v>
      </c>
      <c r="L829" s="100">
        <f>EFEITO!$N$829*EFEITO!$AA$829</f>
        <v>23.058259134858577</v>
      </c>
      <c r="M829" s="100">
        <f>$J$829-EFEITO!$K$829*EFEITO!$Y$829</f>
        <v>0</v>
      </c>
      <c r="N829" s="100">
        <f ca="1">$K$829-EFEITO!$M$829*EFEITO!$Z$829</f>
        <v>0</v>
      </c>
      <c r="O829" s="100">
        <f>$L$829-EFEITO!$O$829*EFEITO!$AA$829</f>
        <v>0</v>
      </c>
      <c r="P829" s="17"/>
      <c r="Q829" s="17"/>
      <c r="R829" s="17"/>
      <c r="S829" s="17"/>
      <c r="T829" s="17"/>
      <c r="U829" s="17"/>
      <c r="V829" s="17"/>
      <c r="W829" s="17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91" t="s">
        <v>21</v>
      </c>
      <c r="B830" s="91" t="s">
        <v>36</v>
      </c>
      <c r="C830" s="91" t="s">
        <v>23</v>
      </c>
      <c r="D830" s="91" t="s">
        <v>41</v>
      </c>
      <c r="E830" s="91" t="s">
        <v>25</v>
      </c>
      <c r="F830" s="91" t="s">
        <v>25</v>
      </c>
      <c r="G830" s="91" t="s">
        <v>25</v>
      </c>
      <c r="H830" s="91" t="s">
        <v>25</v>
      </c>
      <c r="I830" s="99">
        <v>44593</v>
      </c>
      <c r="J830" s="100">
        <f>EFEITO!$J$830*EFEITO!$Y$830</f>
        <v>0</v>
      </c>
      <c r="K830" s="100">
        <f ca="1">EFEITO!$L$830*EFEITO!$Z$830</f>
        <v>580200.98263746931</v>
      </c>
      <c r="L830" s="100">
        <f>EFEITO!$N$830*EFEITO!$AA$830</f>
        <v>405215.00865421124</v>
      </c>
      <c r="M830" s="100">
        <f>$J$830-EFEITO!$K$830*EFEITO!$Y$830</f>
        <v>0</v>
      </c>
      <c r="N830" s="100">
        <f ca="1">$K$830-EFEITO!$M$830*EFEITO!$Z$830</f>
        <v>0</v>
      </c>
      <c r="O830" s="100">
        <f>$L$830-EFEITO!$O$830*EFEITO!$AA$830</f>
        <v>0</v>
      </c>
      <c r="P830" s="17"/>
      <c r="Q830" s="17"/>
      <c r="R830" s="17"/>
      <c r="S830" s="17"/>
      <c r="T830" s="17"/>
      <c r="U830" s="17"/>
      <c r="V830" s="17"/>
      <c r="W830" s="17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91" t="s">
        <v>27</v>
      </c>
      <c r="B831" s="91" t="s">
        <v>36</v>
      </c>
      <c r="C831" s="91" t="s">
        <v>23</v>
      </c>
      <c r="D831" s="91" t="s">
        <v>41</v>
      </c>
      <c r="E831" s="91" t="s">
        <v>25</v>
      </c>
      <c r="F831" s="91" t="s">
        <v>25</v>
      </c>
      <c r="G831" s="91" t="s">
        <v>25</v>
      </c>
      <c r="H831" s="91" t="s">
        <v>25</v>
      </c>
      <c r="I831" s="99">
        <v>44593</v>
      </c>
      <c r="J831" s="100">
        <f>EFEITO!$J$831*EFEITO!$Y$831</f>
        <v>0</v>
      </c>
      <c r="K831" s="100">
        <f ca="1">EFEITO!$L$831*EFEITO!$Z$831</f>
        <v>-503.15804368246057</v>
      </c>
      <c r="L831" s="100">
        <f>EFEITO!$N$831*EFEITO!$AA$831</f>
        <v>-351.40786921524472</v>
      </c>
      <c r="M831" s="100">
        <f>$J$831-EFEITO!$K$831*EFEITO!$Y$831</f>
        <v>0</v>
      </c>
      <c r="N831" s="100">
        <f ca="1">$K$831-EFEITO!$M$831*EFEITO!$Z$831</f>
        <v>0</v>
      </c>
      <c r="O831" s="100">
        <f>$L$831-EFEITO!$O$831*EFEITO!$AA$831</f>
        <v>0</v>
      </c>
      <c r="P831" s="17"/>
      <c r="Q831" s="17"/>
      <c r="R831" s="17"/>
      <c r="S831" s="17"/>
      <c r="T831" s="17"/>
      <c r="U831" s="17"/>
      <c r="V831" s="17"/>
      <c r="W831" s="17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91" t="s">
        <v>55</v>
      </c>
      <c r="B832" s="91" t="s">
        <v>36</v>
      </c>
      <c r="C832" s="91" t="s">
        <v>23</v>
      </c>
      <c r="D832" s="91" t="s">
        <v>41</v>
      </c>
      <c r="E832" s="91" t="s">
        <v>25</v>
      </c>
      <c r="F832" s="91" t="s">
        <v>25</v>
      </c>
      <c r="G832" s="91" t="s">
        <v>25</v>
      </c>
      <c r="H832" s="91" t="s">
        <v>25</v>
      </c>
      <c r="I832" s="99">
        <v>44593</v>
      </c>
      <c r="J832" s="100">
        <f>EFEITO!$J$832*EFEITO!$Y$832</f>
        <v>0</v>
      </c>
      <c r="K832" s="100">
        <f ca="1">EFEITO!$L$832*EFEITO!$Z$832</f>
        <v>45784.74072553077</v>
      </c>
      <c r="L832" s="100">
        <f>EFEITO!$N$832*EFEITO!$AA$832</f>
        <v>31976.271437856478</v>
      </c>
      <c r="M832" s="100">
        <f>$J$832-EFEITO!$K$832*EFEITO!$Y$832</f>
        <v>0</v>
      </c>
      <c r="N832" s="100">
        <f ca="1">$K$832-EFEITO!$M$832*EFEITO!$Z$832</f>
        <v>0</v>
      </c>
      <c r="O832" s="100">
        <f>$L$832-EFEITO!$O$832*EFEITO!$AA$832</f>
        <v>0</v>
      </c>
      <c r="P832" s="17"/>
      <c r="Q832" s="17"/>
      <c r="R832" s="17"/>
      <c r="S832" s="17"/>
      <c r="T832" s="17"/>
      <c r="U832" s="17"/>
      <c r="V832" s="17"/>
      <c r="W832" s="17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91" t="s">
        <v>21</v>
      </c>
      <c r="B833" s="91" t="s">
        <v>36</v>
      </c>
      <c r="C833" s="91" t="s">
        <v>23</v>
      </c>
      <c r="D833" s="91" t="s">
        <v>41</v>
      </c>
      <c r="E833" s="91" t="s">
        <v>25</v>
      </c>
      <c r="F833" s="91" t="s">
        <v>25</v>
      </c>
      <c r="G833" s="91" t="s">
        <v>25</v>
      </c>
      <c r="H833" s="91" t="s">
        <v>25</v>
      </c>
      <c r="I833" s="99">
        <v>44621</v>
      </c>
      <c r="J833" s="100">
        <f>EFEITO!$J$833*EFEITO!$Y$833</f>
        <v>0</v>
      </c>
      <c r="K833" s="100">
        <f ca="1">EFEITO!$L$833*EFEITO!$Z$833</f>
        <v>615487.74677837326</v>
      </c>
      <c r="L833" s="100">
        <f>EFEITO!$N$833*EFEITO!$AA$833</f>
        <v>429859.44543495675</v>
      </c>
      <c r="M833" s="100">
        <f>$J$833-EFEITO!$K$833*EFEITO!$Y$833</f>
        <v>0</v>
      </c>
      <c r="N833" s="100">
        <f ca="1">$K$833-EFEITO!$M$833*EFEITO!$Z$833</f>
        <v>0</v>
      </c>
      <c r="O833" s="100">
        <f>$L$833-EFEITO!$O$833*EFEITO!$AA$833</f>
        <v>0</v>
      </c>
      <c r="P833" s="17"/>
      <c r="Q833" s="17"/>
      <c r="R833" s="17"/>
      <c r="S833" s="17"/>
      <c r="T833" s="17"/>
      <c r="U833" s="17"/>
      <c r="V833" s="17"/>
      <c r="W833" s="17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91" t="s">
        <v>27</v>
      </c>
      <c r="B834" s="91" t="s">
        <v>36</v>
      </c>
      <c r="C834" s="91" t="s">
        <v>23</v>
      </c>
      <c r="D834" s="91" t="s">
        <v>41</v>
      </c>
      <c r="E834" s="91" t="s">
        <v>25</v>
      </c>
      <c r="F834" s="91" t="s">
        <v>25</v>
      </c>
      <c r="G834" s="91" t="s">
        <v>25</v>
      </c>
      <c r="H834" s="91" t="s">
        <v>25</v>
      </c>
      <c r="I834" s="99">
        <v>44621</v>
      </c>
      <c r="J834" s="100">
        <f>EFEITO!$J$834*EFEITO!$Y$834</f>
        <v>0</v>
      </c>
      <c r="K834" s="100">
        <f ca="1">EFEITO!$L$834*EFEITO!$Z$834</f>
        <v>-111.26263826836563</v>
      </c>
      <c r="L834" s="100">
        <f>EFEITO!$N$834*EFEITO!$AA$834</f>
        <v>-77.706333284473402</v>
      </c>
      <c r="M834" s="100">
        <f>$J$834-EFEITO!$K$834*EFEITO!$Y$834</f>
        <v>0</v>
      </c>
      <c r="N834" s="100">
        <f ca="1">$K$834-EFEITO!$M$834*EFEITO!$Z$834</f>
        <v>0</v>
      </c>
      <c r="O834" s="100">
        <f>$L$834-EFEITO!$O$834*EFEITO!$AA$834</f>
        <v>0</v>
      </c>
      <c r="P834" s="17"/>
      <c r="Q834" s="17"/>
      <c r="R834" s="17"/>
      <c r="S834" s="17"/>
      <c r="T834" s="17"/>
      <c r="U834" s="17"/>
      <c r="V834" s="17"/>
      <c r="W834" s="17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91" t="s">
        <v>55</v>
      </c>
      <c r="B835" s="91" t="s">
        <v>36</v>
      </c>
      <c r="C835" s="91" t="s">
        <v>23</v>
      </c>
      <c r="D835" s="91" t="s">
        <v>41</v>
      </c>
      <c r="E835" s="91" t="s">
        <v>25</v>
      </c>
      <c r="F835" s="91" t="s">
        <v>25</v>
      </c>
      <c r="G835" s="91" t="s">
        <v>25</v>
      </c>
      <c r="H835" s="91" t="s">
        <v>25</v>
      </c>
      <c r="I835" s="99">
        <v>44621</v>
      </c>
      <c r="J835" s="100">
        <f>EFEITO!$J$835*EFEITO!$Y$835</f>
        <v>0</v>
      </c>
      <c r="K835" s="100">
        <f ca="1">EFEITO!$L$835*EFEITO!$Z$835</f>
        <v>53705.187882973187</v>
      </c>
      <c r="L835" s="100">
        <f>EFEITO!$N$835*EFEITO!$AA$835</f>
        <v>37507.947804309049</v>
      </c>
      <c r="M835" s="100">
        <f>$J$835-EFEITO!$K$835*EFEITO!$Y$835</f>
        <v>0</v>
      </c>
      <c r="N835" s="100">
        <f ca="1">$K$835-EFEITO!$M$835*EFEITO!$Z$835</f>
        <v>0</v>
      </c>
      <c r="O835" s="100">
        <f>$L$835-EFEITO!$O$835*EFEITO!$AA$835</f>
        <v>0</v>
      </c>
      <c r="P835" s="17"/>
      <c r="Q835" s="17"/>
      <c r="R835" s="17"/>
      <c r="S835" s="17"/>
      <c r="T835" s="17"/>
      <c r="U835" s="17"/>
      <c r="V835" s="17"/>
      <c r="W835" s="17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91" t="s">
        <v>55</v>
      </c>
      <c r="B836" s="91" t="s">
        <v>36</v>
      </c>
      <c r="C836" s="91" t="s">
        <v>23</v>
      </c>
      <c r="D836" s="91" t="s">
        <v>41</v>
      </c>
      <c r="E836" s="91" t="s">
        <v>25</v>
      </c>
      <c r="F836" s="91" t="s">
        <v>25</v>
      </c>
      <c r="G836" s="91" t="s">
        <v>25</v>
      </c>
      <c r="H836" s="91" t="s">
        <v>25</v>
      </c>
      <c r="I836" s="99">
        <v>44621</v>
      </c>
      <c r="J836" s="100">
        <f>EFEITO!$J$836*EFEITO!$Y$836</f>
        <v>0</v>
      </c>
      <c r="K836" s="100">
        <f ca="1">EFEITO!$L$836*EFEITO!$Z$836</f>
        <v>-436.46649196076964</v>
      </c>
      <c r="L836" s="100">
        <f>EFEITO!$N$836*EFEITO!$AA$836</f>
        <v>-304.83018576283041</v>
      </c>
      <c r="M836" s="100">
        <f>$J$836-EFEITO!$K$836*EFEITO!$Y$836</f>
        <v>0</v>
      </c>
      <c r="N836" s="100">
        <f ca="1">$K$836-EFEITO!$M$836*EFEITO!$Z$836</f>
        <v>0</v>
      </c>
      <c r="O836" s="100">
        <f>$L$836-EFEITO!$O$836*EFEITO!$AA$836</f>
        <v>0</v>
      </c>
      <c r="P836" s="17"/>
      <c r="Q836" s="17"/>
      <c r="R836" s="17"/>
      <c r="S836" s="17"/>
      <c r="T836" s="17"/>
      <c r="U836" s="17"/>
      <c r="V836" s="17"/>
      <c r="W836" s="17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91" t="s">
        <v>21</v>
      </c>
      <c r="B837" s="91" t="s">
        <v>36</v>
      </c>
      <c r="C837" s="91" t="s">
        <v>23</v>
      </c>
      <c r="D837" s="91" t="s">
        <v>41</v>
      </c>
      <c r="E837" s="91" t="s">
        <v>25</v>
      </c>
      <c r="F837" s="91" t="s">
        <v>25</v>
      </c>
      <c r="G837" s="91" t="s">
        <v>25</v>
      </c>
      <c r="H837" s="91" t="s">
        <v>25</v>
      </c>
      <c r="I837" s="99">
        <v>44652</v>
      </c>
      <c r="J837" s="100">
        <f>EFEITO!$J$837*EFEITO!$Y$837</f>
        <v>0</v>
      </c>
      <c r="K837" s="100">
        <f ca="1">EFEITO!$L$837*EFEITO!$Z$837</f>
        <v>463787.57754529122</v>
      </c>
      <c r="L837" s="100">
        <f>EFEITO!$N$837*EFEITO!$AA$837</f>
        <v>323911.35636210855</v>
      </c>
      <c r="M837" s="100">
        <f>$J$837-EFEITO!$K$837*EFEITO!$Y$837</f>
        <v>0</v>
      </c>
      <c r="N837" s="100">
        <f ca="1">$K$837-EFEITO!$M$837*EFEITO!$Z$837</f>
        <v>0</v>
      </c>
      <c r="O837" s="100">
        <f>$L$837-EFEITO!$O$837*EFEITO!$AA$837</f>
        <v>0</v>
      </c>
      <c r="P837" s="17"/>
      <c r="Q837" s="17"/>
      <c r="R837" s="17"/>
      <c r="S837" s="17"/>
      <c r="T837" s="17"/>
      <c r="U837" s="17"/>
      <c r="V837" s="17"/>
      <c r="W837" s="17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91" t="s">
        <v>27</v>
      </c>
      <c r="B838" s="91" t="s">
        <v>36</v>
      </c>
      <c r="C838" s="91" t="s">
        <v>23</v>
      </c>
      <c r="D838" s="91" t="s">
        <v>41</v>
      </c>
      <c r="E838" s="91" t="s">
        <v>25</v>
      </c>
      <c r="F838" s="91" t="s">
        <v>25</v>
      </c>
      <c r="G838" s="91" t="s">
        <v>25</v>
      </c>
      <c r="H838" s="91" t="s">
        <v>25</v>
      </c>
      <c r="I838" s="99">
        <v>44652</v>
      </c>
      <c r="J838" s="100">
        <f>EFEITO!$J$838*EFEITO!$Y$838</f>
        <v>0</v>
      </c>
      <c r="K838" s="100">
        <f ca="1">EFEITO!$L$838*EFEITO!$Z$838</f>
        <v>-741.53081765800948</v>
      </c>
      <c r="L838" s="100">
        <f>EFEITO!$N$838*EFEITO!$AA$838</f>
        <v>-517.88850016892366</v>
      </c>
      <c r="M838" s="100">
        <f>$J$838-EFEITO!$K$838*EFEITO!$Y$838</f>
        <v>0</v>
      </c>
      <c r="N838" s="100">
        <f ca="1">$K$838-EFEITO!$M$838*EFEITO!$Z$838</f>
        <v>0</v>
      </c>
      <c r="O838" s="100">
        <f>$L$838-EFEITO!$O$838*EFEITO!$AA$838</f>
        <v>0</v>
      </c>
      <c r="P838" s="17"/>
      <c r="Q838" s="17"/>
      <c r="R838" s="17"/>
      <c r="S838" s="17"/>
      <c r="T838" s="17"/>
      <c r="U838" s="17"/>
      <c r="V838" s="17"/>
      <c r="W838" s="17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91" t="s">
        <v>55</v>
      </c>
      <c r="B839" s="91" t="s">
        <v>36</v>
      </c>
      <c r="C839" s="91" t="s">
        <v>23</v>
      </c>
      <c r="D839" s="91" t="s">
        <v>41</v>
      </c>
      <c r="E839" s="91" t="s">
        <v>25</v>
      </c>
      <c r="F839" s="91" t="s">
        <v>25</v>
      </c>
      <c r="G839" s="91" t="s">
        <v>25</v>
      </c>
      <c r="H839" s="91" t="s">
        <v>25</v>
      </c>
      <c r="I839" s="99">
        <v>44652</v>
      </c>
      <c r="J839" s="100">
        <f>EFEITO!$J$839*EFEITO!$Y$839</f>
        <v>0</v>
      </c>
      <c r="K839" s="100">
        <f ca="1">EFEITO!$L$839*EFEITO!$Z$839</f>
        <v>46693.99089108294</v>
      </c>
      <c r="L839" s="100">
        <f>EFEITO!$N$839*EFEITO!$AA$839</f>
        <v>32611.295894430485</v>
      </c>
      <c r="M839" s="100">
        <f>$J$839-EFEITO!$K$839*EFEITO!$Y$839</f>
        <v>0</v>
      </c>
      <c r="N839" s="100">
        <f ca="1">$K$839-EFEITO!$M$839*EFEITO!$Z$839</f>
        <v>0</v>
      </c>
      <c r="O839" s="100">
        <f>$L$839-EFEITO!$O$839*EFEITO!$AA$839</f>
        <v>0</v>
      </c>
      <c r="P839" s="17"/>
      <c r="Q839" s="17"/>
      <c r="R839" s="17"/>
      <c r="S839" s="17"/>
      <c r="T839" s="17"/>
      <c r="U839" s="17"/>
      <c r="V839" s="17"/>
      <c r="W839" s="17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91" t="s">
        <v>55</v>
      </c>
      <c r="B840" s="91" t="s">
        <v>36</v>
      </c>
      <c r="C840" s="91" t="s">
        <v>23</v>
      </c>
      <c r="D840" s="91" t="s">
        <v>41</v>
      </c>
      <c r="E840" s="91" t="s">
        <v>25</v>
      </c>
      <c r="F840" s="91" t="s">
        <v>25</v>
      </c>
      <c r="G840" s="91" t="s">
        <v>25</v>
      </c>
      <c r="H840" s="91" t="s">
        <v>25</v>
      </c>
      <c r="I840" s="99">
        <v>44652</v>
      </c>
      <c r="J840" s="100">
        <f>EFEITO!$J$840*EFEITO!$Y$840</f>
        <v>0</v>
      </c>
      <c r="K840" s="100">
        <f ca="1">EFEITO!$L$840*EFEITO!$Z$840</f>
        <v>3153.3218341280717</v>
      </c>
      <c r="L840" s="100">
        <f>EFEITO!$N$840*EFEITO!$AA$840</f>
        <v>2202.2943299703425</v>
      </c>
      <c r="M840" s="100">
        <f>$J$840-EFEITO!$K$840*EFEITO!$Y$840</f>
        <v>0</v>
      </c>
      <c r="N840" s="100">
        <f ca="1">$K$840-EFEITO!$M$840*EFEITO!$Z$840</f>
        <v>0</v>
      </c>
      <c r="O840" s="100">
        <f>$L$840-EFEITO!$O$840*EFEITO!$AA$840</f>
        <v>0</v>
      </c>
      <c r="P840" s="17"/>
      <c r="Q840" s="17"/>
      <c r="R840" s="17"/>
      <c r="S840" s="17"/>
      <c r="T840" s="17"/>
      <c r="U840" s="17"/>
      <c r="V840" s="17"/>
      <c r="W840" s="17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91" t="s">
        <v>21</v>
      </c>
      <c r="B841" s="91" t="s">
        <v>36</v>
      </c>
      <c r="C841" s="91" t="s">
        <v>23</v>
      </c>
      <c r="D841" s="91" t="s">
        <v>41</v>
      </c>
      <c r="E841" s="91" t="s">
        <v>25</v>
      </c>
      <c r="F841" s="91" t="s">
        <v>25</v>
      </c>
      <c r="G841" s="91" t="s">
        <v>25</v>
      </c>
      <c r="H841" s="91" t="s">
        <v>25</v>
      </c>
      <c r="I841" s="99">
        <v>44682</v>
      </c>
      <c r="J841" s="100">
        <f>EFEITO!$J$841*EFEITO!$Y$841</f>
        <v>0</v>
      </c>
      <c r="K841" s="100">
        <f ca="1">EFEITO!$L$841*EFEITO!$Z$841</f>
        <v>425759.19634747179</v>
      </c>
      <c r="L841" s="100">
        <f>EFEITO!$N$841*EFEITO!$AA$841</f>
        <v>297352.1617428044</v>
      </c>
      <c r="M841" s="100">
        <f>$J$841-EFEITO!$K$841*EFEITO!$Y$841</f>
        <v>0</v>
      </c>
      <c r="N841" s="100">
        <f ca="1">$K$841-EFEITO!$M$841*EFEITO!$Z$841</f>
        <v>0</v>
      </c>
      <c r="O841" s="100">
        <f>$L$841-EFEITO!$O$841*EFEITO!$AA$841</f>
        <v>0</v>
      </c>
      <c r="P841" s="17"/>
      <c r="Q841" s="17"/>
      <c r="R841" s="17"/>
      <c r="S841" s="17"/>
      <c r="T841" s="17"/>
      <c r="U841" s="17"/>
      <c r="V841" s="17"/>
      <c r="W841" s="17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91" t="s">
        <v>55</v>
      </c>
      <c r="B842" s="91" t="s">
        <v>36</v>
      </c>
      <c r="C842" s="91" t="s">
        <v>23</v>
      </c>
      <c r="D842" s="91" t="s">
        <v>41</v>
      </c>
      <c r="E842" s="91" t="s">
        <v>25</v>
      </c>
      <c r="F842" s="91" t="s">
        <v>25</v>
      </c>
      <c r="G842" s="91" t="s">
        <v>25</v>
      </c>
      <c r="H842" s="91" t="s">
        <v>25</v>
      </c>
      <c r="I842" s="99">
        <v>44682</v>
      </c>
      <c r="J842" s="100">
        <f>EFEITO!$J$842*EFEITO!$Y$842</f>
        <v>0</v>
      </c>
      <c r="K842" s="100">
        <f ca="1">EFEITO!$L$842*EFEITO!$Z$842</f>
        <v>52795.937717421024</v>
      </c>
      <c r="L842" s="100">
        <f>EFEITO!$N$842*EFEITO!$AA$842</f>
        <v>36872.92334773505</v>
      </c>
      <c r="M842" s="100">
        <f>$J$842-EFEITO!$K$842*EFEITO!$Y$842</f>
        <v>0</v>
      </c>
      <c r="N842" s="100">
        <f ca="1">$K$842-EFEITO!$M$842*EFEITO!$Z$842</f>
        <v>0</v>
      </c>
      <c r="O842" s="100">
        <f>$L$842-EFEITO!$O$842*EFEITO!$AA$842</f>
        <v>0</v>
      </c>
      <c r="P842" s="17"/>
      <c r="Q842" s="17"/>
      <c r="R842" s="17"/>
      <c r="S842" s="17"/>
      <c r="T842" s="17"/>
      <c r="U842" s="17"/>
      <c r="V842" s="17"/>
      <c r="W842" s="17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91" t="s">
        <v>56</v>
      </c>
      <c r="B843" s="91" t="s">
        <v>36</v>
      </c>
      <c r="C843" s="91" t="s">
        <v>23</v>
      </c>
      <c r="D843" s="91" t="s">
        <v>41</v>
      </c>
      <c r="E843" s="91" t="s">
        <v>25</v>
      </c>
      <c r="F843" s="91" t="s">
        <v>25</v>
      </c>
      <c r="G843" s="91" t="s">
        <v>25</v>
      </c>
      <c r="H843" s="91" t="s">
        <v>25</v>
      </c>
      <c r="I843" s="99">
        <v>44713</v>
      </c>
      <c r="J843" s="100">
        <f>EFEITO!$J$843*EFEITO!$Y$843</f>
        <v>0</v>
      </c>
      <c r="K843" s="100">
        <f ca="1">EFEITO!$L$843*EFEITO!$Z$843</f>
        <v>425759.19634747179</v>
      </c>
      <c r="L843" s="100">
        <f>EFEITO!$N$843*EFEITO!$AA$843</f>
        <v>297352.1617428044</v>
      </c>
      <c r="M843" s="100">
        <f>$J$843-EFEITO!$K$843*EFEITO!$Y$843</f>
        <v>0</v>
      </c>
      <c r="N843" s="100">
        <f ca="1">$K$843-EFEITO!$M$843*EFEITO!$Z$843</f>
        <v>0</v>
      </c>
      <c r="O843" s="100">
        <f>$L$843-EFEITO!$O$843*EFEITO!$AA$843</f>
        <v>0</v>
      </c>
      <c r="P843" s="17"/>
      <c r="Q843" s="17"/>
      <c r="R843" s="17"/>
      <c r="S843" s="17"/>
      <c r="T843" s="17"/>
      <c r="U843" s="17"/>
      <c r="V843" s="17"/>
      <c r="W843" s="17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91" t="s">
        <v>56</v>
      </c>
      <c r="B844" s="91" t="s">
        <v>36</v>
      </c>
      <c r="C844" s="91" t="s">
        <v>23</v>
      </c>
      <c r="D844" s="91" t="s">
        <v>41</v>
      </c>
      <c r="E844" s="91" t="s">
        <v>25</v>
      </c>
      <c r="F844" s="91" t="s">
        <v>25</v>
      </c>
      <c r="G844" s="91" t="s">
        <v>25</v>
      </c>
      <c r="H844" s="91" t="s">
        <v>25</v>
      </c>
      <c r="I844" s="99">
        <v>44713</v>
      </c>
      <c r="J844" s="100">
        <f>EFEITO!$J$844*EFEITO!$Y$844</f>
        <v>0</v>
      </c>
      <c r="K844" s="100">
        <f ca="1">EFEITO!$L$844*EFEITO!$Z$844</f>
        <v>52795.937717421024</v>
      </c>
      <c r="L844" s="100">
        <f>EFEITO!$N$844*EFEITO!$AA$844</f>
        <v>36872.92334773505</v>
      </c>
      <c r="M844" s="100">
        <f>$J$844-EFEITO!$K$844*EFEITO!$Y$844</f>
        <v>0</v>
      </c>
      <c r="N844" s="100">
        <f ca="1">$K$844-EFEITO!$M$844*EFEITO!$Z$844</f>
        <v>0</v>
      </c>
      <c r="O844" s="100">
        <f>$L$844-EFEITO!$O$844*EFEITO!$AA$844</f>
        <v>0</v>
      </c>
      <c r="P844" s="17"/>
      <c r="Q844" s="17"/>
      <c r="R844" s="17"/>
      <c r="S844" s="17"/>
      <c r="T844" s="17"/>
      <c r="U844" s="17"/>
      <c r="V844" s="17"/>
      <c r="W844" s="17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91" t="s">
        <v>21</v>
      </c>
      <c r="B845" s="91" t="s">
        <v>36</v>
      </c>
      <c r="C845" s="91" t="s">
        <v>23</v>
      </c>
      <c r="D845" s="91" t="s">
        <v>50</v>
      </c>
      <c r="E845" s="91" t="s">
        <v>25</v>
      </c>
      <c r="F845" s="91" t="s">
        <v>25</v>
      </c>
      <c r="G845" s="91" t="s">
        <v>25</v>
      </c>
      <c r="H845" s="91" t="s">
        <v>25</v>
      </c>
      <c r="I845" s="99">
        <v>44378</v>
      </c>
      <c r="J845" s="100">
        <f>EFEITO!$J$845*EFEITO!$Y$845</f>
        <v>0</v>
      </c>
      <c r="K845" s="100">
        <f ca="1">EFEITO!$L$845*EFEITO!$Z$845</f>
        <v>2066.7777909791357</v>
      </c>
      <c r="L845" s="100">
        <f>EFEITO!$N$845*EFEITO!$AA$845</f>
        <v>1443.4470218421468</v>
      </c>
      <c r="M845" s="100">
        <f>$J$845-EFEITO!$K$845*EFEITO!$Y$845</f>
        <v>0</v>
      </c>
      <c r="N845" s="100">
        <f ca="1">$K$845-EFEITO!$M$845*EFEITO!$Z$845</f>
        <v>0</v>
      </c>
      <c r="O845" s="100">
        <f>$L$845-EFEITO!$O$845*EFEITO!$AA$845</f>
        <v>0</v>
      </c>
      <c r="P845" s="17"/>
      <c r="Q845" s="17"/>
      <c r="R845" s="17"/>
      <c r="S845" s="17"/>
      <c r="T845" s="17"/>
      <c r="U845" s="17"/>
      <c r="V845" s="17"/>
      <c r="W845" s="17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91" t="s">
        <v>21</v>
      </c>
      <c r="B846" s="91" t="s">
        <v>36</v>
      </c>
      <c r="C846" s="91" t="s">
        <v>23</v>
      </c>
      <c r="D846" s="91" t="s">
        <v>50</v>
      </c>
      <c r="E846" s="91" t="s">
        <v>25</v>
      </c>
      <c r="F846" s="91" t="s">
        <v>25</v>
      </c>
      <c r="G846" s="91" t="s">
        <v>25</v>
      </c>
      <c r="H846" s="91" t="s">
        <v>25</v>
      </c>
      <c r="I846" s="99">
        <v>44409</v>
      </c>
      <c r="J846" s="100">
        <f>EFEITO!$J$846*EFEITO!$Y$846</f>
        <v>0</v>
      </c>
      <c r="K846" s="100">
        <f ca="1">EFEITO!$L$846*EFEITO!$Z$846</f>
        <v>2271.4746328971974</v>
      </c>
      <c r="L846" s="100">
        <f>EFEITO!$N$846*EFEITO!$AA$846</f>
        <v>1586.4082284782701</v>
      </c>
      <c r="M846" s="100">
        <f>$J$846-EFEITO!$K$846*EFEITO!$Y$846</f>
        <v>0</v>
      </c>
      <c r="N846" s="100">
        <f ca="1">$K$846-EFEITO!$M$846*EFEITO!$Z$846</f>
        <v>0</v>
      </c>
      <c r="O846" s="100">
        <f>$L$846-EFEITO!$O$846*EFEITO!$AA$846</f>
        <v>0</v>
      </c>
      <c r="P846" s="17"/>
      <c r="Q846" s="17"/>
      <c r="R846" s="17"/>
      <c r="S846" s="17"/>
      <c r="T846" s="17"/>
      <c r="U846" s="17"/>
      <c r="V846" s="17"/>
      <c r="W846" s="17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91" t="s">
        <v>21</v>
      </c>
      <c r="B847" s="91" t="s">
        <v>36</v>
      </c>
      <c r="C847" s="91" t="s">
        <v>23</v>
      </c>
      <c r="D847" s="91" t="s">
        <v>50</v>
      </c>
      <c r="E847" s="91" t="s">
        <v>25</v>
      </c>
      <c r="F847" s="91" t="s">
        <v>25</v>
      </c>
      <c r="G847" s="91" t="s">
        <v>25</v>
      </c>
      <c r="H847" s="91" t="s">
        <v>25</v>
      </c>
      <c r="I847" s="99">
        <v>44440</v>
      </c>
      <c r="J847" s="100">
        <f>EFEITO!$J$847*EFEITO!$Y$847</f>
        <v>0</v>
      </c>
      <c r="K847" s="100">
        <f ca="1">EFEITO!$L$847*EFEITO!$Z$847</f>
        <v>2172.427773904587</v>
      </c>
      <c r="L847" s="100">
        <f>EFEITO!$N$847*EFEITO!$AA$847</f>
        <v>1517.2334510736944</v>
      </c>
      <c r="M847" s="100">
        <f>$J$847-EFEITO!$K$847*EFEITO!$Y$847</f>
        <v>0</v>
      </c>
      <c r="N847" s="100">
        <f ca="1">$K$847-EFEITO!$M$847*EFEITO!$Z$847</f>
        <v>0</v>
      </c>
      <c r="O847" s="100">
        <f>$L$847-EFEITO!$O$847*EFEITO!$AA$847</f>
        <v>0</v>
      </c>
      <c r="P847" s="17"/>
      <c r="Q847" s="17"/>
      <c r="R847" s="17"/>
      <c r="S847" s="17"/>
      <c r="T847" s="17"/>
      <c r="U847" s="17"/>
      <c r="V847" s="17"/>
      <c r="W847" s="17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91" t="s">
        <v>21</v>
      </c>
      <c r="B848" s="91" t="s">
        <v>36</v>
      </c>
      <c r="C848" s="91" t="s">
        <v>23</v>
      </c>
      <c r="D848" s="91" t="s">
        <v>50</v>
      </c>
      <c r="E848" s="91" t="s">
        <v>25</v>
      </c>
      <c r="F848" s="91" t="s">
        <v>25</v>
      </c>
      <c r="G848" s="91" t="s">
        <v>25</v>
      </c>
      <c r="H848" s="91" t="s">
        <v>25</v>
      </c>
      <c r="I848" s="99">
        <v>44470</v>
      </c>
      <c r="J848" s="100">
        <f>EFEITO!$J$848*EFEITO!$Y$848</f>
        <v>0</v>
      </c>
      <c r="K848" s="100">
        <f ca="1">EFEITO!$L$848*EFEITO!$Z$848</f>
        <v>2418.0639842062606</v>
      </c>
      <c r="L848" s="100">
        <f>EFEITO!$N$848*EFEITO!$AA$848</f>
        <v>1688.7868990370421</v>
      </c>
      <c r="M848" s="100">
        <f>$J$848-EFEITO!$K$848*EFEITO!$Y$848</f>
        <v>0</v>
      </c>
      <c r="N848" s="100">
        <f ca="1">$K$848-EFEITO!$M$848*EFEITO!$Z$848</f>
        <v>0</v>
      </c>
      <c r="O848" s="100">
        <f>$L$848-EFEITO!$O$848*EFEITO!$AA$848</f>
        <v>0</v>
      </c>
      <c r="P848" s="17"/>
      <c r="Q848" s="17"/>
      <c r="R848" s="17"/>
      <c r="S848" s="17"/>
      <c r="T848" s="17"/>
      <c r="U848" s="17"/>
      <c r="V848" s="17"/>
      <c r="W848" s="17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91" t="s">
        <v>21</v>
      </c>
      <c r="B849" s="91" t="s">
        <v>36</v>
      </c>
      <c r="C849" s="91" t="s">
        <v>23</v>
      </c>
      <c r="D849" s="91" t="s">
        <v>50</v>
      </c>
      <c r="E849" s="91" t="s">
        <v>25</v>
      </c>
      <c r="F849" s="91" t="s">
        <v>25</v>
      </c>
      <c r="G849" s="91" t="s">
        <v>25</v>
      </c>
      <c r="H849" s="91" t="s">
        <v>25</v>
      </c>
      <c r="I849" s="99">
        <v>44501</v>
      </c>
      <c r="J849" s="100">
        <f>EFEITO!$J$849*EFEITO!$Y$849</f>
        <v>0</v>
      </c>
      <c r="K849" s="100">
        <f ca="1">EFEITO!$L$849*EFEITO!$Z$849</f>
        <v>2178.3705854441437</v>
      </c>
      <c r="L849" s="100">
        <f>EFEITO!$N$849*EFEITO!$AA$849</f>
        <v>1521.3839377179688</v>
      </c>
      <c r="M849" s="100">
        <f>$J$849-EFEITO!$K$849*EFEITO!$Y$849</f>
        <v>0</v>
      </c>
      <c r="N849" s="100">
        <f ca="1">$K$849-EFEITO!$M$849*EFEITO!$Z$849</f>
        <v>0</v>
      </c>
      <c r="O849" s="100">
        <f>$L$849-EFEITO!$O$849*EFEITO!$AA$849</f>
        <v>0</v>
      </c>
      <c r="P849" s="17"/>
      <c r="Q849" s="17"/>
      <c r="R849" s="17"/>
      <c r="S849" s="17"/>
      <c r="T849" s="17"/>
      <c r="U849" s="17"/>
      <c r="V849" s="17"/>
      <c r="W849" s="17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91" t="s">
        <v>21</v>
      </c>
      <c r="B850" s="91" t="s">
        <v>36</v>
      </c>
      <c r="C850" s="91" t="s">
        <v>23</v>
      </c>
      <c r="D850" s="91" t="s">
        <v>50</v>
      </c>
      <c r="E850" s="91" t="s">
        <v>25</v>
      </c>
      <c r="F850" s="91" t="s">
        <v>25</v>
      </c>
      <c r="G850" s="91" t="s">
        <v>25</v>
      </c>
      <c r="H850" s="91" t="s">
        <v>25</v>
      </c>
      <c r="I850" s="99">
        <v>44531</v>
      </c>
      <c r="J850" s="100">
        <f>EFEITO!$J$850*EFEITO!$Y$850</f>
        <v>0</v>
      </c>
      <c r="K850" s="100">
        <f ca="1">EFEITO!$L$850*EFEITO!$Z$850</f>
        <v>2389.6705512950457</v>
      </c>
      <c r="L850" s="100">
        <f>EFEITO!$N$850*EFEITO!$AA$850</f>
        <v>1668.956796181064</v>
      </c>
      <c r="M850" s="100">
        <f>$J$850-EFEITO!$K$850*EFEITO!$Y$850</f>
        <v>0</v>
      </c>
      <c r="N850" s="100">
        <f ca="1">$K$850-EFEITO!$M$850*EFEITO!$Z$850</f>
        <v>0</v>
      </c>
      <c r="O850" s="100">
        <f>$L$850-EFEITO!$O$850*EFEITO!$AA$850</f>
        <v>0</v>
      </c>
      <c r="P850" s="17"/>
      <c r="Q850" s="17"/>
      <c r="R850" s="17"/>
      <c r="S850" s="17"/>
      <c r="T850" s="17"/>
      <c r="U850" s="17"/>
      <c r="V850" s="17"/>
      <c r="W850" s="17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91" t="s">
        <v>21</v>
      </c>
      <c r="B851" s="91" t="s">
        <v>36</v>
      </c>
      <c r="C851" s="91" t="s">
        <v>23</v>
      </c>
      <c r="D851" s="91" t="s">
        <v>50</v>
      </c>
      <c r="E851" s="91" t="s">
        <v>25</v>
      </c>
      <c r="F851" s="91" t="s">
        <v>25</v>
      </c>
      <c r="G851" s="91" t="s">
        <v>25</v>
      </c>
      <c r="H851" s="91" t="s">
        <v>25</v>
      </c>
      <c r="I851" s="99">
        <v>44562</v>
      </c>
      <c r="J851" s="100">
        <f>EFEITO!$J$851*EFEITO!$Y$851</f>
        <v>0</v>
      </c>
      <c r="K851" s="100">
        <f ca="1">EFEITO!$L$851*EFEITO!$Z$851</f>
        <v>3050.6432569723988</v>
      </c>
      <c r="L851" s="100">
        <f>EFEITO!$N$851*EFEITO!$AA$851</f>
        <v>2130.5831440609327</v>
      </c>
      <c r="M851" s="100">
        <f>$J$851-EFEITO!$K$851*EFEITO!$Y$851</f>
        <v>0</v>
      </c>
      <c r="N851" s="100">
        <f ca="1">$K$851-EFEITO!$M$851*EFEITO!$Z$851</f>
        <v>0</v>
      </c>
      <c r="O851" s="100">
        <f>$L$851-EFEITO!$O$851*EFEITO!$AA$851</f>
        <v>0</v>
      </c>
      <c r="P851" s="17"/>
      <c r="Q851" s="17"/>
      <c r="R851" s="17"/>
      <c r="S851" s="17"/>
      <c r="T851" s="17"/>
      <c r="U851" s="17"/>
      <c r="V851" s="17"/>
      <c r="W851" s="17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91" t="s">
        <v>21</v>
      </c>
      <c r="B852" s="91" t="s">
        <v>36</v>
      </c>
      <c r="C852" s="91" t="s">
        <v>23</v>
      </c>
      <c r="D852" s="91" t="s">
        <v>50</v>
      </c>
      <c r="E852" s="91" t="s">
        <v>25</v>
      </c>
      <c r="F852" s="91" t="s">
        <v>25</v>
      </c>
      <c r="G852" s="91" t="s">
        <v>25</v>
      </c>
      <c r="H852" s="91" t="s">
        <v>25</v>
      </c>
      <c r="I852" s="99">
        <v>44593</v>
      </c>
      <c r="J852" s="100">
        <f>EFEITO!$J$852*EFEITO!$Y$852</f>
        <v>0</v>
      </c>
      <c r="K852" s="100">
        <f ca="1">EFEITO!$L$852*EFEITO!$Z$852</f>
        <v>2625.0719195008164</v>
      </c>
      <c r="L852" s="100">
        <f>EFEITO!$N$852*EFEITO!$AA$852</f>
        <v>1833.3621838126053</v>
      </c>
      <c r="M852" s="100">
        <f>$J$852-EFEITO!$K$852*EFEITO!$Y$852</f>
        <v>0</v>
      </c>
      <c r="N852" s="100">
        <f ca="1">$K$852-EFEITO!$M$852*EFEITO!$Z$852</f>
        <v>0</v>
      </c>
      <c r="O852" s="100">
        <f>$L$852-EFEITO!$O$852*EFEITO!$AA$852</f>
        <v>0</v>
      </c>
      <c r="P852" s="17"/>
      <c r="Q852" s="17"/>
      <c r="R852" s="17"/>
      <c r="S852" s="17"/>
      <c r="T852" s="17"/>
      <c r="U852" s="17"/>
      <c r="V852" s="17"/>
      <c r="W852" s="17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91" t="s">
        <v>21</v>
      </c>
      <c r="B853" s="91" t="s">
        <v>36</v>
      </c>
      <c r="C853" s="91" t="s">
        <v>23</v>
      </c>
      <c r="D853" s="91" t="s">
        <v>50</v>
      </c>
      <c r="E853" s="91" t="s">
        <v>25</v>
      </c>
      <c r="F853" s="91" t="s">
        <v>25</v>
      </c>
      <c r="G853" s="91" t="s">
        <v>25</v>
      </c>
      <c r="H853" s="91" t="s">
        <v>25</v>
      </c>
      <c r="I853" s="99">
        <v>44621</v>
      </c>
      <c r="J853" s="100">
        <f>EFEITO!$J$853*EFEITO!$Y$853</f>
        <v>0</v>
      </c>
      <c r="K853" s="100">
        <f ca="1">EFEITO!$L$853*EFEITO!$Z$853</f>
        <v>2458.3430401965888</v>
      </c>
      <c r="L853" s="100">
        <f>EFEITO!$N$853*EFEITO!$AA$853</f>
        <v>1716.9179751815695</v>
      </c>
      <c r="M853" s="100">
        <f>$J$853-EFEITO!$K$853*EFEITO!$Y$853</f>
        <v>0</v>
      </c>
      <c r="N853" s="100">
        <f ca="1">$K$853-EFEITO!$M$853*EFEITO!$Z$853</f>
        <v>0</v>
      </c>
      <c r="O853" s="100">
        <f>$L$853-EFEITO!$O$853*EFEITO!$AA$853</f>
        <v>0</v>
      </c>
      <c r="P853" s="17"/>
      <c r="Q853" s="17"/>
      <c r="R853" s="17"/>
      <c r="S853" s="17"/>
      <c r="T853" s="17"/>
      <c r="U853" s="17"/>
      <c r="V853" s="17"/>
      <c r="W853" s="17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91" t="s">
        <v>21</v>
      </c>
      <c r="B854" s="91" t="s">
        <v>36</v>
      </c>
      <c r="C854" s="91" t="s">
        <v>23</v>
      </c>
      <c r="D854" s="91" t="s">
        <v>50</v>
      </c>
      <c r="E854" s="91" t="s">
        <v>25</v>
      </c>
      <c r="F854" s="91" t="s">
        <v>25</v>
      </c>
      <c r="G854" s="91" t="s">
        <v>25</v>
      </c>
      <c r="H854" s="91" t="s">
        <v>25</v>
      </c>
      <c r="I854" s="99">
        <v>44652</v>
      </c>
      <c r="J854" s="100">
        <f>EFEITO!$J$854*EFEITO!$Y$854</f>
        <v>0</v>
      </c>
      <c r="K854" s="100">
        <f ca="1">EFEITO!$L$854*EFEITO!$Z$854</f>
        <v>2509.1870944794623</v>
      </c>
      <c r="L854" s="100">
        <f>EFEITO!$N$854*EFEITO!$AA$854</f>
        <v>1752.4276942492518</v>
      </c>
      <c r="M854" s="100">
        <f>$J$854-EFEITO!$K$854*EFEITO!$Y$854</f>
        <v>0</v>
      </c>
      <c r="N854" s="100">
        <f ca="1">$K$854-EFEITO!$M$854*EFEITO!$Z$854</f>
        <v>0</v>
      </c>
      <c r="O854" s="100">
        <f>$L$854-EFEITO!$O$854*EFEITO!$AA$854</f>
        <v>0</v>
      </c>
      <c r="P854" s="17"/>
      <c r="Q854" s="17"/>
      <c r="R854" s="17"/>
      <c r="S854" s="17"/>
      <c r="T854" s="17"/>
      <c r="U854" s="17"/>
      <c r="V854" s="17"/>
      <c r="W854" s="17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91" t="s">
        <v>21</v>
      </c>
      <c r="B855" s="91" t="s">
        <v>36</v>
      </c>
      <c r="C855" s="91" t="s">
        <v>23</v>
      </c>
      <c r="D855" s="91" t="s">
        <v>50</v>
      </c>
      <c r="E855" s="91" t="s">
        <v>25</v>
      </c>
      <c r="F855" s="91" t="s">
        <v>25</v>
      </c>
      <c r="G855" s="91" t="s">
        <v>25</v>
      </c>
      <c r="H855" s="91" t="s">
        <v>25</v>
      </c>
      <c r="I855" s="99">
        <v>44682</v>
      </c>
      <c r="J855" s="100">
        <f>EFEITO!$J$855*EFEITO!$Y$855</f>
        <v>0</v>
      </c>
      <c r="K855" s="100">
        <f ca="1">EFEITO!$L$855*EFEITO!$Z$855</f>
        <v>2218.649641434472</v>
      </c>
      <c r="L855" s="100">
        <f>EFEITO!$N$855*EFEITO!$AA$855</f>
        <v>1549.5150138624963</v>
      </c>
      <c r="M855" s="100">
        <f>$J$855-EFEITO!$K$855*EFEITO!$Y$855</f>
        <v>0</v>
      </c>
      <c r="N855" s="100">
        <f ca="1">$K$855-EFEITO!$M$855*EFEITO!$Z$855</f>
        <v>0</v>
      </c>
      <c r="O855" s="100">
        <f>$L$855-EFEITO!$O$855*EFEITO!$AA$855</f>
        <v>0</v>
      </c>
      <c r="P855" s="17"/>
      <c r="Q855" s="17"/>
      <c r="R855" s="17"/>
      <c r="S855" s="17"/>
      <c r="T855" s="17"/>
      <c r="U855" s="17"/>
      <c r="V855" s="17"/>
      <c r="W855" s="17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91" t="s">
        <v>56</v>
      </c>
      <c r="B856" s="91" t="s">
        <v>36</v>
      </c>
      <c r="C856" s="91" t="s">
        <v>23</v>
      </c>
      <c r="D856" s="91" t="s">
        <v>50</v>
      </c>
      <c r="E856" s="91" t="s">
        <v>25</v>
      </c>
      <c r="F856" s="91" t="s">
        <v>25</v>
      </c>
      <c r="G856" s="91" t="s">
        <v>25</v>
      </c>
      <c r="H856" s="91" t="s">
        <v>25</v>
      </c>
      <c r="I856" s="99">
        <v>44713</v>
      </c>
      <c r="J856" s="100">
        <f>EFEITO!$J$856*EFEITO!$Y$856</f>
        <v>0</v>
      </c>
      <c r="K856" s="100">
        <f ca="1">EFEITO!$L$856*EFEITO!$Z$856</f>
        <v>2218.649641434472</v>
      </c>
      <c r="L856" s="100">
        <f>EFEITO!$N$856*EFEITO!$AA$856</f>
        <v>1549.5150138624963</v>
      </c>
      <c r="M856" s="100">
        <f>$J$856-EFEITO!$K$856*EFEITO!$Y$856</f>
        <v>0</v>
      </c>
      <c r="N856" s="100">
        <f ca="1">$K$856-EFEITO!$M$856*EFEITO!$Z$856</f>
        <v>0</v>
      </c>
      <c r="O856" s="100">
        <f>$L$856-EFEITO!$O$856*EFEITO!$AA$856</f>
        <v>0</v>
      </c>
      <c r="P856" s="17"/>
      <c r="Q856" s="17"/>
      <c r="R856" s="17"/>
      <c r="S856" s="17"/>
      <c r="T856" s="17"/>
      <c r="U856" s="17"/>
      <c r="V856" s="17"/>
      <c r="W856" s="17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91" t="s">
        <v>21</v>
      </c>
      <c r="B857" s="91" t="s">
        <v>36</v>
      </c>
      <c r="C857" s="91" t="s">
        <v>23</v>
      </c>
      <c r="D857" s="91" t="s">
        <v>37</v>
      </c>
      <c r="E857" s="91" t="s">
        <v>25</v>
      </c>
      <c r="F857" s="91" t="s">
        <v>25</v>
      </c>
      <c r="G857" s="91" t="s">
        <v>25</v>
      </c>
      <c r="H857" s="91" t="s">
        <v>25</v>
      </c>
      <c r="I857" s="99">
        <v>44378</v>
      </c>
      <c r="J857" s="100">
        <f>EFEITO!$J$857*EFEITO!$Y$857</f>
        <v>0</v>
      </c>
      <c r="K857" s="100">
        <f ca="1">EFEITO!$L$857*EFEITO!$Z$857</f>
        <v>30125.102162602441</v>
      </c>
      <c r="L857" s="100">
        <f>EFEITO!$N$857*EFEITO!$AA$857</f>
        <v>21039.508547601708</v>
      </c>
      <c r="M857" s="100">
        <f>$J$857-EFEITO!$K$857*EFEITO!$Y$857</f>
        <v>0</v>
      </c>
      <c r="N857" s="100">
        <f ca="1">$K$857-EFEITO!$M$857*EFEITO!$Z$857</f>
        <v>0</v>
      </c>
      <c r="O857" s="100">
        <f>$L$857-EFEITO!$O$857*EFEITO!$AA$857</f>
        <v>0</v>
      </c>
      <c r="P857" s="17"/>
      <c r="Q857" s="17"/>
      <c r="R857" s="17"/>
      <c r="S857" s="17"/>
      <c r="T857" s="17"/>
      <c r="U857" s="17"/>
      <c r="V857" s="17"/>
      <c r="W857" s="17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91" t="s">
        <v>21</v>
      </c>
      <c r="B858" s="91" t="s">
        <v>36</v>
      </c>
      <c r="C858" s="91" t="s">
        <v>23</v>
      </c>
      <c r="D858" s="91" t="s">
        <v>37</v>
      </c>
      <c r="E858" s="91" t="s">
        <v>25</v>
      </c>
      <c r="F858" s="91" t="s">
        <v>25</v>
      </c>
      <c r="G858" s="91" t="s">
        <v>25</v>
      </c>
      <c r="H858" s="91" t="s">
        <v>25</v>
      </c>
      <c r="I858" s="99">
        <v>44409</v>
      </c>
      <c r="J858" s="100">
        <f>EFEITO!$J$858*EFEITO!$Y$858</f>
        <v>0</v>
      </c>
      <c r="K858" s="100">
        <f ca="1">EFEITO!$L$858*EFEITO!$Z$858</f>
        <v>31245.6522940055</v>
      </c>
      <c r="L858" s="100">
        <f>EFEITO!$N$858*EFEITO!$AA$858</f>
        <v>21822.105862638808</v>
      </c>
      <c r="M858" s="100">
        <f>$J$858-EFEITO!$K$858*EFEITO!$Y$858</f>
        <v>0</v>
      </c>
      <c r="N858" s="100">
        <f ca="1">$K$858-EFEITO!$M$858*EFEITO!$Z$858</f>
        <v>0</v>
      </c>
      <c r="O858" s="100">
        <f>$L$858-EFEITO!$O$858*EFEITO!$AA$858</f>
        <v>0</v>
      </c>
      <c r="P858" s="17"/>
      <c r="Q858" s="17"/>
      <c r="R858" s="17"/>
      <c r="S858" s="17"/>
      <c r="T858" s="17"/>
      <c r="U858" s="17"/>
      <c r="V858" s="17"/>
      <c r="W858" s="17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91" t="s">
        <v>55</v>
      </c>
      <c r="B859" s="91" t="s">
        <v>36</v>
      </c>
      <c r="C859" s="91" t="s">
        <v>23</v>
      </c>
      <c r="D859" s="91" t="s">
        <v>37</v>
      </c>
      <c r="E859" s="91" t="s">
        <v>25</v>
      </c>
      <c r="F859" s="91" t="s">
        <v>25</v>
      </c>
      <c r="G859" s="91" t="s">
        <v>25</v>
      </c>
      <c r="H859" s="91" t="s">
        <v>25</v>
      </c>
      <c r="I859" s="99">
        <v>44409</v>
      </c>
      <c r="J859" s="100">
        <f>EFEITO!$J$859*EFEITO!$Y$859</f>
        <v>0</v>
      </c>
      <c r="K859" s="100">
        <f ca="1">EFEITO!$L$859*EFEITO!$Z$859</f>
        <v>4569.691917722399</v>
      </c>
      <c r="L859" s="100">
        <f>EFEITO!$N$859*EFEITO!$AA$859</f>
        <v>3191.4936468557753</v>
      </c>
      <c r="M859" s="100">
        <f>$J$859-EFEITO!$K$859*EFEITO!$Y$859</f>
        <v>0</v>
      </c>
      <c r="N859" s="100">
        <f ca="1">$K$859-EFEITO!$M$859*EFEITO!$Z$859</f>
        <v>0</v>
      </c>
      <c r="O859" s="100">
        <f>$L$859-EFEITO!$O$859*EFEITO!$AA$859</f>
        <v>0</v>
      </c>
      <c r="P859" s="17"/>
      <c r="Q859" s="17"/>
      <c r="R859" s="17"/>
      <c r="S859" s="17"/>
      <c r="T859" s="17"/>
      <c r="U859" s="17"/>
      <c r="V859" s="17"/>
      <c r="W859" s="17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91" t="s">
        <v>21</v>
      </c>
      <c r="B860" s="91" t="s">
        <v>36</v>
      </c>
      <c r="C860" s="91" t="s">
        <v>23</v>
      </c>
      <c r="D860" s="91" t="s">
        <v>37</v>
      </c>
      <c r="E860" s="91" t="s">
        <v>25</v>
      </c>
      <c r="F860" s="91" t="s">
        <v>25</v>
      </c>
      <c r="G860" s="91" t="s">
        <v>25</v>
      </c>
      <c r="H860" s="91" t="s">
        <v>25</v>
      </c>
      <c r="I860" s="99">
        <v>44440</v>
      </c>
      <c r="J860" s="100">
        <f>EFEITO!$J$860*EFEITO!$Y$860</f>
        <v>0</v>
      </c>
      <c r="K860" s="100">
        <f ca="1">EFEITO!$L$860*EFEITO!$Z$860</f>
        <v>31973.646707601187</v>
      </c>
      <c r="L860" s="100">
        <f>EFEITO!$N$860*EFEITO!$AA$860</f>
        <v>22330.540476562437</v>
      </c>
      <c r="M860" s="100">
        <f>$J$860-EFEITO!$K$860*EFEITO!$Y$860</f>
        <v>0</v>
      </c>
      <c r="N860" s="100">
        <f ca="1">$K$860-EFEITO!$M$860*EFEITO!$Z$860</f>
        <v>0</v>
      </c>
      <c r="O860" s="100">
        <f>$L$860-EFEITO!$O$860*EFEITO!$AA$860</f>
        <v>0</v>
      </c>
      <c r="P860" s="17"/>
      <c r="Q860" s="17"/>
      <c r="R860" s="17"/>
      <c r="S860" s="17"/>
      <c r="T860" s="17"/>
      <c r="U860" s="17"/>
      <c r="V860" s="17"/>
      <c r="W860" s="17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91" t="s">
        <v>55</v>
      </c>
      <c r="B861" s="91" t="s">
        <v>36</v>
      </c>
      <c r="C861" s="91" t="s">
        <v>23</v>
      </c>
      <c r="D861" s="91" t="s">
        <v>37</v>
      </c>
      <c r="E861" s="91" t="s">
        <v>25</v>
      </c>
      <c r="F861" s="91" t="s">
        <v>25</v>
      </c>
      <c r="G861" s="91" t="s">
        <v>25</v>
      </c>
      <c r="H861" s="91" t="s">
        <v>25</v>
      </c>
      <c r="I861" s="99">
        <v>44440</v>
      </c>
      <c r="J861" s="100">
        <f>EFEITO!$J$861*EFEITO!$Y$861</f>
        <v>0</v>
      </c>
      <c r="K861" s="100">
        <f ca="1">EFEITO!$L$861*EFEITO!$Z$861</f>
        <v>5469.3675535719431</v>
      </c>
      <c r="L861" s="100">
        <f>EFEITO!$N$861*EFEITO!$AA$861</f>
        <v>3819.8312082806715</v>
      </c>
      <c r="M861" s="100">
        <f>$J$861-EFEITO!$K$861*EFEITO!$Y$861</f>
        <v>0</v>
      </c>
      <c r="N861" s="100">
        <f ca="1">$K$861-EFEITO!$M$861*EFEITO!$Z$861</f>
        <v>0</v>
      </c>
      <c r="O861" s="100">
        <f>$L$861-EFEITO!$O$861*EFEITO!$AA$861</f>
        <v>0</v>
      </c>
      <c r="P861" s="17"/>
      <c r="Q861" s="17"/>
      <c r="R861" s="17"/>
      <c r="S861" s="17"/>
      <c r="T861" s="17"/>
      <c r="U861" s="17"/>
      <c r="V861" s="17"/>
      <c r="W861" s="17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91" t="s">
        <v>21</v>
      </c>
      <c r="B862" s="91" t="s">
        <v>36</v>
      </c>
      <c r="C862" s="91" t="s">
        <v>23</v>
      </c>
      <c r="D862" s="91" t="s">
        <v>37</v>
      </c>
      <c r="E862" s="91" t="s">
        <v>25</v>
      </c>
      <c r="F862" s="91" t="s">
        <v>25</v>
      </c>
      <c r="G862" s="91" t="s">
        <v>25</v>
      </c>
      <c r="H862" s="91" t="s">
        <v>25</v>
      </c>
      <c r="I862" s="99">
        <v>44470</v>
      </c>
      <c r="J862" s="100">
        <f>EFEITO!$J$862*EFEITO!$Y$862</f>
        <v>0</v>
      </c>
      <c r="K862" s="100">
        <f ca="1">EFEITO!$L$862*EFEITO!$Z$862</f>
        <v>34587.493316416178</v>
      </c>
      <c r="L862" s="100">
        <f>EFEITO!$N$862*EFEITO!$AA$862</f>
        <v>24156.062852269191</v>
      </c>
      <c r="M862" s="100">
        <f>$J$862-EFEITO!$K$862*EFEITO!$Y$862</f>
        <v>0</v>
      </c>
      <c r="N862" s="100">
        <f ca="1">$K$862-EFEITO!$M$862*EFEITO!$Z$862</f>
        <v>0</v>
      </c>
      <c r="O862" s="100">
        <f>$L$862-EFEITO!$O$862*EFEITO!$AA$862</f>
        <v>0</v>
      </c>
      <c r="P862" s="17"/>
      <c r="Q862" s="17"/>
      <c r="R862" s="17"/>
      <c r="S862" s="17"/>
      <c r="T862" s="17"/>
      <c r="U862" s="17"/>
      <c r="V862" s="17"/>
      <c r="W862" s="17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91" t="s">
        <v>55</v>
      </c>
      <c r="B863" s="91" t="s">
        <v>36</v>
      </c>
      <c r="C863" s="91" t="s">
        <v>23</v>
      </c>
      <c r="D863" s="91" t="s">
        <v>37</v>
      </c>
      <c r="E863" s="91" t="s">
        <v>25</v>
      </c>
      <c r="F863" s="91" t="s">
        <v>25</v>
      </c>
      <c r="G863" s="91" t="s">
        <v>25</v>
      </c>
      <c r="H863" s="91" t="s">
        <v>25</v>
      </c>
      <c r="I863" s="99">
        <v>44470</v>
      </c>
      <c r="J863" s="100">
        <f>EFEITO!$J$863*EFEITO!$Y$863</f>
        <v>0</v>
      </c>
      <c r="K863" s="100">
        <f ca="1">EFEITO!$L$863*EFEITO!$Z$863</f>
        <v>5518.2306706749641</v>
      </c>
      <c r="L863" s="100">
        <f>EFEITO!$N$863*EFEITO!$AA$863</f>
        <v>3853.9574318002624</v>
      </c>
      <c r="M863" s="100">
        <f>$J$863-EFEITO!$K$863*EFEITO!$Y$863</f>
        <v>0</v>
      </c>
      <c r="N863" s="100">
        <f ca="1">$K$863-EFEITO!$M$863*EFEITO!$Z$863</f>
        <v>0</v>
      </c>
      <c r="O863" s="100">
        <f>$L$863-EFEITO!$O$863*EFEITO!$AA$863</f>
        <v>0</v>
      </c>
      <c r="P863" s="17"/>
      <c r="Q863" s="17"/>
      <c r="R863" s="17"/>
      <c r="S863" s="17"/>
      <c r="T863" s="17"/>
      <c r="U863" s="17"/>
      <c r="V863" s="17"/>
      <c r="W863" s="17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91" t="s">
        <v>21</v>
      </c>
      <c r="B864" s="91" t="s">
        <v>36</v>
      </c>
      <c r="C864" s="91" t="s">
        <v>23</v>
      </c>
      <c r="D864" s="91" t="s">
        <v>37</v>
      </c>
      <c r="E864" s="91" t="s">
        <v>25</v>
      </c>
      <c r="F864" s="91" t="s">
        <v>25</v>
      </c>
      <c r="G864" s="91" t="s">
        <v>25</v>
      </c>
      <c r="H864" s="91" t="s">
        <v>25</v>
      </c>
      <c r="I864" s="99">
        <v>44501</v>
      </c>
      <c r="J864" s="100">
        <f>EFEITO!$J$864*EFEITO!$Y$864</f>
        <v>0</v>
      </c>
      <c r="K864" s="100">
        <f ca="1">EFEITO!$L$864*EFEITO!$Z$864</f>
        <v>40667.649833775889</v>
      </c>
      <c r="L864" s="100">
        <f>EFEITO!$N$864*EFEITO!$AA$864</f>
        <v>28402.47185454475</v>
      </c>
      <c r="M864" s="100">
        <f>$J$864-EFEITO!$K$864*EFEITO!$Y$864</f>
        <v>0</v>
      </c>
      <c r="N864" s="100">
        <f ca="1">$K$864-EFEITO!$M$864*EFEITO!$Z$864</f>
        <v>0</v>
      </c>
      <c r="O864" s="100">
        <f>$L$864-EFEITO!$O$864*EFEITO!$AA$864</f>
        <v>0</v>
      </c>
      <c r="P864" s="17"/>
      <c r="Q864" s="17"/>
      <c r="R864" s="17"/>
      <c r="S864" s="17"/>
      <c r="T864" s="17"/>
      <c r="U864" s="17"/>
      <c r="V864" s="17"/>
      <c r="W864" s="17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91" t="s">
        <v>55</v>
      </c>
      <c r="B865" s="91" t="s">
        <v>36</v>
      </c>
      <c r="C865" s="91" t="s">
        <v>23</v>
      </c>
      <c r="D865" s="91" t="s">
        <v>37</v>
      </c>
      <c r="E865" s="91" t="s">
        <v>25</v>
      </c>
      <c r="F865" s="91" t="s">
        <v>25</v>
      </c>
      <c r="G865" s="91" t="s">
        <v>25</v>
      </c>
      <c r="H865" s="91" t="s">
        <v>25</v>
      </c>
      <c r="I865" s="99">
        <v>44501</v>
      </c>
      <c r="J865" s="100">
        <f>EFEITO!$J$865*EFEITO!$Y$865</f>
        <v>0</v>
      </c>
      <c r="K865" s="100">
        <f ca="1">EFEITO!$L$865*EFEITO!$Z$865</f>
        <v>5131.947920603784</v>
      </c>
      <c r="L865" s="100">
        <f>EFEITO!$N$865*EFEITO!$AA$865</f>
        <v>3584.1757999224174</v>
      </c>
      <c r="M865" s="100">
        <f>$J$865-EFEITO!$K$865*EFEITO!$Y$865</f>
        <v>0</v>
      </c>
      <c r="N865" s="100">
        <f ca="1">$K$865-EFEITO!$M$865*EFEITO!$Z$865</f>
        <v>0</v>
      </c>
      <c r="O865" s="100">
        <f>$L$865-EFEITO!$O$865*EFEITO!$AA$865</f>
        <v>0</v>
      </c>
      <c r="P865" s="17"/>
      <c r="Q865" s="17"/>
      <c r="R865" s="17"/>
      <c r="S865" s="17"/>
      <c r="T865" s="17"/>
      <c r="U865" s="17"/>
      <c r="V865" s="17"/>
      <c r="W865" s="17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91" t="s">
        <v>21</v>
      </c>
      <c r="B866" s="91" t="s">
        <v>36</v>
      </c>
      <c r="C866" s="91" t="s">
        <v>23</v>
      </c>
      <c r="D866" s="91" t="s">
        <v>37</v>
      </c>
      <c r="E866" s="91" t="s">
        <v>25</v>
      </c>
      <c r="F866" s="91" t="s">
        <v>25</v>
      </c>
      <c r="G866" s="91" t="s">
        <v>25</v>
      </c>
      <c r="H866" s="91" t="s">
        <v>25</v>
      </c>
      <c r="I866" s="99">
        <v>44531</v>
      </c>
      <c r="J866" s="100">
        <f>EFEITO!$J$866*EFEITO!$Y$866</f>
        <v>0</v>
      </c>
      <c r="K866" s="100">
        <f ca="1">EFEITO!$L$866*EFEITO!$Z$866</f>
        <v>43122.030999612762</v>
      </c>
      <c r="L866" s="100">
        <f>EFEITO!$N$866*EFEITO!$AA$866</f>
        <v>30116.622838630134</v>
      </c>
      <c r="M866" s="100">
        <f>$J$866-EFEITO!$K$866*EFEITO!$Y$866</f>
        <v>0</v>
      </c>
      <c r="N866" s="100">
        <f ca="1">$K$866-EFEITO!$M$866*EFEITO!$Z$866</f>
        <v>0</v>
      </c>
      <c r="O866" s="100">
        <f>$L$866-EFEITO!$O$866*EFEITO!$AA$866</f>
        <v>0</v>
      </c>
      <c r="P866" s="17"/>
      <c r="Q866" s="17"/>
      <c r="R866" s="17"/>
      <c r="S866" s="17"/>
      <c r="T866" s="17"/>
      <c r="U866" s="17"/>
      <c r="V866" s="17"/>
      <c r="W866" s="17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91" t="s">
        <v>27</v>
      </c>
      <c r="B867" s="91" t="s">
        <v>36</v>
      </c>
      <c r="C867" s="91" t="s">
        <v>23</v>
      </c>
      <c r="D867" s="91" t="s">
        <v>37</v>
      </c>
      <c r="E867" s="91" t="s">
        <v>25</v>
      </c>
      <c r="F867" s="91" t="s">
        <v>25</v>
      </c>
      <c r="G867" s="91" t="s">
        <v>25</v>
      </c>
      <c r="H867" s="91" t="s">
        <v>25</v>
      </c>
      <c r="I867" s="99">
        <v>44531</v>
      </c>
      <c r="J867" s="100">
        <f>EFEITO!$J$867*EFEITO!$Y$867</f>
        <v>0</v>
      </c>
      <c r="K867" s="100">
        <f ca="1">EFEITO!$L$867*EFEITO!$Z$867</f>
        <v>69302.426924736181</v>
      </c>
      <c r="L867" s="100">
        <f>EFEITO!$N$867*EFEITO!$AA$867</f>
        <v>48401.130584798935</v>
      </c>
      <c r="M867" s="100">
        <f>$J$867-EFEITO!$K$867*EFEITO!$Y$867</f>
        <v>0</v>
      </c>
      <c r="N867" s="100">
        <f ca="1">$K$867-EFEITO!$M$867*EFEITO!$Z$867</f>
        <v>0</v>
      </c>
      <c r="O867" s="100">
        <f>$L$867-EFEITO!$O$867*EFEITO!$AA$867</f>
        <v>0</v>
      </c>
      <c r="P867" s="17"/>
      <c r="Q867" s="17"/>
      <c r="R867" s="17"/>
      <c r="S867" s="17"/>
      <c r="T867" s="17"/>
      <c r="U867" s="17"/>
      <c r="V867" s="17"/>
      <c r="W867" s="17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91" t="s">
        <v>55</v>
      </c>
      <c r="B868" s="91" t="s">
        <v>36</v>
      </c>
      <c r="C868" s="91" t="s">
        <v>23</v>
      </c>
      <c r="D868" s="91" t="s">
        <v>37</v>
      </c>
      <c r="E868" s="91" t="s">
        <v>25</v>
      </c>
      <c r="F868" s="91" t="s">
        <v>25</v>
      </c>
      <c r="G868" s="91" t="s">
        <v>25</v>
      </c>
      <c r="H868" s="91" t="s">
        <v>25</v>
      </c>
      <c r="I868" s="99">
        <v>44531</v>
      </c>
      <c r="J868" s="100">
        <f>EFEITO!$J$868*EFEITO!$Y$868</f>
        <v>0</v>
      </c>
      <c r="K868" s="100">
        <f ca="1">EFEITO!$L$868*EFEITO!$Z$868</f>
        <v>6117.7943237768995</v>
      </c>
      <c r="L868" s="100">
        <f>EFEITO!$N$868*EFEITO!$AA$868</f>
        <v>4272.6954176892941</v>
      </c>
      <c r="M868" s="100">
        <f>$J$868-EFEITO!$K$868*EFEITO!$Y$868</f>
        <v>0</v>
      </c>
      <c r="N868" s="100">
        <f ca="1">$K$868-EFEITO!$M$868*EFEITO!$Z$868</f>
        <v>0</v>
      </c>
      <c r="O868" s="100">
        <f>$L$868-EFEITO!$O$868*EFEITO!$AA$868</f>
        <v>0</v>
      </c>
      <c r="P868" s="17"/>
      <c r="Q868" s="17"/>
      <c r="R868" s="17"/>
      <c r="S868" s="17"/>
      <c r="T868" s="17"/>
      <c r="U868" s="17"/>
      <c r="V868" s="17"/>
      <c r="W868" s="17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91" t="s">
        <v>21</v>
      </c>
      <c r="B869" s="91" t="s">
        <v>36</v>
      </c>
      <c r="C869" s="91" t="s">
        <v>23</v>
      </c>
      <c r="D869" s="91" t="s">
        <v>37</v>
      </c>
      <c r="E869" s="91" t="s">
        <v>25</v>
      </c>
      <c r="F869" s="91" t="s">
        <v>25</v>
      </c>
      <c r="G869" s="91" t="s">
        <v>25</v>
      </c>
      <c r="H869" s="91" t="s">
        <v>25</v>
      </c>
      <c r="I869" s="99">
        <v>44562</v>
      </c>
      <c r="J869" s="100">
        <f>EFEITO!$J$869*EFEITO!$Y$869</f>
        <v>0</v>
      </c>
      <c r="K869" s="100">
        <f ca="1">EFEITO!$L$869*EFEITO!$Z$869</f>
        <v>41458.373924733554</v>
      </c>
      <c r="L869" s="100">
        <f>EFEITO!$N$869*EFEITO!$AA$869</f>
        <v>28954.717160824614</v>
      </c>
      <c r="M869" s="100">
        <f>$J$869-EFEITO!$K$869*EFEITO!$Y$869</f>
        <v>0</v>
      </c>
      <c r="N869" s="100">
        <f ca="1">$K$869-EFEITO!$M$869*EFEITO!$Z$869</f>
        <v>0</v>
      </c>
      <c r="O869" s="100">
        <f>$L$869-EFEITO!$O$869*EFEITO!$AA$869</f>
        <v>0</v>
      </c>
      <c r="P869" s="17"/>
      <c r="Q869" s="17"/>
      <c r="R869" s="17"/>
      <c r="S869" s="17"/>
      <c r="T869" s="17"/>
      <c r="U869" s="17"/>
      <c r="V869" s="17"/>
      <c r="W869" s="17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91" t="s">
        <v>55</v>
      </c>
      <c r="B870" s="91" t="s">
        <v>36</v>
      </c>
      <c r="C870" s="91" t="s">
        <v>23</v>
      </c>
      <c r="D870" s="91" t="s">
        <v>37</v>
      </c>
      <c r="E870" s="91" t="s">
        <v>25</v>
      </c>
      <c r="F870" s="91" t="s">
        <v>25</v>
      </c>
      <c r="G870" s="91" t="s">
        <v>25</v>
      </c>
      <c r="H870" s="91" t="s">
        <v>25</v>
      </c>
      <c r="I870" s="99">
        <v>44562</v>
      </c>
      <c r="J870" s="100">
        <f>EFEITO!$J$870*EFEITO!$Y$870</f>
        <v>0</v>
      </c>
      <c r="K870" s="100">
        <f ca="1">EFEITO!$L$870*EFEITO!$Z$870</f>
        <v>3932.820614399915</v>
      </c>
      <c r="L870" s="100">
        <f>EFEITO!$N$870*EFEITO!$AA$870</f>
        <v>2746.6998281443539</v>
      </c>
      <c r="M870" s="100">
        <f>$J$870-EFEITO!$K$870*EFEITO!$Y$870</f>
        <v>0</v>
      </c>
      <c r="N870" s="100">
        <f ca="1">$K$870-EFEITO!$M$870*EFEITO!$Z$870</f>
        <v>0</v>
      </c>
      <c r="O870" s="100">
        <f>$L$870-EFEITO!$O$870*EFEITO!$AA$870</f>
        <v>0</v>
      </c>
      <c r="P870" s="17"/>
      <c r="Q870" s="17"/>
      <c r="R870" s="17"/>
      <c r="S870" s="17"/>
      <c r="T870" s="17"/>
      <c r="U870" s="17"/>
      <c r="V870" s="17"/>
      <c r="W870" s="17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91" t="s">
        <v>21</v>
      </c>
      <c r="B871" s="91" t="s">
        <v>36</v>
      </c>
      <c r="C871" s="91" t="s">
        <v>23</v>
      </c>
      <c r="D871" s="91" t="s">
        <v>37</v>
      </c>
      <c r="E871" s="91" t="s">
        <v>25</v>
      </c>
      <c r="F871" s="91" t="s">
        <v>25</v>
      </c>
      <c r="G871" s="91" t="s">
        <v>25</v>
      </c>
      <c r="H871" s="91" t="s">
        <v>25</v>
      </c>
      <c r="I871" s="99">
        <v>44593</v>
      </c>
      <c r="J871" s="100">
        <f>EFEITO!$J$871*EFEITO!$Y$871</f>
        <v>0</v>
      </c>
      <c r="K871" s="100">
        <f ca="1">EFEITO!$L$871*EFEITO!$Z$871</f>
        <v>33059.2002821602</v>
      </c>
      <c r="L871" s="100">
        <f>EFEITO!$N$871*EFEITO!$AA$871</f>
        <v>23088.69603691659</v>
      </c>
      <c r="M871" s="100">
        <f>$J$871-EFEITO!$K$871*EFEITO!$Y$871</f>
        <v>0</v>
      </c>
      <c r="N871" s="100">
        <f ca="1">$K$871-EFEITO!$M$871*EFEITO!$Z$871</f>
        <v>0</v>
      </c>
      <c r="O871" s="100">
        <f>$L$871-EFEITO!$O$871*EFEITO!$AA$871</f>
        <v>0</v>
      </c>
      <c r="P871" s="17"/>
      <c r="Q871" s="17"/>
      <c r="R871" s="17"/>
      <c r="S871" s="17"/>
      <c r="T871" s="17"/>
      <c r="U871" s="17"/>
      <c r="V871" s="17"/>
      <c r="W871" s="17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91" t="s">
        <v>55</v>
      </c>
      <c r="B872" s="91" t="s">
        <v>36</v>
      </c>
      <c r="C872" s="91" t="s">
        <v>23</v>
      </c>
      <c r="D872" s="91" t="s">
        <v>37</v>
      </c>
      <c r="E872" s="91" t="s">
        <v>25</v>
      </c>
      <c r="F872" s="91" t="s">
        <v>25</v>
      </c>
      <c r="G872" s="91" t="s">
        <v>25</v>
      </c>
      <c r="H872" s="91" t="s">
        <v>25</v>
      </c>
      <c r="I872" s="99">
        <v>44593</v>
      </c>
      <c r="J872" s="100">
        <f>EFEITO!$J$872*EFEITO!$Y$872</f>
        <v>0</v>
      </c>
      <c r="K872" s="100">
        <f ca="1">EFEITO!$L$872*EFEITO!$Z$872</f>
        <v>8328.8503726886047</v>
      </c>
      <c r="L872" s="100">
        <f>EFEITO!$N$872*EFEITO!$AA$872</f>
        <v>5816.9070319507728</v>
      </c>
      <c r="M872" s="100">
        <f>$J$872-EFEITO!$K$872*EFEITO!$Y$872</f>
        <v>0</v>
      </c>
      <c r="N872" s="100">
        <f ca="1">$K$872-EFEITO!$M$872*EFEITO!$Z$872</f>
        <v>0</v>
      </c>
      <c r="O872" s="100">
        <f>$L$872-EFEITO!$O$872*EFEITO!$AA$872</f>
        <v>0</v>
      </c>
      <c r="P872" s="17"/>
      <c r="Q872" s="17"/>
      <c r="R872" s="17"/>
      <c r="S872" s="17"/>
      <c r="T872" s="17"/>
      <c r="U872" s="17"/>
      <c r="V872" s="17"/>
      <c r="W872" s="17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91" t="s">
        <v>21</v>
      </c>
      <c r="B873" s="91" t="s">
        <v>36</v>
      </c>
      <c r="C873" s="91" t="s">
        <v>23</v>
      </c>
      <c r="D873" s="91" t="s">
        <v>37</v>
      </c>
      <c r="E873" s="91" t="s">
        <v>25</v>
      </c>
      <c r="F873" s="91" t="s">
        <v>25</v>
      </c>
      <c r="G873" s="91" t="s">
        <v>25</v>
      </c>
      <c r="H873" s="91" t="s">
        <v>25</v>
      </c>
      <c r="I873" s="99">
        <v>44621</v>
      </c>
      <c r="J873" s="100">
        <f>EFEITO!$J$873*EFEITO!$Y$873</f>
        <v>0</v>
      </c>
      <c r="K873" s="100">
        <f ca="1">EFEITO!$L$873*EFEITO!$Z$873</f>
        <v>30996.714521737409</v>
      </c>
      <c r="L873" s="100">
        <f>EFEITO!$N$873*EFEITO!$AA$873</f>
        <v>21648.246588761976</v>
      </c>
      <c r="M873" s="100">
        <f>$J$873-EFEITO!$K$873*EFEITO!$Y$873</f>
        <v>0</v>
      </c>
      <c r="N873" s="100">
        <f ca="1">$K$873-EFEITO!$M$873*EFEITO!$Z$873</f>
        <v>0</v>
      </c>
      <c r="O873" s="100">
        <f>$L$873-EFEITO!$O$873*EFEITO!$AA$873</f>
        <v>0</v>
      </c>
      <c r="P873" s="17"/>
      <c r="Q873" s="17"/>
      <c r="R873" s="17"/>
      <c r="S873" s="17"/>
      <c r="T873" s="17"/>
      <c r="U873" s="17"/>
      <c r="V873" s="17"/>
      <c r="W873" s="17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91" t="s">
        <v>55</v>
      </c>
      <c r="B874" s="91" t="s">
        <v>36</v>
      </c>
      <c r="C874" s="91" t="s">
        <v>23</v>
      </c>
      <c r="D874" s="91" t="s">
        <v>37</v>
      </c>
      <c r="E874" s="91" t="s">
        <v>25</v>
      </c>
      <c r="F874" s="91" t="s">
        <v>25</v>
      </c>
      <c r="G874" s="91" t="s">
        <v>25</v>
      </c>
      <c r="H874" s="91" t="s">
        <v>25</v>
      </c>
      <c r="I874" s="99">
        <v>44621</v>
      </c>
      <c r="J874" s="100">
        <f>EFEITO!$J$874*EFEITO!$Y$874</f>
        <v>0</v>
      </c>
      <c r="K874" s="100">
        <f ca="1">EFEITO!$L$874*EFEITO!$Z$874</f>
        <v>5463.0945858357454</v>
      </c>
      <c r="L874" s="100">
        <f>EFEITO!$N$874*EFEITO!$AA$874</f>
        <v>3815.4501390450487</v>
      </c>
      <c r="M874" s="100">
        <f>$J$874-EFEITO!$K$874*EFEITO!$Y$874</f>
        <v>0</v>
      </c>
      <c r="N874" s="100">
        <f ca="1">$K$874-EFEITO!$M$874*EFEITO!$Z$874</f>
        <v>0</v>
      </c>
      <c r="O874" s="100">
        <f>$L$874-EFEITO!$O$874*EFEITO!$AA$874</f>
        <v>0</v>
      </c>
      <c r="P874" s="17"/>
      <c r="Q874" s="17"/>
      <c r="R874" s="17"/>
      <c r="S874" s="17"/>
      <c r="T874" s="17"/>
      <c r="U874" s="17"/>
      <c r="V874" s="17"/>
      <c r="W874" s="17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91" t="s">
        <v>21</v>
      </c>
      <c r="B875" s="91" t="s">
        <v>36</v>
      </c>
      <c r="C875" s="91" t="s">
        <v>23</v>
      </c>
      <c r="D875" s="91" t="s">
        <v>37</v>
      </c>
      <c r="E875" s="91" t="s">
        <v>25</v>
      </c>
      <c r="F875" s="91" t="s">
        <v>25</v>
      </c>
      <c r="G875" s="91" t="s">
        <v>25</v>
      </c>
      <c r="H875" s="91" t="s">
        <v>25</v>
      </c>
      <c r="I875" s="99">
        <v>44652</v>
      </c>
      <c r="J875" s="100">
        <f>EFEITO!$J$875*EFEITO!$Y$875</f>
        <v>0</v>
      </c>
      <c r="K875" s="100">
        <f ca="1">EFEITO!$L$875*EFEITO!$Z$875</f>
        <v>32352.666021346246</v>
      </c>
      <c r="L875" s="100">
        <f>EFEITO!$N$875*EFEITO!$AA$875</f>
        <v>22595.249291430617</v>
      </c>
      <c r="M875" s="100">
        <f>$J$875-EFEITO!$K$875*EFEITO!$Y$875</f>
        <v>0</v>
      </c>
      <c r="N875" s="100">
        <f ca="1">$K$875-EFEITO!$M$875*EFEITO!$Z$875</f>
        <v>0</v>
      </c>
      <c r="O875" s="100">
        <f>$L$875-EFEITO!$O$875*EFEITO!$AA$875</f>
        <v>0</v>
      </c>
      <c r="P875" s="17"/>
      <c r="Q875" s="17"/>
      <c r="R875" s="17"/>
      <c r="S875" s="17"/>
      <c r="T875" s="17"/>
      <c r="U875" s="17"/>
      <c r="V875" s="17"/>
      <c r="W875" s="17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91" t="s">
        <v>55</v>
      </c>
      <c r="B876" s="91" t="s">
        <v>36</v>
      </c>
      <c r="C876" s="91" t="s">
        <v>23</v>
      </c>
      <c r="D876" s="91" t="s">
        <v>37</v>
      </c>
      <c r="E876" s="91" t="s">
        <v>25</v>
      </c>
      <c r="F876" s="91" t="s">
        <v>25</v>
      </c>
      <c r="G876" s="91" t="s">
        <v>25</v>
      </c>
      <c r="H876" s="91" t="s">
        <v>25</v>
      </c>
      <c r="I876" s="99">
        <v>44652</v>
      </c>
      <c r="J876" s="100">
        <f>EFEITO!$J$876*EFEITO!$Y$876</f>
        <v>0</v>
      </c>
      <c r="K876" s="100">
        <f ca="1">EFEITO!$L$876*EFEITO!$Z$876</f>
        <v>3803.0692291195955</v>
      </c>
      <c r="L876" s="100">
        <f>EFEITO!$N$876*EFEITO!$AA$876</f>
        <v>2656.0808697443595</v>
      </c>
      <c r="M876" s="100">
        <f>$J$876-EFEITO!$K$876*EFEITO!$Y$876</f>
        <v>0</v>
      </c>
      <c r="N876" s="100">
        <f ca="1">$K$876-EFEITO!$M$876*EFEITO!$Z$876</f>
        <v>0</v>
      </c>
      <c r="O876" s="100">
        <f>$L$876-EFEITO!$O$876*EFEITO!$AA$876</f>
        <v>0</v>
      </c>
      <c r="P876" s="17"/>
      <c r="Q876" s="17"/>
      <c r="R876" s="17"/>
      <c r="S876" s="17"/>
      <c r="T876" s="17"/>
      <c r="U876" s="17"/>
      <c r="V876" s="17"/>
      <c r="W876" s="17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91" t="s">
        <v>21</v>
      </c>
      <c r="B877" s="91" t="s">
        <v>36</v>
      </c>
      <c r="C877" s="91" t="s">
        <v>23</v>
      </c>
      <c r="D877" s="91" t="s">
        <v>37</v>
      </c>
      <c r="E877" s="91" t="s">
        <v>25</v>
      </c>
      <c r="F877" s="91" t="s">
        <v>25</v>
      </c>
      <c r="G877" s="91" t="s">
        <v>25</v>
      </c>
      <c r="H877" s="91" t="s">
        <v>25</v>
      </c>
      <c r="I877" s="99">
        <v>44682</v>
      </c>
      <c r="J877" s="100">
        <f>EFEITO!$J$877*EFEITO!$Y$877</f>
        <v>0</v>
      </c>
      <c r="K877" s="100">
        <f ca="1">EFEITO!$L$877*EFEITO!$Z$877</f>
        <v>24483.062918186712</v>
      </c>
      <c r="L877" s="100">
        <f>EFEITO!$N$877*EFEITO!$AA$877</f>
        <v>17099.082644045728</v>
      </c>
      <c r="M877" s="100">
        <f>$J$877-EFEITO!$K$877*EFEITO!$Y$877</f>
        <v>0</v>
      </c>
      <c r="N877" s="100">
        <f ca="1">$K$877-EFEITO!$M$877*EFEITO!$Z$877</f>
        <v>0</v>
      </c>
      <c r="O877" s="100">
        <f>$L$877-EFEITO!$O$877*EFEITO!$AA$877</f>
        <v>0</v>
      </c>
      <c r="P877" s="17"/>
      <c r="Q877" s="17"/>
      <c r="R877" s="17"/>
      <c r="S877" s="17"/>
      <c r="T877" s="17"/>
      <c r="U877" s="17"/>
      <c r="V877" s="17"/>
      <c r="W877" s="17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91" t="s">
        <v>55</v>
      </c>
      <c r="B878" s="91" t="s">
        <v>36</v>
      </c>
      <c r="C878" s="91" t="s">
        <v>23</v>
      </c>
      <c r="D878" s="91" t="s">
        <v>37</v>
      </c>
      <c r="E878" s="91" t="s">
        <v>25</v>
      </c>
      <c r="F878" s="91" t="s">
        <v>25</v>
      </c>
      <c r="G878" s="91" t="s">
        <v>25</v>
      </c>
      <c r="H878" s="91" t="s">
        <v>25</v>
      </c>
      <c r="I878" s="99">
        <v>44682</v>
      </c>
      <c r="J878" s="100">
        <f>EFEITO!$J$878*EFEITO!$Y$878</f>
        <v>0</v>
      </c>
      <c r="K878" s="100">
        <f ca="1">EFEITO!$L$878*EFEITO!$Z$878</f>
        <v>3293.3080615042941</v>
      </c>
      <c r="L878" s="100">
        <f>EFEITO!$N$878*EFEITO!$AA$878</f>
        <v>2300.0613487021428</v>
      </c>
      <c r="M878" s="100">
        <f>$J$878-EFEITO!$K$878*EFEITO!$Y$878</f>
        <v>0</v>
      </c>
      <c r="N878" s="100">
        <f ca="1">$K$878-EFEITO!$M$878*EFEITO!$Z$878</f>
        <v>0</v>
      </c>
      <c r="O878" s="100">
        <f>$L$878-EFEITO!$O$878*EFEITO!$AA$878</f>
        <v>0</v>
      </c>
      <c r="P878" s="17"/>
      <c r="Q878" s="17"/>
      <c r="R878" s="17"/>
      <c r="S878" s="17"/>
      <c r="T878" s="17"/>
      <c r="U878" s="17"/>
      <c r="V878" s="17"/>
      <c r="W878" s="17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91" t="s">
        <v>56</v>
      </c>
      <c r="B879" s="91" t="s">
        <v>36</v>
      </c>
      <c r="C879" s="91" t="s">
        <v>23</v>
      </c>
      <c r="D879" s="91" t="s">
        <v>37</v>
      </c>
      <c r="E879" s="91" t="s">
        <v>25</v>
      </c>
      <c r="F879" s="91" t="s">
        <v>25</v>
      </c>
      <c r="G879" s="91" t="s">
        <v>25</v>
      </c>
      <c r="H879" s="91" t="s">
        <v>25</v>
      </c>
      <c r="I879" s="99">
        <v>44713</v>
      </c>
      <c r="J879" s="100">
        <f>EFEITO!$J$879*EFEITO!$Y$879</f>
        <v>0</v>
      </c>
      <c r="K879" s="100">
        <f ca="1">EFEITO!$L$879*EFEITO!$Z$879</f>
        <v>24483.062918186712</v>
      </c>
      <c r="L879" s="100">
        <f>EFEITO!$N$879*EFEITO!$AA$879</f>
        <v>17099.082644045728</v>
      </c>
      <c r="M879" s="100">
        <f>$J$879-EFEITO!$K$879*EFEITO!$Y$879</f>
        <v>0</v>
      </c>
      <c r="N879" s="100">
        <f ca="1">$K$879-EFEITO!$M$879*EFEITO!$Z$879</f>
        <v>0</v>
      </c>
      <c r="O879" s="100">
        <f>$L$879-EFEITO!$O$879*EFEITO!$AA$879</f>
        <v>0</v>
      </c>
      <c r="P879" s="17"/>
      <c r="Q879" s="17"/>
      <c r="R879" s="17"/>
      <c r="S879" s="17"/>
      <c r="T879" s="17"/>
      <c r="U879" s="17"/>
      <c r="V879" s="17"/>
      <c r="W879" s="17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91" t="s">
        <v>56</v>
      </c>
      <c r="B880" s="91" t="s">
        <v>36</v>
      </c>
      <c r="C880" s="91" t="s">
        <v>23</v>
      </c>
      <c r="D880" s="91" t="s">
        <v>37</v>
      </c>
      <c r="E880" s="91" t="s">
        <v>25</v>
      </c>
      <c r="F880" s="91" t="s">
        <v>25</v>
      </c>
      <c r="G880" s="91" t="s">
        <v>25</v>
      </c>
      <c r="H880" s="91" t="s">
        <v>25</v>
      </c>
      <c r="I880" s="99">
        <v>44713</v>
      </c>
      <c r="J880" s="100">
        <f>EFEITO!$J$880*EFEITO!$Y$880</f>
        <v>0</v>
      </c>
      <c r="K880" s="100">
        <f ca="1">EFEITO!$L$880*EFEITO!$Z$880</f>
        <v>3293.3080615042941</v>
      </c>
      <c r="L880" s="100">
        <f>EFEITO!$N$880*EFEITO!$AA$880</f>
        <v>2300.0613487021428</v>
      </c>
      <c r="M880" s="100">
        <f>$J$880-EFEITO!$K$880*EFEITO!$Y$880</f>
        <v>0</v>
      </c>
      <c r="N880" s="100">
        <f ca="1">$K$880-EFEITO!$M$880*EFEITO!$Z$880</f>
        <v>0</v>
      </c>
      <c r="O880" s="100">
        <f>$L$880-EFEITO!$O$880*EFEITO!$AA$880</f>
        <v>0</v>
      </c>
      <c r="P880" s="17"/>
      <c r="Q880" s="17"/>
      <c r="R880" s="17"/>
      <c r="S880" s="17"/>
      <c r="T880" s="17"/>
      <c r="U880" s="17"/>
      <c r="V880" s="17"/>
      <c r="W880" s="17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91" t="s">
        <v>21</v>
      </c>
      <c r="B881" s="91" t="s">
        <v>36</v>
      </c>
      <c r="C881" s="91" t="s">
        <v>23</v>
      </c>
      <c r="D881" s="91" t="s">
        <v>44</v>
      </c>
      <c r="E881" s="91" t="s">
        <v>25</v>
      </c>
      <c r="F881" s="91" t="s">
        <v>25</v>
      </c>
      <c r="G881" s="91" t="s">
        <v>25</v>
      </c>
      <c r="H881" s="91" t="s">
        <v>25</v>
      </c>
      <c r="I881" s="99">
        <v>44378</v>
      </c>
      <c r="J881" s="100">
        <f>EFEITO!$J$881*EFEITO!$Y$881</f>
        <v>0</v>
      </c>
      <c r="K881" s="100">
        <f ca="1">EFEITO!$L$881*EFEITO!$Z$881</f>
        <v>97687.605931035083</v>
      </c>
      <c r="L881" s="100">
        <f>EFEITO!$N$881*EFEITO!$AA$881</f>
        <v>68225.468875993596</v>
      </c>
      <c r="M881" s="100">
        <f>$J$881-EFEITO!$K$881*EFEITO!$Y$881</f>
        <v>0</v>
      </c>
      <c r="N881" s="100">
        <f ca="1">$K$881-EFEITO!$M$881*EFEITO!$Z$881</f>
        <v>0</v>
      </c>
      <c r="O881" s="100">
        <f>$L$881-EFEITO!$O$881*EFEITO!$AA$881</f>
        <v>0</v>
      </c>
      <c r="P881" s="17"/>
      <c r="Q881" s="17"/>
      <c r="R881" s="17"/>
      <c r="S881" s="17"/>
      <c r="T881" s="17"/>
      <c r="U881" s="17"/>
      <c r="V881" s="17"/>
      <c r="W881" s="17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91" t="s">
        <v>21</v>
      </c>
      <c r="B882" s="91" t="s">
        <v>36</v>
      </c>
      <c r="C882" s="91" t="s">
        <v>23</v>
      </c>
      <c r="D882" s="91" t="s">
        <v>44</v>
      </c>
      <c r="E882" s="91" t="s">
        <v>25</v>
      </c>
      <c r="F882" s="91" t="s">
        <v>25</v>
      </c>
      <c r="G882" s="91" t="s">
        <v>25</v>
      </c>
      <c r="H882" s="91" t="s">
        <v>25</v>
      </c>
      <c r="I882" s="99">
        <v>44409</v>
      </c>
      <c r="J882" s="100">
        <f>EFEITO!$J$882*EFEITO!$Y$882</f>
        <v>0</v>
      </c>
      <c r="K882" s="100">
        <f ca="1">EFEITO!$L$882*EFEITO!$Z$882</f>
        <v>94842.319828374035</v>
      </c>
      <c r="L882" s="100">
        <f>EFEITO!$N$882*EFEITO!$AA$882</f>
        <v>66238.308103751493</v>
      </c>
      <c r="M882" s="100">
        <f>$J$882-EFEITO!$K$882*EFEITO!$Y$882</f>
        <v>0</v>
      </c>
      <c r="N882" s="100">
        <f ca="1">$K$882-EFEITO!$M$882*EFEITO!$Z$882</f>
        <v>0</v>
      </c>
      <c r="O882" s="100">
        <f>$L$882-EFEITO!$O$882*EFEITO!$AA$882</f>
        <v>0</v>
      </c>
      <c r="P882" s="17"/>
      <c r="Q882" s="17"/>
      <c r="R882" s="17"/>
      <c r="S882" s="17"/>
      <c r="T882" s="17"/>
      <c r="U882" s="17"/>
      <c r="V882" s="17"/>
      <c r="W882" s="17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91" t="s">
        <v>21</v>
      </c>
      <c r="B883" s="91" t="s">
        <v>36</v>
      </c>
      <c r="C883" s="91" t="s">
        <v>23</v>
      </c>
      <c r="D883" s="91" t="s">
        <v>44</v>
      </c>
      <c r="E883" s="91" t="s">
        <v>25</v>
      </c>
      <c r="F883" s="91" t="s">
        <v>25</v>
      </c>
      <c r="G883" s="91" t="s">
        <v>25</v>
      </c>
      <c r="H883" s="91" t="s">
        <v>25</v>
      </c>
      <c r="I883" s="99">
        <v>44440</v>
      </c>
      <c r="J883" s="100">
        <f>EFEITO!$J$883*EFEITO!$Y$883</f>
        <v>0</v>
      </c>
      <c r="K883" s="100">
        <f ca="1">EFEITO!$L$883*EFEITO!$Z$883</f>
        <v>84293.49918946439</v>
      </c>
      <c r="L883" s="100">
        <f>EFEITO!$N$883*EFEITO!$AA$883</f>
        <v>58870.963727572824</v>
      </c>
      <c r="M883" s="100">
        <f>$J$883-EFEITO!$K$883*EFEITO!$Y$883</f>
        <v>0</v>
      </c>
      <c r="N883" s="100">
        <f ca="1">$K$883-EFEITO!$M$883*EFEITO!$Z$883</f>
        <v>0</v>
      </c>
      <c r="O883" s="100">
        <f>$L$883-EFEITO!$O$883*EFEITO!$AA$883</f>
        <v>0</v>
      </c>
      <c r="P883" s="17"/>
      <c r="Q883" s="17"/>
      <c r="R883" s="17"/>
      <c r="S883" s="17"/>
      <c r="T883" s="17"/>
      <c r="U883" s="17"/>
      <c r="V883" s="17"/>
      <c r="W883" s="17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91" t="s">
        <v>21</v>
      </c>
      <c r="B884" s="91" t="s">
        <v>36</v>
      </c>
      <c r="C884" s="91" t="s">
        <v>23</v>
      </c>
      <c r="D884" s="91" t="s">
        <v>44</v>
      </c>
      <c r="E884" s="91" t="s">
        <v>25</v>
      </c>
      <c r="F884" s="91" t="s">
        <v>25</v>
      </c>
      <c r="G884" s="91" t="s">
        <v>25</v>
      </c>
      <c r="H884" s="91" t="s">
        <v>25</v>
      </c>
      <c r="I884" s="99">
        <v>44470</v>
      </c>
      <c r="J884" s="100">
        <f>EFEITO!$J$884*EFEITO!$Y$884</f>
        <v>0</v>
      </c>
      <c r="K884" s="100">
        <f ca="1">EFEITO!$L$884*EFEITO!$Z$884</f>
        <v>79586.132137742272</v>
      </c>
      <c r="L884" s="100">
        <f>EFEITO!$N$884*EFEITO!$AA$884</f>
        <v>55583.317140124695</v>
      </c>
      <c r="M884" s="100">
        <f>$J$884-EFEITO!$K$884*EFEITO!$Y$884</f>
        <v>0</v>
      </c>
      <c r="N884" s="100">
        <f ca="1">$K$884-EFEITO!$M$884*EFEITO!$Z$884</f>
        <v>0</v>
      </c>
      <c r="O884" s="100">
        <f>$L$884-EFEITO!$O$884*EFEITO!$AA$884</f>
        <v>0</v>
      </c>
      <c r="P884" s="17"/>
      <c r="Q884" s="17"/>
      <c r="R884" s="17"/>
      <c r="S884" s="17"/>
      <c r="T884" s="17"/>
      <c r="U884" s="17"/>
      <c r="V884" s="17"/>
      <c r="W884" s="17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91" t="s">
        <v>27</v>
      </c>
      <c r="B885" s="91" t="s">
        <v>36</v>
      </c>
      <c r="C885" s="91" t="s">
        <v>23</v>
      </c>
      <c r="D885" s="91" t="s">
        <v>44</v>
      </c>
      <c r="E885" s="91" t="s">
        <v>25</v>
      </c>
      <c r="F885" s="91" t="s">
        <v>25</v>
      </c>
      <c r="G885" s="91" t="s">
        <v>25</v>
      </c>
      <c r="H885" s="91" t="s">
        <v>25</v>
      </c>
      <c r="I885" s="99">
        <v>44470</v>
      </c>
      <c r="J885" s="100">
        <f>EFEITO!$J$885*EFEITO!$Y$885</f>
        <v>0</v>
      </c>
      <c r="K885" s="100">
        <f ca="1">EFEITO!$L$885*EFEITO!$Z$885</f>
        <v>54.475772445935696</v>
      </c>
      <c r="L885" s="100">
        <f>EFEITO!$N$885*EFEITO!$AA$885</f>
        <v>38.046127572516653</v>
      </c>
      <c r="M885" s="100">
        <f>$J$885-EFEITO!$K$885*EFEITO!$Y$885</f>
        <v>0</v>
      </c>
      <c r="N885" s="100">
        <f ca="1">$K$885-EFEITO!$M$885*EFEITO!$Z$885</f>
        <v>0</v>
      </c>
      <c r="O885" s="100">
        <f>$L$885-EFEITO!$O$885*EFEITO!$AA$885</f>
        <v>0</v>
      </c>
      <c r="P885" s="17"/>
      <c r="Q885" s="17"/>
      <c r="R885" s="17"/>
      <c r="S885" s="17"/>
      <c r="T885" s="17"/>
      <c r="U885" s="17"/>
      <c r="V885" s="17"/>
      <c r="W885" s="17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91" t="s">
        <v>21</v>
      </c>
      <c r="B886" s="91" t="s">
        <v>36</v>
      </c>
      <c r="C886" s="91" t="s">
        <v>23</v>
      </c>
      <c r="D886" s="91" t="s">
        <v>44</v>
      </c>
      <c r="E886" s="91" t="s">
        <v>25</v>
      </c>
      <c r="F886" s="91" t="s">
        <v>25</v>
      </c>
      <c r="G886" s="91" t="s">
        <v>25</v>
      </c>
      <c r="H886" s="91" t="s">
        <v>25</v>
      </c>
      <c r="I886" s="99">
        <v>44501</v>
      </c>
      <c r="J886" s="100">
        <f>EFEITO!$J$886*EFEITO!$Y$886</f>
        <v>0</v>
      </c>
      <c r="K886" s="100">
        <f ca="1">EFEITO!$L$886*EFEITO!$Z$886</f>
        <v>81977.123313823889</v>
      </c>
      <c r="L886" s="100">
        <f>EFEITO!$N$886*EFEITO!$AA$886</f>
        <v>57253.196266671148</v>
      </c>
      <c r="M886" s="100">
        <f>$J$886-EFEITO!$K$886*EFEITO!$Y$886</f>
        <v>0</v>
      </c>
      <c r="N886" s="100">
        <f ca="1">$K$886-EFEITO!$M$886*EFEITO!$Z$886</f>
        <v>0</v>
      </c>
      <c r="O886" s="100">
        <f>$L$886-EFEITO!$O$886*EFEITO!$AA$886</f>
        <v>0</v>
      </c>
      <c r="P886" s="17"/>
      <c r="Q886" s="17"/>
      <c r="R886" s="17"/>
      <c r="S886" s="17"/>
      <c r="T886" s="17"/>
      <c r="U886" s="17"/>
      <c r="V886" s="17"/>
      <c r="W886" s="17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91" t="s">
        <v>21</v>
      </c>
      <c r="B887" s="91" t="s">
        <v>36</v>
      </c>
      <c r="C887" s="91" t="s">
        <v>23</v>
      </c>
      <c r="D887" s="91" t="s">
        <v>44</v>
      </c>
      <c r="E887" s="91" t="s">
        <v>25</v>
      </c>
      <c r="F887" s="91" t="s">
        <v>25</v>
      </c>
      <c r="G887" s="91" t="s">
        <v>25</v>
      </c>
      <c r="H887" s="91" t="s">
        <v>25</v>
      </c>
      <c r="I887" s="99">
        <v>44531</v>
      </c>
      <c r="J887" s="100">
        <f>EFEITO!$J$887*EFEITO!$Y$887</f>
        <v>0</v>
      </c>
      <c r="K887" s="100">
        <f ca="1">EFEITO!$L$887*EFEITO!$Z$887</f>
        <v>113338.99058904737</v>
      </c>
      <c r="L887" s="100">
        <f>EFEITO!$N$887*EFEITO!$AA$887</f>
        <v>79156.467201464649</v>
      </c>
      <c r="M887" s="100">
        <f>$J$887-EFEITO!$K$887*EFEITO!$Y$887</f>
        <v>0</v>
      </c>
      <c r="N887" s="100">
        <f ca="1">$K$887-EFEITO!$M$887*EFEITO!$Z$887</f>
        <v>0</v>
      </c>
      <c r="O887" s="100">
        <f>$L$887-EFEITO!$O$887*EFEITO!$AA$887</f>
        <v>0</v>
      </c>
      <c r="P887" s="17"/>
      <c r="Q887" s="17"/>
      <c r="R887" s="17"/>
      <c r="S887" s="17"/>
      <c r="T887" s="17"/>
      <c r="U887" s="17"/>
      <c r="V887" s="17"/>
      <c r="W887" s="17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91" t="s">
        <v>21</v>
      </c>
      <c r="B888" s="91" t="s">
        <v>36</v>
      </c>
      <c r="C888" s="91" t="s">
        <v>23</v>
      </c>
      <c r="D888" s="91" t="s">
        <v>44</v>
      </c>
      <c r="E888" s="91" t="s">
        <v>25</v>
      </c>
      <c r="F888" s="91" t="s">
        <v>25</v>
      </c>
      <c r="G888" s="91" t="s">
        <v>25</v>
      </c>
      <c r="H888" s="91" t="s">
        <v>25</v>
      </c>
      <c r="I888" s="99">
        <v>44562</v>
      </c>
      <c r="J888" s="100">
        <f>EFEITO!$J$888*EFEITO!$Y$888</f>
        <v>0</v>
      </c>
      <c r="K888" s="100">
        <f ca="1">EFEITO!$L$888*EFEITO!$Z$888</f>
        <v>100240.70379966794</v>
      </c>
      <c r="L888" s="100">
        <f>EFEITO!$N$888*EFEITO!$AA$888</f>
        <v>70008.564054892209</v>
      </c>
      <c r="M888" s="100">
        <f>$J$888-EFEITO!$K$888*EFEITO!$Y$888</f>
        <v>0</v>
      </c>
      <c r="N888" s="100">
        <f ca="1">$K$888-EFEITO!$M$888*EFEITO!$Z$888</f>
        <v>0</v>
      </c>
      <c r="O888" s="100">
        <f>$L$888-EFEITO!$O$888*EFEITO!$AA$888</f>
        <v>0</v>
      </c>
      <c r="P888" s="17"/>
      <c r="Q888" s="17"/>
      <c r="R888" s="17"/>
      <c r="S888" s="17"/>
      <c r="T888" s="17"/>
      <c r="U888" s="17"/>
      <c r="V888" s="17"/>
      <c r="W888" s="17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91" t="s">
        <v>21</v>
      </c>
      <c r="B889" s="91" t="s">
        <v>36</v>
      </c>
      <c r="C889" s="91" t="s">
        <v>23</v>
      </c>
      <c r="D889" s="91" t="s">
        <v>44</v>
      </c>
      <c r="E889" s="91" t="s">
        <v>25</v>
      </c>
      <c r="F889" s="91" t="s">
        <v>25</v>
      </c>
      <c r="G889" s="91" t="s">
        <v>25</v>
      </c>
      <c r="H889" s="91" t="s">
        <v>25</v>
      </c>
      <c r="I889" s="99">
        <v>44593</v>
      </c>
      <c r="J889" s="100">
        <f>EFEITO!$J$889*EFEITO!$Y$889</f>
        <v>0</v>
      </c>
      <c r="K889" s="100">
        <f ca="1">EFEITO!$L$889*EFEITO!$Z$889</f>
        <v>101167.1220874455</v>
      </c>
      <c r="L889" s="100">
        <f>EFEITO!$N$889*EFEITO!$AA$889</f>
        <v>70655.578806216348</v>
      </c>
      <c r="M889" s="100">
        <f>$J$889-EFEITO!$K$889*EFEITO!$Y$889</f>
        <v>0</v>
      </c>
      <c r="N889" s="100">
        <f ca="1">$K$889-EFEITO!$M$889*EFEITO!$Z$889</f>
        <v>0</v>
      </c>
      <c r="O889" s="100">
        <f>$L$889-EFEITO!$O$889*EFEITO!$AA$889</f>
        <v>0</v>
      </c>
      <c r="P889" s="17"/>
      <c r="Q889" s="17"/>
      <c r="R889" s="17"/>
      <c r="S889" s="17"/>
      <c r="T889" s="17"/>
      <c r="U889" s="17"/>
      <c r="V889" s="17"/>
      <c r="W889" s="17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91" t="s">
        <v>21</v>
      </c>
      <c r="B890" s="91" t="s">
        <v>36</v>
      </c>
      <c r="C890" s="91" t="s">
        <v>23</v>
      </c>
      <c r="D890" s="91" t="s">
        <v>44</v>
      </c>
      <c r="E890" s="91" t="s">
        <v>25</v>
      </c>
      <c r="F890" s="91" t="s">
        <v>25</v>
      </c>
      <c r="G890" s="91" t="s">
        <v>25</v>
      </c>
      <c r="H890" s="91" t="s">
        <v>25</v>
      </c>
      <c r="I890" s="99">
        <v>44621</v>
      </c>
      <c r="J890" s="100">
        <f>EFEITO!$J$890*EFEITO!$Y$890</f>
        <v>0</v>
      </c>
      <c r="K890" s="100">
        <f ca="1">EFEITO!$L$890*EFEITO!$Z$890</f>
        <v>134094.25989094889</v>
      </c>
      <c r="L890" s="100">
        <f>EFEITO!$N$890*EFEITO!$AA$890</f>
        <v>93652.041806593508</v>
      </c>
      <c r="M890" s="100">
        <f>$J$890-EFEITO!$K$890*EFEITO!$Y$890</f>
        <v>0</v>
      </c>
      <c r="N890" s="100">
        <f ca="1">$K$890-EFEITO!$M$890*EFEITO!$Z$890</f>
        <v>0</v>
      </c>
      <c r="O890" s="100">
        <f>$L$890-EFEITO!$O$890*EFEITO!$AA$890</f>
        <v>0</v>
      </c>
      <c r="P890" s="17"/>
      <c r="Q890" s="17"/>
      <c r="R890" s="17"/>
      <c r="S890" s="17"/>
      <c r="T890" s="17"/>
      <c r="U890" s="17"/>
      <c r="V890" s="17"/>
      <c r="W890" s="17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91" t="s">
        <v>27</v>
      </c>
      <c r="B891" s="91" t="s">
        <v>36</v>
      </c>
      <c r="C891" s="91" t="s">
        <v>23</v>
      </c>
      <c r="D891" s="91" t="s">
        <v>44</v>
      </c>
      <c r="E891" s="91" t="s">
        <v>25</v>
      </c>
      <c r="F891" s="91" t="s">
        <v>25</v>
      </c>
      <c r="G891" s="91" t="s">
        <v>25</v>
      </c>
      <c r="H891" s="91" t="s">
        <v>25</v>
      </c>
      <c r="I891" s="99">
        <v>44621</v>
      </c>
      <c r="J891" s="100">
        <f>EFEITO!$J$891*EFEITO!$Y$891</f>
        <v>0</v>
      </c>
      <c r="K891" s="100">
        <f ca="1">EFEITO!$L$891*EFEITO!$Z$891</f>
        <v>-1465.5633568939911</v>
      </c>
      <c r="L891" s="100">
        <f>EFEITO!$N$891*EFEITO!$AA$891</f>
        <v>-1023.5561229963722</v>
      </c>
      <c r="M891" s="100">
        <f>$J$891-EFEITO!$K$891*EFEITO!$Y$891</f>
        <v>0</v>
      </c>
      <c r="N891" s="100">
        <f ca="1">$K$891-EFEITO!$M$891*EFEITO!$Z$891</f>
        <v>0</v>
      </c>
      <c r="O891" s="100">
        <f>$L$891-EFEITO!$O$891*EFEITO!$AA$891</f>
        <v>0</v>
      </c>
      <c r="P891" s="17"/>
      <c r="Q891" s="17"/>
      <c r="R891" s="17"/>
      <c r="S891" s="17"/>
      <c r="T891" s="17"/>
      <c r="U891" s="17"/>
      <c r="V891" s="17"/>
      <c r="W891" s="17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91" t="s">
        <v>21</v>
      </c>
      <c r="B892" s="91" t="s">
        <v>36</v>
      </c>
      <c r="C892" s="91" t="s">
        <v>23</v>
      </c>
      <c r="D892" s="91" t="s">
        <v>44</v>
      </c>
      <c r="E892" s="91" t="s">
        <v>25</v>
      </c>
      <c r="F892" s="91" t="s">
        <v>25</v>
      </c>
      <c r="G892" s="91" t="s">
        <v>25</v>
      </c>
      <c r="H892" s="91" t="s">
        <v>25</v>
      </c>
      <c r="I892" s="99">
        <v>44652</v>
      </c>
      <c r="J892" s="100">
        <f>EFEITO!$J$892*EFEITO!$Y$892</f>
        <v>0</v>
      </c>
      <c r="K892" s="100">
        <f ca="1">EFEITO!$L$892*EFEITO!$Z$892</f>
        <v>96533.049711377913</v>
      </c>
      <c r="L892" s="100">
        <f>EFEITO!$N$892*EFEITO!$AA$892</f>
        <v>67419.121554047597</v>
      </c>
      <c r="M892" s="100">
        <f>$J$892-EFEITO!$K$892*EFEITO!$Y$892</f>
        <v>0</v>
      </c>
      <c r="N892" s="100">
        <f ca="1">$K$892-EFEITO!$M$892*EFEITO!$Z$892</f>
        <v>0</v>
      </c>
      <c r="O892" s="100">
        <f>$L$892-EFEITO!$O$892*EFEITO!$AA$892</f>
        <v>0</v>
      </c>
      <c r="P892" s="17"/>
      <c r="Q892" s="17"/>
      <c r="R892" s="17"/>
      <c r="S892" s="17"/>
      <c r="T892" s="17"/>
      <c r="U892" s="17"/>
      <c r="V892" s="17"/>
      <c r="W892" s="17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91" t="s">
        <v>27</v>
      </c>
      <c r="B893" s="91" t="s">
        <v>36</v>
      </c>
      <c r="C893" s="91" t="s">
        <v>23</v>
      </c>
      <c r="D893" s="91" t="s">
        <v>44</v>
      </c>
      <c r="E893" s="91" t="s">
        <v>25</v>
      </c>
      <c r="F893" s="91" t="s">
        <v>25</v>
      </c>
      <c r="G893" s="91" t="s">
        <v>25</v>
      </c>
      <c r="H893" s="91" t="s">
        <v>25</v>
      </c>
      <c r="I893" s="99">
        <v>44652</v>
      </c>
      <c r="J893" s="100">
        <f>EFEITO!$J$893*EFEITO!$Y$893</f>
        <v>0</v>
      </c>
      <c r="K893" s="100">
        <f ca="1">EFEITO!$L$893*EFEITO!$Z$893</f>
        <v>-464.85992487198456</v>
      </c>
      <c r="L893" s="100">
        <f>EFEITO!$N$893*EFEITO!$AA$893</f>
        <v>-324.66028861880875</v>
      </c>
      <c r="M893" s="100">
        <f>$J$893-EFEITO!$K$893*EFEITO!$Y$893</f>
        <v>0</v>
      </c>
      <c r="N893" s="100">
        <f ca="1">$K$893-EFEITO!$M$893*EFEITO!$Z$893</f>
        <v>0</v>
      </c>
      <c r="O893" s="100">
        <f>$L$893-EFEITO!$O$893*EFEITO!$AA$893</f>
        <v>0</v>
      </c>
      <c r="P893" s="17"/>
      <c r="Q893" s="17"/>
      <c r="R893" s="17"/>
      <c r="S893" s="17"/>
      <c r="T893" s="17"/>
      <c r="U893" s="17"/>
      <c r="V893" s="17"/>
      <c r="W893" s="17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91" t="s">
        <v>21</v>
      </c>
      <c r="B894" s="91" t="s">
        <v>36</v>
      </c>
      <c r="C894" s="91" t="s">
        <v>23</v>
      </c>
      <c r="D894" s="91" t="s">
        <v>44</v>
      </c>
      <c r="E894" s="91" t="s">
        <v>25</v>
      </c>
      <c r="F894" s="91" t="s">
        <v>25</v>
      </c>
      <c r="G894" s="91" t="s">
        <v>25</v>
      </c>
      <c r="H894" s="91" t="s">
        <v>25</v>
      </c>
      <c r="I894" s="99">
        <v>44682</v>
      </c>
      <c r="J894" s="100">
        <f>EFEITO!$J$894*EFEITO!$Y$894</f>
        <v>0</v>
      </c>
      <c r="K894" s="100">
        <f ca="1">EFEITO!$L$894*EFEITO!$Z$894</f>
        <v>81725.214135786009</v>
      </c>
      <c r="L894" s="100">
        <f>EFEITO!$N$894*EFEITO!$AA$894</f>
        <v>57077.261749472178</v>
      </c>
      <c r="M894" s="100">
        <f>$J$894-EFEITO!$K$894*EFEITO!$Y$894</f>
        <v>0</v>
      </c>
      <c r="N894" s="100">
        <f ca="1">$K$894-EFEITO!$M$894*EFEITO!$Z$894</f>
        <v>0</v>
      </c>
      <c r="O894" s="100">
        <f>$L$894-EFEITO!$O$894*EFEITO!$AA$894</f>
        <v>0</v>
      </c>
      <c r="P894" s="17"/>
      <c r="Q894" s="17"/>
      <c r="R894" s="17"/>
      <c r="S894" s="17"/>
      <c r="T894" s="17"/>
      <c r="U894" s="17"/>
      <c r="V894" s="17"/>
      <c r="W894" s="17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91" t="s">
        <v>27</v>
      </c>
      <c r="B895" s="91" t="s">
        <v>36</v>
      </c>
      <c r="C895" s="91" t="s">
        <v>23</v>
      </c>
      <c r="D895" s="91" t="s">
        <v>44</v>
      </c>
      <c r="E895" s="91" t="s">
        <v>25</v>
      </c>
      <c r="F895" s="91" t="s">
        <v>25</v>
      </c>
      <c r="G895" s="91" t="s">
        <v>25</v>
      </c>
      <c r="H895" s="91" t="s">
        <v>25</v>
      </c>
      <c r="I895" s="99">
        <v>44682</v>
      </c>
      <c r="J895" s="100">
        <f>EFEITO!$J$895*EFEITO!$Y$895</f>
        <v>0</v>
      </c>
      <c r="K895" s="100">
        <f ca="1">EFEITO!$L$895*EFEITO!$Z$895</f>
        <v>-1478.1092923663887</v>
      </c>
      <c r="L895" s="100">
        <f>EFEITO!$N$895*EFEITO!$AA$895</f>
        <v>-1032.3182614676186</v>
      </c>
      <c r="M895" s="100">
        <f>$J$895-EFEITO!$K$895*EFEITO!$Y$895</f>
        <v>0</v>
      </c>
      <c r="N895" s="100">
        <f ca="1">$K$895-EFEITO!$M$895*EFEITO!$Z$895</f>
        <v>0</v>
      </c>
      <c r="O895" s="100">
        <f>$L$895-EFEITO!$O$895*EFEITO!$AA$895</f>
        <v>0</v>
      </c>
      <c r="P895" s="17"/>
      <c r="Q895" s="17"/>
      <c r="R895" s="17"/>
      <c r="S895" s="17"/>
      <c r="T895" s="17"/>
      <c r="U895" s="17"/>
      <c r="V895" s="17"/>
      <c r="W895" s="17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91" t="s">
        <v>56</v>
      </c>
      <c r="B896" s="91" t="s">
        <v>36</v>
      </c>
      <c r="C896" s="91" t="s">
        <v>23</v>
      </c>
      <c r="D896" s="91" t="s">
        <v>44</v>
      </c>
      <c r="E896" s="91" t="s">
        <v>25</v>
      </c>
      <c r="F896" s="91" t="s">
        <v>25</v>
      </c>
      <c r="G896" s="91" t="s">
        <v>25</v>
      </c>
      <c r="H896" s="91" t="s">
        <v>25</v>
      </c>
      <c r="I896" s="99">
        <v>44713</v>
      </c>
      <c r="J896" s="100">
        <f>EFEITO!$J$896*EFEITO!$Y$896</f>
        <v>0</v>
      </c>
      <c r="K896" s="100">
        <f ca="1">EFEITO!$L$896*EFEITO!$Z$896</f>
        <v>81725.214135786009</v>
      </c>
      <c r="L896" s="100">
        <f>EFEITO!$N$896*EFEITO!$AA$896</f>
        <v>57077.261749472178</v>
      </c>
      <c r="M896" s="100">
        <f>$J$896-EFEITO!$K$896*EFEITO!$Y$896</f>
        <v>0</v>
      </c>
      <c r="N896" s="100">
        <f ca="1">$K$896-EFEITO!$M$896*EFEITO!$Z$896</f>
        <v>0</v>
      </c>
      <c r="O896" s="100">
        <f>$L$896-EFEITO!$O$896*EFEITO!$AA$896</f>
        <v>0</v>
      </c>
      <c r="P896" s="17"/>
      <c r="Q896" s="17"/>
      <c r="R896" s="17"/>
      <c r="S896" s="17"/>
      <c r="T896" s="17"/>
      <c r="U896" s="17"/>
      <c r="V896" s="17"/>
      <c r="W896" s="17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91" t="s">
        <v>56</v>
      </c>
      <c r="B897" s="91" t="s">
        <v>36</v>
      </c>
      <c r="C897" s="91" t="s">
        <v>23</v>
      </c>
      <c r="D897" s="91" t="s">
        <v>44</v>
      </c>
      <c r="E897" s="91" t="s">
        <v>25</v>
      </c>
      <c r="F897" s="91" t="s">
        <v>25</v>
      </c>
      <c r="G897" s="91" t="s">
        <v>25</v>
      </c>
      <c r="H897" s="91" t="s">
        <v>25</v>
      </c>
      <c r="I897" s="99">
        <v>44713</v>
      </c>
      <c r="J897" s="100">
        <f>EFEITO!$J$897*EFEITO!$Y$897</f>
        <v>0</v>
      </c>
      <c r="K897" s="100">
        <f ca="1">EFEITO!$L$897*EFEITO!$Z$897</f>
        <v>-1478.1092923663887</v>
      </c>
      <c r="L897" s="100">
        <f>EFEITO!$N$897*EFEITO!$AA$897</f>
        <v>-1032.3182614676186</v>
      </c>
      <c r="M897" s="100">
        <f>$J$897-EFEITO!$K$897*EFEITO!$Y$897</f>
        <v>0</v>
      </c>
      <c r="N897" s="100">
        <f ca="1">$K$897-EFEITO!$M$897*EFEITO!$Z$897</f>
        <v>0</v>
      </c>
      <c r="O897" s="100">
        <f>$L$897-EFEITO!$O$897*EFEITO!$AA$897</f>
        <v>0</v>
      </c>
      <c r="P897" s="17"/>
      <c r="Q897" s="17"/>
      <c r="R897" s="17"/>
      <c r="S897" s="17"/>
      <c r="T897" s="17"/>
      <c r="U897" s="17"/>
      <c r="V897" s="17"/>
      <c r="W897" s="17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91" t="s">
        <v>21</v>
      </c>
      <c r="B898" s="91" t="s">
        <v>36</v>
      </c>
      <c r="C898" s="91" t="s">
        <v>23</v>
      </c>
      <c r="D898" s="91" t="s">
        <v>48</v>
      </c>
      <c r="E898" s="91" t="s">
        <v>49</v>
      </c>
      <c r="F898" s="91" t="s">
        <v>25</v>
      </c>
      <c r="G898" s="91" t="s">
        <v>25</v>
      </c>
      <c r="H898" s="91" t="s">
        <v>25</v>
      </c>
      <c r="I898" s="99">
        <v>44378</v>
      </c>
      <c r="J898" s="100">
        <f>EFEITO!$J$898*EFEITO!$Y$897</f>
        <v>0</v>
      </c>
      <c r="K898" s="100">
        <f ca="1">EFEITO!$L$898*EFEITO!$Z$897</f>
        <v>30265.748702371948</v>
      </c>
      <c r="L898" s="100">
        <f>EFEITO!$N$898*EFEITO!$AA$897</f>
        <v>21137.736731516208</v>
      </c>
      <c r="M898" s="100">
        <f>$J$898-EFEITO!$K$898*EFEITO!$Y$898</f>
        <v>0</v>
      </c>
      <c r="N898" s="100">
        <f ca="1">$K$898-EFEITO!$M$898*EFEITO!$Z$898</f>
        <v>907.97246107116007</v>
      </c>
      <c r="O898" s="100">
        <f>$L$898-EFEITO!$O$898*EFEITO!$AA$898</f>
        <v>634.1321019454881</v>
      </c>
      <c r="P898" s="17"/>
      <c r="Q898" s="17"/>
      <c r="R898" s="17"/>
      <c r="S898" s="17"/>
      <c r="T898" s="17"/>
      <c r="U898" s="17"/>
      <c r="V898" s="17"/>
      <c r="W898" s="17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91" t="s">
        <v>21</v>
      </c>
      <c r="B899" s="91" t="s">
        <v>36</v>
      </c>
      <c r="C899" s="91" t="s">
        <v>23</v>
      </c>
      <c r="D899" s="91" t="s">
        <v>48</v>
      </c>
      <c r="E899" s="91" t="s">
        <v>49</v>
      </c>
      <c r="F899" s="91" t="s">
        <v>25</v>
      </c>
      <c r="G899" s="91" t="s">
        <v>25</v>
      </c>
      <c r="H899" s="91" t="s">
        <v>25</v>
      </c>
      <c r="I899" s="99">
        <v>44409</v>
      </c>
      <c r="J899" s="100">
        <f>EFEITO!$J$899*EFEITO!$Y$897</f>
        <v>0</v>
      </c>
      <c r="K899" s="100">
        <f ca="1">EFEITO!$L$899*EFEITO!$Z$897</f>
        <v>31153.538715142375</v>
      </c>
      <c r="L899" s="100">
        <f>EFEITO!$N$899*EFEITO!$AA$897</f>
        <v>21757.773319652551</v>
      </c>
      <c r="M899" s="100">
        <f>$J$899-EFEITO!$K$899*EFEITO!$Y$899</f>
        <v>0</v>
      </c>
      <c r="N899" s="100">
        <f ca="1">$K$899-EFEITO!$M$899*EFEITO!$Z$899</f>
        <v>934.60616145427048</v>
      </c>
      <c r="O899" s="100">
        <f>$L$899-EFEITO!$O$899*EFEITO!$AA$899</f>
        <v>652.73319958957654</v>
      </c>
      <c r="P899" s="17"/>
      <c r="Q899" s="17"/>
      <c r="R899" s="17"/>
      <c r="S899" s="17"/>
      <c r="T899" s="17"/>
      <c r="U899" s="17"/>
      <c r="V899" s="17"/>
      <c r="W899" s="17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91" t="s">
        <v>21</v>
      </c>
      <c r="B900" s="91" t="s">
        <v>36</v>
      </c>
      <c r="C900" s="91" t="s">
        <v>23</v>
      </c>
      <c r="D900" s="91" t="s">
        <v>48</v>
      </c>
      <c r="E900" s="91" t="s">
        <v>49</v>
      </c>
      <c r="F900" s="91" t="s">
        <v>25</v>
      </c>
      <c r="G900" s="91" t="s">
        <v>25</v>
      </c>
      <c r="H900" s="91" t="s">
        <v>25</v>
      </c>
      <c r="I900" s="99">
        <v>44440</v>
      </c>
      <c r="J900" s="100">
        <f>EFEITO!$J$900*EFEITO!$Y$897</f>
        <v>0</v>
      </c>
      <c r="K900" s="100">
        <f ca="1">EFEITO!$L$900*EFEITO!$Z$897</f>
        <v>32512.131464324346</v>
      </c>
      <c r="L900" s="100">
        <f>EFEITO!$N$900*EFEITO!$AA$897</f>
        <v>22706.62068305198</v>
      </c>
      <c r="M900" s="100">
        <f>$J$900-EFEITO!$K$900*EFEITO!$Y$900</f>
        <v>0</v>
      </c>
      <c r="N900" s="100">
        <f ca="1">$K$900-EFEITO!$M$900*EFEITO!$Z$900</f>
        <v>975.36394392972943</v>
      </c>
      <c r="O900" s="100">
        <f>$L$900-EFEITO!$O$900*EFEITO!$AA$900</f>
        <v>681.19862049155927</v>
      </c>
      <c r="P900" s="17"/>
      <c r="Q900" s="17"/>
      <c r="R900" s="17"/>
      <c r="S900" s="17"/>
      <c r="T900" s="17"/>
      <c r="U900" s="17"/>
      <c r="V900" s="17"/>
      <c r="W900" s="17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91" t="s">
        <v>21</v>
      </c>
      <c r="B901" s="91" t="s">
        <v>36</v>
      </c>
      <c r="C901" s="91" t="s">
        <v>23</v>
      </c>
      <c r="D901" s="91" t="s">
        <v>48</v>
      </c>
      <c r="E901" s="91" t="s">
        <v>49</v>
      </c>
      <c r="F901" s="91" t="s">
        <v>25</v>
      </c>
      <c r="G901" s="91" t="s">
        <v>25</v>
      </c>
      <c r="H901" s="91" t="s">
        <v>25</v>
      </c>
      <c r="I901" s="99">
        <v>44470</v>
      </c>
      <c r="J901" s="100">
        <f>EFEITO!$J$901*EFEITO!$Y$897</f>
        <v>0</v>
      </c>
      <c r="K901" s="100">
        <f ca="1">EFEITO!$L$901*EFEITO!$Z$897</f>
        <v>34912.036857715299</v>
      </c>
      <c r="L901" s="100">
        <f>EFEITO!$N$901*EFEITO!$AA$897</f>
        <v>24382.725539564854</v>
      </c>
      <c r="M901" s="100">
        <f>$J$901-EFEITO!$K$901*EFEITO!$Y$901</f>
        <v>0</v>
      </c>
      <c r="N901" s="100">
        <f ca="1">$K$901-EFEITO!$M$901*EFEITO!$Z$901</f>
        <v>1047.3611057314629</v>
      </c>
      <c r="O901" s="100">
        <f>$L$901-EFEITO!$O$901*EFEITO!$AA$901</f>
        <v>731.48176618694561</v>
      </c>
      <c r="P901" s="17"/>
      <c r="Q901" s="17"/>
      <c r="R901" s="17"/>
      <c r="S901" s="17"/>
      <c r="T901" s="17"/>
      <c r="U901" s="17"/>
      <c r="V901" s="17"/>
      <c r="W901" s="17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91" t="s">
        <v>21</v>
      </c>
      <c r="B902" s="91" t="s">
        <v>36</v>
      </c>
      <c r="C902" s="91" t="s">
        <v>23</v>
      </c>
      <c r="D902" s="91" t="s">
        <v>48</v>
      </c>
      <c r="E902" s="91" t="s">
        <v>49</v>
      </c>
      <c r="F902" s="91" t="s">
        <v>25</v>
      </c>
      <c r="G902" s="91" t="s">
        <v>25</v>
      </c>
      <c r="H902" s="91" t="s">
        <v>25</v>
      </c>
      <c r="I902" s="99">
        <v>44501</v>
      </c>
      <c r="J902" s="100">
        <f>EFEITO!$J$902*EFEITO!$Y$897</f>
        <v>0</v>
      </c>
      <c r="K902" s="100">
        <f ca="1">EFEITO!$L$902*EFEITO!$Z$897</f>
        <v>25615.168516472244</v>
      </c>
      <c r="L902" s="100">
        <f>EFEITO!$N$902*EFEITO!$AA$897</f>
        <v>17889.750349780024</v>
      </c>
      <c r="M902" s="100">
        <f>$J$902-EFEITO!$K$902*EFEITO!$Y$902</f>
        <v>0</v>
      </c>
      <c r="N902" s="100">
        <f ca="1">$K$902-EFEITO!$M$902*EFEITO!$Z$902</f>
        <v>768.45505549416703</v>
      </c>
      <c r="O902" s="100">
        <f>$L$902-EFEITO!$O$902*EFEITO!$AA$902</f>
        <v>536.692510493398</v>
      </c>
      <c r="P902" s="17"/>
      <c r="Q902" s="17"/>
      <c r="R902" s="17"/>
      <c r="S902" s="17"/>
      <c r="T902" s="17"/>
      <c r="U902" s="17"/>
      <c r="V902" s="17"/>
      <c r="W902" s="17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91" t="s">
        <v>21</v>
      </c>
      <c r="B903" s="91" t="s">
        <v>36</v>
      </c>
      <c r="C903" s="91" t="s">
        <v>23</v>
      </c>
      <c r="D903" s="91" t="s">
        <v>48</v>
      </c>
      <c r="E903" s="91" t="s">
        <v>49</v>
      </c>
      <c r="F903" s="91" t="s">
        <v>25</v>
      </c>
      <c r="G903" s="91" t="s">
        <v>25</v>
      </c>
      <c r="H903" s="91" t="s">
        <v>25</v>
      </c>
      <c r="I903" s="99">
        <v>44531</v>
      </c>
      <c r="J903" s="100">
        <f>EFEITO!$J$903*EFEITO!$Y$897</f>
        <v>0</v>
      </c>
      <c r="K903" s="100">
        <f ca="1">EFEITO!$L$903*EFEITO!$Z$897</f>
        <v>31101.374036072935</v>
      </c>
      <c r="L903" s="100">
        <f>EFEITO!$N$903*EFEITO!$AA$897</f>
        <v>21721.341270219476</v>
      </c>
      <c r="M903" s="100">
        <f>$J$903-EFEITO!$K$903*EFEITO!$Y$903</f>
        <v>0</v>
      </c>
      <c r="N903" s="100">
        <f ca="1">$K$903-EFEITO!$M$903*EFEITO!$Z$903</f>
        <v>933.04122108218871</v>
      </c>
      <c r="O903" s="100">
        <f>$L$903-EFEITO!$O$903*EFEITO!$AA$903</f>
        <v>651.64023810658546</v>
      </c>
      <c r="P903" s="17"/>
      <c r="Q903" s="17"/>
      <c r="R903" s="17"/>
      <c r="S903" s="17"/>
      <c r="T903" s="17"/>
      <c r="U903" s="17"/>
      <c r="V903" s="17"/>
      <c r="W903" s="17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91" t="s">
        <v>21</v>
      </c>
      <c r="B904" s="91" t="s">
        <v>36</v>
      </c>
      <c r="C904" s="91" t="s">
        <v>23</v>
      </c>
      <c r="D904" s="91" t="s">
        <v>48</v>
      </c>
      <c r="E904" s="91" t="s">
        <v>49</v>
      </c>
      <c r="F904" s="91" t="s">
        <v>25</v>
      </c>
      <c r="G904" s="91" t="s">
        <v>25</v>
      </c>
      <c r="H904" s="91" t="s">
        <v>25</v>
      </c>
      <c r="I904" s="99">
        <v>44562</v>
      </c>
      <c r="J904" s="100">
        <f>EFEITO!$J$904*EFEITO!$Y$897</f>
        <v>0</v>
      </c>
      <c r="K904" s="100">
        <f ca="1">EFEITO!$L$904*EFEITO!$Z$897</f>
        <v>31060.104511492678</v>
      </c>
      <c r="L904" s="100">
        <f>EFEITO!$N$904*EFEITO!$AA$897</f>
        <v>21692.518446300903</v>
      </c>
      <c r="M904" s="100">
        <f>$J$904-EFEITO!$K$904*EFEITO!$Y$904</f>
        <v>0</v>
      </c>
      <c r="N904" s="100">
        <f ca="1">$K$904-EFEITO!$M$904*EFEITO!$Z$904</f>
        <v>931.80313534478046</v>
      </c>
      <c r="O904" s="100">
        <f>$L$904-EFEITO!$O$904*EFEITO!$AA$904</f>
        <v>650.77555338902675</v>
      </c>
      <c r="P904" s="17"/>
      <c r="Q904" s="17"/>
      <c r="R904" s="17"/>
      <c r="S904" s="17"/>
      <c r="T904" s="17"/>
      <c r="U904" s="17"/>
      <c r="V904" s="17"/>
      <c r="W904" s="17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91" t="s">
        <v>21</v>
      </c>
      <c r="B905" s="91" t="s">
        <v>36</v>
      </c>
      <c r="C905" s="91" t="s">
        <v>23</v>
      </c>
      <c r="D905" s="91" t="s">
        <v>48</v>
      </c>
      <c r="E905" s="91" t="s">
        <v>49</v>
      </c>
      <c r="F905" s="91" t="s">
        <v>25</v>
      </c>
      <c r="G905" s="91" t="s">
        <v>25</v>
      </c>
      <c r="H905" s="91" t="s">
        <v>25</v>
      </c>
      <c r="I905" s="99">
        <v>44593</v>
      </c>
      <c r="J905" s="100">
        <f>EFEITO!$J$905*EFEITO!$Y$897</f>
        <v>0</v>
      </c>
      <c r="K905" s="100">
        <f ca="1">EFEITO!$L$905*EFEITO!$Z$897</f>
        <v>31201.081207458828</v>
      </c>
      <c r="L905" s="100">
        <f>EFEITO!$N$905*EFEITO!$AA$897</f>
        <v>21790.977212806749</v>
      </c>
      <c r="M905" s="100">
        <f>$J$905-EFEITO!$K$905*EFEITO!$Y$905</f>
        <v>0</v>
      </c>
      <c r="N905" s="100">
        <f ca="1">$K$905-EFEITO!$M$905*EFEITO!$Z$905</f>
        <v>936.03243622376249</v>
      </c>
      <c r="O905" s="100">
        <f>$L$905-EFEITO!$O$905*EFEITO!$AA$905</f>
        <v>653.7293163842005</v>
      </c>
      <c r="P905" s="17"/>
      <c r="Q905" s="17"/>
      <c r="R905" s="17"/>
      <c r="S905" s="17"/>
      <c r="T905" s="17"/>
      <c r="U905" s="17"/>
      <c r="V905" s="17"/>
      <c r="W905" s="17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91" t="s">
        <v>21</v>
      </c>
      <c r="B906" s="91" t="s">
        <v>36</v>
      </c>
      <c r="C906" s="91" t="s">
        <v>23</v>
      </c>
      <c r="D906" s="91" t="s">
        <v>48</v>
      </c>
      <c r="E906" s="91" t="s">
        <v>49</v>
      </c>
      <c r="F906" s="91" t="s">
        <v>25</v>
      </c>
      <c r="G906" s="91" t="s">
        <v>25</v>
      </c>
      <c r="H906" s="91" t="s">
        <v>25</v>
      </c>
      <c r="I906" s="99">
        <v>44621</v>
      </c>
      <c r="J906" s="100">
        <f>EFEITO!$J$906*EFEITO!$Y$897</f>
        <v>0</v>
      </c>
      <c r="K906" s="100">
        <f ca="1">EFEITO!$L$906*EFEITO!$Z$897</f>
        <v>31140.002311080054</v>
      </c>
      <c r="L906" s="100">
        <f>EFEITO!$N$906*EFEITO!$AA$897</f>
        <v>21748.319433407261</v>
      </c>
      <c r="M906" s="100">
        <f>$J$906-EFEITO!$K$906*EFEITO!$Y$906</f>
        <v>0</v>
      </c>
      <c r="N906" s="100">
        <f ca="1">$K$906-EFEITO!$M$906*EFEITO!$Z$906</f>
        <v>934.20006933240438</v>
      </c>
      <c r="O906" s="100">
        <f>$L$906-EFEITO!$O$906*EFEITO!$AA$906</f>
        <v>652.44958300221697</v>
      </c>
      <c r="P906" s="17"/>
      <c r="Q906" s="17"/>
      <c r="R906" s="17"/>
      <c r="S906" s="17"/>
      <c r="T906" s="17"/>
      <c r="U906" s="17"/>
      <c r="V906" s="17"/>
      <c r="W906" s="17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91" t="s">
        <v>21</v>
      </c>
      <c r="B907" s="91" t="s">
        <v>36</v>
      </c>
      <c r="C907" s="91" t="s">
        <v>23</v>
      </c>
      <c r="D907" s="91" t="s">
        <v>48</v>
      </c>
      <c r="E907" s="91" t="s">
        <v>49</v>
      </c>
      <c r="F907" s="91" t="s">
        <v>25</v>
      </c>
      <c r="G907" s="91" t="s">
        <v>25</v>
      </c>
      <c r="H907" s="91" t="s">
        <v>25</v>
      </c>
      <c r="I907" s="99">
        <v>44652</v>
      </c>
      <c r="J907" s="100">
        <f>EFEITO!$J$907*EFEITO!$Y$897</f>
        <v>0</v>
      </c>
      <c r="K907" s="100">
        <f ca="1">EFEITO!$L$907*EFEITO!$Z$897</f>
        <v>35932.219505339184</v>
      </c>
      <c r="L907" s="100">
        <f>EFEITO!$N$907*EFEITO!$AA$897</f>
        <v>25095.225746831984</v>
      </c>
      <c r="M907" s="100">
        <f>$J$907-EFEITO!$K$907*EFEITO!$Y$907</f>
        <v>0</v>
      </c>
      <c r="N907" s="100">
        <f ca="1">$K$907-EFEITO!$M$907*EFEITO!$Z$907</f>
        <v>1077.9665851601749</v>
      </c>
      <c r="O907" s="100">
        <f>$L$907-EFEITO!$O$907*EFEITO!$AA$907</f>
        <v>752.85677240496079</v>
      </c>
      <c r="P907" s="17"/>
      <c r="Q907" s="17"/>
      <c r="R907" s="17"/>
      <c r="S907" s="17"/>
      <c r="T907" s="17"/>
      <c r="U907" s="17"/>
      <c r="V907" s="17"/>
      <c r="W907" s="17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91" t="s">
        <v>21</v>
      </c>
      <c r="B908" s="91" t="s">
        <v>36</v>
      </c>
      <c r="C908" s="91" t="s">
        <v>23</v>
      </c>
      <c r="D908" s="91" t="s">
        <v>48</v>
      </c>
      <c r="E908" s="91" t="s">
        <v>49</v>
      </c>
      <c r="F908" s="91" t="s">
        <v>25</v>
      </c>
      <c r="G908" s="91" t="s">
        <v>25</v>
      </c>
      <c r="H908" s="91" t="s">
        <v>25</v>
      </c>
      <c r="I908" s="99">
        <v>44682</v>
      </c>
      <c r="J908" s="100">
        <f>EFEITO!$J$908*EFEITO!$Y$897</f>
        <v>0</v>
      </c>
      <c r="K908" s="100">
        <f ca="1">EFEITO!$L$908*EFEITO!$Z$897</f>
        <v>30683.066134927478</v>
      </c>
      <c r="L908" s="100">
        <f>EFEITO!$N$908*EFEITO!$AA$897</f>
        <v>21429.193126980819</v>
      </c>
      <c r="M908" s="100">
        <f>$J$908-EFEITO!$K$908*EFEITO!$Y$908</f>
        <v>0</v>
      </c>
      <c r="N908" s="100">
        <f ca="1">$K$908-EFEITO!$M$908*EFEITO!$Z$908</f>
        <v>920.4919840478251</v>
      </c>
      <c r="O908" s="100">
        <f>$L$908-EFEITO!$O$908*EFEITO!$AA$908</f>
        <v>642.87579380942407</v>
      </c>
      <c r="P908" s="17"/>
      <c r="Q908" s="17"/>
      <c r="R908" s="17"/>
      <c r="S908" s="17"/>
      <c r="T908" s="17"/>
      <c r="U908" s="17"/>
      <c r="V908" s="17"/>
      <c r="W908" s="17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91" t="s">
        <v>56</v>
      </c>
      <c r="B909" s="91" t="s">
        <v>36</v>
      </c>
      <c r="C909" s="91" t="s">
        <v>23</v>
      </c>
      <c r="D909" s="91" t="s">
        <v>48</v>
      </c>
      <c r="E909" s="91" t="s">
        <v>49</v>
      </c>
      <c r="F909" s="91" t="s">
        <v>25</v>
      </c>
      <c r="G909" s="91" t="s">
        <v>25</v>
      </c>
      <c r="H909" s="91" t="s">
        <v>25</v>
      </c>
      <c r="I909" s="99">
        <v>44713</v>
      </c>
      <c r="J909" s="100">
        <f>EFEITO!$J$909*EFEITO!$Y$897</f>
        <v>0</v>
      </c>
      <c r="K909" s="100">
        <f ca="1">EFEITO!$L$909*EFEITO!$Z$897</f>
        <v>30683.066134927478</v>
      </c>
      <c r="L909" s="100">
        <f>EFEITO!$N$909*EFEITO!$AA$897</f>
        <v>21429.193126980819</v>
      </c>
      <c r="M909" s="100">
        <f>$J$909-EFEITO!$K$909*EFEITO!$Y$909</f>
        <v>0</v>
      </c>
      <c r="N909" s="100">
        <f ca="1">$K$909-EFEITO!$M$909*EFEITO!$Z$909</f>
        <v>920.4919840478251</v>
      </c>
      <c r="O909" s="100">
        <f>$L$909-EFEITO!$O$909*EFEITO!$AA$909</f>
        <v>642.87579380942407</v>
      </c>
      <c r="P909" s="17"/>
      <c r="Q909" s="17"/>
      <c r="R909" s="17"/>
      <c r="S909" s="17"/>
      <c r="T909" s="17"/>
      <c r="U909" s="17"/>
      <c r="V909" s="17"/>
      <c r="W909" s="17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91" t="s">
        <v>21</v>
      </c>
      <c r="B910" s="91" t="s">
        <v>45</v>
      </c>
      <c r="C910" s="91" t="s">
        <v>23</v>
      </c>
      <c r="D910" s="91" t="s">
        <v>46</v>
      </c>
      <c r="E910" s="91" t="s">
        <v>47</v>
      </c>
      <c r="F910" s="91" t="s">
        <v>25</v>
      </c>
      <c r="G910" s="91" t="s">
        <v>25</v>
      </c>
      <c r="H910" s="91" t="s">
        <v>25</v>
      </c>
      <c r="I910" s="99">
        <v>44378</v>
      </c>
      <c r="J910" s="100">
        <f>EFEITO!$J$910*EFEITO!$Y$910</f>
        <v>0</v>
      </c>
      <c r="K910" s="100">
        <f ca="1">EFEITO!$L$910*EFEITO!$Z$910</f>
        <v>85533.318246904411</v>
      </c>
      <c r="L910" s="100">
        <f>EFEITO!$N$910*EFEITO!$AA$910</f>
        <v>59736.8590037346</v>
      </c>
      <c r="M910" s="100">
        <f>$J$910-EFEITO!$K$910*EFEITO!$Y$910</f>
        <v>0</v>
      </c>
      <c r="N910" s="100">
        <f ca="1">$K$910-EFEITO!$M$910*EFEITO!$Z$910</f>
        <v>0</v>
      </c>
      <c r="O910" s="100">
        <f>$L$910-EFEITO!$O$910*EFEITO!$AA$910</f>
        <v>0</v>
      </c>
      <c r="P910" s="17"/>
      <c r="Q910" s="17"/>
      <c r="R910" s="17"/>
      <c r="S910" s="17"/>
      <c r="T910" s="17"/>
      <c r="U910" s="17"/>
      <c r="V910" s="17"/>
      <c r="W910" s="17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91" t="s">
        <v>21</v>
      </c>
      <c r="B911" s="91" t="s">
        <v>45</v>
      </c>
      <c r="C911" s="91" t="s">
        <v>23</v>
      </c>
      <c r="D911" s="91" t="s">
        <v>46</v>
      </c>
      <c r="E911" s="91" t="s">
        <v>47</v>
      </c>
      <c r="F911" s="91" t="s">
        <v>25</v>
      </c>
      <c r="G911" s="91" t="s">
        <v>25</v>
      </c>
      <c r="H911" s="91" t="s">
        <v>25</v>
      </c>
      <c r="I911" s="99">
        <v>44409</v>
      </c>
      <c r="J911" s="100">
        <f>EFEITO!$J$911*EFEITO!$Y$911</f>
        <v>0</v>
      </c>
      <c r="K911" s="100">
        <f ca="1">EFEITO!$L$911*EFEITO!$Z$911</f>
        <v>84008.722962050815</v>
      </c>
      <c r="L911" s="100">
        <f>EFEITO!$N$911*EFEITO!$AA$911</f>
        <v>58672.074713405098</v>
      </c>
      <c r="M911" s="100">
        <f>$J$911-EFEITO!$K$911*EFEITO!$Y$911</f>
        <v>0</v>
      </c>
      <c r="N911" s="100">
        <f ca="1">$K$911-EFEITO!$M$911*EFEITO!$Z$911</f>
        <v>0</v>
      </c>
      <c r="O911" s="100">
        <f>$L$911-EFEITO!$O$911*EFEITO!$AA$911</f>
        <v>0</v>
      </c>
      <c r="P911" s="17"/>
      <c r="Q911" s="17"/>
      <c r="R911" s="17"/>
      <c r="S911" s="17"/>
      <c r="T911" s="17"/>
      <c r="U911" s="17"/>
      <c r="V911" s="17"/>
      <c r="W911" s="17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91" t="s">
        <v>21</v>
      </c>
      <c r="B912" s="91" t="s">
        <v>45</v>
      </c>
      <c r="C912" s="91" t="s">
        <v>23</v>
      </c>
      <c r="D912" s="91" t="s">
        <v>46</v>
      </c>
      <c r="E912" s="91" t="s">
        <v>47</v>
      </c>
      <c r="F912" s="91" t="s">
        <v>25</v>
      </c>
      <c r="G912" s="91" t="s">
        <v>25</v>
      </c>
      <c r="H912" s="91" t="s">
        <v>25</v>
      </c>
      <c r="I912" s="99">
        <v>44440</v>
      </c>
      <c r="J912" s="100">
        <f>EFEITO!$J$912*EFEITO!$Y$912</f>
        <v>0</v>
      </c>
      <c r="K912" s="100">
        <f ca="1">EFEITO!$L$912*EFEITO!$Z$912</f>
        <v>81298.916454681821</v>
      </c>
      <c r="L912" s="100">
        <f>EFEITO!$N$912*EFEITO!$AA$912</f>
        <v>56779.53350752288</v>
      </c>
      <c r="M912" s="100">
        <f>$J$912-EFEITO!$K$912*EFEITO!$Y$912</f>
        <v>0</v>
      </c>
      <c r="N912" s="100">
        <f ca="1">$K$912-EFEITO!$M$912*EFEITO!$Z$912</f>
        <v>0</v>
      </c>
      <c r="O912" s="100">
        <f>$L$912-EFEITO!$O$912*EFEITO!$AA$912</f>
        <v>0</v>
      </c>
      <c r="P912" s="17"/>
      <c r="Q912" s="17"/>
      <c r="R912" s="17"/>
      <c r="S912" s="17"/>
      <c r="T912" s="17"/>
      <c r="U912" s="17"/>
      <c r="V912" s="17"/>
      <c r="W912" s="17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91" t="s">
        <v>21</v>
      </c>
      <c r="B913" s="91" t="s">
        <v>45</v>
      </c>
      <c r="C913" s="91" t="s">
        <v>23</v>
      </c>
      <c r="D913" s="91" t="s">
        <v>46</v>
      </c>
      <c r="E913" s="91" t="s">
        <v>47</v>
      </c>
      <c r="F913" s="91" t="s">
        <v>25</v>
      </c>
      <c r="G913" s="91" t="s">
        <v>25</v>
      </c>
      <c r="H913" s="91" t="s">
        <v>25</v>
      </c>
      <c r="I913" s="99">
        <v>44470</v>
      </c>
      <c r="J913" s="100">
        <f>EFEITO!$J$913*EFEITO!$Y$913</f>
        <v>0</v>
      </c>
      <c r="K913" s="100">
        <f ca="1">EFEITO!$L$913*EFEITO!$Z$913</f>
        <v>84008.722962050815</v>
      </c>
      <c r="L913" s="100">
        <f>EFEITO!$N$913*EFEITO!$AA$913</f>
        <v>58672.074713405098</v>
      </c>
      <c r="M913" s="100">
        <f>$J$913-EFEITO!$K$913*EFEITO!$Y$913</f>
        <v>0</v>
      </c>
      <c r="N913" s="100">
        <f ca="1">$K$913-EFEITO!$M$913*EFEITO!$Z$913</f>
        <v>0</v>
      </c>
      <c r="O913" s="100">
        <f>$L$913-EFEITO!$O$913*EFEITO!$AA$913</f>
        <v>0</v>
      </c>
      <c r="P913" s="17"/>
      <c r="Q913" s="17"/>
      <c r="R913" s="17"/>
      <c r="S913" s="17"/>
      <c r="T913" s="17"/>
      <c r="U913" s="17"/>
      <c r="V913" s="17"/>
      <c r="W913" s="17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91" t="s">
        <v>21</v>
      </c>
      <c r="B914" s="91" t="s">
        <v>45</v>
      </c>
      <c r="C914" s="91" t="s">
        <v>23</v>
      </c>
      <c r="D914" s="91" t="s">
        <v>46</v>
      </c>
      <c r="E914" s="91" t="s">
        <v>47</v>
      </c>
      <c r="F914" s="91" t="s">
        <v>25</v>
      </c>
      <c r="G914" s="91" t="s">
        <v>25</v>
      </c>
      <c r="H914" s="91" t="s">
        <v>25</v>
      </c>
      <c r="I914" s="99">
        <v>44501</v>
      </c>
      <c r="J914" s="100">
        <f>EFEITO!$J$914*EFEITO!$Y$914</f>
        <v>0</v>
      </c>
      <c r="K914" s="100">
        <f ca="1">EFEITO!$L$914*EFEITO!$Z$914</f>
        <v>81406.778484124778</v>
      </c>
      <c r="L914" s="100">
        <f>EFEITO!$N$914*EFEITO!$AA$914</f>
        <v>56854.864840116461</v>
      </c>
      <c r="M914" s="100">
        <f>$J$914-EFEITO!$K$914*EFEITO!$Y$914</f>
        <v>0</v>
      </c>
      <c r="N914" s="100">
        <f ca="1">$K$914-EFEITO!$M$914*EFEITO!$Z$914</f>
        <v>0</v>
      </c>
      <c r="O914" s="100">
        <f>$L$914-EFEITO!$O$914*EFEITO!$AA$914</f>
        <v>0</v>
      </c>
      <c r="P914" s="17"/>
      <c r="Q914" s="17"/>
      <c r="R914" s="17"/>
      <c r="S914" s="17"/>
      <c r="T914" s="17"/>
      <c r="U914" s="17"/>
      <c r="V914" s="17"/>
      <c r="W914" s="17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91" t="s">
        <v>21</v>
      </c>
      <c r="B915" s="91" t="s">
        <v>45</v>
      </c>
      <c r="C915" s="91" t="s">
        <v>23</v>
      </c>
      <c r="D915" s="91" t="s">
        <v>46</v>
      </c>
      <c r="E915" s="91" t="s">
        <v>47</v>
      </c>
      <c r="F915" s="91" t="s">
        <v>25</v>
      </c>
      <c r="G915" s="91" t="s">
        <v>25</v>
      </c>
      <c r="H915" s="91" t="s">
        <v>25</v>
      </c>
      <c r="I915" s="99">
        <v>44531</v>
      </c>
      <c r="J915" s="100">
        <f>EFEITO!$J$915*EFEITO!$Y$915</f>
        <v>0</v>
      </c>
      <c r="K915" s="100">
        <f ca="1">EFEITO!$L$915*EFEITO!$Z$915</f>
        <v>84104.237149739361</v>
      </c>
      <c r="L915" s="100">
        <f>EFEITO!$N$915*EFEITO!$AA$915</f>
        <v>58738.782257082246</v>
      </c>
      <c r="M915" s="100">
        <f>$J$915-EFEITO!$K$915*EFEITO!$Y$915</f>
        <v>0</v>
      </c>
      <c r="N915" s="100">
        <f ca="1">$K$915-EFEITO!$M$915*EFEITO!$Z$915</f>
        <v>0</v>
      </c>
      <c r="O915" s="100">
        <f>$L$915-EFEITO!$O$915*EFEITO!$AA$915</f>
        <v>0</v>
      </c>
      <c r="P915" s="17"/>
      <c r="Q915" s="17"/>
      <c r="R915" s="17"/>
      <c r="S915" s="17"/>
      <c r="T915" s="17"/>
      <c r="U915" s="17"/>
      <c r="V915" s="17"/>
      <c r="W915" s="17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91" t="s">
        <v>21</v>
      </c>
      <c r="B916" s="91" t="s">
        <v>45</v>
      </c>
      <c r="C916" s="91" t="s">
        <v>23</v>
      </c>
      <c r="D916" s="91" t="s">
        <v>46</v>
      </c>
      <c r="E916" s="91" t="s">
        <v>47</v>
      </c>
      <c r="F916" s="91" t="s">
        <v>25</v>
      </c>
      <c r="G916" s="91" t="s">
        <v>25</v>
      </c>
      <c r="H916" s="91" t="s">
        <v>25</v>
      </c>
      <c r="I916" s="99">
        <v>44562</v>
      </c>
      <c r="J916" s="100">
        <f>EFEITO!$J$916*EFEITO!$Y$916</f>
        <v>0</v>
      </c>
      <c r="K916" s="100">
        <f ca="1">EFEITO!$L$916*EFEITO!$Z$916</f>
        <v>84104.237149739361</v>
      </c>
      <c r="L916" s="100">
        <f>EFEITO!$N$916*EFEITO!$AA$916</f>
        <v>58738.782257082246</v>
      </c>
      <c r="M916" s="100">
        <f>$J$916-EFEITO!$K$916*EFEITO!$Y$916</f>
        <v>0</v>
      </c>
      <c r="N916" s="100">
        <f ca="1">$K$916-EFEITO!$M$916*EFEITO!$Z$916</f>
        <v>0</v>
      </c>
      <c r="O916" s="100">
        <f>$L$916-EFEITO!$O$916*EFEITO!$AA$916</f>
        <v>0</v>
      </c>
      <c r="P916" s="17"/>
      <c r="Q916" s="17"/>
      <c r="R916" s="17"/>
      <c r="S916" s="17"/>
      <c r="T916" s="17"/>
      <c r="U916" s="17"/>
      <c r="V916" s="17"/>
      <c r="W916" s="17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91" t="s">
        <v>21</v>
      </c>
      <c r="B917" s="91" t="s">
        <v>45</v>
      </c>
      <c r="C917" s="91" t="s">
        <v>23</v>
      </c>
      <c r="D917" s="91" t="s">
        <v>46</v>
      </c>
      <c r="E917" s="91" t="s">
        <v>47</v>
      </c>
      <c r="F917" s="91" t="s">
        <v>25</v>
      </c>
      <c r="G917" s="91" t="s">
        <v>25</v>
      </c>
      <c r="H917" s="91" t="s">
        <v>25</v>
      </c>
      <c r="I917" s="99">
        <v>44593</v>
      </c>
      <c r="J917" s="100">
        <f>EFEITO!$J$917*EFEITO!$Y$917</f>
        <v>0</v>
      </c>
      <c r="K917" s="100">
        <f ca="1">EFEITO!$L$917*EFEITO!$Z$917</f>
        <v>75965.193574500256</v>
      </c>
      <c r="L917" s="100">
        <f>EFEITO!$N$917*EFEITO!$AA$917</f>
        <v>53054.43715689778</v>
      </c>
      <c r="M917" s="100">
        <f>$J$917-EFEITO!$K$917*EFEITO!$Y$917</f>
        <v>0</v>
      </c>
      <c r="N917" s="100">
        <f ca="1">$K$917-EFEITO!$M$917*EFEITO!$Z$917</f>
        <v>0</v>
      </c>
      <c r="O917" s="100">
        <f>$L$917-EFEITO!$O$917*EFEITO!$AA$917</f>
        <v>0</v>
      </c>
      <c r="P917" s="17"/>
      <c r="Q917" s="17"/>
      <c r="R917" s="17"/>
      <c r="S917" s="17"/>
      <c r="T917" s="17"/>
      <c r="U917" s="17"/>
      <c r="V917" s="17"/>
      <c r="W917" s="17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91" t="s">
        <v>21</v>
      </c>
      <c r="B918" s="91" t="s">
        <v>45</v>
      </c>
      <c r="C918" s="91" t="s">
        <v>23</v>
      </c>
      <c r="D918" s="91" t="s">
        <v>46</v>
      </c>
      <c r="E918" s="91" t="s">
        <v>47</v>
      </c>
      <c r="F918" s="91" t="s">
        <v>25</v>
      </c>
      <c r="G918" s="91" t="s">
        <v>25</v>
      </c>
      <c r="H918" s="91" t="s">
        <v>25</v>
      </c>
      <c r="I918" s="99">
        <v>44621</v>
      </c>
      <c r="J918" s="100">
        <f>EFEITO!$J$918*EFEITO!$Y$918</f>
        <v>0</v>
      </c>
      <c r="K918" s="100">
        <f ca="1">EFEITO!$L$918*EFEITO!$Z$918</f>
        <v>84104.237149739361</v>
      </c>
      <c r="L918" s="100">
        <f>EFEITO!$N$918*EFEITO!$AA$918</f>
        <v>58738.782257082246</v>
      </c>
      <c r="M918" s="100">
        <f>$J$918-EFEITO!$K$918*EFEITO!$Y$918</f>
        <v>0</v>
      </c>
      <c r="N918" s="100">
        <f ca="1">$K$918-EFEITO!$M$918*EFEITO!$Z$918</f>
        <v>0</v>
      </c>
      <c r="O918" s="100">
        <f>$L$918-EFEITO!$O$918*EFEITO!$AA$918</f>
        <v>0</v>
      </c>
      <c r="P918" s="17"/>
      <c r="Q918" s="17"/>
      <c r="R918" s="17"/>
      <c r="S918" s="17"/>
      <c r="T918" s="17"/>
      <c r="U918" s="17"/>
      <c r="V918" s="17"/>
      <c r="W918" s="17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91" t="s">
        <v>21</v>
      </c>
      <c r="B919" s="91" t="s">
        <v>45</v>
      </c>
      <c r="C919" s="91" t="s">
        <v>23</v>
      </c>
      <c r="D919" s="91" t="s">
        <v>46</v>
      </c>
      <c r="E919" s="91" t="s">
        <v>47</v>
      </c>
      <c r="F919" s="91" t="s">
        <v>25</v>
      </c>
      <c r="G919" s="91" t="s">
        <v>25</v>
      </c>
      <c r="H919" s="91" t="s">
        <v>25</v>
      </c>
      <c r="I919" s="99">
        <v>44652</v>
      </c>
      <c r="J919" s="100">
        <f>EFEITO!$J$919*EFEITO!$Y$919</f>
        <v>0</v>
      </c>
      <c r="K919" s="100">
        <f ca="1">EFEITO!$L$919*EFEITO!$Z$919</f>
        <v>81391.343681931758</v>
      </c>
      <c r="L919" s="100">
        <f>EFEITO!$N$919*EFEITO!$AA$919</f>
        <v>56844.085103970916</v>
      </c>
      <c r="M919" s="100">
        <f>$J$919-EFEITO!$K$919*EFEITO!$Y$919</f>
        <v>0</v>
      </c>
      <c r="N919" s="100">
        <f ca="1">$K$919-EFEITO!$M$919*EFEITO!$Z$919</f>
        <v>0</v>
      </c>
      <c r="O919" s="100">
        <f>$L$919-EFEITO!$O$919*EFEITO!$AA$919</f>
        <v>0</v>
      </c>
      <c r="P919" s="17"/>
      <c r="Q919" s="17"/>
      <c r="R919" s="17"/>
      <c r="S919" s="17"/>
      <c r="T919" s="17"/>
      <c r="U919" s="17"/>
      <c r="V919" s="17"/>
      <c r="W919" s="17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91" t="s">
        <v>21</v>
      </c>
      <c r="B920" s="91" t="s">
        <v>45</v>
      </c>
      <c r="C920" s="91" t="s">
        <v>23</v>
      </c>
      <c r="D920" s="91" t="s">
        <v>46</v>
      </c>
      <c r="E920" s="91" t="s">
        <v>47</v>
      </c>
      <c r="F920" s="91" t="s">
        <v>25</v>
      </c>
      <c r="G920" s="91" t="s">
        <v>25</v>
      </c>
      <c r="H920" s="91" t="s">
        <v>25</v>
      </c>
      <c r="I920" s="99">
        <v>44682</v>
      </c>
      <c r="J920" s="100">
        <f>EFEITO!$J$920*EFEITO!$Y$920</f>
        <v>0</v>
      </c>
      <c r="K920" s="100">
        <f ca="1">EFEITO!$L$920*EFEITO!$Z$920</f>
        <v>84104.237149739361</v>
      </c>
      <c r="L920" s="100">
        <f>EFEITO!$N$920*EFEITO!$AA$920</f>
        <v>58738.782257082246</v>
      </c>
      <c r="M920" s="100">
        <f>$J$920-EFEITO!$K$920*EFEITO!$Y$920</f>
        <v>0</v>
      </c>
      <c r="N920" s="100">
        <f ca="1">$K$920-EFEITO!$M$920*EFEITO!$Z$920</f>
        <v>0</v>
      </c>
      <c r="O920" s="100">
        <f>$L$920-EFEITO!$O$920*EFEITO!$AA$920</f>
        <v>0</v>
      </c>
      <c r="P920" s="17"/>
      <c r="Q920" s="17"/>
      <c r="R920" s="17"/>
      <c r="S920" s="17"/>
      <c r="T920" s="17"/>
      <c r="U920" s="17"/>
      <c r="V920" s="17"/>
      <c r="W920" s="17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91" t="s">
        <v>56</v>
      </c>
      <c r="B921" s="91" t="s">
        <v>45</v>
      </c>
      <c r="C921" s="91" t="s">
        <v>23</v>
      </c>
      <c r="D921" s="91" t="s">
        <v>46</v>
      </c>
      <c r="E921" s="91" t="s">
        <v>47</v>
      </c>
      <c r="F921" s="91" t="s">
        <v>25</v>
      </c>
      <c r="G921" s="91" t="s">
        <v>25</v>
      </c>
      <c r="H921" s="91" t="s">
        <v>25</v>
      </c>
      <c r="I921" s="99">
        <v>44713</v>
      </c>
      <c r="J921" s="100">
        <f>EFEITO!$J$921*EFEITO!$Y$921</f>
        <v>0</v>
      </c>
      <c r="K921" s="100">
        <f ca="1">EFEITO!$L$921*EFEITO!$Z$921</f>
        <v>84104.237149739361</v>
      </c>
      <c r="L921" s="100">
        <f>EFEITO!$N$921*EFEITO!$AA$921</f>
        <v>58738.782257082246</v>
      </c>
      <c r="M921" s="100">
        <f>$J$921-EFEITO!$K$921*EFEITO!$Y$921</f>
        <v>0</v>
      </c>
      <c r="N921" s="100">
        <f ca="1">$K$921-EFEITO!$M$921*EFEITO!$Z$921</f>
        <v>0</v>
      </c>
      <c r="O921" s="100">
        <f>$L$921-EFEITO!$O$921*EFEITO!$AA$921</f>
        <v>0</v>
      </c>
      <c r="P921" s="17"/>
      <c r="Q921" s="17"/>
      <c r="R921" s="17"/>
      <c r="S921" s="17"/>
      <c r="T921" s="17"/>
      <c r="U921" s="17"/>
      <c r="V921" s="17"/>
      <c r="W921" s="17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</sheetData>
  <mergeCells count="1">
    <mergeCell ref="Q1:AJ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5214-04FB-469C-8753-D1DC9414B895}">
  <dimension ref="A1:BD105"/>
  <sheetViews>
    <sheetView showGridLines="0" topLeftCell="B29" workbookViewId="0">
      <selection activeCell="L54" sqref="L54:BD105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0" width="10" style="9" bestFit="1" customWidth="1"/>
    <col min="21" max="21" width="8.7109375" style="9" bestFit="1" customWidth="1"/>
    <col min="22" max="22" width="10" style="9" bestFit="1" customWidth="1"/>
    <col min="23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10.570312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7.85546875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7" width="8.7109375" style="9" bestFit="1" customWidth="1"/>
    <col min="38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3" width="10" style="9" bestFit="1" customWidth="1"/>
    <col min="44" max="44" width="8.7109375" style="9" bestFit="1" customWidth="1"/>
    <col min="45" max="45" width="10" style="9" bestFit="1" customWidth="1"/>
    <col min="46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10.570312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7.85546875" style="9" bestFit="1" customWidth="1"/>
    <col min="57" max="16384" width="9.140625" style="9"/>
  </cols>
  <sheetData>
    <row r="1" spans="1:56" ht="11.25" customHeight="1" x14ac:dyDescent="0.25">
      <c r="A1" s="132" t="s">
        <v>71</v>
      </c>
      <c r="B1" s="132" t="s">
        <v>72</v>
      </c>
      <c r="C1" s="132" t="s">
        <v>73</v>
      </c>
      <c r="D1" s="132" t="s">
        <v>74</v>
      </c>
      <c r="E1" s="132" t="s">
        <v>75</v>
      </c>
      <c r="F1" s="132" t="s">
        <v>15</v>
      </c>
      <c r="G1" s="132" t="s">
        <v>77</v>
      </c>
      <c r="H1" s="132" t="s">
        <v>78</v>
      </c>
      <c r="I1" s="132" t="s">
        <v>652</v>
      </c>
      <c r="J1" s="125"/>
      <c r="L1" s="133" t="s">
        <v>828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I1" s="133" t="s">
        <v>829</v>
      </c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</row>
    <row r="2" spans="1:56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5"/>
      <c r="L2" s="133" t="s">
        <v>562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I2" s="133" t="s">
        <v>562</v>
      </c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</row>
    <row r="3" spans="1:56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5"/>
      <c r="L3" s="133" t="s">
        <v>563</v>
      </c>
      <c r="M3" s="133"/>
      <c r="N3" s="133"/>
      <c r="O3" s="133"/>
      <c r="P3" s="133"/>
      <c r="Q3" s="133"/>
      <c r="R3" s="133"/>
      <c r="S3" s="133"/>
      <c r="T3" s="133" t="s">
        <v>572</v>
      </c>
      <c r="U3" s="133"/>
      <c r="V3" s="133"/>
      <c r="W3" s="133"/>
      <c r="X3" s="133"/>
      <c r="Y3" s="133"/>
      <c r="Z3" s="133"/>
      <c r="AA3" s="69" t="s">
        <v>580</v>
      </c>
      <c r="AB3" s="133" t="s">
        <v>582</v>
      </c>
      <c r="AC3" s="133"/>
      <c r="AD3" s="133" t="s">
        <v>585</v>
      </c>
      <c r="AE3" s="133"/>
      <c r="AF3" s="133"/>
      <c r="AG3" s="133"/>
      <c r="AI3" s="133" t="s">
        <v>563</v>
      </c>
      <c r="AJ3" s="133"/>
      <c r="AK3" s="133"/>
      <c r="AL3" s="133"/>
      <c r="AM3" s="133"/>
      <c r="AN3" s="133"/>
      <c r="AO3" s="133"/>
      <c r="AP3" s="133"/>
      <c r="AQ3" s="133" t="s">
        <v>572</v>
      </c>
      <c r="AR3" s="133"/>
      <c r="AS3" s="133"/>
      <c r="AT3" s="133"/>
      <c r="AU3" s="133"/>
      <c r="AV3" s="133"/>
      <c r="AW3" s="133"/>
      <c r="AX3" s="69" t="s">
        <v>580</v>
      </c>
      <c r="AY3" s="133" t="s">
        <v>582</v>
      </c>
      <c r="AZ3" s="133"/>
      <c r="BA3" s="133" t="s">
        <v>585</v>
      </c>
      <c r="BB3" s="133"/>
      <c r="BC3" s="133"/>
      <c r="BD3" s="133"/>
    </row>
    <row r="4" spans="1:56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5"/>
      <c r="L4" s="69" t="s">
        <v>648</v>
      </c>
      <c r="M4" s="69" t="s">
        <v>564</v>
      </c>
      <c r="N4" s="69" t="s">
        <v>565</v>
      </c>
      <c r="O4" s="69" t="s">
        <v>566</v>
      </c>
      <c r="P4" s="69" t="s">
        <v>567</v>
      </c>
      <c r="Q4" s="69" t="s">
        <v>568</v>
      </c>
      <c r="R4" s="69" t="s">
        <v>569</v>
      </c>
      <c r="S4" s="69" t="s">
        <v>570</v>
      </c>
      <c r="T4" s="69" t="s">
        <v>573</v>
      </c>
      <c r="U4" s="69" t="s">
        <v>574</v>
      </c>
      <c r="V4" s="69" t="s">
        <v>575</v>
      </c>
      <c r="W4" s="69" t="s">
        <v>576</v>
      </c>
      <c r="X4" s="69" t="s">
        <v>577</v>
      </c>
      <c r="Y4" s="69" t="s">
        <v>578</v>
      </c>
      <c r="Z4" s="69" t="s">
        <v>579</v>
      </c>
      <c r="AA4" s="69" t="s">
        <v>581</v>
      </c>
      <c r="AB4" s="69" t="s">
        <v>583</v>
      </c>
      <c r="AC4" s="69" t="s">
        <v>584</v>
      </c>
      <c r="AD4" s="69" t="s">
        <v>586</v>
      </c>
      <c r="AE4" s="69" t="s">
        <v>587</v>
      </c>
      <c r="AF4" s="69" t="s">
        <v>588</v>
      </c>
      <c r="AG4" s="69" t="s">
        <v>589</v>
      </c>
      <c r="AI4" s="69" t="s">
        <v>648</v>
      </c>
      <c r="AJ4" s="69" t="s">
        <v>564</v>
      </c>
      <c r="AK4" s="69" t="s">
        <v>565</v>
      </c>
      <c r="AL4" s="69" t="s">
        <v>566</v>
      </c>
      <c r="AM4" s="69" t="s">
        <v>567</v>
      </c>
      <c r="AN4" s="69" t="s">
        <v>568</v>
      </c>
      <c r="AO4" s="69" t="s">
        <v>569</v>
      </c>
      <c r="AP4" s="69" t="s">
        <v>570</v>
      </c>
      <c r="AQ4" s="69" t="s">
        <v>573</v>
      </c>
      <c r="AR4" s="69" t="s">
        <v>574</v>
      </c>
      <c r="AS4" s="69" t="s">
        <v>575</v>
      </c>
      <c r="AT4" s="69" t="s">
        <v>576</v>
      </c>
      <c r="AU4" s="69" t="s">
        <v>577</v>
      </c>
      <c r="AV4" s="69" t="s">
        <v>578</v>
      </c>
      <c r="AW4" s="69" t="s">
        <v>579</v>
      </c>
      <c r="AX4" s="69" t="s">
        <v>581</v>
      </c>
      <c r="AY4" s="69" t="s">
        <v>583</v>
      </c>
      <c r="AZ4" s="69" t="s">
        <v>584</v>
      </c>
      <c r="BA4" s="69" t="s">
        <v>586</v>
      </c>
      <c r="BB4" s="69" t="s">
        <v>587</v>
      </c>
      <c r="BC4" s="69" t="s">
        <v>588</v>
      </c>
      <c r="BD4" s="69" t="s">
        <v>589</v>
      </c>
    </row>
    <row r="5" spans="1:56" ht="11.25" customHeight="1" x14ac:dyDescent="0.25">
      <c r="A5" s="73" t="s">
        <v>62</v>
      </c>
      <c r="B5" s="73" t="s">
        <v>59</v>
      </c>
      <c r="C5" s="73" t="s">
        <v>25</v>
      </c>
      <c r="D5" s="73" t="s">
        <v>25</v>
      </c>
      <c r="E5" s="73" t="s">
        <v>25</v>
      </c>
      <c r="F5" s="73" t="s">
        <v>25</v>
      </c>
      <c r="G5" s="74" t="s">
        <v>9</v>
      </c>
      <c r="H5" s="74" t="s">
        <v>80</v>
      </c>
      <c r="I5" s="74">
        <f>'MERCADO TUSD'!$U$2</f>
        <v>27600</v>
      </c>
      <c r="J5" s="15"/>
      <c r="L5" s="53">
        <f>('TUSD BE'!$L$5+'TUSD BF'!$L$5+'TUSD CVA'!$L$5)*1</f>
        <v>0</v>
      </c>
      <c r="M5" s="53">
        <f>('TUSD BE'!$M$5+'TUSD BF'!$M$5+'TUSD CVA'!$M$5)*1</f>
        <v>5.1469385102798151E-2</v>
      </c>
      <c r="N5" s="53">
        <f ca="1">('TUSD BE'!$N$5+'TUSD BF'!$N$5+'TUSD CVA'!$N$5)*1</f>
        <v>0.14567424152319017</v>
      </c>
      <c r="O5" s="53">
        <f>('TUSD BE'!$O$5+'TUSD BF'!$O$5+'TUSD CVA'!$O$5)*1</f>
        <v>0</v>
      </c>
      <c r="P5" s="53">
        <f>('TUSD BE'!$P$5+'TUSD BF'!$P$5+'TUSD CVA'!$P$5)*1</f>
        <v>0</v>
      </c>
      <c r="Q5" s="53">
        <f>('TUSD BE'!$Q$5+'TUSD BF'!$Q$5+'TUSD CVA'!$Q$5)*1</f>
        <v>0</v>
      </c>
      <c r="R5" s="53">
        <f>('TUSD BE'!$R$5+'TUSD BF'!$R$5+'TUSD CVA'!$R$5)*1</f>
        <v>0</v>
      </c>
      <c r="S5" s="53">
        <f>('TUSD BE'!$S$5+'TUSD BF'!$S$5+'TUSD CVA'!$S$5)*1</f>
        <v>0</v>
      </c>
      <c r="T5" s="53">
        <f>('TUSD BE'!$U$5+'TUSD BF'!$U$5+'TUSD CVA'!$U$5)*1</f>
        <v>0</v>
      </c>
      <c r="U5" s="53">
        <f>('TUSD BE'!$V$5+'TUSD BF'!$V$5+'TUSD CVA'!$V$5)*1</f>
        <v>0</v>
      </c>
      <c r="V5" s="53">
        <f>('TUSD BE'!$W$5+'TUSD BF'!$W$5+'TUSD CVA'!$W$5)*1</f>
        <v>0</v>
      </c>
      <c r="W5" s="53">
        <f>('TUSD BE'!$X$5+'TUSD BF'!$X$5+'TUSD CVA'!$X$5)*1</f>
        <v>0</v>
      </c>
      <c r="X5" s="53">
        <f>('TUSD BE'!$Y$5+'TUSD BF'!$Y$5+'TUSD CVA'!$Y$5)*1</f>
        <v>0</v>
      </c>
      <c r="Y5" s="53">
        <f>('TUSD BE'!$Z$5+'TUSD BF'!$Z$5+'TUSD CVA'!$Z$5)*1</f>
        <v>0</v>
      </c>
      <c r="Z5" s="53">
        <f>('TUSD BE'!$AA$5+'TUSD BF'!$AA$5+'TUSD CVA'!$AA$5)*1</f>
        <v>0</v>
      </c>
      <c r="AA5" s="53">
        <f>('TUSD BE'!$AC$5+'TUSD BF'!$AC$5+'TUSD CVA'!$AC$5)*1</f>
        <v>14.267053365466689</v>
      </c>
      <c r="AB5" s="53">
        <f ca="1">('TUSD BE'!$AE$5+'TUSD BF'!$AE$5+'TUSD CVA'!$AE$5)*1</f>
        <v>-2.72354436550025</v>
      </c>
      <c r="AC5" s="53">
        <f ca="1">('TUSD BE'!$AF$5+'TUSD BF'!$AF$5+'TUSD CVA'!$AF$5)*1</f>
        <v>0</v>
      </c>
      <c r="AD5" s="53">
        <f>('TUSD BE'!$AH$5+'TUSD BF'!$AH$5+'TUSD CVA'!$AH$5)*1</f>
        <v>0</v>
      </c>
      <c r="AE5" s="53">
        <f>('TUSD BE'!$AI$5+'TUSD BF'!$AI$5+'TUSD CVA'!$AI$5)*1</f>
        <v>0</v>
      </c>
      <c r="AF5" s="53">
        <f ca="1">('TUSD BE'!$AJ$5+'TUSD BF'!$AJ$5+'TUSD CVA'!$AJ$5)*1</f>
        <v>0</v>
      </c>
      <c r="AG5" s="53">
        <f ca="1">('TUSD BE'!$AK$5+'TUSD BF'!$AK$5+'TUSD CVA'!$AK$5)*1</f>
        <v>0</v>
      </c>
      <c r="AI5" s="53">
        <v>0</v>
      </c>
      <c r="AJ5" s="53">
        <v>4.7710066671281803E-2</v>
      </c>
      <c r="AK5" s="53">
        <v>0.131588678858057</v>
      </c>
      <c r="AL5" s="53">
        <v>0</v>
      </c>
      <c r="AM5" s="53">
        <v>0</v>
      </c>
      <c r="AN5" s="53">
        <v>0</v>
      </c>
      <c r="AO5" s="53">
        <v>0</v>
      </c>
      <c r="AP5" s="53">
        <v>0</v>
      </c>
      <c r="AQ5" s="53">
        <v>0</v>
      </c>
      <c r="AR5" s="53">
        <v>0</v>
      </c>
      <c r="AS5" s="53">
        <v>0</v>
      </c>
      <c r="AT5" s="53">
        <v>0</v>
      </c>
      <c r="AU5" s="53">
        <v>0</v>
      </c>
      <c r="AV5" s="53">
        <v>0</v>
      </c>
      <c r="AW5" s="53">
        <v>0</v>
      </c>
      <c r="AX5" s="53">
        <v>12.9915820162313</v>
      </c>
      <c r="AY5" s="53">
        <v>0</v>
      </c>
      <c r="AZ5" s="53">
        <v>0</v>
      </c>
      <c r="BA5" s="53">
        <v>0</v>
      </c>
      <c r="BB5" s="53">
        <v>0</v>
      </c>
      <c r="BC5" s="53">
        <v>0</v>
      </c>
      <c r="BD5" s="53">
        <v>0</v>
      </c>
    </row>
    <row r="6" spans="1:56" ht="11.25" customHeight="1" x14ac:dyDescent="0.25">
      <c r="A6" s="131" t="s">
        <v>38</v>
      </c>
      <c r="B6" s="131" t="s">
        <v>39</v>
      </c>
      <c r="C6" s="131" t="s">
        <v>25</v>
      </c>
      <c r="D6" s="131" t="s">
        <v>25</v>
      </c>
      <c r="E6" s="131" t="s">
        <v>25</v>
      </c>
      <c r="F6" s="131" t="s">
        <v>25</v>
      </c>
      <c r="G6" s="74" t="s">
        <v>87</v>
      </c>
      <c r="H6" s="74" t="s">
        <v>80</v>
      </c>
      <c r="I6" s="74">
        <f>'MERCADO TUSD'!$U$3</f>
        <v>74530</v>
      </c>
      <c r="J6" s="15"/>
      <c r="L6" s="53">
        <f>('TUSD BE'!$L$6+'TUSD BF'!$L$6+'TUSD CVA'!$L$6)*1</f>
        <v>0</v>
      </c>
      <c r="M6" s="53">
        <f>('TUSD BE'!$M$6+'TUSD BF'!$M$6+'TUSD CVA'!$M$6)*1</f>
        <v>0</v>
      </c>
      <c r="N6" s="53">
        <f ca="1">('TUSD BE'!$N$6+'TUSD BF'!$N$6+'TUSD CVA'!$N$6)*1</f>
        <v>0</v>
      </c>
      <c r="O6" s="53">
        <f>('TUSD BE'!$O$6+'TUSD BF'!$O$6+'TUSD CVA'!$O$6)*1</f>
        <v>0</v>
      </c>
      <c r="P6" s="53">
        <f>('TUSD BE'!$P$6+'TUSD BF'!$P$6+'TUSD CVA'!$P$6)*1</f>
        <v>0</v>
      </c>
      <c r="Q6" s="53">
        <f>('TUSD BE'!$Q$6+'TUSD BF'!$Q$6+'TUSD CVA'!$Q$6)*1</f>
        <v>0</v>
      </c>
      <c r="R6" s="53">
        <f>('TUSD BE'!$R$6+'TUSD BF'!$R$6+'TUSD CVA'!$R$6)*1</f>
        <v>0</v>
      </c>
      <c r="S6" s="53">
        <f>('TUSD BE'!$S$6+'TUSD BF'!$S$6+'TUSD CVA'!$S$6)*1</f>
        <v>0</v>
      </c>
      <c r="T6" s="53">
        <f>('TUSD BE'!$U$6+'TUSD BF'!$U$6+'TUSD CVA'!$U$6)*1</f>
        <v>8.7215517677698564</v>
      </c>
      <c r="U6" s="53">
        <f>('TUSD BE'!$V$6+'TUSD BF'!$V$6+'TUSD CVA'!$V$6)*1</f>
        <v>2.9221726292599568</v>
      </c>
      <c r="V6" s="53">
        <f>('TUSD BE'!$W$6+'TUSD BF'!$W$6+'TUSD CVA'!$W$6)*1</f>
        <v>4.9552205887763767</v>
      </c>
      <c r="W6" s="53">
        <f>('TUSD BE'!$X$6+'TUSD BF'!$X$6+'TUSD CVA'!$X$6)*1</f>
        <v>0</v>
      </c>
      <c r="X6" s="53">
        <f>('TUSD BE'!$Y$6+'TUSD BF'!$Y$6+'TUSD CVA'!$Y$6)*1</f>
        <v>0</v>
      </c>
      <c r="Y6" s="53">
        <f>('TUSD BE'!$Z$6+'TUSD BF'!$Z$6+'TUSD CVA'!$Z$6)*1</f>
        <v>0</v>
      </c>
      <c r="Z6" s="53">
        <f>('TUSD BE'!$AA$6+'TUSD BF'!$AA$6+'TUSD CVA'!$AA$6)*1</f>
        <v>0</v>
      </c>
      <c r="AA6" s="53">
        <f>('TUSD BE'!$AC$6+'TUSD BF'!$AC$6+'TUSD CVA'!$AC$6)*1</f>
        <v>32.789608930315126</v>
      </c>
      <c r="AB6" s="53">
        <f ca="1">('TUSD BE'!$AE$6+'TUSD BF'!$AE$6+'TUSD CVA'!$AE$6)*1</f>
        <v>-9.2057626729930533</v>
      </c>
      <c r="AC6" s="53">
        <f ca="1">('TUSD BE'!$AF$6+'TUSD BF'!$AF$6+'TUSD CVA'!$AF$6)*1</f>
        <v>0</v>
      </c>
      <c r="AD6" s="53">
        <f>('TUSD BE'!$AH$6+'TUSD BF'!$AH$6+'TUSD CVA'!$AH$6)*1</f>
        <v>0</v>
      </c>
      <c r="AE6" s="53">
        <f>('TUSD BE'!$AI$6+'TUSD BF'!$AI$6+'TUSD CVA'!$AI$6)*1</f>
        <v>0</v>
      </c>
      <c r="AF6" s="53">
        <f ca="1">('TUSD BE'!$AJ$6+'TUSD BF'!$AJ$6+'TUSD CVA'!$AJ$6)*1</f>
        <v>0</v>
      </c>
      <c r="AG6" s="53">
        <f ca="1">('TUSD BE'!$AK$6+'TUSD BF'!$AK$6+'TUSD CVA'!$AK$6)*1</f>
        <v>0</v>
      </c>
      <c r="AI6" s="53">
        <v>0</v>
      </c>
      <c r="AJ6" s="53">
        <v>0</v>
      </c>
      <c r="AK6" s="53">
        <v>0</v>
      </c>
      <c r="AL6" s="53">
        <v>0</v>
      </c>
      <c r="AM6" s="53">
        <v>0</v>
      </c>
      <c r="AN6" s="53">
        <v>0</v>
      </c>
      <c r="AO6" s="53">
        <v>0</v>
      </c>
      <c r="AP6" s="53">
        <v>0</v>
      </c>
      <c r="AQ6" s="53">
        <v>5.8790446243034902</v>
      </c>
      <c r="AR6" s="53">
        <v>2.67092521209775</v>
      </c>
      <c r="AS6" s="53">
        <v>2.4208835204559098</v>
      </c>
      <c r="AT6" s="53">
        <v>0</v>
      </c>
      <c r="AU6" s="53">
        <v>0</v>
      </c>
      <c r="AV6" s="53">
        <v>0</v>
      </c>
      <c r="AW6" s="53">
        <v>0</v>
      </c>
      <c r="AX6" s="53">
        <v>40.4368633914208</v>
      </c>
      <c r="AY6" s="53">
        <v>0</v>
      </c>
      <c r="AZ6" s="53">
        <v>0</v>
      </c>
      <c r="BA6" s="53">
        <v>0</v>
      </c>
      <c r="BB6" s="53">
        <v>0</v>
      </c>
      <c r="BC6" s="53">
        <v>0</v>
      </c>
      <c r="BD6" s="53">
        <v>0</v>
      </c>
    </row>
    <row r="7" spans="1:56" ht="11.25" customHeight="1" x14ac:dyDescent="0.25">
      <c r="A7" s="131"/>
      <c r="B7" s="131"/>
      <c r="C7" s="131"/>
      <c r="D7" s="131"/>
      <c r="E7" s="131"/>
      <c r="F7" s="131"/>
      <c r="G7" s="74" t="s">
        <v>88</v>
      </c>
      <c r="H7" s="74" t="s">
        <v>80</v>
      </c>
      <c r="I7" s="74">
        <f>'MERCADO TUSD'!$U$4</f>
        <v>78662</v>
      </c>
      <c r="J7" s="15"/>
      <c r="L7" s="53">
        <f>('TUSD BE'!$L$7+'TUSD BF'!$L$7+'TUSD CVA'!$L$7)*1</f>
        <v>0</v>
      </c>
      <c r="M7" s="53">
        <f>('TUSD BE'!$M$7+'TUSD BF'!$M$7+'TUSD CVA'!$M$7)*1</f>
        <v>0</v>
      </c>
      <c r="N7" s="53">
        <f ca="1">('TUSD BE'!$N$7+'TUSD BF'!$N$7+'TUSD CVA'!$N$7)*1</f>
        <v>0</v>
      </c>
      <c r="O7" s="53">
        <f>('TUSD BE'!$O$7+'TUSD BF'!$O$7+'TUSD CVA'!$O$7)*1</f>
        <v>0</v>
      </c>
      <c r="P7" s="53">
        <f>('TUSD BE'!$P$7+'TUSD BF'!$P$7+'TUSD CVA'!$P$7)*1</f>
        <v>0</v>
      </c>
      <c r="Q7" s="53">
        <f>('TUSD BE'!$Q$7+'TUSD BF'!$Q$7+'TUSD CVA'!$Q$7)*1</f>
        <v>0</v>
      </c>
      <c r="R7" s="53">
        <f>('TUSD BE'!$R$7+'TUSD BF'!$R$7+'TUSD CVA'!$R$7)*1</f>
        <v>0</v>
      </c>
      <c r="S7" s="53">
        <f>('TUSD BE'!$S$7+'TUSD BF'!$S$7+'TUSD CVA'!$S$7)*1</f>
        <v>0</v>
      </c>
      <c r="T7" s="53">
        <f>('TUSD BE'!$U$7+'TUSD BF'!$U$7+'TUSD CVA'!$U$7)*1</f>
        <v>5.7741763623791202</v>
      </c>
      <c r="U7" s="53">
        <f>('TUSD BE'!$V$7+'TUSD BF'!$V$7+'TUSD CVA'!$V$7)*1</f>
        <v>1.8107177697709642</v>
      </c>
      <c r="V7" s="53">
        <f>('TUSD BE'!$W$7+'TUSD BF'!$W$7+'TUSD CVA'!$W$7)*1</f>
        <v>2.8931001702610137</v>
      </c>
      <c r="W7" s="53">
        <f>('TUSD BE'!$X$7+'TUSD BF'!$X$7+'TUSD CVA'!$X$7)*1</f>
        <v>0</v>
      </c>
      <c r="X7" s="53">
        <f>('TUSD BE'!$Y$7+'TUSD BF'!$Y$7+'TUSD CVA'!$Y$7)*1</f>
        <v>0</v>
      </c>
      <c r="Y7" s="53">
        <f>('TUSD BE'!$Z$7+'TUSD BF'!$Z$7+'TUSD CVA'!$Z$7)*1</f>
        <v>0</v>
      </c>
      <c r="Z7" s="53">
        <f>('TUSD BE'!$AA$7+'TUSD BF'!$AA$7+'TUSD CVA'!$AA$7)*1</f>
        <v>0</v>
      </c>
      <c r="AA7" s="53">
        <f>('TUSD BE'!$AC$7+'TUSD BF'!$AC$7+'TUSD CVA'!$AC$7)*1</f>
        <v>8.1641343092211915</v>
      </c>
      <c r="AB7" s="53">
        <f ca="1">('TUSD BE'!$AE$7+'TUSD BF'!$AE$7+'TUSD CVA'!$AE$7)*1</f>
        <v>-3.4491706909117097</v>
      </c>
      <c r="AC7" s="53">
        <f ca="1">('TUSD BE'!$AF$7+'TUSD BF'!$AF$7+'TUSD CVA'!$AF$7)*1</f>
        <v>0</v>
      </c>
      <c r="AD7" s="53">
        <f>('TUSD BE'!$AH$7+'TUSD BF'!$AH$7+'TUSD CVA'!$AH$7)*1</f>
        <v>0</v>
      </c>
      <c r="AE7" s="53">
        <f>('TUSD BE'!$AI$7+'TUSD BF'!$AI$7+'TUSD CVA'!$AI$7)*1</f>
        <v>0</v>
      </c>
      <c r="AF7" s="53">
        <f ca="1">('TUSD BE'!$AJ$7+'TUSD BF'!$AJ$7+'TUSD CVA'!$AJ$7)*1</f>
        <v>0</v>
      </c>
      <c r="AG7" s="53">
        <f ca="1">('TUSD BE'!$AK$7+'TUSD BF'!$AK$7+'TUSD CVA'!$AK$7)*1</f>
        <v>0</v>
      </c>
      <c r="AI7" s="53">
        <v>0</v>
      </c>
      <c r="AJ7" s="53">
        <v>0</v>
      </c>
      <c r="AK7" s="53">
        <v>0</v>
      </c>
      <c r="AL7" s="53">
        <v>0</v>
      </c>
      <c r="AM7" s="53">
        <v>0</v>
      </c>
      <c r="AN7" s="53">
        <v>0</v>
      </c>
      <c r="AO7" s="53">
        <v>0</v>
      </c>
      <c r="AP7" s="53">
        <v>0</v>
      </c>
      <c r="AQ7" s="53">
        <v>3.6373559573544401</v>
      </c>
      <c r="AR7" s="53">
        <v>1.65346507873898</v>
      </c>
      <c r="AS7" s="53">
        <v>1.6253147400080501</v>
      </c>
      <c r="AT7" s="53">
        <v>0</v>
      </c>
      <c r="AU7" s="53">
        <v>0</v>
      </c>
      <c r="AV7" s="53">
        <v>0</v>
      </c>
      <c r="AW7" s="53">
        <v>0</v>
      </c>
      <c r="AX7" s="53">
        <v>12.328251799513801</v>
      </c>
      <c r="AY7" s="53">
        <v>0</v>
      </c>
      <c r="AZ7" s="53">
        <v>0</v>
      </c>
      <c r="BA7" s="53">
        <v>0</v>
      </c>
      <c r="BB7" s="53">
        <v>0</v>
      </c>
      <c r="BC7" s="53">
        <v>0</v>
      </c>
      <c r="BD7" s="53">
        <v>0</v>
      </c>
    </row>
    <row r="8" spans="1:56" ht="11.25" customHeight="1" x14ac:dyDescent="0.25">
      <c r="A8" s="131"/>
      <c r="B8" s="131"/>
      <c r="C8" s="131"/>
      <c r="D8" s="131"/>
      <c r="E8" s="131"/>
      <c r="F8" s="131"/>
      <c r="G8" s="74" t="s">
        <v>86</v>
      </c>
      <c r="H8" s="74" t="s">
        <v>82</v>
      </c>
      <c r="I8" s="74">
        <f>'MERCADO TUSD'!$U$5</f>
        <v>35898.876000000004</v>
      </c>
      <c r="J8" s="15"/>
      <c r="L8" s="53">
        <f>('TUSD BE'!$L$8+'TUSD BF'!$L$8+'TUSD CVA'!$L$8)*1</f>
        <v>5.1910751170024909</v>
      </c>
      <c r="M8" s="53">
        <f>('TUSD BE'!$M$8+'TUSD BF'!$M$8+'TUSD CVA'!$M$8)*1</f>
        <v>0.42096037281946325</v>
      </c>
      <c r="N8" s="53">
        <f ca="1">('TUSD BE'!$N$8+'TUSD BF'!$N$8+'TUSD CVA'!$N$8)*1</f>
        <v>0.22016585969519756</v>
      </c>
      <c r="O8" s="53">
        <f>('TUSD BE'!$O$8+'TUSD BF'!$O$8+'TUSD CVA'!$O$8)*1</f>
        <v>0</v>
      </c>
      <c r="P8" s="53">
        <f>('TUSD BE'!$P$8+'TUSD BF'!$P$8+'TUSD CVA'!$P$8)*1</f>
        <v>0</v>
      </c>
      <c r="Q8" s="53">
        <f>('TUSD BE'!$Q$8+'TUSD BF'!$Q$8+'TUSD CVA'!$Q$8)*1</f>
        <v>87.775508395830229</v>
      </c>
      <c r="R8" s="53">
        <f>('TUSD BE'!$R$8+'TUSD BF'!$R$8+'TUSD CVA'!$R$8)*1</f>
        <v>15.761315353222423</v>
      </c>
      <c r="S8" s="53">
        <f>('TUSD BE'!$S$8+'TUSD BF'!$S$8+'TUSD CVA'!$S$8)*1</f>
        <v>0</v>
      </c>
      <c r="T8" s="53">
        <f>('TUSD BE'!$U$8+'TUSD BF'!$U$8+'TUSD CVA'!$U$8)*1</f>
        <v>0</v>
      </c>
      <c r="U8" s="53">
        <f>('TUSD BE'!$V$8+'TUSD BF'!$V$8+'TUSD CVA'!$V$8)*1</f>
        <v>0</v>
      </c>
      <c r="V8" s="53">
        <f>('TUSD BE'!$W$8+'TUSD BF'!$W$8+'TUSD CVA'!$W$8)*1</f>
        <v>0</v>
      </c>
      <c r="W8" s="53">
        <f>('TUSD BE'!$X$8+'TUSD BF'!$X$8+'TUSD CVA'!$X$8)*1</f>
        <v>0</v>
      </c>
      <c r="X8" s="53">
        <f>('TUSD BE'!$Y$8+'TUSD BF'!$Y$8+'TUSD CVA'!$Y$8)*1</f>
        <v>0</v>
      </c>
      <c r="Y8" s="53">
        <f>('TUSD BE'!$Z$8+'TUSD BF'!$Z$8+'TUSD CVA'!$Z$8)*1</f>
        <v>0</v>
      </c>
      <c r="Z8" s="53">
        <f>('TUSD BE'!$AA$8+'TUSD BF'!$AA$8+'TUSD CVA'!$AA$8)*1</f>
        <v>0</v>
      </c>
      <c r="AA8" s="53">
        <f>('TUSD BE'!$AC$8+'TUSD BF'!$AC$8+'TUSD CVA'!$AC$8)*1</f>
        <v>0</v>
      </c>
      <c r="AB8" s="53">
        <f ca="1">('TUSD BE'!$AE$8+'TUSD BF'!$AE$8+'TUSD CVA'!$AE$8)*1</f>
        <v>-19.247550180527909</v>
      </c>
      <c r="AC8" s="53">
        <f ca="1">('TUSD BE'!$AF$8+'TUSD BF'!$AF$8+'TUSD CVA'!$AF$8)*1</f>
        <v>0</v>
      </c>
      <c r="AD8" s="53">
        <f>('TUSD BE'!$AH$8+'TUSD BF'!$AH$8+'TUSD CVA'!$AH$8)*1</f>
        <v>7.6847171601105231</v>
      </c>
      <c r="AE8" s="53">
        <f>('TUSD BE'!$AI$8+'TUSD BF'!$AI$8+'TUSD CVA'!$AI$8)*1</f>
        <v>0.26355670292158867</v>
      </c>
      <c r="AF8" s="53">
        <f ca="1">('TUSD BE'!$AJ$8+'TUSD BF'!$AJ$8+'TUSD CVA'!$AJ$8)*1</f>
        <v>1.9342348061519887</v>
      </c>
      <c r="AG8" s="53">
        <f ca="1">('TUSD BE'!$AK$8+'TUSD BF'!$AK$8+'TUSD CVA'!$AK$8)*1</f>
        <v>0.23357335281205044</v>
      </c>
      <c r="AI8" s="53">
        <v>5.5554670927752099</v>
      </c>
      <c r="AJ8" s="53">
        <v>0.55418136204722401</v>
      </c>
      <c r="AK8" s="53">
        <v>0.33168970133699699</v>
      </c>
      <c r="AL8" s="53">
        <v>0</v>
      </c>
      <c r="AM8" s="53">
        <v>0</v>
      </c>
      <c r="AN8" s="53">
        <v>51.765107182523899</v>
      </c>
      <c r="AO8" s="53">
        <v>9.6151749499763994</v>
      </c>
      <c r="AP8" s="53">
        <v>0</v>
      </c>
      <c r="AQ8" s="53">
        <v>0</v>
      </c>
      <c r="AR8" s="53">
        <v>0</v>
      </c>
      <c r="AS8" s="53">
        <v>0</v>
      </c>
      <c r="AT8" s="53">
        <v>0</v>
      </c>
      <c r="AU8" s="53">
        <v>0</v>
      </c>
      <c r="AV8" s="53">
        <v>0</v>
      </c>
      <c r="AW8" s="53">
        <v>0</v>
      </c>
      <c r="AX8" s="53">
        <v>0</v>
      </c>
      <c r="AY8" s="53">
        <v>0</v>
      </c>
      <c r="AZ8" s="53">
        <v>0</v>
      </c>
      <c r="BA8" s="53">
        <v>8.4965245518472194</v>
      </c>
      <c r="BB8" s="53">
        <v>0.244622218755287</v>
      </c>
      <c r="BC8" s="53">
        <v>1.85305806291138</v>
      </c>
      <c r="BD8" s="53">
        <v>0.25958485859951203</v>
      </c>
    </row>
    <row r="9" spans="1:56" ht="11.25" customHeight="1" x14ac:dyDescent="0.25">
      <c r="A9" s="131"/>
      <c r="B9" s="131"/>
      <c r="C9" s="131"/>
      <c r="D9" s="131"/>
      <c r="E9" s="73" t="s">
        <v>89</v>
      </c>
      <c r="F9" s="73" t="s">
        <v>25</v>
      </c>
      <c r="G9" s="74" t="s">
        <v>86</v>
      </c>
      <c r="H9" s="74" t="s">
        <v>82</v>
      </c>
      <c r="I9" s="74">
        <f>'MERCADO TUSD'!$U$6</f>
        <v>0</v>
      </c>
      <c r="J9" s="15"/>
      <c r="L9" s="53">
        <f>('TUSD BE'!$L$9+'TUSD BF'!$L$9+'TUSD CVA'!$L$9)*1</f>
        <v>0</v>
      </c>
      <c r="M9" s="53">
        <f>('TUSD BE'!$M$9+'TUSD BF'!$M$9+'TUSD CVA'!$M$9)*1</f>
        <v>0.42096037281946325</v>
      </c>
      <c r="N9" s="53">
        <f ca="1">('TUSD BE'!$N$9+'TUSD BF'!$N$9+'TUSD CVA'!$N$9)*1</f>
        <v>0.21114757247259522</v>
      </c>
      <c r="O9" s="53">
        <f>('TUSD BE'!$O$9+'TUSD BF'!$O$9+'TUSD CVA'!$O$9)*1</f>
        <v>0</v>
      </c>
      <c r="P9" s="53">
        <f>('TUSD BE'!$P$9+'TUSD BF'!$P$9+'TUSD CVA'!$P$9)*1</f>
        <v>0</v>
      </c>
      <c r="Q9" s="53">
        <f>('TUSD BE'!$Q$9+'TUSD BF'!$Q$9+'TUSD CVA'!$Q$9)*1</f>
        <v>0</v>
      </c>
      <c r="R9" s="53">
        <f>('TUSD BE'!$R$9+'TUSD BF'!$R$9+'TUSD CVA'!$R$9)*1</f>
        <v>0</v>
      </c>
      <c r="S9" s="53">
        <f>('TUSD BE'!$S$9+'TUSD BF'!$S$9+'TUSD CVA'!$S$9)*1</f>
        <v>0</v>
      </c>
      <c r="T9" s="53">
        <f>('TUSD BE'!$U$9+'TUSD BF'!$U$9+'TUSD CVA'!$U$9)*1</f>
        <v>0</v>
      </c>
      <c r="U9" s="53">
        <f>('TUSD BE'!$V$9+'TUSD BF'!$V$9+'TUSD CVA'!$V$9)*1</f>
        <v>0</v>
      </c>
      <c r="V9" s="53">
        <f>('TUSD BE'!$W$9+'TUSD BF'!$W$9+'TUSD CVA'!$W$9)*1</f>
        <v>0</v>
      </c>
      <c r="W9" s="53">
        <f>('TUSD BE'!$X$9+'TUSD BF'!$X$9+'TUSD CVA'!$X$9)*1</f>
        <v>0</v>
      </c>
      <c r="X9" s="53">
        <f>('TUSD BE'!$Y$9+'TUSD BF'!$Y$9+'TUSD CVA'!$Y$9)*1</f>
        <v>0</v>
      </c>
      <c r="Y9" s="53">
        <f>('TUSD BE'!$Z$9+'TUSD BF'!$Z$9+'TUSD CVA'!$Z$9)*1</f>
        <v>0</v>
      </c>
      <c r="Z9" s="53">
        <f>('TUSD BE'!$AA$9+'TUSD BF'!$AA$9+'TUSD CVA'!$AA$9)*1</f>
        <v>0</v>
      </c>
      <c r="AA9" s="53">
        <f>('TUSD BE'!$AC$9+'TUSD BF'!$AC$9+'TUSD CVA'!$AC$9)*1</f>
        <v>0</v>
      </c>
      <c r="AB9" s="53">
        <f ca="1">('TUSD BE'!$AE$9+'TUSD BF'!$AE$9+'TUSD CVA'!$AE$9)*1</f>
        <v>-1.8603709162607489</v>
      </c>
      <c r="AC9" s="53">
        <f ca="1">('TUSD BE'!$AF$9+'TUSD BF'!$AF$9+'TUSD CVA'!$AF$9)*1</f>
        <v>0</v>
      </c>
      <c r="AD9" s="53">
        <f>('TUSD BE'!$AH$9+'TUSD BF'!$AH$9+'TUSD CVA'!$AH$9)*1</f>
        <v>7.6847171601105231</v>
      </c>
      <c r="AE9" s="53">
        <f>('TUSD BE'!$AI$9+'TUSD BF'!$AI$9+'TUSD CVA'!$AI$9)*1</f>
        <v>0.26355670292158867</v>
      </c>
      <c r="AF9" s="53">
        <f ca="1">('TUSD BE'!$AJ$9+'TUSD BF'!$AJ$9+'TUSD CVA'!$AJ$9)*1</f>
        <v>1.9342348061519887</v>
      </c>
      <c r="AG9" s="53">
        <f ca="1">('TUSD BE'!$AK$9+'TUSD BF'!$AK$9+'TUSD CVA'!$AK$9)*1</f>
        <v>0.23357335281205044</v>
      </c>
      <c r="AI9" s="53">
        <v>0</v>
      </c>
      <c r="AJ9" s="53">
        <v>0.55418136204722401</v>
      </c>
      <c r="AK9" s="53">
        <v>0.31784972276162998</v>
      </c>
      <c r="AL9" s="53">
        <v>0</v>
      </c>
      <c r="AM9" s="53">
        <v>0</v>
      </c>
      <c r="AN9" s="53">
        <v>0</v>
      </c>
      <c r="AO9" s="53">
        <v>0</v>
      </c>
      <c r="AP9" s="53">
        <v>0</v>
      </c>
      <c r="AQ9" s="53">
        <v>0</v>
      </c>
      <c r="AR9" s="53">
        <v>0</v>
      </c>
      <c r="AS9" s="53">
        <v>0</v>
      </c>
      <c r="AT9" s="53">
        <v>0</v>
      </c>
      <c r="AU9" s="53">
        <v>0</v>
      </c>
      <c r="AV9" s="53">
        <v>0</v>
      </c>
      <c r="AW9" s="53">
        <v>0</v>
      </c>
      <c r="AX9" s="53">
        <v>0</v>
      </c>
      <c r="AY9" s="53">
        <v>0</v>
      </c>
      <c r="AZ9" s="53">
        <v>0</v>
      </c>
      <c r="BA9" s="53">
        <v>8.4965245518472194</v>
      </c>
      <c r="BB9" s="53">
        <v>0.244622218755287</v>
      </c>
      <c r="BC9" s="53">
        <v>1.85305806291138</v>
      </c>
      <c r="BD9" s="53">
        <v>0.25958485859951203</v>
      </c>
    </row>
    <row r="10" spans="1:56" ht="11.25" customHeight="1" x14ac:dyDescent="0.25">
      <c r="A10" s="131"/>
      <c r="B10" s="73" t="s">
        <v>59</v>
      </c>
      <c r="C10" s="73" t="s">
        <v>25</v>
      </c>
      <c r="D10" s="73" t="s">
        <v>25</v>
      </c>
      <c r="E10" s="73" t="s">
        <v>25</v>
      </c>
      <c r="F10" s="73" t="s">
        <v>25</v>
      </c>
      <c r="G10" s="74" t="s">
        <v>9</v>
      </c>
      <c r="H10" s="74" t="s">
        <v>80</v>
      </c>
      <c r="I10" s="74">
        <f>'MERCADO TUSD'!$U$7</f>
        <v>15360</v>
      </c>
      <c r="J10" s="15"/>
      <c r="L10" s="53">
        <f>('TUSD BE'!$L$10+'TUSD BF'!$L$10+'TUSD CVA'!$L$10)*1</f>
        <v>0</v>
      </c>
      <c r="M10" s="53">
        <f>('TUSD BE'!$M$10+'TUSD BF'!$M$10+'TUSD CVA'!$M$10)*1</f>
        <v>2.0002308060088833E-2</v>
      </c>
      <c r="N10" s="53">
        <f ca="1">('TUSD BE'!$N$10+'TUSD BF'!$N$10+'TUSD CVA'!$N$10)*1</f>
        <v>4.8518385257600889E-2</v>
      </c>
      <c r="O10" s="53">
        <f>('TUSD BE'!$O$10+'TUSD BF'!$O$10+'TUSD CVA'!$O$10)*1</f>
        <v>0</v>
      </c>
      <c r="P10" s="53">
        <f>('TUSD BE'!$P$10+'TUSD BF'!$P$10+'TUSD CVA'!$P$10)*1</f>
        <v>0</v>
      </c>
      <c r="Q10" s="53">
        <f>('TUSD BE'!$Q$10+'TUSD BF'!$Q$10+'TUSD CVA'!$Q$10)*1</f>
        <v>0</v>
      </c>
      <c r="R10" s="53">
        <f>('TUSD BE'!$R$10+'TUSD BF'!$R$10+'TUSD CVA'!$R$10)*1</f>
        <v>0</v>
      </c>
      <c r="S10" s="53">
        <f>('TUSD BE'!$S$10+'TUSD BF'!$S$10+'TUSD CVA'!$S$10)*1</f>
        <v>0</v>
      </c>
      <c r="T10" s="53">
        <f>('TUSD BE'!$U$10+'TUSD BF'!$U$10+'TUSD CVA'!$U$10)*1</f>
        <v>0</v>
      </c>
      <c r="U10" s="53">
        <f>('TUSD BE'!$V$10+'TUSD BF'!$V$10+'TUSD CVA'!$V$10)*1</f>
        <v>0</v>
      </c>
      <c r="V10" s="53">
        <f>('TUSD BE'!$W$10+'TUSD BF'!$W$10+'TUSD CVA'!$W$10)*1</f>
        <v>0</v>
      </c>
      <c r="W10" s="53">
        <f>('TUSD BE'!$X$10+'TUSD BF'!$X$10+'TUSD CVA'!$X$10)*1</f>
        <v>0</v>
      </c>
      <c r="X10" s="53">
        <f>('TUSD BE'!$Y$10+'TUSD BF'!$Y$10+'TUSD CVA'!$Y$10)*1</f>
        <v>0</v>
      </c>
      <c r="Y10" s="53">
        <f>('TUSD BE'!$Z$10+'TUSD BF'!$Z$10+'TUSD CVA'!$Z$10)*1</f>
        <v>0</v>
      </c>
      <c r="Z10" s="53">
        <f>('TUSD BE'!$AA$10+'TUSD BF'!$AA$10+'TUSD CVA'!$AA$10)*1</f>
        <v>0</v>
      </c>
      <c r="AA10" s="53">
        <f>('TUSD BE'!$AC$10+'TUSD BF'!$AC$10+'TUSD CVA'!$AC$10)*1</f>
        <v>6.6461705162024476</v>
      </c>
      <c r="AB10" s="53">
        <f ca="1">('TUSD BE'!$AE$10+'TUSD BF'!$AE$10+'TUSD CVA'!$AE$10)*1</f>
        <v>-1.2644436324262018</v>
      </c>
      <c r="AC10" s="53">
        <f ca="1">('TUSD BE'!$AF$10+'TUSD BF'!$AF$10+'TUSD CVA'!$AF$10)*1</f>
        <v>0</v>
      </c>
      <c r="AD10" s="53">
        <f>('TUSD BE'!$AH$10+'TUSD BF'!$AH$10+'TUSD CVA'!$AH$10)*1</f>
        <v>6.6616536940472212E-4</v>
      </c>
      <c r="AE10" s="53">
        <f>('TUSD BE'!$AI$10+'TUSD BF'!$AI$10+'TUSD CVA'!$AI$10)*1</f>
        <v>0</v>
      </c>
      <c r="AF10" s="53">
        <f ca="1">('TUSD BE'!$AJ$10+'TUSD BF'!$AJ$10+'TUSD CVA'!$AJ$10)*1</f>
        <v>0</v>
      </c>
      <c r="AG10" s="53">
        <f ca="1">('TUSD BE'!$AK$10+'TUSD BF'!$AK$10+'TUSD CVA'!$AK$10)*1</f>
        <v>0</v>
      </c>
      <c r="AI10" s="53">
        <v>0</v>
      </c>
      <c r="AJ10" s="53">
        <v>2.7993605964202899E-2</v>
      </c>
      <c r="AK10" s="53">
        <v>0.101447042957442</v>
      </c>
      <c r="AL10" s="53">
        <v>0</v>
      </c>
      <c r="AM10" s="53">
        <v>0</v>
      </c>
      <c r="AN10" s="53">
        <v>0</v>
      </c>
      <c r="AO10" s="53">
        <v>0</v>
      </c>
      <c r="AP10" s="53">
        <v>0</v>
      </c>
      <c r="AQ10" s="53">
        <v>0</v>
      </c>
      <c r="AR10" s="53">
        <v>0</v>
      </c>
      <c r="AS10" s="53">
        <v>0</v>
      </c>
      <c r="AT10" s="53">
        <v>0</v>
      </c>
      <c r="AU10" s="53">
        <v>0</v>
      </c>
      <c r="AV10" s="53">
        <v>0</v>
      </c>
      <c r="AW10" s="53">
        <v>0</v>
      </c>
      <c r="AX10" s="53">
        <v>8.0100447570604896</v>
      </c>
      <c r="AY10" s="53">
        <v>0</v>
      </c>
      <c r="AZ10" s="53">
        <v>0</v>
      </c>
      <c r="BA10" s="53">
        <v>0</v>
      </c>
      <c r="BB10" s="53">
        <v>0</v>
      </c>
      <c r="BC10" s="53">
        <v>0</v>
      </c>
      <c r="BD10" s="53">
        <v>0</v>
      </c>
    </row>
    <row r="11" spans="1:56" ht="11.25" customHeight="1" x14ac:dyDescent="0.25">
      <c r="A11" s="131"/>
      <c r="B11" s="131" t="s">
        <v>40</v>
      </c>
      <c r="C11" s="131" t="s">
        <v>25</v>
      </c>
      <c r="D11" s="131" t="s">
        <v>25</v>
      </c>
      <c r="E11" s="131" t="s">
        <v>25</v>
      </c>
      <c r="F11" s="131" t="s">
        <v>25</v>
      </c>
      <c r="G11" s="74" t="s">
        <v>9</v>
      </c>
      <c r="H11" s="74" t="s">
        <v>80</v>
      </c>
      <c r="I11" s="74">
        <f>'MERCADO TUSD'!$U$8</f>
        <v>288308</v>
      </c>
      <c r="J11" s="15"/>
      <c r="L11" s="53">
        <f>('TUSD BE'!$L$11+'TUSD BF'!$L$11+'TUSD CVA'!$L$11)*1</f>
        <v>0</v>
      </c>
      <c r="M11" s="53">
        <f>('TUSD BE'!$M$11+'TUSD BF'!$M$11+'TUSD CVA'!$M$11)*1</f>
        <v>0</v>
      </c>
      <c r="N11" s="53">
        <f ca="1">('TUSD BE'!$N$11+'TUSD BF'!$N$11+'TUSD CVA'!$N$11)*1</f>
        <v>0</v>
      </c>
      <c r="O11" s="53">
        <f>('TUSD BE'!$O$11+'TUSD BF'!$O$11+'TUSD CVA'!$O$11)*1</f>
        <v>0</v>
      </c>
      <c r="P11" s="53">
        <f>('TUSD BE'!$P$11+'TUSD BF'!$P$11+'TUSD CVA'!$P$11)*1</f>
        <v>0</v>
      </c>
      <c r="Q11" s="53">
        <f>('TUSD BE'!$Q$11+'TUSD BF'!$Q$11+'TUSD CVA'!$Q$11)*1</f>
        <v>0</v>
      </c>
      <c r="R11" s="53">
        <f>('TUSD BE'!$R$11+'TUSD BF'!$R$11+'TUSD CVA'!$R$11)*1</f>
        <v>0</v>
      </c>
      <c r="S11" s="53">
        <f>('TUSD BE'!$S$11+'TUSD BF'!$S$11+'TUSD CVA'!$S$11)*1</f>
        <v>0</v>
      </c>
      <c r="T11" s="53">
        <f>('TUSD BE'!$U$11+'TUSD BF'!$U$11+'TUSD CVA'!$U$11)*1</f>
        <v>5.7741763623791202</v>
      </c>
      <c r="U11" s="53">
        <f>('TUSD BE'!$V$11+'TUSD BF'!$V$11+'TUSD CVA'!$V$11)*1</f>
        <v>1.8107177697709642</v>
      </c>
      <c r="V11" s="53">
        <f>('TUSD BE'!$W$11+'TUSD BF'!$W$11+'TUSD CVA'!$W$11)*1</f>
        <v>2.8931001702610137</v>
      </c>
      <c r="W11" s="53">
        <f>('TUSD BE'!$X$11+'TUSD BF'!$X$11+'TUSD CVA'!$X$11)*1</f>
        <v>0</v>
      </c>
      <c r="X11" s="53">
        <f>('TUSD BE'!$Y$11+'TUSD BF'!$Y$11+'TUSD CVA'!$Y$11)*1</f>
        <v>0</v>
      </c>
      <c r="Y11" s="53">
        <f>('TUSD BE'!$Z$11+'TUSD BF'!$Z$11+'TUSD CVA'!$Z$11)*1</f>
        <v>0</v>
      </c>
      <c r="Z11" s="53">
        <f>('TUSD BE'!$AA$11+'TUSD BF'!$AA$11+'TUSD CVA'!$AA$11)*1</f>
        <v>0</v>
      </c>
      <c r="AA11" s="53">
        <f>('TUSD BE'!$AC$11+'TUSD BF'!$AC$11+'TUSD CVA'!$AC$11)*1</f>
        <v>8.1641343092211915</v>
      </c>
      <c r="AB11" s="53">
        <f ca="1">('TUSD BE'!$AE$11+'TUSD BF'!$AE$11+'TUSD CVA'!$AE$11)*1</f>
        <v>-3.4491706909117097</v>
      </c>
      <c r="AC11" s="53">
        <f ca="1">('TUSD BE'!$AF$11+'TUSD BF'!$AF$11+'TUSD CVA'!$AF$11)*1</f>
        <v>0</v>
      </c>
      <c r="AD11" s="53">
        <f>('TUSD BE'!$AH$11+'TUSD BF'!$AH$11+'TUSD CVA'!$AH$11)*1</f>
        <v>0</v>
      </c>
      <c r="AE11" s="53">
        <f>('TUSD BE'!$AI$11+'TUSD BF'!$AI$11+'TUSD CVA'!$AI$11)*1</f>
        <v>0</v>
      </c>
      <c r="AF11" s="53">
        <f ca="1">('TUSD BE'!$AJ$11+'TUSD BF'!$AJ$11+'TUSD CVA'!$AJ$11)*1</f>
        <v>0</v>
      </c>
      <c r="AG11" s="53">
        <f ca="1">('TUSD BE'!$AK$11+'TUSD BF'!$AK$11+'TUSD CVA'!$AK$11)*1</f>
        <v>0</v>
      </c>
      <c r="AI11" s="53">
        <v>0</v>
      </c>
      <c r="AJ11" s="53">
        <v>0</v>
      </c>
      <c r="AK11" s="53">
        <v>0</v>
      </c>
      <c r="AL11" s="53">
        <v>0</v>
      </c>
      <c r="AM11" s="53">
        <v>0</v>
      </c>
      <c r="AN11" s="53">
        <v>0</v>
      </c>
      <c r="AO11" s="53">
        <v>0</v>
      </c>
      <c r="AP11" s="53">
        <v>0</v>
      </c>
      <c r="AQ11" s="53">
        <v>3.6373559573544401</v>
      </c>
      <c r="AR11" s="53">
        <v>1.65346507873898</v>
      </c>
      <c r="AS11" s="53">
        <v>1.6253147400080501</v>
      </c>
      <c r="AT11" s="53">
        <v>0</v>
      </c>
      <c r="AU11" s="53">
        <v>0</v>
      </c>
      <c r="AV11" s="53">
        <v>0</v>
      </c>
      <c r="AW11" s="53">
        <v>0</v>
      </c>
      <c r="AX11" s="53">
        <v>12.328251799513801</v>
      </c>
      <c r="AY11" s="53">
        <v>0</v>
      </c>
      <c r="AZ11" s="53">
        <v>0</v>
      </c>
      <c r="BA11" s="53">
        <v>0</v>
      </c>
      <c r="BB11" s="53">
        <v>0</v>
      </c>
      <c r="BC11" s="53">
        <v>0</v>
      </c>
      <c r="BD11" s="53">
        <v>0</v>
      </c>
    </row>
    <row r="12" spans="1:56" ht="11.25" customHeight="1" x14ac:dyDescent="0.25">
      <c r="A12" s="131"/>
      <c r="B12" s="131"/>
      <c r="C12" s="131"/>
      <c r="D12" s="131"/>
      <c r="E12" s="131"/>
      <c r="F12" s="131"/>
      <c r="G12" s="74" t="s">
        <v>83</v>
      </c>
      <c r="H12" s="74" t="s">
        <v>82</v>
      </c>
      <c r="I12" s="74">
        <f>'MERCADO TUSD'!$U$9</f>
        <v>4081.9879999999994</v>
      </c>
      <c r="J12" s="15"/>
      <c r="L12" s="53">
        <f>('TUSD BE'!$L$12+'TUSD BF'!$L$12+'TUSD CVA'!$L$12)*1</f>
        <v>5.1910751170024909</v>
      </c>
      <c r="M12" s="53">
        <f>('TUSD BE'!$M$12+'TUSD BF'!$M$12+'TUSD CVA'!$M$12)*1</f>
        <v>0.42096037281946325</v>
      </c>
      <c r="N12" s="53">
        <f ca="1">('TUSD BE'!$N$12+'TUSD BF'!$N$12+'TUSD CVA'!$N$12)*1</f>
        <v>9.720195556469454</v>
      </c>
      <c r="O12" s="53">
        <f>('TUSD BE'!$O$12+'TUSD BF'!$O$12+'TUSD CVA'!$O$12)*1</f>
        <v>0</v>
      </c>
      <c r="P12" s="53">
        <f>('TUSD BE'!$P$12+'TUSD BF'!$P$12+'TUSD CVA'!$P$12)*1</f>
        <v>0</v>
      </c>
      <c r="Q12" s="53">
        <f>('TUSD BE'!$Q$12+'TUSD BF'!$Q$12+'TUSD CVA'!$Q$12)*1</f>
        <v>87.775508395830229</v>
      </c>
      <c r="R12" s="53">
        <f>('TUSD BE'!$R$12+'TUSD BF'!$R$12+'TUSD CVA'!$R$12)*1</f>
        <v>15.761315353222423</v>
      </c>
      <c r="S12" s="53">
        <f>('TUSD BE'!$S$12+'TUSD BF'!$S$12+'TUSD CVA'!$S$12)*1</f>
        <v>0</v>
      </c>
      <c r="T12" s="53">
        <f>('TUSD BE'!$U$12+'TUSD BF'!$U$12+'TUSD CVA'!$U$12)*1</f>
        <v>209.75423965048844</v>
      </c>
      <c r="U12" s="53">
        <f>('TUSD BE'!$V$12+'TUSD BF'!$V$12+'TUSD CVA'!$V$12)*1</f>
        <v>70.278361488954715</v>
      </c>
      <c r="V12" s="53">
        <f>('TUSD BE'!$W$12+'TUSD BF'!$W$12+'TUSD CVA'!$W$12)*1</f>
        <v>119.17302300141274</v>
      </c>
      <c r="W12" s="53">
        <f>('TUSD BE'!$X$12+'TUSD BF'!$X$12+'TUSD CVA'!$X$12)*1</f>
        <v>0</v>
      </c>
      <c r="X12" s="53">
        <f>('TUSD BE'!$Y$12+'TUSD BF'!$Y$12+'TUSD CVA'!$Y$12)*1</f>
        <v>0</v>
      </c>
      <c r="Y12" s="53">
        <f>('TUSD BE'!$Z$12+'TUSD BF'!$Z$12+'TUSD CVA'!$Z$12)*1</f>
        <v>0</v>
      </c>
      <c r="Z12" s="53">
        <f>('TUSD BE'!$AA$12+'TUSD BF'!$AA$12+'TUSD CVA'!$AA$12)*1</f>
        <v>0</v>
      </c>
      <c r="AA12" s="53">
        <f>('TUSD BE'!$AC$12+'TUSD BF'!$AC$12+'TUSD CVA'!$AC$12)*1</f>
        <v>788.59130605325265</v>
      </c>
      <c r="AB12" s="53">
        <f ca="1">('TUSD BE'!$AE$12+'TUSD BF'!$AE$12+'TUSD CVA'!$AE$12)*1</f>
        <v>-242.42078335121207</v>
      </c>
      <c r="AC12" s="53">
        <f ca="1">('TUSD BE'!$AF$12+'TUSD BF'!$AF$12+'TUSD CVA'!$AF$12)*1</f>
        <v>0</v>
      </c>
      <c r="AD12" s="53">
        <f>('TUSD BE'!$AH$12+'TUSD BF'!$AH$12+'TUSD CVA'!$AH$12)*1</f>
        <v>7.6847171601105231</v>
      </c>
      <c r="AE12" s="53">
        <f>('TUSD BE'!$AI$12+'TUSD BF'!$AI$12+'TUSD CVA'!$AI$12)*1</f>
        <v>0.26355670292158867</v>
      </c>
      <c r="AF12" s="53">
        <f ca="1">('TUSD BE'!$AJ$12+'TUSD BF'!$AJ$12+'TUSD CVA'!$AJ$12)*1</f>
        <v>1.9342348061519887</v>
      </c>
      <c r="AG12" s="53">
        <f ca="1">('TUSD BE'!$AK$12+'TUSD BF'!$AK$12+'TUSD CVA'!$AK$12)*1</f>
        <v>0.23357335281205044</v>
      </c>
      <c r="AI12" s="53">
        <v>5.5554670927752099</v>
      </c>
      <c r="AJ12" s="53">
        <v>0.55418136204722401</v>
      </c>
      <c r="AK12" s="53">
        <v>14.966287878613301</v>
      </c>
      <c r="AL12" s="53">
        <v>0</v>
      </c>
      <c r="AM12" s="53">
        <v>0</v>
      </c>
      <c r="AN12" s="53">
        <v>51.765107182523899</v>
      </c>
      <c r="AO12" s="53">
        <v>9.6151749499763994</v>
      </c>
      <c r="AP12" s="53">
        <v>0</v>
      </c>
      <c r="AQ12" s="53">
        <v>141.38991137888499</v>
      </c>
      <c r="AR12" s="53">
        <v>64.237792551835696</v>
      </c>
      <c r="AS12" s="53">
        <v>58.2274701804402</v>
      </c>
      <c r="AT12" s="53">
        <v>0</v>
      </c>
      <c r="AU12" s="53">
        <v>0</v>
      </c>
      <c r="AV12" s="53">
        <v>0</v>
      </c>
      <c r="AW12" s="53">
        <v>0</v>
      </c>
      <c r="AX12" s="53">
        <v>972.50657004947595</v>
      </c>
      <c r="AY12" s="53">
        <v>0</v>
      </c>
      <c r="AZ12" s="53">
        <v>0</v>
      </c>
      <c r="BA12" s="53">
        <v>8.4965245518472194</v>
      </c>
      <c r="BB12" s="53">
        <v>0.244622218755287</v>
      </c>
      <c r="BC12" s="53">
        <v>1.85305806291138</v>
      </c>
      <c r="BD12" s="53">
        <v>0.25958485859951203</v>
      </c>
    </row>
    <row r="13" spans="1:56" ht="11.25" customHeight="1" x14ac:dyDescent="0.25">
      <c r="A13" s="131"/>
      <c r="B13" s="131"/>
      <c r="C13" s="131"/>
      <c r="D13" s="131"/>
      <c r="E13" s="131"/>
      <c r="F13" s="131"/>
      <c r="G13" s="74" t="s">
        <v>84</v>
      </c>
      <c r="H13" s="74" t="s">
        <v>82</v>
      </c>
      <c r="I13" s="74">
        <f>'MERCADO TUSD'!$U$10</f>
        <v>46975.044999999991</v>
      </c>
      <c r="J13" s="15"/>
      <c r="L13" s="53">
        <f>('TUSD BE'!$L$13+'TUSD BF'!$L$13+'TUSD CVA'!$L$13)*1</f>
        <v>5.1910751170024909</v>
      </c>
      <c r="M13" s="53">
        <f>('TUSD BE'!$M$13+'TUSD BF'!$M$13+'TUSD CVA'!$M$13)*1</f>
        <v>0.42096037281946325</v>
      </c>
      <c r="N13" s="53">
        <f ca="1">('TUSD BE'!$N$13+'TUSD BF'!$N$13+'TUSD CVA'!$N$13)*1</f>
        <v>0.22016585969519756</v>
      </c>
      <c r="O13" s="53">
        <f>('TUSD BE'!$O$13+'TUSD BF'!$O$13+'TUSD CVA'!$O$13)*1</f>
        <v>0</v>
      </c>
      <c r="P13" s="53">
        <f>('TUSD BE'!$P$13+'TUSD BF'!$P$13+'TUSD CVA'!$P$13)*1</f>
        <v>0</v>
      </c>
      <c r="Q13" s="53">
        <f>('TUSD BE'!$Q$13+'TUSD BF'!$Q$13+'TUSD CVA'!$Q$13)*1</f>
        <v>87.775508395830229</v>
      </c>
      <c r="R13" s="53">
        <f>('TUSD BE'!$R$13+'TUSD BF'!$R$13+'TUSD CVA'!$R$13)*1</f>
        <v>15.761315353222423</v>
      </c>
      <c r="S13" s="53">
        <f>('TUSD BE'!$S$13+'TUSD BF'!$S$13+'TUSD CVA'!$S$13)*1</f>
        <v>0</v>
      </c>
      <c r="T13" s="53">
        <f>('TUSD BE'!$U$13+'TUSD BF'!$U$13+'TUSD CVA'!$U$13)*1</f>
        <v>0</v>
      </c>
      <c r="U13" s="53">
        <f>('TUSD BE'!$V$13+'TUSD BF'!$V$13+'TUSD CVA'!$V$13)*1</f>
        <v>0</v>
      </c>
      <c r="V13" s="53">
        <f>('TUSD BE'!$W$13+'TUSD BF'!$W$13+'TUSD CVA'!$W$13)*1</f>
        <v>0</v>
      </c>
      <c r="W13" s="53">
        <f>('TUSD BE'!$X$13+'TUSD BF'!$X$13+'TUSD CVA'!$X$13)*1</f>
        <v>0</v>
      </c>
      <c r="X13" s="53">
        <f>('TUSD BE'!$Y$13+'TUSD BF'!$Y$13+'TUSD CVA'!$Y$13)*1</f>
        <v>0</v>
      </c>
      <c r="Y13" s="53">
        <f>('TUSD BE'!$Z$13+'TUSD BF'!$Z$13+'TUSD CVA'!$Z$13)*1</f>
        <v>0</v>
      </c>
      <c r="Z13" s="53">
        <f>('TUSD BE'!$AA$13+'TUSD BF'!$AA$13+'TUSD CVA'!$AA$13)*1</f>
        <v>0</v>
      </c>
      <c r="AA13" s="53">
        <f>('TUSD BE'!$AC$13+'TUSD BF'!$AC$13+'TUSD CVA'!$AC$13)*1</f>
        <v>0</v>
      </c>
      <c r="AB13" s="53">
        <f ca="1">('TUSD BE'!$AE$13+'TUSD BF'!$AE$13+'TUSD CVA'!$AE$13)*1</f>
        <v>-19.247550180527909</v>
      </c>
      <c r="AC13" s="53">
        <f ca="1">('TUSD BE'!$AF$13+'TUSD BF'!$AF$13+'TUSD CVA'!$AF$13)*1</f>
        <v>0</v>
      </c>
      <c r="AD13" s="53">
        <f>('TUSD BE'!$AH$13+'TUSD BF'!$AH$13+'TUSD CVA'!$AH$13)*1</f>
        <v>7.6847171601105231</v>
      </c>
      <c r="AE13" s="53">
        <f>('TUSD BE'!$AI$13+'TUSD BF'!$AI$13+'TUSD CVA'!$AI$13)*1</f>
        <v>0.26355670292158867</v>
      </c>
      <c r="AF13" s="53">
        <f ca="1">('TUSD BE'!$AJ$13+'TUSD BF'!$AJ$13+'TUSD CVA'!$AJ$13)*1</f>
        <v>1.9342348061519887</v>
      </c>
      <c r="AG13" s="53">
        <f ca="1">('TUSD BE'!$AK$13+'TUSD BF'!$AK$13+'TUSD CVA'!$AK$13)*1</f>
        <v>0.23357335281205044</v>
      </c>
      <c r="AI13" s="53">
        <v>5.5554670927752099</v>
      </c>
      <c r="AJ13" s="53">
        <v>0.55418136204722401</v>
      </c>
      <c r="AK13" s="53">
        <v>0.33168970133699699</v>
      </c>
      <c r="AL13" s="53">
        <v>0</v>
      </c>
      <c r="AM13" s="53">
        <v>0</v>
      </c>
      <c r="AN13" s="53">
        <v>51.765107182523899</v>
      </c>
      <c r="AO13" s="53">
        <v>9.6151749499763994</v>
      </c>
      <c r="AP13" s="53">
        <v>0</v>
      </c>
      <c r="AQ13" s="53">
        <v>0</v>
      </c>
      <c r="AR13" s="53">
        <v>0</v>
      </c>
      <c r="AS13" s="53">
        <v>0</v>
      </c>
      <c r="AT13" s="53">
        <v>0</v>
      </c>
      <c r="AU13" s="53">
        <v>0</v>
      </c>
      <c r="AV13" s="53">
        <v>0</v>
      </c>
      <c r="AW13" s="53">
        <v>0</v>
      </c>
      <c r="AX13" s="53">
        <v>0</v>
      </c>
      <c r="AY13" s="53">
        <v>0</v>
      </c>
      <c r="AZ13" s="53">
        <v>0</v>
      </c>
      <c r="BA13" s="53">
        <v>8.4965245518472194</v>
      </c>
      <c r="BB13" s="53">
        <v>0.244622218755287</v>
      </c>
      <c r="BC13" s="53">
        <v>1.85305806291138</v>
      </c>
      <c r="BD13" s="53">
        <v>0.25958485859951203</v>
      </c>
    </row>
    <row r="14" spans="1:56" ht="11.25" customHeight="1" x14ac:dyDescent="0.25">
      <c r="A14" s="131"/>
      <c r="B14" s="131"/>
      <c r="C14" s="131"/>
      <c r="D14" s="131"/>
      <c r="E14" s="131" t="s">
        <v>89</v>
      </c>
      <c r="F14" s="131" t="s">
        <v>25</v>
      </c>
      <c r="G14" s="74" t="s">
        <v>83</v>
      </c>
      <c r="H14" s="74" t="s">
        <v>82</v>
      </c>
      <c r="I14" s="74">
        <f>'MERCADO TUSD'!$U$11</f>
        <v>0</v>
      </c>
      <c r="J14" s="15"/>
      <c r="L14" s="53">
        <f>('TUSD BE'!$L$14+'TUSD BF'!$L$14+'TUSD CVA'!$L$14)*1</f>
        <v>0</v>
      </c>
      <c r="M14" s="53">
        <f>('TUSD BE'!$M$14+'TUSD BF'!$M$14+'TUSD CVA'!$M$14)*1</f>
        <v>0.42096037281946325</v>
      </c>
      <c r="N14" s="53">
        <f ca="1">('TUSD BE'!$N$14+'TUSD BF'!$N$14+'TUSD CVA'!$N$14)*1</f>
        <v>9.7111772692468517</v>
      </c>
      <c r="O14" s="53">
        <f>('TUSD BE'!$O$14+'TUSD BF'!$O$14+'TUSD CVA'!$O$14)*1</f>
        <v>0</v>
      </c>
      <c r="P14" s="53">
        <f>('TUSD BE'!$P$14+'TUSD BF'!$P$14+'TUSD CVA'!$P$14)*1</f>
        <v>0</v>
      </c>
      <c r="Q14" s="53">
        <f>('TUSD BE'!$Q$14+'TUSD BF'!$Q$14+'TUSD CVA'!$Q$14)*1</f>
        <v>0</v>
      </c>
      <c r="R14" s="53">
        <f>('TUSD BE'!$R$14+'TUSD BF'!$R$14+'TUSD CVA'!$R$14)*1</f>
        <v>0</v>
      </c>
      <c r="S14" s="53">
        <f>('TUSD BE'!$S$14+'TUSD BF'!$S$14+'TUSD CVA'!$S$14)*1</f>
        <v>0</v>
      </c>
      <c r="T14" s="53">
        <f>('TUSD BE'!$U$14+'TUSD BF'!$U$14+'TUSD CVA'!$U$14)*1</f>
        <v>209.75423965048844</v>
      </c>
      <c r="U14" s="53">
        <f>('TUSD BE'!$V$14+'TUSD BF'!$V$14+'TUSD CVA'!$V$14)*1</f>
        <v>70.278361488954715</v>
      </c>
      <c r="V14" s="53">
        <f>('TUSD BE'!$W$14+'TUSD BF'!$W$14+'TUSD CVA'!$W$14)*1</f>
        <v>119.17302300141274</v>
      </c>
      <c r="W14" s="53">
        <f>('TUSD BE'!$X$14+'TUSD BF'!$X$14+'TUSD CVA'!$X$14)*1</f>
        <v>0</v>
      </c>
      <c r="X14" s="53">
        <f>('TUSD BE'!$Y$14+'TUSD BF'!$Y$14+'TUSD CVA'!$Y$14)*1</f>
        <v>0</v>
      </c>
      <c r="Y14" s="53">
        <f>('TUSD BE'!$Z$14+'TUSD BF'!$Z$14+'TUSD CVA'!$Z$14)*1</f>
        <v>0</v>
      </c>
      <c r="Z14" s="53">
        <f>('TUSD BE'!$AA$14+'TUSD BF'!$AA$14+'TUSD CVA'!$AA$14)*1</f>
        <v>0</v>
      </c>
      <c r="AA14" s="53">
        <f>('TUSD BE'!$AC$14+'TUSD BF'!$AC$14+'TUSD CVA'!$AC$14)*1</f>
        <v>788.59130605325265</v>
      </c>
      <c r="AB14" s="53">
        <f ca="1">('TUSD BE'!$AE$14+'TUSD BF'!$AE$14+'TUSD CVA'!$AE$14)*1</f>
        <v>-225.03360408694491</v>
      </c>
      <c r="AC14" s="53">
        <f ca="1">('TUSD BE'!$AF$14+'TUSD BF'!$AF$14+'TUSD CVA'!$AF$14)*1</f>
        <v>0</v>
      </c>
      <c r="AD14" s="53">
        <f>('TUSD BE'!$AH$14+'TUSD BF'!$AH$14+'TUSD CVA'!$AH$14)*1</f>
        <v>7.6847171601105231</v>
      </c>
      <c r="AE14" s="53">
        <f>('TUSD BE'!$AI$14+'TUSD BF'!$AI$14+'TUSD CVA'!$AI$14)*1</f>
        <v>0.26355670292158867</v>
      </c>
      <c r="AF14" s="53">
        <f ca="1">('TUSD BE'!$AJ$14+'TUSD BF'!$AJ$14+'TUSD CVA'!$AJ$14)*1</f>
        <v>1.9342348061519887</v>
      </c>
      <c r="AG14" s="53">
        <f ca="1">('TUSD BE'!$AK$14+'TUSD BF'!$AK$14+'TUSD CVA'!$AK$14)*1</f>
        <v>0.23357335281205044</v>
      </c>
      <c r="AI14" s="53">
        <v>0</v>
      </c>
      <c r="AJ14" s="53">
        <v>0.55418136204722401</v>
      </c>
      <c r="AK14" s="53">
        <v>14.9524479000379</v>
      </c>
      <c r="AL14" s="53">
        <v>0</v>
      </c>
      <c r="AM14" s="53">
        <v>0</v>
      </c>
      <c r="AN14" s="53">
        <v>0</v>
      </c>
      <c r="AO14" s="53">
        <v>0</v>
      </c>
      <c r="AP14" s="53">
        <v>0</v>
      </c>
      <c r="AQ14" s="53">
        <v>141.38991137888499</v>
      </c>
      <c r="AR14" s="53">
        <v>64.237792551835696</v>
      </c>
      <c r="AS14" s="53">
        <v>58.2274701804402</v>
      </c>
      <c r="AT14" s="53">
        <v>0</v>
      </c>
      <c r="AU14" s="53">
        <v>0</v>
      </c>
      <c r="AV14" s="53">
        <v>0</v>
      </c>
      <c r="AW14" s="53">
        <v>0</v>
      </c>
      <c r="AX14" s="53">
        <v>972.50657004947595</v>
      </c>
      <c r="AY14" s="53">
        <v>0</v>
      </c>
      <c r="AZ14" s="53">
        <v>0</v>
      </c>
      <c r="BA14" s="53">
        <v>8.4965245518472194</v>
      </c>
      <c r="BB14" s="53">
        <v>0.244622218755287</v>
      </c>
      <c r="BC14" s="53">
        <v>1.85305806291138</v>
      </c>
      <c r="BD14" s="53">
        <v>0.25958485859951203</v>
      </c>
    </row>
    <row r="15" spans="1:56" ht="11.25" customHeight="1" x14ac:dyDescent="0.25">
      <c r="A15" s="131"/>
      <c r="B15" s="131"/>
      <c r="C15" s="131"/>
      <c r="D15" s="131"/>
      <c r="E15" s="131"/>
      <c r="F15" s="131"/>
      <c r="G15" s="74" t="s">
        <v>84</v>
      </c>
      <c r="H15" s="74" t="s">
        <v>82</v>
      </c>
      <c r="I15" s="74">
        <f>'MERCADO TUSD'!$U$12</f>
        <v>0</v>
      </c>
      <c r="J15" s="15"/>
      <c r="L15" s="53">
        <f>('TUSD BE'!$L$15+'TUSD BF'!$L$15+'TUSD CVA'!$L$15)*1</f>
        <v>0</v>
      </c>
      <c r="M15" s="53">
        <f>('TUSD BE'!$M$15+'TUSD BF'!$M$15+'TUSD CVA'!$M$15)*1</f>
        <v>0.42096037281946325</v>
      </c>
      <c r="N15" s="53">
        <f ca="1">('TUSD BE'!$N$15+'TUSD BF'!$N$15+'TUSD CVA'!$N$15)*1</f>
        <v>0.21114757247259522</v>
      </c>
      <c r="O15" s="53">
        <f>('TUSD BE'!$O$15+'TUSD BF'!$O$15+'TUSD CVA'!$O$15)*1</f>
        <v>0</v>
      </c>
      <c r="P15" s="53">
        <f>('TUSD BE'!$P$15+'TUSD BF'!$P$15+'TUSD CVA'!$P$15)*1</f>
        <v>0</v>
      </c>
      <c r="Q15" s="53">
        <f>('TUSD BE'!$Q$15+'TUSD BF'!$Q$15+'TUSD CVA'!$Q$15)*1</f>
        <v>0</v>
      </c>
      <c r="R15" s="53">
        <f>('TUSD BE'!$R$15+'TUSD BF'!$R$15+'TUSD CVA'!$R$15)*1</f>
        <v>0</v>
      </c>
      <c r="S15" s="53">
        <f>('TUSD BE'!$S$15+'TUSD BF'!$S$15+'TUSD CVA'!$S$15)*1</f>
        <v>0</v>
      </c>
      <c r="T15" s="53">
        <f>('TUSD BE'!$U$15+'TUSD BF'!$U$15+'TUSD CVA'!$U$15)*1</f>
        <v>0</v>
      </c>
      <c r="U15" s="53">
        <f>('TUSD BE'!$V$15+'TUSD BF'!$V$15+'TUSD CVA'!$V$15)*1</f>
        <v>0</v>
      </c>
      <c r="V15" s="53">
        <f>('TUSD BE'!$W$15+'TUSD BF'!$W$15+'TUSD CVA'!$W$15)*1</f>
        <v>0</v>
      </c>
      <c r="W15" s="53">
        <f>('TUSD BE'!$X$15+'TUSD BF'!$X$15+'TUSD CVA'!$X$15)*1</f>
        <v>0</v>
      </c>
      <c r="X15" s="53">
        <f>('TUSD BE'!$Y$15+'TUSD BF'!$Y$15+'TUSD CVA'!$Y$15)*1</f>
        <v>0</v>
      </c>
      <c r="Y15" s="53">
        <f>('TUSD BE'!$Z$15+'TUSD BF'!$Z$15+'TUSD CVA'!$Z$15)*1</f>
        <v>0</v>
      </c>
      <c r="Z15" s="53">
        <f>('TUSD BE'!$AA$15+'TUSD BF'!$AA$15+'TUSD CVA'!$AA$15)*1</f>
        <v>0</v>
      </c>
      <c r="AA15" s="53">
        <f>('TUSD BE'!$AC$15+'TUSD BF'!$AC$15+'TUSD CVA'!$AC$15)*1</f>
        <v>0</v>
      </c>
      <c r="AB15" s="53">
        <f ca="1">('TUSD BE'!$AE$15+'TUSD BF'!$AE$15+'TUSD CVA'!$AE$15)*1</f>
        <v>-1.8603709162607489</v>
      </c>
      <c r="AC15" s="53">
        <f ca="1">('TUSD BE'!$AF$15+'TUSD BF'!$AF$15+'TUSD CVA'!$AF$15)*1</f>
        <v>0</v>
      </c>
      <c r="AD15" s="53">
        <f>('TUSD BE'!$AH$15+'TUSD BF'!$AH$15+'TUSD CVA'!$AH$15)*1</f>
        <v>7.6847171601105231</v>
      </c>
      <c r="AE15" s="53">
        <f>('TUSD BE'!$AI$15+'TUSD BF'!$AI$15+'TUSD CVA'!$AI$15)*1</f>
        <v>0.26355670292158867</v>
      </c>
      <c r="AF15" s="53">
        <f ca="1">('TUSD BE'!$AJ$15+'TUSD BF'!$AJ$15+'TUSD CVA'!$AJ$15)*1</f>
        <v>1.9342348061519887</v>
      </c>
      <c r="AG15" s="53">
        <f ca="1">('TUSD BE'!$AK$15+'TUSD BF'!$AK$15+'TUSD CVA'!$AK$15)*1</f>
        <v>0.23357335281205044</v>
      </c>
      <c r="AI15" s="53">
        <v>0</v>
      </c>
      <c r="AJ15" s="53">
        <v>0.55418136204722401</v>
      </c>
      <c r="AK15" s="53">
        <v>0.31784972276162998</v>
      </c>
      <c r="AL15" s="53">
        <v>0</v>
      </c>
      <c r="AM15" s="53">
        <v>0</v>
      </c>
      <c r="AN15" s="53">
        <v>0</v>
      </c>
      <c r="AO15" s="53">
        <v>0</v>
      </c>
      <c r="AP15" s="53">
        <v>0</v>
      </c>
      <c r="AQ15" s="53">
        <v>0</v>
      </c>
      <c r="AR15" s="53">
        <v>0</v>
      </c>
      <c r="AS15" s="53">
        <v>0</v>
      </c>
      <c r="AT15" s="53">
        <v>0</v>
      </c>
      <c r="AU15" s="53">
        <v>0</v>
      </c>
      <c r="AV15" s="53">
        <v>0</v>
      </c>
      <c r="AW15" s="53">
        <v>0</v>
      </c>
      <c r="AX15" s="53">
        <v>0</v>
      </c>
      <c r="AY15" s="53">
        <v>0</v>
      </c>
      <c r="AZ15" s="53">
        <v>0</v>
      </c>
      <c r="BA15" s="53">
        <v>8.4965245518472194</v>
      </c>
      <c r="BB15" s="53">
        <v>0.244622218755287</v>
      </c>
      <c r="BC15" s="53">
        <v>1.85305806291138</v>
      </c>
      <c r="BD15" s="53">
        <v>0.25958485859951203</v>
      </c>
    </row>
    <row r="16" spans="1:56" ht="11.25" customHeight="1" x14ac:dyDescent="0.25">
      <c r="A16" s="131" t="s">
        <v>90</v>
      </c>
      <c r="B16" s="131" t="s">
        <v>59</v>
      </c>
      <c r="C16" s="131" t="s">
        <v>25</v>
      </c>
      <c r="D16" s="131" t="s">
        <v>25</v>
      </c>
      <c r="E16" s="73" t="s">
        <v>91</v>
      </c>
      <c r="F16" s="73" t="s">
        <v>25</v>
      </c>
      <c r="G16" s="74" t="s">
        <v>9</v>
      </c>
      <c r="H16" s="74" t="s">
        <v>80</v>
      </c>
      <c r="I16" s="74">
        <f>'MERCADO TUSD'!$U$13+0.00000001</f>
        <v>1E-8</v>
      </c>
      <c r="J16" s="15"/>
      <c r="L16" s="53">
        <f>('TUSD BE'!$L$16+'TUSD BF'!$L$16+'TUSD CVA'!$L$16)*1</f>
        <v>0</v>
      </c>
      <c r="M16" s="53">
        <f>('TUSD BE'!$M$16+'TUSD BF'!$M$16+'TUSD CVA'!$M$16)*1</f>
        <v>1.1870528615099447E-2</v>
      </c>
      <c r="N16" s="53">
        <f ca="1">('TUSD BE'!$N$16+'TUSD BF'!$N$16+'TUSD CVA'!$N$16)*1</f>
        <v>2.8768336240101638E-2</v>
      </c>
      <c r="O16" s="53">
        <f>('TUSD BE'!$O$16+'TUSD BF'!$O$16+'TUSD CVA'!$O$16)*1</f>
        <v>0</v>
      </c>
      <c r="P16" s="53">
        <f>('TUSD BE'!$P$16+'TUSD BF'!$P$16+'TUSD CVA'!$P$16)*1</f>
        <v>0</v>
      </c>
      <c r="Q16" s="53">
        <f>('TUSD BE'!$Q$16+'TUSD BF'!$Q$16+'TUSD CVA'!$Q$16)*1</f>
        <v>0</v>
      </c>
      <c r="R16" s="53">
        <f>('TUSD BE'!$R$16+'TUSD BF'!$R$16+'TUSD CVA'!$R$16)*1</f>
        <v>0</v>
      </c>
      <c r="S16" s="53">
        <f>('TUSD BE'!$S$16+'TUSD BF'!$S$16+'TUSD CVA'!$S$16)*1</f>
        <v>0</v>
      </c>
      <c r="T16" s="53">
        <f>('TUSD BE'!$U$16+'TUSD BF'!$U$16+'TUSD CVA'!$U$16)*1</f>
        <v>0</v>
      </c>
      <c r="U16" s="53">
        <f>('TUSD BE'!$V$16+'TUSD BF'!$V$16+'TUSD CVA'!$V$16)*1</f>
        <v>0</v>
      </c>
      <c r="V16" s="53">
        <f>('TUSD BE'!$W$16+'TUSD BF'!$W$16+'TUSD CVA'!$W$16)*1</f>
        <v>0</v>
      </c>
      <c r="W16" s="53">
        <f>('TUSD BE'!$X$16+'TUSD BF'!$X$16+'TUSD CVA'!$X$16)*1</f>
        <v>0</v>
      </c>
      <c r="X16" s="53">
        <f>('TUSD BE'!$Y$16+'TUSD BF'!$Y$16+'TUSD CVA'!$Y$16)*1</f>
        <v>0</v>
      </c>
      <c r="Y16" s="53">
        <f>('TUSD BE'!$Z$16+'TUSD BF'!$Z$16+'TUSD CVA'!$Z$16)*1</f>
        <v>0</v>
      </c>
      <c r="Z16" s="53">
        <f>('TUSD BE'!$AA$16+'TUSD BF'!$AA$16+'TUSD CVA'!$AA$16)*1</f>
        <v>0</v>
      </c>
      <c r="AA16" s="53">
        <f>('TUSD BE'!$AC$16+'TUSD BF'!$AC$16+'TUSD CVA'!$AC$16)*1</f>
        <v>3.5824567493013486</v>
      </c>
      <c r="AB16" s="53">
        <f ca="1">('TUSD BE'!$AE$16+'TUSD BF'!$AE$16+'TUSD CVA'!$AE$16)*1</f>
        <v>-0.68221241028403601</v>
      </c>
      <c r="AC16" s="53">
        <f ca="1">('TUSD BE'!$AF$16+'TUSD BF'!$AF$16+'TUSD CVA'!$AF$16)*1</f>
        <v>0</v>
      </c>
      <c r="AD16" s="53">
        <f>('TUSD BE'!$AH$16+'TUSD BF'!$AH$16+'TUSD CVA'!$AH$16)*1</f>
        <v>0</v>
      </c>
      <c r="AE16" s="53">
        <f>('TUSD BE'!$AI$16+'TUSD BF'!$AI$16+'TUSD CVA'!$AI$16)*1</f>
        <v>0</v>
      </c>
      <c r="AF16" s="53">
        <f ca="1">('TUSD BE'!$AJ$16+'TUSD BF'!$AJ$16+'TUSD CVA'!$AJ$16)*1</f>
        <v>0</v>
      </c>
      <c r="AG16" s="53">
        <f ca="1">('TUSD BE'!$AK$16+'TUSD BF'!$AK$16+'TUSD CVA'!$AK$16)*1</f>
        <v>0</v>
      </c>
      <c r="AI16" s="53">
        <v>0</v>
      </c>
      <c r="AJ16" s="53">
        <v>1.6489384335078398E-2</v>
      </c>
      <c r="AK16" s="53">
        <v>5.9927107231340503E-2</v>
      </c>
      <c r="AL16" s="53">
        <v>0</v>
      </c>
      <c r="AM16" s="53">
        <v>0</v>
      </c>
      <c r="AN16" s="53">
        <v>0</v>
      </c>
      <c r="AO16" s="53">
        <v>0</v>
      </c>
      <c r="AP16" s="53">
        <v>0</v>
      </c>
      <c r="AQ16" s="53">
        <v>0</v>
      </c>
      <c r="AR16" s="53">
        <v>0</v>
      </c>
      <c r="AS16" s="53">
        <v>0</v>
      </c>
      <c r="AT16" s="53">
        <v>0</v>
      </c>
      <c r="AU16" s="53">
        <v>0</v>
      </c>
      <c r="AV16" s="53">
        <v>0</v>
      </c>
      <c r="AW16" s="53">
        <v>0</v>
      </c>
      <c r="AX16" s="53">
        <v>4.7266801564086096</v>
      </c>
      <c r="AY16" s="53">
        <v>0</v>
      </c>
      <c r="AZ16" s="53">
        <v>0</v>
      </c>
      <c r="BA16" s="53">
        <v>0</v>
      </c>
      <c r="BB16" s="53">
        <v>0</v>
      </c>
      <c r="BC16" s="53">
        <v>0</v>
      </c>
      <c r="BD16" s="53">
        <v>0</v>
      </c>
    </row>
    <row r="17" spans="1:56" ht="11.25" customHeight="1" x14ac:dyDescent="0.25">
      <c r="A17" s="131"/>
      <c r="B17" s="131"/>
      <c r="C17" s="131"/>
      <c r="D17" s="131"/>
      <c r="E17" s="73" t="s">
        <v>92</v>
      </c>
      <c r="F17" s="73" t="s">
        <v>25</v>
      </c>
      <c r="G17" s="74" t="s">
        <v>9</v>
      </c>
      <c r="H17" s="74" t="s">
        <v>80</v>
      </c>
      <c r="I17" s="74">
        <f>'MERCADO TUSD'!$U$14+0.00000001</f>
        <v>1E-8</v>
      </c>
      <c r="J17" s="15"/>
      <c r="L17" s="53">
        <f>('TUSD BE'!$L$17+'TUSD BF'!$L$17+'TUSD CVA'!$L$17)*1</f>
        <v>0</v>
      </c>
      <c r="M17" s="53">
        <f>('TUSD BE'!$M$17+'TUSD BF'!$M$17+'TUSD CVA'!$M$17)*1</f>
        <v>1.1870528615099447E-2</v>
      </c>
      <c r="N17" s="53">
        <f ca="1">('TUSD BE'!$N$17+'TUSD BF'!$N$17+'TUSD CVA'!$N$17)*1</f>
        <v>2.8768336240101638E-2</v>
      </c>
      <c r="O17" s="53">
        <f>('TUSD BE'!$O$17+'TUSD BF'!$O$17+'TUSD CVA'!$O$17)*1</f>
        <v>0</v>
      </c>
      <c r="P17" s="53">
        <f>('TUSD BE'!$P$17+'TUSD BF'!$P$17+'TUSD CVA'!$P$17)*1</f>
        <v>0</v>
      </c>
      <c r="Q17" s="53">
        <f>('TUSD BE'!$Q$17+'TUSD BF'!$Q$17+'TUSD CVA'!$Q$17)*1</f>
        <v>0</v>
      </c>
      <c r="R17" s="53">
        <f>('TUSD BE'!$R$17+'TUSD BF'!$R$17+'TUSD CVA'!$R$17)*1</f>
        <v>0</v>
      </c>
      <c r="S17" s="53">
        <f>('TUSD BE'!$S$17+'TUSD BF'!$S$17+'TUSD CVA'!$S$17)*1</f>
        <v>0</v>
      </c>
      <c r="T17" s="53">
        <f>('TUSD BE'!$U$17+'TUSD BF'!$U$17+'TUSD CVA'!$U$17)*1</f>
        <v>0</v>
      </c>
      <c r="U17" s="53">
        <f>('TUSD BE'!$V$17+'TUSD BF'!$V$17+'TUSD CVA'!$V$17)*1</f>
        <v>0</v>
      </c>
      <c r="V17" s="53">
        <f>('TUSD BE'!$W$17+'TUSD BF'!$W$17+'TUSD CVA'!$W$17)*1</f>
        <v>0</v>
      </c>
      <c r="W17" s="53">
        <f>('TUSD BE'!$X$17+'TUSD BF'!$X$17+'TUSD CVA'!$X$17)*1</f>
        <v>0</v>
      </c>
      <c r="X17" s="53">
        <f>('TUSD BE'!$Y$17+'TUSD BF'!$Y$17+'TUSD CVA'!$Y$17)*1</f>
        <v>0</v>
      </c>
      <c r="Y17" s="53">
        <f>('TUSD BE'!$Z$17+'TUSD BF'!$Z$17+'TUSD CVA'!$Z$17)*1</f>
        <v>0</v>
      </c>
      <c r="Z17" s="53">
        <f>('TUSD BE'!$AA$17+'TUSD BF'!$AA$17+'TUSD CVA'!$AA$17)*1</f>
        <v>0</v>
      </c>
      <c r="AA17" s="53">
        <f>('TUSD BE'!$AC$17+'TUSD BF'!$AC$17+'TUSD CVA'!$AC$17)*1</f>
        <v>11.052725276859405</v>
      </c>
      <c r="AB17" s="53">
        <f ca="1">('TUSD BE'!$AE$17+'TUSD BF'!$AE$17+'TUSD CVA'!$AE$17)*1</f>
        <v>-2.0886290626528652</v>
      </c>
      <c r="AC17" s="53">
        <f ca="1">('TUSD BE'!$AF$17+'TUSD BF'!$AF$17+'TUSD CVA'!$AF$17)*1</f>
        <v>0</v>
      </c>
      <c r="AD17" s="53">
        <f>('TUSD BE'!$AH$17+'TUSD BF'!$AH$17+'TUSD CVA'!$AH$17)*1</f>
        <v>0</v>
      </c>
      <c r="AE17" s="53">
        <f>('TUSD BE'!$AI$17+'TUSD BF'!$AI$17+'TUSD CVA'!$AI$17)*1</f>
        <v>0</v>
      </c>
      <c r="AF17" s="53">
        <f ca="1">('TUSD BE'!$AJ$17+'TUSD BF'!$AJ$17+'TUSD CVA'!$AJ$17)*1</f>
        <v>0</v>
      </c>
      <c r="AG17" s="53">
        <f ca="1">('TUSD BE'!$AK$17+'TUSD BF'!$AK$17+'TUSD CVA'!$AK$17)*1</f>
        <v>0</v>
      </c>
      <c r="AI17" s="53">
        <v>0</v>
      </c>
      <c r="AJ17" s="53">
        <v>1.6489384335078398E-2</v>
      </c>
      <c r="AK17" s="53">
        <v>5.9927107231340503E-2</v>
      </c>
      <c r="AL17" s="53">
        <v>0</v>
      </c>
      <c r="AM17" s="53">
        <v>0</v>
      </c>
      <c r="AN17" s="53">
        <v>0</v>
      </c>
      <c r="AO17" s="53">
        <v>0</v>
      </c>
      <c r="AP17" s="53">
        <v>0</v>
      </c>
      <c r="AQ17" s="53">
        <v>0</v>
      </c>
      <c r="AR17" s="53">
        <v>0</v>
      </c>
      <c r="AS17" s="53">
        <v>0</v>
      </c>
      <c r="AT17" s="53">
        <v>0</v>
      </c>
      <c r="AU17" s="53">
        <v>0</v>
      </c>
      <c r="AV17" s="53">
        <v>0</v>
      </c>
      <c r="AW17" s="53">
        <v>0</v>
      </c>
      <c r="AX17" s="53">
        <v>12.7600944469831</v>
      </c>
      <c r="AY17" s="53">
        <v>0</v>
      </c>
      <c r="AZ17" s="53">
        <v>0</v>
      </c>
      <c r="BA17" s="53">
        <v>0</v>
      </c>
      <c r="BB17" s="53">
        <v>0</v>
      </c>
      <c r="BC17" s="53">
        <v>0</v>
      </c>
      <c r="BD17" s="53">
        <v>0</v>
      </c>
    </row>
    <row r="18" spans="1:56" ht="11.25" customHeight="1" x14ac:dyDescent="0.25">
      <c r="A18" s="131" t="s">
        <v>22</v>
      </c>
      <c r="B18" s="131" t="s">
        <v>32</v>
      </c>
      <c r="C18" s="131" t="s">
        <v>24</v>
      </c>
      <c r="D18" s="131" t="s">
        <v>24</v>
      </c>
      <c r="E18" s="131" t="s">
        <v>25</v>
      </c>
      <c r="F18" s="131" t="s">
        <v>25</v>
      </c>
      <c r="G18" s="74" t="s">
        <v>83</v>
      </c>
      <c r="H18" s="74" t="s">
        <v>82</v>
      </c>
      <c r="I18" s="74">
        <f>'MERCADO TUSD'!$U$15</f>
        <v>1.103</v>
      </c>
      <c r="J18" s="15"/>
      <c r="L18" s="53">
        <f>('TUSD BE'!$L$18+'TUSD BF'!$L$18+'TUSD CVA'!$L$18)*1</f>
        <v>6.1798513297648698</v>
      </c>
      <c r="M18" s="53">
        <f>('TUSD BE'!$M$18+'TUSD BF'!$M$18+'TUSD CVA'!$M$18)*1</f>
        <v>0.78372978084586076</v>
      </c>
      <c r="N18" s="53">
        <f ca="1">('TUSD BE'!$N$18+'TUSD BF'!$N$18+'TUSD CVA'!$N$18)*1</f>
        <v>7.6670805971430642</v>
      </c>
      <c r="O18" s="53">
        <f>('TUSD BE'!$O$18+'TUSD BF'!$O$18+'TUSD CVA'!$O$18)*1</f>
        <v>0</v>
      </c>
      <c r="P18" s="53">
        <f>('TUSD BE'!$P$18+'TUSD BF'!$P$18+'TUSD CVA'!$P$18)*1</f>
        <v>0</v>
      </c>
      <c r="Q18" s="53">
        <f>('TUSD BE'!$Q$18+'TUSD BF'!$Q$18+'TUSD CVA'!$Q$18)*1</f>
        <v>104.49465285217885</v>
      </c>
      <c r="R18" s="53">
        <f>('TUSD BE'!$R$18+'TUSD BF'!$R$18+'TUSD CVA'!$R$18)*1</f>
        <v>15.761315353222423</v>
      </c>
      <c r="S18" s="53">
        <f>('TUSD BE'!$S$18+'TUSD BF'!$S$18+'TUSD CVA'!$S$18)*1</f>
        <v>0</v>
      </c>
      <c r="T18" s="53">
        <f>('TUSD BE'!$U$18+'TUSD BF'!$U$18+'TUSD CVA'!$U$18)*1</f>
        <v>126.20331665946583</v>
      </c>
      <c r="U18" s="53">
        <f>('TUSD BE'!$V$18+'TUSD BF'!$V$18+'TUSD CVA'!$V$18)*1</f>
        <v>41.067226578245268</v>
      </c>
      <c r="V18" s="53">
        <f>('TUSD BE'!$W$18+'TUSD BF'!$W$18+'TUSD CVA'!$W$18)*1</f>
        <v>67.896057108666412</v>
      </c>
      <c r="W18" s="53">
        <f>('TUSD BE'!$X$18+'TUSD BF'!$X$18+'TUSD CVA'!$X$18)*1</f>
        <v>0</v>
      </c>
      <c r="X18" s="53">
        <f>('TUSD BE'!$Y$18+'TUSD BF'!$Y$18+'TUSD CVA'!$Y$18)*1</f>
        <v>0</v>
      </c>
      <c r="Y18" s="53">
        <f>('TUSD BE'!$Z$18+'TUSD BF'!$Z$18+'TUSD CVA'!$Z$18)*1</f>
        <v>0</v>
      </c>
      <c r="Z18" s="53">
        <f>('TUSD BE'!$AA$18+'TUSD BF'!$AA$18+'TUSD CVA'!$AA$18)*1</f>
        <v>0</v>
      </c>
      <c r="AA18" s="53">
        <f>('TUSD BE'!$AC$18+'TUSD BF'!$AC$18+'TUSD CVA'!$AC$18)*1</f>
        <v>667.58459545459493</v>
      </c>
      <c r="AB18" s="53">
        <f ca="1">('TUSD BE'!$AE$18+'TUSD BF'!$AE$18+'TUSD CVA'!$AE$18)*1</f>
        <v>-194.02056537604295</v>
      </c>
      <c r="AC18" s="53">
        <f ca="1">('TUSD BE'!$AF$18+'TUSD BF'!$AF$18+'TUSD CVA'!$AF$18)*1</f>
        <v>0</v>
      </c>
      <c r="AD18" s="53">
        <f>('TUSD BE'!$AH$18+'TUSD BF'!$AH$18+'TUSD CVA'!$AH$18)*1</f>
        <v>17.493669141910352</v>
      </c>
      <c r="AE18" s="53">
        <f>('TUSD BE'!$AI$18+'TUSD BF'!$AI$18+'TUSD CVA'!$AI$18)*1</f>
        <v>0.59996661750615687</v>
      </c>
      <c r="AF18" s="53">
        <f ca="1">('TUSD BE'!$AJ$18+'TUSD BF'!$AJ$18+'TUSD CVA'!$AJ$18)*1</f>
        <v>2.5755789383097505</v>
      </c>
      <c r="AG18" s="53">
        <f ca="1">('TUSD BE'!$AK$18+'TUSD BF'!$AK$18+'TUSD CVA'!$AK$18)*1</f>
        <v>0.31102046459908345</v>
      </c>
      <c r="AI18" s="53">
        <v>6.3855943595117397</v>
      </c>
      <c r="AJ18" s="53">
        <v>0.76649007564518501</v>
      </c>
      <c r="AK18" s="53">
        <v>11.436114806303401</v>
      </c>
      <c r="AL18" s="53">
        <v>0</v>
      </c>
      <c r="AM18" s="53">
        <v>0</v>
      </c>
      <c r="AN18" s="53">
        <v>59.500123198303399</v>
      </c>
      <c r="AO18" s="53">
        <v>9.6151749499763994</v>
      </c>
      <c r="AP18" s="53">
        <v>0</v>
      </c>
      <c r="AQ18" s="53">
        <v>90.480726140979996</v>
      </c>
      <c r="AR18" s="53">
        <v>41.1169900587862</v>
      </c>
      <c r="AS18" s="53">
        <v>38.553756770868503</v>
      </c>
      <c r="AT18" s="53">
        <v>0</v>
      </c>
      <c r="AU18" s="53">
        <v>0</v>
      </c>
      <c r="AV18" s="53">
        <v>0</v>
      </c>
      <c r="AW18" s="53">
        <v>0</v>
      </c>
      <c r="AX18" s="53">
        <v>733.86270875923606</v>
      </c>
      <c r="AY18" s="53">
        <v>0</v>
      </c>
      <c r="AZ18" s="53">
        <v>0</v>
      </c>
      <c r="BA18" s="53">
        <v>19.3417646906321</v>
      </c>
      <c r="BB18" s="53">
        <v>0.55686597083232503</v>
      </c>
      <c r="BC18" s="53">
        <v>2.2360541182914999</v>
      </c>
      <c r="BD18" s="53">
        <v>0.31323669977485902</v>
      </c>
    </row>
    <row r="19" spans="1:56" ht="11.25" customHeight="1" x14ac:dyDescent="0.25">
      <c r="A19" s="131"/>
      <c r="B19" s="131"/>
      <c r="C19" s="131"/>
      <c r="D19" s="131"/>
      <c r="E19" s="131"/>
      <c r="F19" s="131"/>
      <c r="G19" s="74" t="s">
        <v>93</v>
      </c>
      <c r="H19" s="74" t="s">
        <v>82</v>
      </c>
      <c r="I19" s="74">
        <f>'MERCADO TUSD'!$U$16</f>
        <v>0.64800000000000013</v>
      </c>
      <c r="J19" s="15"/>
      <c r="L19" s="53">
        <f>('TUSD BE'!$L$19+'TUSD BF'!$L$19+'TUSD CVA'!$L$19)*1</f>
        <v>6.1798513297648698</v>
      </c>
      <c r="M19" s="53">
        <f>('TUSD BE'!$M$19+'TUSD BF'!$M$19+'TUSD CVA'!$M$19)*1</f>
        <v>0.78372978084586076</v>
      </c>
      <c r="N19" s="53">
        <f ca="1">('TUSD BE'!$N$19+'TUSD BF'!$N$19+'TUSD CVA'!$N$19)*1</f>
        <v>4.0568469394425115</v>
      </c>
      <c r="O19" s="53">
        <f>('TUSD BE'!$O$19+'TUSD BF'!$O$19+'TUSD CVA'!$O$19)*1</f>
        <v>0</v>
      </c>
      <c r="P19" s="53">
        <f>('TUSD BE'!$P$19+'TUSD BF'!$P$19+'TUSD CVA'!$P$19)*1</f>
        <v>0</v>
      </c>
      <c r="Q19" s="53">
        <f>('TUSD BE'!$Q$19+'TUSD BF'!$Q$19+'TUSD CVA'!$Q$19)*1</f>
        <v>104.49465285217885</v>
      </c>
      <c r="R19" s="53">
        <f>('TUSD BE'!$R$19+'TUSD BF'!$R$19+'TUSD CVA'!$R$19)*1</f>
        <v>15.761315353222423</v>
      </c>
      <c r="S19" s="53">
        <f>('TUSD BE'!$S$19+'TUSD BF'!$S$19+'TUSD CVA'!$S$19)*1</f>
        <v>0</v>
      </c>
      <c r="T19" s="53">
        <f>('TUSD BE'!$U$19+'TUSD BF'!$U$19+'TUSD CVA'!$U$19)*1</f>
        <v>63.101610077246491</v>
      </c>
      <c r="U19" s="53">
        <f>('TUSD BE'!$V$19+'TUSD BF'!$V$19+'TUSD CVA'!$V$19)*1</f>
        <v>20.53366511799199</v>
      </c>
      <c r="V19" s="53">
        <f>('TUSD BE'!$W$19+'TUSD BF'!$W$19+'TUSD CVA'!$W$19)*1</f>
        <v>33.94807411243363</v>
      </c>
      <c r="W19" s="53">
        <f>('TUSD BE'!$X$19+'TUSD BF'!$X$19+'TUSD CVA'!$X$19)*1</f>
        <v>0</v>
      </c>
      <c r="X19" s="53">
        <f>('TUSD BE'!$Y$19+'TUSD BF'!$Y$19+'TUSD CVA'!$Y$19)*1</f>
        <v>0</v>
      </c>
      <c r="Y19" s="53">
        <f>('TUSD BE'!$Z$19+'TUSD BF'!$Z$19+'TUSD CVA'!$Z$19)*1</f>
        <v>0</v>
      </c>
      <c r="Z19" s="53">
        <f>('TUSD BE'!$AA$19+'TUSD BF'!$AA$19+'TUSD CVA'!$AA$19)*1</f>
        <v>0</v>
      </c>
      <c r="AA19" s="53">
        <f>('TUSD BE'!$AC$19+'TUSD BF'!$AC$19+'TUSD CVA'!$AC$19)*1</f>
        <v>333.79229772729747</v>
      </c>
      <c r="AB19" s="53">
        <f ca="1">('TUSD BE'!$AE$19+'TUSD BF'!$AE$19+'TUSD CVA'!$AE$19)*1</f>
        <v>-109.03257704638929</v>
      </c>
      <c r="AC19" s="53">
        <f ca="1">('TUSD BE'!$AF$19+'TUSD BF'!$AF$19+'TUSD CVA'!$AF$19)*1</f>
        <v>0</v>
      </c>
      <c r="AD19" s="53">
        <f>('TUSD BE'!$AH$19+'TUSD BF'!$AH$19+'TUSD CVA'!$AH$19)*1</f>
        <v>17.493669141910352</v>
      </c>
      <c r="AE19" s="53">
        <f>('TUSD BE'!$AI$19+'TUSD BF'!$AI$19+'TUSD CVA'!$AI$19)*1</f>
        <v>0.59996661750615687</v>
      </c>
      <c r="AF19" s="53">
        <f ca="1">('TUSD BE'!$AJ$19+'TUSD BF'!$AJ$19+'TUSD CVA'!$AJ$19)*1</f>
        <v>2.5755789383097505</v>
      </c>
      <c r="AG19" s="53">
        <f ca="1">('TUSD BE'!$AK$19+'TUSD BF'!$AK$19+'TUSD CVA'!$AK$19)*1</f>
        <v>0.31102046459908345</v>
      </c>
      <c r="AI19" s="53">
        <v>6.3855943595117397</v>
      </c>
      <c r="AJ19" s="53">
        <v>0.76649007564518501</v>
      </c>
      <c r="AK19" s="53">
        <v>6.0425104597377404</v>
      </c>
      <c r="AL19" s="53">
        <v>0</v>
      </c>
      <c r="AM19" s="53">
        <v>0</v>
      </c>
      <c r="AN19" s="53">
        <v>59.500123198303399</v>
      </c>
      <c r="AO19" s="53">
        <v>9.6151749499763994</v>
      </c>
      <c r="AP19" s="53">
        <v>0</v>
      </c>
      <c r="AQ19" s="53">
        <v>45.192525630476503</v>
      </c>
      <c r="AR19" s="53">
        <v>20.536697590079999</v>
      </c>
      <c r="AS19" s="53">
        <v>19.256467014575499</v>
      </c>
      <c r="AT19" s="53">
        <v>0</v>
      </c>
      <c r="AU19" s="53">
        <v>0</v>
      </c>
      <c r="AV19" s="53">
        <v>0</v>
      </c>
      <c r="AW19" s="53">
        <v>0</v>
      </c>
      <c r="AX19" s="53">
        <v>366.54301417364297</v>
      </c>
      <c r="AY19" s="53">
        <v>0</v>
      </c>
      <c r="AZ19" s="53">
        <v>0</v>
      </c>
      <c r="BA19" s="53">
        <v>19.3417646906321</v>
      </c>
      <c r="BB19" s="53">
        <v>0.55686597083232503</v>
      </c>
      <c r="BC19" s="53">
        <v>2.2360541182914999</v>
      </c>
      <c r="BD19" s="53">
        <v>0.31323669977485902</v>
      </c>
    </row>
    <row r="20" spans="1:56" ht="11.25" customHeight="1" x14ac:dyDescent="0.25">
      <c r="A20" s="131"/>
      <c r="B20" s="131"/>
      <c r="C20" s="131"/>
      <c r="D20" s="131"/>
      <c r="E20" s="131"/>
      <c r="F20" s="131"/>
      <c r="G20" s="74" t="s">
        <v>84</v>
      </c>
      <c r="H20" s="74" t="s">
        <v>82</v>
      </c>
      <c r="I20" s="74">
        <f>'MERCADO TUSD'!$U$17</f>
        <v>11.868000000000002</v>
      </c>
      <c r="J20" s="15"/>
      <c r="L20" s="53">
        <f>('TUSD BE'!$L$20+'TUSD BF'!$L$20+'TUSD CVA'!$L$20)*1</f>
        <v>6.1798513297648698</v>
      </c>
      <c r="M20" s="53">
        <f>('TUSD BE'!$M$20+'TUSD BF'!$M$20+'TUSD CVA'!$M$20)*1</f>
        <v>0.78372978084586076</v>
      </c>
      <c r="N20" s="53">
        <f ca="1">('TUSD BE'!$N$20+'TUSD BF'!$N$20+'TUSD CVA'!$N$20)*1</f>
        <v>1.1686592467276555</v>
      </c>
      <c r="O20" s="53">
        <f>('TUSD BE'!$O$20+'TUSD BF'!$O$20+'TUSD CVA'!$O$20)*1</f>
        <v>0</v>
      </c>
      <c r="P20" s="53">
        <f>('TUSD BE'!$P$20+'TUSD BF'!$P$20+'TUSD CVA'!$P$20)*1</f>
        <v>0</v>
      </c>
      <c r="Q20" s="53">
        <f>('TUSD BE'!$Q$20+'TUSD BF'!$Q$20+'TUSD CVA'!$Q$20)*1</f>
        <v>104.49465285217885</v>
      </c>
      <c r="R20" s="53">
        <f>('TUSD BE'!$R$20+'TUSD BF'!$R$20+'TUSD CVA'!$R$20)*1</f>
        <v>15.761315353222423</v>
      </c>
      <c r="S20" s="53">
        <f>('TUSD BE'!$S$20+'TUSD BF'!$S$20+'TUSD CVA'!$S$20)*1</f>
        <v>0</v>
      </c>
      <c r="T20" s="53">
        <f>('TUSD BE'!$U$20+'TUSD BF'!$U$20+'TUSD CVA'!$U$20)*1</f>
        <v>12.620341316443866</v>
      </c>
      <c r="U20" s="53">
        <f>('TUSD BE'!$V$20+'TUSD BF'!$V$20+'TUSD CVA'!$V$20)*1</f>
        <v>4.1067122920506565</v>
      </c>
      <c r="V20" s="53">
        <f>('TUSD BE'!$W$20+'TUSD BF'!$W$20+'TUSD CVA'!$W$20)*1</f>
        <v>6.7896148224867252</v>
      </c>
      <c r="W20" s="53">
        <f>('TUSD BE'!$X$20+'TUSD BF'!$X$20+'TUSD CVA'!$X$20)*1</f>
        <v>0</v>
      </c>
      <c r="X20" s="53">
        <f>('TUSD BE'!$Y$20+'TUSD BF'!$Y$20+'TUSD CVA'!$Y$20)*1</f>
        <v>0</v>
      </c>
      <c r="Y20" s="53">
        <f>('TUSD BE'!$Z$20+'TUSD BF'!$Z$20+'TUSD CVA'!$Z$20)*1</f>
        <v>0</v>
      </c>
      <c r="Z20" s="53">
        <f>('TUSD BE'!$AA$20+'TUSD BF'!$AA$20+'TUSD CVA'!$AA$20)*1</f>
        <v>0</v>
      </c>
      <c r="AA20" s="53">
        <f>('TUSD BE'!$AC$20+'TUSD BF'!$AC$20+'TUSD CVA'!$AC$20)*1</f>
        <v>66.758440390346976</v>
      </c>
      <c r="AB20" s="53">
        <f ca="1">('TUSD BE'!$AE$20+'TUSD BF'!$AE$20+'TUSD CVA'!$AE$20)*1</f>
        <v>-41.04216859234365</v>
      </c>
      <c r="AC20" s="53">
        <f ca="1">('TUSD BE'!$AF$20+'TUSD BF'!$AF$20+'TUSD CVA'!$AF$20)*1</f>
        <v>0</v>
      </c>
      <c r="AD20" s="53">
        <f>('TUSD BE'!$AH$20+'TUSD BF'!$AH$20+'TUSD CVA'!$AH$20)*1</f>
        <v>17.493669141910352</v>
      </c>
      <c r="AE20" s="53">
        <f>('TUSD BE'!$AI$20+'TUSD BF'!$AI$20+'TUSD CVA'!$AI$20)*1</f>
        <v>0.59996661750615687</v>
      </c>
      <c r="AF20" s="53">
        <f ca="1">('TUSD BE'!$AJ$20+'TUSD BF'!$AJ$20+'TUSD CVA'!$AJ$20)*1</f>
        <v>2.5755789383097505</v>
      </c>
      <c r="AG20" s="53">
        <f ca="1">('TUSD BE'!$AK$20+'TUSD BF'!$AK$20+'TUSD CVA'!$AK$20)*1</f>
        <v>0.31102046459908345</v>
      </c>
      <c r="AI20" s="53">
        <v>6.3855943595117397</v>
      </c>
      <c r="AJ20" s="53">
        <v>0.76649007564518501</v>
      </c>
      <c r="AK20" s="53">
        <v>1.8006068503105299</v>
      </c>
      <c r="AL20" s="53">
        <v>0</v>
      </c>
      <c r="AM20" s="53">
        <v>0</v>
      </c>
      <c r="AN20" s="53">
        <v>59.500123198303399</v>
      </c>
      <c r="AO20" s="53">
        <v>9.6151749499763994</v>
      </c>
      <c r="AP20" s="53">
        <v>0</v>
      </c>
      <c r="AQ20" s="53">
        <v>9.5746721712810299</v>
      </c>
      <c r="AR20" s="53">
        <v>4.3509905557611397</v>
      </c>
      <c r="AS20" s="53">
        <v>4.0799007565330498</v>
      </c>
      <c r="AT20" s="53">
        <v>0</v>
      </c>
      <c r="AU20" s="53">
        <v>0</v>
      </c>
      <c r="AV20" s="53">
        <v>0</v>
      </c>
      <c r="AW20" s="53">
        <v>0</v>
      </c>
      <c r="AX20" s="53">
        <v>77.657398731377597</v>
      </c>
      <c r="AY20" s="53">
        <v>0</v>
      </c>
      <c r="AZ20" s="53">
        <v>0</v>
      </c>
      <c r="BA20" s="53">
        <v>19.3417646906321</v>
      </c>
      <c r="BB20" s="53">
        <v>0.55686597083232503</v>
      </c>
      <c r="BC20" s="53">
        <v>2.2360541182914999</v>
      </c>
      <c r="BD20" s="53">
        <v>0.31323669977485902</v>
      </c>
    </row>
    <row r="21" spans="1:56" ht="11.25" customHeight="1" x14ac:dyDescent="0.25">
      <c r="A21" s="131"/>
      <c r="B21" s="131" t="s">
        <v>23</v>
      </c>
      <c r="C21" s="131" t="s">
        <v>24</v>
      </c>
      <c r="D21" s="73" t="s">
        <v>24</v>
      </c>
      <c r="E21" s="73" t="s">
        <v>25</v>
      </c>
      <c r="F21" s="73" t="s">
        <v>25</v>
      </c>
      <c r="G21" s="74" t="s">
        <v>86</v>
      </c>
      <c r="H21" s="74" t="s">
        <v>82</v>
      </c>
      <c r="I21" s="74">
        <f>'MERCADO TUSD'!$U$18</f>
        <v>63212.388999999996</v>
      </c>
      <c r="J21" s="15"/>
      <c r="L21" s="53">
        <f>('TUSD BE'!$L$21+'TUSD BF'!$L$21+'TUSD CVA'!$L$21)*1</f>
        <v>6.1798513297648698</v>
      </c>
      <c r="M21" s="53">
        <f>('TUSD BE'!$M$21+'TUSD BF'!$M$21+'TUSD CVA'!$M$21)*1</f>
        <v>0.78372978084586076</v>
      </c>
      <c r="N21" s="53">
        <f ca="1">('TUSD BE'!$N$21+'TUSD BF'!$N$21+'TUSD CVA'!$N$21)*1</f>
        <v>2.4522983064403041</v>
      </c>
      <c r="O21" s="53">
        <f>('TUSD BE'!$O$21+'TUSD BF'!$O$21+'TUSD CVA'!$O$21)*1</f>
        <v>0</v>
      </c>
      <c r="P21" s="53">
        <f>('TUSD BE'!$P$21+'TUSD BF'!$P$21+'TUSD CVA'!$P$21)*1</f>
        <v>0</v>
      </c>
      <c r="Q21" s="53">
        <f>('TUSD BE'!$Q$21+'TUSD BF'!$Q$21+'TUSD CVA'!$Q$21)*1</f>
        <v>104.49465285217885</v>
      </c>
      <c r="R21" s="53">
        <f>('TUSD BE'!$R$21+'TUSD BF'!$R$21+'TUSD CVA'!$R$21)*1</f>
        <v>15.761315353222423</v>
      </c>
      <c r="S21" s="53">
        <f>('TUSD BE'!$S$21+'TUSD BF'!$S$21+'TUSD CVA'!$S$21)*1</f>
        <v>0</v>
      </c>
      <c r="T21" s="53">
        <f>('TUSD BE'!$U$21+'TUSD BF'!$U$21+'TUSD CVA'!$U$21)*1</f>
        <v>35.056492934013754</v>
      </c>
      <c r="U21" s="53">
        <f>('TUSD BE'!$V$21+'TUSD BF'!$V$21+'TUSD CVA'!$V$21)*1</f>
        <v>11.407534144585156</v>
      </c>
      <c r="V21" s="53">
        <f>('TUSD BE'!$W$21+'TUSD BF'!$W$21+'TUSD CVA'!$W$21)*1</f>
        <v>18.860051297596552</v>
      </c>
      <c r="W21" s="53">
        <f>('TUSD BE'!$X$21+'TUSD BF'!$X$21+'TUSD CVA'!$X$21)*1</f>
        <v>0</v>
      </c>
      <c r="X21" s="53">
        <f>('TUSD BE'!$Y$21+'TUSD BF'!$Y$21+'TUSD CVA'!$Y$21)*1</f>
        <v>0</v>
      </c>
      <c r="Y21" s="53">
        <f>('TUSD BE'!$Z$21+'TUSD BF'!$Z$21+'TUSD CVA'!$Z$21)*1</f>
        <v>0</v>
      </c>
      <c r="Z21" s="53">
        <f>('TUSD BE'!$AA$21+'TUSD BF'!$AA$21+'TUSD CVA'!$AA$21)*1</f>
        <v>0</v>
      </c>
      <c r="AA21" s="53">
        <f>('TUSD BE'!$AC$21+'TUSD BF'!$AC$21+'TUSD CVA'!$AC$21)*1</f>
        <v>185.44016540405411</v>
      </c>
      <c r="AB21" s="53">
        <f ca="1">('TUSD BE'!$AE$21+'TUSD BF'!$AE$21+'TUSD CVA'!$AE$21)*1</f>
        <v>-71.260129922992746</v>
      </c>
      <c r="AC21" s="53">
        <f ca="1">('TUSD BE'!$AF$21+'TUSD BF'!$AF$21+'TUSD CVA'!$AF$21)*1</f>
        <v>0</v>
      </c>
      <c r="AD21" s="53">
        <f>('TUSD BE'!$AH$21+'TUSD BF'!$AH$21+'TUSD CVA'!$AH$21)*1</f>
        <v>17.493669141910352</v>
      </c>
      <c r="AE21" s="53">
        <f>('TUSD BE'!$AI$21+'TUSD BF'!$AI$21+'TUSD CVA'!$AI$21)*1</f>
        <v>0.59996661750615687</v>
      </c>
      <c r="AF21" s="53">
        <f ca="1">('TUSD BE'!$AJ$21+'TUSD BF'!$AJ$21+'TUSD CVA'!$AJ$21)*1</f>
        <v>2.5755789383097505</v>
      </c>
      <c r="AG21" s="53">
        <f ca="1">('TUSD BE'!$AK$21+'TUSD BF'!$AK$21+'TUSD CVA'!$AK$21)*1</f>
        <v>0.31102046459908345</v>
      </c>
      <c r="AI21" s="53">
        <v>6.3855943595117397</v>
      </c>
      <c r="AJ21" s="53">
        <v>0.76649007564518501</v>
      </c>
      <c r="AK21" s="53">
        <v>3.3121636383828501</v>
      </c>
      <c r="AL21" s="53">
        <v>0</v>
      </c>
      <c r="AM21" s="53">
        <v>0</v>
      </c>
      <c r="AN21" s="53">
        <v>59.500123198303399</v>
      </c>
      <c r="AO21" s="53">
        <v>9.6151749499763994</v>
      </c>
      <c r="AP21" s="53">
        <v>0</v>
      </c>
      <c r="AQ21" s="53">
        <v>22.266703335765101</v>
      </c>
      <c r="AR21" s="53">
        <v>10.1186299428092</v>
      </c>
      <c r="AS21" s="53">
        <v>9.4879646680142695</v>
      </c>
      <c r="AT21" s="53">
        <v>0</v>
      </c>
      <c r="AU21" s="53">
        <v>0</v>
      </c>
      <c r="AV21" s="53">
        <v>0</v>
      </c>
      <c r="AW21" s="53">
        <v>0</v>
      </c>
      <c r="AX21" s="53">
        <v>180.59865783470701</v>
      </c>
      <c r="AY21" s="53">
        <v>0</v>
      </c>
      <c r="AZ21" s="53">
        <v>0</v>
      </c>
      <c r="BA21" s="53">
        <v>19.3417646906321</v>
      </c>
      <c r="BB21" s="53">
        <v>0.55686597083232503</v>
      </c>
      <c r="BC21" s="53">
        <v>2.2360541182914999</v>
      </c>
      <c r="BD21" s="53">
        <v>0.31323669977485902</v>
      </c>
    </row>
    <row r="22" spans="1:56" ht="11.25" customHeight="1" x14ac:dyDescent="0.25">
      <c r="A22" s="131"/>
      <c r="B22" s="131"/>
      <c r="C22" s="131"/>
      <c r="D22" s="73" t="s">
        <v>28</v>
      </c>
      <c r="E22" s="73" t="s">
        <v>25</v>
      </c>
      <c r="F22" s="73" t="s">
        <v>25</v>
      </c>
      <c r="G22" s="74" t="s">
        <v>86</v>
      </c>
      <c r="H22" s="74" t="s">
        <v>82</v>
      </c>
      <c r="I22" s="74">
        <f>'MERCADO TUSD'!$U$19</f>
        <v>258.12700000000001</v>
      </c>
      <c r="J22" s="15"/>
      <c r="L22" s="53">
        <f>('TUSD BE'!$L$22+'TUSD BF'!$L$22+'TUSD CVA'!$L$22)*(1 - 0.65)</f>
        <v>0</v>
      </c>
      <c r="M22" s="53">
        <f>('TUSD BE'!$M$22+'TUSD BF'!$M$22+'TUSD CVA'!$M$22)*(1 - 0.65)</f>
        <v>0.27430542329605123</v>
      </c>
      <c r="N22" s="53">
        <f ca="1">('TUSD BE'!$N$22+'TUSD BF'!$N$22+'TUSD CVA'!$N$22)*(1 - 0.65)</f>
        <v>0.85514800672619562</v>
      </c>
      <c r="O22" s="53">
        <f>('TUSD BE'!$O$22+'TUSD BF'!$O$22+'TUSD CVA'!$O$22)*(1 - 0.65)</f>
        <v>0</v>
      </c>
      <c r="P22" s="53">
        <v>0</v>
      </c>
      <c r="Q22" s="53">
        <f>('TUSD BE'!$Q$22+'TUSD BF'!$Q$22+'TUSD CVA'!$Q$22)*(1 - 0.65)</f>
        <v>0</v>
      </c>
      <c r="R22" s="53">
        <v>0</v>
      </c>
      <c r="S22" s="53">
        <f>('TUSD BE'!$S$22+'TUSD BF'!$S$22+'TUSD CVA'!$S$22)*(1 - 0.65)</f>
        <v>0</v>
      </c>
      <c r="T22" s="53">
        <f>('TUSD BE'!$U$22+'TUSD BF'!$U$22+'TUSD CVA'!$U$22)*(1 - 0.65)</f>
        <v>12.269772526904813</v>
      </c>
      <c r="U22" s="53">
        <f>('TUSD BE'!$V$22+'TUSD BF'!$V$22+'TUSD CVA'!$V$22)*(1 - 0.65)</f>
        <v>3.9926369506048043</v>
      </c>
      <c r="V22" s="53">
        <f>('TUSD BE'!$W$22+'TUSD BF'!$W$22+'TUSD CVA'!$W$22)*(1 - 0.65)</f>
        <v>6.6010179541587926</v>
      </c>
      <c r="W22" s="53">
        <f>('TUSD BE'!$X$22+'TUSD BF'!$X$22+'TUSD CVA'!$X$22)*(1 - 0.65)</f>
        <v>0</v>
      </c>
      <c r="X22" s="53">
        <f>('TUSD BE'!$Y$22+'TUSD BF'!$Y$22+'TUSD CVA'!$Y$22)*(1 - 0.65)</f>
        <v>0</v>
      </c>
      <c r="Y22" s="53">
        <f>('TUSD BE'!$Z$22+'TUSD BF'!$Z$22+'TUSD CVA'!$Z$22)*(1 - 0.65)</f>
        <v>0</v>
      </c>
      <c r="Z22" s="53">
        <f>('TUSD BE'!$AA$22+'TUSD BF'!$AA$22+'TUSD CVA'!$AA$22)*(1 - 0.65)</f>
        <v>0</v>
      </c>
      <c r="AA22" s="53">
        <f>('TUSD BE'!$AC$22+'TUSD BF'!$AC$22+'TUSD CVA'!$AC$22)*(1 - 0.65)</f>
        <v>64.90405789141893</v>
      </c>
      <c r="AB22" s="53">
        <f ca="1">('TUSD BE'!$AE$22+'TUSD BF'!$AE$22+'TUSD CVA'!$AE$22)*(1 - 0.65)</f>
        <v>-17.869344160114249</v>
      </c>
      <c r="AC22" s="53">
        <f ca="1">('TUSD BE'!$AF$22+'TUSD BF'!$AF$22+'TUSD CVA'!$AF$22)*(1 - 0.65)</f>
        <v>0</v>
      </c>
      <c r="AD22" s="53">
        <f>('TUSD BE'!$AH$22+'TUSD BF'!$AH$22+'TUSD CVA'!$AH$22)*(1 - 0.65)</f>
        <v>6.1227841996686232</v>
      </c>
      <c r="AE22" s="53">
        <f>('TUSD BE'!$AI$22+'TUSD BF'!$AI$22+'TUSD CVA'!$AI$22)*(1 - 0.65)</f>
        <v>0.20998831612715491</v>
      </c>
      <c r="AF22" s="53">
        <f ca="1">('TUSD BE'!$AJ$22+'TUSD BF'!$AJ$22+'TUSD CVA'!$AJ$22)*(1 - 0.65)</f>
        <v>0.90145262840841256</v>
      </c>
      <c r="AG22" s="53">
        <f ca="1">('TUSD BE'!$AK$22+'TUSD BF'!$AK$22+'TUSD CVA'!$AK$22)*(1 - 0.65)</f>
        <v>0.1088571626096792</v>
      </c>
      <c r="AI22" s="53">
        <v>0</v>
      </c>
      <c r="AJ22" s="53">
        <v>0.26827152647581498</v>
      </c>
      <c r="AK22" s="53">
        <v>1.15441328093262</v>
      </c>
      <c r="AL22" s="53">
        <v>0</v>
      </c>
      <c r="AM22" s="53">
        <v>0</v>
      </c>
      <c r="AN22" s="53">
        <v>0</v>
      </c>
      <c r="AO22" s="53">
        <v>0</v>
      </c>
      <c r="AP22" s="53">
        <v>0</v>
      </c>
      <c r="AQ22" s="53">
        <v>7.7933461675178002</v>
      </c>
      <c r="AR22" s="53">
        <v>3.5415204799832201</v>
      </c>
      <c r="AS22" s="53">
        <v>3.32078763380499</v>
      </c>
      <c r="AT22" s="53">
        <v>0</v>
      </c>
      <c r="AU22" s="53">
        <v>0</v>
      </c>
      <c r="AV22" s="53">
        <v>0</v>
      </c>
      <c r="AW22" s="53">
        <v>0</v>
      </c>
      <c r="AX22" s="53">
        <v>63.209530242147402</v>
      </c>
      <c r="AY22" s="53">
        <v>0</v>
      </c>
      <c r="AZ22" s="53">
        <v>0</v>
      </c>
      <c r="BA22" s="53">
        <v>6.7696176417212302</v>
      </c>
      <c r="BB22" s="53">
        <v>0.19490308979131399</v>
      </c>
      <c r="BC22" s="53">
        <v>0.78261894140202304</v>
      </c>
      <c r="BD22" s="53">
        <v>0.109632844921201</v>
      </c>
    </row>
    <row r="23" spans="1:56" ht="11.25" customHeight="1" x14ac:dyDescent="0.25">
      <c r="A23" s="131"/>
      <c r="B23" s="131"/>
      <c r="C23" s="131"/>
      <c r="D23" s="73" t="s">
        <v>29</v>
      </c>
      <c r="E23" s="73" t="s">
        <v>25</v>
      </c>
      <c r="F23" s="73" t="s">
        <v>25</v>
      </c>
      <c r="G23" s="74" t="s">
        <v>86</v>
      </c>
      <c r="H23" s="74" t="s">
        <v>82</v>
      </c>
      <c r="I23" s="74">
        <f>'MERCADO TUSD'!$U$20</f>
        <v>546.58100000000002</v>
      </c>
      <c r="J23" s="15"/>
      <c r="L23" s="53">
        <f>('TUSD BE'!$L$23+'TUSD BF'!$L$23+'TUSD CVA'!$L$23)*(1 - 0.4)</f>
        <v>0</v>
      </c>
      <c r="M23" s="53">
        <f>('TUSD BE'!$M$23+'TUSD BF'!$M$23+'TUSD CVA'!$M$23)*(1 - 0.4)</f>
        <v>0.47023786850751642</v>
      </c>
      <c r="N23" s="53">
        <f ca="1">('TUSD BE'!$N$23+'TUSD BF'!$N$23+'TUSD CVA'!$N$23)*(1 - 0.4)</f>
        <v>1.4659680115306211</v>
      </c>
      <c r="O23" s="53">
        <f>('TUSD BE'!$O$23+'TUSD BF'!$O$23+'TUSD CVA'!$O$23)*(1 - 0.4)</f>
        <v>0</v>
      </c>
      <c r="P23" s="53">
        <v>0</v>
      </c>
      <c r="Q23" s="53">
        <f>('TUSD BE'!$Q$23+'TUSD BF'!$Q$23+'TUSD CVA'!$Q$23)*(1 - 0.4)</f>
        <v>0</v>
      </c>
      <c r="R23" s="53">
        <v>0</v>
      </c>
      <c r="S23" s="53">
        <f>('TUSD BE'!$S$23+'TUSD BF'!$S$23+'TUSD CVA'!$S$23)*(1 - 0.4)</f>
        <v>0</v>
      </c>
      <c r="T23" s="53">
        <f>('TUSD BE'!$U$23+'TUSD BF'!$U$23+'TUSD CVA'!$U$23)*(1 - 0.4)</f>
        <v>21.033895760408253</v>
      </c>
      <c r="U23" s="53">
        <f>('TUSD BE'!$V$23+'TUSD BF'!$V$23+'TUSD CVA'!$V$23)*(1 - 0.4)</f>
        <v>6.8445204867510938</v>
      </c>
      <c r="V23" s="53">
        <f>('TUSD BE'!$W$23+'TUSD BF'!$W$23+'TUSD CVA'!$W$23)*(1 - 0.4)</f>
        <v>11.316030778557931</v>
      </c>
      <c r="W23" s="53">
        <f>('TUSD BE'!$X$23+'TUSD BF'!$X$23+'TUSD CVA'!$X$23)*(1 - 0.4)</f>
        <v>0</v>
      </c>
      <c r="X23" s="53">
        <f>('TUSD BE'!$Y$23+'TUSD BF'!$Y$23+'TUSD CVA'!$Y$23)*(1 - 0.4)</f>
        <v>0</v>
      </c>
      <c r="Y23" s="53">
        <f>('TUSD BE'!$Z$23+'TUSD BF'!$Z$23+'TUSD CVA'!$Z$23)*(1 - 0.4)</f>
        <v>0</v>
      </c>
      <c r="Z23" s="53">
        <f>('TUSD BE'!$AA$23+'TUSD BF'!$AA$23+'TUSD CVA'!$AA$23)*(1 - 0.4)</f>
        <v>0</v>
      </c>
      <c r="AA23" s="53">
        <f>('TUSD BE'!$AC$23+'TUSD BF'!$AC$23+'TUSD CVA'!$AC$23)*(1 - 0.4)</f>
        <v>111.26409924243247</v>
      </c>
      <c r="AB23" s="53">
        <f ca="1">('TUSD BE'!$AE$23+'TUSD BF'!$AE$23+'TUSD CVA'!$AE$23)*(1 - 0.4)</f>
        <v>-30.633161417338716</v>
      </c>
      <c r="AC23" s="53">
        <f ca="1">('TUSD BE'!$AF$23+'TUSD BF'!$AF$23+'TUSD CVA'!$AF$23)*(1 - 0.4)</f>
        <v>0</v>
      </c>
      <c r="AD23" s="53">
        <f>('TUSD BE'!$AH$23+'TUSD BF'!$AH$23+'TUSD CVA'!$AH$23)*(1 - 0.4)</f>
        <v>10.49620148514621</v>
      </c>
      <c r="AE23" s="53">
        <f>('TUSD BE'!$AI$23+'TUSD BF'!$AI$23+'TUSD CVA'!$AI$23)*(1 - 0.4)</f>
        <v>0.35997997050369412</v>
      </c>
      <c r="AF23" s="53">
        <f ca="1">('TUSD BE'!$AJ$23+'TUSD BF'!$AJ$23+'TUSD CVA'!$AJ$23)*(1 - 0.4)</f>
        <v>1.5453473629858503</v>
      </c>
      <c r="AG23" s="53">
        <f ca="1">('TUSD BE'!$AK$23+'TUSD BF'!$AK$23+'TUSD CVA'!$AK$23)*(1 - 0.4)</f>
        <v>0.18661227875945005</v>
      </c>
      <c r="AI23" s="53">
        <v>0</v>
      </c>
      <c r="AJ23" s="53">
        <v>0.45989404538711098</v>
      </c>
      <c r="AK23" s="53">
        <v>1.9789941958844901</v>
      </c>
      <c r="AL23" s="53">
        <v>0</v>
      </c>
      <c r="AM23" s="53">
        <v>0</v>
      </c>
      <c r="AN23" s="53">
        <v>0</v>
      </c>
      <c r="AO23" s="53">
        <v>0</v>
      </c>
      <c r="AP23" s="53">
        <v>0</v>
      </c>
      <c r="AQ23" s="53">
        <v>13.3600220014591</v>
      </c>
      <c r="AR23" s="53">
        <v>6.0711779656855196</v>
      </c>
      <c r="AS23" s="53">
        <v>5.6927788008085596</v>
      </c>
      <c r="AT23" s="53">
        <v>0</v>
      </c>
      <c r="AU23" s="53">
        <v>0</v>
      </c>
      <c r="AV23" s="53">
        <v>0</v>
      </c>
      <c r="AW23" s="53">
        <v>0</v>
      </c>
      <c r="AX23" s="53">
        <v>108.35919470082401</v>
      </c>
      <c r="AY23" s="53">
        <v>0</v>
      </c>
      <c r="AZ23" s="53">
        <v>0</v>
      </c>
      <c r="BA23" s="53">
        <v>11.6050588143793</v>
      </c>
      <c r="BB23" s="53">
        <v>0.334119582499395</v>
      </c>
      <c r="BC23" s="53">
        <v>1.3416324709748999</v>
      </c>
      <c r="BD23" s="53">
        <v>0.18794201986491499</v>
      </c>
    </row>
    <row r="24" spans="1:56" ht="11.25" customHeight="1" x14ac:dyDescent="0.25">
      <c r="A24" s="131"/>
      <c r="B24" s="131"/>
      <c r="C24" s="131"/>
      <c r="D24" s="73" t="s">
        <v>30</v>
      </c>
      <c r="E24" s="73" t="s">
        <v>25</v>
      </c>
      <c r="F24" s="73" t="s">
        <v>25</v>
      </c>
      <c r="G24" s="74" t="s">
        <v>86</v>
      </c>
      <c r="H24" s="74" t="s">
        <v>82</v>
      </c>
      <c r="I24" s="74">
        <f>'MERCADO TUSD'!$U$21</f>
        <v>537.75300000000004</v>
      </c>
      <c r="J24" s="15"/>
      <c r="L24" s="53">
        <f>('TUSD BE'!$L$24+'TUSD BF'!$L$24+'TUSD CVA'!$L$24)*(1 - 0.1)</f>
        <v>0</v>
      </c>
      <c r="M24" s="53">
        <f>('TUSD BE'!$M$24+'TUSD BF'!$M$24+'TUSD CVA'!$M$24)*(1 - 0.1)</f>
        <v>0.70535680276127466</v>
      </c>
      <c r="N24" s="53">
        <f ca="1">('TUSD BE'!$N$24+'TUSD BF'!$N$24+'TUSD CVA'!$N$24)*(1 - 0.1)</f>
        <v>2.1989520172959316</v>
      </c>
      <c r="O24" s="53">
        <f>('TUSD BE'!$O$24+'TUSD BF'!$O$24+'TUSD CVA'!$O$24)*(1 - 0.1)</f>
        <v>0</v>
      </c>
      <c r="P24" s="53">
        <v>0</v>
      </c>
      <c r="Q24" s="53">
        <f>('TUSD BE'!$Q$24+'TUSD BF'!$Q$24+'TUSD CVA'!$Q$24)*(1 - 0.1)</f>
        <v>0</v>
      </c>
      <c r="R24" s="53">
        <v>0</v>
      </c>
      <c r="S24" s="53">
        <f>('TUSD BE'!$S$24+'TUSD BF'!$S$24+'TUSD CVA'!$S$24)*(1 - 0.1)</f>
        <v>0</v>
      </c>
      <c r="T24" s="53">
        <f>('TUSD BE'!$U$24+'TUSD BF'!$U$24+'TUSD CVA'!$U$24)*(1 - 0.1)</f>
        <v>31.550843640612378</v>
      </c>
      <c r="U24" s="53">
        <f>('TUSD BE'!$V$24+'TUSD BF'!$V$24+'TUSD CVA'!$V$24)*(1 - 0.1)</f>
        <v>10.266780730126641</v>
      </c>
      <c r="V24" s="53">
        <f>('TUSD BE'!$W$24+'TUSD BF'!$W$24+'TUSD CVA'!$W$24)*(1 - 0.1)</f>
        <v>16.974046167836896</v>
      </c>
      <c r="W24" s="53">
        <f>('TUSD BE'!$X$24+'TUSD BF'!$X$24+'TUSD CVA'!$X$24)*(1 - 0.1)</f>
        <v>0</v>
      </c>
      <c r="X24" s="53">
        <f>('TUSD BE'!$Y$24+'TUSD BF'!$Y$24+'TUSD CVA'!$Y$24)*(1 - 0.1)</f>
        <v>0</v>
      </c>
      <c r="Y24" s="53">
        <f>('TUSD BE'!$Z$24+'TUSD BF'!$Z$24+'TUSD CVA'!$Z$24)*(1 - 0.1)</f>
        <v>0</v>
      </c>
      <c r="Z24" s="53">
        <f>('TUSD BE'!$AA$24+'TUSD BF'!$AA$24+'TUSD CVA'!$AA$24)*(1 - 0.1)</f>
        <v>0</v>
      </c>
      <c r="AA24" s="53">
        <f>('TUSD BE'!$AC$24+'TUSD BF'!$AC$24+'TUSD CVA'!$AC$24)*(1 - 0.1)</f>
        <v>166.8961488636487</v>
      </c>
      <c r="AB24" s="53">
        <f ca="1">('TUSD BE'!$AE$24+'TUSD BF'!$AE$24+'TUSD CVA'!$AE$24)*(1 - 0.1)</f>
        <v>-45.949742126008076</v>
      </c>
      <c r="AC24" s="53">
        <f ca="1">('TUSD BE'!$AF$24+'TUSD BF'!$AF$24+'TUSD CVA'!$AF$24)*(1 - 0.1)</f>
        <v>0</v>
      </c>
      <c r="AD24" s="53">
        <f>('TUSD BE'!$AH$24+'TUSD BF'!$AH$24+'TUSD CVA'!$AH$24)*(1 - 0.1)</f>
        <v>15.744302227719318</v>
      </c>
      <c r="AE24" s="53">
        <f>('TUSD BE'!$AI$24+'TUSD BF'!$AI$24+'TUSD CVA'!$AI$24)*(1 - 0.1)</f>
        <v>0.53996995575554119</v>
      </c>
      <c r="AF24" s="53">
        <f ca="1">('TUSD BE'!$AJ$24+'TUSD BF'!$AJ$24+'TUSD CVA'!$AJ$24)*(1 - 0.1)</f>
        <v>2.3180210444787757</v>
      </c>
      <c r="AG24" s="53">
        <f ca="1">('TUSD BE'!$AK$24+'TUSD BF'!$AK$24+'TUSD CVA'!$AK$24)*(1 - 0.1)</f>
        <v>0.27991841813917512</v>
      </c>
      <c r="AI24" s="53">
        <v>0</v>
      </c>
      <c r="AJ24" s="53">
        <v>0.68984106808066603</v>
      </c>
      <c r="AK24" s="53">
        <v>2.96849129382674</v>
      </c>
      <c r="AL24" s="53">
        <v>0</v>
      </c>
      <c r="AM24" s="53">
        <v>0</v>
      </c>
      <c r="AN24" s="53">
        <v>0</v>
      </c>
      <c r="AO24" s="53">
        <v>0</v>
      </c>
      <c r="AP24" s="53">
        <v>0</v>
      </c>
      <c r="AQ24" s="53">
        <v>20.040033002188601</v>
      </c>
      <c r="AR24" s="53">
        <v>9.1067669485282892</v>
      </c>
      <c r="AS24" s="53">
        <v>8.5391682012128403</v>
      </c>
      <c r="AT24" s="53">
        <v>0</v>
      </c>
      <c r="AU24" s="53">
        <v>0</v>
      </c>
      <c r="AV24" s="53">
        <v>0</v>
      </c>
      <c r="AW24" s="53">
        <v>0</v>
      </c>
      <c r="AX24" s="53">
        <v>162.53879205123599</v>
      </c>
      <c r="AY24" s="53">
        <v>0</v>
      </c>
      <c r="AZ24" s="53">
        <v>0</v>
      </c>
      <c r="BA24" s="53">
        <v>17.407588221568901</v>
      </c>
      <c r="BB24" s="53">
        <v>0.50117937374909205</v>
      </c>
      <c r="BC24" s="53">
        <v>2.01244870646235</v>
      </c>
      <c r="BD24" s="53">
        <v>0.28191302979737298</v>
      </c>
    </row>
    <row r="25" spans="1:56" ht="11.25" customHeight="1" x14ac:dyDescent="0.25">
      <c r="A25" s="131"/>
      <c r="B25" s="131"/>
      <c r="C25" s="131"/>
      <c r="D25" s="73" t="s">
        <v>31</v>
      </c>
      <c r="E25" s="73" t="s">
        <v>25</v>
      </c>
      <c r="F25" s="73" t="s">
        <v>25</v>
      </c>
      <c r="G25" s="74" t="s">
        <v>86</v>
      </c>
      <c r="H25" s="74" t="s">
        <v>82</v>
      </c>
      <c r="I25" s="74">
        <f>'MERCADO TUSD'!$U$22</f>
        <v>180.10599999999999</v>
      </c>
      <c r="J25" s="15"/>
      <c r="L25" s="53">
        <f>('TUSD BE'!$L$25+'TUSD BF'!$L$25+'TUSD CVA'!$L$25)*1</f>
        <v>0</v>
      </c>
      <c r="M25" s="53">
        <f>('TUSD BE'!$M$25+'TUSD BF'!$M$25+'TUSD CVA'!$M$25)*1</f>
        <v>0.78372978084586076</v>
      </c>
      <c r="N25" s="53">
        <f ca="1">('TUSD BE'!$N$25+'TUSD BF'!$N$25+'TUSD CVA'!$N$25)*1</f>
        <v>2.4432800192177018</v>
      </c>
      <c r="O25" s="53">
        <f>('TUSD BE'!$O$25+'TUSD BF'!$O$25+'TUSD CVA'!$O$25)*1</f>
        <v>0</v>
      </c>
      <c r="P25" s="53">
        <v>0</v>
      </c>
      <c r="Q25" s="53">
        <f>('TUSD BE'!$Q$25+'TUSD BF'!$Q$25+'TUSD CVA'!$Q$25)*1</f>
        <v>0</v>
      </c>
      <c r="R25" s="53">
        <v>0</v>
      </c>
      <c r="S25" s="53">
        <f>('TUSD BE'!$S$25+'TUSD BF'!$S$25+'TUSD CVA'!$S$25)*1</f>
        <v>0</v>
      </c>
      <c r="T25" s="53">
        <f>('TUSD BE'!$U$25+'TUSD BF'!$U$25+'TUSD CVA'!$U$25)*1</f>
        <v>35.056492934013754</v>
      </c>
      <c r="U25" s="53">
        <f>('TUSD BE'!$V$25+'TUSD BF'!$V$25+'TUSD CVA'!$V$25)*1</f>
        <v>11.407534144585156</v>
      </c>
      <c r="V25" s="53">
        <f>('TUSD BE'!$W$25+'TUSD BF'!$W$25+'TUSD CVA'!$W$25)*1</f>
        <v>18.860051297596552</v>
      </c>
      <c r="W25" s="53">
        <f>('TUSD BE'!$X$25+'TUSD BF'!$X$25+'TUSD CVA'!$X$25)*1</f>
        <v>0</v>
      </c>
      <c r="X25" s="53">
        <f>('TUSD BE'!$Y$25+'TUSD BF'!$Y$25+'TUSD CVA'!$Y$25)*1</f>
        <v>0</v>
      </c>
      <c r="Y25" s="53">
        <f>('TUSD BE'!$Z$25+'TUSD BF'!$Z$25+'TUSD CVA'!$Z$25)*1</f>
        <v>0</v>
      </c>
      <c r="Z25" s="53">
        <f>('TUSD BE'!$AA$25+'TUSD BF'!$AA$25+'TUSD CVA'!$AA$25)*1</f>
        <v>0</v>
      </c>
      <c r="AA25" s="53">
        <f>('TUSD BE'!$AC$25+'TUSD BF'!$AC$25+'TUSD CVA'!$AC$25)*1</f>
        <v>185.44016540405411</v>
      </c>
      <c r="AB25" s="53">
        <f ca="1">('TUSD BE'!$AE$25+'TUSD BF'!$AE$25+'TUSD CVA'!$AE$25)*1</f>
        <v>-51.055269028897861</v>
      </c>
      <c r="AC25" s="53">
        <f ca="1">('TUSD BE'!$AF$25+'TUSD BF'!$AF$25+'TUSD CVA'!$AF$25)*1</f>
        <v>0</v>
      </c>
      <c r="AD25" s="53">
        <f>('TUSD BE'!$AH$25+'TUSD BF'!$AH$25+'TUSD CVA'!$AH$25)*1</f>
        <v>17.493669141910352</v>
      </c>
      <c r="AE25" s="53">
        <f>('TUSD BE'!$AI$25+'TUSD BF'!$AI$25+'TUSD CVA'!$AI$25)*1</f>
        <v>0.59996661750615687</v>
      </c>
      <c r="AF25" s="53">
        <f ca="1">('TUSD BE'!$AJ$25+'TUSD BF'!$AJ$25+'TUSD CVA'!$AJ$25)*1</f>
        <v>2.5755789383097505</v>
      </c>
      <c r="AG25" s="53">
        <f ca="1">('TUSD BE'!$AK$25+'TUSD BF'!$AK$25+'TUSD CVA'!$AK$25)*1</f>
        <v>0.31102046459908345</v>
      </c>
      <c r="AI25" s="53">
        <v>0</v>
      </c>
      <c r="AJ25" s="53">
        <v>0.76649007564518501</v>
      </c>
      <c r="AK25" s="53">
        <v>3.2983236598074801</v>
      </c>
      <c r="AL25" s="53">
        <v>0</v>
      </c>
      <c r="AM25" s="53">
        <v>0</v>
      </c>
      <c r="AN25" s="53">
        <v>0</v>
      </c>
      <c r="AO25" s="53">
        <v>0</v>
      </c>
      <c r="AP25" s="53">
        <v>0</v>
      </c>
      <c r="AQ25" s="53">
        <v>22.266703335765101</v>
      </c>
      <c r="AR25" s="53">
        <v>10.1186299428092</v>
      </c>
      <c r="AS25" s="53">
        <v>9.4879646680142695</v>
      </c>
      <c r="AT25" s="53">
        <v>0</v>
      </c>
      <c r="AU25" s="53">
        <v>0</v>
      </c>
      <c r="AV25" s="53">
        <v>0</v>
      </c>
      <c r="AW25" s="53">
        <v>0</v>
      </c>
      <c r="AX25" s="53">
        <v>180.59865783470701</v>
      </c>
      <c r="AY25" s="53">
        <v>0</v>
      </c>
      <c r="AZ25" s="53">
        <v>0</v>
      </c>
      <c r="BA25" s="53">
        <v>19.3417646906321</v>
      </c>
      <c r="BB25" s="53">
        <v>0.55686597083232503</v>
      </c>
      <c r="BC25" s="53">
        <v>2.2360541182914999</v>
      </c>
      <c r="BD25" s="53">
        <v>0.31323669977485902</v>
      </c>
    </row>
    <row r="26" spans="1:56" ht="11.25" customHeight="1" x14ac:dyDescent="0.25">
      <c r="A26" s="131"/>
      <c r="B26" s="131" t="s">
        <v>95</v>
      </c>
      <c r="C26" s="131" t="s">
        <v>24</v>
      </c>
      <c r="D26" s="73" t="s">
        <v>24</v>
      </c>
      <c r="E26" s="73" t="s">
        <v>25</v>
      </c>
      <c r="F26" s="73" t="s">
        <v>25</v>
      </c>
      <c r="G26" s="74" t="s">
        <v>86</v>
      </c>
      <c r="H26" s="74" t="s">
        <v>82</v>
      </c>
      <c r="I26" s="74">
        <f>'MERCADO TUSD'!$U$23</f>
        <v>0</v>
      </c>
      <c r="J26" s="15"/>
      <c r="L26" s="53">
        <f>('TUSD BE'!$L$26+'TUSD BF'!$L$26+'TUSD CVA'!$L$26)*1</f>
        <v>6.1798513297648698</v>
      </c>
      <c r="M26" s="53">
        <f>('TUSD BE'!$M$26+'TUSD BF'!$M$26+'TUSD CVA'!$M$26)*1</f>
        <v>0.78372978084586076</v>
      </c>
      <c r="N26" s="53">
        <f ca="1">('TUSD BE'!$N$26+'TUSD BF'!$N$26+'TUSD CVA'!$N$26)*1</f>
        <v>2.4522983064403041</v>
      </c>
      <c r="O26" s="53">
        <f>('TUSD BE'!$O$26+'TUSD BF'!$O$26+'TUSD CVA'!$O$26)*1</f>
        <v>0</v>
      </c>
      <c r="P26" s="53">
        <f>('TUSD BE'!$P$26+'TUSD BF'!$P$26+'TUSD CVA'!$P$26)*1</f>
        <v>0</v>
      </c>
      <c r="Q26" s="53">
        <f>('TUSD BE'!$Q$26+'TUSD BF'!$Q$26+'TUSD CVA'!$Q$26)*1</f>
        <v>104.49465285217885</v>
      </c>
      <c r="R26" s="53">
        <f>('TUSD BE'!$R$26+'TUSD BF'!$R$26+'TUSD CVA'!$R$26)*1</f>
        <v>15.761315353222423</v>
      </c>
      <c r="S26" s="53">
        <f>('TUSD BE'!$S$26+'TUSD BF'!$S$26+'TUSD CVA'!$S$26)*1</f>
        <v>0</v>
      </c>
      <c r="T26" s="53">
        <f>('TUSD BE'!$U$26+'TUSD BF'!$U$26+'TUSD CVA'!$U$26)*1</f>
        <v>35.056492934013754</v>
      </c>
      <c r="U26" s="53">
        <f>('TUSD BE'!$V$26+'TUSD BF'!$V$26+'TUSD CVA'!$V$26)*1</f>
        <v>11.407534144585156</v>
      </c>
      <c r="V26" s="53">
        <f>('TUSD BE'!$W$26+'TUSD BF'!$W$26+'TUSD CVA'!$W$26)*1</f>
        <v>18.860051297596552</v>
      </c>
      <c r="W26" s="53">
        <f>('TUSD BE'!$X$26+'TUSD BF'!$X$26+'TUSD CVA'!$X$26)*1</f>
        <v>0</v>
      </c>
      <c r="X26" s="53">
        <f>('TUSD BE'!$Y$26+'TUSD BF'!$Y$26+'TUSD CVA'!$Y$26)*1</f>
        <v>0</v>
      </c>
      <c r="Y26" s="53">
        <f>('TUSD BE'!$Z$26+'TUSD BF'!$Z$26+'TUSD CVA'!$Z$26)*1</f>
        <v>0</v>
      </c>
      <c r="Z26" s="53">
        <f>('TUSD BE'!$AA$26+'TUSD BF'!$AA$26+'TUSD CVA'!$AA$26)*1</f>
        <v>0</v>
      </c>
      <c r="AA26" s="53">
        <f>('TUSD BE'!$AC$26+'TUSD BF'!$AC$26+'TUSD CVA'!$AC$26)*1</f>
        <v>185.44016540405411</v>
      </c>
      <c r="AB26" s="53">
        <f ca="1">('TUSD BE'!$AE$26+'TUSD BF'!$AE$26+'TUSD CVA'!$AE$26)*1</f>
        <v>-71.260129922992746</v>
      </c>
      <c r="AC26" s="53">
        <f ca="1">('TUSD BE'!$AF$26+'TUSD BF'!$AF$26+'TUSD CVA'!$AF$26)*1</f>
        <v>0</v>
      </c>
      <c r="AD26" s="53">
        <f>('TUSD BE'!$AH$26+'TUSD BF'!$AH$26+'TUSD CVA'!$AH$26)*1</f>
        <v>17.493669141910352</v>
      </c>
      <c r="AE26" s="53">
        <f>('TUSD BE'!$AI$26+'TUSD BF'!$AI$26+'TUSD CVA'!$AI$26)*1</f>
        <v>0.59996661750615687</v>
      </c>
      <c r="AF26" s="53">
        <f ca="1">('TUSD BE'!$AJ$26+'TUSD BF'!$AJ$26+'TUSD CVA'!$AJ$26)*1</f>
        <v>2.5755789383097505</v>
      </c>
      <c r="AG26" s="53">
        <f ca="1">('TUSD BE'!$AK$26+'TUSD BF'!$AK$26+'TUSD CVA'!$AK$26)*1</f>
        <v>0.31102046459908345</v>
      </c>
      <c r="AI26" s="53">
        <v>6.3855943595117397</v>
      </c>
      <c r="AJ26" s="53">
        <v>0.76649007564518501</v>
      </c>
      <c r="AK26" s="53">
        <v>3.3121636383828501</v>
      </c>
      <c r="AL26" s="53">
        <v>0</v>
      </c>
      <c r="AM26" s="53">
        <v>0</v>
      </c>
      <c r="AN26" s="53">
        <v>59.500123198303399</v>
      </c>
      <c r="AO26" s="53">
        <v>9.6151749499763994</v>
      </c>
      <c r="AP26" s="53">
        <v>0</v>
      </c>
      <c r="AQ26" s="53">
        <v>22.266703335765101</v>
      </c>
      <c r="AR26" s="53">
        <v>10.1186299428092</v>
      </c>
      <c r="AS26" s="53">
        <v>9.4879646680142695</v>
      </c>
      <c r="AT26" s="53">
        <v>0</v>
      </c>
      <c r="AU26" s="53">
        <v>0</v>
      </c>
      <c r="AV26" s="53">
        <v>0</v>
      </c>
      <c r="AW26" s="53">
        <v>0</v>
      </c>
      <c r="AX26" s="53">
        <v>180.59865783470701</v>
      </c>
      <c r="AY26" s="53">
        <v>0</v>
      </c>
      <c r="AZ26" s="53">
        <v>0</v>
      </c>
      <c r="BA26" s="53">
        <v>19.3417646906321</v>
      </c>
      <c r="BB26" s="53">
        <v>0.55686597083232503</v>
      </c>
      <c r="BC26" s="53">
        <v>2.2360541182914999</v>
      </c>
      <c r="BD26" s="53">
        <v>0.31323669977485902</v>
      </c>
    </row>
    <row r="27" spans="1:56" ht="11.25" customHeight="1" x14ac:dyDescent="0.25">
      <c r="A27" s="131"/>
      <c r="B27" s="131"/>
      <c r="C27" s="131"/>
      <c r="D27" s="73" t="s">
        <v>28</v>
      </c>
      <c r="E27" s="73" t="s">
        <v>25</v>
      </c>
      <c r="F27" s="73" t="s">
        <v>25</v>
      </c>
      <c r="G27" s="74" t="s">
        <v>86</v>
      </c>
      <c r="H27" s="74" t="s">
        <v>82</v>
      </c>
      <c r="I27" s="74">
        <f>'MERCADO TUSD'!$U$24</f>
        <v>0</v>
      </c>
      <c r="J27" s="15"/>
      <c r="L27" s="53">
        <f>('TUSD BE'!$L$27+'TUSD BF'!$L$27+'TUSD CVA'!$L$27)*(1 - 0.65)</f>
        <v>0</v>
      </c>
      <c r="M27" s="53">
        <f>('TUSD BE'!$M$27+'TUSD BF'!$M$27+'TUSD CVA'!$M$27)*(1 - 0.65)</f>
        <v>0.27430542329605123</v>
      </c>
      <c r="N27" s="53">
        <f ca="1">('TUSD BE'!$N$27+'TUSD BF'!$N$27+'TUSD CVA'!$N$27)*(1 - 0.65)</f>
        <v>0.85514800672619562</v>
      </c>
      <c r="O27" s="53">
        <f>('TUSD BE'!$O$27+'TUSD BF'!$O$27+'TUSD CVA'!$O$27)*(1 - 0.65)</f>
        <v>0</v>
      </c>
      <c r="P27" s="53">
        <v>0</v>
      </c>
      <c r="Q27" s="53">
        <f>('TUSD BE'!$Q$27+'TUSD BF'!$Q$27+'TUSD CVA'!$Q$27)*(1 - 0.65)</f>
        <v>0</v>
      </c>
      <c r="R27" s="53">
        <v>0</v>
      </c>
      <c r="S27" s="53">
        <f>('TUSD BE'!$S$27+'TUSD BF'!$S$27+'TUSD CVA'!$S$27)*(1 - 0.65)</f>
        <v>0</v>
      </c>
      <c r="T27" s="53">
        <f>('TUSD BE'!$U$27+'TUSD BF'!$U$27+'TUSD CVA'!$U$27)*(1 - 0.65)</f>
        <v>12.269772526904813</v>
      </c>
      <c r="U27" s="53">
        <f>('TUSD BE'!$V$27+'TUSD BF'!$V$27+'TUSD CVA'!$V$27)*(1 - 0.65)</f>
        <v>3.9926369506048043</v>
      </c>
      <c r="V27" s="53">
        <f>('TUSD BE'!$W$27+'TUSD BF'!$W$27+'TUSD CVA'!$W$27)*(1 - 0.65)</f>
        <v>6.6010179541587926</v>
      </c>
      <c r="W27" s="53">
        <f>('TUSD BE'!$X$27+'TUSD BF'!$X$27+'TUSD CVA'!$X$27)*(1 - 0.65)</f>
        <v>0</v>
      </c>
      <c r="X27" s="53">
        <f>('TUSD BE'!$Y$27+'TUSD BF'!$Y$27+'TUSD CVA'!$Y$27)*(1 - 0.65)</f>
        <v>0</v>
      </c>
      <c r="Y27" s="53">
        <f>('TUSD BE'!$Z$27+'TUSD BF'!$Z$27+'TUSD CVA'!$Z$27)*(1 - 0.65)</f>
        <v>0</v>
      </c>
      <c r="Z27" s="53">
        <f>('TUSD BE'!$AA$27+'TUSD BF'!$AA$27+'TUSD CVA'!$AA$27)*(1 - 0.65)</f>
        <v>0</v>
      </c>
      <c r="AA27" s="53">
        <f>('TUSD BE'!$AC$27+'TUSD BF'!$AC$27+'TUSD CVA'!$AC$27)*(1 - 0.65)</f>
        <v>64.90405789141893</v>
      </c>
      <c r="AB27" s="53">
        <f ca="1">('TUSD BE'!$AE$27+'TUSD BF'!$AE$27+'TUSD CVA'!$AE$27)*(1 - 0.65)</f>
        <v>-17.869344160114249</v>
      </c>
      <c r="AC27" s="53">
        <f ca="1">('TUSD BE'!$AF$27+'TUSD BF'!$AF$27+'TUSD CVA'!$AF$27)*(1 - 0.65)</f>
        <v>0</v>
      </c>
      <c r="AD27" s="53">
        <f>('TUSD BE'!$AH$27+'TUSD BF'!$AH$27+'TUSD CVA'!$AH$27)*(1 - 0.65)</f>
        <v>6.1227841996686232</v>
      </c>
      <c r="AE27" s="53">
        <f>('TUSD BE'!$AI$27+'TUSD BF'!$AI$27+'TUSD CVA'!$AI$27)*(1 - 0.65)</f>
        <v>0.20998831612715491</v>
      </c>
      <c r="AF27" s="53">
        <f ca="1">('TUSD BE'!$AJ$27+'TUSD BF'!$AJ$27+'TUSD CVA'!$AJ$27)*(1 - 0.65)</f>
        <v>0.90145262840841256</v>
      </c>
      <c r="AG27" s="53">
        <f ca="1">('TUSD BE'!$AK$27+'TUSD BF'!$AK$27+'TUSD CVA'!$AK$27)*(1 - 0.65)</f>
        <v>0.1088571626096792</v>
      </c>
      <c r="AI27" s="53">
        <v>0</v>
      </c>
      <c r="AJ27" s="53">
        <v>0.26827152647581498</v>
      </c>
      <c r="AK27" s="53">
        <v>1.15441328093262</v>
      </c>
      <c r="AL27" s="53">
        <v>0</v>
      </c>
      <c r="AM27" s="53">
        <v>0</v>
      </c>
      <c r="AN27" s="53">
        <v>0</v>
      </c>
      <c r="AO27" s="53">
        <v>0</v>
      </c>
      <c r="AP27" s="53">
        <v>0</v>
      </c>
      <c r="AQ27" s="53">
        <v>7.7933461675178002</v>
      </c>
      <c r="AR27" s="53">
        <v>3.5415204799832201</v>
      </c>
      <c r="AS27" s="53">
        <v>3.32078763380499</v>
      </c>
      <c r="AT27" s="53">
        <v>0</v>
      </c>
      <c r="AU27" s="53">
        <v>0</v>
      </c>
      <c r="AV27" s="53">
        <v>0</v>
      </c>
      <c r="AW27" s="53">
        <v>0</v>
      </c>
      <c r="AX27" s="53">
        <v>63.209530242147402</v>
      </c>
      <c r="AY27" s="53">
        <v>0</v>
      </c>
      <c r="AZ27" s="53">
        <v>0</v>
      </c>
      <c r="BA27" s="53">
        <v>6.7696176417212302</v>
      </c>
      <c r="BB27" s="53">
        <v>0.19490308979131399</v>
      </c>
      <c r="BC27" s="53">
        <v>0.78261894140202304</v>
      </c>
      <c r="BD27" s="53">
        <v>0.109632844921201</v>
      </c>
    </row>
    <row r="28" spans="1:56" ht="11.25" customHeight="1" x14ac:dyDescent="0.25">
      <c r="A28" s="131"/>
      <c r="B28" s="131"/>
      <c r="C28" s="131"/>
      <c r="D28" s="73" t="s">
        <v>29</v>
      </c>
      <c r="E28" s="73" t="s">
        <v>25</v>
      </c>
      <c r="F28" s="73" t="s">
        <v>25</v>
      </c>
      <c r="G28" s="74" t="s">
        <v>86</v>
      </c>
      <c r="H28" s="74" t="s">
        <v>82</v>
      </c>
      <c r="I28" s="74">
        <f>'MERCADO TUSD'!$U$25</f>
        <v>0</v>
      </c>
      <c r="J28" s="15"/>
      <c r="L28" s="53">
        <f>('TUSD BE'!$L$28+'TUSD BF'!$L$28+'TUSD CVA'!$L$28)*(1 - 0.4)</f>
        <v>0</v>
      </c>
      <c r="M28" s="53">
        <f>('TUSD BE'!$M$28+'TUSD BF'!$M$28+'TUSD CVA'!$M$28)*(1 - 0.4)</f>
        <v>0.47023786850751642</v>
      </c>
      <c r="N28" s="53">
        <f ca="1">('TUSD BE'!$N$28+'TUSD BF'!$N$28+'TUSD CVA'!$N$28)*(1 - 0.4)</f>
        <v>1.4659680115306211</v>
      </c>
      <c r="O28" s="53">
        <f>('TUSD BE'!$O$28+'TUSD BF'!$O$28+'TUSD CVA'!$O$28)*(1 - 0.4)</f>
        <v>0</v>
      </c>
      <c r="P28" s="53">
        <v>0</v>
      </c>
      <c r="Q28" s="53">
        <f>('TUSD BE'!$Q$28+'TUSD BF'!$Q$28+'TUSD CVA'!$Q$28)*(1 - 0.4)</f>
        <v>0</v>
      </c>
      <c r="R28" s="53">
        <v>0</v>
      </c>
      <c r="S28" s="53">
        <f>('TUSD BE'!$S$28+'TUSD BF'!$S$28+'TUSD CVA'!$S$28)*(1 - 0.4)</f>
        <v>0</v>
      </c>
      <c r="T28" s="53">
        <f>('TUSD BE'!$U$28+'TUSD BF'!$U$28+'TUSD CVA'!$U$28)*(1 - 0.4)</f>
        <v>21.033895760408253</v>
      </c>
      <c r="U28" s="53">
        <f>('TUSD BE'!$V$28+'TUSD BF'!$V$28+'TUSD CVA'!$V$28)*(1 - 0.4)</f>
        <v>6.8445204867510938</v>
      </c>
      <c r="V28" s="53">
        <f>('TUSD BE'!$W$28+'TUSD BF'!$W$28+'TUSD CVA'!$W$28)*(1 - 0.4)</f>
        <v>11.316030778557931</v>
      </c>
      <c r="W28" s="53">
        <f>('TUSD BE'!$X$28+'TUSD BF'!$X$28+'TUSD CVA'!$X$28)*(1 - 0.4)</f>
        <v>0</v>
      </c>
      <c r="X28" s="53">
        <f>('TUSD BE'!$Y$28+'TUSD BF'!$Y$28+'TUSD CVA'!$Y$28)*(1 - 0.4)</f>
        <v>0</v>
      </c>
      <c r="Y28" s="53">
        <f>('TUSD BE'!$Z$28+'TUSD BF'!$Z$28+'TUSD CVA'!$Z$28)*(1 - 0.4)</f>
        <v>0</v>
      </c>
      <c r="Z28" s="53">
        <f>('TUSD BE'!$AA$28+'TUSD BF'!$AA$28+'TUSD CVA'!$AA$28)*(1 - 0.4)</f>
        <v>0</v>
      </c>
      <c r="AA28" s="53">
        <f>('TUSD BE'!$AC$28+'TUSD BF'!$AC$28+'TUSD CVA'!$AC$28)*(1 - 0.4)</f>
        <v>111.26409924243247</v>
      </c>
      <c r="AB28" s="53">
        <f ca="1">('TUSD BE'!$AE$28+'TUSD BF'!$AE$28+'TUSD CVA'!$AE$28)*(1 - 0.4)</f>
        <v>-30.633161417338716</v>
      </c>
      <c r="AC28" s="53">
        <f ca="1">('TUSD BE'!$AF$28+'TUSD BF'!$AF$28+'TUSD CVA'!$AF$28)*(1 - 0.4)</f>
        <v>0</v>
      </c>
      <c r="AD28" s="53">
        <f>('TUSD BE'!$AH$28+'TUSD BF'!$AH$28+'TUSD CVA'!$AH$28)*(1 - 0.4)</f>
        <v>10.49620148514621</v>
      </c>
      <c r="AE28" s="53">
        <f>('TUSD BE'!$AI$28+'TUSD BF'!$AI$28+'TUSD CVA'!$AI$28)*(1 - 0.4)</f>
        <v>0.35997997050369412</v>
      </c>
      <c r="AF28" s="53">
        <f ca="1">('TUSD BE'!$AJ$28+'TUSD BF'!$AJ$28+'TUSD CVA'!$AJ$28)*(1 - 0.4)</f>
        <v>1.5453473629858503</v>
      </c>
      <c r="AG28" s="53">
        <f ca="1">('TUSD BE'!$AK$28+'TUSD BF'!$AK$28+'TUSD CVA'!$AK$28)*(1 - 0.4)</f>
        <v>0.18661227875945005</v>
      </c>
      <c r="AI28" s="53">
        <v>0</v>
      </c>
      <c r="AJ28" s="53">
        <v>0.45989404538711098</v>
      </c>
      <c r="AK28" s="53">
        <v>1.9789941958844901</v>
      </c>
      <c r="AL28" s="53">
        <v>0</v>
      </c>
      <c r="AM28" s="53">
        <v>0</v>
      </c>
      <c r="AN28" s="53">
        <v>0</v>
      </c>
      <c r="AO28" s="53">
        <v>0</v>
      </c>
      <c r="AP28" s="53">
        <v>0</v>
      </c>
      <c r="AQ28" s="53">
        <v>13.3600220014591</v>
      </c>
      <c r="AR28" s="53">
        <v>6.0711779656855196</v>
      </c>
      <c r="AS28" s="53">
        <v>5.6927788008085596</v>
      </c>
      <c r="AT28" s="53">
        <v>0</v>
      </c>
      <c r="AU28" s="53">
        <v>0</v>
      </c>
      <c r="AV28" s="53">
        <v>0</v>
      </c>
      <c r="AW28" s="53">
        <v>0</v>
      </c>
      <c r="AX28" s="53">
        <v>108.35919470082401</v>
      </c>
      <c r="AY28" s="53">
        <v>0</v>
      </c>
      <c r="AZ28" s="53">
        <v>0</v>
      </c>
      <c r="BA28" s="53">
        <v>11.6050588143793</v>
      </c>
      <c r="BB28" s="53">
        <v>0.334119582499395</v>
      </c>
      <c r="BC28" s="53">
        <v>1.3416324709748999</v>
      </c>
      <c r="BD28" s="53">
        <v>0.18794201986491499</v>
      </c>
    </row>
    <row r="29" spans="1:56" ht="11.25" customHeight="1" x14ac:dyDescent="0.25">
      <c r="A29" s="131"/>
      <c r="B29" s="131"/>
      <c r="C29" s="131"/>
      <c r="D29" s="73" t="s">
        <v>30</v>
      </c>
      <c r="E29" s="73" t="s">
        <v>25</v>
      </c>
      <c r="F29" s="73" t="s">
        <v>25</v>
      </c>
      <c r="G29" s="74" t="s">
        <v>86</v>
      </c>
      <c r="H29" s="74" t="s">
        <v>82</v>
      </c>
      <c r="I29" s="74">
        <f>'MERCADO TUSD'!$U$26</f>
        <v>0</v>
      </c>
      <c r="J29" s="15"/>
      <c r="L29" s="53">
        <f>('TUSD BE'!$L$29+'TUSD BF'!$L$29+'TUSD CVA'!$L$29)*(1 - 0.1)</f>
        <v>0</v>
      </c>
      <c r="M29" s="53">
        <f>('TUSD BE'!$M$29+'TUSD BF'!$M$29+'TUSD CVA'!$M$29)*(1 - 0.1)</f>
        <v>0.70535680276127466</v>
      </c>
      <c r="N29" s="53">
        <f ca="1">('TUSD BE'!$N$29+'TUSD BF'!$N$29+'TUSD CVA'!$N$29)*(1 - 0.1)</f>
        <v>2.1989520172959316</v>
      </c>
      <c r="O29" s="53">
        <f>('TUSD BE'!$O$29+'TUSD BF'!$O$29+'TUSD CVA'!$O$29)*(1 - 0.1)</f>
        <v>0</v>
      </c>
      <c r="P29" s="53">
        <v>0</v>
      </c>
      <c r="Q29" s="53">
        <f>('TUSD BE'!$Q$29+'TUSD BF'!$Q$29+'TUSD CVA'!$Q$29)*(1 - 0.1)</f>
        <v>0</v>
      </c>
      <c r="R29" s="53">
        <v>0</v>
      </c>
      <c r="S29" s="53">
        <f>('TUSD BE'!$S$29+'TUSD BF'!$S$29+'TUSD CVA'!$S$29)*(1 - 0.1)</f>
        <v>0</v>
      </c>
      <c r="T29" s="53">
        <f>('TUSD BE'!$U$29+'TUSD BF'!$U$29+'TUSD CVA'!$U$29)*(1 - 0.1)</f>
        <v>31.550843640612378</v>
      </c>
      <c r="U29" s="53">
        <f>('TUSD BE'!$V$29+'TUSD BF'!$V$29+'TUSD CVA'!$V$29)*(1 - 0.1)</f>
        <v>10.266780730126641</v>
      </c>
      <c r="V29" s="53">
        <f>('TUSD BE'!$W$29+'TUSD BF'!$W$29+'TUSD CVA'!$W$29)*(1 - 0.1)</f>
        <v>16.974046167836896</v>
      </c>
      <c r="W29" s="53">
        <f>('TUSD BE'!$X$29+'TUSD BF'!$X$29+'TUSD CVA'!$X$29)*(1 - 0.1)</f>
        <v>0</v>
      </c>
      <c r="X29" s="53">
        <f>('TUSD BE'!$Y$29+'TUSD BF'!$Y$29+'TUSD CVA'!$Y$29)*(1 - 0.1)</f>
        <v>0</v>
      </c>
      <c r="Y29" s="53">
        <f>('TUSD BE'!$Z$29+'TUSD BF'!$Z$29+'TUSD CVA'!$Z$29)*(1 - 0.1)</f>
        <v>0</v>
      </c>
      <c r="Z29" s="53">
        <f>('TUSD BE'!$AA$29+'TUSD BF'!$AA$29+'TUSD CVA'!$AA$29)*(1 - 0.1)</f>
        <v>0</v>
      </c>
      <c r="AA29" s="53">
        <f>('TUSD BE'!$AC$29+'TUSD BF'!$AC$29+'TUSD CVA'!$AC$29)*(1 - 0.1)</f>
        <v>166.8961488636487</v>
      </c>
      <c r="AB29" s="53">
        <f ca="1">('TUSD BE'!$AE$29+'TUSD BF'!$AE$29+'TUSD CVA'!$AE$29)*(1 - 0.1)</f>
        <v>-45.949742126008076</v>
      </c>
      <c r="AC29" s="53">
        <f ca="1">('TUSD BE'!$AF$29+'TUSD BF'!$AF$29+'TUSD CVA'!$AF$29)*(1 - 0.1)</f>
        <v>0</v>
      </c>
      <c r="AD29" s="53">
        <f>('TUSD BE'!$AH$29+'TUSD BF'!$AH$29+'TUSD CVA'!$AH$29)*(1 - 0.1)</f>
        <v>15.744302227719318</v>
      </c>
      <c r="AE29" s="53">
        <f>('TUSD BE'!$AI$29+'TUSD BF'!$AI$29+'TUSD CVA'!$AI$29)*(1 - 0.1)</f>
        <v>0.53996995575554119</v>
      </c>
      <c r="AF29" s="53">
        <f ca="1">('TUSD BE'!$AJ$29+'TUSD BF'!$AJ$29+'TUSD CVA'!$AJ$29)*(1 - 0.1)</f>
        <v>2.3180210444787757</v>
      </c>
      <c r="AG29" s="53">
        <f ca="1">('TUSD BE'!$AK$29+'TUSD BF'!$AK$29+'TUSD CVA'!$AK$29)*(1 - 0.1)</f>
        <v>0.27991841813917512</v>
      </c>
      <c r="AI29" s="53">
        <v>0</v>
      </c>
      <c r="AJ29" s="53">
        <v>0.68984106808066603</v>
      </c>
      <c r="AK29" s="53">
        <v>2.96849129382674</v>
      </c>
      <c r="AL29" s="53">
        <v>0</v>
      </c>
      <c r="AM29" s="53">
        <v>0</v>
      </c>
      <c r="AN29" s="53">
        <v>0</v>
      </c>
      <c r="AO29" s="53">
        <v>0</v>
      </c>
      <c r="AP29" s="53">
        <v>0</v>
      </c>
      <c r="AQ29" s="53">
        <v>20.040033002188601</v>
      </c>
      <c r="AR29" s="53">
        <v>9.1067669485282892</v>
      </c>
      <c r="AS29" s="53">
        <v>8.5391682012128403</v>
      </c>
      <c r="AT29" s="53">
        <v>0</v>
      </c>
      <c r="AU29" s="53">
        <v>0</v>
      </c>
      <c r="AV29" s="53">
        <v>0</v>
      </c>
      <c r="AW29" s="53">
        <v>0</v>
      </c>
      <c r="AX29" s="53">
        <v>162.53879205123599</v>
      </c>
      <c r="AY29" s="53">
        <v>0</v>
      </c>
      <c r="AZ29" s="53">
        <v>0</v>
      </c>
      <c r="BA29" s="53">
        <v>17.407588221568901</v>
      </c>
      <c r="BB29" s="53">
        <v>0.50117937374909205</v>
      </c>
      <c r="BC29" s="53">
        <v>2.01244870646235</v>
      </c>
      <c r="BD29" s="53">
        <v>0.28191302979737298</v>
      </c>
    </row>
    <row r="30" spans="1:56" ht="11.25" customHeight="1" x14ac:dyDescent="0.25">
      <c r="A30" s="131"/>
      <c r="B30" s="131"/>
      <c r="C30" s="131"/>
      <c r="D30" s="73" t="s">
        <v>31</v>
      </c>
      <c r="E30" s="73" t="s">
        <v>25</v>
      </c>
      <c r="F30" s="73" t="s">
        <v>25</v>
      </c>
      <c r="G30" s="74" t="s">
        <v>86</v>
      </c>
      <c r="H30" s="74" t="s">
        <v>82</v>
      </c>
      <c r="I30" s="74">
        <f>'MERCADO TUSD'!$U$27</f>
        <v>0</v>
      </c>
      <c r="J30" s="15"/>
      <c r="L30" s="53">
        <f>('TUSD BE'!$L$30+'TUSD BF'!$L$30+'TUSD CVA'!$L$30)*1</f>
        <v>0</v>
      </c>
      <c r="M30" s="53">
        <f>('TUSD BE'!$M$30+'TUSD BF'!$M$30+'TUSD CVA'!$M$30)*1</f>
        <v>0.78372978084586076</v>
      </c>
      <c r="N30" s="53">
        <f ca="1">('TUSD BE'!$N$30+'TUSD BF'!$N$30+'TUSD CVA'!$N$30)*1</f>
        <v>2.4432800192177018</v>
      </c>
      <c r="O30" s="53">
        <f>('TUSD BE'!$O$30+'TUSD BF'!$O$30+'TUSD CVA'!$O$30)*1</f>
        <v>0</v>
      </c>
      <c r="P30" s="53">
        <v>0</v>
      </c>
      <c r="Q30" s="53">
        <f>('TUSD BE'!$Q$30+'TUSD BF'!$Q$30+'TUSD CVA'!$Q$30)*1</f>
        <v>0</v>
      </c>
      <c r="R30" s="53">
        <v>0</v>
      </c>
      <c r="S30" s="53">
        <f>('TUSD BE'!$S$30+'TUSD BF'!$S$30+'TUSD CVA'!$S$30)*1</f>
        <v>0</v>
      </c>
      <c r="T30" s="53">
        <f>('TUSD BE'!$U$30+'TUSD BF'!$U$30+'TUSD CVA'!$U$30)*1</f>
        <v>35.056492934013754</v>
      </c>
      <c r="U30" s="53">
        <f>('TUSD BE'!$V$30+'TUSD BF'!$V$30+'TUSD CVA'!$V$30)*1</f>
        <v>11.407534144585156</v>
      </c>
      <c r="V30" s="53">
        <f>('TUSD BE'!$W$30+'TUSD BF'!$W$30+'TUSD CVA'!$W$30)*1</f>
        <v>18.860051297596552</v>
      </c>
      <c r="W30" s="53">
        <f>('TUSD BE'!$X$30+'TUSD BF'!$X$30+'TUSD CVA'!$X$30)*1</f>
        <v>0</v>
      </c>
      <c r="X30" s="53">
        <f>('TUSD BE'!$Y$30+'TUSD BF'!$Y$30+'TUSD CVA'!$Y$30)*1</f>
        <v>0</v>
      </c>
      <c r="Y30" s="53">
        <f>('TUSD BE'!$Z$30+'TUSD BF'!$Z$30+'TUSD CVA'!$Z$30)*1</f>
        <v>0</v>
      </c>
      <c r="Z30" s="53">
        <f>('TUSD BE'!$AA$30+'TUSD BF'!$AA$30+'TUSD CVA'!$AA$30)*1</f>
        <v>0</v>
      </c>
      <c r="AA30" s="53">
        <f>('TUSD BE'!$AC$30+'TUSD BF'!$AC$30+'TUSD CVA'!$AC$30)*1</f>
        <v>185.44016540405411</v>
      </c>
      <c r="AB30" s="53">
        <f ca="1">('TUSD BE'!$AE$30+'TUSD BF'!$AE$30+'TUSD CVA'!$AE$30)*1</f>
        <v>-51.055269028897861</v>
      </c>
      <c r="AC30" s="53">
        <f ca="1">('TUSD BE'!$AF$30+'TUSD BF'!$AF$30+'TUSD CVA'!$AF$30)*1</f>
        <v>0</v>
      </c>
      <c r="AD30" s="53">
        <f>('TUSD BE'!$AH$30+'TUSD BF'!$AH$30+'TUSD CVA'!$AH$30)*1</f>
        <v>17.493669141910352</v>
      </c>
      <c r="AE30" s="53">
        <f>('TUSD BE'!$AI$30+'TUSD BF'!$AI$30+'TUSD CVA'!$AI$30)*1</f>
        <v>0.59996661750615687</v>
      </c>
      <c r="AF30" s="53">
        <f ca="1">('TUSD BE'!$AJ$30+'TUSD BF'!$AJ$30+'TUSD CVA'!$AJ$30)*1</f>
        <v>2.5755789383097505</v>
      </c>
      <c r="AG30" s="53">
        <f ca="1">('TUSD BE'!$AK$30+'TUSD BF'!$AK$30+'TUSD CVA'!$AK$30)*1</f>
        <v>0.31102046459908345</v>
      </c>
      <c r="AI30" s="53">
        <v>0</v>
      </c>
      <c r="AJ30" s="53">
        <v>0.76649007564518501</v>
      </c>
      <c r="AK30" s="53">
        <v>3.2983236598074801</v>
      </c>
      <c r="AL30" s="53">
        <v>0</v>
      </c>
      <c r="AM30" s="53">
        <v>0</v>
      </c>
      <c r="AN30" s="53">
        <v>0</v>
      </c>
      <c r="AO30" s="53">
        <v>0</v>
      </c>
      <c r="AP30" s="53">
        <v>0</v>
      </c>
      <c r="AQ30" s="53">
        <v>22.266703335765101</v>
      </c>
      <c r="AR30" s="53">
        <v>10.1186299428092</v>
      </c>
      <c r="AS30" s="53">
        <v>9.4879646680142695</v>
      </c>
      <c r="AT30" s="53">
        <v>0</v>
      </c>
      <c r="AU30" s="53">
        <v>0</v>
      </c>
      <c r="AV30" s="53">
        <v>0</v>
      </c>
      <c r="AW30" s="53">
        <v>0</v>
      </c>
      <c r="AX30" s="53">
        <v>180.59865783470701</v>
      </c>
      <c r="AY30" s="53">
        <v>0</v>
      </c>
      <c r="AZ30" s="53">
        <v>0</v>
      </c>
      <c r="BA30" s="53">
        <v>19.3417646906321</v>
      </c>
      <c r="BB30" s="53">
        <v>0.55686597083232503</v>
      </c>
      <c r="BC30" s="53">
        <v>2.2360541182914999</v>
      </c>
      <c r="BD30" s="53">
        <v>0.31323669977485902</v>
      </c>
    </row>
    <row r="31" spans="1:56" ht="11.25" customHeight="1" x14ac:dyDescent="0.25">
      <c r="A31" s="131" t="s">
        <v>42</v>
      </c>
      <c r="B31" s="131" t="s">
        <v>32</v>
      </c>
      <c r="C31" s="131" t="s">
        <v>43</v>
      </c>
      <c r="D31" s="131" t="s">
        <v>25</v>
      </c>
      <c r="E31" s="131" t="s">
        <v>25</v>
      </c>
      <c r="F31" s="131" t="s">
        <v>25</v>
      </c>
      <c r="G31" s="74" t="s">
        <v>83</v>
      </c>
      <c r="H31" s="74" t="s">
        <v>82</v>
      </c>
      <c r="I31" s="74">
        <f>'MERCADO TUSD'!$U$28</f>
        <v>0</v>
      </c>
      <c r="J31" s="15"/>
      <c r="L31" s="53">
        <f>('TUSD BE'!$L$31+'TUSD BF'!$L$31+'TUSD CVA'!$L$31)*(1 - CUSTOS!$M$38)</f>
        <v>5.8090602499789776</v>
      </c>
      <c r="M31" s="53">
        <f>('TUSD BE'!$M$31+'TUSD BF'!$M$31+'TUSD CVA'!$M$31)*(1 - CUSTOS!$M$38)</f>
        <v>0.73670599399510905</v>
      </c>
      <c r="N31" s="53">
        <f ca="1">('TUSD BE'!$N$31+'TUSD BF'!$N$31+'TUSD CVA'!$N$31)*(1 - CUSTOS!$M$38)</f>
        <v>8.1497277229227016</v>
      </c>
      <c r="O31" s="53">
        <f>('TUSD BE'!$O$31+'TUSD BF'!$O$31+'TUSD CVA'!$O$31)*(1 - CUSTOS!$M$38)</f>
        <v>0</v>
      </c>
      <c r="P31" s="53">
        <f>('TUSD BE'!$P$31+'TUSD BF'!$P$31+'TUSD CVA'!$P$31)*(1 - CUSTOS!$M$38)</f>
        <v>0</v>
      </c>
      <c r="Q31" s="53">
        <f>('TUSD BE'!$Q$31+'TUSD BF'!$Q$31+'TUSD CVA'!$Q$31)*(1 - CUSTOS!$M$38)</f>
        <v>98.224973681048112</v>
      </c>
      <c r="R31" s="53">
        <f>('TUSD BE'!$R$31+'TUSD BF'!$R$31+'TUSD CVA'!$R$31)*(1 - CUSTOS!$M$38)</f>
        <v>14.815636432029077</v>
      </c>
      <c r="S31" s="53">
        <f>('TUSD BE'!$S$31+'TUSD BF'!$S$31+'TUSD CVA'!$S$31)*(1 - CUSTOS!$M$38)</f>
        <v>0</v>
      </c>
      <c r="T31" s="53">
        <f>('TUSD BE'!$U$31+'TUSD BF'!$U$31+'TUSD CVA'!$U$31)*(1 - CUSTOS!$M$38)</f>
        <v>135.10762398154711</v>
      </c>
      <c r="U31" s="53">
        <f>('TUSD BE'!$V$31+'TUSD BF'!$V$31+'TUSD CVA'!$V$31)*(1 - CUSTOS!$M$38)</f>
        <v>43.964734031505579</v>
      </c>
      <c r="V31" s="53">
        <f>('TUSD BE'!$W$31+'TUSD BF'!$W$31+'TUSD CVA'!$W$31)*(1 - CUSTOS!$M$38)</f>
        <v>72.686560616631198</v>
      </c>
      <c r="W31" s="53">
        <f>('TUSD BE'!$X$31+'TUSD BF'!$X$31+'TUSD CVA'!$X$31)*(1 - CUSTOS!$M$38)</f>
        <v>0</v>
      </c>
      <c r="X31" s="53">
        <f>('TUSD BE'!$Y$31+'TUSD BF'!$Y$31+'TUSD CVA'!$Y$31)*(1 - CUSTOS!$M$38)</f>
        <v>0</v>
      </c>
      <c r="Y31" s="53">
        <f>('TUSD BE'!$Z$31+'TUSD BF'!$Z$31+'TUSD CVA'!$Z$31)*(1 - CUSTOS!$M$38)</f>
        <v>0</v>
      </c>
      <c r="Z31" s="53">
        <f>('TUSD BE'!$AA$31+'TUSD BF'!$AA$31+'TUSD CVA'!$AA$31)*(1 - CUSTOS!$M$38)</f>
        <v>0</v>
      </c>
      <c r="AA31" s="53">
        <f>('TUSD BE'!$AC$31+'TUSD BF'!$AC$31+'TUSD CVA'!$AC$31)*(1 - CUSTOS!$M$38)</f>
        <v>714.68635245271003</v>
      </c>
      <c r="AB31" s="53">
        <f ca="1">('TUSD BE'!$AE$31+'TUSD BF'!$AE$31+'TUSD CVA'!$AE$31)*(1 - CUSTOS!$M$38)</f>
        <v>-204.57063560004499</v>
      </c>
      <c r="AC31" s="53">
        <f ca="1">('TUSD BE'!$AF$31+'TUSD BF'!$AF$31+'TUSD CVA'!$AF$31)*(1 - CUSTOS!$M$38)</f>
        <v>0</v>
      </c>
      <c r="AD31" s="53">
        <f>('TUSD BE'!$AH$31+'TUSD BF'!$AH$31+'TUSD CVA'!$AH$31)*(1 - CUSTOS!$M$38)</f>
        <v>16.444048993395729</v>
      </c>
      <c r="AE31" s="53">
        <f>('TUSD BE'!$AI$31+'TUSD BF'!$AI$31+'TUSD CVA'!$AI$31)*(1 - CUSTOS!$M$38)</f>
        <v>0.56396862045578744</v>
      </c>
      <c r="AF31" s="53">
        <f ca="1">('TUSD BE'!$AJ$31+'TUSD BF'!$AJ$31+'TUSD CVA'!$AJ$31)*(1 - CUSTOS!$M$38)</f>
        <v>2.4210442020111653</v>
      </c>
      <c r="AG31" s="53">
        <f ca="1">('TUSD BE'!$AK$31+'TUSD BF'!$AK$31+'TUSD CVA'!$AK$31)*(1 - CUSTOS!$M$38)</f>
        <v>0.2923592367231384</v>
      </c>
      <c r="AI31" s="53">
        <v>5.6193230363703304</v>
      </c>
      <c r="AJ31" s="53">
        <v>0.67451126656776295</v>
      </c>
      <c r="AK31" s="53">
        <v>6.7280896550406197</v>
      </c>
      <c r="AL31" s="53">
        <v>0</v>
      </c>
      <c r="AM31" s="53">
        <v>0</v>
      </c>
      <c r="AN31" s="53">
        <v>52.360108414507003</v>
      </c>
      <c r="AO31" s="53">
        <v>8.4613539559792308</v>
      </c>
      <c r="AP31" s="53">
        <v>0</v>
      </c>
      <c r="AQ31" s="53">
        <v>51.614369541947099</v>
      </c>
      <c r="AR31" s="53">
        <v>23.455049599749699</v>
      </c>
      <c r="AS31" s="53">
        <v>21.9930147587771</v>
      </c>
      <c r="AT31" s="53">
        <v>0</v>
      </c>
      <c r="AU31" s="53">
        <v>0</v>
      </c>
      <c r="AV31" s="53">
        <v>0</v>
      </c>
      <c r="AW31" s="53">
        <v>0</v>
      </c>
      <c r="AX31" s="53">
        <v>418.62914896297298</v>
      </c>
      <c r="AY31" s="53">
        <v>0</v>
      </c>
      <c r="AZ31" s="53">
        <v>0</v>
      </c>
      <c r="BA31" s="53">
        <v>17.020752927756199</v>
      </c>
      <c r="BB31" s="53">
        <v>0.49004205433244602</v>
      </c>
      <c r="BC31" s="53">
        <v>1.96772762409652</v>
      </c>
      <c r="BD31" s="53">
        <v>0.275648295801876</v>
      </c>
    </row>
    <row r="32" spans="1:56" ht="11.25" customHeight="1" x14ac:dyDescent="0.25">
      <c r="A32" s="131"/>
      <c r="B32" s="131"/>
      <c r="C32" s="131"/>
      <c r="D32" s="131"/>
      <c r="E32" s="131"/>
      <c r="F32" s="131"/>
      <c r="G32" s="74" t="s">
        <v>93</v>
      </c>
      <c r="H32" s="74" t="s">
        <v>82</v>
      </c>
      <c r="I32" s="74">
        <f>'MERCADO TUSD'!$U$29</f>
        <v>0</v>
      </c>
      <c r="J32" s="15"/>
      <c r="L32" s="53">
        <f>('TUSD BE'!$L$32+'TUSD BF'!$L$32+'TUSD CVA'!$L$32)*(1 - CUSTOS!$M$38)</f>
        <v>5.8090602499789776</v>
      </c>
      <c r="M32" s="53">
        <f>('TUSD BE'!$M$32+'TUSD BF'!$M$32+'TUSD CVA'!$M$32)*(1 - CUSTOS!$M$38)</f>
        <v>0.73670599399510905</v>
      </c>
      <c r="N32" s="53">
        <f ca="1">('TUSD BE'!$N$32+'TUSD BF'!$N$32+'TUSD CVA'!$N$32)*(1 - CUSTOS!$M$38)</f>
        <v>4.2847724641606462</v>
      </c>
      <c r="O32" s="53">
        <f>('TUSD BE'!$O$32+'TUSD BF'!$O$32+'TUSD CVA'!$O$32)*(1 - CUSTOS!$M$38)</f>
        <v>0</v>
      </c>
      <c r="P32" s="53">
        <f>('TUSD BE'!$P$32+'TUSD BF'!$P$32+'TUSD CVA'!$P$32)*(1 - CUSTOS!$M$38)</f>
        <v>0</v>
      </c>
      <c r="Q32" s="53">
        <f>('TUSD BE'!$Q$32+'TUSD BF'!$Q$32+'TUSD CVA'!$Q$32)*(1 - CUSTOS!$M$38)</f>
        <v>98.224973681048112</v>
      </c>
      <c r="R32" s="53">
        <f>('TUSD BE'!$R$32+'TUSD BF'!$R$32+'TUSD CVA'!$R$32)*(1 - CUSTOS!$M$38)</f>
        <v>14.815636432029077</v>
      </c>
      <c r="S32" s="53">
        <f>('TUSD BE'!$S$32+'TUSD BF'!$S$32+'TUSD CVA'!$S$32)*(1 - CUSTOS!$M$38)</f>
        <v>0</v>
      </c>
      <c r="T32" s="53">
        <f>('TUSD BE'!$U$32+'TUSD BF'!$U$32+'TUSD CVA'!$U$32)*(1 - CUSTOS!$M$38)</f>
        <v>67.553857348110796</v>
      </c>
      <c r="U32" s="53">
        <f>('TUSD BE'!$V$32+'TUSD BF'!$V$32+'TUSD CVA'!$V$32)*(1 - CUSTOS!$M$38)</f>
        <v>21.982367015752789</v>
      </c>
      <c r="V32" s="53">
        <f>('TUSD BE'!$W$32+'TUSD BF'!$W$32+'TUSD CVA'!$W$32)*(1 - CUSTOS!$M$38)</f>
        <v>36.343280308315599</v>
      </c>
      <c r="W32" s="53">
        <f>('TUSD BE'!$X$32+'TUSD BF'!$X$32+'TUSD CVA'!$X$32)*(1 - CUSTOS!$M$38)</f>
        <v>0</v>
      </c>
      <c r="X32" s="53">
        <f>('TUSD BE'!$Y$32+'TUSD BF'!$Y$32+'TUSD CVA'!$Y$32)*(1 - CUSTOS!$M$38)</f>
        <v>0</v>
      </c>
      <c r="Y32" s="53">
        <f>('TUSD BE'!$Z$32+'TUSD BF'!$Z$32+'TUSD CVA'!$Z$32)*(1 - CUSTOS!$M$38)</f>
        <v>0</v>
      </c>
      <c r="Z32" s="53">
        <f>('TUSD BE'!$AA$32+'TUSD BF'!$AA$32+'TUSD CVA'!$AA$32)*(1 - CUSTOS!$M$38)</f>
        <v>0</v>
      </c>
      <c r="AA32" s="53">
        <f>('TUSD BE'!$AC$32+'TUSD BF'!$AC$32+'TUSD CVA'!$AC$32)*(1 - CUSTOS!$M$38)</f>
        <v>357.34322124086947</v>
      </c>
      <c r="AB32" s="53">
        <f ca="1">('TUSD BE'!$AE$32+'TUSD BF'!$AE$32+'TUSD CVA'!$AE$32)*(1 - CUSTOS!$M$38)</f>
        <v>-113.58628302938541</v>
      </c>
      <c r="AC32" s="53">
        <f ca="1">('TUSD BE'!$AF$32+'TUSD BF'!$AF$32+'TUSD CVA'!$AF$32)*(1 - CUSTOS!$M$38)</f>
        <v>0</v>
      </c>
      <c r="AD32" s="53">
        <f>('TUSD BE'!$AH$32+'TUSD BF'!$AH$32+'TUSD CVA'!$AH$32)*(1 - CUSTOS!$M$38)</f>
        <v>16.444048993395729</v>
      </c>
      <c r="AE32" s="53">
        <f>('TUSD BE'!$AI$32+'TUSD BF'!$AI$32+'TUSD CVA'!$AI$32)*(1 - CUSTOS!$M$38)</f>
        <v>0.56396862045578744</v>
      </c>
      <c r="AF32" s="53">
        <f ca="1">('TUSD BE'!$AJ$32+'TUSD BF'!$AJ$32+'TUSD CVA'!$AJ$32)*(1 - CUSTOS!$M$38)</f>
        <v>2.4210442020111653</v>
      </c>
      <c r="AG32" s="53">
        <f ca="1">('TUSD BE'!$AK$32+'TUSD BF'!$AK$32+'TUSD CVA'!$AK$32)*(1 - CUSTOS!$M$38)</f>
        <v>0.2923592367231384</v>
      </c>
      <c r="AI32" s="53">
        <v>5.6193230363703304</v>
      </c>
      <c r="AJ32" s="53">
        <v>0.67451126656776295</v>
      </c>
      <c r="AK32" s="53">
        <v>3.6545819489073601</v>
      </c>
      <c r="AL32" s="53">
        <v>0</v>
      </c>
      <c r="AM32" s="53">
        <v>0</v>
      </c>
      <c r="AN32" s="53">
        <v>52.360108414507003</v>
      </c>
      <c r="AO32" s="53">
        <v>8.4613539559792308</v>
      </c>
      <c r="AP32" s="53">
        <v>0</v>
      </c>
      <c r="AQ32" s="53">
        <v>25.807184770973599</v>
      </c>
      <c r="AR32" s="53">
        <v>11.7275247998748</v>
      </c>
      <c r="AS32" s="53">
        <v>10.9965073793886</v>
      </c>
      <c r="AT32" s="53">
        <v>0</v>
      </c>
      <c r="AU32" s="53">
        <v>0</v>
      </c>
      <c r="AV32" s="53">
        <v>0</v>
      </c>
      <c r="AW32" s="53">
        <v>0</v>
      </c>
      <c r="AX32" s="53">
        <v>209.31462275657901</v>
      </c>
      <c r="AY32" s="53">
        <v>0</v>
      </c>
      <c r="AZ32" s="53">
        <v>0</v>
      </c>
      <c r="BA32" s="53">
        <v>17.020752927756199</v>
      </c>
      <c r="BB32" s="53">
        <v>0.49004205433244602</v>
      </c>
      <c r="BC32" s="53">
        <v>1.96772762409652</v>
      </c>
      <c r="BD32" s="53">
        <v>0.275648295801876</v>
      </c>
    </row>
    <row r="33" spans="1:56" ht="11.25" customHeight="1" x14ac:dyDescent="0.25">
      <c r="A33" s="131"/>
      <c r="B33" s="131"/>
      <c r="C33" s="131"/>
      <c r="D33" s="131"/>
      <c r="E33" s="131"/>
      <c r="F33" s="131"/>
      <c r="G33" s="74" t="s">
        <v>84</v>
      </c>
      <c r="H33" s="74" t="s">
        <v>82</v>
      </c>
      <c r="I33" s="74">
        <f>'MERCADO TUSD'!$U$30</f>
        <v>0</v>
      </c>
      <c r="J33" s="15"/>
      <c r="L33" s="53">
        <f>('TUSD BE'!$L$33+'TUSD BF'!$L$33+'TUSD CVA'!$L$33)*(1 - CUSTOS!$M$38)</f>
        <v>5.8090602499789776</v>
      </c>
      <c r="M33" s="53">
        <f>('TUSD BE'!$M$33+'TUSD BF'!$M$33+'TUSD CVA'!$M$33)*(1 - CUSTOS!$M$38)</f>
        <v>0.73670599399510905</v>
      </c>
      <c r="N33" s="53">
        <f ca="1">('TUSD BE'!$N$33+'TUSD BF'!$N$33+'TUSD CVA'!$N$33)*(1 - CUSTOS!$M$38)</f>
        <v>1.1928071042531632</v>
      </c>
      <c r="O33" s="53">
        <f>('TUSD BE'!$O$33+'TUSD BF'!$O$33+'TUSD CVA'!$O$33)*(1 - CUSTOS!$M$38)</f>
        <v>0</v>
      </c>
      <c r="P33" s="53">
        <f>('TUSD BE'!$P$33+'TUSD BF'!$P$33+'TUSD CVA'!$P$33)*(1 - CUSTOS!$M$38)</f>
        <v>0</v>
      </c>
      <c r="Q33" s="53">
        <f>('TUSD BE'!$Q$33+'TUSD BF'!$Q$33+'TUSD CVA'!$Q$33)*(1 - CUSTOS!$M$38)</f>
        <v>98.224973681048112</v>
      </c>
      <c r="R33" s="53">
        <f>('TUSD BE'!$R$33+'TUSD BF'!$R$33+'TUSD CVA'!$R$33)*(1 - CUSTOS!$M$38)</f>
        <v>14.815636432029077</v>
      </c>
      <c r="S33" s="53">
        <f>('TUSD BE'!$S$33+'TUSD BF'!$S$33+'TUSD CVA'!$S$33)*(1 - CUSTOS!$M$38)</f>
        <v>0</v>
      </c>
      <c r="T33" s="53">
        <f>('TUSD BE'!$U$33+'TUSD BF'!$U$33+'TUSD CVA'!$U$33)*(1 - CUSTOS!$M$38)</f>
        <v>13.51077146962216</v>
      </c>
      <c r="U33" s="53">
        <f>('TUSD BE'!$V$33+'TUSD BF'!$V$33+'TUSD CVA'!$V$33)*(1 - CUSTOS!$M$38)</f>
        <v>4.3965123784603115</v>
      </c>
      <c r="V33" s="53">
        <f>('TUSD BE'!$W$33+'TUSD BF'!$W$33+'TUSD CVA'!$W$33)*(1 - CUSTOS!$M$38)</f>
        <v>7.2686218019716007</v>
      </c>
      <c r="W33" s="53">
        <f>('TUSD BE'!$X$33+'TUSD BF'!$X$33+'TUSD CVA'!$X$33)*(1 - CUSTOS!$M$38)</f>
        <v>0</v>
      </c>
      <c r="X33" s="53">
        <f>('TUSD BE'!$Y$33+'TUSD BF'!$Y$33+'TUSD CVA'!$Y$33)*(1 - CUSTOS!$M$38)</f>
        <v>0</v>
      </c>
      <c r="Y33" s="53">
        <f>('TUSD BE'!$Z$33+'TUSD BF'!$Z$33+'TUSD CVA'!$Z$33)*(1 - CUSTOS!$M$38)</f>
        <v>0</v>
      </c>
      <c r="Z33" s="53">
        <f>('TUSD BE'!$AA$33+'TUSD BF'!$AA$33+'TUSD CVA'!$AA$33)*(1 - CUSTOS!$M$38)</f>
        <v>0</v>
      </c>
      <c r="AA33" s="53">
        <f>('TUSD BE'!$AC$33+'TUSD BF'!$AC$33+'TUSD CVA'!$AC$33)*(1 - CUSTOS!$M$38)</f>
        <v>71.468644248173888</v>
      </c>
      <c r="AB33" s="53">
        <f ca="1">('TUSD BE'!$AE$33+'TUSD BF'!$AE$33+'TUSD CVA'!$AE$33)*(1 - CUSTOS!$M$38)</f>
        <v>-40.798774013783365</v>
      </c>
      <c r="AC33" s="53">
        <f ca="1">('TUSD BE'!$AF$33+'TUSD BF'!$AF$33+'TUSD CVA'!$AF$33)*(1 - CUSTOS!$M$38)</f>
        <v>0</v>
      </c>
      <c r="AD33" s="53">
        <f>('TUSD BE'!$AH$33+'TUSD BF'!$AH$33+'TUSD CVA'!$AH$33)*(1 - CUSTOS!$M$38)</f>
        <v>16.444048993395729</v>
      </c>
      <c r="AE33" s="53">
        <f>('TUSD BE'!$AI$33+'TUSD BF'!$AI$33+'TUSD CVA'!$AI$33)*(1 - CUSTOS!$M$38)</f>
        <v>0.56396862045578744</v>
      </c>
      <c r="AF33" s="53">
        <f ca="1">('TUSD BE'!$AJ$33+'TUSD BF'!$AJ$33+'TUSD CVA'!$AJ$33)*(1 - CUSTOS!$M$38)</f>
        <v>2.4210442020111653</v>
      </c>
      <c r="AG33" s="53">
        <f ca="1">('TUSD BE'!$AK$33+'TUSD BF'!$AK$33+'TUSD CVA'!$AK$33)*(1 - CUSTOS!$M$38)</f>
        <v>0.2923592367231384</v>
      </c>
      <c r="AI33" s="53">
        <v>5.6193230363703304</v>
      </c>
      <c r="AJ33" s="53">
        <v>0.67451126656776295</v>
      </c>
      <c r="AK33" s="53">
        <v>2.2379507505278502</v>
      </c>
      <c r="AL33" s="53">
        <v>0</v>
      </c>
      <c r="AM33" s="53">
        <v>0</v>
      </c>
      <c r="AN33" s="53">
        <v>52.360108414507003</v>
      </c>
      <c r="AO33" s="53">
        <v>8.4613539559792308</v>
      </c>
      <c r="AP33" s="53">
        <v>0</v>
      </c>
      <c r="AQ33" s="53">
        <v>13.912263338764699</v>
      </c>
      <c r="AR33" s="53">
        <v>6.3221736321347901</v>
      </c>
      <c r="AS33" s="53">
        <v>5.9278798184578596</v>
      </c>
      <c r="AT33" s="53">
        <v>0</v>
      </c>
      <c r="AU33" s="53">
        <v>0</v>
      </c>
      <c r="AV33" s="53">
        <v>0</v>
      </c>
      <c r="AW33" s="53">
        <v>0</v>
      </c>
      <c r="AX33" s="53">
        <v>112.838008588062</v>
      </c>
      <c r="AY33" s="53">
        <v>0</v>
      </c>
      <c r="AZ33" s="53">
        <v>0</v>
      </c>
      <c r="BA33" s="53">
        <v>17.020752927756199</v>
      </c>
      <c r="BB33" s="53">
        <v>0.49004205433244602</v>
      </c>
      <c r="BC33" s="53">
        <v>1.96772762409652</v>
      </c>
      <c r="BD33" s="53">
        <v>0.275648295801876</v>
      </c>
    </row>
    <row r="34" spans="1:56" ht="11.25" customHeight="1" x14ac:dyDescent="0.25">
      <c r="A34" s="131"/>
      <c r="B34" s="73" t="s">
        <v>23</v>
      </c>
      <c r="C34" s="73" t="s">
        <v>43</v>
      </c>
      <c r="D34" s="73" t="s">
        <v>25</v>
      </c>
      <c r="E34" s="73" t="s">
        <v>25</v>
      </c>
      <c r="F34" s="73" t="s">
        <v>25</v>
      </c>
      <c r="G34" s="74" t="s">
        <v>86</v>
      </c>
      <c r="H34" s="74" t="s">
        <v>82</v>
      </c>
      <c r="I34" s="74">
        <f>'MERCADO TUSD'!$U$31</f>
        <v>18727.453000000001</v>
      </c>
      <c r="J34" s="15"/>
      <c r="L34" s="53">
        <f>('TUSD BE'!$L$34+'TUSD BF'!$L$34+'TUSD CVA'!$L$34)*(1 - CUSTOS!$M$38)</f>
        <v>5.8090602499789776</v>
      </c>
      <c r="M34" s="53">
        <f>('TUSD BE'!$M$34+'TUSD BF'!$M$34+'TUSD CVA'!$M$34)*(1 - CUSTOS!$M$38)</f>
        <v>0.73670599399510905</v>
      </c>
      <c r="N34" s="53">
        <f ca="1">('TUSD BE'!$N$34+'TUSD BF'!$N$34+'TUSD CVA'!$N$34)*(1 - CUSTOS!$M$38)</f>
        <v>2.3051604080538857</v>
      </c>
      <c r="O34" s="53">
        <f>('TUSD BE'!$O$34+'TUSD BF'!$O$34+'TUSD CVA'!$O$34)*(1 - CUSTOS!$M$38)</f>
        <v>0</v>
      </c>
      <c r="P34" s="53">
        <f>('TUSD BE'!$P$34+'TUSD BF'!$P$34+'TUSD CVA'!$P$34)*(1 - CUSTOS!$M$38)</f>
        <v>0</v>
      </c>
      <c r="Q34" s="53">
        <f>('TUSD BE'!$Q$34+'TUSD BF'!$Q$34+'TUSD CVA'!$Q$34)*(1 - CUSTOS!$M$38)</f>
        <v>98.224973681048112</v>
      </c>
      <c r="R34" s="53">
        <f>('TUSD BE'!$R$34+'TUSD BF'!$R$34+'TUSD CVA'!$R$34)*(1 - CUSTOS!$M$38)</f>
        <v>14.815636432029077</v>
      </c>
      <c r="S34" s="53">
        <f>('TUSD BE'!$S$34+'TUSD BF'!$S$34+'TUSD CVA'!$S$34)*(1 - CUSTOS!$M$38)</f>
        <v>0</v>
      </c>
      <c r="T34" s="53">
        <f>('TUSD BE'!$U$34+'TUSD BF'!$U$34+'TUSD CVA'!$U$34)*(1 - CUSTOS!$M$38)</f>
        <v>32.953103357972928</v>
      </c>
      <c r="U34" s="53">
        <f>('TUSD BE'!$V$34+'TUSD BF'!$V$34+'TUSD CVA'!$V$34)*(1 - CUSTOS!$M$38)</f>
        <v>10.723082095910046</v>
      </c>
      <c r="V34" s="53">
        <f>('TUSD BE'!$W$34+'TUSD BF'!$W$34+'TUSD CVA'!$W$34)*(1 - CUSTOS!$M$38)</f>
        <v>17.728448219740759</v>
      </c>
      <c r="W34" s="53">
        <f>('TUSD BE'!$X$34+'TUSD BF'!$X$34+'TUSD CVA'!$X$34)*(1 - CUSTOS!$M$38)</f>
        <v>0</v>
      </c>
      <c r="X34" s="53">
        <f>('TUSD BE'!$Y$34+'TUSD BF'!$Y$34+'TUSD CVA'!$Y$34)*(1 - CUSTOS!$M$38)</f>
        <v>0</v>
      </c>
      <c r="Y34" s="53">
        <f>('TUSD BE'!$Z$34+'TUSD BF'!$Z$34+'TUSD CVA'!$Z$34)*(1 - CUSTOS!$M$38)</f>
        <v>0</v>
      </c>
      <c r="Z34" s="53">
        <f>('TUSD BE'!$AA$34+'TUSD BF'!$AA$34+'TUSD CVA'!$AA$34)*(1 - CUSTOS!$M$38)</f>
        <v>0</v>
      </c>
      <c r="AA34" s="53">
        <f>('TUSD BE'!$AC$34+'TUSD BF'!$AC$34+'TUSD CVA'!$AC$34)*(1 - CUSTOS!$M$38)</f>
        <v>174.31375547981085</v>
      </c>
      <c r="AB34" s="53">
        <f ca="1">('TUSD BE'!$AE$34+'TUSD BF'!$AE$34+'TUSD CVA'!$AE$34)*(1 - CUSTOS!$M$38)</f>
        <v>-66.984522127613175</v>
      </c>
      <c r="AC34" s="53">
        <f ca="1">('TUSD BE'!$AF$34+'TUSD BF'!$AF$34+'TUSD CVA'!$AF$34)*(1 - CUSTOS!$M$38)</f>
        <v>0</v>
      </c>
      <c r="AD34" s="53">
        <f>('TUSD BE'!$AH$34+'TUSD BF'!$AH$34+'TUSD CVA'!$AH$34)*(1 - CUSTOS!$M$38)</f>
        <v>16.444048993395729</v>
      </c>
      <c r="AE34" s="53">
        <f>('TUSD BE'!$AI$34+'TUSD BF'!$AI$34+'TUSD CVA'!$AI$34)*(1 - CUSTOS!$M$38)</f>
        <v>0.56396862045578744</v>
      </c>
      <c r="AF34" s="53">
        <f ca="1">('TUSD BE'!$AJ$34+'TUSD BF'!$AJ$34+'TUSD CVA'!$AJ$34)*(1 - CUSTOS!$M$38)</f>
        <v>2.4210442020111653</v>
      </c>
      <c r="AG34" s="53">
        <f ca="1">('TUSD BE'!$AK$34+'TUSD BF'!$AK$34+'TUSD CVA'!$AK$34)*(1 - CUSTOS!$M$38)</f>
        <v>0.2923592367231384</v>
      </c>
      <c r="AI34" s="53">
        <v>5.6193230363703304</v>
      </c>
      <c r="AJ34" s="53">
        <v>0.67451126656776295</v>
      </c>
      <c r="AK34" s="53">
        <v>2.9147040017769101</v>
      </c>
      <c r="AL34" s="53">
        <v>0</v>
      </c>
      <c r="AM34" s="53">
        <v>0</v>
      </c>
      <c r="AN34" s="53">
        <v>52.360108414507003</v>
      </c>
      <c r="AO34" s="53">
        <v>8.4613539559792308</v>
      </c>
      <c r="AP34" s="53">
        <v>0</v>
      </c>
      <c r="AQ34" s="53">
        <v>19.5946989354733</v>
      </c>
      <c r="AR34" s="53">
        <v>8.9043943496720992</v>
      </c>
      <c r="AS34" s="53">
        <v>8.3494089078525597</v>
      </c>
      <c r="AT34" s="53">
        <v>0</v>
      </c>
      <c r="AU34" s="53">
        <v>0</v>
      </c>
      <c r="AV34" s="53">
        <v>0</v>
      </c>
      <c r="AW34" s="53">
        <v>0</v>
      </c>
      <c r="AX34" s="53">
        <v>158.92681889454201</v>
      </c>
      <c r="AY34" s="53">
        <v>0</v>
      </c>
      <c r="AZ34" s="53">
        <v>0</v>
      </c>
      <c r="BA34" s="53">
        <v>17.020752927756199</v>
      </c>
      <c r="BB34" s="53">
        <v>0.49004205433244602</v>
      </c>
      <c r="BC34" s="53">
        <v>1.96772762409652</v>
      </c>
      <c r="BD34" s="53">
        <v>0.275648295801876</v>
      </c>
    </row>
    <row r="35" spans="1:56" ht="11.25" customHeight="1" x14ac:dyDescent="0.25">
      <c r="A35" s="131"/>
      <c r="B35" s="131" t="s">
        <v>32</v>
      </c>
      <c r="C35" s="131" t="s">
        <v>43</v>
      </c>
      <c r="D35" s="131" t="s">
        <v>96</v>
      </c>
      <c r="E35" s="131" t="s">
        <v>25</v>
      </c>
      <c r="F35" s="131" t="s">
        <v>25</v>
      </c>
      <c r="G35" s="74" t="s">
        <v>83</v>
      </c>
      <c r="H35" s="74" t="s">
        <v>82</v>
      </c>
      <c r="I35" s="74">
        <f>'MERCADO TUSD'!$U$32</f>
        <v>0</v>
      </c>
      <c r="J35" s="15"/>
      <c r="L35" s="53">
        <f>('TUSD BE'!$L$35+'TUSD BF'!$L$35+'TUSD CVA'!$L$35)*(1 - CUSTOS!$M$39)</f>
        <v>5.8090602499789776</v>
      </c>
      <c r="M35" s="53">
        <f>('TUSD BE'!$M$35+'TUSD BF'!$M$35+'TUSD CVA'!$M$35)*(1 - CUSTOS!$M$39)</f>
        <v>0.73670599399510905</v>
      </c>
      <c r="N35" s="53">
        <f ca="1">('TUSD BE'!$N$35+'TUSD BF'!$N$35+'TUSD CVA'!$N$35)*(1 - CUSTOS!$M$39)</f>
        <v>8.1497277229227016</v>
      </c>
      <c r="O35" s="53">
        <f>('TUSD BE'!$O$35+'TUSD BF'!$O$35+'TUSD CVA'!$O$35)*(1 - CUSTOS!$M$39)</f>
        <v>0</v>
      </c>
      <c r="P35" s="53">
        <f>('TUSD BE'!$P$35+'TUSD BF'!$P$35+'TUSD CVA'!$P$35)*(1 - CUSTOS!$M$39)</f>
        <v>0</v>
      </c>
      <c r="Q35" s="53">
        <f>('TUSD BE'!$Q$35+'TUSD BF'!$Q$35+'TUSD CVA'!$Q$35)*(1 - CUSTOS!$M$39)</f>
        <v>98.224973681048112</v>
      </c>
      <c r="R35" s="53">
        <f>('TUSD BE'!$R$35+'TUSD BF'!$R$35+'TUSD CVA'!$R$35)*(1 - CUSTOS!$M$39)</f>
        <v>14.815636432029077</v>
      </c>
      <c r="S35" s="53">
        <f>('TUSD BE'!$S$35+'TUSD BF'!$S$35+'TUSD CVA'!$S$35)*(1 - CUSTOS!$M$39)</f>
        <v>0</v>
      </c>
      <c r="T35" s="53">
        <f>('TUSD BE'!$U$35+'TUSD BF'!$U$35+'TUSD CVA'!$U$35)*(1 - CUSTOS!$M$39)</f>
        <v>135.10762398154711</v>
      </c>
      <c r="U35" s="53">
        <f>('TUSD BE'!$V$35+'TUSD BF'!$V$35+'TUSD CVA'!$V$35)*(1 - CUSTOS!$M$39)</f>
        <v>43.964734031505579</v>
      </c>
      <c r="V35" s="53">
        <f>('TUSD BE'!$W$35+'TUSD BF'!$W$35+'TUSD CVA'!$W$35)*(1 - CUSTOS!$M$39)</f>
        <v>72.686560616631198</v>
      </c>
      <c r="W35" s="53">
        <f>('TUSD BE'!$X$35+'TUSD BF'!$X$35+'TUSD CVA'!$X$35)*(1 - CUSTOS!$M$39)</f>
        <v>0</v>
      </c>
      <c r="X35" s="53">
        <f>('TUSD BE'!$Y$35+'TUSD BF'!$Y$35+'TUSD CVA'!$Y$35)*(1 - CUSTOS!$M$39)</f>
        <v>0</v>
      </c>
      <c r="Y35" s="53">
        <f>('TUSD BE'!$Z$35+'TUSD BF'!$Z$35+'TUSD CVA'!$Z$35)*(1 - CUSTOS!$M$39)</f>
        <v>0</v>
      </c>
      <c r="Z35" s="53">
        <f>('TUSD BE'!$AA$35+'TUSD BF'!$AA$35+'TUSD CVA'!$AA$35)*(1 - CUSTOS!$M$39)</f>
        <v>0</v>
      </c>
      <c r="AA35" s="53">
        <f>('TUSD BE'!$AC$35+'TUSD BF'!$AC$35+'TUSD CVA'!$AC$35)*(1 - CUSTOS!$M$39)</f>
        <v>714.68635245271003</v>
      </c>
      <c r="AB35" s="53">
        <f ca="1">('TUSD BE'!$AE$35+'TUSD BF'!$AE$35+'TUSD CVA'!$AE$35)*(1 - CUSTOS!$M$39)</f>
        <v>-204.57063560004499</v>
      </c>
      <c r="AC35" s="53">
        <f ca="1">('TUSD BE'!$AF$35+'TUSD BF'!$AF$35+'TUSD CVA'!$AF$35)*(1 - CUSTOS!$M$39)</f>
        <v>0</v>
      </c>
      <c r="AD35" s="53">
        <f>('TUSD BE'!$AH$35+'TUSD BF'!$AH$35+'TUSD CVA'!$AH$35)*(1 - CUSTOS!$M$39)</f>
        <v>16.444048993395729</v>
      </c>
      <c r="AE35" s="53">
        <f>('TUSD BE'!$AI$35+'TUSD BF'!$AI$35+'TUSD CVA'!$AI$35)*(1 - CUSTOS!$M$39)</f>
        <v>0.56396862045578744</v>
      </c>
      <c r="AF35" s="53">
        <f ca="1">('TUSD BE'!$AJ$35+'TUSD BF'!$AJ$35+'TUSD CVA'!$AJ$35)*(1 - CUSTOS!$M$39)</f>
        <v>2.4210442020111653</v>
      </c>
      <c r="AG35" s="53">
        <f ca="1">('TUSD BE'!$AK$35+'TUSD BF'!$AK$35+'TUSD CVA'!$AK$35)*(1 - CUSTOS!$M$39)</f>
        <v>0.2923592367231384</v>
      </c>
      <c r="AI35" s="53">
        <v>5.6193230363703304</v>
      </c>
      <c r="AJ35" s="53">
        <v>0.67451126656776295</v>
      </c>
      <c r="AK35" s="53">
        <v>6.7280896550406197</v>
      </c>
      <c r="AL35" s="53">
        <v>0</v>
      </c>
      <c r="AM35" s="53">
        <v>0</v>
      </c>
      <c r="AN35" s="53">
        <v>52.360108414507003</v>
      </c>
      <c r="AO35" s="53">
        <v>8.4613539559792308</v>
      </c>
      <c r="AP35" s="53">
        <v>0</v>
      </c>
      <c r="AQ35" s="53">
        <v>51.614369541947099</v>
      </c>
      <c r="AR35" s="53">
        <v>23.455049599749699</v>
      </c>
      <c r="AS35" s="53">
        <v>21.9930147587771</v>
      </c>
      <c r="AT35" s="53">
        <v>0</v>
      </c>
      <c r="AU35" s="53">
        <v>0</v>
      </c>
      <c r="AV35" s="53">
        <v>0</v>
      </c>
      <c r="AW35" s="53">
        <v>0</v>
      </c>
      <c r="AX35" s="53">
        <v>418.62914896297298</v>
      </c>
      <c r="AY35" s="53">
        <v>0</v>
      </c>
      <c r="AZ35" s="53">
        <v>0</v>
      </c>
      <c r="BA35" s="53">
        <v>17.020752927756199</v>
      </c>
      <c r="BB35" s="53">
        <v>0.49004205433244602</v>
      </c>
      <c r="BC35" s="53">
        <v>1.96772762409652</v>
      </c>
      <c r="BD35" s="53">
        <v>0.275648295801876</v>
      </c>
    </row>
    <row r="36" spans="1:56" ht="11.25" customHeight="1" x14ac:dyDescent="0.25">
      <c r="A36" s="131"/>
      <c r="B36" s="131"/>
      <c r="C36" s="131"/>
      <c r="D36" s="131"/>
      <c r="E36" s="131"/>
      <c r="F36" s="131"/>
      <c r="G36" s="74" t="s">
        <v>93</v>
      </c>
      <c r="H36" s="74" t="s">
        <v>82</v>
      </c>
      <c r="I36" s="74">
        <f>'MERCADO TUSD'!$U$33</f>
        <v>0</v>
      </c>
      <c r="J36" s="15"/>
      <c r="L36" s="53">
        <f>('TUSD BE'!$L$36+'TUSD BF'!$L$36+'TUSD CVA'!$L$36)*(1 - CUSTOS!$M$39)</f>
        <v>5.8090602499789776</v>
      </c>
      <c r="M36" s="53">
        <f>('TUSD BE'!$M$36+'TUSD BF'!$M$36+'TUSD CVA'!$M$36)*(1 - CUSTOS!$M$39)</f>
        <v>0.73670599399510905</v>
      </c>
      <c r="N36" s="53">
        <f ca="1">('TUSD BE'!$N$36+'TUSD BF'!$N$36+'TUSD CVA'!$N$36)*(1 - CUSTOS!$M$39)</f>
        <v>4.2847724641606462</v>
      </c>
      <c r="O36" s="53">
        <f>('TUSD BE'!$O$36+'TUSD BF'!$O$36+'TUSD CVA'!$O$36)*(1 - CUSTOS!$M$39)</f>
        <v>0</v>
      </c>
      <c r="P36" s="53">
        <f>('TUSD BE'!$P$36+'TUSD BF'!$P$36+'TUSD CVA'!$P$36)*(1 - CUSTOS!$M$39)</f>
        <v>0</v>
      </c>
      <c r="Q36" s="53">
        <f>('TUSD BE'!$Q$36+'TUSD BF'!$Q$36+'TUSD CVA'!$Q$36)*(1 - CUSTOS!$M$39)</f>
        <v>98.224973681048112</v>
      </c>
      <c r="R36" s="53">
        <f>('TUSD BE'!$R$36+'TUSD BF'!$R$36+'TUSD CVA'!$R$36)*(1 - CUSTOS!$M$39)</f>
        <v>14.815636432029077</v>
      </c>
      <c r="S36" s="53">
        <f>('TUSD BE'!$S$36+'TUSD BF'!$S$36+'TUSD CVA'!$S$36)*(1 - CUSTOS!$M$39)</f>
        <v>0</v>
      </c>
      <c r="T36" s="53">
        <f>('TUSD BE'!$U$36+'TUSD BF'!$U$36+'TUSD CVA'!$U$36)*(1 - CUSTOS!$M$39)</f>
        <v>67.553857348110796</v>
      </c>
      <c r="U36" s="53">
        <f>('TUSD BE'!$V$36+'TUSD BF'!$V$36+'TUSD CVA'!$V$36)*(1 - CUSTOS!$M$39)</f>
        <v>21.982367015752789</v>
      </c>
      <c r="V36" s="53">
        <f>('TUSD BE'!$W$36+'TUSD BF'!$W$36+'TUSD CVA'!$W$36)*(1 - CUSTOS!$M$39)</f>
        <v>36.343280308315599</v>
      </c>
      <c r="W36" s="53">
        <f>('TUSD BE'!$X$36+'TUSD BF'!$X$36+'TUSD CVA'!$X$36)*(1 - CUSTOS!$M$39)</f>
        <v>0</v>
      </c>
      <c r="X36" s="53">
        <f>('TUSD BE'!$Y$36+'TUSD BF'!$Y$36+'TUSD CVA'!$Y$36)*(1 - CUSTOS!$M$39)</f>
        <v>0</v>
      </c>
      <c r="Y36" s="53">
        <f>('TUSD BE'!$Z$36+'TUSD BF'!$Z$36+'TUSD CVA'!$Z$36)*(1 - CUSTOS!$M$39)</f>
        <v>0</v>
      </c>
      <c r="Z36" s="53">
        <f>('TUSD BE'!$AA$36+'TUSD BF'!$AA$36+'TUSD CVA'!$AA$36)*(1 - CUSTOS!$M$39)</f>
        <v>0</v>
      </c>
      <c r="AA36" s="53">
        <f>('TUSD BE'!$AC$36+'TUSD BF'!$AC$36+'TUSD CVA'!$AC$36)*(1 - CUSTOS!$M$39)</f>
        <v>357.34322124086947</v>
      </c>
      <c r="AB36" s="53">
        <f ca="1">('TUSD BE'!$AE$36+'TUSD BF'!$AE$36+'TUSD CVA'!$AE$36)*(1 - CUSTOS!$M$39)</f>
        <v>-113.58628302938541</v>
      </c>
      <c r="AC36" s="53">
        <f ca="1">('TUSD BE'!$AF$36+'TUSD BF'!$AF$36+'TUSD CVA'!$AF$36)*(1 - CUSTOS!$M$39)</f>
        <v>0</v>
      </c>
      <c r="AD36" s="53">
        <f>('TUSD BE'!$AH$36+'TUSD BF'!$AH$36+'TUSD CVA'!$AH$36)*(1 - CUSTOS!$M$39)</f>
        <v>16.444048993395729</v>
      </c>
      <c r="AE36" s="53">
        <f>('TUSD BE'!$AI$36+'TUSD BF'!$AI$36+'TUSD CVA'!$AI$36)*(1 - CUSTOS!$M$39)</f>
        <v>0.56396862045578744</v>
      </c>
      <c r="AF36" s="53">
        <f ca="1">('TUSD BE'!$AJ$36+'TUSD BF'!$AJ$36+'TUSD CVA'!$AJ$36)*(1 - CUSTOS!$M$39)</f>
        <v>2.4210442020111653</v>
      </c>
      <c r="AG36" s="53">
        <f ca="1">('TUSD BE'!$AK$36+'TUSD BF'!$AK$36+'TUSD CVA'!$AK$36)*(1 - CUSTOS!$M$39)</f>
        <v>0.2923592367231384</v>
      </c>
      <c r="AI36" s="53">
        <v>5.6193230363703304</v>
      </c>
      <c r="AJ36" s="53">
        <v>0.67451126656776295</v>
      </c>
      <c r="AK36" s="53">
        <v>3.6545819489073601</v>
      </c>
      <c r="AL36" s="53">
        <v>0</v>
      </c>
      <c r="AM36" s="53">
        <v>0</v>
      </c>
      <c r="AN36" s="53">
        <v>52.360108414507003</v>
      </c>
      <c r="AO36" s="53">
        <v>8.4613539559792308</v>
      </c>
      <c r="AP36" s="53">
        <v>0</v>
      </c>
      <c r="AQ36" s="53">
        <v>25.807184770973599</v>
      </c>
      <c r="AR36" s="53">
        <v>11.7275247998748</v>
      </c>
      <c r="AS36" s="53">
        <v>10.9965073793886</v>
      </c>
      <c r="AT36" s="53">
        <v>0</v>
      </c>
      <c r="AU36" s="53">
        <v>0</v>
      </c>
      <c r="AV36" s="53">
        <v>0</v>
      </c>
      <c r="AW36" s="53">
        <v>0</v>
      </c>
      <c r="AX36" s="53">
        <v>209.31462275657901</v>
      </c>
      <c r="AY36" s="53">
        <v>0</v>
      </c>
      <c r="AZ36" s="53">
        <v>0</v>
      </c>
      <c r="BA36" s="53">
        <v>17.020752927756199</v>
      </c>
      <c r="BB36" s="53">
        <v>0.49004205433244602</v>
      </c>
      <c r="BC36" s="53">
        <v>1.96772762409652</v>
      </c>
      <c r="BD36" s="53">
        <v>0.275648295801876</v>
      </c>
    </row>
    <row r="37" spans="1:56" ht="11.25" customHeight="1" x14ac:dyDescent="0.25">
      <c r="A37" s="131"/>
      <c r="B37" s="131"/>
      <c r="C37" s="131"/>
      <c r="D37" s="131"/>
      <c r="E37" s="131"/>
      <c r="F37" s="131"/>
      <c r="G37" s="74" t="s">
        <v>84</v>
      </c>
      <c r="H37" s="74" t="s">
        <v>82</v>
      </c>
      <c r="I37" s="74">
        <f>'MERCADO TUSD'!$U$34</f>
        <v>0</v>
      </c>
      <c r="J37" s="15"/>
      <c r="L37" s="53">
        <f>('TUSD BE'!$L$37+'TUSD BF'!$L$37+'TUSD CVA'!$L$37)*(1 - CUSTOS!$M$39)</f>
        <v>5.8090602499789776</v>
      </c>
      <c r="M37" s="53">
        <f>('TUSD BE'!$M$37+'TUSD BF'!$M$37+'TUSD CVA'!$M$37)*(1 - CUSTOS!$M$39)</f>
        <v>0.73670599399510905</v>
      </c>
      <c r="N37" s="53">
        <f ca="1">('TUSD BE'!$N$37+'TUSD BF'!$N$37+'TUSD CVA'!$N$37)*(1 - CUSTOS!$M$39)</f>
        <v>1.1928071042531632</v>
      </c>
      <c r="O37" s="53">
        <f>('TUSD BE'!$O$37+'TUSD BF'!$O$37+'TUSD CVA'!$O$37)*(1 - CUSTOS!$M$39)</f>
        <v>0</v>
      </c>
      <c r="P37" s="53">
        <f>('TUSD BE'!$P$37+'TUSD BF'!$P$37+'TUSD CVA'!$P$37)*(1 - CUSTOS!$M$39)</f>
        <v>0</v>
      </c>
      <c r="Q37" s="53">
        <f>('TUSD BE'!$Q$37+'TUSD BF'!$Q$37+'TUSD CVA'!$Q$37)*(1 - CUSTOS!$M$39)</f>
        <v>98.224973681048112</v>
      </c>
      <c r="R37" s="53">
        <f>('TUSD BE'!$R$37+'TUSD BF'!$R$37+'TUSD CVA'!$R$37)*(1 - CUSTOS!$M$39)</f>
        <v>14.815636432029077</v>
      </c>
      <c r="S37" s="53">
        <f>('TUSD BE'!$S$37+'TUSD BF'!$S$37+'TUSD CVA'!$S$37)*(1 - CUSTOS!$M$39)</f>
        <v>0</v>
      </c>
      <c r="T37" s="53">
        <f>('TUSD BE'!$U$37+'TUSD BF'!$U$37+'TUSD CVA'!$U$37)*(1 - CUSTOS!$M$39)</f>
        <v>13.51077146962216</v>
      </c>
      <c r="U37" s="53">
        <f>('TUSD BE'!$V$37+'TUSD BF'!$V$37+'TUSD CVA'!$V$37)*(1 - CUSTOS!$M$39)</f>
        <v>4.3965123784603115</v>
      </c>
      <c r="V37" s="53">
        <f>('TUSD BE'!$W$37+'TUSD BF'!$W$37+'TUSD CVA'!$W$37)*(1 - CUSTOS!$M$39)</f>
        <v>7.2686218019716007</v>
      </c>
      <c r="W37" s="53">
        <f>('TUSD BE'!$X$37+'TUSD BF'!$X$37+'TUSD CVA'!$X$37)*(1 - CUSTOS!$M$39)</f>
        <v>0</v>
      </c>
      <c r="X37" s="53">
        <f>('TUSD BE'!$Y$37+'TUSD BF'!$Y$37+'TUSD CVA'!$Y$37)*(1 - CUSTOS!$M$39)</f>
        <v>0</v>
      </c>
      <c r="Y37" s="53">
        <f>('TUSD BE'!$Z$37+'TUSD BF'!$Z$37+'TUSD CVA'!$Z$37)*(1 - CUSTOS!$M$39)</f>
        <v>0</v>
      </c>
      <c r="Z37" s="53">
        <f>('TUSD BE'!$AA$37+'TUSD BF'!$AA$37+'TUSD CVA'!$AA$37)*(1 - CUSTOS!$M$39)</f>
        <v>0</v>
      </c>
      <c r="AA37" s="53">
        <f>('TUSD BE'!$AC$37+'TUSD BF'!$AC$37+'TUSD CVA'!$AC$37)*(1 - CUSTOS!$M$39)</f>
        <v>71.468644248173888</v>
      </c>
      <c r="AB37" s="53">
        <f ca="1">('TUSD BE'!$AE$37+'TUSD BF'!$AE$37+'TUSD CVA'!$AE$37)*(1 - CUSTOS!$M$39)</f>
        <v>-40.798774013783365</v>
      </c>
      <c r="AC37" s="53">
        <f ca="1">('TUSD BE'!$AF$37+'TUSD BF'!$AF$37+'TUSD CVA'!$AF$37)*(1 - CUSTOS!$M$39)</f>
        <v>0</v>
      </c>
      <c r="AD37" s="53">
        <f>('TUSD BE'!$AH$37+'TUSD BF'!$AH$37+'TUSD CVA'!$AH$37)*(1 - CUSTOS!$M$39)</f>
        <v>16.444048993395729</v>
      </c>
      <c r="AE37" s="53">
        <f>('TUSD BE'!$AI$37+'TUSD BF'!$AI$37+'TUSD CVA'!$AI$37)*(1 - CUSTOS!$M$39)</f>
        <v>0.56396862045578744</v>
      </c>
      <c r="AF37" s="53">
        <f ca="1">('TUSD BE'!$AJ$37+'TUSD BF'!$AJ$37+'TUSD CVA'!$AJ$37)*(1 - CUSTOS!$M$39)</f>
        <v>2.4210442020111653</v>
      </c>
      <c r="AG37" s="53">
        <f ca="1">('TUSD BE'!$AK$37+'TUSD BF'!$AK$37+'TUSD CVA'!$AK$37)*(1 - CUSTOS!$M$39)</f>
        <v>0.2923592367231384</v>
      </c>
      <c r="AI37" s="53">
        <v>5.6193230363703304</v>
      </c>
      <c r="AJ37" s="53">
        <v>0.67451126656776295</v>
      </c>
      <c r="AK37" s="53">
        <v>2.2379507505278502</v>
      </c>
      <c r="AL37" s="53">
        <v>0</v>
      </c>
      <c r="AM37" s="53">
        <v>0</v>
      </c>
      <c r="AN37" s="53">
        <v>52.360108414507003</v>
      </c>
      <c r="AO37" s="53">
        <v>8.4613539559792308</v>
      </c>
      <c r="AP37" s="53">
        <v>0</v>
      </c>
      <c r="AQ37" s="53">
        <v>13.912263338764699</v>
      </c>
      <c r="AR37" s="53">
        <v>6.3221736321347901</v>
      </c>
      <c r="AS37" s="53">
        <v>5.9278798184578596</v>
      </c>
      <c r="AT37" s="53">
        <v>0</v>
      </c>
      <c r="AU37" s="53">
        <v>0</v>
      </c>
      <c r="AV37" s="53">
        <v>0</v>
      </c>
      <c r="AW37" s="53">
        <v>0</v>
      </c>
      <c r="AX37" s="53">
        <v>112.838008588062</v>
      </c>
      <c r="AY37" s="53">
        <v>0</v>
      </c>
      <c r="AZ37" s="53">
        <v>0</v>
      </c>
      <c r="BA37" s="53">
        <v>17.020752927756199</v>
      </c>
      <c r="BB37" s="53">
        <v>0.49004205433244602</v>
      </c>
      <c r="BC37" s="53">
        <v>1.96772762409652</v>
      </c>
      <c r="BD37" s="53">
        <v>0.275648295801876</v>
      </c>
    </row>
    <row r="38" spans="1:56" ht="11.25" customHeight="1" x14ac:dyDescent="0.25">
      <c r="A38" s="131"/>
      <c r="B38" s="73" t="s">
        <v>23</v>
      </c>
      <c r="C38" s="73" t="s">
        <v>43</v>
      </c>
      <c r="D38" s="73" t="s">
        <v>96</v>
      </c>
      <c r="E38" s="73" t="s">
        <v>25</v>
      </c>
      <c r="F38" s="73" t="s">
        <v>25</v>
      </c>
      <c r="G38" s="74" t="s">
        <v>86</v>
      </c>
      <c r="H38" s="74" t="s">
        <v>82</v>
      </c>
      <c r="I38" s="74">
        <f>'MERCADO TUSD'!$U$35</f>
        <v>0</v>
      </c>
      <c r="J38" s="15"/>
      <c r="L38" s="53">
        <f>('TUSD BE'!$L$38+'TUSD BF'!$L$38+'TUSD CVA'!$L$38)*(1 - CUSTOS!$M$39)</f>
        <v>5.8090602499789776</v>
      </c>
      <c r="M38" s="53">
        <f>('TUSD BE'!$M$38+'TUSD BF'!$M$38+'TUSD CVA'!$M$38)*(1 - CUSTOS!$M$39)</f>
        <v>0.73670599399510905</v>
      </c>
      <c r="N38" s="53">
        <f ca="1">('TUSD BE'!$N$38+'TUSD BF'!$N$38+'TUSD CVA'!$N$38)*(1 - CUSTOS!$M$39)</f>
        <v>2.3051604080538857</v>
      </c>
      <c r="O38" s="53">
        <f>('TUSD BE'!$O$38+'TUSD BF'!$O$38+'TUSD CVA'!$O$38)*(1 - CUSTOS!$M$39)</f>
        <v>0</v>
      </c>
      <c r="P38" s="53">
        <f>('TUSD BE'!$P$38+'TUSD BF'!$P$38+'TUSD CVA'!$P$38)*(1 - CUSTOS!$M$39)</f>
        <v>0</v>
      </c>
      <c r="Q38" s="53">
        <f>('TUSD BE'!$Q$38+'TUSD BF'!$Q$38+'TUSD CVA'!$Q$38)*(1 - CUSTOS!$M$39)</f>
        <v>98.224973681048112</v>
      </c>
      <c r="R38" s="53">
        <f>('TUSD BE'!$R$38+'TUSD BF'!$R$38+'TUSD CVA'!$R$38)*(1 - CUSTOS!$M$39)</f>
        <v>14.815636432029077</v>
      </c>
      <c r="S38" s="53">
        <f>('TUSD BE'!$S$38+'TUSD BF'!$S$38+'TUSD CVA'!$S$38)*(1 - CUSTOS!$M$39)</f>
        <v>0</v>
      </c>
      <c r="T38" s="53">
        <f>('TUSD BE'!$U$38+'TUSD BF'!$U$38+'TUSD CVA'!$U$38)*(1 - CUSTOS!$M$39)</f>
        <v>32.953103357972928</v>
      </c>
      <c r="U38" s="53">
        <f>('TUSD BE'!$V$38+'TUSD BF'!$V$38+'TUSD CVA'!$V$38)*(1 - CUSTOS!$M$39)</f>
        <v>10.723082095910046</v>
      </c>
      <c r="V38" s="53">
        <f>('TUSD BE'!$W$38+'TUSD BF'!$W$38+'TUSD CVA'!$W$38)*(1 - CUSTOS!$M$39)</f>
        <v>17.728448219740759</v>
      </c>
      <c r="W38" s="53">
        <f>('TUSD BE'!$X$38+'TUSD BF'!$X$38+'TUSD CVA'!$X$38)*(1 - CUSTOS!$M$39)</f>
        <v>0</v>
      </c>
      <c r="X38" s="53">
        <f>('TUSD BE'!$Y$38+'TUSD BF'!$Y$38+'TUSD CVA'!$Y$38)*(1 - CUSTOS!$M$39)</f>
        <v>0</v>
      </c>
      <c r="Y38" s="53">
        <f>('TUSD BE'!$Z$38+'TUSD BF'!$Z$38+'TUSD CVA'!$Z$38)*(1 - CUSTOS!$M$39)</f>
        <v>0</v>
      </c>
      <c r="Z38" s="53">
        <f>('TUSD BE'!$AA$38+'TUSD BF'!$AA$38+'TUSD CVA'!$AA$38)*(1 - CUSTOS!$M$39)</f>
        <v>0</v>
      </c>
      <c r="AA38" s="53">
        <f>('TUSD BE'!$AC$38+'TUSD BF'!$AC$38+'TUSD CVA'!$AC$38)*(1 - CUSTOS!$M$39)</f>
        <v>174.31375547981085</v>
      </c>
      <c r="AB38" s="53">
        <f ca="1">('TUSD BE'!$AE$38+'TUSD BF'!$AE$38+'TUSD CVA'!$AE$38)*(1 - CUSTOS!$M$39)</f>
        <v>-66.984522127613175</v>
      </c>
      <c r="AC38" s="53">
        <f ca="1">('TUSD BE'!$AF$38+'TUSD BF'!$AF$38+'TUSD CVA'!$AF$38)*(1 - CUSTOS!$M$39)</f>
        <v>0</v>
      </c>
      <c r="AD38" s="53">
        <f>('TUSD BE'!$AH$38+'TUSD BF'!$AH$38+'TUSD CVA'!$AH$38)*(1 - CUSTOS!$M$39)</f>
        <v>16.444048993395729</v>
      </c>
      <c r="AE38" s="53">
        <f>('TUSD BE'!$AI$38+'TUSD BF'!$AI$38+'TUSD CVA'!$AI$38)*(1 - CUSTOS!$M$39)</f>
        <v>0.56396862045578744</v>
      </c>
      <c r="AF38" s="53">
        <f ca="1">('TUSD BE'!$AJ$38+'TUSD BF'!$AJ$38+'TUSD CVA'!$AJ$38)*(1 - CUSTOS!$M$39)</f>
        <v>2.4210442020111653</v>
      </c>
      <c r="AG38" s="53">
        <f ca="1">('TUSD BE'!$AK$38+'TUSD BF'!$AK$38+'TUSD CVA'!$AK$38)*(1 - CUSTOS!$M$39)</f>
        <v>0.2923592367231384</v>
      </c>
      <c r="AI38" s="53">
        <v>5.6193230363703304</v>
      </c>
      <c r="AJ38" s="53">
        <v>0.67451126656776295</v>
      </c>
      <c r="AK38" s="53">
        <v>2.9147040017769101</v>
      </c>
      <c r="AL38" s="53">
        <v>0</v>
      </c>
      <c r="AM38" s="53">
        <v>0</v>
      </c>
      <c r="AN38" s="53">
        <v>52.360108414507003</v>
      </c>
      <c r="AO38" s="53">
        <v>8.4613539559792308</v>
      </c>
      <c r="AP38" s="53">
        <v>0</v>
      </c>
      <c r="AQ38" s="53">
        <v>19.5946989354733</v>
      </c>
      <c r="AR38" s="53">
        <v>8.9043943496720992</v>
      </c>
      <c r="AS38" s="53">
        <v>8.3494089078525597</v>
      </c>
      <c r="AT38" s="53">
        <v>0</v>
      </c>
      <c r="AU38" s="53">
        <v>0</v>
      </c>
      <c r="AV38" s="53">
        <v>0</v>
      </c>
      <c r="AW38" s="53">
        <v>0</v>
      </c>
      <c r="AX38" s="53">
        <v>158.92681889454201</v>
      </c>
      <c r="AY38" s="53">
        <v>0</v>
      </c>
      <c r="AZ38" s="53">
        <v>0</v>
      </c>
      <c r="BA38" s="53">
        <v>17.020752927756199</v>
      </c>
      <c r="BB38" s="53">
        <v>0.49004205433244602</v>
      </c>
      <c r="BC38" s="53">
        <v>1.96772762409652</v>
      </c>
      <c r="BD38" s="53">
        <v>0.275648295801876</v>
      </c>
    </row>
    <row r="39" spans="1:56" ht="11.25" customHeight="1" x14ac:dyDescent="0.25">
      <c r="A39" s="131"/>
      <c r="B39" s="131" t="s">
        <v>32</v>
      </c>
      <c r="C39" s="131" t="s">
        <v>43</v>
      </c>
      <c r="D39" s="131" t="s">
        <v>97</v>
      </c>
      <c r="E39" s="131" t="s">
        <v>25</v>
      </c>
      <c r="F39" s="131" t="s">
        <v>25</v>
      </c>
      <c r="G39" s="74" t="s">
        <v>83</v>
      </c>
      <c r="H39" s="74" t="s">
        <v>82</v>
      </c>
      <c r="I39" s="74">
        <f>'MERCADO TUSD'!$U$36</f>
        <v>0</v>
      </c>
      <c r="J39" s="15"/>
      <c r="L39" s="53">
        <f>('TUSD BE'!$L$39+'TUSD BF'!$L$39+'TUSD CVA'!$L$39)*(1 - CUSTOS!$M$40)</f>
        <v>5.6854632233836808</v>
      </c>
      <c r="M39" s="53">
        <f>('TUSD BE'!$M$39+'TUSD BF'!$M$39+'TUSD CVA'!$M$39)*(1 - CUSTOS!$M$40)</f>
        <v>0.72103139837819197</v>
      </c>
      <c r="N39" s="53">
        <f ca="1">('TUSD BE'!$N$39+'TUSD BF'!$N$39+'TUSD CVA'!$N$39)*(1 - CUSTOS!$M$40)</f>
        <v>7.9763292607328582</v>
      </c>
      <c r="O39" s="53">
        <f>('TUSD BE'!$O$39+'TUSD BF'!$O$39+'TUSD CVA'!$O$39)*(1 - CUSTOS!$M$40)</f>
        <v>0</v>
      </c>
      <c r="P39" s="53">
        <f>('TUSD BE'!$P$39+'TUSD BF'!$P$39+'TUSD CVA'!$P$39)*(1 - CUSTOS!$M$40)</f>
        <v>0</v>
      </c>
      <c r="Q39" s="53">
        <f>('TUSD BE'!$Q$39+'TUSD BF'!$Q$39+'TUSD CVA'!$Q$39)*(1 - CUSTOS!$M$40)</f>
        <v>96.135080624004544</v>
      </c>
      <c r="R39" s="53">
        <f>('TUSD BE'!$R$39+'TUSD BF'!$R$39+'TUSD CVA'!$R$39)*(1 - CUSTOS!$M$40)</f>
        <v>14.500410124964631</v>
      </c>
      <c r="S39" s="53">
        <f>('TUSD BE'!$S$39+'TUSD BF'!$S$39+'TUSD CVA'!$S$39)*(1 - CUSTOS!$M$40)</f>
        <v>0</v>
      </c>
      <c r="T39" s="53">
        <f>('TUSD BE'!$U$39+'TUSD BF'!$U$39+'TUSD CVA'!$U$39)*(1 - CUSTOS!$M$40)</f>
        <v>132.2329936840674</v>
      </c>
      <c r="U39" s="53">
        <f>('TUSD BE'!$V$39+'TUSD BF'!$V$39+'TUSD CVA'!$V$39)*(1 - CUSTOS!$M$40)</f>
        <v>43.029314158494827</v>
      </c>
      <c r="V39" s="53">
        <f>('TUSD BE'!$W$39+'TUSD BF'!$W$39+'TUSD CVA'!$W$39)*(1 - CUSTOS!$M$40)</f>
        <v>71.140038050319902</v>
      </c>
      <c r="W39" s="53">
        <f>('TUSD BE'!$X$39+'TUSD BF'!$X$39+'TUSD CVA'!$X$39)*(1 - CUSTOS!$M$40)</f>
        <v>0</v>
      </c>
      <c r="X39" s="53">
        <f>('TUSD BE'!$Y$39+'TUSD BF'!$Y$39+'TUSD CVA'!$Y$39)*(1 - CUSTOS!$M$40)</f>
        <v>0</v>
      </c>
      <c r="Y39" s="53">
        <f>('TUSD BE'!$Z$39+'TUSD BF'!$Z$39+'TUSD CVA'!$Z$39)*(1 - CUSTOS!$M$40)</f>
        <v>0</v>
      </c>
      <c r="Z39" s="53">
        <f>('TUSD BE'!$AA$39+'TUSD BF'!$AA$39+'TUSD CVA'!$AA$39)*(1 - CUSTOS!$M$40)</f>
        <v>0</v>
      </c>
      <c r="AA39" s="53">
        <f>('TUSD BE'!$AC$39+'TUSD BF'!$AC$39+'TUSD CVA'!$AC$39)*(1 - CUSTOS!$M$40)</f>
        <v>699.48025984733329</v>
      </c>
      <c r="AB39" s="53">
        <f ca="1">('TUSD BE'!$AE$39+'TUSD BF'!$AE$39+'TUSD CVA'!$AE$39)*(1 - CUSTOS!$M$40)</f>
        <v>-200.21806888515044</v>
      </c>
      <c r="AC39" s="53">
        <f ca="1">('TUSD BE'!$AF$39+'TUSD BF'!$AF$39+'TUSD CVA'!$AF$39)*(1 - CUSTOS!$M$40)</f>
        <v>0</v>
      </c>
      <c r="AD39" s="53">
        <f>('TUSD BE'!$AH$39+'TUSD BF'!$AH$39+'TUSD CVA'!$AH$39)*(1 - CUSTOS!$M$40)</f>
        <v>16.094175610557524</v>
      </c>
      <c r="AE39" s="53">
        <f>('TUSD BE'!$AI$39+'TUSD BF'!$AI$39+'TUSD CVA'!$AI$39)*(1 - CUSTOS!$M$40)</f>
        <v>0.55196928810566437</v>
      </c>
      <c r="AF39" s="53">
        <f ca="1">('TUSD BE'!$AJ$39+'TUSD BF'!$AJ$39+'TUSD CVA'!$AJ$39)*(1 - CUSTOS!$M$40)</f>
        <v>2.3695326232449707</v>
      </c>
      <c r="AG39" s="53">
        <f ca="1">('TUSD BE'!$AK$39+'TUSD BF'!$AK$39+'TUSD CVA'!$AK$39)*(1 - CUSTOS!$M$40)</f>
        <v>0.28613882743115676</v>
      </c>
      <c r="AI39" s="53">
        <v>5.36389926198986</v>
      </c>
      <c r="AJ39" s="53">
        <v>0.643851663541955</v>
      </c>
      <c r="AK39" s="53">
        <v>6.4222673979933198</v>
      </c>
      <c r="AL39" s="53">
        <v>0</v>
      </c>
      <c r="AM39" s="53">
        <v>0</v>
      </c>
      <c r="AN39" s="53">
        <v>49.980103486574798</v>
      </c>
      <c r="AO39" s="53">
        <v>8.0767469579801698</v>
      </c>
      <c r="AP39" s="53">
        <v>0</v>
      </c>
      <c r="AQ39" s="53">
        <v>49.268261835494997</v>
      </c>
      <c r="AR39" s="53">
        <v>22.388910981579201</v>
      </c>
      <c r="AS39" s="53">
        <v>20.993332269741799</v>
      </c>
      <c r="AT39" s="53">
        <v>0</v>
      </c>
      <c r="AU39" s="53">
        <v>0</v>
      </c>
      <c r="AV39" s="53">
        <v>0</v>
      </c>
      <c r="AW39" s="53">
        <v>0</v>
      </c>
      <c r="AX39" s="53">
        <v>399.60055128283801</v>
      </c>
      <c r="AY39" s="53">
        <v>0</v>
      </c>
      <c r="AZ39" s="53">
        <v>0</v>
      </c>
      <c r="BA39" s="53">
        <v>16.247082340131001</v>
      </c>
      <c r="BB39" s="53">
        <v>0.46776741549915302</v>
      </c>
      <c r="BC39" s="53">
        <v>1.8782854593648599</v>
      </c>
      <c r="BD39" s="53">
        <v>0.26311882781088203</v>
      </c>
    </row>
    <row r="40" spans="1:56" ht="11.25" customHeight="1" x14ac:dyDescent="0.25">
      <c r="A40" s="131"/>
      <c r="B40" s="131"/>
      <c r="C40" s="131"/>
      <c r="D40" s="131"/>
      <c r="E40" s="131"/>
      <c r="F40" s="131"/>
      <c r="G40" s="74" t="s">
        <v>93</v>
      </c>
      <c r="H40" s="74" t="s">
        <v>82</v>
      </c>
      <c r="I40" s="74">
        <f>'MERCADO TUSD'!$U$37</f>
        <v>0</v>
      </c>
      <c r="J40" s="15"/>
      <c r="L40" s="53">
        <f>('TUSD BE'!$L$40+'TUSD BF'!$L$40+'TUSD CVA'!$L$40)*(1 - CUSTOS!$M$40)</f>
        <v>5.6854632233836808</v>
      </c>
      <c r="M40" s="53">
        <f>('TUSD BE'!$M$40+'TUSD BF'!$M$40+'TUSD CVA'!$M$40)*(1 - CUSTOS!$M$40)</f>
        <v>0.72103139837819197</v>
      </c>
      <c r="N40" s="53">
        <f ca="1">('TUSD BE'!$N$40+'TUSD BF'!$N$40+'TUSD CVA'!$N$40)*(1 - CUSTOS!$M$40)</f>
        <v>4.1936070925827611</v>
      </c>
      <c r="O40" s="53">
        <f>('TUSD BE'!$O$40+'TUSD BF'!$O$40+'TUSD CVA'!$O$40)*(1 - CUSTOS!$M$40)</f>
        <v>0</v>
      </c>
      <c r="P40" s="53">
        <f>('TUSD BE'!$P$40+'TUSD BF'!$P$40+'TUSD CVA'!$P$40)*(1 - CUSTOS!$M$40)</f>
        <v>0</v>
      </c>
      <c r="Q40" s="53">
        <f>('TUSD BE'!$Q$40+'TUSD BF'!$Q$40+'TUSD CVA'!$Q$40)*(1 - CUSTOS!$M$40)</f>
        <v>96.135080624004544</v>
      </c>
      <c r="R40" s="53">
        <f>('TUSD BE'!$R$40+'TUSD BF'!$R$40+'TUSD CVA'!$R$40)*(1 - CUSTOS!$M$40)</f>
        <v>14.500410124964631</v>
      </c>
      <c r="S40" s="53">
        <f>('TUSD BE'!$S$40+'TUSD BF'!$S$40+'TUSD CVA'!$S$40)*(1 - CUSTOS!$M$40)</f>
        <v>0</v>
      </c>
      <c r="T40" s="53">
        <f>('TUSD BE'!$U$40+'TUSD BF'!$U$40+'TUSD CVA'!$U$40)*(1 - CUSTOS!$M$40)</f>
        <v>66.116541234321204</v>
      </c>
      <c r="U40" s="53">
        <f>('TUSD BE'!$V$40+'TUSD BF'!$V$40+'TUSD CVA'!$V$40)*(1 - CUSTOS!$M$40)</f>
        <v>21.514657079247414</v>
      </c>
      <c r="V40" s="53">
        <f>('TUSD BE'!$W$40+'TUSD BF'!$W$40+'TUSD CVA'!$W$40)*(1 - CUSTOS!$M$40)</f>
        <v>35.570019025159951</v>
      </c>
      <c r="W40" s="53">
        <f>('TUSD BE'!$X$40+'TUSD BF'!$X$40+'TUSD CVA'!$X$40)*(1 - CUSTOS!$M$40)</f>
        <v>0</v>
      </c>
      <c r="X40" s="53">
        <f>('TUSD BE'!$Y$40+'TUSD BF'!$Y$40+'TUSD CVA'!$Y$40)*(1 - CUSTOS!$M$40)</f>
        <v>0</v>
      </c>
      <c r="Y40" s="53">
        <f>('TUSD BE'!$Z$40+'TUSD BF'!$Z$40+'TUSD CVA'!$Z$40)*(1 - CUSTOS!$M$40)</f>
        <v>0</v>
      </c>
      <c r="Z40" s="53">
        <f>('TUSD BE'!$AA$40+'TUSD BF'!$AA$40+'TUSD CVA'!$AA$40)*(1 - CUSTOS!$M$40)</f>
        <v>0</v>
      </c>
      <c r="AA40" s="53">
        <f>('TUSD BE'!$AC$40+'TUSD BF'!$AC$40+'TUSD CVA'!$AC$40)*(1 - CUSTOS!$M$40)</f>
        <v>349.74017398042548</v>
      </c>
      <c r="AB40" s="53">
        <f ca="1">('TUSD BE'!$AE$40+'TUSD BF'!$AE$40+'TUSD CVA'!$AE$40)*(1 - CUSTOS!$M$40)</f>
        <v>-111.16955360322828</v>
      </c>
      <c r="AC40" s="53">
        <f ca="1">('TUSD BE'!$AF$40+'TUSD BF'!$AF$40+'TUSD CVA'!$AF$40)*(1 - CUSTOS!$M$40)</f>
        <v>0</v>
      </c>
      <c r="AD40" s="53">
        <f>('TUSD BE'!$AH$40+'TUSD BF'!$AH$40+'TUSD CVA'!$AH$40)*(1 - CUSTOS!$M$40)</f>
        <v>16.094175610557524</v>
      </c>
      <c r="AE40" s="53">
        <f>('TUSD BE'!$AI$40+'TUSD BF'!$AI$40+'TUSD CVA'!$AI$40)*(1 - CUSTOS!$M$40)</f>
        <v>0.55196928810566437</v>
      </c>
      <c r="AF40" s="53">
        <f ca="1">('TUSD BE'!$AJ$40+'TUSD BF'!$AJ$40+'TUSD CVA'!$AJ$40)*(1 - CUSTOS!$M$40)</f>
        <v>2.3695326232449707</v>
      </c>
      <c r="AG40" s="53">
        <f ca="1">('TUSD BE'!$AK$40+'TUSD BF'!$AK$40+'TUSD CVA'!$AK$40)*(1 - CUSTOS!$M$40)</f>
        <v>0.28613882743115676</v>
      </c>
      <c r="AI40" s="53">
        <v>5.36389926198986</v>
      </c>
      <c r="AJ40" s="53">
        <v>0.643851663541955</v>
      </c>
      <c r="AK40" s="53">
        <v>3.48846458759339</v>
      </c>
      <c r="AL40" s="53">
        <v>0</v>
      </c>
      <c r="AM40" s="53">
        <v>0</v>
      </c>
      <c r="AN40" s="53">
        <v>49.980103486574798</v>
      </c>
      <c r="AO40" s="53">
        <v>8.0767469579801698</v>
      </c>
      <c r="AP40" s="53">
        <v>0</v>
      </c>
      <c r="AQ40" s="53">
        <v>24.634130917747498</v>
      </c>
      <c r="AR40" s="53">
        <v>11.194455490789601</v>
      </c>
      <c r="AS40" s="53">
        <v>10.4966661348709</v>
      </c>
      <c r="AT40" s="53">
        <v>0</v>
      </c>
      <c r="AU40" s="53">
        <v>0</v>
      </c>
      <c r="AV40" s="53">
        <v>0</v>
      </c>
      <c r="AW40" s="53">
        <v>0</v>
      </c>
      <c r="AX40" s="53">
        <v>199.80032172218901</v>
      </c>
      <c r="AY40" s="53">
        <v>0</v>
      </c>
      <c r="AZ40" s="53">
        <v>0</v>
      </c>
      <c r="BA40" s="53">
        <v>16.247082340131001</v>
      </c>
      <c r="BB40" s="53">
        <v>0.46776741549915302</v>
      </c>
      <c r="BC40" s="53">
        <v>1.8782854593648599</v>
      </c>
      <c r="BD40" s="53">
        <v>0.26311882781088203</v>
      </c>
    </row>
    <row r="41" spans="1:56" ht="11.25" customHeight="1" x14ac:dyDescent="0.25">
      <c r="A41" s="131"/>
      <c r="B41" s="131"/>
      <c r="C41" s="131"/>
      <c r="D41" s="131"/>
      <c r="E41" s="131"/>
      <c r="F41" s="131"/>
      <c r="G41" s="74" t="s">
        <v>84</v>
      </c>
      <c r="H41" s="74" t="s">
        <v>82</v>
      </c>
      <c r="I41" s="74">
        <f>'MERCADO TUSD'!$U$38</f>
        <v>0</v>
      </c>
      <c r="J41" s="15"/>
      <c r="L41" s="53">
        <f>('TUSD BE'!$L$41+'TUSD BF'!$L$41+'TUSD CVA'!$L$41)*(1 - CUSTOS!$M$40)</f>
        <v>5.6854632233836808</v>
      </c>
      <c r="M41" s="53">
        <f>('TUSD BE'!$M$41+'TUSD BF'!$M$41+'TUSD CVA'!$M$41)*(1 - CUSTOS!$M$40)</f>
        <v>0.72103139837819197</v>
      </c>
      <c r="N41" s="53">
        <f ca="1">('TUSD BE'!$N$41+'TUSD BF'!$N$41+'TUSD CVA'!$N$41)*(1 - CUSTOS!$M$40)</f>
        <v>1.1674282296945855</v>
      </c>
      <c r="O41" s="53">
        <f>('TUSD BE'!$O$41+'TUSD BF'!$O$41+'TUSD CVA'!$O$41)*(1 - CUSTOS!$M$40)</f>
        <v>0</v>
      </c>
      <c r="P41" s="53">
        <f>('TUSD BE'!$P$41+'TUSD BF'!$P$41+'TUSD CVA'!$P$41)*(1 - CUSTOS!$M$40)</f>
        <v>0</v>
      </c>
      <c r="Q41" s="53">
        <f>('TUSD BE'!$Q$41+'TUSD BF'!$Q$41+'TUSD CVA'!$Q$41)*(1 - CUSTOS!$M$40)</f>
        <v>96.135080624004544</v>
      </c>
      <c r="R41" s="53">
        <f>('TUSD BE'!$R$41+'TUSD BF'!$R$41+'TUSD CVA'!$R$41)*(1 - CUSTOS!$M$40)</f>
        <v>14.500410124964631</v>
      </c>
      <c r="S41" s="53">
        <f>('TUSD BE'!$S$41+'TUSD BF'!$S$41+'TUSD CVA'!$S$41)*(1 - CUSTOS!$M$40)</f>
        <v>0</v>
      </c>
      <c r="T41" s="53">
        <f>('TUSD BE'!$U$41+'TUSD BF'!$U$41+'TUSD CVA'!$U$41)*(1 - CUSTOS!$M$40)</f>
        <v>13.223308246864242</v>
      </c>
      <c r="U41" s="53">
        <f>('TUSD BE'!$V$41+'TUSD BF'!$V$41+'TUSD CVA'!$V$41)*(1 - CUSTOS!$M$40)</f>
        <v>4.3029695618973269</v>
      </c>
      <c r="V41" s="53">
        <f>('TUSD BE'!$W$41+'TUSD BF'!$W$41+'TUSD CVA'!$W$41)*(1 - CUSTOS!$M$40)</f>
        <v>7.1139702742700779</v>
      </c>
      <c r="W41" s="53">
        <f>('TUSD BE'!$X$41+'TUSD BF'!$X$41+'TUSD CVA'!$X$41)*(1 - CUSTOS!$M$40)</f>
        <v>0</v>
      </c>
      <c r="X41" s="53">
        <f>('TUSD BE'!$Y$41+'TUSD BF'!$Y$41+'TUSD CVA'!$Y$41)*(1 - CUSTOS!$M$40)</f>
        <v>0</v>
      </c>
      <c r="Y41" s="53">
        <f>('TUSD BE'!$Z$41+'TUSD BF'!$Z$41+'TUSD CVA'!$Z$41)*(1 - CUSTOS!$M$40)</f>
        <v>0</v>
      </c>
      <c r="Z41" s="53">
        <f>('TUSD BE'!$AA$41+'TUSD BF'!$AA$41+'TUSD CVA'!$AA$41)*(1 - CUSTOS!$M$40)</f>
        <v>0</v>
      </c>
      <c r="AA41" s="53">
        <f>('TUSD BE'!$AC$41+'TUSD BF'!$AC$41+'TUSD CVA'!$AC$41)*(1 - CUSTOS!$M$40)</f>
        <v>69.948034796085082</v>
      </c>
      <c r="AB41" s="53">
        <f ca="1">('TUSD BE'!$AE$41+'TUSD BF'!$AE$41+'TUSD CVA'!$AE$41)*(1 - CUSTOS!$M$40)</f>
        <v>-39.93071499221351</v>
      </c>
      <c r="AC41" s="53">
        <f ca="1">('TUSD BE'!$AF$41+'TUSD BF'!$AF$41+'TUSD CVA'!$AF$41)*(1 - CUSTOS!$M$40)</f>
        <v>0</v>
      </c>
      <c r="AD41" s="53">
        <f>('TUSD BE'!$AH$41+'TUSD BF'!$AH$41+'TUSD CVA'!$AH$41)*(1 - CUSTOS!$M$40)</f>
        <v>16.094175610557524</v>
      </c>
      <c r="AE41" s="53">
        <f>('TUSD BE'!$AI$41+'TUSD BF'!$AI$41+'TUSD CVA'!$AI$41)*(1 - CUSTOS!$M$40)</f>
        <v>0.55196928810566437</v>
      </c>
      <c r="AF41" s="53">
        <f ca="1">('TUSD BE'!$AJ$41+'TUSD BF'!$AJ$41+'TUSD CVA'!$AJ$41)*(1 - CUSTOS!$M$40)</f>
        <v>2.3695326232449707</v>
      </c>
      <c r="AG41" s="53">
        <f ca="1">('TUSD BE'!$AK$41+'TUSD BF'!$AK$41+'TUSD CVA'!$AK$41)*(1 - CUSTOS!$M$40)</f>
        <v>0.28613882743115676</v>
      </c>
      <c r="AI41" s="53">
        <v>5.36389926198986</v>
      </c>
      <c r="AJ41" s="53">
        <v>0.643851663541955</v>
      </c>
      <c r="AK41" s="53">
        <v>2.1362257164129499</v>
      </c>
      <c r="AL41" s="53">
        <v>0</v>
      </c>
      <c r="AM41" s="53">
        <v>0</v>
      </c>
      <c r="AN41" s="53">
        <v>49.980103486574798</v>
      </c>
      <c r="AO41" s="53">
        <v>8.0767469579801698</v>
      </c>
      <c r="AP41" s="53">
        <v>0</v>
      </c>
      <c r="AQ41" s="53">
        <v>13.279887732457199</v>
      </c>
      <c r="AR41" s="53">
        <v>6.0348021034013897</v>
      </c>
      <c r="AS41" s="53">
        <v>5.65843073580068</v>
      </c>
      <c r="AT41" s="53">
        <v>0</v>
      </c>
      <c r="AU41" s="53">
        <v>0</v>
      </c>
      <c r="AV41" s="53">
        <v>0</v>
      </c>
      <c r="AW41" s="53">
        <v>0</v>
      </c>
      <c r="AX41" s="53">
        <v>107.709008197695</v>
      </c>
      <c r="AY41" s="53">
        <v>0</v>
      </c>
      <c r="AZ41" s="53">
        <v>0</v>
      </c>
      <c r="BA41" s="53">
        <v>16.247082340131001</v>
      </c>
      <c r="BB41" s="53">
        <v>0.46776741549915302</v>
      </c>
      <c r="BC41" s="53">
        <v>1.8782854593648599</v>
      </c>
      <c r="BD41" s="53">
        <v>0.26311882781088203</v>
      </c>
    </row>
    <row r="42" spans="1:56" ht="11.25" customHeight="1" x14ac:dyDescent="0.25">
      <c r="A42" s="131"/>
      <c r="B42" s="73" t="s">
        <v>23</v>
      </c>
      <c r="C42" s="73" t="s">
        <v>43</v>
      </c>
      <c r="D42" s="73" t="s">
        <v>97</v>
      </c>
      <c r="E42" s="73" t="s">
        <v>25</v>
      </c>
      <c r="F42" s="73" t="s">
        <v>25</v>
      </c>
      <c r="G42" s="74" t="s">
        <v>86</v>
      </c>
      <c r="H42" s="74" t="s">
        <v>82</v>
      </c>
      <c r="I42" s="74">
        <f>'MERCADO TUSD'!$U$39</f>
        <v>0</v>
      </c>
      <c r="J42" s="15"/>
      <c r="L42" s="53">
        <f>('TUSD BE'!$L$42+'TUSD BF'!$L$42+'TUSD CVA'!$L$42)*(1 - CUSTOS!$M$40)</f>
        <v>5.6854632233836808</v>
      </c>
      <c r="M42" s="53">
        <f>('TUSD BE'!$M$42+'TUSD BF'!$M$42+'TUSD CVA'!$M$42)*(1 - CUSTOS!$M$40)</f>
        <v>0.72103139837819197</v>
      </c>
      <c r="N42" s="53">
        <f ca="1">('TUSD BE'!$N$42+'TUSD BF'!$N$42+'TUSD CVA'!$N$42)*(1 - CUSTOS!$M$40)</f>
        <v>2.2561144419250798</v>
      </c>
      <c r="O42" s="53">
        <f>('TUSD BE'!$O$42+'TUSD BF'!$O$42+'TUSD CVA'!$O$42)*(1 - CUSTOS!$M$40)</f>
        <v>0</v>
      </c>
      <c r="P42" s="53">
        <f>('TUSD BE'!$P$42+'TUSD BF'!$P$42+'TUSD CVA'!$P$42)*(1 - CUSTOS!$M$40)</f>
        <v>0</v>
      </c>
      <c r="Q42" s="53">
        <f>('TUSD BE'!$Q$42+'TUSD BF'!$Q$42+'TUSD CVA'!$Q$42)*(1 - CUSTOS!$M$40)</f>
        <v>96.135080624004544</v>
      </c>
      <c r="R42" s="53">
        <f>('TUSD BE'!$R$42+'TUSD BF'!$R$42+'TUSD CVA'!$R$42)*(1 - CUSTOS!$M$40)</f>
        <v>14.500410124964631</v>
      </c>
      <c r="S42" s="53">
        <f>('TUSD BE'!$S$42+'TUSD BF'!$S$42+'TUSD CVA'!$S$42)*(1 - CUSTOS!$M$40)</f>
        <v>0</v>
      </c>
      <c r="T42" s="53">
        <f>('TUSD BE'!$U$42+'TUSD BF'!$U$42+'TUSD CVA'!$U$42)*(1 - CUSTOS!$M$40)</f>
        <v>32.251973499292653</v>
      </c>
      <c r="U42" s="53">
        <f>('TUSD BE'!$V$42+'TUSD BF'!$V$42+'TUSD CVA'!$V$42)*(1 - CUSTOS!$M$40)</f>
        <v>10.494931413018344</v>
      </c>
      <c r="V42" s="53">
        <f>('TUSD BE'!$W$42+'TUSD BF'!$W$42+'TUSD CVA'!$W$42)*(1 - CUSTOS!$M$40)</f>
        <v>17.351247193788829</v>
      </c>
      <c r="W42" s="53">
        <f>('TUSD BE'!$X$42+'TUSD BF'!$X$42+'TUSD CVA'!$X$42)*(1 - CUSTOS!$M$40)</f>
        <v>0</v>
      </c>
      <c r="X42" s="53">
        <f>('TUSD BE'!$Y$42+'TUSD BF'!$Y$42+'TUSD CVA'!$Y$42)*(1 - CUSTOS!$M$40)</f>
        <v>0</v>
      </c>
      <c r="Y42" s="53">
        <f>('TUSD BE'!$Z$42+'TUSD BF'!$Z$42+'TUSD CVA'!$Z$42)*(1 - CUSTOS!$M$40)</f>
        <v>0</v>
      </c>
      <c r="Z42" s="53">
        <f>('TUSD BE'!$AA$42+'TUSD BF'!$AA$42+'TUSD CVA'!$AA$42)*(1 - CUSTOS!$M$40)</f>
        <v>0</v>
      </c>
      <c r="AA42" s="53">
        <f>('TUSD BE'!$AC$42+'TUSD BF'!$AC$42+'TUSD CVA'!$AC$42)*(1 - CUSTOS!$M$40)</f>
        <v>170.60495217172979</v>
      </c>
      <c r="AB42" s="53">
        <f ca="1">('TUSD BE'!$AE$42+'TUSD BF'!$AE$42+'TUSD CVA'!$AE$42)*(1 - CUSTOS!$M$40)</f>
        <v>-65.559319529153328</v>
      </c>
      <c r="AC42" s="53">
        <f ca="1">('TUSD BE'!$AF$42+'TUSD BF'!$AF$42+'TUSD CVA'!$AF$42)*(1 - CUSTOS!$M$40)</f>
        <v>0</v>
      </c>
      <c r="AD42" s="53">
        <f>('TUSD BE'!$AH$42+'TUSD BF'!$AH$42+'TUSD CVA'!$AH$42)*(1 - CUSTOS!$M$40)</f>
        <v>16.094175610557524</v>
      </c>
      <c r="AE42" s="53">
        <f>('TUSD BE'!$AI$42+'TUSD BF'!$AI$42+'TUSD CVA'!$AI$42)*(1 - CUSTOS!$M$40)</f>
        <v>0.55196928810566437</v>
      </c>
      <c r="AF42" s="53">
        <f ca="1">('TUSD BE'!$AJ$42+'TUSD BF'!$AJ$42+'TUSD CVA'!$AJ$42)*(1 - CUSTOS!$M$40)</f>
        <v>2.3695326232449707</v>
      </c>
      <c r="AG42" s="53">
        <f ca="1">('TUSD BE'!$AK$42+'TUSD BF'!$AK$42+'TUSD CVA'!$AK$42)*(1 - CUSTOS!$M$40)</f>
        <v>0.28613882743115676</v>
      </c>
      <c r="AI42" s="53">
        <v>5.36389926198986</v>
      </c>
      <c r="AJ42" s="53">
        <v>0.643851663541955</v>
      </c>
      <c r="AK42" s="53">
        <v>2.78221745624159</v>
      </c>
      <c r="AL42" s="53">
        <v>0</v>
      </c>
      <c r="AM42" s="53">
        <v>0</v>
      </c>
      <c r="AN42" s="53">
        <v>49.980103486574798</v>
      </c>
      <c r="AO42" s="53">
        <v>8.0767469579801698</v>
      </c>
      <c r="AP42" s="53">
        <v>0</v>
      </c>
      <c r="AQ42" s="53">
        <v>18.704030802042698</v>
      </c>
      <c r="AR42" s="53">
        <v>8.4996491519597299</v>
      </c>
      <c r="AS42" s="53">
        <v>7.96989032113198</v>
      </c>
      <c r="AT42" s="53">
        <v>0</v>
      </c>
      <c r="AU42" s="53">
        <v>0</v>
      </c>
      <c r="AV42" s="53">
        <v>0</v>
      </c>
      <c r="AW42" s="53">
        <v>0</v>
      </c>
      <c r="AX42" s="53">
        <v>151.702872581154</v>
      </c>
      <c r="AY42" s="53">
        <v>0</v>
      </c>
      <c r="AZ42" s="53">
        <v>0</v>
      </c>
      <c r="BA42" s="53">
        <v>16.247082340131001</v>
      </c>
      <c r="BB42" s="53">
        <v>0.46776741549915302</v>
      </c>
      <c r="BC42" s="53">
        <v>1.8782854593648599</v>
      </c>
      <c r="BD42" s="53">
        <v>0.26311882781088203</v>
      </c>
    </row>
    <row r="43" spans="1:56" ht="11.25" customHeight="1" x14ac:dyDescent="0.25">
      <c r="A43" s="131"/>
      <c r="B43" s="131" t="s">
        <v>95</v>
      </c>
      <c r="C43" s="131" t="s">
        <v>43</v>
      </c>
      <c r="D43" s="73" t="s">
        <v>25</v>
      </c>
      <c r="E43" s="73" t="s">
        <v>25</v>
      </c>
      <c r="F43" s="73" t="s">
        <v>25</v>
      </c>
      <c r="G43" s="74" t="s">
        <v>86</v>
      </c>
      <c r="H43" s="74" t="s">
        <v>82</v>
      </c>
      <c r="I43" s="74">
        <f>'MERCADO TUSD'!$U$40</f>
        <v>0</v>
      </c>
      <c r="J43" s="15"/>
      <c r="L43" s="53">
        <f>('TUSD BE'!$L$43+'TUSD BF'!$L$43+'TUSD CVA'!$L$43)*(1 - CUSTOS!$M$38)</f>
        <v>5.8090602499789776</v>
      </c>
      <c r="M43" s="53">
        <f>('TUSD BE'!$M$43+'TUSD BF'!$M$43+'TUSD CVA'!$M$43)*(1 - CUSTOS!$M$38)</f>
        <v>0.73670599399510905</v>
      </c>
      <c r="N43" s="53">
        <f ca="1">('TUSD BE'!$N$43+'TUSD BF'!$N$43+'TUSD CVA'!$N$43)*(1 - CUSTOS!$M$38)</f>
        <v>2.3051604080538857</v>
      </c>
      <c r="O43" s="53">
        <f>('TUSD BE'!$O$43+'TUSD BF'!$O$43+'TUSD CVA'!$O$43)*(1 - CUSTOS!$M$38)</f>
        <v>0</v>
      </c>
      <c r="P43" s="53">
        <f>('TUSD BE'!$P$43+'TUSD BF'!$P$43+'TUSD CVA'!$P$43)*(1 - CUSTOS!$M$38)</f>
        <v>0</v>
      </c>
      <c r="Q43" s="53">
        <f>('TUSD BE'!$Q$43+'TUSD BF'!$Q$43+'TUSD CVA'!$Q$43)*(1 - CUSTOS!$M$38)</f>
        <v>98.224973681048112</v>
      </c>
      <c r="R43" s="53">
        <f>('TUSD BE'!$R$43+'TUSD BF'!$R$43+'TUSD CVA'!$R$43)*(1 - CUSTOS!$M$38)</f>
        <v>14.815636432029077</v>
      </c>
      <c r="S43" s="53">
        <f>('TUSD BE'!$S$43+'TUSD BF'!$S$43+'TUSD CVA'!$S$43)*(1 - CUSTOS!$M$38)</f>
        <v>0</v>
      </c>
      <c r="T43" s="53">
        <f>('TUSD BE'!$U$43+'TUSD BF'!$U$43+'TUSD CVA'!$U$43)*(1 - CUSTOS!$M$38)</f>
        <v>32.953103357972928</v>
      </c>
      <c r="U43" s="53">
        <f>('TUSD BE'!$V$43+'TUSD BF'!$V$43+'TUSD CVA'!$V$43)*(1 - CUSTOS!$M$38)</f>
        <v>10.723082095910046</v>
      </c>
      <c r="V43" s="53">
        <f>('TUSD BE'!$W$43+'TUSD BF'!$W$43+'TUSD CVA'!$W$43)*(1 - CUSTOS!$M$38)</f>
        <v>17.728448219740759</v>
      </c>
      <c r="W43" s="53">
        <f>('TUSD BE'!$X$43+'TUSD BF'!$X$43+'TUSD CVA'!$X$43)*(1 - CUSTOS!$M$38)</f>
        <v>0</v>
      </c>
      <c r="X43" s="53">
        <f>('TUSD BE'!$Y$43+'TUSD BF'!$Y$43+'TUSD CVA'!$Y$43)*(1 - CUSTOS!$M$38)</f>
        <v>0</v>
      </c>
      <c r="Y43" s="53">
        <f>('TUSD BE'!$Z$43+'TUSD BF'!$Z$43+'TUSD CVA'!$Z$43)*(1 - CUSTOS!$M$38)</f>
        <v>0</v>
      </c>
      <c r="Z43" s="53">
        <f>('TUSD BE'!$AA$43+'TUSD BF'!$AA$43+'TUSD CVA'!$AA$43)*(1 - CUSTOS!$M$38)</f>
        <v>0</v>
      </c>
      <c r="AA43" s="53">
        <f>('TUSD BE'!$AC$43+'TUSD BF'!$AC$43+'TUSD CVA'!$AC$43)*(1 - CUSTOS!$M$38)</f>
        <v>174.31375547981085</v>
      </c>
      <c r="AB43" s="53">
        <f ca="1">('TUSD BE'!$AE$43+'TUSD BF'!$AE$43+'TUSD CVA'!$AE$43)*(1 - CUSTOS!$M$38)</f>
        <v>-66.984522127613175</v>
      </c>
      <c r="AC43" s="53">
        <f ca="1">('TUSD BE'!$AF$43+'TUSD BF'!$AF$43+'TUSD CVA'!$AF$43)*(1 - CUSTOS!$M$38)</f>
        <v>0</v>
      </c>
      <c r="AD43" s="53">
        <f>('TUSD BE'!$AH$43+'TUSD BF'!$AH$43+'TUSD CVA'!$AH$43)*(1 - CUSTOS!$M$38)</f>
        <v>16.444048993395729</v>
      </c>
      <c r="AE43" s="53">
        <f>('TUSD BE'!$AI$43+'TUSD BF'!$AI$43+'TUSD CVA'!$AI$43)*(1 - CUSTOS!$M$38)</f>
        <v>0.56396862045578744</v>
      </c>
      <c r="AF43" s="53">
        <f ca="1">('TUSD BE'!$AJ$43+'TUSD BF'!$AJ$43+'TUSD CVA'!$AJ$43)*(1 - CUSTOS!$M$38)</f>
        <v>2.4210442020111653</v>
      </c>
      <c r="AG43" s="53">
        <f ca="1">('TUSD BE'!$AK$43+'TUSD BF'!$AK$43+'TUSD CVA'!$AK$43)*(1 - CUSTOS!$M$38)</f>
        <v>0.2923592367231384</v>
      </c>
      <c r="AI43" s="53">
        <v>5.6193230363703304</v>
      </c>
      <c r="AJ43" s="53">
        <v>0.67451126656776295</v>
      </c>
      <c r="AK43" s="53">
        <v>2.9147040017769101</v>
      </c>
      <c r="AL43" s="53">
        <v>0</v>
      </c>
      <c r="AM43" s="53">
        <v>0</v>
      </c>
      <c r="AN43" s="53">
        <v>52.360108414507003</v>
      </c>
      <c r="AO43" s="53">
        <v>8.4613539559792308</v>
      </c>
      <c r="AP43" s="53">
        <v>0</v>
      </c>
      <c r="AQ43" s="53">
        <v>19.5946989354733</v>
      </c>
      <c r="AR43" s="53">
        <v>8.9043943496720992</v>
      </c>
      <c r="AS43" s="53">
        <v>8.3494089078525597</v>
      </c>
      <c r="AT43" s="53">
        <v>0</v>
      </c>
      <c r="AU43" s="53">
        <v>0</v>
      </c>
      <c r="AV43" s="53">
        <v>0</v>
      </c>
      <c r="AW43" s="53">
        <v>0</v>
      </c>
      <c r="AX43" s="53">
        <v>158.92681889454201</v>
      </c>
      <c r="AY43" s="53">
        <v>0</v>
      </c>
      <c r="AZ43" s="53">
        <v>0</v>
      </c>
      <c r="BA43" s="53">
        <v>17.020752927756199</v>
      </c>
      <c r="BB43" s="53">
        <v>0.49004205433244602</v>
      </c>
      <c r="BC43" s="53">
        <v>1.96772762409652</v>
      </c>
      <c r="BD43" s="53">
        <v>0.275648295801876</v>
      </c>
    </row>
    <row r="44" spans="1:56" ht="11.25" customHeight="1" x14ac:dyDescent="0.25">
      <c r="A44" s="131"/>
      <c r="B44" s="131"/>
      <c r="C44" s="131"/>
      <c r="D44" s="73" t="s">
        <v>96</v>
      </c>
      <c r="E44" s="73" t="s">
        <v>25</v>
      </c>
      <c r="F44" s="73" t="s">
        <v>25</v>
      </c>
      <c r="G44" s="74" t="s">
        <v>86</v>
      </c>
      <c r="H44" s="74" t="s">
        <v>82</v>
      </c>
      <c r="I44" s="74">
        <f>'MERCADO TUSD'!$U$41</f>
        <v>0</v>
      </c>
      <c r="J44" s="15"/>
      <c r="L44" s="53">
        <f>('TUSD BE'!$L$44+'TUSD BF'!$L$44+'TUSD CVA'!$L$44)*(1 - CUSTOS!$M$39)</f>
        <v>5.8090602499789776</v>
      </c>
      <c r="M44" s="53">
        <f>('TUSD BE'!$M$44+'TUSD BF'!$M$44+'TUSD CVA'!$M$44)*(1 - CUSTOS!$M$39)</f>
        <v>0.73670599399510905</v>
      </c>
      <c r="N44" s="53">
        <f ca="1">('TUSD BE'!$N$44+'TUSD BF'!$N$44+'TUSD CVA'!$N$44)*(1 - CUSTOS!$M$39)</f>
        <v>2.3051604080538857</v>
      </c>
      <c r="O44" s="53">
        <f>('TUSD BE'!$O$44+'TUSD BF'!$O$44+'TUSD CVA'!$O$44)*(1 - CUSTOS!$M$39)</f>
        <v>0</v>
      </c>
      <c r="P44" s="53">
        <f>('TUSD BE'!$P$44+'TUSD BF'!$P$44+'TUSD CVA'!$P$44)*(1 - CUSTOS!$M$39)</f>
        <v>0</v>
      </c>
      <c r="Q44" s="53">
        <f>('TUSD BE'!$Q$44+'TUSD BF'!$Q$44+'TUSD CVA'!$Q$44)*(1 - CUSTOS!$M$39)</f>
        <v>98.224973681048112</v>
      </c>
      <c r="R44" s="53">
        <f>('TUSD BE'!$R$44+'TUSD BF'!$R$44+'TUSD CVA'!$R$44)*(1 - CUSTOS!$M$39)</f>
        <v>14.815636432029077</v>
      </c>
      <c r="S44" s="53">
        <f>('TUSD BE'!$S$44+'TUSD BF'!$S$44+'TUSD CVA'!$S$44)*(1 - CUSTOS!$M$39)</f>
        <v>0</v>
      </c>
      <c r="T44" s="53">
        <f>('TUSD BE'!$U$44+'TUSD BF'!$U$44+'TUSD CVA'!$U$44)*(1 - CUSTOS!$M$39)</f>
        <v>32.953103357972928</v>
      </c>
      <c r="U44" s="53">
        <f>('TUSD BE'!$V$44+'TUSD BF'!$V$44+'TUSD CVA'!$V$44)*(1 - CUSTOS!$M$39)</f>
        <v>10.723082095910046</v>
      </c>
      <c r="V44" s="53">
        <f>('TUSD BE'!$W$44+'TUSD BF'!$W$44+'TUSD CVA'!$W$44)*(1 - CUSTOS!$M$39)</f>
        <v>17.728448219740759</v>
      </c>
      <c r="W44" s="53">
        <f>('TUSD BE'!$X$44+'TUSD BF'!$X$44+'TUSD CVA'!$X$44)*(1 - CUSTOS!$M$39)</f>
        <v>0</v>
      </c>
      <c r="X44" s="53">
        <f>('TUSD BE'!$Y$44+'TUSD BF'!$Y$44+'TUSD CVA'!$Y$44)*(1 - CUSTOS!$M$39)</f>
        <v>0</v>
      </c>
      <c r="Y44" s="53">
        <f>('TUSD BE'!$Z$44+'TUSD BF'!$Z$44+'TUSD CVA'!$Z$44)*(1 - CUSTOS!$M$39)</f>
        <v>0</v>
      </c>
      <c r="Z44" s="53">
        <f>('TUSD BE'!$AA$44+'TUSD BF'!$AA$44+'TUSD CVA'!$AA$44)*(1 - CUSTOS!$M$39)</f>
        <v>0</v>
      </c>
      <c r="AA44" s="53">
        <f>('TUSD BE'!$AC$44+'TUSD BF'!$AC$44+'TUSD CVA'!$AC$44)*(1 - CUSTOS!$M$39)</f>
        <v>174.31375547981085</v>
      </c>
      <c r="AB44" s="53">
        <f ca="1">('TUSD BE'!$AE$44+'TUSD BF'!$AE$44+'TUSD CVA'!$AE$44)*(1 - CUSTOS!$M$39)</f>
        <v>-66.984522127613175</v>
      </c>
      <c r="AC44" s="53">
        <f ca="1">('TUSD BE'!$AF$44+'TUSD BF'!$AF$44+'TUSD CVA'!$AF$44)*(1 - CUSTOS!$M$39)</f>
        <v>0</v>
      </c>
      <c r="AD44" s="53">
        <f>('TUSD BE'!$AH$44+'TUSD BF'!$AH$44+'TUSD CVA'!$AH$44)*(1 - CUSTOS!$M$39)</f>
        <v>16.444048993395729</v>
      </c>
      <c r="AE44" s="53">
        <f>('TUSD BE'!$AI$44+'TUSD BF'!$AI$44+'TUSD CVA'!$AI$44)*(1 - CUSTOS!$M$39)</f>
        <v>0.56396862045578744</v>
      </c>
      <c r="AF44" s="53">
        <f ca="1">('TUSD BE'!$AJ$44+'TUSD BF'!$AJ$44+'TUSD CVA'!$AJ$44)*(1 - CUSTOS!$M$39)</f>
        <v>2.4210442020111653</v>
      </c>
      <c r="AG44" s="53">
        <f ca="1">('TUSD BE'!$AK$44+'TUSD BF'!$AK$44+'TUSD CVA'!$AK$44)*(1 - CUSTOS!$M$39)</f>
        <v>0.2923592367231384</v>
      </c>
      <c r="AI44" s="53">
        <v>5.6193230363703304</v>
      </c>
      <c r="AJ44" s="53">
        <v>0.67451126656776295</v>
      </c>
      <c r="AK44" s="53">
        <v>2.9147040017769101</v>
      </c>
      <c r="AL44" s="53">
        <v>0</v>
      </c>
      <c r="AM44" s="53">
        <v>0</v>
      </c>
      <c r="AN44" s="53">
        <v>52.360108414507003</v>
      </c>
      <c r="AO44" s="53">
        <v>8.4613539559792308</v>
      </c>
      <c r="AP44" s="53">
        <v>0</v>
      </c>
      <c r="AQ44" s="53">
        <v>19.5946989354733</v>
      </c>
      <c r="AR44" s="53">
        <v>8.9043943496720992</v>
      </c>
      <c r="AS44" s="53">
        <v>8.3494089078525597</v>
      </c>
      <c r="AT44" s="53">
        <v>0</v>
      </c>
      <c r="AU44" s="53">
        <v>0</v>
      </c>
      <c r="AV44" s="53">
        <v>0</v>
      </c>
      <c r="AW44" s="53">
        <v>0</v>
      </c>
      <c r="AX44" s="53">
        <v>158.92681889454201</v>
      </c>
      <c r="AY44" s="53">
        <v>0</v>
      </c>
      <c r="AZ44" s="53">
        <v>0</v>
      </c>
      <c r="BA44" s="53">
        <v>17.020752927756199</v>
      </c>
      <c r="BB44" s="53">
        <v>0.49004205433244602</v>
      </c>
      <c r="BC44" s="53">
        <v>1.96772762409652</v>
      </c>
      <c r="BD44" s="53">
        <v>0.275648295801876</v>
      </c>
    </row>
    <row r="45" spans="1:56" ht="11.25" customHeight="1" x14ac:dyDescent="0.25">
      <c r="A45" s="131"/>
      <c r="B45" s="131"/>
      <c r="C45" s="131"/>
      <c r="D45" s="73" t="s">
        <v>97</v>
      </c>
      <c r="E45" s="73" t="s">
        <v>25</v>
      </c>
      <c r="F45" s="73" t="s">
        <v>25</v>
      </c>
      <c r="G45" s="74" t="s">
        <v>86</v>
      </c>
      <c r="H45" s="74" t="s">
        <v>82</v>
      </c>
      <c r="I45" s="74">
        <f>'MERCADO TUSD'!$U$42</f>
        <v>0</v>
      </c>
      <c r="J45" s="15"/>
      <c r="L45" s="53">
        <f>('TUSD BE'!$L$45+'TUSD BF'!$L$45+'TUSD CVA'!$L$45)*(1 - CUSTOS!$M$40)</f>
        <v>5.6854632233836808</v>
      </c>
      <c r="M45" s="53">
        <f>('TUSD BE'!$M$45+'TUSD BF'!$M$45+'TUSD CVA'!$M$45)*(1 - CUSTOS!$M$40)</f>
        <v>0.72103139837819197</v>
      </c>
      <c r="N45" s="53">
        <f ca="1">('TUSD BE'!$N$45+'TUSD BF'!$N$45+'TUSD CVA'!$N$45)*(1 - CUSTOS!$M$40)</f>
        <v>2.2561144419250798</v>
      </c>
      <c r="O45" s="53">
        <f>('TUSD BE'!$O$45+'TUSD BF'!$O$45+'TUSD CVA'!$O$45)*(1 - CUSTOS!$M$40)</f>
        <v>0</v>
      </c>
      <c r="P45" s="53">
        <f>('TUSD BE'!$P$45+'TUSD BF'!$P$45+'TUSD CVA'!$P$45)*(1 - CUSTOS!$M$40)</f>
        <v>0</v>
      </c>
      <c r="Q45" s="53">
        <f>('TUSD BE'!$Q$45+'TUSD BF'!$Q$45+'TUSD CVA'!$Q$45)*(1 - CUSTOS!$M$40)</f>
        <v>96.135080624004544</v>
      </c>
      <c r="R45" s="53">
        <f>('TUSD BE'!$R$45+'TUSD BF'!$R$45+'TUSD CVA'!$R$45)*(1 - CUSTOS!$M$40)</f>
        <v>14.500410124964631</v>
      </c>
      <c r="S45" s="53">
        <f>('TUSD BE'!$S$45+'TUSD BF'!$S$45+'TUSD CVA'!$S$45)*(1 - CUSTOS!$M$40)</f>
        <v>0</v>
      </c>
      <c r="T45" s="53">
        <f>('TUSD BE'!$U$45+'TUSD BF'!$U$45+'TUSD CVA'!$U$45)*(1 - CUSTOS!$M$40)</f>
        <v>32.251973499292653</v>
      </c>
      <c r="U45" s="53">
        <f>('TUSD BE'!$V$45+'TUSD BF'!$V$45+'TUSD CVA'!$V$45)*(1 - CUSTOS!$M$40)</f>
        <v>10.494931413018344</v>
      </c>
      <c r="V45" s="53">
        <f>('TUSD BE'!$W$45+'TUSD BF'!$W$45+'TUSD CVA'!$W$45)*(1 - CUSTOS!$M$40)</f>
        <v>17.351247193788829</v>
      </c>
      <c r="W45" s="53">
        <f>('TUSD BE'!$X$45+'TUSD BF'!$X$45+'TUSD CVA'!$X$45)*(1 - CUSTOS!$M$40)</f>
        <v>0</v>
      </c>
      <c r="X45" s="53">
        <f>('TUSD BE'!$Y$45+'TUSD BF'!$Y$45+'TUSD CVA'!$Y$45)*(1 - CUSTOS!$M$40)</f>
        <v>0</v>
      </c>
      <c r="Y45" s="53">
        <f>('TUSD BE'!$Z$45+'TUSD BF'!$Z$45+'TUSD CVA'!$Z$45)*(1 - CUSTOS!$M$40)</f>
        <v>0</v>
      </c>
      <c r="Z45" s="53">
        <f>('TUSD BE'!$AA$45+'TUSD BF'!$AA$45+'TUSD CVA'!$AA$45)*(1 - CUSTOS!$M$40)</f>
        <v>0</v>
      </c>
      <c r="AA45" s="53">
        <f>('TUSD BE'!$AC$45+'TUSD BF'!$AC$45+'TUSD CVA'!$AC$45)*(1 - CUSTOS!$M$40)</f>
        <v>170.60495217172979</v>
      </c>
      <c r="AB45" s="53">
        <f ca="1">('TUSD BE'!$AE$45+'TUSD BF'!$AE$45+'TUSD CVA'!$AE$45)*(1 - CUSTOS!$M$40)</f>
        <v>-65.559319529153328</v>
      </c>
      <c r="AC45" s="53">
        <f ca="1">('TUSD BE'!$AF$45+'TUSD BF'!$AF$45+'TUSD CVA'!$AF$45)*(1 - CUSTOS!$M$40)</f>
        <v>0</v>
      </c>
      <c r="AD45" s="53">
        <f>('TUSD BE'!$AH$45+'TUSD BF'!$AH$45+'TUSD CVA'!$AH$45)*(1 - CUSTOS!$M$40)</f>
        <v>16.094175610557524</v>
      </c>
      <c r="AE45" s="53">
        <f>('TUSD BE'!$AI$45+'TUSD BF'!$AI$45+'TUSD CVA'!$AI$45)*(1 - CUSTOS!$M$40)</f>
        <v>0.55196928810566437</v>
      </c>
      <c r="AF45" s="53">
        <f ca="1">('TUSD BE'!$AJ$45+'TUSD BF'!$AJ$45+'TUSD CVA'!$AJ$45)*(1 - CUSTOS!$M$40)</f>
        <v>2.3695326232449707</v>
      </c>
      <c r="AG45" s="53">
        <f ca="1">('TUSD BE'!$AK$45+'TUSD BF'!$AK$45+'TUSD CVA'!$AK$45)*(1 - CUSTOS!$M$40)</f>
        <v>0.28613882743115676</v>
      </c>
      <c r="AI45" s="53">
        <v>5.36389926198986</v>
      </c>
      <c r="AJ45" s="53">
        <v>0.643851663541955</v>
      </c>
      <c r="AK45" s="53">
        <v>2.78221745624159</v>
      </c>
      <c r="AL45" s="53">
        <v>0</v>
      </c>
      <c r="AM45" s="53">
        <v>0</v>
      </c>
      <c r="AN45" s="53">
        <v>49.980103486574798</v>
      </c>
      <c r="AO45" s="53">
        <v>8.0767469579801698</v>
      </c>
      <c r="AP45" s="53">
        <v>0</v>
      </c>
      <c r="AQ45" s="53">
        <v>18.704030802042698</v>
      </c>
      <c r="AR45" s="53">
        <v>8.4996491519597299</v>
      </c>
      <c r="AS45" s="53">
        <v>7.96989032113198</v>
      </c>
      <c r="AT45" s="53">
        <v>0</v>
      </c>
      <c r="AU45" s="53">
        <v>0</v>
      </c>
      <c r="AV45" s="53">
        <v>0</v>
      </c>
      <c r="AW45" s="53">
        <v>0</v>
      </c>
      <c r="AX45" s="53">
        <v>151.702872581154</v>
      </c>
      <c r="AY45" s="53">
        <v>0</v>
      </c>
      <c r="AZ45" s="53">
        <v>0</v>
      </c>
      <c r="BA45" s="53">
        <v>16.247082340131001</v>
      </c>
      <c r="BB45" s="53">
        <v>0.46776741549915302</v>
      </c>
      <c r="BC45" s="53">
        <v>1.8782854593648599</v>
      </c>
      <c r="BD45" s="53">
        <v>0.26311882781088203</v>
      </c>
    </row>
    <row r="46" spans="1:56" ht="11.25" customHeight="1" x14ac:dyDescent="0.25">
      <c r="A46" s="131" t="s">
        <v>36</v>
      </c>
      <c r="B46" s="131" t="s">
        <v>32</v>
      </c>
      <c r="C46" s="131" t="s">
        <v>25</v>
      </c>
      <c r="D46" s="131" t="s">
        <v>25</v>
      </c>
      <c r="E46" s="131" t="s">
        <v>25</v>
      </c>
      <c r="F46" s="131" t="s">
        <v>25</v>
      </c>
      <c r="G46" s="74" t="s">
        <v>83</v>
      </c>
      <c r="H46" s="74" t="s">
        <v>82</v>
      </c>
      <c r="I46" s="74">
        <f>'MERCADO TUSD'!$U$43</f>
        <v>20.471999999999998</v>
      </c>
      <c r="J46" s="15"/>
      <c r="L46" s="53">
        <f>('TUSD BE'!$L$46+'TUSD BF'!$L$46+'TUSD CVA'!$L$46)*1</f>
        <v>6.1798513297648698</v>
      </c>
      <c r="M46" s="53">
        <f>('TUSD BE'!$M$46+'TUSD BF'!$M$46+'TUSD CVA'!$M$46)*1</f>
        <v>0.78372978084586076</v>
      </c>
      <c r="N46" s="53">
        <f ca="1">('TUSD BE'!$N$46+'TUSD BF'!$N$46+'TUSD CVA'!$N$46)*1</f>
        <v>10.073903546646379</v>
      </c>
      <c r="O46" s="53">
        <f>('TUSD BE'!$O$46+'TUSD BF'!$O$46+'TUSD CVA'!$O$46)*1</f>
        <v>0</v>
      </c>
      <c r="P46" s="53">
        <f>('TUSD BE'!$P$46+'TUSD BF'!$P$46+'TUSD CVA'!$P$46)*1</f>
        <v>0</v>
      </c>
      <c r="Q46" s="53">
        <f>('TUSD BE'!$Q$46+'TUSD BF'!$Q$46+'TUSD CVA'!$Q$46)*1</f>
        <v>104.49465285217885</v>
      </c>
      <c r="R46" s="53">
        <f>('TUSD BE'!$R$46+'TUSD BF'!$R$46+'TUSD CVA'!$R$46)*1</f>
        <v>15.761315353222423</v>
      </c>
      <c r="S46" s="53">
        <f>('TUSD BE'!$S$46+'TUSD BF'!$S$46+'TUSD CVA'!$S$46)*1</f>
        <v>0</v>
      </c>
      <c r="T46" s="53">
        <f>('TUSD BE'!$U$46+'TUSD BF'!$U$46+'TUSD CVA'!$U$46)*1</f>
        <v>168.27108887928776</v>
      </c>
      <c r="U46" s="53">
        <f>('TUSD BE'!$V$46+'TUSD BF'!$V$46+'TUSD CVA'!$V$46)*1</f>
        <v>54.75626755174747</v>
      </c>
      <c r="V46" s="53">
        <f>('TUSD BE'!$W$46+'TUSD BF'!$W$46+'TUSD CVA'!$W$46)*1</f>
        <v>90.528136889022448</v>
      </c>
      <c r="W46" s="53">
        <f>('TUSD BE'!$X$46+'TUSD BF'!$X$46+'TUSD CVA'!$X$46)*1</f>
        <v>0</v>
      </c>
      <c r="X46" s="53">
        <f>('TUSD BE'!$Y$46+'TUSD BF'!$Y$46+'TUSD CVA'!$Y$46)*1</f>
        <v>0</v>
      </c>
      <c r="Y46" s="53">
        <f>('TUSD BE'!$Z$46+'TUSD BF'!$Z$46+'TUSD CVA'!$Z$46)*1</f>
        <v>0</v>
      </c>
      <c r="Z46" s="53">
        <f>('TUSD BE'!$AA$46+'TUSD BF'!$AA$46+'TUSD CVA'!$AA$46)*1</f>
        <v>0</v>
      </c>
      <c r="AA46" s="53">
        <f>('TUSD BE'!$AC$46+'TUSD BF'!$AC$46+'TUSD CVA'!$AC$46)*1</f>
        <v>890.11279393945972</v>
      </c>
      <c r="AB46" s="53">
        <f ca="1">('TUSD BE'!$AE$46+'TUSD BF'!$AE$46+'TUSD CVA'!$AE$46)*1</f>
        <v>-250.67923605716982</v>
      </c>
      <c r="AC46" s="53">
        <f ca="1">('TUSD BE'!$AF$46+'TUSD BF'!$AF$46+'TUSD CVA'!$AF$46)*1</f>
        <v>0</v>
      </c>
      <c r="AD46" s="53">
        <f>('TUSD BE'!$AH$46+'TUSD BF'!$AH$46+'TUSD CVA'!$AH$46)*1</f>
        <v>17.493669141910352</v>
      </c>
      <c r="AE46" s="53">
        <f>('TUSD BE'!$AI$46+'TUSD BF'!$AI$46+'TUSD CVA'!$AI$46)*1</f>
        <v>0.59996661750615687</v>
      </c>
      <c r="AF46" s="53">
        <f ca="1">('TUSD BE'!$AJ$46+'TUSD BF'!$AJ$46+'TUSD CVA'!$AJ$46)*1</f>
        <v>2.5755789383097505</v>
      </c>
      <c r="AG46" s="53">
        <f ca="1">('TUSD BE'!$AK$46+'TUSD BF'!$AK$46+'TUSD CVA'!$AK$46)*1</f>
        <v>0.31102046459908345</v>
      </c>
      <c r="AI46" s="53">
        <v>6.3855943595117397</v>
      </c>
      <c r="AJ46" s="53">
        <v>0.76649007564518501</v>
      </c>
      <c r="AK46" s="53">
        <v>9.6063367748455502</v>
      </c>
      <c r="AL46" s="53">
        <v>0</v>
      </c>
      <c r="AM46" s="53">
        <v>0</v>
      </c>
      <c r="AN46" s="53">
        <v>59.500123198303399</v>
      </c>
      <c r="AO46" s="53">
        <v>9.6151749499763994</v>
      </c>
      <c r="AP46" s="53">
        <v>0</v>
      </c>
      <c r="AQ46" s="53">
        <v>75.116640401058405</v>
      </c>
      <c r="AR46" s="53">
        <v>34.135159412375899</v>
      </c>
      <c r="AS46" s="53">
        <v>32.0074029217297</v>
      </c>
      <c r="AT46" s="53">
        <v>0</v>
      </c>
      <c r="AU46" s="53">
        <v>0</v>
      </c>
      <c r="AV46" s="53">
        <v>0</v>
      </c>
      <c r="AW46" s="53">
        <v>0</v>
      </c>
      <c r="AX46" s="53">
        <v>609.24966337947899</v>
      </c>
      <c r="AY46" s="53">
        <v>0</v>
      </c>
      <c r="AZ46" s="53">
        <v>0</v>
      </c>
      <c r="BA46" s="53">
        <v>19.3417646906321</v>
      </c>
      <c r="BB46" s="53">
        <v>0.55686597083232503</v>
      </c>
      <c r="BC46" s="53">
        <v>2.2360541182914999</v>
      </c>
      <c r="BD46" s="53">
        <v>0.31323669977485902</v>
      </c>
    </row>
    <row r="47" spans="1:56" ht="11.25" customHeight="1" x14ac:dyDescent="0.25">
      <c r="A47" s="131"/>
      <c r="B47" s="131"/>
      <c r="C47" s="131"/>
      <c r="D47" s="131"/>
      <c r="E47" s="131"/>
      <c r="F47" s="131"/>
      <c r="G47" s="74" t="s">
        <v>93</v>
      </c>
      <c r="H47" s="74" t="s">
        <v>82</v>
      </c>
      <c r="I47" s="74">
        <f>'MERCADO TUSD'!$U$44</f>
        <v>16.687999999999999</v>
      </c>
      <c r="J47" s="15"/>
      <c r="L47" s="53">
        <f>('TUSD BE'!$L$47+'TUSD BF'!$L$47+'TUSD CVA'!$L$47)*1</f>
        <v>6.1798513297648698</v>
      </c>
      <c r="M47" s="53">
        <f>('TUSD BE'!$M$47+'TUSD BF'!$M$47+'TUSD CVA'!$M$47)*1</f>
        <v>0.78372978084586076</v>
      </c>
      <c r="N47" s="53">
        <f ca="1">('TUSD BE'!$N$47+'TUSD BF'!$N$47+'TUSD CVA'!$N$47)*1</f>
        <v>3.3348002079024015</v>
      </c>
      <c r="O47" s="53">
        <f>('TUSD BE'!$O$47+'TUSD BF'!$O$47+'TUSD CVA'!$O$47)*1</f>
        <v>0</v>
      </c>
      <c r="P47" s="53">
        <f>('TUSD BE'!$P$47+'TUSD BF'!$P$47+'TUSD CVA'!$P$47)*1</f>
        <v>0</v>
      </c>
      <c r="Q47" s="53">
        <f>('TUSD BE'!$Q$47+'TUSD BF'!$Q$47+'TUSD CVA'!$Q$47)*1</f>
        <v>104.49465285217885</v>
      </c>
      <c r="R47" s="53">
        <f>('TUSD BE'!$R$47+'TUSD BF'!$R$47+'TUSD CVA'!$R$47)*1</f>
        <v>15.761315353222423</v>
      </c>
      <c r="S47" s="53">
        <f>('TUSD BE'!$S$47+'TUSD BF'!$S$47+'TUSD CVA'!$S$47)*1</f>
        <v>0</v>
      </c>
      <c r="T47" s="53">
        <f>('TUSD BE'!$U$47+'TUSD BF'!$U$47+'TUSD CVA'!$U$47)*1</f>
        <v>50.481365265775466</v>
      </c>
      <c r="U47" s="53">
        <f>('TUSD BE'!$V$47+'TUSD BF'!$V$47+'TUSD CVA'!$V$47)*1</f>
        <v>16.426849168202626</v>
      </c>
      <c r="V47" s="53">
        <f>('TUSD BE'!$W$47+'TUSD BF'!$W$47+'TUSD CVA'!$W$47)*1</f>
        <v>27.158459289946901</v>
      </c>
      <c r="W47" s="53">
        <f>('TUSD BE'!$X$47+'TUSD BF'!$X$47+'TUSD CVA'!$X$47)*1</f>
        <v>0</v>
      </c>
      <c r="X47" s="53">
        <f>('TUSD BE'!$Y$47+'TUSD BF'!$Y$47+'TUSD CVA'!$Y$47)*1</f>
        <v>0</v>
      </c>
      <c r="Y47" s="53">
        <f>('TUSD BE'!$Z$47+'TUSD BF'!$Z$47+'TUSD CVA'!$Z$47)*1</f>
        <v>0</v>
      </c>
      <c r="Z47" s="53">
        <f>('TUSD BE'!$AA$47+'TUSD BF'!$AA$47+'TUSD CVA'!$AA$47)*1</f>
        <v>0</v>
      </c>
      <c r="AA47" s="53">
        <f>('TUSD BE'!$AC$47+'TUSD BF'!$AC$47+'TUSD CVA'!$AC$47)*1</f>
        <v>267.0338573369504</v>
      </c>
      <c r="AB47" s="53">
        <f ca="1">('TUSD BE'!$AE$47+'TUSD BF'!$AE$47+'TUSD CVA'!$AE$47)*1</f>
        <v>-92.034979471229704</v>
      </c>
      <c r="AC47" s="53">
        <f ca="1">('TUSD BE'!$AF$47+'TUSD BF'!$AF$47+'TUSD CVA'!$AF$47)*1</f>
        <v>0</v>
      </c>
      <c r="AD47" s="53">
        <f>('TUSD BE'!$AH$47+'TUSD BF'!$AH$47+'TUSD CVA'!$AH$47)*1</f>
        <v>17.493669141910352</v>
      </c>
      <c r="AE47" s="53">
        <f>('TUSD BE'!$AI$47+'TUSD BF'!$AI$47+'TUSD CVA'!$AI$47)*1</f>
        <v>0.59996661750615687</v>
      </c>
      <c r="AF47" s="53">
        <f ca="1">('TUSD BE'!$AJ$47+'TUSD BF'!$AJ$47+'TUSD CVA'!$AJ$47)*1</f>
        <v>2.5755789383097505</v>
      </c>
      <c r="AG47" s="53">
        <f ca="1">('TUSD BE'!$AK$47+'TUSD BF'!$AK$47+'TUSD CVA'!$AK$47)*1</f>
        <v>0.31102046459908345</v>
      </c>
      <c r="AI47" s="53">
        <v>6.3855943595117397</v>
      </c>
      <c r="AJ47" s="53">
        <v>0.76649007564518501</v>
      </c>
      <c r="AK47" s="53">
        <v>5.1333235151818499</v>
      </c>
      <c r="AL47" s="53">
        <v>0</v>
      </c>
      <c r="AM47" s="53">
        <v>0</v>
      </c>
      <c r="AN47" s="53">
        <v>59.500123198303399</v>
      </c>
      <c r="AO47" s="53">
        <v>9.6151749499763994</v>
      </c>
      <c r="AP47" s="53">
        <v>0</v>
      </c>
      <c r="AQ47" s="53">
        <v>37.558377217740201</v>
      </c>
      <c r="AR47" s="53">
        <v>17.0675797061879</v>
      </c>
      <c r="AS47" s="53">
        <v>16.003464119343299</v>
      </c>
      <c r="AT47" s="53">
        <v>0</v>
      </c>
      <c r="AU47" s="53">
        <v>0</v>
      </c>
      <c r="AV47" s="53">
        <v>0</v>
      </c>
      <c r="AW47" s="53">
        <v>0</v>
      </c>
      <c r="AX47" s="53">
        <v>304.62483168974001</v>
      </c>
      <c r="AY47" s="53">
        <v>0</v>
      </c>
      <c r="AZ47" s="53">
        <v>0</v>
      </c>
      <c r="BA47" s="53">
        <v>19.3417646906321</v>
      </c>
      <c r="BB47" s="53">
        <v>0.55686597083232503</v>
      </c>
      <c r="BC47" s="53">
        <v>2.2360541182914999</v>
      </c>
      <c r="BD47" s="53">
        <v>0.31323669977485902</v>
      </c>
    </row>
    <row r="48" spans="1:56" ht="11.25" customHeight="1" x14ac:dyDescent="0.25">
      <c r="A48" s="131"/>
      <c r="B48" s="131"/>
      <c r="C48" s="131"/>
      <c r="D48" s="131"/>
      <c r="E48" s="131"/>
      <c r="F48" s="131"/>
      <c r="G48" s="74" t="s">
        <v>84</v>
      </c>
      <c r="H48" s="74" t="s">
        <v>82</v>
      </c>
      <c r="I48" s="74">
        <f>'MERCADO TUSD'!$U$45</f>
        <v>216.36699999999999</v>
      </c>
      <c r="J48" s="15"/>
      <c r="L48" s="53">
        <f>('TUSD BE'!$L$48+'TUSD BF'!$L$48+'TUSD CVA'!$L$48)*1</f>
        <v>6.1798513297648698</v>
      </c>
      <c r="M48" s="53">
        <f>('TUSD BE'!$M$48+'TUSD BF'!$M$48+'TUSD CVA'!$M$48)*1</f>
        <v>0.78372978084586076</v>
      </c>
      <c r="N48" s="53">
        <f ca="1">('TUSD BE'!$N$48+'TUSD BF'!$N$48+'TUSD CVA'!$N$48)*1</f>
        <v>1.4093420016106351</v>
      </c>
      <c r="O48" s="53">
        <f>('TUSD BE'!$O$48+'TUSD BF'!$O$48+'TUSD CVA'!$O$48)*1</f>
        <v>0</v>
      </c>
      <c r="P48" s="53">
        <f>('TUSD BE'!$P$48+'TUSD BF'!$P$48+'TUSD CVA'!$P$48)*1</f>
        <v>0</v>
      </c>
      <c r="Q48" s="53">
        <f>('TUSD BE'!$Q$48+'TUSD BF'!$Q$48+'TUSD CVA'!$Q$48)*1</f>
        <v>104.49465285217885</v>
      </c>
      <c r="R48" s="53">
        <f>('TUSD BE'!$R$48+'TUSD BF'!$R$48+'TUSD CVA'!$R$48)*1</f>
        <v>15.761315353222423</v>
      </c>
      <c r="S48" s="53">
        <f>('TUSD BE'!$S$48+'TUSD BF'!$S$48+'TUSD CVA'!$S$48)*1</f>
        <v>0</v>
      </c>
      <c r="T48" s="53">
        <f>('TUSD BE'!$U$48+'TUSD BF'!$U$48+'TUSD CVA'!$U$48)*1</f>
        <v>16.827089586934211</v>
      </c>
      <c r="U48" s="53">
        <f>('TUSD BE'!$V$48+'TUSD BF'!$V$48+'TUSD CVA'!$V$48)*1</f>
        <v>5.4756163894008756</v>
      </c>
      <c r="V48" s="53">
        <f>('TUSD BE'!$W$48+'TUSD BF'!$W$48+'TUSD CVA'!$W$48)*1</f>
        <v>9.0528501353825828</v>
      </c>
      <c r="W48" s="53">
        <f>('TUSD BE'!$X$48+'TUSD BF'!$X$48+'TUSD CVA'!$X$48)*1</f>
        <v>0</v>
      </c>
      <c r="X48" s="53">
        <f>('TUSD BE'!$Y$48+'TUSD BF'!$Y$48+'TUSD CVA'!$Y$48)*1</f>
        <v>0</v>
      </c>
      <c r="Y48" s="53">
        <f>('TUSD BE'!$Z$48+'TUSD BF'!$Z$48+'TUSD CVA'!$Z$48)*1</f>
        <v>0</v>
      </c>
      <c r="Z48" s="53">
        <f>('TUSD BE'!$AA$48+'TUSD BF'!$AA$48+'TUSD CVA'!$AA$48)*1</f>
        <v>0</v>
      </c>
      <c r="AA48" s="53">
        <f>('TUSD BE'!$AC$48+'TUSD BF'!$AC$48+'TUSD CVA'!$AC$48)*1</f>
        <v>89.011317704171006</v>
      </c>
      <c r="AB48" s="53">
        <f ca="1">('TUSD BE'!$AE$48+'TUSD BF'!$AE$48+'TUSD CVA'!$AE$48)*1</f>
        <v>-46.708046569273499</v>
      </c>
      <c r="AC48" s="53">
        <f ca="1">('TUSD BE'!$AF$48+'TUSD BF'!$AF$48+'TUSD CVA'!$AF$48)*1</f>
        <v>0</v>
      </c>
      <c r="AD48" s="53">
        <f>('TUSD BE'!$AH$48+'TUSD BF'!$AH$48+'TUSD CVA'!$AH$48)*1</f>
        <v>17.493669141910352</v>
      </c>
      <c r="AE48" s="53">
        <f>('TUSD BE'!$AI$48+'TUSD BF'!$AI$48+'TUSD CVA'!$AI$48)*1</f>
        <v>0.59996661750615687</v>
      </c>
      <c r="AF48" s="53">
        <f ca="1">('TUSD BE'!$AJ$48+'TUSD BF'!$AJ$48+'TUSD CVA'!$AJ$48)*1</f>
        <v>2.5755789383097505</v>
      </c>
      <c r="AG48" s="53">
        <f ca="1">('TUSD BE'!$AK$48+'TUSD BF'!$AK$48+'TUSD CVA'!$AK$48)*1</f>
        <v>0.31102046459908345</v>
      </c>
      <c r="AI48" s="53">
        <v>6.3855943595117397</v>
      </c>
      <c r="AJ48" s="53">
        <v>0.76649007564518501</v>
      </c>
      <c r="AK48" s="53">
        <v>2.3840145391808498</v>
      </c>
      <c r="AL48" s="53">
        <v>0</v>
      </c>
      <c r="AM48" s="53">
        <v>0</v>
      </c>
      <c r="AN48" s="53">
        <v>59.500123198303399</v>
      </c>
      <c r="AO48" s="53">
        <v>9.6151749499763994</v>
      </c>
      <c r="AP48" s="53">
        <v>0</v>
      </c>
      <c r="AQ48" s="53">
        <v>14.473362869968399</v>
      </c>
      <c r="AR48" s="53">
        <v>6.57710022662289</v>
      </c>
      <c r="AS48" s="53">
        <v>6.1670820976006304</v>
      </c>
      <c r="AT48" s="53">
        <v>0</v>
      </c>
      <c r="AU48" s="53">
        <v>0</v>
      </c>
      <c r="AV48" s="53">
        <v>0</v>
      </c>
      <c r="AW48" s="53">
        <v>0</v>
      </c>
      <c r="AX48" s="53">
        <v>117.389116620948</v>
      </c>
      <c r="AY48" s="53">
        <v>0</v>
      </c>
      <c r="AZ48" s="53">
        <v>0</v>
      </c>
      <c r="BA48" s="53">
        <v>19.3417646906321</v>
      </c>
      <c r="BB48" s="53">
        <v>0.55686597083232503</v>
      </c>
      <c r="BC48" s="53">
        <v>2.2360541182914999</v>
      </c>
      <c r="BD48" s="53">
        <v>0.31323669977485902</v>
      </c>
    </row>
    <row r="49" spans="1:56" ht="11.25" customHeight="1" x14ac:dyDescent="0.25">
      <c r="A49" s="131"/>
      <c r="B49" s="73" t="s">
        <v>23</v>
      </c>
      <c r="C49" s="73" t="s">
        <v>25</v>
      </c>
      <c r="D49" s="73" t="s">
        <v>25</v>
      </c>
      <c r="E49" s="73" t="s">
        <v>25</v>
      </c>
      <c r="F49" s="73" t="s">
        <v>25</v>
      </c>
      <c r="G49" s="74" t="s">
        <v>86</v>
      </c>
      <c r="H49" s="74" t="s">
        <v>82</v>
      </c>
      <c r="I49" s="74">
        <f>'MERCADO TUSD'!$U$46</f>
        <v>26125.533000000003</v>
      </c>
      <c r="J49" s="15"/>
      <c r="L49" s="53">
        <f>('TUSD BE'!$L$49+'TUSD BF'!$L$49+'TUSD CVA'!$L$49)*1</f>
        <v>6.1798513297648698</v>
      </c>
      <c r="M49" s="53">
        <f>('TUSD BE'!$M$49+'TUSD BF'!$M$49+'TUSD CVA'!$M$49)*1</f>
        <v>0.78372978084586076</v>
      </c>
      <c r="N49" s="53">
        <f ca="1">('TUSD BE'!$N$49+'TUSD BF'!$N$49+'TUSD CVA'!$N$49)*1</f>
        <v>2.4522983064403041</v>
      </c>
      <c r="O49" s="53">
        <f>('TUSD BE'!$O$49+'TUSD BF'!$O$49+'TUSD CVA'!$O$49)*1</f>
        <v>0</v>
      </c>
      <c r="P49" s="53">
        <f>('TUSD BE'!$P$49+'TUSD BF'!$P$49+'TUSD CVA'!$P$49)*1</f>
        <v>0</v>
      </c>
      <c r="Q49" s="53">
        <f>('TUSD BE'!$Q$49+'TUSD BF'!$Q$49+'TUSD CVA'!$Q$49)*1</f>
        <v>104.49465285217885</v>
      </c>
      <c r="R49" s="53">
        <f>('TUSD BE'!$R$49+'TUSD BF'!$R$49+'TUSD CVA'!$R$49)*1</f>
        <v>15.761315353222423</v>
      </c>
      <c r="S49" s="53">
        <f>('TUSD BE'!$S$49+'TUSD BF'!$S$49+'TUSD CVA'!$S$49)*1</f>
        <v>0</v>
      </c>
      <c r="T49" s="53">
        <f>('TUSD BE'!$U$49+'TUSD BF'!$U$49+'TUSD CVA'!$U$49)*1</f>
        <v>35.056492934013754</v>
      </c>
      <c r="U49" s="53">
        <f>('TUSD BE'!$V$49+'TUSD BF'!$V$49+'TUSD CVA'!$V$49)*1</f>
        <v>11.407534144585156</v>
      </c>
      <c r="V49" s="53">
        <f>('TUSD BE'!$W$49+'TUSD BF'!$W$49+'TUSD CVA'!$W$49)*1</f>
        <v>18.860051297596552</v>
      </c>
      <c r="W49" s="53">
        <f>('TUSD BE'!$X$49+'TUSD BF'!$X$49+'TUSD CVA'!$X$49)*1</f>
        <v>0</v>
      </c>
      <c r="X49" s="53">
        <f>('TUSD BE'!$Y$49+'TUSD BF'!$Y$49+'TUSD CVA'!$Y$49)*1</f>
        <v>0</v>
      </c>
      <c r="Y49" s="53">
        <f>('TUSD BE'!$Z$49+'TUSD BF'!$Z$49+'TUSD CVA'!$Z$49)*1</f>
        <v>0</v>
      </c>
      <c r="Z49" s="53">
        <f>('TUSD BE'!$AA$49+'TUSD BF'!$AA$49+'TUSD CVA'!$AA$49)*1</f>
        <v>0</v>
      </c>
      <c r="AA49" s="53">
        <f>('TUSD BE'!$AC$49+'TUSD BF'!$AC$49+'TUSD CVA'!$AC$49)*1</f>
        <v>185.44016540405411</v>
      </c>
      <c r="AB49" s="53">
        <f ca="1">('TUSD BE'!$AE$49+'TUSD BF'!$AE$49+'TUSD CVA'!$AE$49)*1</f>
        <v>-71.260129922992746</v>
      </c>
      <c r="AC49" s="53">
        <f ca="1">('TUSD BE'!$AF$49+'TUSD BF'!$AF$49+'TUSD CVA'!$AF$49)*1</f>
        <v>0</v>
      </c>
      <c r="AD49" s="53">
        <f>('TUSD BE'!$AH$49+'TUSD BF'!$AH$49+'TUSD CVA'!$AH$49)*1</f>
        <v>17.493669141910352</v>
      </c>
      <c r="AE49" s="53">
        <f>('TUSD BE'!$AI$49+'TUSD BF'!$AI$49+'TUSD CVA'!$AI$49)*1</f>
        <v>0.59996661750615687</v>
      </c>
      <c r="AF49" s="53">
        <f ca="1">('TUSD BE'!$AJ$49+'TUSD BF'!$AJ$49+'TUSD CVA'!$AJ$49)*1</f>
        <v>2.5755789383097505</v>
      </c>
      <c r="AG49" s="53">
        <f ca="1">('TUSD BE'!$AK$49+'TUSD BF'!$AK$49+'TUSD CVA'!$AK$49)*1</f>
        <v>0.31102046459908345</v>
      </c>
      <c r="AI49" s="53">
        <v>6.3855943595117397</v>
      </c>
      <c r="AJ49" s="53">
        <v>0.76649007564518501</v>
      </c>
      <c r="AK49" s="53">
        <v>3.3121636383828501</v>
      </c>
      <c r="AL49" s="53">
        <v>0</v>
      </c>
      <c r="AM49" s="53">
        <v>0</v>
      </c>
      <c r="AN49" s="53">
        <v>59.500123198303399</v>
      </c>
      <c r="AO49" s="53">
        <v>9.6151749499763994</v>
      </c>
      <c r="AP49" s="53">
        <v>0</v>
      </c>
      <c r="AQ49" s="53">
        <v>22.266703335765101</v>
      </c>
      <c r="AR49" s="53">
        <v>10.1186299428092</v>
      </c>
      <c r="AS49" s="53">
        <v>9.4879646680142695</v>
      </c>
      <c r="AT49" s="53">
        <v>0</v>
      </c>
      <c r="AU49" s="53">
        <v>0</v>
      </c>
      <c r="AV49" s="53">
        <v>0</v>
      </c>
      <c r="AW49" s="53">
        <v>0</v>
      </c>
      <c r="AX49" s="53">
        <v>180.59865783470701</v>
      </c>
      <c r="AY49" s="53">
        <v>0</v>
      </c>
      <c r="AZ49" s="53">
        <v>0</v>
      </c>
      <c r="BA49" s="53">
        <v>19.3417646906321</v>
      </c>
      <c r="BB49" s="53">
        <v>0.55686597083232503</v>
      </c>
      <c r="BC49" s="53">
        <v>2.2360541182914999</v>
      </c>
      <c r="BD49" s="53">
        <v>0.31323669977485902</v>
      </c>
    </row>
    <row r="50" spans="1:56" ht="11.25" customHeight="1" x14ac:dyDescent="0.25">
      <c r="A50" s="131"/>
      <c r="B50" s="73" t="s">
        <v>95</v>
      </c>
      <c r="C50" s="73" t="s">
        <v>25</v>
      </c>
      <c r="D50" s="73" t="s">
        <v>25</v>
      </c>
      <c r="E50" s="73" t="s">
        <v>25</v>
      </c>
      <c r="F50" s="73" t="s">
        <v>25</v>
      </c>
      <c r="G50" s="74" t="s">
        <v>86</v>
      </c>
      <c r="H50" s="74" t="s">
        <v>82</v>
      </c>
      <c r="I50" s="74">
        <f>'MERCADO TUSD'!$U$47</f>
        <v>0</v>
      </c>
      <c r="J50" s="15"/>
      <c r="L50" s="53">
        <f>('TUSD BE'!$L$50+'TUSD BF'!$L$50+'TUSD CVA'!$L$50)*1</f>
        <v>6.1798513297648698</v>
      </c>
      <c r="M50" s="53">
        <f>('TUSD BE'!$M$50+'TUSD BF'!$M$50+'TUSD CVA'!$M$50)*1</f>
        <v>0.78372978084586076</v>
      </c>
      <c r="N50" s="53">
        <f ca="1">('TUSD BE'!$N$50+'TUSD BF'!$N$50+'TUSD CVA'!$N$50)*1</f>
        <v>2.4522983064403041</v>
      </c>
      <c r="O50" s="53">
        <f>('TUSD BE'!$O$50+'TUSD BF'!$O$50+'TUSD CVA'!$O$50)*1</f>
        <v>0</v>
      </c>
      <c r="P50" s="53">
        <f>('TUSD BE'!$P$50+'TUSD BF'!$P$50+'TUSD CVA'!$P$50)*1</f>
        <v>0</v>
      </c>
      <c r="Q50" s="53">
        <f>('TUSD BE'!$Q$50+'TUSD BF'!$Q$50+'TUSD CVA'!$Q$50)*1</f>
        <v>104.49465285217885</v>
      </c>
      <c r="R50" s="53">
        <f>('TUSD BE'!$R$50+'TUSD BF'!$R$50+'TUSD CVA'!$R$50)*1</f>
        <v>15.761315353222423</v>
      </c>
      <c r="S50" s="53">
        <f>('TUSD BE'!$S$50+'TUSD BF'!$S$50+'TUSD CVA'!$S$50)*1</f>
        <v>0</v>
      </c>
      <c r="T50" s="53">
        <f>('TUSD BE'!$U$50+'TUSD BF'!$U$50+'TUSD CVA'!$U$50)*1</f>
        <v>35.056492934013754</v>
      </c>
      <c r="U50" s="53">
        <f>('TUSD BE'!$V$50+'TUSD BF'!$V$50+'TUSD CVA'!$V$50)*1</f>
        <v>11.407534144585156</v>
      </c>
      <c r="V50" s="53">
        <f>('TUSD BE'!$W$50+'TUSD BF'!$W$50+'TUSD CVA'!$W$50)*1</f>
        <v>18.860051297596552</v>
      </c>
      <c r="W50" s="53">
        <f>('TUSD BE'!$X$50+'TUSD BF'!$X$50+'TUSD CVA'!$X$50)*1</f>
        <v>0</v>
      </c>
      <c r="X50" s="53">
        <f>('TUSD BE'!$Y$50+'TUSD BF'!$Y$50+'TUSD CVA'!$Y$50)*1</f>
        <v>0</v>
      </c>
      <c r="Y50" s="53">
        <f>('TUSD BE'!$Z$50+'TUSD BF'!$Z$50+'TUSD CVA'!$Z$50)*1</f>
        <v>0</v>
      </c>
      <c r="Z50" s="53">
        <f>('TUSD BE'!$AA$50+'TUSD BF'!$AA$50+'TUSD CVA'!$AA$50)*1</f>
        <v>0</v>
      </c>
      <c r="AA50" s="53">
        <f>('TUSD BE'!$AC$50+'TUSD BF'!$AC$50+'TUSD CVA'!$AC$50)*1</f>
        <v>185.44016540405411</v>
      </c>
      <c r="AB50" s="53">
        <f ca="1">('TUSD BE'!$AE$50+'TUSD BF'!$AE$50+'TUSD CVA'!$AE$50)*1</f>
        <v>-71.260129922992746</v>
      </c>
      <c r="AC50" s="53">
        <f ca="1">('TUSD BE'!$AF$50+'TUSD BF'!$AF$50+'TUSD CVA'!$AF$50)*1</f>
        <v>0</v>
      </c>
      <c r="AD50" s="53">
        <f>('TUSD BE'!$AH$50+'TUSD BF'!$AH$50+'TUSD CVA'!$AH$50)*1</f>
        <v>17.493669141910352</v>
      </c>
      <c r="AE50" s="53">
        <f>('TUSD BE'!$AI$50+'TUSD BF'!$AI$50+'TUSD CVA'!$AI$50)*1</f>
        <v>0.59996661750615687</v>
      </c>
      <c r="AF50" s="53">
        <f ca="1">('TUSD BE'!$AJ$50+'TUSD BF'!$AJ$50+'TUSD CVA'!$AJ$50)*1</f>
        <v>2.5755789383097505</v>
      </c>
      <c r="AG50" s="53">
        <f ca="1">('TUSD BE'!$AK$50+'TUSD BF'!$AK$50+'TUSD CVA'!$AK$50)*1</f>
        <v>0.31102046459908345</v>
      </c>
      <c r="AI50" s="53">
        <v>6.3855943595117397</v>
      </c>
      <c r="AJ50" s="53">
        <v>0.76649007564518501</v>
      </c>
      <c r="AK50" s="53">
        <v>3.3121636383828501</v>
      </c>
      <c r="AL50" s="53">
        <v>0</v>
      </c>
      <c r="AM50" s="53">
        <v>0</v>
      </c>
      <c r="AN50" s="53">
        <v>59.500123198303399</v>
      </c>
      <c r="AO50" s="53">
        <v>9.6151749499763994</v>
      </c>
      <c r="AP50" s="53">
        <v>0</v>
      </c>
      <c r="AQ50" s="53">
        <v>22.266703335765101</v>
      </c>
      <c r="AR50" s="53">
        <v>10.1186299428092</v>
      </c>
      <c r="AS50" s="53">
        <v>9.4879646680142695</v>
      </c>
      <c r="AT50" s="53">
        <v>0</v>
      </c>
      <c r="AU50" s="53">
        <v>0</v>
      </c>
      <c r="AV50" s="53">
        <v>0</v>
      </c>
      <c r="AW50" s="53">
        <v>0</v>
      </c>
      <c r="AX50" s="53">
        <v>180.59865783470701</v>
      </c>
      <c r="AY50" s="53">
        <v>0</v>
      </c>
      <c r="AZ50" s="53">
        <v>0</v>
      </c>
      <c r="BA50" s="53">
        <v>19.3417646906321</v>
      </c>
      <c r="BB50" s="53">
        <v>0.55686597083232503</v>
      </c>
      <c r="BC50" s="53">
        <v>2.2360541182914999</v>
      </c>
      <c r="BD50" s="53">
        <v>0.31323669977485902</v>
      </c>
    </row>
    <row r="51" spans="1:56" ht="11.25" customHeight="1" x14ac:dyDescent="0.25">
      <c r="A51" s="131" t="s">
        <v>45</v>
      </c>
      <c r="B51" s="131" t="s">
        <v>23</v>
      </c>
      <c r="C51" s="131" t="s">
        <v>46</v>
      </c>
      <c r="D51" s="73" t="s">
        <v>47</v>
      </c>
      <c r="E51" s="73" t="s">
        <v>25</v>
      </c>
      <c r="F51" s="73" t="s">
        <v>25</v>
      </c>
      <c r="G51" s="74" t="s">
        <v>86</v>
      </c>
      <c r="H51" s="74" t="s">
        <v>82</v>
      </c>
      <c r="I51" s="74">
        <f>'MERCADO TUSD'!$U$48</f>
        <v>5474.732</v>
      </c>
      <c r="J51" s="15"/>
      <c r="L51" s="53">
        <f>('TUSD BE'!$L$51+'TUSD BF'!$L$51+'TUSD CVA'!$L$51)*1</f>
        <v>3.3989182313706787</v>
      </c>
      <c r="M51" s="53">
        <f>('TUSD BE'!$M$51+'TUSD BF'!$M$51+'TUSD CVA'!$M$51)*1</f>
        <v>0.43105137946522343</v>
      </c>
      <c r="N51" s="53">
        <f ca="1">('TUSD BE'!$N$51+'TUSD BF'!$N$51+'TUSD CVA'!$N$51)*1</f>
        <v>1.3487640685421669</v>
      </c>
      <c r="O51" s="53">
        <f>('TUSD BE'!$O$51+'TUSD BF'!$O$51+'TUSD CVA'!$O$51)*1</f>
        <v>0</v>
      </c>
      <c r="P51" s="53">
        <f>('TUSD BE'!$P$51+'TUSD BF'!$P$51+'TUSD CVA'!$P$51)*1</f>
        <v>0</v>
      </c>
      <c r="Q51" s="53">
        <f>('TUSD BE'!$Q$51+'TUSD BF'!$Q$51+'TUSD CVA'!$Q$51)*1</f>
        <v>57.472059068698371</v>
      </c>
      <c r="R51" s="53">
        <f>('TUSD BE'!$R$51+'TUSD BF'!$R$51+'TUSD CVA'!$R$51)*1</f>
        <v>8.6687234442723327</v>
      </c>
      <c r="S51" s="53">
        <f>('TUSD BE'!$S$51+'TUSD BF'!$S$51+'TUSD CVA'!$S$51)*1</f>
        <v>0</v>
      </c>
      <c r="T51" s="53">
        <f>('TUSD BE'!$U$51+'TUSD BF'!$U$51+'TUSD CVA'!$U$51)*1</f>
        <v>19.281071113707569</v>
      </c>
      <c r="U51" s="53">
        <f>('TUSD BE'!$V$51+'TUSD BF'!$V$51+'TUSD CVA'!$V$51)*1</f>
        <v>6.274143779521836</v>
      </c>
      <c r="V51" s="53">
        <f>('TUSD BE'!$W$51+'TUSD BF'!$W$51+'TUSD CVA'!$W$51)*1</f>
        <v>10.373028213678104</v>
      </c>
      <c r="W51" s="53">
        <f>('TUSD BE'!$X$51+'TUSD BF'!$X$51+'TUSD CVA'!$X$51)*1</f>
        <v>0</v>
      </c>
      <c r="X51" s="53">
        <f>('TUSD BE'!$Y$51+'TUSD BF'!$Y$51+'TUSD CVA'!$Y$51)*1</f>
        <v>0</v>
      </c>
      <c r="Y51" s="53">
        <f>('TUSD BE'!$Z$51+'TUSD BF'!$Z$51+'TUSD CVA'!$Z$51)*1</f>
        <v>0</v>
      </c>
      <c r="Z51" s="53">
        <f>('TUSD BE'!$AA$51+'TUSD BF'!$AA$51+'TUSD CVA'!$AA$51)*1</f>
        <v>0</v>
      </c>
      <c r="AA51" s="53">
        <f>('TUSD BE'!$AC$51+'TUSD BF'!$AC$51+'TUSD CVA'!$AC$51)*1</f>
        <v>101.99209097222978</v>
      </c>
      <c r="AB51" s="53">
        <f ca="1">('TUSD BE'!$AE$51+'TUSD BF'!$AE$51+'TUSD CVA'!$AE$51)*1</f>
        <v>-39.193071457646013</v>
      </c>
      <c r="AC51" s="53">
        <f ca="1">('TUSD BE'!$AF$51+'TUSD BF'!$AF$51+'TUSD CVA'!$AF$51)*1</f>
        <v>0</v>
      </c>
      <c r="AD51" s="53">
        <f>('TUSD BE'!$AH$51+'TUSD BF'!$AH$51+'TUSD CVA'!$AH$51)*1</f>
        <v>9.6215180280506942</v>
      </c>
      <c r="AE51" s="53">
        <f>('TUSD BE'!$AI$51+'TUSD BF'!$AI$51+'TUSD CVA'!$AI$51)*1</f>
        <v>0.32998163962838628</v>
      </c>
      <c r="AF51" s="53">
        <f ca="1">('TUSD BE'!$AJ$51+'TUSD BF'!$AJ$51+'TUSD CVA'!$AJ$51)*1</f>
        <v>1.4165684160703631</v>
      </c>
      <c r="AG51" s="53">
        <f ca="1">('TUSD BE'!$AK$51+'TUSD BF'!$AK$51+'TUSD CVA'!$AK$51)*1</f>
        <v>0.17106125552949591</v>
      </c>
      <c r="AI51" s="53">
        <v>3.51207689773145</v>
      </c>
      <c r="AJ51" s="53">
        <v>0.42156954160485199</v>
      </c>
      <c r="AK51" s="53">
        <v>1.8216900011105699</v>
      </c>
      <c r="AL51" s="53">
        <v>0</v>
      </c>
      <c r="AM51" s="53">
        <v>0</v>
      </c>
      <c r="AN51" s="53">
        <v>32.725067759066903</v>
      </c>
      <c r="AO51" s="53">
        <v>5.2883462224870197</v>
      </c>
      <c r="AP51" s="53">
        <v>0</v>
      </c>
      <c r="AQ51" s="53">
        <v>12.2466868346708</v>
      </c>
      <c r="AR51" s="53">
        <v>5.5652464685450704</v>
      </c>
      <c r="AS51" s="53">
        <v>5.2183805674078503</v>
      </c>
      <c r="AT51" s="53">
        <v>0</v>
      </c>
      <c r="AU51" s="53">
        <v>0</v>
      </c>
      <c r="AV51" s="53">
        <v>0</v>
      </c>
      <c r="AW51" s="53">
        <v>0</v>
      </c>
      <c r="AX51" s="53">
        <v>99.329261809088806</v>
      </c>
      <c r="AY51" s="53">
        <v>0</v>
      </c>
      <c r="AZ51" s="53">
        <v>0</v>
      </c>
      <c r="BA51" s="53">
        <v>10.6379705798477</v>
      </c>
      <c r="BB51" s="53">
        <v>0.30627628395777901</v>
      </c>
      <c r="BC51" s="53">
        <v>1.22982976506032</v>
      </c>
      <c r="BD51" s="53">
        <v>0.172280184876173</v>
      </c>
    </row>
    <row r="52" spans="1:56" ht="11.25" customHeight="1" x14ac:dyDescent="0.25">
      <c r="A52" s="131"/>
      <c r="B52" s="131"/>
      <c r="C52" s="131"/>
      <c r="D52" s="74" t="s">
        <v>98</v>
      </c>
      <c r="E52" s="74" t="s">
        <v>25</v>
      </c>
      <c r="F52" s="74" t="s">
        <v>25</v>
      </c>
      <c r="G52" s="74" t="s">
        <v>86</v>
      </c>
      <c r="H52" s="74" t="s">
        <v>82</v>
      </c>
      <c r="I52" s="74">
        <f>'MERCADO TUSD'!$U$49</f>
        <v>0</v>
      </c>
      <c r="J52" s="15"/>
      <c r="L52" s="53">
        <f>('TUSD BE'!$L$52+'TUSD BF'!$L$52+'TUSD CVA'!$L$52)*1</f>
        <v>3.7079107978589216</v>
      </c>
      <c r="M52" s="53">
        <f>('TUSD BE'!$M$52+'TUSD BF'!$M$52+'TUSD CVA'!$M$52)*1</f>
        <v>0.47023786850751637</v>
      </c>
      <c r="N52" s="53">
        <f ca="1">('TUSD BE'!$N$52+'TUSD BF'!$N$52+'TUSD CVA'!$N$52)*1</f>
        <v>1.4713789838641824</v>
      </c>
      <c r="O52" s="53">
        <f>('TUSD BE'!$O$52+'TUSD BF'!$O$52+'TUSD CVA'!$O$52)*1</f>
        <v>0</v>
      </c>
      <c r="P52" s="53">
        <f>('TUSD BE'!$P$52+'TUSD BF'!$P$52+'TUSD CVA'!$P$52)*1</f>
        <v>0</v>
      </c>
      <c r="Q52" s="53">
        <f>('TUSD BE'!$Q$52+'TUSD BF'!$Q$52+'TUSD CVA'!$Q$52)*1</f>
        <v>62.696791711307313</v>
      </c>
      <c r="R52" s="53">
        <f>('TUSD BE'!$R$52+'TUSD BF'!$R$52+'TUSD CVA'!$R$52)*1</f>
        <v>9.4567892119334527</v>
      </c>
      <c r="S52" s="53">
        <f>('TUSD BE'!$S$52+'TUSD BF'!$S$52+'TUSD CVA'!$S$52)*1</f>
        <v>0</v>
      </c>
      <c r="T52" s="53">
        <f>('TUSD BE'!$U$52+'TUSD BF'!$U$52+'TUSD CVA'!$U$52)*1</f>
        <v>21.033895760408249</v>
      </c>
      <c r="U52" s="53">
        <f>('TUSD BE'!$V$52+'TUSD BF'!$V$52+'TUSD CVA'!$V$52)*1</f>
        <v>6.8445204867510956</v>
      </c>
      <c r="V52" s="53">
        <f>('TUSD BE'!$W$52+'TUSD BF'!$W$52+'TUSD CVA'!$W$52)*1</f>
        <v>11.316030778557931</v>
      </c>
      <c r="W52" s="53">
        <f>('TUSD BE'!$X$52+'TUSD BF'!$X$52+'TUSD CVA'!$X$52)*1</f>
        <v>0</v>
      </c>
      <c r="X52" s="53">
        <f>('TUSD BE'!$Y$52+'TUSD BF'!$Y$52+'TUSD CVA'!$Y$52)*1</f>
        <v>0</v>
      </c>
      <c r="Y52" s="53">
        <f>('TUSD BE'!$Z$52+'TUSD BF'!$Z$52+'TUSD CVA'!$Z$52)*1</f>
        <v>0</v>
      </c>
      <c r="Z52" s="53">
        <f>('TUSD BE'!$AA$52+'TUSD BF'!$AA$52+'TUSD CVA'!$AA$52)*1</f>
        <v>0</v>
      </c>
      <c r="AA52" s="53">
        <f>('TUSD BE'!$AC$52+'TUSD BF'!$AC$52+'TUSD CVA'!$AC$52)*1</f>
        <v>111.26409924243247</v>
      </c>
      <c r="AB52" s="53">
        <f ca="1">('TUSD BE'!$AE$52+'TUSD BF'!$AE$52+'TUSD CVA'!$AE$52)*1</f>
        <v>-42.756077953795639</v>
      </c>
      <c r="AC52" s="53">
        <f ca="1">('TUSD BE'!$AF$52+'TUSD BF'!$AF$52+'TUSD CVA'!$AF$52)*1</f>
        <v>0</v>
      </c>
      <c r="AD52" s="53">
        <f>('TUSD BE'!$AH$52+'TUSD BF'!$AH$52+'TUSD CVA'!$AH$52)*1</f>
        <v>10.49620148514621</v>
      </c>
      <c r="AE52" s="53">
        <f>('TUSD BE'!$AI$52+'TUSD BF'!$AI$52+'TUSD CVA'!$AI$52)*1</f>
        <v>0.35997997050369401</v>
      </c>
      <c r="AF52" s="53">
        <f ca="1">('TUSD BE'!$AJ$52+'TUSD BF'!$AJ$52+'TUSD CVA'!$AJ$52)*1</f>
        <v>1.5453473629858503</v>
      </c>
      <c r="AG52" s="53">
        <f ca="1">('TUSD BE'!$AK$52+'TUSD BF'!$AK$52+'TUSD CVA'!$AK$52)*1</f>
        <v>0.18661227875945008</v>
      </c>
      <c r="AI52" s="53">
        <v>3.83135661570704</v>
      </c>
      <c r="AJ52" s="53">
        <v>0.45989404538711098</v>
      </c>
      <c r="AK52" s="53">
        <v>1.9872981830297101</v>
      </c>
      <c r="AL52" s="53">
        <v>0</v>
      </c>
      <c r="AM52" s="53">
        <v>0</v>
      </c>
      <c r="AN52" s="53">
        <v>35.700073918982</v>
      </c>
      <c r="AO52" s="53">
        <v>5.7691049699858397</v>
      </c>
      <c r="AP52" s="53">
        <v>0</v>
      </c>
      <c r="AQ52" s="53">
        <v>13.3600220014591</v>
      </c>
      <c r="AR52" s="53">
        <v>6.0711779656855196</v>
      </c>
      <c r="AS52" s="53">
        <v>5.6927788008085596</v>
      </c>
      <c r="AT52" s="53">
        <v>0</v>
      </c>
      <c r="AU52" s="53">
        <v>0</v>
      </c>
      <c r="AV52" s="53">
        <v>0</v>
      </c>
      <c r="AW52" s="53">
        <v>0</v>
      </c>
      <c r="AX52" s="53">
        <v>108.35919470082401</v>
      </c>
      <c r="AY52" s="53">
        <v>0</v>
      </c>
      <c r="AZ52" s="53">
        <v>0</v>
      </c>
      <c r="BA52" s="53">
        <v>11.6050588143793</v>
      </c>
      <c r="BB52" s="53">
        <v>0.334119582499395</v>
      </c>
      <c r="BC52" s="53">
        <v>1.3416324709748999</v>
      </c>
      <c r="BD52" s="53">
        <v>0.18794201986491499</v>
      </c>
    </row>
    <row r="54" spans="1:56" ht="11.25" customHeight="1" x14ac:dyDescent="0.25">
      <c r="L54" s="133" t="s">
        <v>828</v>
      </c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I54" s="133" t="s">
        <v>829</v>
      </c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</row>
    <row r="55" spans="1:56" ht="11.25" customHeight="1" x14ac:dyDescent="0.25">
      <c r="L55" s="133" t="s">
        <v>562</v>
      </c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  <c r="AI55" s="133" t="s">
        <v>562</v>
      </c>
      <c r="AJ55" s="133"/>
      <c r="AK55" s="133"/>
      <c r="AL55" s="133"/>
      <c r="AM55" s="133"/>
      <c r="AN55" s="133"/>
      <c r="AO55" s="133"/>
      <c r="AP55" s="133"/>
      <c r="AQ55" s="133"/>
      <c r="AR55" s="133"/>
      <c r="AS55" s="133"/>
      <c r="AT55" s="133"/>
      <c r="AU55" s="133"/>
      <c r="AV55" s="133"/>
      <c r="AW55" s="133"/>
      <c r="AX55" s="133"/>
      <c r="AY55" s="133"/>
      <c r="AZ55" s="133"/>
      <c r="BA55" s="133"/>
      <c r="BB55" s="133"/>
      <c r="BC55" s="133"/>
      <c r="BD55" s="133"/>
    </row>
    <row r="56" spans="1:56" ht="11.25" customHeight="1" x14ac:dyDescent="0.25">
      <c r="L56" s="133" t="s">
        <v>563</v>
      </c>
      <c r="M56" s="133"/>
      <c r="N56" s="133"/>
      <c r="O56" s="133"/>
      <c r="P56" s="133"/>
      <c r="Q56" s="133"/>
      <c r="R56" s="133"/>
      <c r="S56" s="133"/>
      <c r="T56" s="133" t="s">
        <v>572</v>
      </c>
      <c r="U56" s="133"/>
      <c r="V56" s="133"/>
      <c r="W56" s="133"/>
      <c r="X56" s="133"/>
      <c r="Y56" s="133"/>
      <c r="Z56" s="133"/>
      <c r="AA56" s="69" t="s">
        <v>580</v>
      </c>
      <c r="AB56" s="133" t="s">
        <v>582</v>
      </c>
      <c r="AC56" s="133"/>
      <c r="AD56" s="133" t="s">
        <v>585</v>
      </c>
      <c r="AE56" s="133"/>
      <c r="AF56" s="133"/>
      <c r="AG56" s="133"/>
      <c r="AI56" s="133" t="s">
        <v>563</v>
      </c>
      <c r="AJ56" s="133"/>
      <c r="AK56" s="133"/>
      <c r="AL56" s="133"/>
      <c r="AM56" s="133"/>
      <c r="AN56" s="133"/>
      <c r="AO56" s="133"/>
      <c r="AP56" s="133"/>
      <c r="AQ56" s="133" t="s">
        <v>572</v>
      </c>
      <c r="AR56" s="133"/>
      <c r="AS56" s="133"/>
      <c r="AT56" s="133"/>
      <c r="AU56" s="133"/>
      <c r="AV56" s="133"/>
      <c r="AW56" s="133"/>
      <c r="AX56" s="69" t="s">
        <v>580</v>
      </c>
      <c r="AY56" s="133" t="s">
        <v>582</v>
      </c>
      <c r="AZ56" s="133"/>
      <c r="BA56" s="133" t="s">
        <v>585</v>
      </c>
      <c r="BB56" s="133"/>
      <c r="BC56" s="133"/>
      <c r="BD56" s="133"/>
    </row>
    <row r="57" spans="1:56" ht="11.25" customHeight="1" x14ac:dyDescent="0.25">
      <c r="L57" s="69" t="s">
        <v>648</v>
      </c>
      <c r="M57" s="69" t="s">
        <v>564</v>
      </c>
      <c r="N57" s="69" t="s">
        <v>565</v>
      </c>
      <c r="O57" s="69" t="s">
        <v>566</v>
      </c>
      <c r="P57" s="69" t="s">
        <v>567</v>
      </c>
      <c r="Q57" s="69" t="s">
        <v>568</v>
      </c>
      <c r="R57" s="69" t="s">
        <v>569</v>
      </c>
      <c r="S57" s="69" t="s">
        <v>570</v>
      </c>
      <c r="T57" s="69" t="s">
        <v>573</v>
      </c>
      <c r="U57" s="69" t="s">
        <v>574</v>
      </c>
      <c r="V57" s="69" t="s">
        <v>575</v>
      </c>
      <c r="W57" s="69" t="s">
        <v>576</v>
      </c>
      <c r="X57" s="69" t="s">
        <v>577</v>
      </c>
      <c r="Y57" s="69" t="s">
        <v>578</v>
      </c>
      <c r="Z57" s="69" t="s">
        <v>579</v>
      </c>
      <c r="AA57" s="69" t="s">
        <v>581</v>
      </c>
      <c r="AB57" s="69" t="s">
        <v>583</v>
      </c>
      <c r="AC57" s="69" t="s">
        <v>584</v>
      </c>
      <c r="AD57" s="69" t="s">
        <v>586</v>
      </c>
      <c r="AE57" s="69" t="s">
        <v>587</v>
      </c>
      <c r="AF57" s="69" t="s">
        <v>588</v>
      </c>
      <c r="AG57" s="69" t="s">
        <v>589</v>
      </c>
      <c r="AI57" s="69" t="s">
        <v>648</v>
      </c>
      <c r="AJ57" s="69" t="s">
        <v>564</v>
      </c>
      <c r="AK57" s="69" t="s">
        <v>565</v>
      </c>
      <c r="AL57" s="69" t="s">
        <v>566</v>
      </c>
      <c r="AM57" s="69" t="s">
        <v>567</v>
      </c>
      <c r="AN57" s="69" t="s">
        <v>568</v>
      </c>
      <c r="AO57" s="69" t="s">
        <v>569</v>
      </c>
      <c r="AP57" s="69" t="s">
        <v>570</v>
      </c>
      <c r="AQ57" s="69" t="s">
        <v>573</v>
      </c>
      <c r="AR57" s="69" t="s">
        <v>574</v>
      </c>
      <c r="AS57" s="69" t="s">
        <v>575</v>
      </c>
      <c r="AT57" s="69" t="s">
        <v>576</v>
      </c>
      <c r="AU57" s="69" t="s">
        <v>577</v>
      </c>
      <c r="AV57" s="69" t="s">
        <v>578</v>
      </c>
      <c r="AW57" s="69" t="s">
        <v>579</v>
      </c>
      <c r="AX57" s="69" t="s">
        <v>581</v>
      </c>
      <c r="AY57" s="69" t="s">
        <v>583</v>
      </c>
      <c r="AZ57" s="69" t="s">
        <v>584</v>
      </c>
      <c r="BA57" s="69" t="s">
        <v>586</v>
      </c>
      <c r="BB57" s="69" t="s">
        <v>587</v>
      </c>
      <c r="BC57" s="69" t="s">
        <v>588</v>
      </c>
      <c r="BD57" s="69" t="s">
        <v>589</v>
      </c>
    </row>
    <row r="58" spans="1:56" ht="11.25" customHeight="1" x14ac:dyDescent="0.25">
      <c r="A58" s="9" t="s">
        <v>62</v>
      </c>
      <c r="B58" s="9" t="s">
        <v>830</v>
      </c>
      <c r="C58" s="9" t="s">
        <v>831</v>
      </c>
      <c r="D58" s="9" t="s">
        <v>832</v>
      </c>
      <c r="E58" s="9" t="s">
        <v>833</v>
      </c>
      <c r="F58" s="9" t="s">
        <v>834</v>
      </c>
      <c r="G58" s="9" t="s">
        <v>835</v>
      </c>
      <c r="L58" s="53">
        <f>$I$5*$L$5</f>
        <v>0</v>
      </c>
      <c r="M58" s="53">
        <f>$I$5*$M$5</f>
        <v>1420.555028837229</v>
      </c>
      <c r="N58" s="53">
        <f ca="1">$I$5*$N$5</f>
        <v>4020.6090660400487</v>
      </c>
      <c r="O58" s="53">
        <f>$I$5*$O$5</f>
        <v>0</v>
      </c>
      <c r="P58" s="53">
        <f>$I$5*$P$5</f>
        <v>0</v>
      </c>
      <c r="Q58" s="53">
        <f>$I$5*$Q$5</f>
        <v>0</v>
      </c>
      <c r="R58" s="53">
        <f>$I$5*$R$5</f>
        <v>0</v>
      </c>
      <c r="S58" s="53">
        <f>$I$5*$S$5</f>
        <v>0</v>
      </c>
      <c r="T58" s="53">
        <f>$I$5*$T$5</f>
        <v>0</v>
      </c>
      <c r="U58" s="53">
        <f>$I$5*$U$5</f>
        <v>0</v>
      </c>
      <c r="V58" s="53">
        <f>$I$5*$V$5</f>
        <v>0</v>
      </c>
      <c r="W58" s="53">
        <f>$I$5*$W$5</f>
        <v>0</v>
      </c>
      <c r="X58" s="53">
        <f>$I$5*$X$5</f>
        <v>0</v>
      </c>
      <c r="Y58" s="53">
        <f>$I$5*$Y$5</f>
        <v>0</v>
      </c>
      <c r="Z58" s="53">
        <f>$I$5*$Z$5</f>
        <v>0</v>
      </c>
      <c r="AA58" s="53">
        <f>$I$5*$AA$5</f>
        <v>393770.67288688058</v>
      </c>
      <c r="AB58" s="53">
        <f ca="1">$I$5*$AB$5</f>
        <v>-75169.824487806894</v>
      </c>
      <c r="AC58" s="53">
        <f ca="1">$I$5*$AC$5</f>
        <v>0</v>
      </c>
      <c r="AD58" s="53">
        <f>$I$5*$AD$5</f>
        <v>0</v>
      </c>
      <c r="AE58" s="53">
        <f>$I$5*$AE$5</f>
        <v>0</v>
      </c>
      <c r="AF58" s="53">
        <f ca="1">$I$5*$AF$5</f>
        <v>0</v>
      </c>
      <c r="AG58" s="53">
        <f ca="1">$I$5*$AG$5</f>
        <v>0</v>
      </c>
      <c r="AI58" s="53">
        <f>$I$5*$AI$5</f>
        <v>0</v>
      </c>
      <c r="AJ58" s="53">
        <f>$I$5*$AJ$5</f>
        <v>1316.7978401273779</v>
      </c>
      <c r="AK58" s="53">
        <f>$I$5*$AK$5</f>
        <v>3631.847536482373</v>
      </c>
      <c r="AL58" s="53">
        <f>$I$5*$AL$5</f>
        <v>0</v>
      </c>
      <c r="AM58" s="53">
        <f>$I$5*$AM$5</f>
        <v>0</v>
      </c>
      <c r="AN58" s="53">
        <f>$I$5*$AN$5</f>
        <v>0</v>
      </c>
      <c r="AO58" s="53">
        <f>$I$5*$AO$5</f>
        <v>0</v>
      </c>
      <c r="AP58" s="53">
        <f>$I$5*$AP$5</f>
        <v>0</v>
      </c>
      <c r="AQ58" s="53">
        <f>$I$5*$AQ$5</f>
        <v>0</v>
      </c>
      <c r="AR58" s="53">
        <f>$I$5*$AR$5</f>
        <v>0</v>
      </c>
      <c r="AS58" s="53">
        <f>$I$5*$AS$5</f>
        <v>0</v>
      </c>
      <c r="AT58" s="53">
        <f>$I$5*$AT$5</f>
        <v>0</v>
      </c>
      <c r="AU58" s="53">
        <f>$I$5*$AU$5</f>
        <v>0</v>
      </c>
      <c r="AV58" s="53">
        <f>$I$5*$AV$5</f>
        <v>0</v>
      </c>
      <c r="AW58" s="53">
        <f>$I$5*$AW$5</f>
        <v>0</v>
      </c>
      <c r="AX58" s="53">
        <f>$I$5*$AX$5</f>
        <v>358567.66364798386</v>
      </c>
      <c r="AY58" s="53">
        <f>$I$5*$AY$5</f>
        <v>0</v>
      </c>
      <c r="AZ58" s="53">
        <f>$I$5*$AZ$5</f>
        <v>0</v>
      </c>
      <c r="BA58" s="53">
        <f>$I$5*$BA$5</f>
        <v>0</v>
      </c>
      <c r="BB58" s="53">
        <f>$I$5*$BB$5</f>
        <v>0</v>
      </c>
      <c r="BC58" s="53">
        <f>$I$5*$BC$5</f>
        <v>0</v>
      </c>
      <c r="BD58" s="53">
        <f>$I$5*$BD$5</f>
        <v>0</v>
      </c>
    </row>
    <row r="59" spans="1:56" ht="11.25" customHeight="1" x14ac:dyDescent="0.25">
      <c r="A59" s="9" t="s">
        <v>38</v>
      </c>
      <c r="B59" s="9" t="s">
        <v>836</v>
      </c>
      <c r="C59" s="9" t="s">
        <v>837</v>
      </c>
      <c r="D59" s="9" t="s">
        <v>838</v>
      </c>
      <c r="E59" s="9" t="s">
        <v>839</v>
      </c>
      <c r="F59" s="9" t="s">
        <v>840</v>
      </c>
      <c r="G59" s="9" t="s">
        <v>841</v>
      </c>
      <c r="L59" s="53">
        <f>$I$6*$L$6</f>
        <v>0</v>
      </c>
      <c r="M59" s="53">
        <f>$I$6*$M$6</f>
        <v>0</v>
      </c>
      <c r="N59" s="53">
        <f ca="1">$I$6*$N$6</f>
        <v>0</v>
      </c>
      <c r="O59" s="53">
        <f>$I$6*$O$6</f>
        <v>0</v>
      </c>
      <c r="P59" s="53">
        <f>$I$6*$P$6</f>
        <v>0</v>
      </c>
      <c r="Q59" s="53">
        <f>$I$6*$Q$6</f>
        <v>0</v>
      </c>
      <c r="R59" s="53">
        <f>$I$6*$R$6</f>
        <v>0</v>
      </c>
      <c r="S59" s="53">
        <f>$I$6*$S$6</f>
        <v>0</v>
      </c>
      <c r="T59" s="53">
        <f>$I$6*$T$6</f>
        <v>650017.25325188739</v>
      </c>
      <c r="U59" s="53">
        <f>$I$6*$U$6</f>
        <v>217789.52605874458</v>
      </c>
      <c r="V59" s="53">
        <f>$I$6*$V$6</f>
        <v>369312.59048150334</v>
      </c>
      <c r="W59" s="53">
        <f>$I$6*$W$6</f>
        <v>0</v>
      </c>
      <c r="X59" s="53">
        <f>$I$6*$X$6</f>
        <v>0</v>
      </c>
      <c r="Y59" s="53">
        <f>$I$6*$Y$6</f>
        <v>0</v>
      </c>
      <c r="Z59" s="53">
        <f>$I$6*$Z$6</f>
        <v>0</v>
      </c>
      <c r="AA59" s="53">
        <f>$I$6*$AA$6</f>
        <v>2443809.5535763865</v>
      </c>
      <c r="AB59" s="53">
        <f ca="1">$I$6*$AB$6</f>
        <v>-686105.49201817228</v>
      </c>
      <c r="AC59" s="53">
        <f ca="1">$I$6*$AC$6</f>
        <v>0</v>
      </c>
      <c r="AD59" s="53">
        <f>$I$6*$AD$6</f>
        <v>0</v>
      </c>
      <c r="AE59" s="53">
        <f>$I$6*$AE$6</f>
        <v>0</v>
      </c>
      <c r="AF59" s="53">
        <f ca="1">$I$6*$AF$6</f>
        <v>0</v>
      </c>
      <c r="AG59" s="53">
        <f ca="1">$I$6*$AG$6</f>
        <v>0</v>
      </c>
      <c r="AI59" s="53">
        <f>$I$6*$AI$6</f>
        <v>0</v>
      </c>
      <c r="AJ59" s="53">
        <f>$I$6*$AJ$6</f>
        <v>0</v>
      </c>
      <c r="AK59" s="53">
        <f>$I$6*$AK$6</f>
        <v>0</v>
      </c>
      <c r="AL59" s="53">
        <f>$I$6*$AL$6</f>
        <v>0</v>
      </c>
      <c r="AM59" s="53">
        <f>$I$6*$AM$6</f>
        <v>0</v>
      </c>
      <c r="AN59" s="53">
        <f>$I$6*$AN$6</f>
        <v>0</v>
      </c>
      <c r="AO59" s="53">
        <f>$I$6*$AO$6</f>
        <v>0</v>
      </c>
      <c r="AP59" s="53">
        <f>$I$6*$AP$6</f>
        <v>0</v>
      </c>
      <c r="AQ59" s="53">
        <f>$I$6*$AQ$6</f>
        <v>438165.19584933913</v>
      </c>
      <c r="AR59" s="53">
        <f>$I$6*$AR$6</f>
        <v>199064.0560576453</v>
      </c>
      <c r="AS59" s="53">
        <f>$I$6*$AS$6</f>
        <v>180428.44877957896</v>
      </c>
      <c r="AT59" s="53">
        <f>$I$6*$AT$6</f>
        <v>0</v>
      </c>
      <c r="AU59" s="53">
        <f>$I$6*$AU$6</f>
        <v>0</v>
      </c>
      <c r="AV59" s="53">
        <f>$I$6*$AV$6</f>
        <v>0</v>
      </c>
      <c r="AW59" s="53">
        <f>$I$6*$AW$6</f>
        <v>0</v>
      </c>
      <c r="AX59" s="53">
        <f>$I$6*$AX$6</f>
        <v>3013759.4285625922</v>
      </c>
      <c r="AY59" s="53">
        <f>$I$6*$AY$6</f>
        <v>0</v>
      </c>
      <c r="AZ59" s="53">
        <f>$I$6*$AZ$6</f>
        <v>0</v>
      </c>
      <c r="BA59" s="53">
        <f>$I$6*$BA$6</f>
        <v>0</v>
      </c>
      <c r="BB59" s="53">
        <f>$I$6*$BB$6</f>
        <v>0</v>
      </c>
      <c r="BC59" s="53">
        <f>$I$6*$BC$6</f>
        <v>0</v>
      </c>
      <c r="BD59" s="53">
        <f>$I$6*$BD$6</f>
        <v>0</v>
      </c>
    </row>
    <row r="60" spans="1:56" ht="11.25" customHeight="1" x14ac:dyDescent="0.25">
      <c r="A60" s="9" t="s">
        <v>38</v>
      </c>
      <c r="B60" s="9" t="s">
        <v>836</v>
      </c>
      <c r="C60" s="9" t="s">
        <v>837</v>
      </c>
      <c r="D60" s="9" t="s">
        <v>838</v>
      </c>
      <c r="E60" s="9" t="s">
        <v>839</v>
      </c>
      <c r="F60" s="9" t="s">
        <v>840</v>
      </c>
      <c r="G60" s="9" t="s">
        <v>842</v>
      </c>
      <c r="L60" s="53">
        <f>$I$7*$L$7</f>
        <v>0</v>
      </c>
      <c r="M60" s="53">
        <f>$I$7*$M$7</f>
        <v>0</v>
      </c>
      <c r="N60" s="53">
        <f ca="1">$I$7*$N$7</f>
        <v>0</v>
      </c>
      <c r="O60" s="53">
        <f>$I$7*$O$7</f>
        <v>0</v>
      </c>
      <c r="P60" s="53">
        <f>$I$7*$P$7</f>
        <v>0</v>
      </c>
      <c r="Q60" s="53">
        <f>$I$7*$Q$7</f>
        <v>0</v>
      </c>
      <c r="R60" s="53">
        <f>$I$7*$R$7</f>
        <v>0</v>
      </c>
      <c r="S60" s="53">
        <f>$I$7*$S$7</f>
        <v>0</v>
      </c>
      <c r="T60" s="53">
        <f>$I$7*$T$7</f>
        <v>454208.26101746637</v>
      </c>
      <c r="U60" s="53">
        <f>$I$7*$U$7</f>
        <v>142434.68120572358</v>
      </c>
      <c r="V60" s="53">
        <f>$I$7*$V$7</f>
        <v>227577.04559307187</v>
      </c>
      <c r="W60" s="53">
        <f>$I$7*$W$7</f>
        <v>0</v>
      </c>
      <c r="X60" s="53">
        <f>$I$7*$X$7</f>
        <v>0</v>
      </c>
      <c r="Y60" s="53">
        <f>$I$7*$Y$7</f>
        <v>0</v>
      </c>
      <c r="Z60" s="53">
        <f>$I$7*$Z$7</f>
        <v>0</v>
      </c>
      <c r="AA60" s="53">
        <f>$I$7*$AA$7</f>
        <v>642207.13303195732</v>
      </c>
      <c r="AB60" s="53">
        <f ca="1">$I$7*$AB$7</f>
        <v>-271318.66488849692</v>
      </c>
      <c r="AC60" s="53">
        <f ca="1">$I$7*$AC$7</f>
        <v>0</v>
      </c>
      <c r="AD60" s="53">
        <f>$I$7*$AD$7</f>
        <v>0</v>
      </c>
      <c r="AE60" s="53">
        <f>$I$7*$AE$7</f>
        <v>0</v>
      </c>
      <c r="AF60" s="53">
        <f ca="1">$I$7*$AF$7</f>
        <v>0</v>
      </c>
      <c r="AG60" s="53">
        <f ca="1">$I$7*$AG$7</f>
        <v>0</v>
      </c>
      <c r="AI60" s="53">
        <f>$I$7*$AI$7</f>
        <v>0</v>
      </c>
      <c r="AJ60" s="53">
        <f>$I$7*$AJ$7</f>
        <v>0</v>
      </c>
      <c r="AK60" s="53">
        <f>$I$7*$AK$7</f>
        <v>0</v>
      </c>
      <c r="AL60" s="53">
        <f>$I$7*$AL$7</f>
        <v>0</v>
      </c>
      <c r="AM60" s="53">
        <f>$I$7*$AM$7</f>
        <v>0</v>
      </c>
      <c r="AN60" s="53">
        <f>$I$7*$AN$7</f>
        <v>0</v>
      </c>
      <c r="AO60" s="53">
        <f>$I$7*$AO$7</f>
        <v>0</v>
      </c>
      <c r="AP60" s="53">
        <f>$I$7*$AP$7</f>
        <v>0</v>
      </c>
      <c r="AQ60" s="53">
        <f>$I$7*$AQ$7</f>
        <v>286121.69431741495</v>
      </c>
      <c r="AR60" s="53">
        <f>$I$7*$AR$7</f>
        <v>130064.87002376564</v>
      </c>
      <c r="AS60" s="53">
        <f>$I$7*$AS$7</f>
        <v>127850.50807851323</v>
      </c>
      <c r="AT60" s="53">
        <f>$I$7*$AT$7</f>
        <v>0</v>
      </c>
      <c r="AU60" s="53">
        <f>$I$7*$AU$7</f>
        <v>0</v>
      </c>
      <c r="AV60" s="53">
        <f>$I$7*$AV$7</f>
        <v>0</v>
      </c>
      <c r="AW60" s="53">
        <f>$I$7*$AW$7</f>
        <v>0</v>
      </c>
      <c r="AX60" s="53">
        <f>$I$7*$AX$7</f>
        <v>969764.94305335463</v>
      </c>
      <c r="AY60" s="53">
        <f>$I$7*$AY$7</f>
        <v>0</v>
      </c>
      <c r="AZ60" s="53">
        <f>$I$7*$AZ$7</f>
        <v>0</v>
      </c>
      <c r="BA60" s="53">
        <f>$I$7*$BA$7</f>
        <v>0</v>
      </c>
      <c r="BB60" s="53">
        <f>$I$7*$BB$7</f>
        <v>0</v>
      </c>
      <c r="BC60" s="53">
        <f>$I$7*$BC$7</f>
        <v>0</v>
      </c>
      <c r="BD60" s="53">
        <f>$I$7*$BD$7</f>
        <v>0</v>
      </c>
    </row>
    <row r="61" spans="1:56" ht="11.25" customHeight="1" x14ac:dyDescent="0.25">
      <c r="A61" s="9" t="s">
        <v>38</v>
      </c>
      <c r="B61" s="9" t="s">
        <v>836</v>
      </c>
      <c r="C61" s="9" t="s">
        <v>837</v>
      </c>
      <c r="D61" s="9" t="s">
        <v>838</v>
      </c>
      <c r="E61" s="9" t="s">
        <v>839</v>
      </c>
      <c r="F61" s="9" t="s">
        <v>840</v>
      </c>
      <c r="G61" s="9" t="s">
        <v>843</v>
      </c>
      <c r="L61" s="53">
        <f>$I$8*$L$8</f>
        <v>186353.76193195794</v>
      </c>
      <c r="M61" s="53">
        <f>$I$8*$M$8</f>
        <v>15112.004224759683</v>
      </c>
      <c r="N61" s="53">
        <f ca="1">$I$8*$N$8</f>
        <v>7903.7068966312954</v>
      </c>
      <c r="O61" s="53">
        <f>$I$8*$O$8</f>
        <v>0</v>
      </c>
      <c r="P61" s="53">
        <f>$I$8*$P$8</f>
        <v>0</v>
      </c>
      <c r="Q61" s="53">
        <f>$I$8*$Q$8</f>
        <v>3151042.0917388685</v>
      </c>
      <c r="R61" s="53">
        <f>$I$8*$R$8</f>
        <v>565813.50546222809</v>
      </c>
      <c r="S61" s="53">
        <f>$I$8*$S$8</f>
        <v>0</v>
      </c>
      <c r="T61" s="53">
        <f>$I$8*$T$8</f>
        <v>0</v>
      </c>
      <c r="U61" s="53">
        <f>$I$8*$U$8</f>
        <v>0</v>
      </c>
      <c r="V61" s="53">
        <f>$I$8*$V$8</f>
        <v>0</v>
      </c>
      <c r="W61" s="53">
        <f>$I$8*$W$8</f>
        <v>0</v>
      </c>
      <c r="X61" s="53">
        <f>$I$8*$X$8</f>
        <v>0</v>
      </c>
      <c r="Y61" s="53">
        <f>$I$8*$Y$8</f>
        <v>0</v>
      </c>
      <c r="Z61" s="53">
        <f>$I$8*$Z$8</f>
        <v>0</v>
      </c>
      <c r="AA61" s="53">
        <f>$I$8*$AA$8</f>
        <v>0</v>
      </c>
      <c r="AB61" s="53">
        <f ca="1">$I$8*$AB$8</f>
        <v>-690965.41723454907</v>
      </c>
      <c r="AC61" s="53">
        <f ca="1">$I$8*$AC$8</f>
        <v>0</v>
      </c>
      <c r="AD61" s="53">
        <f>$I$8*$AD$8</f>
        <v>275872.70842587983</v>
      </c>
      <c r="AE61" s="53">
        <f>$I$8*$AE$8</f>
        <v>9461.3893971509497</v>
      </c>
      <c r="AF61" s="53">
        <f ca="1">$I$8*$AF$8</f>
        <v>69436.855460934283</v>
      </c>
      <c r="AG61" s="53">
        <f ca="1">$I$8*$AG$8</f>
        <v>8385.0208295040502</v>
      </c>
      <c r="AI61" s="53">
        <f>$I$8*$AI$8</f>
        <v>199435.02428561778</v>
      </c>
      <c r="AJ61" s="53">
        <f>$I$8*$AJ$8</f>
        <v>19894.487997644403</v>
      </c>
      <c r="AK61" s="53">
        <f>$I$8*$AK$8</f>
        <v>11907.28745877389</v>
      </c>
      <c r="AL61" s="53">
        <f>$I$8*$AL$8</f>
        <v>0</v>
      </c>
      <c r="AM61" s="53">
        <f>$I$8*$AM$8</f>
        <v>0</v>
      </c>
      <c r="AN61" s="53">
        <f>$I$8*$AN$8</f>
        <v>1858309.1638721351</v>
      </c>
      <c r="AO61" s="53">
        <f>$I$8*$AO$8</f>
        <v>345173.97324750898</v>
      </c>
      <c r="AP61" s="53">
        <f>$I$8*$AP$8</f>
        <v>0</v>
      </c>
      <c r="AQ61" s="53">
        <f>$I$8*$AQ$8</f>
        <v>0</v>
      </c>
      <c r="AR61" s="53">
        <f>$I$8*$AR$8</f>
        <v>0</v>
      </c>
      <c r="AS61" s="53">
        <f>$I$8*$AS$8</f>
        <v>0</v>
      </c>
      <c r="AT61" s="53">
        <f>$I$8*$AT$8</f>
        <v>0</v>
      </c>
      <c r="AU61" s="53">
        <f>$I$8*$AU$8</f>
        <v>0</v>
      </c>
      <c r="AV61" s="53">
        <f>$I$8*$AV$8</f>
        <v>0</v>
      </c>
      <c r="AW61" s="53">
        <f>$I$8*$AW$8</f>
        <v>0</v>
      </c>
      <c r="AX61" s="53">
        <f>$I$8*$AX$8</f>
        <v>0</v>
      </c>
      <c r="AY61" s="53">
        <f>$I$8*$AY$8</f>
        <v>0</v>
      </c>
      <c r="AZ61" s="53">
        <f>$I$8*$AZ$8</f>
        <v>0</v>
      </c>
      <c r="BA61" s="53">
        <f>$I$8*$BA$8</f>
        <v>305015.68131771893</v>
      </c>
      <c r="BB61" s="53">
        <f>$I$8*$BB$8</f>
        <v>8781.662697940923</v>
      </c>
      <c r="BC61" s="53">
        <f>$I$8*$BC$8</f>
        <v>66522.701621255837</v>
      </c>
      <c r="BD61" s="53">
        <f>$I$8*$BD$8</f>
        <v>9318.8046503414171</v>
      </c>
    </row>
    <row r="62" spans="1:56" ht="11.25" customHeight="1" x14ac:dyDescent="0.25">
      <c r="A62" s="9" t="s">
        <v>38</v>
      </c>
      <c r="B62" s="9" t="s">
        <v>836</v>
      </c>
      <c r="C62" s="9" t="s">
        <v>837</v>
      </c>
      <c r="D62" s="9" t="s">
        <v>838</v>
      </c>
      <c r="E62" s="9" t="s">
        <v>844</v>
      </c>
      <c r="F62" s="9" t="s">
        <v>845</v>
      </c>
      <c r="G62" s="9" t="s">
        <v>846</v>
      </c>
      <c r="L62" s="53">
        <f>$I$9*$L$9</f>
        <v>0</v>
      </c>
      <c r="M62" s="53">
        <f>$I$9*$M$9</f>
        <v>0</v>
      </c>
      <c r="N62" s="53">
        <f ca="1">$I$9*$N$9</f>
        <v>0</v>
      </c>
      <c r="O62" s="53">
        <f>$I$9*$O$9</f>
        <v>0</v>
      </c>
      <c r="P62" s="53">
        <f>$I$9*$P$9</f>
        <v>0</v>
      </c>
      <c r="Q62" s="53">
        <f>$I$9*$Q$9</f>
        <v>0</v>
      </c>
      <c r="R62" s="53">
        <f>$I$9*$R$9</f>
        <v>0</v>
      </c>
      <c r="S62" s="53">
        <f>$I$9*$S$9</f>
        <v>0</v>
      </c>
      <c r="T62" s="53">
        <f>$I$9*$T$9</f>
        <v>0</v>
      </c>
      <c r="U62" s="53">
        <f>$I$9*$U$9</f>
        <v>0</v>
      </c>
      <c r="V62" s="53">
        <f>$I$9*$V$9</f>
        <v>0</v>
      </c>
      <c r="W62" s="53">
        <f>$I$9*$W$9</f>
        <v>0</v>
      </c>
      <c r="X62" s="53">
        <f>$I$9*$X$9</f>
        <v>0</v>
      </c>
      <c r="Y62" s="53">
        <f>$I$9*$Y$9</f>
        <v>0</v>
      </c>
      <c r="Z62" s="53">
        <f>$I$9*$Z$9</f>
        <v>0</v>
      </c>
      <c r="AA62" s="53">
        <f>$I$9*$AA$9</f>
        <v>0</v>
      </c>
      <c r="AB62" s="53">
        <f ca="1">$I$9*$AB$9</f>
        <v>0</v>
      </c>
      <c r="AC62" s="53">
        <f ca="1">$I$9*$AC$9</f>
        <v>0</v>
      </c>
      <c r="AD62" s="53">
        <f>$I$9*$AD$9</f>
        <v>0</v>
      </c>
      <c r="AE62" s="53">
        <f>$I$9*$AE$9</f>
        <v>0</v>
      </c>
      <c r="AF62" s="53">
        <f ca="1">$I$9*$AF$9</f>
        <v>0</v>
      </c>
      <c r="AG62" s="53">
        <f ca="1">$I$9*$AG$9</f>
        <v>0</v>
      </c>
      <c r="AI62" s="53">
        <f>$I$9*$AI$9</f>
        <v>0</v>
      </c>
      <c r="AJ62" s="53">
        <f>$I$9*$AJ$9</f>
        <v>0</v>
      </c>
      <c r="AK62" s="53">
        <f>$I$9*$AK$9</f>
        <v>0</v>
      </c>
      <c r="AL62" s="53">
        <f>$I$9*$AL$9</f>
        <v>0</v>
      </c>
      <c r="AM62" s="53">
        <f>$I$9*$AM$9</f>
        <v>0</v>
      </c>
      <c r="AN62" s="53">
        <f>$I$9*$AN$9</f>
        <v>0</v>
      </c>
      <c r="AO62" s="53">
        <f>$I$9*$AO$9</f>
        <v>0</v>
      </c>
      <c r="AP62" s="53">
        <f>$I$9*$AP$9</f>
        <v>0</v>
      </c>
      <c r="AQ62" s="53">
        <f>$I$9*$AQ$9</f>
        <v>0</v>
      </c>
      <c r="AR62" s="53">
        <f>$I$9*$AR$9</f>
        <v>0</v>
      </c>
      <c r="AS62" s="53">
        <f>$I$9*$AS$9</f>
        <v>0</v>
      </c>
      <c r="AT62" s="53">
        <f>$I$9*$AT$9</f>
        <v>0</v>
      </c>
      <c r="AU62" s="53">
        <f>$I$9*$AU$9</f>
        <v>0</v>
      </c>
      <c r="AV62" s="53">
        <f>$I$9*$AV$9</f>
        <v>0</v>
      </c>
      <c r="AW62" s="53">
        <f>$I$9*$AW$9</f>
        <v>0</v>
      </c>
      <c r="AX62" s="53">
        <f>$I$9*$AX$9</f>
        <v>0</v>
      </c>
      <c r="AY62" s="53">
        <f>$I$9*$AY$9</f>
        <v>0</v>
      </c>
      <c r="AZ62" s="53">
        <f>$I$9*$AZ$9</f>
        <v>0</v>
      </c>
      <c r="BA62" s="53">
        <f>$I$9*$BA$9</f>
        <v>0</v>
      </c>
      <c r="BB62" s="53">
        <f>$I$9*$BB$9</f>
        <v>0</v>
      </c>
      <c r="BC62" s="53">
        <f>$I$9*$BC$9</f>
        <v>0</v>
      </c>
      <c r="BD62" s="53">
        <f>$I$9*$BD$9</f>
        <v>0</v>
      </c>
    </row>
    <row r="63" spans="1:56" ht="11.25" customHeight="1" x14ac:dyDescent="0.25">
      <c r="A63" s="9" t="s">
        <v>38</v>
      </c>
      <c r="B63" s="9" t="s">
        <v>847</v>
      </c>
      <c r="C63" s="9" t="s">
        <v>848</v>
      </c>
      <c r="D63" s="9" t="s">
        <v>849</v>
      </c>
      <c r="E63" s="9" t="s">
        <v>850</v>
      </c>
      <c r="F63" s="9" t="s">
        <v>851</v>
      </c>
      <c r="G63" s="9" t="s">
        <v>852</v>
      </c>
      <c r="L63" s="53">
        <f>$I$10*$L$10</f>
        <v>0</v>
      </c>
      <c r="M63" s="53">
        <f>$I$10*$M$10</f>
        <v>307.23545180296446</v>
      </c>
      <c r="N63" s="53">
        <f ca="1">$I$10*$N$10</f>
        <v>745.24239755674967</v>
      </c>
      <c r="O63" s="53">
        <f>$I$10*$O$10</f>
        <v>0</v>
      </c>
      <c r="P63" s="53">
        <f>$I$10*$P$10</f>
        <v>0</v>
      </c>
      <c r="Q63" s="53">
        <f>$I$10*$Q$10</f>
        <v>0</v>
      </c>
      <c r="R63" s="53">
        <f>$I$10*$R$10</f>
        <v>0</v>
      </c>
      <c r="S63" s="53">
        <f>$I$10*$S$10</f>
        <v>0</v>
      </c>
      <c r="T63" s="53">
        <f>$I$10*$T$10</f>
        <v>0</v>
      </c>
      <c r="U63" s="53">
        <f>$I$10*$U$10</f>
        <v>0</v>
      </c>
      <c r="V63" s="53">
        <f>$I$10*$V$10</f>
        <v>0</v>
      </c>
      <c r="W63" s="53">
        <f>$I$10*$W$10</f>
        <v>0</v>
      </c>
      <c r="X63" s="53">
        <f>$I$10*$X$10</f>
        <v>0</v>
      </c>
      <c r="Y63" s="53">
        <f>$I$10*$Y$10</f>
        <v>0</v>
      </c>
      <c r="Z63" s="53">
        <f>$I$10*$Z$10</f>
        <v>0</v>
      </c>
      <c r="AA63" s="53">
        <f>$I$10*$AA$10</f>
        <v>102085.1791288696</v>
      </c>
      <c r="AB63" s="53">
        <f ca="1">$I$10*$AB$10</f>
        <v>-19421.854194066462</v>
      </c>
      <c r="AC63" s="53">
        <f ca="1">$I$10*$AC$10</f>
        <v>0</v>
      </c>
      <c r="AD63" s="53">
        <f>$I$10*$AD$10</f>
        <v>10.232300074056532</v>
      </c>
      <c r="AE63" s="53">
        <f>$I$10*$AE$10</f>
        <v>0</v>
      </c>
      <c r="AF63" s="53">
        <f ca="1">$I$10*$AF$10</f>
        <v>0</v>
      </c>
      <c r="AG63" s="53">
        <f ca="1">$I$10*$AG$10</f>
        <v>0</v>
      </c>
      <c r="AI63" s="53">
        <f>$I$10*$AI$10</f>
        <v>0</v>
      </c>
      <c r="AJ63" s="53">
        <f>$I$10*$AJ$10</f>
        <v>429.98178761015652</v>
      </c>
      <c r="AK63" s="53">
        <f>$I$10*$AK$10</f>
        <v>1558.2265798263093</v>
      </c>
      <c r="AL63" s="53">
        <f>$I$10*$AL$10</f>
        <v>0</v>
      </c>
      <c r="AM63" s="53">
        <f>$I$10*$AM$10</f>
        <v>0</v>
      </c>
      <c r="AN63" s="53">
        <f>$I$10*$AN$10</f>
        <v>0</v>
      </c>
      <c r="AO63" s="53">
        <f>$I$10*$AO$10</f>
        <v>0</v>
      </c>
      <c r="AP63" s="53">
        <f>$I$10*$AP$10</f>
        <v>0</v>
      </c>
      <c r="AQ63" s="53">
        <f>$I$10*$AQ$10</f>
        <v>0</v>
      </c>
      <c r="AR63" s="53">
        <f>$I$10*$AR$10</f>
        <v>0</v>
      </c>
      <c r="AS63" s="53">
        <f>$I$10*$AS$10</f>
        <v>0</v>
      </c>
      <c r="AT63" s="53">
        <f>$I$10*$AT$10</f>
        <v>0</v>
      </c>
      <c r="AU63" s="53">
        <f>$I$10*$AU$10</f>
        <v>0</v>
      </c>
      <c r="AV63" s="53">
        <f>$I$10*$AV$10</f>
        <v>0</v>
      </c>
      <c r="AW63" s="53">
        <f>$I$10*$AW$10</f>
        <v>0</v>
      </c>
      <c r="AX63" s="53">
        <f>$I$10*$AX$10</f>
        <v>123034.28746844913</v>
      </c>
      <c r="AY63" s="53">
        <f>$I$10*$AY$10</f>
        <v>0</v>
      </c>
      <c r="AZ63" s="53">
        <f>$I$10*$AZ$10</f>
        <v>0</v>
      </c>
      <c r="BA63" s="53">
        <f>$I$10*$BA$10</f>
        <v>0</v>
      </c>
      <c r="BB63" s="53">
        <f>$I$10*$BB$10</f>
        <v>0</v>
      </c>
      <c r="BC63" s="53">
        <f>$I$10*$BC$10</f>
        <v>0</v>
      </c>
      <c r="BD63" s="53">
        <f>$I$10*$BD$10</f>
        <v>0</v>
      </c>
    </row>
    <row r="64" spans="1:56" ht="11.25" customHeight="1" x14ac:dyDescent="0.25">
      <c r="A64" s="9" t="s">
        <v>38</v>
      </c>
      <c r="B64" s="9" t="s">
        <v>853</v>
      </c>
      <c r="C64" s="9" t="s">
        <v>854</v>
      </c>
      <c r="D64" s="9" t="s">
        <v>855</v>
      </c>
      <c r="E64" s="9" t="s">
        <v>856</v>
      </c>
      <c r="F64" s="9" t="s">
        <v>857</v>
      </c>
      <c r="G64" s="9" t="s">
        <v>858</v>
      </c>
      <c r="L64" s="53">
        <f>$I$11*$L$11</f>
        <v>0</v>
      </c>
      <c r="M64" s="53">
        <f>$I$11*$M$11</f>
        <v>0</v>
      </c>
      <c r="N64" s="53">
        <f ca="1">$I$11*$N$11</f>
        <v>0</v>
      </c>
      <c r="O64" s="53">
        <f>$I$11*$O$11</f>
        <v>0</v>
      </c>
      <c r="P64" s="53">
        <f>$I$11*$P$11</f>
        <v>0</v>
      </c>
      <c r="Q64" s="53">
        <f>$I$11*$Q$11</f>
        <v>0</v>
      </c>
      <c r="R64" s="53">
        <f>$I$11*$R$11</f>
        <v>0</v>
      </c>
      <c r="S64" s="53">
        <f>$I$11*$S$11</f>
        <v>0</v>
      </c>
      <c r="T64" s="53">
        <f>$I$11*$T$11</f>
        <v>1664741.2386847993</v>
      </c>
      <c r="U64" s="53">
        <f>$I$11*$U$11</f>
        <v>522044.41876712715</v>
      </c>
      <c r="V64" s="53">
        <f>$I$11*$V$11</f>
        <v>834103.9238876123</v>
      </c>
      <c r="W64" s="53">
        <f>$I$11*$W$11</f>
        <v>0</v>
      </c>
      <c r="X64" s="53">
        <f>$I$11*$X$11</f>
        <v>0</v>
      </c>
      <c r="Y64" s="53">
        <f>$I$11*$Y$11</f>
        <v>0</v>
      </c>
      <c r="Z64" s="53">
        <f>$I$11*$Z$11</f>
        <v>0</v>
      </c>
      <c r="AA64" s="53">
        <f>$I$11*$AA$11</f>
        <v>2353785.2344229431</v>
      </c>
      <c r="AB64" s="53">
        <f ca="1">$I$11*$AB$11</f>
        <v>-994423.50355537317</v>
      </c>
      <c r="AC64" s="53">
        <f ca="1">$I$11*$AC$11</f>
        <v>0</v>
      </c>
      <c r="AD64" s="53">
        <f>$I$11*$AD$11</f>
        <v>0</v>
      </c>
      <c r="AE64" s="53">
        <f>$I$11*$AE$11</f>
        <v>0</v>
      </c>
      <c r="AF64" s="53">
        <f ca="1">$I$11*$AF$11</f>
        <v>0</v>
      </c>
      <c r="AG64" s="53">
        <f ca="1">$I$11*$AG$11</f>
        <v>0</v>
      </c>
      <c r="AI64" s="53">
        <f>$I$11*$AI$11</f>
        <v>0</v>
      </c>
      <c r="AJ64" s="53">
        <f>$I$11*$AJ$11</f>
        <v>0</v>
      </c>
      <c r="AK64" s="53">
        <f>$I$11*$AK$11</f>
        <v>0</v>
      </c>
      <c r="AL64" s="53">
        <f>$I$11*$AL$11</f>
        <v>0</v>
      </c>
      <c r="AM64" s="53">
        <f>$I$11*$AM$11</f>
        <v>0</v>
      </c>
      <c r="AN64" s="53">
        <f>$I$11*$AN$11</f>
        <v>0</v>
      </c>
      <c r="AO64" s="53">
        <f>$I$11*$AO$11</f>
        <v>0</v>
      </c>
      <c r="AP64" s="53">
        <f>$I$11*$AP$11</f>
        <v>0</v>
      </c>
      <c r="AQ64" s="53">
        <f>$I$11*$AQ$11</f>
        <v>1048678.821352944</v>
      </c>
      <c r="AR64" s="53">
        <f>$I$11*$AR$11</f>
        <v>476707.20992107783</v>
      </c>
      <c r="AS64" s="53">
        <f>$I$11*$AS$11</f>
        <v>468591.2420622409</v>
      </c>
      <c r="AT64" s="53">
        <f>$I$11*$AT$11</f>
        <v>0</v>
      </c>
      <c r="AU64" s="53">
        <f>$I$11*$AU$11</f>
        <v>0</v>
      </c>
      <c r="AV64" s="53">
        <f>$I$11*$AV$11</f>
        <v>0</v>
      </c>
      <c r="AW64" s="53">
        <f>$I$11*$AW$11</f>
        <v>0</v>
      </c>
      <c r="AX64" s="53">
        <f>$I$11*$AX$11</f>
        <v>3554333.619814225</v>
      </c>
      <c r="AY64" s="53">
        <f>$I$11*$AY$11</f>
        <v>0</v>
      </c>
      <c r="AZ64" s="53">
        <f>$I$11*$AZ$11</f>
        <v>0</v>
      </c>
      <c r="BA64" s="53">
        <f>$I$11*$BA$11</f>
        <v>0</v>
      </c>
      <c r="BB64" s="53">
        <f>$I$11*$BB$11</f>
        <v>0</v>
      </c>
      <c r="BC64" s="53">
        <f>$I$11*$BC$11</f>
        <v>0</v>
      </c>
      <c r="BD64" s="53">
        <f>$I$11*$BD$11</f>
        <v>0</v>
      </c>
    </row>
    <row r="65" spans="1:56" ht="11.25" customHeight="1" x14ac:dyDescent="0.25">
      <c r="A65" s="9" t="s">
        <v>38</v>
      </c>
      <c r="B65" s="9" t="s">
        <v>853</v>
      </c>
      <c r="C65" s="9" t="s">
        <v>854</v>
      </c>
      <c r="D65" s="9" t="s">
        <v>855</v>
      </c>
      <c r="E65" s="9" t="s">
        <v>856</v>
      </c>
      <c r="F65" s="9" t="s">
        <v>857</v>
      </c>
      <c r="G65" s="9" t="s">
        <v>859</v>
      </c>
      <c r="L65" s="53">
        <f>$I$12*$L$12</f>
        <v>21189.906334702762</v>
      </c>
      <c r="M65" s="53">
        <f>$I$12*$M$12</f>
        <v>1718.3551903245748</v>
      </c>
      <c r="N65" s="53">
        <f ca="1">$I$12*$N$12</f>
        <v>39677.721619161624</v>
      </c>
      <c r="O65" s="53">
        <f>$I$12*$O$12</f>
        <v>0</v>
      </c>
      <c r="P65" s="53">
        <f>$I$12*$P$12</f>
        <v>0</v>
      </c>
      <c r="Q65" s="53">
        <f>$I$12*$Q$12</f>
        <v>358298.57196567819</v>
      </c>
      <c r="R65" s="53">
        <f>$I$12*$R$12</f>
        <v>64337.500136069684</v>
      </c>
      <c r="S65" s="53">
        <f>$I$12*$S$12</f>
        <v>0</v>
      </c>
      <c r="T65" s="53">
        <f>$I$12*$T$12</f>
        <v>856214.28920241795</v>
      </c>
      <c r="U65" s="53">
        <f>$I$12*$U$12</f>
        <v>286875.42825757526</v>
      </c>
      <c r="V65" s="53">
        <f>$I$12*$V$12</f>
        <v>486462.84981549071</v>
      </c>
      <c r="W65" s="53">
        <f>$I$12*$W$12</f>
        <v>0</v>
      </c>
      <c r="X65" s="53">
        <f>$I$12*$X$12</f>
        <v>0</v>
      </c>
      <c r="Y65" s="53">
        <f>$I$12*$Y$12</f>
        <v>0</v>
      </c>
      <c r="Z65" s="53">
        <f>$I$12*$Z$12</f>
        <v>0</v>
      </c>
      <c r="AA65" s="53">
        <f>$I$12*$AA$12</f>
        <v>3219020.2482137042</v>
      </c>
      <c r="AB65" s="53">
        <f ca="1">$I$12*$AB$12</f>
        <v>-989558.72859024734</v>
      </c>
      <c r="AC65" s="53">
        <f ca="1">$I$12*$AC$12</f>
        <v>0</v>
      </c>
      <c r="AD65" s="53">
        <f>$I$12*$AD$12</f>
        <v>31368.923230965229</v>
      </c>
      <c r="AE65" s="53">
        <f>$I$12*$AE$12</f>
        <v>1075.8352986454897</v>
      </c>
      <c r="AF65" s="53">
        <f ca="1">$I$12*$AF$12</f>
        <v>7895.5232678947432</v>
      </c>
      <c r="AG65" s="53">
        <f ca="1">$I$12*$AG$12</f>
        <v>953.44362329855596</v>
      </c>
      <c r="AI65" s="53">
        <f>$I$12*$AI$12</f>
        <v>22677.35000710329</v>
      </c>
      <c r="AJ65" s="53">
        <f>$I$12*$AJ$12</f>
        <v>2262.1616697004233</v>
      </c>
      <c r="AK65" s="53">
        <f>$I$12*$AK$12</f>
        <v>61092.207525044942</v>
      </c>
      <c r="AL65" s="53">
        <f>$I$12*$AL$12</f>
        <v>0</v>
      </c>
      <c r="AM65" s="53">
        <f>$I$12*$AM$12</f>
        <v>0</v>
      </c>
      <c r="AN65" s="53">
        <f>$I$12*$AN$12</f>
        <v>211304.54633777632</v>
      </c>
      <c r="AO65" s="53">
        <f>$I$12*$AO$12</f>
        <v>39249.028763704257</v>
      </c>
      <c r="AP65" s="53">
        <f>$I$12*$AP$12</f>
        <v>0</v>
      </c>
      <c r="AQ65" s="53">
        <f>$I$12*$AQ$12</f>
        <v>577151.92156967195</v>
      </c>
      <c r="AR65" s="53">
        <f>$I$12*$AR$12</f>
        <v>262217.89834308263</v>
      </c>
      <c r="AS65" s="53">
        <f>$I$12*$AS$12</f>
        <v>237683.8345469147</v>
      </c>
      <c r="AT65" s="53">
        <f>$I$12*$AT$12</f>
        <v>0</v>
      </c>
      <c r="AU65" s="53">
        <f>$I$12*$AU$12</f>
        <v>0</v>
      </c>
      <c r="AV65" s="53">
        <f>$I$12*$AV$12</f>
        <v>0</v>
      </c>
      <c r="AW65" s="53">
        <f>$I$12*$AW$12</f>
        <v>0</v>
      </c>
      <c r="AX65" s="53">
        <f>$I$12*$AX$12</f>
        <v>3969760.1488631195</v>
      </c>
      <c r="AY65" s="53">
        <f>$I$12*$AY$12</f>
        <v>0</v>
      </c>
      <c r="AZ65" s="53">
        <f>$I$12*$AZ$12</f>
        <v>0</v>
      </c>
      <c r="BA65" s="53">
        <f>$I$12*$BA$12</f>
        <v>34682.711262345721</v>
      </c>
      <c r="BB65" s="53">
        <f>$I$12*$BB$12</f>
        <v>998.54496149245631</v>
      </c>
      <c r="BC65" s="53">
        <f>$I$12*$BC$12</f>
        <v>7564.1607761074965</v>
      </c>
      <c r="BD65" s="53">
        <f>$I$12*$BD$12</f>
        <v>1059.6222777849048</v>
      </c>
    </row>
    <row r="66" spans="1:56" ht="11.25" customHeight="1" x14ac:dyDescent="0.25">
      <c r="A66" s="9" t="s">
        <v>38</v>
      </c>
      <c r="B66" s="9" t="s">
        <v>853</v>
      </c>
      <c r="C66" s="9" t="s">
        <v>854</v>
      </c>
      <c r="D66" s="9" t="s">
        <v>855</v>
      </c>
      <c r="E66" s="9" t="s">
        <v>856</v>
      </c>
      <c r="F66" s="9" t="s">
        <v>857</v>
      </c>
      <c r="G66" s="9" t="s">
        <v>860</v>
      </c>
      <c r="L66" s="53">
        <f>$I$13*$L$13</f>
        <v>243850.98721957224</v>
      </c>
      <c r="M66" s="53">
        <f>$I$13*$M$13</f>
        <v>19774.632456411058</v>
      </c>
      <c r="N66" s="53">
        <f ca="1">$I$13*$N$13</f>
        <v>10342.30116664559</v>
      </c>
      <c r="O66" s="53">
        <f>$I$13*$O$13</f>
        <v>0</v>
      </c>
      <c r="P66" s="53">
        <f>$I$13*$P$13</f>
        <v>0</v>
      </c>
      <c r="Q66" s="53">
        <f>$I$13*$Q$13</f>
        <v>4123258.4567920021</v>
      </c>
      <c r="R66" s="53">
        <f>$I$13*$R$13</f>
        <v>740388.49797681405</v>
      </c>
      <c r="S66" s="53">
        <f>$I$13*$S$13</f>
        <v>0</v>
      </c>
      <c r="T66" s="53">
        <f>$I$13*$T$13</f>
        <v>0</v>
      </c>
      <c r="U66" s="53">
        <f>$I$13*$U$13</f>
        <v>0</v>
      </c>
      <c r="V66" s="53">
        <f>$I$13*$V$13</f>
        <v>0</v>
      </c>
      <c r="W66" s="53">
        <f>$I$13*$W$13</f>
        <v>0</v>
      </c>
      <c r="X66" s="53">
        <f>$I$13*$X$13</f>
        <v>0</v>
      </c>
      <c r="Y66" s="53">
        <f>$I$13*$Y$13</f>
        <v>0</v>
      </c>
      <c r="Z66" s="53">
        <f>$I$13*$Z$13</f>
        <v>0</v>
      </c>
      <c r="AA66" s="53">
        <f>$I$13*$AA$13</f>
        <v>0</v>
      </c>
      <c r="AB66" s="53">
        <f ca="1">$I$13*$AB$13</f>
        <v>-904154.53587005648</v>
      </c>
      <c r="AC66" s="53">
        <f ca="1">$I$13*$AC$13</f>
        <v>0</v>
      </c>
      <c r="AD66" s="53">
        <f>$I$13*$AD$13</f>
        <v>360989.93440846395</v>
      </c>
      <c r="AE66" s="53">
        <f>$I$13*$AE$13</f>
        <v>12380.587979793258</v>
      </c>
      <c r="AF66" s="53">
        <f ca="1">$I$13*$AF$13</f>
        <v>90860.767059555932</v>
      </c>
      <c r="AG66" s="53">
        <f ca="1">$I$13*$AG$13</f>
        <v>10972.118759146944</v>
      </c>
      <c r="AI66" s="53">
        <f>$I$13*$AI$13</f>
        <v>260968.31667913462</v>
      </c>
      <c r="AJ66" s="53">
        <f>$I$13*$AJ$13</f>
        <v>26032.694420329633</v>
      </c>
      <c r="AK66" s="53">
        <f>$I$13*$AK$13</f>
        <v>15581.138646341991</v>
      </c>
      <c r="AL66" s="53">
        <f>$I$13*$AL$13</f>
        <v>0</v>
      </c>
      <c r="AM66" s="53">
        <f>$I$13*$AM$13</f>
        <v>0</v>
      </c>
      <c r="AN66" s="53">
        <f>$I$13*$AN$13</f>
        <v>2431668.2393288827</v>
      </c>
      <c r="AO66" s="53">
        <f>$I$13*$AO$13</f>
        <v>451673.27595801401</v>
      </c>
      <c r="AP66" s="53">
        <f>$I$13*$AP$13</f>
        <v>0</v>
      </c>
      <c r="AQ66" s="53">
        <f>$I$13*$AQ$13</f>
        <v>0</v>
      </c>
      <c r="AR66" s="53">
        <f>$I$13*$AR$13</f>
        <v>0</v>
      </c>
      <c r="AS66" s="53">
        <f>$I$13*$AS$13</f>
        <v>0</v>
      </c>
      <c r="AT66" s="53">
        <f>$I$13*$AT$13</f>
        <v>0</v>
      </c>
      <c r="AU66" s="53">
        <f>$I$13*$AU$13</f>
        <v>0</v>
      </c>
      <c r="AV66" s="53">
        <f>$I$13*$AV$13</f>
        <v>0</v>
      </c>
      <c r="AW66" s="53">
        <f>$I$13*$AW$13</f>
        <v>0</v>
      </c>
      <c r="AX66" s="53">
        <f>$I$13*$AX$13</f>
        <v>0</v>
      </c>
      <c r="AY66" s="53">
        <f>$I$13*$AY$13</f>
        <v>0</v>
      </c>
      <c r="AZ66" s="53">
        <f>$I$13*$AZ$13</f>
        <v>0</v>
      </c>
      <c r="BA66" s="53">
        <f>$I$13*$BA$13</f>
        <v>399124.62316662789</v>
      </c>
      <c r="BB66" s="53">
        <f>$I$13*$BB$13</f>
        <v>11491.139734029448</v>
      </c>
      <c r="BC66" s="53">
        <f>$I$13*$BC$13</f>
        <v>87047.485892874887</v>
      </c>
      <c r="BD66" s="53">
        <f>$I$13*$BD$13</f>
        <v>12194.010414030712</v>
      </c>
    </row>
    <row r="67" spans="1:56" ht="11.25" customHeight="1" x14ac:dyDescent="0.25">
      <c r="A67" s="9" t="s">
        <v>38</v>
      </c>
      <c r="B67" s="9" t="s">
        <v>853</v>
      </c>
      <c r="C67" s="9" t="s">
        <v>854</v>
      </c>
      <c r="D67" s="9" t="s">
        <v>855</v>
      </c>
      <c r="E67" s="9" t="s">
        <v>861</v>
      </c>
      <c r="F67" s="9" t="s">
        <v>862</v>
      </c>
      <c r="G67" s="9" t="s">
        <v>863</v>
      </c>
      <c r="L67" s="53">
        <f>$I$14*$L$14</f>
        <v>0</v>
      </c>
      <c r="M67" s="53">
        <f>$I$14*$M$14</f>
        <v>0</v>
      </c>
      <c r="N67" s="53">
        <f ca="1">$I$14*$N$14</f>
        <v>0</v>
      </c>
      <c r="O67" s="53">
        <f>$I$14*$O$14</f>
        <v>0</v>
      </c>
      <c r="P67" s="53">
        <f>$I$14*$P$14</f>
        <v>0</v>
      </c>
      <c r="Q67" s="53">
        <f>$I$14*$Q$14</f>
        <v>0</v>
      </c>
      <c r="R67" s="53">
        <f>$I$14*$R$14</f>
        <v>0</v>
      </c>
      <c r="S67" s="53">
        <f>$I$14*$S$14</f>
        <v>0</v>
      </c>
      <c r="T67" s="53">
        <f>$I$14*$T$14</f>
        <v>0</v>
      </c>
      <c r="U67" s="53">
        <f>$I$14*$U$14</f>
        <v>0</v>
      </c>
      <c r="V67" s="53">
        <f>$I$14*$V$14</f>
        <v>0</v>
      </c>
      <c r="W67" s="53">
        <f>$I$14*$W$14</f>
        <v>0</v>
      </c>
      <c r="X67" s="53">
        <f>$I$14*$X$14</f>
        <v>0</v>
      </c>
      <c r="Y67" s="53">
        <f>$I$14*$Y$14</f>
        <v>0</v>
      </c>
      <c r="Z67" s="53">
        <f>$I$14*$Z$14</f>
        <v>0</v>
      </c>
      <c r="AA67" s="53">
        <f>$I$14*$AA$14</f>
        <v>0</v>
      </c>
      <c r="AB67" s="53">
        <f ca="1">$I$14*$AB$14</f>
        <v>0</v>
      </c>
      <c r="AC67" s="53">
        <f ca="1">$I$14*$AC$14</f>
        <v>0</v>
      </c>
      <c r="AD67" s="53">
        <f>$I$14*$AD$14</f>
        <v>0</v>
      </c>
      <c r="AE67" s="53">
        <f>$I$14*$AE$14</f>
        <v>0</v>
      </c>
      <c r="AF67" s="53">
        <f ca="1">$I$14*$AF$14</f>
        <v>0</v>
      </c>
      <c r="AG67" s="53">
        <f ca="1">$I$14*$AG$14</f>
        <v>0</v>
      </c>
      <c r="AI67" s="53">
        <f>$I$14*$AI$14</f>
        <v>0</v>
      </c>
      <c r="AJ67" s="53">
        <f>$I$14*$AJ$14</f>
        <v>0</v>
      </c>
      <c r="AK67" s="53">
        <f>$I$14*$AK$14</f>
        <v>0</v>
      </c>
      <c r="AL67" s="53">
        <f>$I$14*$AL$14</f>
        <v>0</v>
      </c>
      <c r="AM67" s="53">
        <f>$I$14*$AM$14</f>
        <v>0</v>
      </c>
      <c r="AN67" s="53">
        <f>$I$14*$AN$14</f>
        <v>0</v>
      </c>
      <c r="AO67" s="53">
        <f>$I$14*$AO$14</f>
        <v>0</v>
      </c>
      <c r="AP67" s="53">
        <f>$I$14*$AP$14</f>
        <v>0</v>
      </c>
      <c r="AQ67" s="53">
        <f>$I$14*$AQ$14</f>
        <v>0</v>
      </c>
      <c r="AR67" s="53">
        <f>$I$14*$AR$14</f>
        <v>0</v>
      </c>
      <c r="AS67" s="53">
        <f>$I$14*$AS$14</f>
        <v>0</v>
      </c>
      <c r="AT67" s="53">
        <f>$I$14*$AT$14</f>
        <v>0</v>
      </c>
      <c r="AU67" s="53">
        <f>$I$14*$AU$14</f>
        <v>0</v>
      </c>
      <c r="AV67" s="53">
        <f>$I$14*$AV$14</f>
        <v>0</v>
      </c>
      <c r="AW67" s="53">
        <f>$I$14*$AW$14</f>
        <v>0</v>
      </c>
      <c r="AX67" s="53">
        <f>$I$14*$AX$14</f>
        <v>0</v>
      </c>
      <c r="AY67" s="53">
        <f>$I$14*$AY$14</f>
        <v>0</v>
      </c>
      <c r="AZ67" s="53">
        <f>$I$14*$AZ$14</f>
        <v>0</v>
      </c>
      <c r="BA67" s="53">
        <f>$I$14*$BA$14</f>
        <v>0</v>
      </c>
      <c r="BB67" s="53">
        <f>$I$14*$BB$14</f>
        <v>0</v>
      </c>
      <c r="BC67" s="53">
        <f>$I$14*$BC$14</f>
        <v>0</v>
      </c>
      <c r="BD67" s="53">
        <f>$I$14*$BD$14</f>
        <v>0</v>
      </c>
    </row>
    <row r="68" spans="1:56" ht="11.25" customHeight="1" x14ac:dyDescent="0.25">
      <c r="A68" s="9" t="s">
        <v>38</v>
      </c>
      <c r="B68" s="9" t="s">
        <v>853</v>
      </c>
      <c r="C68" s="9" t="s">
        <v>854</v>
      </c>
      <c r="D68" s="9" t="s">
        <v>855</v>
      </c>
      <c r="E68" s="9" t="s">
        <v>861</v>
      </c>
      <c r="F68" s="9" t="s">
        <v>862</v>
      </c>
      <c r="G68" s="9" t="s">
        <v>864</v>
      </c>
      <c r="L68" s="53">
        <f>$I$15*$L$15</f>
        <v>0</v>
      </c>
      <c r="M68" s="53">
        <f>$I$15*$M$15</f>
        <v>0</v>
      </c>
      <c r="N68" s="53">
        <f ca="1">$I$15*$N$15</f>
        <v>0</v>
      </c>
      <c r="O68" s="53">
        <f>$I$15*$O$15</f>
        <v>0</v>
      </c>
      <c r="P68" s="53">
        <f>$I$15*$P$15</f>
        <v>0</v>
      </c>
      <c r="Q68" s="53">
        <f>$I$15*$Q$15</f>
        <v>0</v>
      </c>
      <c r="R68" s="53">
        <f>$I$15*$R$15</f>
        <v>0</v>
      </c>
      <c r="S68" s="53">
        <f>$I$15*$S$15</f>
        <v>0</v>
      </c>
      <c r="T68" s="53">
        <f>$I$15*$T$15</f>
        <v>0</v>
      </c>
      <c r="U68" s="53">
        <f>$I$15*$U$15</f>
        <v>0</v>
      </c>
      <c r="V68" s="53">
        <f>$I$15*$V$15</f>
        <v>0</v>
      </c>
      <c r="W68" s="53">
        <f>$I$15*$W$15</f>
        <v>0</v>
      </c>
      <c r="X68" s="53">
        <f>$I$15*$X$15</f>
        <v>0</v>
      </c>
      <c r="Y68" s="53">
        <f>$I$15*$Y$15</f>
        <v>0</v>
      </c>
      <c r="Z68" s="53">
        <f>$I$15*$Z$15</f>
        <v>0</v>
      </c>
      <c r="AA68" s="53">
        <f>$I$15*$AA$15</f>
        <v>0</v>
      </c>
      <c r="AB68" s="53">
        <f ca="1">$I$15*$AB$15</f>
        <v>0</v>
      </c>
      <c r="AC68" s="53">
        <f ca="1">$I$15*$AC$15</f>
        <v>0</v>
      </c>
      <c r="AD68" s="53">
        <f>$I$15*$AD$15</f>
        <v>0</v>
      </c>
      <c r="AE68" s="53">
        <f>$I$15*$AE$15</f>
        <v>0</v>
      </c>
      <c r="AF68" s="53">
        <f ca="1">$I$15*$AF$15</f>
        <v>0</v>
      </c>
      <c r="AG68" s="53">
        <f ca="1">$I$15*$AG$15</f>
        <v>0</v>
      </c>
      <c r="AI68" s="53">
        <f>$I$15*$AI$15</f>
        <v>0</v>
      </c>
      <c r="AJ68" s="53">
        <f>$I$15*$AJ$15</f>
        <v>0</v>
      </c>
      <c r="AK68" s="53">
        <f>$I$15*$AK$15</f>
        <v>0</v>
      </c>
      <c r="AL68" s="53">
        <f>$I$15*$AL$15</f>
        <v>0</v>
      </c>
      <c r="AM68" s="53">
        <f>$I$15*$AM$15</f>
        <v>0</v>
      </c>
      <c r="AN68" s="53">
        <f>$I$15*$AN$15</f>
        <v>0</v>
      </c>
      <c r="AO68" s="53">
        <f>$I$15*$AO$15</f>
        <v>0</v>
      </c>
      <c r="AP68" s="53">
        <f>$I$15*$AP$15</f>
        <v>0</v>
      </c>
      <c r="AQ68" s="53">
        <f>$I$15*$AQ$15</f>
        <v>0</v>
      </c>
      <c r="AR68" s="53">
        <f>$I$15*$AR$15</f>
        <v>0</v>
      </c>
      <c r="AS68" s="53">
        <f>$I$15*$AS$15</f>
        <v>0</v>
      </c>
      <c r="AT68" s="53">
        <f>$I$15*$AT$15</f>
        <v>0</v>
      </c>
      <c r="AU68" s="53">
        <f>$I$15*$AU$15</f>
        <v>0</v>
      </c>
      <c r="AV68" s="53">
        <f>$I$15*$AV$15</f>
        <v>0</v>
      </c>
      <c r="AW68" s="53">
        <f>$I$15*$AW$15</f>
        <v>0</v>
      </c>
      <c r="AX68" s="53">
        <f>$I$15*$AX$15</f>
        <v>0</v>
      </c>
      <c r="AY68" s="53">
        <f>$I$15*$AY$15</f>
        <v>0</v>
      </c>
      <c r="AZ68" s="53">
        <f>$I$15*$AZ$15</f>
        <v>0</v>
      </c>
      <c r="BA68" s="53">
        <f>$I$15*$BA$15</f>
        <v>0</v>
      </c>
      <c r="BB68" s="53">
        <f>$I$15*$BB$15</f>
        <v>0</v>
      </c>
      <c r="BC68" s="53">
        <f>$I$15*$BC$15</f>
        <v>0</v>
      </c>
      <c r="BD68" s="53">
        <f>$I$15*$BD$15</f>
        <v>0</v>
      </c>
    </row>
    <row r="69" spans="1:56" ht="11.25" customHeight="1" x14ac:dyDescent="0.25">
      <c r="A69" s="9" t="s">
        <v>90</v>
      </c>
      <c r="B69" s="9" t="s">
        <v>865</v>
      </c>
      <c r="C69" s="9" t="s">
        <v>866</v>
      </c>
      <c r="D69" s="9" t="s">
        <v>867</v>
      </c>
      <c r="E69" s="9" t="s">
        <v>868</v>
      </c>
      <c r="F69" s="9" t="s">
        <v>869</v>
      </c>
      <c r="G69" s="9" t="s">
        <v>870</v>
      </c>
      <c r="L69" s="53">
        <f>$I$16*$L$16</f>
        <v>0</v>
      </c>
      <c r="M69" s="53">
        <f>$I$16*$M$16</f>
        <v>1.1870528615099448E-10</v>
      </c>
      <c r="N69" s="53">
        <f ca="1">$I$16*$N$16</f>
        <v>2.8768336240101638E-10</v>
      </c>
      <c r="O69" s="53">
        <f>$I$16*$O$16</f>
        <v>0</v>
      </c>
      <c r="P69" s="53">
        <f>$I$16*$P$16</f>
        <v>0</v>
      </c>
      <c r="Q69" s="53">
        <f>$I$16*$Q$16</f>
        <v>0</v>
      </c>
      <c r="R69" s="53">
        <f>$I$16*$R$16</f>
        <v>0</v>
      </c>
      <c r="S69" s="53">
        <f>$I$16*$S$16</f>
        <v>0</v>
      </c>
      <c r="T69" s="53">
        <f>$I$16*$T$16</f>
        <v>0</v>
      </c>
      <c r="U69" s="53">
        <f>$I$16*$U$16</f>
        <v>0</v>
      </c>
      <c r="V69" s="53">
        <f>$I$16*$V$16</f>
        <v>0</v>
      </c>
      <c r="W69" s="53">
        <f>$I$16*$W$16</f>
        <v>0</v>
      </c>
      <c r="X69" s="53">
        <f>$I$16*$X$16</f>
        <v>0</v>
      </c>
      <c r="Y69" s="53">
        <f>$I$16*$Y$16</f>
        <v>0</v>
      </c>
      <c r="Z69" s="53">
        <f>$I$16*$Z$16</f>
        <v>0</v>
      </c>
      <c r="AA69" s="53">
        <f>$I$16*$AA$16</f>
        <v>3.5824567493013485E-8</v>
      </c>
      <c r="AB69" s="53">
        <f ca="1">$I$16*$AB$16</f>
        <v>-6.82212410284036E-9</v>
      </c>
      <c r="AC69" s="53">
        <f ca="1">$I$16*$AC$16</f>
        <v>0</v>
      </c>
      <c r="AD69" s="53">
        <f>$I$16*$AD$16</f>
        <v>0</v>
      </c>
      <c r="AE69" s="53">
        <f>$I$16*$AE$16</f>
        <v>0</v>
      </c>
      <c r="AF69" s="53">
        <f ca="1">$I$16*$AF$16</f>
        <v>0</v>
      </c>
      <c r="AG69" s="53">
        <f ca="1">$I$16*$AG$16</f>
        <v>0</v>
      </c>
      <c r="AI69" s="53">
        <f>$I$16*$AI$16</f>
        <v>0</v>
      </c>
      <c r="AJ69" s="53">
        <f>$I$16*$AJ$16</f>
        <v>1.64893843350784E-10</v>
      </c>
      <c r="AK69" s="53">
        <f>$I$16*$AK$16</f>
        <v>5.9927107231340502E-10</v>
      </c>
      <c r="AL69" s="53">
        <f>$I$16*$AL$16</f>
        <v>0</v>
      </c>
      <c r="AM69" s="53">
        <f>$I$16*$AM$16</f>
        <v>0</v>
      </c>
      <c r="AN69" s="53">
        <f>$I$16*$AN$16</f>
        <v>0</v>
      </c>
      <c r="AO69" s="53">
        <f>$I$16*$AO$16</f>
        <v>0</v>
      </c>
      <c r="AP69" s="53">
        <f>$I$16*$AP$16</f>
        <v>0</v>
      </c>
      <c r="AQ69" s="53">
        <f>$I$16*$AQ$16</f>
        <v>0</v>
      </c>
      <c r="AR69" s="53">
        <f>$I$16*$AR$16</f>
        <v>0</v>
      </c>
      <c r="AS69" s="53">
        <f>$I$16*$AS$16</f>
        <v>0</v>
      </c>
      <c r="AT69" s="53">
        <f>$I$16*$AT$16</f>
        <v>0</v>
      </c>
      <c r="AU69" s="53">
        <f>$I$16*$AU$16</f>
        <v>0</v>
      </c>
      <c r="AV69" s="53">
        <f>$I$16*$AV$16</f>
        <v>0</v>
      </c>
      <c r="AW69" s="53">
        <f>$I$16*$AW$16</f>
        <v>0</v>
      </c>
      <c r="AX69" s="53">
        <f>$I$16*$AX$16</f>
        <v>4.7266801564086099E-8</v>
      </c>
      <c r="AY69" s="53">
        <f>$I$16*$AY$16</f>
        <v>0</v>
      </c>
      <c r="AZ69" s="53">
        <f>$I$16*$AZ$16</f>
        <v>0</v>
      </c>
      <c r="BA69" s="53">
        <f>$I$16*$BA$16</f>
        <v>0</v>
      </c>
      <c r="BB69" s="53">
        <f>$I$16*$BB$16</f>
        <v>0</v>
      </c>
      <c r="BC69" s="53">
        <f>$I$16*$BC$16</f>
        <v>0</v>
      </c>
      <c r="BD69" s="53">
        <f>$I$16*$BD$16</f>
        <v>0</v>
      </c>
    </row>
    <row r="70" spans="1:56" ht="11.25" customHeight="1" x14ac:dyDescent="0.25">
      <c r="A70" s="9" t="s">
        <v>90</v>
      </c>
      <c r="B70" s="9" t="s">
        <v>865</v>
      </c>
      <c r="C70" s="9" t="s">
        <v>866</v>
      </c>
      <c r="D70" s="9" t="s">
        <v>867</v>
      </c>
      <c r="E70" s="9" t="s">
        <v>871</v>
      </c>
      <c r="F70" s="9" t="s">
        <v>872</v>
      </c>
      <c r="G70" s="9" t="s">
        <v>873</v>
      </c>
      <c r="L70" s="53">
        <f>$I$17*$L$17</f>
        <v>0</v>
      </c>
      <c r="M70" s="53">
        <f>$I$17*$M$17</f>
        <v>1.1870528615099448E-10</v>
      </c>
      <c r="N70" s="53">
        <f ca="1">$I$17*$N$17</f>
        <v>2.8768336240101638E-10</v>
      </c>
      <c r="O70" s="53">
        <f>$I$17*$O$17</f>
        <v>0</v>
      </c>
      <c r="P70" s="53">
        <f>$I$17*$P$17</f>
        <v>0</v>
      </c>
      <c r="Q70" s="53">
        <f>$I$17*$Q$17</f>
        <v>0</v>
      </c>
      <c r="R70" s="53">
        <f>$I$17*$R$17</f>
        <v>0</v>
      </c>
      <c r="S70" s="53">
        <f>$I$17*$S$17</f>
        <v>0</v>
      </c>
      <c r="T70" s="53">
        <f>$I$17*$T$17</f>
        <v>0</v>
      </c>
      <c r="U70" s="53">
        <f>$I$17*$U$17</f>
        <v>0</v>
      </c>
      <c r="V70" s="53">
        <f>$I$17*$V$17</f>
        <v>0</v>
      </c>
      <c r="W70" s="53">
        <f>$I$17*$W$17</f>
        <v>0</v>
      </c>
      <c r="X70" s="53">
        <f>$I$17*$X$17</f>
        <v>0</v>
      </c>
      <c r="Y70" s="53">
        <f>$I$17*$Y$17</f>
        <v>0</v>
      </c>
      <c r="Z70" s="53">
        <f>$I$17*$Z$17</f>
        <v>0</v>
      </c>
      <c r="AA70" s="53">
        <f>$I$17*$AA$17</f>
        <v>1.1052725276859405E-7</v>
      </c>
      <c r="AB70" s="53">
        <f ca="1">$I$17*$AB$17</f>
        <v>-2.0886290626528651E-8</v>
      </c>
      <c r="AC70" s="53">
        <f ca="1">$I$17*$AC$17</f>
        <v>0</v>
      </c>
      <c r="AD70" s="53">
        <f>$I$17*$AD$17</f>
        <v>0</v>
      </c>
      <c r="AE70" s="53">
        <f>$I$17*$AE$17</f>
        <v>0</v>
      </c>
      <c r="AF70" s="53">
        <f ca="1">$I$17*$AF$17</f>
        <v>0</v>
      </c>
      <c r="AG70" s="53">
        <f ca="1">$I$17*$AG$17</f>
        <v>0</v>
      </c>
      <c r="AI70" s="53">
        <f>$I$17*$AI$17</f>
        <v>0</v>
      </c>
      <c r="AJ70" s="53">
        <f>$I$17*$AJ$17</f>
        <v>1.64893843350784E-10</v>
      </c>
      <c r="AK70" s="53">
        <f>$I$17*$AK$17</f>
        <v>5.9927107231340502E-10</v>
      </c>
      <c r="AL70" s="53">
        <f>$I$17*$AL$17</f>
        <v>0</v>
      </c>
      <c r="AM70" s="53">
        <f>$I$17*$AM$17</f>
        <v>0</v>
      </c>
      <c r="AN70" s="53">
        <f>$I$17*$AN$17</f>
        <v>0</v>
      </c>
      <c r="AO70" s="53">
        <f>$I$17*$AO$17</f>
        <v>0</v>
      </c>
      <c r="AP70" s="53">
        <f>$I$17*$AP$17</f>
        <v>0</v>
      </c>
      <c r="AQ70" s="53">
        <f>$I$17*$AQ$17</f>
        <v>0</v>
      </c>
      <c r="AR70" s="53">
        <f>$I$17*$AR$17</f>
        <v>0</v>
      </c>
      <c r="AS70" s="53">
        <f>$I$17*$AS$17</f>
        <v>0</v>
      </c>
      <c r="AT70" s="53">
        <f>$I$17*$AT$17</f>
        <v>0</v>
      </c>
      <c r="AU70" s="53">
        <f>$I$17*$AU$17</f>
        <v>0</v>
      </c>
      <c r="AV70" s="53">
        <f>$I$17*$AV$17</f>
        <v>0</v>
      </c>
      <c r="AW70" s="53">
        <f>$I$17*$AW$17</f>
        <v>0</v>
      </c>
      <c r="AX70" s="53">
        <f>$I$17*$AX$17</f>
        <v>1.2760094446983101E-7</v>
      </c>
      <c r="AY70" s="53">
        <f>$I$17*$AY$17</f>
        <v>0</v>
      </c>
      <c r="AZ70" s="53">
        <f>$I$17*$AZ$17</f>
        <v>0</v>
      </c>
      <c r="BA70" s="53">
        <f>$I$17*$BA$17</f>
        <v>0</v>
      </c>
      <c r="BB70" s="53">
        <f>$I$17*$BB$17</f>
        <v>0</v>
      </c>
      <c r="BC70" s="53">
        <f>$I$17*$BC$17</f>
        <v>0</v>
      </c>
      <c r="BD70" s="53">
        <f>$I$17*$BD$17</f>
        <v>0</v>
      </c>
    </row>
    <row r="71" spans="1:56" ht="11.25" customHeight="1" x14ac:dyDescent="0.25">
      <c r="A71" s="9" t="s">
        <v>22</v>
      </c>
      <c r="B71" s="9" t="s">
        <v>874</v>
      </c>
      <c r="C71" s="9" t="s">
        <v>875</v>
      </c>
      <c r="D71" s="9" t="s">
        <v>876</v>
      </c>
      <c r="E71" s="9" t="s">
        <v>877</v>
      </c>
      <c r="F71" s="9" t="s">
        <v>878</v>
      </c>
      <c r="G71" s="9" t="s">
        <v>879</v>
      </c>
      <c r="L71" s="53">
        <f>$I$18*$L$18</f>
        <v>6.8163760167306515</v>
      </c>
      <c r="M71" s="53">
        <f>$I$18*$M$18</f>
        <v>0.86445394827298438</v>
      </c>
      <c r="N71" s="53">
        <f ca="1">$I$18*$N$18</f>
        <v>8.4567898986488004</v>
      </c>
      <c r="O71" s="53">
        <f>$I$18*$O$18</f>
        <v>0</v>
      </c>
      <c r="P71" s="53">
        <f>$I$18*$P$18</f>
        <v>0</v>
      </c>
      <c r="Q71" s="53">
        <f>$I$18*$Q$18</f>
        <v>115.25760209595326</v>
      </c>
      <c r="R71" s="53">
        <f>$I$18*$R$18</f>
        <v>17.384730834604333</v>
      </c>
      <c r="S71" s="53">
        <f>$I$18*$S$18</f>
        <v>0</v>
      </c>
      <c r="T71" s="53">
        <f>$I$18*$T$18</f>
        <v>139.20225827539082</v>
      </c>
      <c r="U71" s="53">
        <f>$I$18*$U$18</f>
        <v>45.297150915804529</v>
      </c>
      <c r="V71" s="53">
        <f>$I$18*$V$18</f>
        <v>74.889350990859057</v>
      </c>
      <c r="W71" s="53">
        <f>$I$18*$W$18</f>
        <v>0</v>
      </c>
      <c r="X71" s="53">
        <f>$I$18*$X$18</f>
        <v>0</v>
      </c>
      <c r="Y71" s="53">
        <f>$I$18*$Y$18</f>
        <v>0</v>
      </c>
      <c r="Z71" s="53">
        <f>$I$18*$Z$18</f>
        <v>0</v>
      </c>
      <c r="AA71" s="53">
        <f>$I$18*$AA$18</f>
        <v>736.34580878641816</v>
      </c>
      <c r="AB71" s="53">
        <f ca="1">$I$18*$AB$18</f>
        <v>-214.00468360977538</v>
      </c>
      <c r="AC71" s="53">
        <f ca="1">$I$18*$AC$18</f>
        <v>0</v>
      </c>
      <c r="AD71" s="53">
        <f>$I$18*$AD$18</f>
        <v>19.295517063527118</v>
      </c>
      <c r="AE71" s="53">
        <f>$I$18*$AE$18</f>
        <v>0.66176317910929106</v>
      </c>
      <c r="AF71" s="53">
        <f ca="1">$I$18*$AF$18</f>
        <v>2.8408635689556547</v>
      </c>
      <c r="AG71" s="53">
        <f ca="1">$I$18*$AG$18</f>
        <v>0.34305557245278906</v>
      </c>
      <c r="AI71" s="53">
        <f>$I$18*$AI$18</f>
        <v>7.0433105785414485</v>
      </c>
      <c r="AJ71" s="53">
        <f>$I$18*$AJ$18</f>
        <v>0.8454385534366391</v>
      </c>
      <c r="AK71" s="53">
        <f>$I$18*$AK$18</f>
        <v>12.61403463135265</v>
      </c>
      <c r="AL71" s="53">
        <f>$I$18*$AL$18</f>
        <v>0</v>
      </c>
      <c r="AM71" s="53">
        <f>$I$18*$AM$18</f>
        <v>0</v>
      </c>
      <c r="AN71" s="53">
        <f>$I$18*$AN$18</f>
        <v>65.628635887728649</v>
      </c>
      <c r="AO71" s="53">
        <f>$I$18*$AO$18</f>
        <v>10.605537969823969</v>
      </c>
      <c r="AP71" s="53">
        <f>$I$18*$AP$18</f>
        <v>0</v>
      </c>
      <c r="AQ71" s="53">
        <f>$I$18*$AQ$18</f>
        <v>99.80024093350093</v>
      </c>
      <c r="AR71" s="53">
        <f>$I$18*$AR$18</f>
        <v>45.352040034841181</v>
      </c>
      <c r="AS71" s="53">
        <f>$I$18*$AS$18</f>
        <v>42.524793718267958</v>
      </c>
      <c r="AT71" s="53">
        <f>$I$18*$AT$18</f>
        <v>0</v>
      </c>
      <c r="AU71" s="53">
        <f>$I$18*$AU$18</f>
        <v>0</v>
      </c>
      <c r="AV71" s="53">
        <f>$I$18*$AV$18</f>
        <v>0</v>
      </c>
      <c r="AW71" s="53">
        <f>$I$18*$AW$18</f>
        <v>0</v>
      </c>
      <c r="AX71" s="53">
        <f>$I$18*$AX$18</f>
        <v>809.45056776143736</v>
      </c>
      <c r="AY71" s="53">
        <f>$I$18*$AY$18</f>
        <v>0</v>
      </c>
      <c r="AZ71" s="53">
        <f>$I$18*$AZ$18</f>
        <v>0</v>
      </c>
      <c r="BA71" s="53">
        <f>$I$18*$BA$18</f>
        <v>21.333966453767207</v>
      </c>
      <c r="BB71" s="53">
        <f>$I$18*$BB$18</f>
        <v>0.61422316582805447</v>
      </c>
      <c r="BC71" s="53">
        <f>$I$18*$BC$18</f>
        <v>2.4663676924755245</v>
      </c>
      <c r="BD71" s="53">
        <f>$I$18*$BD$18</f>
        <v>0.34550007985166947</v>
      </c>
    </row>
    <row r="72" spans="1:56" ht="11.25" customHeight="1" x14ac:dyDescent="0.25">
      <c r="A72" s="9" t="s">
        <v>22</v>
      </c>
      <c r="B72" s="9" t="s">
        <v>874</v>
      </c>
      <c r="C72" s="9" t="s">
        <v>875</v>
      </c>
      <c r="D72" s="9" t="s">
        <v>876</v>
      </c>
      <c r="E72" s="9" t="s">
        <v>877</v>
      </c>
      <c r="F72" s="9" t="s">
        <v>878</v>
      </c>
      <c r="G72" s="9" t="s">
        <v>880</v>
      </c>
      <c r="L72" s="53">
        <f>$I$19*$L$19</f>
        <v>4.0045436616876362</v>
      </c>
      <c r="M72" s="53">
        <f>$I$19*$M$19</f>
        <v>0.50785689798811784</v>
      </c>
      <c r="N72" s="53">
        <f ca="1">$I$19*$N$19</f>
        <v>2.6288368167587479</v>
      </c>
      <c r="O72" s="53">
        <f>$I$19*$O$19</f>
        <v>0</v>
      </c>
      <c r="P72" s="53">
        <f>$I$19*$P$19</f>
        <v>0</v>
      </c>
      <c r="Q72" s="53">
        <f>$I$19*$Q$19</f>
        <v>67.712535048211905</v>
      </c>
      <c r="R72" s="53">
        <f>$I$19*$R$19</f>
        <v>10.213332348888132</v>
      </c>
      <c r="S72" s="53">
        <f>$I$19*$S$19</f>
        <v>0</v>
      </c>
      <c r="T72" s="53">
        <f>$I$19*$T$19</f>
        <v>40.889843330055733</v>
      </c>
      <c r="U72" s="53">
        <f>$I$19*$U$19</f>
        <v>13.305814996458812</v>
      </c>
      <c r="V72" s="53">
        <f>$I$19*$V$19</f>
        <v>21.998352024856995</v>
      </c>
      <c r="W72" s="53">
        <f>$I$19*$W$19</f>
        <v>0</v>
      </c>
      <c r="X72" s="53">
        <f>$I$19*$X$19</f>
        <v>0</v>
      </c>
      <c r="Y72" s="53">
        <f>$I$19*$Y$19</f>
        <v>0</v>
      </c>
      <c r="Z72" s="53">
        <f>$I$19*$Z$19</f>
        <v>0</v>
      </c>
      <c r="AA72" s="53">
        <f>$I$19*$AA$19</f>
        <v>216.29740892728881</v>
      </c>
      <c r="AB72" s="53">
        <f ca="1">$I$19*$AB$19</f>
        <v>-70.653109926060282</v>
      </c>
      <c r="AC72" s="53">
        <f ca="1">$I$19*$AC$19</f>
        <v>0</v>
      </c>
      <c r="AD72" s="53">
        <f>$I$19*$AD$19</f>
        <v>11.33589760395791</v>
      </c>
      <c r="AE72" s="53">
        <f>$I$19*$AE$19</f>
        <v>0.38877836814398975</v>
      </c>
      <c r="AF72" s="53">
        <f ca="1">$I$19*$AF$19</f>
        <v>1.6689751520247187</v>
      </c>
      <c r="AG72" s="53">
        <f ca="1">$I$19*$AG$19</f>
        <v>0.20154126106020612</v>
      </c>
      <c r="AI72" s="53">
        <f>$I$19*$AI$19</f>
        <v>4.1378651449636079</v>
      </c>
      <c r="AJ72" s="53">
        <f>$I$19*$AJ$19</f>
        <v>0.49668556901807998</v>
      </c>
      <c r="AK72" s="53">
        <f>$I$19*$AK$19</f>
        <v>3.9155467779100563</v>
      </c>
      <c r="AL72" s="53">
        <f>$I$19*$AL$19</f>
        <v>0</v>
      </c>
      <c r="AM72" s="53">
        <f>$I$19*$AM$19</f>
        <v>0</v>
      </c>
      <c r="AN72" s="53">
        <f>$I$19*$AN$19</f>
        <v>38.556079832500608</v>
      </c>
      <c r="AO72" s="53">
        <f>$I$19*$AO$19</f>
        <v>6.2306333675847085</v>
      </c>
      <c r="AP72" s="53">
        <f>$I$19*$AP$19</f>
        <v>0</v>
      </c>
      <c r="AQ72" s="53">
        <f>$I$19*$AQ$19</f>
        <v>29.284756608548779</v>
      </c>
      <c r="AR72" s="53">
        <f>$I$19*$AR$19</f>
        <v>13.307780038371842</v>
      </c>
      <c r="AS72" s="53">
        <f>$I$19*$AS$19</f>
        <v>12.478190625444926</v>
      </c>
      <c r="AT72" s="53">
        <f>$I$19*$AT$19</f>
        <v>0</v>
      </c>
      <c r="AU72" s="53">
        <f>$I$19*$AU$19</f>
        <v>0</v>
      </c>
      <c r="AV72" s="53">
        <f>$I$19*$AV$19</f>
        <v>0</v>
      </c>
      <c r="AW72" s="53">
        <f>$I$19*$AW$19</f>
        <v>0</v>
      </c>
      <c r="AX72" s="53">
        <f>$I$19*$AX$19</f>
        <v>237.51987318452069</v>
      </c>
      <c r="AY72" s="53">
        <f>$I$19*$AY$19</f>
        <v>0</v>
      </c>
      <c r="AZ72" s="53">
        <f>$I$19*$AZ$19</f>
        <v>0</v>
      </c>
      <c r="BA72" s="53">
        <f>$I$19*$BA$19</f>
        <v>12.533463519529603</v>
      </c>
      <c r="BB72" s="53">
        <f>$I$19*$BB$19</f>
        <v>0.36084914909934668</v>
      </c>
      <c r="BC72" s="53">
        <f>$I$19*$BC$19</f>
        <v>1.4489630686528923</v>
      </c>
      <c r="BD72" s="53">
        <f>$I$19*$BD$19</f>
        <v>0.20297738145410868</v>
      </c>
    </row>
    <row r="73" spans="1:56" ht="11.25" customHeight="1" x14ac:dyDescent="0.25">
      <c r="A73" s="9" t="s">
        <v>22</v>
      </c>
      <c r="B73" s="9" t="s">
        <v>874</v>
      </c>
      <c r="C73" s="9" t="s">
        <v>875</v>
      </c>
      <c r="D73" s="9" t="s">
        <v>876</v>
      </c>
      <c r="E73" s="9" t="s">
        <v>877</v>
      </c>
      <c r="F73" s="9" t="s">
        <v>878</v>
      </c>
      <c r="G73" s="9" t="s">
        <v>881</v>
      </c>
      <c r="L73" s="53">
        <f>$I$20*$L$20</f>
        <v>73.342475581649495</v>
      </c>
      <c r="M73" s="53">
        <f>$I$20*$M$20</f>
        <v>9.3013050390786773</v>
      </c>
      <c r="N73" s="53">
        <f ca="1">$I$20*$N$20</f>
        <v>13.869647940163818</v>
      </c>
      <c r="O73" s="53">
        <f>$I$20*$O$20</f>
        <v>0</v>
      </c>
      <c r="P73" s="53">
        <f>$I$20*$P$20</f>
        <v>0</v>
      </c>
      <c r="Q73" s="53">
        <f>$I$20*$Q$20</f>
        <v>1240.1425400496587</v>
      </c>
      <c r="R73" s="53">
        <f>$I$20*$R$20</f>
        <v>187.05529061204376</v>
      </c>
      <c r="S73" s="53">
        <f>$I$20*$S$20</f>
        <v>0</v>
      </c>
      <c r="T73" s="53">
        <f>$I$20*$T$20</f>
        <v>149.77821074355583</v>
      </c>
      <c r="U73" s="53">
        <f>$I$20*$U$20</f>
        <v>48.738461482057197</v>
      </c>
      <c r="V73" s="53">
        <f>$I$20*$V$20</f>
        <v>80.579148713272474</v>
      </c>
      <c r="W73" s="53">
        <f>$I$20*$W$20</f>
        <v>0</v>
      </c>
      <c r="X73" s="53">
        <f>$I$20*$X$20</f>
        <v>0</v>
      </c>
      <c r="Y73" s="53">
        <f>$I$20*$Y$20</f>
        <v>0</v>
      </c>
      <c r="Z73" s="53">
        <f>$I$20*$Z$20</f>
        <v>0</v>
      </c>
      <c r="AA73" s="53">
        <f>$I$20*$AA$20</f>
        <v>792.2891705526381</v>
      </c>
      <c r="AB73" s="53">
        <f ca="1">$I$20*$AB$20</f>
        <v>-487.08845685393453</v>
      </c>
      <c r="AC73" s="53">
        <f ca="1">$I$20*$AC$20</f>
        <v>0</v>
      </c>
      <c r="AD73" s="53">
        <f>$I$20*$AD$20</f>
        <v>207.61486537619211</v>
      </c>
      <c r="AE73" s="53">
        <f>$I$20*$AE$20</f>
        <v>7.120403816563071</v>
      </c>
      <c r="AF73" s="53">
        <f ca="1">$I$20*$AF$20</f>
        <v>30.566970839860126</v>
      </c>
      <c r="AG73" s="53">
        <f ca="1">$I$20*$AG$20</f>
        <v>3.691190873861923</v>
      </c>
      <c r="AI73" s="53">
        <f>$I$20*$AI$20</f>
        <v>75.78423385868534</v>
      </c>
      <c r="AJ73" s="53">
        <f>$I$20*$AJ$20</f>
        <v>9.0967042177570576</v>
      </c>
      <c r="AK73" s="53">
        <f>$I$20*$AK$20</f>
        <v>21.369602099485373</v>
      </c>
      <c r="AL73" s="53">
        <f>$I$20*$AL$20</f>
        <v>0</v>
      </c>
      <c r="AM73" s="53">
        <f>$I$20*$AM$20</f>
        <v>0</v>
      </c>
      <c r="AN73" s="53">
        <f>$I$20*$AN$20</f>
        <v>706.1474621174649</v>
      </c>
      <c r="AO73" s="53">
        <f>$I$20*$AO$20</f>
        <v>114.11289630631993</v>
      </c>
      <c r="AP73" s="53">
        <f>$I$20*$AP$20</f>
        <v>0</v>
      </c>
      <c r="AQ73" s="53">
        <f>$I$20*$AQ$20</f>
        <v>113.63220932876328</v>
      </c>
      <c r="AR73" s="53">
        <f>$I$20*$AR$20</f>
        <v>51.637555915773213</v>
      </c>
      <c r="AS73" s="53">
        <f>$I$20*$AS$20</f>
        <v>48.420262178534244</v>
      </c>
      <c r="AT73" s="53">
        <f>$I$20*$AT$20</f>
        <v>0</v>
      </c>
      <c r="AU73" s="53">
        <f>$I$20*$AU$20</f>
        <v>0</v>
      </c>
      <c r="AV73" s="53">
        <f>$I$20*$AV$20</f>
        <v>0</v>
      </c>
      <c r="AW73" s="53">
        <f>$I$20*$AW$20</f>
        <v>0</v>
      </c>
      <c r="AX73" s="53">
        <f>$I$20*$AX$20</f>
        <v>921.63800814398951</v>
      </c>
      <c r="AY73" s="53">
        <f>$I$20*$AY$20</f>
        <v>0</v>
      </c>
      <c r="AZ73" s="53">
        <f>$I$20*$AZ$20</f>
        <v>0</v>
      </c>
      <c r="BA73" s="53">
        <f>$I$20*$BA$20</f>
        <v>229.54806334842181</v>
      </c>
      <c r="BB73" s="53">
        <f>$I$20*$BB$20</f>
        <v>6.6088853418380342</v>
      </c>
      <c r="BC73" s="53">
        <f>$I$20*$BC$20</f>
        <v>26.537490275883524</v>
      </c>
      <c r="BD73" s="53">
        <f>$I$20*$BD$20</f>
        <v>3.7174931529280273</v>
      </c>
    </row>
    <row r="74" spans="1:56" ht="11.25" customHeight="1" x14ac:dyDescent="0.25">
      <c r="A74" s="9" t="s">
        <v>22</v>
      </c>
      <c r="B74" s="9" t="s">
        <v>882</v>
      </c>
      <c r="C74" s="9" t="s">
        <v>883</v>
      </c>
      <c r="D74" s="9" t="s">
        <v>884</v>
      </c>
      <c r="E74" s="9" t="s">
        <v>885</v>
      </c>
      <c r="F74" s="9" t="s">
        <v>886</v>
      </c>
      <c r="G74" s="9" t="s">
        <v>887</v>
      </c>
      <c r="L74" s="53">
        <f>$I$21*$L$21</f>
        <v>390643.16621926421</v>
      </c>
      <c r="M74" s="53">
        <f>$I$21*$M$21</f>
        <v>49541.431777713296</v>
      </c>
      <c r="N74" s="53">
        <f ca="1">$I$21*$N$21</f>
        <v>155015.6344907457</v>
      </c>
      <c r="O74" s="53">
        <f>$I$21*$O$21</f>
        <v>0</v>
      </c>
      <c r="P74" s="53">
        <f>$I$21*$P$21</f>
        <v>0</v>
      </c>
      <c r="Q74" s="53">
        <f>$I$21*$Q$21</f>
        <v>6605356.6445118878</v>
      </c>
      <c r="R74" s="53">
        <f>$I$21*$R$21</f>
        <v>996310.39725956821</v>
      </c>
      <c r="S74" s="53">
        <f>$I$21*$S$21</f>
        <v>0</v>
      </c>
      <c r="T74" s="53">
        <f>$I$21*$T$21</f>
        <v>2216004.6683206288</v>
      </c>
      <c r="U74" s="53">
        <f>$I$21*$U$21</f>
        <v>721097.48587829911</v>
      </c>
      <c r="V74" s="53">
        <f>$I$21*$V$21</f>
        <v>1192188.8991836279</v>
      </c>
      <c r="W74" s="53">
        <f>$I$21*$W$21</f>
        <v>0</v>
      </c>
      <c r="X74" s="53">
        <f>$I$21*$X$21</f>
        <v>0</v>
      </c>
      <c r="Y74" s="53">
        <f>$I$21*$Y$21</f>
        <v>0</v>
      </c>
      <c r="Z74" s="53">
        <f>$I$21*$Z$21</f>
        <v>0</v>
      </c>
      <c r="AA74" s="53">
        <f>$I$21*$AA$21</f>
        <v>11722115.871745409</v>
      </c>
      <c r="AB74" s="53">
        <f ca="1">$I$21*$AB$21</f>
        <v>-4504523.052882757</v>
      </c>
      <c r="AC74" s="53">
        <f ca="1">$I$21*$AC$21</f>
        <v>0</v>
      </c>
      <c r="AD74" s="53">
        <f>$I$21*$AD$21</f>
        <v>1105816.6188357333</v>
      </c>
      <c r="AE74" s="53">
        <f>$I$21*$AE$21</f>
        <v>37925.323212813397</v>
      </c>
      <c r="AF74" s="53">
        <f ca="1">$I$21*$AF$21</f>
        <v>162808.49774864293</v>
      </c>
      <c r="AG74" s="53">
        <f ca="1">$I$21*$AG$21</f>
        <v>19660.346595197989</v>
      </c>
      <c r="AI74" s="53">
        <f>$I$21*$AI$21</f>
        <v>403648.67464966193</v>
      </c>
      <c r="AJ74" s="53">
        <f>$I$21*$AJ$21</f>
        <v>48451.668826322857</v>
      </c>
      <c r="AK74" s="53">
        <f>$I$21*$AK$21</f>
        <v>209369.77634111204</v>
      </c>
      <c r="AL74" s="53">
        <f>$I$21*$AL$21</f>
        <v>0</v>
      </c>
      <c r="AM74" s="53">
        <f>$I$21*$AM$21</f>
        <v>0</v>
      </c>
      <c r="AN74" s="53">
        <f>$I$21*$AN$21</f>
        <v>3761144.9331590785</v>
      </c>
      <c r="AO74" s="53">
        <f>$I$21*$AO$21</f>
        <v>607798.17924096365</v>
      </c>
      <c r="AP74" s="53">
        <f>$I$21*$AP$21</f>
        <v>0</v>
      </c>
      <c r="AQ74" s="53">
        <f>$I$21*$AQ$21</f>
        <v>1407531.513007981</v>
      </c>
      <c r="AR74" s="53">
        <f>$I$21*$AR$21</f>
        <v>639622.77209190291</v>
      </c>
      <c r="AS74" s="53">
        <f>$I$21*$AS$21</f>
        <v>599756.91341277387</v>
      </c>
      <c r="AT74" s="53">
        <f>$I$21*$AT$21</f>
        <v>0</v>
      </c>
      <c r="AU74" s="53">
        <f>$I$21*$AU$21</f>
        <v>0</v>
      </c>
      <c r="AV74" s="53">
        <f>$I$21*$AV$21</f>
        <v>0</v>
      </c>
      <c r="AW74" s="53">
        <f>$I$21*$AW$21</f>
        <v>0</v>
      </c>
      <c r="AX74" s="53">
        <f>$I$21*$AX$21</f>
        <v>11416072.611925397</v>
      </c>
      <c r="AY74" s="53">
        <f>$I$21*$AY$21</f>
        <v>0</v>
      </c>
      <c r="AZ74" s="53">
        <f>$I$21*$AZ$21</f>
        <v>0</v>
      </c>
      <c r="BA74" s="53">
        <f>$I$21*$BA$21</f>
        <v>1222639.1535707009</v>
      </c>
      <c r="BB74" s="53">
        <f>$I$21*$BB$21</f>
        <v>35200.828369115581</v>
      </c>
      <c r="BC74" s="53">
        <f>$I$21*$BC$21</f>
        <v>141346.32275049429</v>
      </c>
      <c r="BD74" s="53">
        <f>$I$21*$BD$21</f>
        <v>19800.440115244601</v>
      </c>
    </row>
    <row r="75" spans="1:56" ht="11.25" customHeight="1" x14ac:dyDescent="0.25">
      <c r="A75" s="9" t="s">
        <v>22</v>
      </c>
      <c r="B75" s="9" t="s">
        <v>882</v>
      </c>
      <c r="C75" s="9" t="s">
        <v>883</v>
      </c>
      <c r="D75" s="9" t="s">
        <v>888</v>
      </c>
      <c r="E75" s="9" t="s">
        <v>889</v>
      </c>
      <c r="F75" s="9" t="s">
        <v>890</v>
      </c>
      <c r="G75" s="9" t="s">
        <v>891</v>
      </c>
      <c r="L75" s="53">
        <f>$I$22*$L$22</f>
        <v>0</v>
      </c>
      <c r="M75" s="53">
        <f>$I$22*$M$22</f>
        <v>70.805635999139824</v>
      </c>
      <c r="N75" s="53">
        <f ca="1">$I$22*$N$22</f>
        <v>220.7367895322127</v>
      </c>
      <c r="O75" s="53">
        <f>$I$22*$O$22</f>
        <v>0</v>
      </c>
      <c r="P75" s="53">
        <f>$I$22*$P$22</f>
        <v>0</v>
      </c>
      <c r="Q75" s="53">
        <f>$I$22*$Q$22</f>
        <v>0</v>
      </c>
      <c r="R75" s="53">
        <f>$I$22*$R$22</f>
        <v>0</v>
      </c>
      <c r="S75" s="53">
        <f>$I$22*$S$22</f>
        <v>0</v>
      </c>
      <c r="T75" s="53">
        <f>$I$22*$T$22</f>
        <v>3167.1595730523586</v>
      </c>
      <c r="U75" s="53">
        <f>$I$22*$U$22</f>
        <v>1030.6073981487664</v>
      </c>
      <c r="V75" s="53">
        <f>$I$22*$V$22</f>
        <v>1703.9009614531467</v>
      </c>
      <c r="W75" s="53">
        <f>$I$22*$W$22</f>
        <v>0</v>
      </c>
      <c r="X75" s="53">
        <f>$I$22*$X$22</f>
        <v>0</v>
      </c>
      <c r="Y75" s="53">
        <f>$I$22*$Y$22</f>
        <v>0</v>
      </c>
      <c r="Z75" s="53">
        <f>$I$22*$Z$22</f>
        <v>0</v>
      </c>
      <c r="AA75" s="53">
        <f>$I$22*$AA$22</f>
        <v>16753.489751338293</v>
      </c>
      <c r="AB75" s="53">
        <f ca="1">$I$22*$AB$22</f>
        <v>-4612.5602000178105</v>
      </c>
      <c r="AC75" s="53">
        <f ca="1">$I$22*$AC$22</f>
        <v>0</v>
      </c>
      <c r="AD75" s="53">
        <f>$I$22*$AD$22</f>
        <v>1580.4559171078627</v>
      </c>
      <c r="AE75" s="53">
        <f>$I$22*$AE$22</f>
        <v>54.203654076954116</v>
      </c>
      <c r="AF75" s="53">
        <f ca="1">$I$22*$AF$22</f>
        <v>232.68926261317833</v>
      </c>
      <c r="AG75" s="53">
        <f ca="1">$I$22*$AG$22</f>
        <v>28.098972812948666</v>
      </c>
      <c r="AI75" s="53">
        <f>$I$22*$AI$22</f>
        <v>0</v>
      </c>
      <c r="AJ75" s="53">
        <f>$I$22*$AJ$22</f>
        <v>69.2481243146227</v>
      </c>
      <c r="AK75" s="53">
        <f>$I$22*$AK$22</f>
        <v>297.98523696729438</v>
      </c>
      <c r="AL75" s="53">
        <f>$I$22*$AL$22</f>
        <v>0</v>
      </c>
      <c r="AM75" s="53">
        <f>$I$22*$AM$22</f>
        <v>0</v>
      </c>
      <c r="AN75" s="53">
        <f>$I$22*$AN$22</f>
        <v>0</v>
      </c>
      <c r="AO75" s="53">
        <f>$I$22*$AO$22</f>
        <v>0</v>
      </c>
      <c r="AP75" s="53">
        <f>$I$22*$AP$22</f>
        <v>0</v>
      </c>
      <c r="AQ75" s="53">
        <f>$I$22*$AQ$22</f>
        <v>2011.6730661828674</v>
      </c>
      <c r="AR75" s="53">
        <f>$I$22*$AR$22</f>
        <v>914.16205693662869</v>
      </c>
      <c r="AS75" s="53">
        <f>$I$22*$AS$22</f>
        <v>857.18494955118069</v>
      </c>
      <c r="AT75" s="53">
        <f>$I$22*$AT$22</f>
        <v>0</v>
      </c>
      <c r="AU75" s="53">
        <f>$I$22*$AU$22</f>
        <v>0</v>
      </c>
      <c r="AV75" s="53">
        <f>$I$22*$AV$22</f>
        <v>0</v>
      </c>
      <c r="AW75" s="53">
        <f>$I$22*$AW$22</f>
        <v>0</v>
      </c>
      <c r="AX75" s="53">
        <f>$I$22*$AX$22</f>
        <v>16316.086412814782</v>
      </c>
      <c r="AY75" s="53">
        <f>$I$22*$AY$22</f>
        <v>0</v>
      </c>
      <c r="AZ75" s="53">
        <f>$I$22*$AZ$22</f>
        <v>0</v>
      </c>
      <c r="BA75" s="53">
        <f>$I$22*$BA$22</f>
        <v>1747.4210930045761</v>
      </c>
      <c r="BB75" s="53">
        <f>$I$22*$BB$22</f>
        <v>50.309749858562505</v>
      </c>
      <c r="BC75" s="53">
        <f>$I$22*$BC$22</f>
        <v>202.01507948728002</v>
      </c>
      <c r="BD75" s="53">
        <f>$I$22*$BD$22</f>
        <v>28.299197360974851</v>
      </c>
    </row>
    <row r="76" spans="1:56" ht="11.25" customHeight="1" x14ac:dyDescent="0.25">
      <c r="A76" s="9" t="s">
        <v>22</v>
      </c>
      <c r="B76" s="9" t="s">
        <v>882</v>
      </c>
      <c r="C76" s="9" t="s">
        <v>883</v>
      </c>
      <c r="D76" s="9" t="s">
        <v>892</v>
      </c>
      <c r="E76" s="9" t="s">
        <v>893</v>
      </c>
      <c r="F76" s="9" t="s">
        <v>894</v>
      </c>
      <c r="G76" s="9" t="s">
        <v>895</v>
      </c>
      <c r="L76" s="53">
        <f>$I$23*$L$23</f>
        <v>0</v>
      </c>
      <c r="M76" s="53">
        <f>$I$23*$M$23</f>
        <v>257.02308440670686</v>
      </c>
      <c r="N76" s="53">
        <f ca="1">$I$23*$N$23</f>
        <v>801.27026171041837</v>
      </c>
      <c r="O76" s="53">
        <f>$I$23*$O$23</f>
        <v>0</v>
      </c>
      <c r="P76" s="53">
        <f>$I$23*$P$23</f>
        <v>0</v>
      </c>
      <c r="Q76" s="53">
        <f>$I$23*$Q$23</f>
        <v>0</v>
      </c>
      <c r="R76" s="53">
        <f>$I$23*$R$23</f>
        <v>0</v>
      </c>
      <c r="S76" s="53">
        <f>$I$23*$S$23</f>
        <v>0</v>
      </c>
      <c r="T76" s="53">
        <f>$I$23*$T$23</f>
        <v>11496.727778619705</v>
      </c>
      <c r="U76" s="53">
        <f>$I$23*$U$23</f>
        <v>3741.0848521688999</v>
      </c>
      <c r="V76" s="53">
        <f>$I$23*$V$23</f>
        <v>6185.1274189749729</v>
      </c>
      <c r="W76" s="53">
        <f>$I$23*$W$23</f>
        <v>0</v>
      </c>
      <c r="X76" s="53">
        <f>$I$23*$X$23</f>
        <v>0</v>
      </c>
      <c r="Y76" s="53">
        <f>$I$23*$Y$23</f>
        <v>0</v>
      </c>
      <c r="Z76" s="53">
        <f>$I$23*$Z$23</f>
        <v>0</v>
      </c>
      <c r="AA76" s="53">
        <f>$I$23*$AA$23</f>
        <v>60814.842628027982</v>
      </c>
      <c r="AB76" s="53">
        <f ca="1">$I$23*$AB$23</f>
        <v>-16743.504000650413</v>
      </c>
      <c r="AC76" s="53">
        <f ca="1">$I$23*$AC$23</f>
        <v>0</v>
      </c>
      <c r="AD76" s="53">
        <f>$I$23*$AD$23</f>
        <v>5737.0243039527013</v>
      </c>
      <c r="AE76" s="53">
        <f>$I$23*$AE$23</f>
        <v>196.75821225787965</v>
      </c>
      <c r="AF76" s="53">
        <f ca="1">$I$23*$AF$23</f>
        <v>844.65750700816909</v>
      </c>
      <c r="AG76" s="53">
        <f ca="1">$I$23*$AG$23</f>
        <v>101.99872593661897</v>
      </c>
      <c r="AI76" s="53">
        <f>$I$23*$AI$23</f>
        <v>0</v>
      </c>
      <c r="AJ76" s="53">
        <f>$I$23*$AJ$23</f>
        <v>251.36934722173251</v>
      </c>
      <c r="AK76" s="53">
        <f>$I$23*$AK$23</f>
        <v>1081.6806265807404</v>
      </c>
      <c r="AL76" s="53">
        <f>$I$23*$AL$23</f>
        <v>0</v>
      </c>
      <c r="AM76" s="53">
        <f>$I$23*$AM$23</f>
        <v>0</v>
      </c>
      <c r="AN76" s="53">
        <f>$I$23*$AN$23</f>
        <v>0</v>
      </c>
      <c r="AO76" s="53">
        <f>$I$23*$AO$23</f>
        <v>0</v>
      </c>
      <c r="AP76" s="53">
        <f>$I$23*$AP$23</f>
        <v>0</v>
      </c>
      <c r="AQ76" s="53">
        <f>$I$23*$AQ$23</f>
        <v>7302.334185579517</v>
      </c>
      <c r="AR76" s="53">
        <f>$I$23*$AR$23</f>
        <v>3318.3905236623573</v>
      </c>
      <c r="AS76" s="53">
        <f>$I$23*$AS$23</f>
        <v>3111.5647297247433</v>
      </c>
      <c r="AT76" s="53">
        <f>$I$23*$AT$23</f>
        <v>0</v>
      </c>
      <c r="AU76" s="53">
        <f>$I$23*$AU$23</f>
        <v>0</v>
      </c>
      <c r="AV76" s="53">
        <f>$I$23*$AV$23</f>
        <v>0</v>
      </c>
      <c r="AW76" s="53">
        <f>$I$23*$AW$23</f>
        <v>0</v>
      </c>
      <c r="AX76" s="53">
        <f>$I$23*$AX$23</f>
        <v>59227.076998771088</v>
      </c>
      <c r="AY76" s="53">
        <f>$I$23*$AY$23</f>
        <v>0</v>
      </c>
      <c r="AZ76" s="53">
        <f>$I$23*$AZ$23</f>
        <v>0</v>
      </c>
      <c r="BA76" s="53">
        <f>$I$23*$BA$23</f>
        <v>6343.104651822252</v>
      </c>
      <c r="BB76" s="53">
        <f>$I$23*$BB$23</f>
        <v>182.62341552210182</v>
      </c>
      <c r="BC76" s="53">
        <f>$I$23*$BC$23</f>
        <v>733.31081761793178</v>
      </c>
      <c r="BD76" s="53">
        <f>$I$23*$BD$23</f>
        <v>102.72553715978511</v>
      </c>
    </row>
    <row r="77" spans="1:56" ht="11.25" customHeight="1" x14ac:dyDescent="0.25">
      <c r="A77" s="9" t="s">
        <v>22</v>
      </c>
      <c r="B77" s="9" t="s">
        <v>882</v>
      </c>
      <c r="C77" s="9" t="s">
        <v>883</v>
      </c>
      <c r="D77" s="9" t="s">
        <v>896</v>
      </c>
      <c r="E77" s="9" t="s">
        <v>897</v>
      </c>
      <c r="F77" s="9" t="s">
        <v>898</v>
      </c>
      <c r="G77" s="9" t="s">
        <v>899</v>
      </c>
      <c r="L77" s="53">
        <f>$I$24*$L$24</f>
        <v>0</v>
      </c>
      <c r="M77" s="53">
        <f>$I$24*$M$24</f>
        <v>379.30773675528377</v>
      </c>
      <c r="N77" s="53">
        <f ca="1">$I$24*$N$24</f>
        <v>1182.4930441569393</v>
      </c>
      <c r="O77" s="53">
        <f>$I$24*$O$24</f>
        <v>0</v>
      </c>
      <c r="P77" s="53">
        <f>$I$24*$P$24</f>
        <v>0</v>
      </c>
      <c r="Q77" s="53">
        <f>$I$24*$Q$24</f>
        <v>0</v>
      </c>
      <c r="R77" s="53">
        <f>$I$24*$R$24</f>
        <v>0</v>
      </c>
      <c r="S77" s="53">
        <f>$I$24*$S$24</f>
        <v>0</v>
      </c>
      <c r="T77" s="53">
        <f>$I$24*$T$24</f>
        <v>16966.560820270228</v>
      </c>
      <c r="U77" s="53">
        <f>$I$24*$U$24</f>
        <v>5520.9921379677917</v>
      </c>
      <c r="V77" s="53">
        <f>$I$24*$V$24</f>
        <v>9127.8442488927958</v>
      </c>
      <c r="W77" s="53">
        <f>$I$24*$W$24</f>
        <v>0</v>
      </c>
      <c r="X77" s="53">
        <f>$I$24*$X$24</f>
        <v>0</v>
      </c>
      <c r="Y77" s="53">
        <f>$I$24*$Y$24</f>
        <v>0</v>
      </c>
      <c r="Z77" s="53">
        <f>$I$24*$Z$24</f>
        <v>0</v>
      </c>
      <c r="AA77" s="53">
        <f>$I$24*$AA$24</f>
        <v>89748.904739873688</v>
      </c>
      <c r="AB77" s="53">
        <f ca="1">$I$24*$AB$24</f>
        <v>-24709.611677487224</v>
      </c>
      <c r="AC77" s="53">
        <f ca="1">$I$24*$AC$24</f>
        <v>0</v>
      </c>
      <c r="AD77" s="53">
        <f>$I$24*$AD$24</f>
        <v>8466.5457558627477</v>
      </c>
      <c r="AE77" s="53">
        <f>$I$24*$AE$24</f>
        <v>290.37046361740954</v>
      </c>
      <c r="AF77" s="53">
        <f ca="1">$I$24*$AF$24</f>
        <v>1246.5227707315951</v>
      </c>
      <c r="AG77" s="53">
        <f ca="1">$I$24*$AG$24</f>
        <v>150.52696910959585</v>
      </c>
      <c r="AI77" s="53">
        <f>$I$24*$AI$24</f>
        <v>0</v>
      </c>
      <c r="AJ77" s="53">
        <f>$I$24*$AJ$24</f>
        <v>370.96410388358242</v>
      </c>
      <c r="AK77" s="53">
        <f>$I$24*$AK$24</f>
        <v>1596.3150987292111</v>
      </c>
      <c r="AL77" s="53">
        <f>$I$24*$AL$24</f>
        <v>0</v>
      </c>
      <c r="AM77" s="53">
        <f>$I$24*$AM$24</f>
        <v>0</v>
      </c>
      <c r="AN77" s="53">
        <f>$I$24*$AN$24</f>
        <v>0</v>
      </c>
      <c r="AO77" s="53">
        <f>$I$24*$AO$24</f>
        <v>0</v>
      </c>
      <c r="AP77" s="53">
        <f>$I$24*$AP$24</f>
        <v>0</v>
      </c>
      <c r="AQ77" s="53">
        <f>$I$24*$AQ$24</f>
        <v>10776.587867025928</v>
      </c>
      <c r="AR77" s="53">
        <f>$I$24*$AR$24</f>
        <v>4897.1912468719338</v>
      </c>
      <c r="AS77" s="53">
        <f>$I$24*$AS$24</f>
        <v>4591.963317706809</v>
      </c>
      <c r="AT77" s="53">
        <f>$I$24*$AT$24</f>
        <v>0</v>
      </c>
      <c r="AU77" s="53">
        <f>$I$24*$AU$24</f>
        <v>0</v>
      </c>
      <c r="AV77" s="53">
        <f>$I$24*$AV$24</f>
        <v>0</v>
      </c>
      <c r="AW77" s="53">
        <f>$I$24*$AW$24</f>
        <v>0</v>
      </c>
      <c r="AX77" s="53">
        <f>$I$24*$AX$24</f>
        <v>87405.723041928315</v>
      </c>
      <c r="AY77" s="53">
        <f>$I$24*$AY$24</f>
        <v>0</v>
      </c>
      <c r="AZ77" s="53">
        <f>$I$24*$AZ$24</f>
        <v>0</v>
      </c>
      <c r="BA77" s="53">
        <f>$I$24*$BA$24</f>
        <v>9360.9827889133412</v>
      </c>
      <c r="BB77" s="53">
        <f>$I$24*$BB$24</f>
        <v>269.51071177169553</v>
      </c>
      <c r="BC77" s="53">
        <f>$I$24*$BC$24</f>
        <v>1082.2003292462482</v>
      </c>
      <c r="BD77" s="53">
        <f>$I$24*$BD$24</f>
        <v>151.59957751262672</v>
      </c>
    </row>
    <row r="78" spans="1:56" ht="11.25" customHeight="1" x14ac:dyDescent="0.25">
      <c r="A78" s="9" t="s">
        <v>22</v>
      </c>
      <c r="B78" s="9" t="s">
        <v>882</v>
      </c>
      <c r="C78" s="9" t="s">
        <v>883</v>
      </c>
      <c r="D78" s="9" t="s">
        <v>900</v>
      </c>
      <c r="E78" s="9" t="s">
        <v>901</v>
      </c>
      <c r="F78" s="9" t="s">
        <v>902</v>
      </c>
      <c r="G78" s="9" t="s">
        <v>903</v>
      </c>
      <c r="L78" s="53">
        <f>$I$25*$L$25</f>
        <v>0</v>
      </c>
      <c r="M78" s="53">
        <f>$I$25*$M$25</f>
        <v>141.15443590902458</v>
      </c>
      <c r="N78" s="53">
        <f ca="1">$I$25*$N$25</f>
        <v>440.0493911412234</v>
      </c>
      <c r="O78" s="53">
        <f>$I$25*$O$25</f>
        <v>0</v>
      </c>
      <c r="P78" s="53">
        <f>$I$25*$P$25</f>
        <v>0</v>
      </c>
      <c r="Q78" s="53">
        <f>$I$25*$Q$25</f>
        <v>0</v>
      </c>
      <c r="R78" s="53">
        <f>$I$25*$R$25</f>
        <v>0</v>
      </c>
      <c r="S78" s="53">
        <f>$I$25*$S$25</f>
        <v>0</v>
      </c>
      <c r="T78" s="53">
        <f>$I$25*$T$25</f>
        <v>6313.8847163734808</v>
      </c>
      <c r="U78" s="53">
        <f>$I$25*$U$25</f>
        <v>2054.565344644654</v>
      </c>
      <c r="V78" s="53">
        <f>$I$25*$V$25</f>
        <v>3396.8083990049245</v>
      </c>
      <c r="W78" s="53">
        <f>$I$25*$W$25</f>
        <v>0</v>
      </c>
      <c r="X78" s="53">
        <f>$I$25*$X$25</f>
        <v>0</v>
      </c>
      <c r="Y78" s="53">
        <f>$I$25*$Y$25</f>
        <v>0</v>
      </c>
      <c r="Z78" s="53">
        <f>$I$25*$Z$25</f>
        <v>0</v>
      </c>
      <c r="AA78" s="53">
        <f>$I$25*$AA$25</f>
        <v>33398.886430262566</v>
      </c>
      <c r="AB78" s="53">
        <f ca="1">$I$25*$AB$25</f>
        <v>-9195.3602837186772</v>
      </c>
      <c r="AC78" s="53">
        <f ca="1">$I$25*$AC$25</f>
        <v>0</v>
      </c>
      <c r="AD78" s="53">
        <f>$I$25*$AD$25</f>
        <v>3150.7147744729059</v>
      </c>
      <c r="AE78" s="53">
        <f>$I$25*$AE$25</f>
        <v>108.05758761256389</v>
      </c>
      <c r="AF78" s="53">
        <f ca="1">$I$25*$AF$25</f>
        <v>463.87722026321592</v>
      </c>
      <c r="AG78" s="53">
        <f ca="1">$I$25*$AG$25</f>
        <v>56.016651797082524</v>
      </c>
      <c r="AI78" s="53">
        <f>$I$25*$AI$25</f>
        <v>0</v>
      </c>
      <c r="AJ78" s="53">
        <f>$I$25*$AJ$25</f>
        <v>138.0494615641517</v>
      </c>
      <c r="AK78" s="53">
        <f>$I$25*$AK$25</f>
        <v>594.04788107328602</v>
      </c>
      <c r="AL78" s="53">
        <f>$I$25*$AL$25</f>
        <v>0</v>
      </c>
      <c r="AM78" s="53">
        <f>$I$25*$AM$25</f>
        <v>0</v>
      </c>
      <c r="AN78" s="53">
        <f>$I$25*$AN$25</f>
        <v>0</v>
      </c>
      <c r="AO78" s="53">
        <f>$I$25*$AO$25</f>
        <v>0</v>
      </c>
      <c r="AP78" s="53">
        <f>$I$25*$AP$25</f>
        <v>0</v>
      </c>
      <c r="AQ78" s="53">
        <f>$I$25*$AQ$25</f>
        <v>4010.366870991309</v>
      </c>
      <c r="AR78" s="53">
        <f>$I$25*$AR$25</f>
        <v>1822.4259644795936</v>
      </c>
      <c r="AS78" s="53">
        <f>$I$25*$AS$25</f>
        <v>1708.839364497378</v>
      </c>
      <c r="AT78" s="53">
        <f>$I$25*$AT$25</f>
        <v>0</v>
      </c>
      <c r="AU78" s="53">
        <f>$I$25*$AU$25</f>
        <v>0</v>
      </c>
      <c r="AV78" s="53">
        <f>$I$25*$AV$25</f>
        <v>0</v>
      </c>
      <c r="AW78" s="53">
        <f>$I$25*$AW$25</f>
        <v>0</v>
      </c>
      <c r="AX78" s="53">
        <f>$I$25*$AX$25</f>
        <v>32526.90186797774</v>
      </c>
      <c r="AY78" s="53">
        <f>$I$25*$AY$25</f>
        <v>0</v>
      </c>
      <c r="AZ78" s="53">
        <f>$I$25*$AZ$25</f>
        <v>0</v>
      </c>
      <c r="BA78" s="53">
        <f>$I$25*$BA$25</f>
        <v>3483.5678713709849</v>
      </c>
      <c r="BB78" s="53">
        <f>$I$25*$BB$25</f>
        <v>100.29490254272673</v>
      </c>
      <c r="BC78" s="53">
        <f>$I$25*$BC$25</f>
        <v>402.72676302900885</v>
      </c>
      <c r="BD78" s="53">
        <f>$I$25*$BD$25</f>
        <v>56.415809049650754</v>
      </c>
    </row>
    <row r="79" spans="1:56" ht="11.25" customHeight="1" x14ac:dyDescent="0.25">
      <c r="A79" s="9" t="s">
        <v>22</v>
      </c>
      <c r="B79" s="9" t="s">
        <v>904</v>
      </c>
      <c r="C79" s="9" t="s">
        <v>905</v>
      </c>
      <c r="D79" s="9" t="s">
        <v>906</v>
      </c>
      <c r="E79" s="9" t="s">
        <v>907</v>
      </c>
      <c r="F79" s="9" t="s">
        <v>908</v>
      </c>
      <c r="G79" s="9" t="s">
        <v>909</v>
      </c>
      <c r="L79" s="53">
        <f>$I$26*$L$26</f>
        <v>0</v>
      </c>
      <c r="M79" s="53">
        <f>$I$26*$M$26</f>
        <v>0</v>
      </c>
      <c r="N79" s="53">
        <f ca="1">$I$26*$N$26</f>
        <v>0</v>
      </c>
      <c r="O79" s="53">
        <f>$I$26*$O$26</f>
        <v>0</v>
      </c>
      <c r="P79" s="53">
        <f>$I$26*$P$26</f>
        <v>0</v>
      </c>
      <c r="Q79" s="53">
        <f>$I$26*$Q$26</f>
        <v>0</v>
      </c>
      <c r="R79" s="53">
        <f>$I$26*$R$26</f>
        <v>0</v>
      </c>
      <c r="S79" s="53">
        <f>$I$26*$S$26</f>
        <v>0</v>
      </c>
      <c r="T79" s="53">
        <f>$I$26*$T$26</f>
        <v>0</v>
      </c>
      <c r="U79" s="53">
        <f>$I$26*$U$26</f>
        <v>0</v>
      </c>
      <c r="V79" s="53">
        <f>$I$26*$V$26</f>
        <v>0</v>
      </c>
      <c r="W79" s="53">
        <f>$I$26*$W$26</f>
        <v>0</v>
      </c>
      <c r="X79" s="53">
        <f>$I$26*$X$26</f>
        <v>0</v>
      </c>
      <c r="Y79" s="53">
        <f>$I$26*$Y$26</f>
        <v>0</v>
      </c>
      <c r="Z79" s="53">
        <f>$I$26*$Z$26</f>
        <v>0</v>
      </c>
      <c r="AA79" s="53">
        <f>$I$26*$AA$26</f>
        <v>0</v>
      </c>
      <c r="AB79" s="53">
        <f ca="1">$I$26*$AB$26</f>
        <v>0</v>
      </c>
      <c r="AC79" s="53">
        <f ca="1">$I$26*$AC$26</f>
        <v>0</v>
      </c>
      <c r="AD79" s="53">
        <f>$I$26*$AD$26</f>
        <v>0</v>
      </c>
      <c r="AE79" s="53">
        <f>$I$26*$AE$26</f>
        <v>0</v>
      </c>
      <c r="AF79" s="53">
        <f ca="1">$I$26*$AF$26</f>
        <v>0</v>
      </c>
      <c r="AG79" s="53">
        <f ca="1">$I$26*$AG$26</f>
        <v>0</v>
      </c>
      <c r="AI79" s="53">
        <f>$I$26*$AI$26</f>
        <v>0</v>
      </c>
      <c r="AJ79" s="53">
        <f>$I$26*$AJ$26</f>
        <v>0</v>
      </c>
      <c r="AK79" s="53">
        <f>$I$26*$AK$26</f>
        <v>0</v>
      </c>
      <c r="AL79" s="53">
        <f>$I$26*$AL$26</f>
        <v>0</v>
      </c>
      <c r="AM79" s="53">
        <f>$I$26*$AM$26</f>
        <v>0</v>
      </c>
      <c r="AN79" s="53">
        <f>$I$26*$AN$26</f>
        <v>0</v>
      </c>
      <c r="AO79" s="53">
        <f>$I$26*$AO$26</f>
        <v>0</v>
      </c>
      <c r="AP79" s="53">
        <f>$I$26*$AP$26</f>
        <v>0</v>
      </c>
      <c r="AQ79" s="53">
        <f>$I$26*$AQ$26</f>
        <v>0</v>
      </c>
      <c r="AR79" s="53">
        <f>$I$26*$AR$26</f>
        <v>0</v>
      </c>
      <c r="AS79" s="53">
        <f>$I$26*$AS$26</f>
        <v>0</v>
      </c>
      <c r="AT79" s="53">
        <f>$I$26*$AT$26</f>
        <v>0</v>
      </c>
      <c r="AU79" s="53">
        <f>$I$26*$AU$26</f>
        <v>0</v>
      </c>
      <c r="AV79" s="53">
        <f>$I$26*$AV$26</f>
        <v>0</v>
      </c>
      <c r="AW79" s="53">
        <f>$I$26*$AW$26</f>
        <v>0</v>
      </c>
      <c r="AX79" s="53">
        <f>$I$26*$AX$26</f>
        <v>0</v>
      </c>
      <c r="AY79" s="53">
        <f>$I$26*$AY$26</f>
        <v>0</v>
      </c>
      <c r="AZ79" s="53">
        <f>$I$26*$AZ$26</f>
        <v>0</v>
      </c>
      <c r="BA79" s="53">
        <f>$I$26*$BA$26</f>
        <v>0</v>
      </c>
      <c r="BB79" s="53">
        <f>$I$26*$BB$26</f>
        <v>0</v>
      </c>
      <c r="BC79" s="53">
        <f>$I$26*$BC$26</f>
        <v>0</v>
      </c>
      <c r="BD79" s="53">
        <f>$I$26*$BD$26</f>
        <v>0</v>
      </c>
    </row>
    <row r="80" spans="1:56" ht="11.25" customHeight="1" x14ac:dyDescent="0.25">
      <c r="A80" s="9" t="s">
        <v>22</v>
      </c>
      <c r="B80" s="9" t="s">
        <v>904</v>
      </c>
      <c r="C80" s="9" t="s">
        <v>905</v>
      </c>
      <c r="D80" s="9" t="s">
        <v>910</v>
      </c>
      <c r="E80" s="9" t="s">
        <v>911</v>
      </c>
      <c r="F80" s="9" t="s">
        <v>912</v>
      </c>
      <c r="G80" s="9" t="s">
        <v>913</v>
      </c>
      <c r="L80" s="53">
        <f>$I$27*$L$27</f>
        <v>0</v>
      </c>
      <c r="M80" s="53">
        <f>$I$27*$M$27</f>
        <v>0</v>
      </c>
      <c r="N80" s="53">
        <f ca="1">$I$27*$N$27</f>
        <v>0</v>
      </c>
      <c r="O80" s="53">
        <f>$I$27*$O$27</f>
        <v>0</v>
      </c>
      <c r="P80" s="53">
        <f>$I$27*$P$27</f>
        <v>0</v>
      </c>
      <c r="Q80" s="53">
        <f>$I$27*$Q$27</f>
        <v>0</v>
      </c>
      <c r="R80" s="53">
        <f>$I$27*$R$27</f>
        <v>0</v>
      </c>
      <c r="S80" s="53">
        <f>$I$27*$S$27</f>
        <v>0</v>
      </c>
      <c r="T80" s="53">
        <f>$I$27*$T$27</f>
        <v>0</v>
      </c>
      <c r="U80" s="53">
        <f>$I$27*$U$27</f>
        <v>0</v>
      </c>
      <c r="V80" s="53">
        <f>$I$27*$V$27</f>
        <v>0</v>
      </c>
      <c r="W80" s="53">
        <f>$I$27*$W$27</f>
        <v>0</v>
      </c>
      <c r="X80" s="53">
        <f>$I$27*$X$27</f>
        <v>0</v>
      </c>
      <c r="Y80" s="53">
        <f>$I$27*$Y$27</f>
        <v>0</v>
      </c>
      <c r="Z80" s="53">
        <f>$I$27*$Z$27</f>
        <v>0</v>
      </c>
      <c r="AA80" s="53">
        <f>$I$27*$AA$27</f>
        <v>0</v>
      </c>
      <c r="AB80" s="53">
        <f ca="1">$I$27*$AB$27</f>
        <v>0</v>
      </c>
      <c r="AC80" s="53">
        <f ca="1">$I$27*$AC$27</f>
        <v>0</v>
      </c>
      <c r="AD80" s="53">
        <f>$I$27*$AD$27</f>
        <v>0</v>
      </c>
      <c r="AE80" s="53">
        <f>$I$27*$AE$27</f>
        <v>0</v>
      </c>
      <c r="AF80" s="53">
        <f ca="1">$I$27*$AF$27</f>
        <v>0</v>
      </c>
      <c r="AG80" s="53">
        <f ca="1">$I$27*$AG$27</f>
        <v>0</v>
      </c>
      <c r="AI80" s="53">
        <f>$I$27*$AI$27</f>
        <v>0</v>
      </c>
      <c r="AJ80" s="53">
        <f>$I$27*$AJ$27</f>
        <v>0</v>
      </c>
      <c r="AK80" s="53">
        <f>$I$27*$AK$27</f>
        <v>0</v>
      </c>
      <c r="AL80" s="53">
        <f>$I$27*$AL$27</f>
        <v>0</v>
      </c>
      <c r="AM80" s="53">
        <f>$I$27*$AM$27</f>
        <v>0</v>
      </c>
      <c r="AN80" s="53">
        <f>$I$27*$AN$27</f>
        <v>0</v>
      </c>
      <c r="AO80" s="53">
        <f>$I$27*$AO$27</f>
        <v>0</v>
      </c>
      <c r="AP80" s="53">
        <f>$I$27*$AP$27</f>
        <v>0</v>
      </c>
      <c r="AQ80" s="53">
        <f>$I$27*$AQ$27</f>
        <v>0</v>
      </c>
      <c r="AR80" s="53">
        <f>$I$27*$AR$27</f>
        <v>0</v>
      </c>
      <c r="AS80" s="53">
        <f>$I$27*$AS$27</f>
        <v>0</v>
      </c>
      <c r="AT80" s="53">
        <f>$I$27*$AT$27</f>
        <v>0</v>
      </c>
      <c r="AU80" s="53">
        <f>$I$27*$AU$27</f>
        <v>0</v>
      </c>
      <c r="AV80" s="53">
        <f>$I$27*$AV$27</f>
        <v>0</v>
      </c>
      <c r="AW80" s="53">
        <f>$I$27*$AW$27</f>
        <v>0</v>
      </c>
      <c r="AX80" s="53">
        <f>$I$27*$AX$27</f>
        <v>0</v>
      </c>
      <c r="AY80" s="53">
        <f>$I$27*$AY$27</f>
        <v>0</v>
      </c>
      <c r="AZ80" s="53">
        <f>$I$27*$AZ$27</f>
        <v>0</v>
      </c>
      <c r="BA80" s="53">
        <f>$I$27*$BA$27</f>
        <v>0</v>
      </c>
      <c r="BB80" s="53">
        <f>$I$27*$BB$27</f>
        <v>0</v>
      </c>
      <c r="BC80" s="53">
        <f>$I$27*$BC$27</f>
        <v>0</v>
      </c>
      <c r="BD80" s="53">
        <f>$I$27*$BD$27</f>
        <v>0</v>
      </c>
    </row>
    <row r="81" spans="1:56" ht="11.25" customHeight="1" x14ac:dyDescent="0.25">
      <c r="A81" s="9" t="s">
        <v>22</v>
      </c>
      <c r="B81" s="9" t="s">
        <v>904</v>
      </c>
      <c r="C81" s="9" t="s">
        <v>905</v>
      </c>
      <c r="D81" s="9" t="s">
        <v>914</v>
      </c>
      <c r="E81" s="9" t="s">
        <v>915</v>
      </c>
      <c r="F81" s="9" t="s">
        <v>916</v>
      </c>
      <c r="G81" s="9" t="s">
        <v>917</v>
      </c>
      <c r="L81" s="53">
        <f>$I$28*$L$28</f>
        <v>0</v>
      </c>
      <c r="M81" s="53">
        <f>$I$28*$M$28</f>
        <v>0</v>
      </c>
      <c r="N81" s="53">
        <f ca="1">$I$28*$N$28</f>
        <v>0</v>
      </c>
      <c r="O81" s="53">
        <f>$I$28*$O$28</f>
        <v>0</v>
      </c>
      <c r="P81" s="53">
        <f>$I$28*$P$28</f>
        <v>0</v>
      </c>
      <c r="Q81" s="53">
        <f>$I$28*$Q$28</f>
        <v>0</v>
      </c>
      <c r="R81" s="53">
        <f>$I$28*$R$28</f>
        <v>0</v>
      </c>
      <c r="S81" s="53">
        <f>$I$28*$S$28</f>
        <v>0</v>
      </c>
      <c r="T81" s="53">
        <f>$I$28*$T$28</f>
        <v>0</v>
      </c>
      <c r="U81" s="53">
        <f>$I$28*$U$28</f>
        <v>0</v>
      </c>
      <c r="V81" s="53">
        <f>$I$28*$V$28</f>
        <v>0</v>
      </c>
      <c r="W81" s="53">
        <f>$I$28*$W$28</f>
        <v>0</v>
      </c>
      <c r="X81" s="53">
        <f>$I$28*$X$28</f>
        <v>0</v>
      </c>
      <c r="Y81" s="53">
        <f>$I$28*$Y$28</f>
        <v>0</v>
      </c>
      <c r="Z81" s="53">
        <f>$I$28*$Z$28</f>
        <v>0</v>
      </c>
      <c r="AA81" s="53">
        <f>$I$28*$AA$28</f>
        <v>0</v>
      </c>
      <c r="AB81" s="53">
        <f ca="1">$I$28*$AB$28</f>
        <v>0</v>
      </c>
      <c r="AC81" s="53">
        <f ca="1">$I$28*$AC$28</f>
        <v>0</v>
      </c>
      <c r="AD81" s="53">
        <f>$I$28*$AD$28</f>
        <v>0</v>
      </c>
      <c r="AE81" s="53">
        <f>$I$28*$AE$28</f>
        <v>0</v>
      </c>
      <c r="AF81" s="53">
        <f ca="1">$I$28*$AF$28</f>
        <v>0</v>
      </c>
      <c r="AG81" s="53">
        <f ca="1">$I$28*$AG$28</f>
        <v>0</v>
      </c>
      <c r="AI81" s="53">
        <f>$I$28*$AI$28</f>
        <v>0</v>
      </c>
      <c r="AJ81" s="53">
        <f>$I$28*$AJ$28</f>
        <v>0</v>
      </c>
      <c r="AK81" s="53">
        <f>$I$28*$AK$28</f>
        <v>0</v>
      </c>
      <c r="AL81" s="53">
        <f>$I$28*$AL$28</f>
        <v>0</v>
      </c>
      <c r="AM81" s="53">
        <f>$I$28*$AM$28</f>
        <v>0</v>
      </c>
      <c r="AN81" s="53">
        <f>$I$28*$AN$28</f>
        <v>0</v>
      </c>
      <c r="AO81" s="53">
        <f>$I$28*$AO$28</f>
        <v>0</v>
      </c>
      <c r="AP81" s="53">
        <f>$I$28*$AP$28</f>
        <v>0</v>
      </c>
      <c r="AQ81" s="53">
        <f>$I$28*$AQ$28</f>
        <v>0</v>
      </c>
      <c r="AR81" s="53">
        <f>$I$28*$AR$28</f>
        <v>0</v>
      </c>
      <c r="AS81" s="53">
        <f>$I$28*$AS$28</f>
        <v>0</v>
      </c>
      <c r="AT81" s="53">
        <f>$I$28*$AT$28</f>
        <v>0</v>
      </c>
      <c r="AU81" s="53">
        <f>$I$28*$AU$28</f>
        <v>0</v>
      </c>
      <c r="AV81" s="53">
        <f>$I$28*$AV$28</f>
        <v>0</v>
      </c>
      <c r="AW81" s="53">
        <f>$I$28*$AW$28</f>
        <v>0</v>
      </c>
      <c r="AX81" s="53">
        <f>$I$28*$AX$28</f>
        <v>0</v>
      </c>
      <c r="AY81" s="53">
        <f>$I$28*$AY$28</f>
        <v>0</v>
      </c>
      <c r="AZ81" s="53">
        <f>$I$28*$AZ$28</f>
        <v>0</v>
      </c>
      <c r="BA81" s="53">
        <f>$I$28*$BA$28</f>
        <v>0</v>
      </c>
      <c r="BB81" s="53">
        <f>$I$28*$BB$28</f>
        <v>0</v>
      </c>
      <c r="BC81" s="53">
        <f>$I$28*$BC$28</f>
        <v>0</v>
      </c>
      <c r="BD81" s="53">
        <f>$I$28*$BD$28</f>
        <v>0</v>
      </c>
    </row>
    <row r="82" spans="1:56" ht="11.25" customHeight="1" x14ac:dyDescent="0.25">
      <c r="A82" s="9" t="s">
        <v>22</v>
      </c>
      <c r="B82" s="9" t="s">
        <v>904</v>
      </c>
      <c r="C82" s="9" t="s">
        <v>905</v>
      </c>
      <c r="D82" s="9" t="s">
        <v>918</v>
      </c>
      <c r="E82" s="9" t="s">
        <v>919</v>
      </c>
      <c r="F82" s="9" t="s">
        <v>920</v>
      </c>
      <c r="G82" s="9" t="s">
        <v>921</v>
      </c>
      <c r="L82" s="53">
        <f>$I$29*$L$29</f>
        <v>0</v>
      </c>
      <c r="M82" s="53">
        <f>$I$29*$M$29</f>
        <v>0</v>
      </c>
      <c r="N82" s="53">
        <f ca="1">$I$29*$N$29</f>
        <v>0</v>
      </c>
      <c r="O82" s="53">
        <f>$I$29*$O$29</f>
        <v>0</v>
      </c>
      <c r="P82" s="53">
        <f>$I$29*$P$29</f>
        <v>0</v>
      </c>
      <c r="Q82" s="53">
        <f>$I$29*$Q$29</f>
        <v>0</v>
      </c>
      <c r="R82" s="53">
        <f>$I$29*$R$29</f>
        <v>0</v>
      </c>
      <c r="S82" s="53">
        <f>$I$29*$S$29</f>
        <v>0</v>
      </c>
      <c r="T82" s="53">
        <f>$I$29*$T$29</f>
        <v>0</v>
      </c>
      <c r="U82" s="53">
        <f>$I$29*$U$29</f>
        <v>0</v>
      </c>
      <c r="V82" s="53">
        <f>$I$29*$V$29</f>
        <v>0</v>
      </c>
      <c r="W82" s="53">
        <f>$I$29*$W$29</f>
        <v>0</v>
      </c>
      <c r="X82" s="53">
        <f>$I$29*$X$29</f>
        <v>0</v>
      </c>
      <c r="Y82" s="53">
        <f>$I$29*$Y$29</f>
        <v>0</v>
      </c>
      <c r="Z82" s="53">
        <f>$I$29*$Z$29</f>
        <v>0</v>
      </c>
      <c r="AA82" s="53">
        <f>$I$29*$AA$29</f>
        <v>0</v>
      </c>
      <c r="AB82" s="53">
        <f ca="1">$I$29*$AB$29</f>
        <v>0</v>
      </c>
      <c r="AC82" s="53">
        <f ca="1">$I$29*$AC$29</f>
        <v>0</v>
      </c>
      <c r="AD82" s="53">
        <f>$I$29*$AD$29</f>
        <v>0</v>
      </c>
      <c r="AE82" s="53">
        <f>$I$29*$AE$29</f>
        <v>0</v>
      </c>
      <c r="AF82" s="53">
        <f ca="1">$I$29*$AF$29</f>
        <v>0</v>
      </c>
      <c r="AG82" s="53">
        <f ca="1">$I$29*$AG$29</f>
        <v>0</v>
      </c>
      <c r="AI82" s="53">
        <f>$I$29*$AI$29</f>
        <v>0</v>
      </c>
      <c r="AJ82" s="53">
        <f>$I$29*$AJ$29</f>
        <v>0</v>
      </c>
      <c r="AK82" s="53">
        <f>$I$29*$AK$29</f>
        <v>0</v>
      </c>
      <c r="AL82" s="53">
        <f>$I$29*$AL$29</f>
        <v>0</v>
      </c>
      <c r="AM82" s="53">
        <f>$I$29*$AM$29</f>
        <v>0</v>
      </c>
      <c r="AN82" s="53">
        <f>$I$29*$AN$29</f>
        <v>0</v>
      </c>
      <c r="AO82" s="53">
        <f>$I$29*$AO$29</f>
        <v>0</v>
      </c>
      <c r="AP82" s="53">
        <f>$I$29*$AP$29</f>
        <v>0</v>
      </c>
      <c r="AQ82" s="53">
        <f>$I$29*$AQ$29</f>
        <v>0</v>
      </c>
      <c r="AR82" s="53">
        <f>$I$29*$AR$29</f>
        <v>0</v>
      </c>
      <c r="AS82" s="53">
        <f>$I$29*$AS$29</f>
        <v>0</v>
      </c>
      <c r="AT82" s="53">
        <f>$I$29*$AT$29</f>
        <v>0</v>
      </c>
      <c r="AU82" s="53">
        <f>$I$29*$AU$29</f>
        <v>0</v>
      </c>
      <c r="AV82" s="53">
        <f>$I$29*$AV$29</f>
        <v>0</v>
      </c>
      <c r="AW82" s="53">
        <f>$I$29*$AW$29</f>
        <v>0</v>
      </c>
      <c r="AX82" s="53">
        <f>$I$29*$AX$29</f>
        <v>0</v>
      </c>
      <c r="AY82" s="53">
        <f>$I$29*$AY$29</f>
        <v>0</v>
      </c>
      <c r="AZ82" s="53">
        <f>$I$29*$AZ$29</f>
        <v>0</v>
      </c>
      <c r="BA82" s="53">
        <f>$I$29*$BA$29</f>
        <v>0</v>
      </c>
      <c r="BB82" s="53">
        <f>$I$29*$BB$29</f>
        <v>0</v>
      </c>
      <c r="BC82" s="53">
        <f>$I$29*$BC$29</f>
        <v>0</v>
      </c>
      <c r="BD82" s="53">
        <f>$I$29*$BD$29</f>
        <v>0</v>
      </c>
    </row>
    <row r="83" spans="1:56" ht="11.25" customHeight="1" x14ac:dyDescent="0.25">
      <c r="A83" s="9" t="s">
        <v>22</v>
      </c>
      <c r="B83" s="9" t="s">
        <v>904</v>
      </c>
      <c r="C83" s="9" t="s">
        <v>905</v>
      </c>
      <c r="D83" s="9" t="s">
        <v>922</v>
      </c>
      <c r="E83" s="9" t="s">
        <v>923</v>
      </c>
      <c r="F83" s="9" t="s">
        <v>924</v>
      </c>
      <c r="G83" s="9" t="s">
        <v>925</v>
      </c>
      <c r="L83" s="53">
        <f>$I$30*$L$30</f>
        <v>0</v>
      </c>
      <c r="M83" s="53">
        <f>$I$30*$M$30</f>
        <v>0</v>
      </c>
      <c r="N83" s="53">
        <f ca="1">$I$30*$N$30</f>
        <v>0</v>
      </c>
      <c r="O83" s="53">
        <f>$I$30*$O$30</f>
        <v>0</v>
      </c>
      <c r="P83" s="53">
        <f>$I$30*$P$30</f>
        <v>0</v>
      </c>
      <c r="Q83" s="53">
        <f>$I$30*$Q$30</f>
        <v>0</v>
      </c>
      <c r="R83" s="53">
        <f>$I$30*$R$30</f>
        <v>0</v>
      </c>
      <c r="S83" s="53">
        <f>$I$30*$S$30</f>
        <v>0</v>
      </c>
      <c r="T83" s="53">
        <f>$I$30*$T$30</f>
        <v>0</v>
      </c>
      <c r="U83" s="53">
        <f>$I$30*$U$30</f>
        <v>0</v>
      </c>
      <c r="V83" s="53">
        <f>$I$30*$V$30</f>
        <v>0</v>
      </c>
      <c r="W83" s="53">
        <f>$I$30*$W$30</f>
        <v>0</v>
      </c>
      <c r="X83" s="53">
        <f>$I$30*$X$30</f>
        <v>0</v>
      </c>
      <c r="Y83" s="53">
        <f>$I$30*$Y$30</f>
        <v>0</v>
      </c>
      <c r="Z83" s="53">
        <f>$I$30*$Z$30</f>
        <v>0</v>
      </c>
      <c r="AA83" s="53">
        <f>$I$30*$AA$30</f>
        <v>0</v>
      </c>
      <c r="AB83" s="53">
        <f ca="1">$I$30*$AB$30</f>
        <v>0</v>
      </c>
      <c r="AC83" s="53">
        <f ca="1">$I$30*$AC$30</f>
        <v>0</v>
      </c>
      <c r="AD83" s="53">
        <f>$I$30*$AD$30</f>
        <v>0</v>
      </c>
      <c r="AE83" s="53">
        <f>$I$30*$AE$30</f>
        <v>0</v>
      </c>
      <c r="AF83" s="53">
        <f ca="1">$I$30*$AF$30</f>
        <v>0</v>
      </c>
      <c r="AG83" s="53">
        <f ca="1">$I$30*$AG$30</f>
        <v>0</v>
      </c>
      <c r="AI83" s="53">
        <f>$I$30*$AI$30</f>
        <v>0</v>
      </c>
      <c r="AJ83" s="53">
        <f>$I$30*$AJ$30</f>
        <v>0</v>
      </c>
      <c r="AK83" s="53">
        <f>$I$30*$AK$30</f>
        <v>0</v>
      </c>
      <c r="AL83" s="53">
        <f>$I$30*$AL$30</f>
        <v>0</v>
      </c>
      <c r="AM83" s="53">
        <f>$I$30*$AM$30</f>
        <v>0</v>
      </c>
      <c r="AN83" s="53">
        <f>$I$30*$AN$30</f>
        <v>0</v>
      </c>
      <c r="AO83" s="53">
        <f>$I$30*$AO$30</f>
        <v>0</v>
      </c>
      <c r="AP83" s="53">
        <f>$I$30*$AP$30</f>
        <v>0</v>
      </c>
      <c r="AQ83" s="53">
        <f>$I$30*$AQ$30</f>
        <v>0</v>
      </c>
      <c r="AR83" s="53">
        <f>$I$30*$AR$30</f>
        <v>0</v>
      </c>
      <c r="AS83" s="53">
        <f>$I$30*$AS$30</f>
        <v>0</v>
      </c>
      <c r="AT83" s="53">
        <f>$I$30*$AT$30</f>
        <v>0</v>
      </c>
      <c r="AU83" s="53">
        <f>$I$30*$AU$30</f>
        <v>0</v>
      </c>
      <c r="AV83" s="53">
        <f>$I$30*$AV$30</f>
        <v>0</v>
      </c>
      <c r="AW83" s="53">
        <f>$I$30*$AW$30</f>
        <v>0</v>
      </c>
      <c r="AX83" s="53">
        <f>$I$30*$AX$30</f>
        <v>0</v>
      </c>
      <c r="AY83" s="53">
        <f>$I$30*$AY$30</f>
        <v>0</v>
      </c>
      <c r="AZ83" s="53">
        <f>$I$30*$AZ$30</f>
        <v>0</v>
      </c>
      <c r="BA83" s="53">
        <f>$I$30*$BA$30</f>
        <v>0</v>
      </c>
      <c r="BB83" s="53">
        <f>$I$30*$BB$30</f>
        <v>0</v>
      </c>
      <c r="BC83" s="53">
        <f>$I$30*$BC$30</f>
        <v>0</v>
      </c>
      <c r="BD83" s="53">
        <f>$I$30*$BD$30</f>
        <v>0</v>
      </c>
    </row>
    <row r="84" spans="1:56" ht="11.25" customHeight="1" x14ac:dyDescent="0.25">
      <c r="A84" s="9" t="s">
        <v>42</v>
      </c>
      <c r="B84" s="9" t="s">
        <v>926</v>
      </c>
      <c r="C84" s="9" t="s">
        <v>927</v>
      </c>
      <c r="D84" s="9" t="s">
        <v>928</v>
      </c>
      <c r="E84" s="9" t="s">
        <v>929</v>
      </c>
      <c r="F84" s="9" t="s">
        <v>930</v>
      </c>
      <c r="G84" s="9" t="s">
        <v>931</v>
      </c>
      <c r="L84" s="53">
        <f>$I$31*$L$31</f>
        <v>0</v>
      </c>
      <c r="M84" s="53">
        <f>$I$31*$M$31</f>
        <v>0</v>
      </c>
      <c r="N84" s="53">
        <f ca="1">$I$31*$N$31</f>
        <v>0</v>
      </c>
      <c r="O84" s="53">
        <f>$I$31*$O$31</f>
        <v>0</v>
      </c>
      <c r="P84" s="53">
        <f>$I$31*$P$31</f>
        <v>0</v>
      </c>
      <c r="Q84" s="53">
        <f>$I$31*$Q$31</f>
        <v>0</v>
      </c>
      <c r="R84" s="53">
        <f>$I$31*$R$31</f>
        <v>0</v>
      </c>
      <c r="S84" s="53">
        <f>$I$31*$S$31</f>
        <v>0</v>
      </c>
      <c r="T84" s="53">
        <f>$I$31*$T$31</f>
        <v>0</v>
      </c>
      <c r="U84" s="53">
        <f>$I$31*$U$31</f>
        <v>0</v>
      </c>
      <c r="V84" s="53">
        <f>$I$31*$V$31</f>
        <v>0</v>
      </c>
      <c r="W84" s="53">
        <f>$I$31*$W$31</f>
        <v>0</v>
      </c>
      <c r="X84" s="53">
        <f>$I$31*$X$31</f>
        <v>0</v>
      </c>
      <c r="Y84" s="53">
        <f>$I$31*$Y$31</f>
        <v>0</v>
      </c>
      <c r="Z84" s="53">
        <f>$I$31*$Z$31</f>
        <v>0</v>
      </c>
      <c r="AA84" s="53">
        <f>$I$31*$AA$31</f>
        <v>0</v>
      </c>
      <c r="AB84" s="53">
        <f ca="1">$I$31*$AB$31</f>
        <v>0</v>
      </c>
      <c r="AC84" s="53">
        <f ca="1">$I$31*$AC$31</f>
        <v>0</v>
      </c>
      <c r="AD84" s="53">
        <f>$I$31*$AD$31</f>
        <v>0</v>
      </c>
      <c r="AE84" s="53">
        <f>$I$31*$AE$31</f>
        <v>0</v>
      </c>
      <c r="AF84" s="53">
        <f ca="1">$I$31*$AF$31</f>
        <v>0</v>
      </c>
      <c r="AG84" s="53">
        <f ca="1">$I$31*$AG$31</f>
        <v>0</v>
      </c>
      <c r="AI84" s="53">
        <f>$I$31*$AI$31</f>
        <v>0</v>
      </c>
      <c r="AJ84" s="53">
        <f>$I$31*$AJ$31</f>
        <v>0</v>
      </c>
      <c r="AK84" s="53">
        <f>$I$31*$AK$31</f>
        <v>0</v>
      </c>
      <c r="AL84" s="53">
        <f>$I$31*$AL$31</f>
        <v>0</v>
      </c>
      <c r="AM84" s="53">
        <f>$I$31*$AM$31</f>
        <v>0</v>
      </c>
      <c r="AN84" s="53">
        <f>$I$31*$AN$31</f>
        <v>0</v>
      </c>
      <c r="AO84" s="53">
        <f>$I$31*$AO$31</f>
        <v>0</v>
      </c>
      <c r="AP84" s="53">
        <f>$I$31*$AP$31</f>
        <v>0</v>
      </c>
      <c r="AQ84" s="53">
        <f>$I$31*$AQ$31</f>
        <v>0</v>
      </c>
      <c r="AR84" s="53">
        <f>$I$31*$AR$31</f>
        <v>0</v>
      </c>
      <c r="AS84" s="53">
        <f>$I$31*$AS$31</f>
        <v>0</v>
      </c>
      <c r="AT84" s="53">
        <f>$I$31*$AT$31</f>
        <v>0</v>
      </c>
      <c r="AU84" s="53">
        <f>$I$31*$AU$31</f>
        <v>0</v>
      </c>
      <c r="AV84" s="53">
        <f>$I$31*$AV$31</f>
        <v>0</v>
      </c>
      <c r="AW84" s="53">
        <f>$I$31*$AW$31</f>
        <v>0</v>
      </c>
      <c r="AX84" s="53">
        <f>$I$31*$AX$31</f>
        <v>0</v>
      </c>
      <c r="AY84" s="53">
        <f>$I$31*$AY$31</f>
        <v>0</v>
      </c>
      <c r="AZ84" s="53">
        <f>$I$31*$AZ$31</f>
        <v>0</v>
      </c>
      <c r="BA84" s="53">
        <f>$I$31*$BA$31</f>
        <v>0</v>
      </c>
      <c r="BB84" s="53">
        <f>$I$31*$BB$31</f>
        <v>0</v>
      </c>
      <c r="BC84" s="53">
        <f>$I$31*$BC$31</f>
        <v>0</v>
      </c>
      <c r="BD84" s="53">
        <f>$I$31*$BD$31</f>
        <v>0</v>
      </c>
    </row>
    <row r="85" spans="1:56" ht="11.25" customHeight="1" x14ac:dyDescent="0.25">
      <c r="A85" s="9" t="s">
        <v>42</v>
      </c>
      <c r="B85" s="9" t="s">
        <v>926</v>
      </c>
      <c r="C85" s="9" t="s">
        <v>927</v>
      </c>
      <c r="D85" s="9" t="s">
        <v>928</v>
      </c>
      <c r="E85" s="9" t="s">
        <v>929</v>
      </c>
      <c r="F85" s="9" t="s">
        <v>930</v>
      </c>
      <c r="G85" s="9" t="s">
        <v>932</v>
      </c>
      <c r="L85" s="53">
        <f>$I$32*$L$32</f>
        <v>0</v>
      </c>
      <c r="M85" s="53">
        <f>$I$32*$M$32</f>
        <v>0</v>
      </c>
      <c r="N85" s="53">
        <f ca="1">$I$32*$N$32</f>
        <v>0</v>
      </c>
      <c r="O85" s="53">
        <f>$I$32*$O$32</f>
        <v>0</v>
      </c>
      <c r="P85" s="53">
        <f>$I$32*$P$32</f>
        <v>0</v>
      </c>
      <c r="Q85" s="53">
        <f>$I$32*$Q$32</f>
        <v>0</v>
      </c>
      <c r="R85" s="53">
        <f>$I$32*$R$32</f>
        <v>0</v>
      </c>
      <c r="S85" s="53">
        <f>$I$32*$S$32</f>
        <v>0</v>
      </c>
      <c r="T85" s="53">
        <f>$I$32*$T$32</f>
        <v>0</v>
      </c>
      <c r="U85" s="53">
        <f>$I$32*$U$32</f>
        <v>0</v>
      </c>
      <c r="V85" s="53">
        <f>$I$32*$V$32</f>
        <v>0</v>
      </c>
      <c r="W85" s="53">
        <f>$I$32*$W$32</f>
        <v>0</v>
      </c>
      <c r="X85" s="53">
        <f>$I$32*$X$32</f>
        <v>0</v>
      </c>
      <c r="Y85" s="53">
        <f>$I$32*$Y$32</f>
        <v>0</v>
      </c>
      <c r="Z85" s="53">
        <f>$I$32*$Z$32</f>
        <v>0</v>
      </c>
      <c r="AA85" s="53">
        <f>$I$32*$AA$32</f>
        <v>0</v>
      </c>
      <c r="AB85" s="53">
        <f ca="1">$I$32*$AB$32</f>
        <v>0</v>
      </c>
      <c r="AC85" s="53">
        <f ca="1">$I$32*$AC$32</f>
        <v>0</v>
      </c>
      <c r="AD85" s="53">
        <f>$I$32*$AD$32</f>
        <v>0</v>
      </c>
      <c r="AE85" s="53">
        <f>$I$32*$AE$32</f>
        <v>0</v>
      </c>
      <c r="AF85" s="53">
        <f ca="1">$I$32*$AF$32</f>
        <v>0</v>
      </c>
      <c r="AG85" s="53">
        <f ca="1">$I$32*$AG$32</f>
        <v>0</v>
      </c>
      <c r="AI85" s="53">
        <f>$I$32*$AI$32</f>
        <v>0</v>
      </c>
      <c r="AJ85" s="53">
        <f>$I$32*$AJ$32</f>
        <v>0</v>
      </c>
      <c r="AK85" s="53">
        <f>$I$32*$AK$32</f>
        <v>0</v>
      </c>
      <c r="AL85" s="53">
        <f>$I$32*$AL$32</f>
        <v>0</v>
      </c>
      <c r="AM85" s="53">
        <f>$I$32*$AM$32</f>
        <v>0</v>
      </c>
      <c r="AN85" s="53">
        <f>$I$32*$AN$32</f>
        <v>0</v>
      </c>
      <c r="AO85" s="53">
        <f>$I$32*$AO$32</f>
        <v>0</v>
      </c>
      <c r="AP85" s="53">
        <f>$I$32*$AP$32</f>
        <v>0</v>
      </c>
      <c r="AQ85" s="53">
        <f>$I$32*$AQ$32</f>
        <v>0</v>
      </c>
      <c r="AR85" s="53">
        <f>$I$32*$AR$32</f>
        <v>0</v>
      </c>
      <c r="AS85" s="53">
        <f>$I$32*$AS$32</f>
        <v>0</v>
      </c>
      <c r="AT85" s="53">
        <f>$I$32*$AT$32</f>
        <v>0</v>
      </c>
      <c r="AU85" s="53">
        <f>$I$32*$AU$32</f>
        <v>0</v>
      </c>
      <c r="AV85" s="53">
        <f>$I$32*$AV$32</f>
        <v>0</v>
      </c>
      <c r="AW85" s="53">
        <f>$I$32*$AW$32</f>
        <v>0</v>
      </c>
      <c r="AX85" s="53">
        <f>$I$32*$AX$32</f>
        <v>0</v>
      </c>
      <c r="AY85" s="53">
        <f>$I$32*$AY$32</f>
        <v>0</v>
      </c>
      <c r="AZ85" s="53">
        <f>$I$32*$AZ$32</f>
        <v>0</v>
      </c>
      <c r="BA85" s="53">
        <f>$I$32*$BA$32</f>
        <v>0</v>
      </c>
      <c r="BB85" s="53">
        <f>$I$32*$BB$32</f>
        <v>0</v>
      </c>
      <c r="BC85" s="53">
        <f>$I$32*$BC$32</f>
        <v>0</v>
      </c>
      <c r="BD85" s="53">
        <f>$I$32*$BD$32</f>
        <v>0</v>
      </c>
    </row>
    <row r="86" spans="1:56" ht="11.25" customHeight="1" x14ac:dyDescent="0.25">
      <c r="A86" s="9" t="s">
        <v>42</v>
      </c>
      <c r="B86" s="9" t="s">
        <v>926</v>
      </c>
      <c r="C86" s="9" t="s">
        <v>927</v>
      </c>
      <c r="D86" s="9" t="s">
        <v>928</v>
      </c>
      <c r="E86" s="9" t="s">
        <v>929</v>
      </c>
      <c r="F86" s="9" t="s">
        <v>930</v>
      </c>
      <c r="G86" s="9" t="s">
        <v>933</v>
      </c>
      <c r="L86" s="53">
        <f>$I$33*$L$33</f>
        <v>0</v>
      </c>
      <c r="M86" s="53">
        <f>$I$33*$M$33</f>
        <v>0</v>
      </c>
      <c r="N86" s="53">
        <f ca="1">$I$33*$N$33</f>
        <v>0</v>
      </c>
      <c r="O86" s="53">
        <f>$I$33*$O$33</f>
        <v>0</v>
      </c>
      <c r="P86" s="53">
        <f>$I$33*$P$33</f>
        <v>0</v>
      </c>
      <c r="Q86" s="53">
        <f>$I$33*$Q$33</f>
        <v>0</v>
      </c>
      <c r="R86" s="53">
        <f>$I$33*$R$33</f>
        <v>0</v>
      </c>
      <c r="S86" s="53">
        <f>$I$33*$S$33</f>
        <v>0</v>
      </c>
      <c r="T86" s="53">
        <f>$I$33*$T$33</f>
        <v>0</v>
      </c>
      <c r="U86" s="53">
        <f>$I$33*$U$33</f>
        <v>0</v>
      </c>
      <c r="V86" s="53">
        <f>$I$33*$V$33</f>
        <v>0</v>
      </c>
      <c r="W86" s="53">
        <f>$I$33*$W$33</f>
        <v>0</v>
      </c>
      <c r="X86" s="53">
        <f>$I$33*$X$33</f>
        <v>0</v>
      </c>
      <c r="Y86" s="53">
        <f>$I$33*$Y$33</f>
        <v>0</v>
      </c>
      <c r="Z86" s="53">
        <f>$I$33*$Z$33</f>
        <v>0</v>
      </c>
      <c r="AA86" s="53">
        <f>$I$33*$AA$33</f>
        <v>0</v>
      </c>
      <c r="AB86" s="53">
        <f ca="1">$I$33*$AB$33</f>
        <v>0</v>
      </c>
      <c r="AC86" s="53">
        <f ca="1">$I$33*$AC$33</f>
        <v>0</v>
      </c>
      <c r="AD86" s="53">
        <f>$I$33*$AD$33</f>
        <v>0</v>
      </c>
      <c r="AE86" s="53">
        <f>$I$33*$AE$33</f>
        <v>0</v>
      </c>
      <c r="AF86" s="53">
        <f ca="1">$I$33*$AF$33</f>
        <v>0</v>
      </c>
      <c r="AG86" s="53">
        <f ca="1">$I$33*$AG$33</f>
        <v>0</v>
      </c>
      <c r="AI86" s="53">
        <f>$I$33*$AI$33</f>
        <v>0</v>
      </c>
      <c r="AJ86" s="53">
        <f>$I$33*$AJ$33</f>
        <v>0</v>
      </c>
      <c r="AK86" s="53">
        <f>$I$33*$AK$33</f>
        <v>0</v>
      </c>
      <c r="AL86" s="53">
        <f>$I$33*$AL$33</f>
        <v>0</v>
      </c>
      <c r="AM86" s="53">
        <f>$I$33*$AM$33</f>
        <v>0</v>
      </c>
      <c r="AN86" s="53">
        <f>$I$33*$AN$33</f>
        <v>0</v>
      </c>
      <c r="AO86" s="53">
        <f>$I$33*$AO$33</f>
        <v>0</v>
      </c>
      <c r="AP86" s="53">
        <f>$I$33*$AP$33</f>
        <v>0</v>
      </c>
      <c r="AQ86" s="53">
        <f>$I$33*$AQ$33</f>
        <v>0</v>
      </c>
      <c r="AR86" s="53">
        <f>$I$33*$AR$33</f>
        <v>0</v>
      </c>
      <c r="AS86" s="53">
        <f>$I$33*$AS$33</f>
        <v>0</v>
      </c>
      <c r="AT86" s="53">
        <f>$I$33*$AT$33</f>
        <v>0</v>
      </c>
      <c r="AU86" s="53">
        <f>$I$33*$AU$33</f>
        <v>0</v>
      </c>
      <c r="AV86" s="53">
        <f>$I$33*$AV$33</f>
        <v>0</v>
      </c>
      <c r="AW86" s="53">
        <f>$I$33*$AW$33</f>
        <v>0</v>
      </c>
      <c r="AX86" s="53">
        <f>$I$33*$AX$33</f>
        <v>0</v>
      </c>
      <c r="AY86" s="53">
        <f>$I$33*$AY$33</f>
        <v>0</v>
      </c>
      <c r="AZ86" s="53">
        <f>$I$33*$AZ$33</f>
        <v>0</v>
      </c>
      <c r="BA86" s="53">
        <f>$I$33*$BA$33</f>
        <v>0</v>
      </c>
      <c r="BB86" s="53">
        <f>$I$33*$BB$33</f>
        <v>0</v>
      </c>
      <c r="BC86" s="53">
        <f>$I$33*$BC$33</f>
        <v>0</v>
      </c>
      <c r="BD86" s="53">
        <f>$I$33*$BD$33</f>
        <v>0</v>
      </c>
    </row>
    <row r="87" spans="1:56" ht="11.25" customHeight="1" x14ac:dyDescent="0.25">
      <c r="A87" s="9" t="s">
        <v>42</v>
      </c>
      <c r="B87" s="9" t="s">
        <v>934</v>
      </c>
      <c r="C87" s="9" t="s">
        <v>935</v>
      </c>
      <c r="D87" s="9" t="s">
        <v>936</v>
      </c>
      <c r="E87" s="9" t="s">
        <v>937</v>
      </c>
      <c r="F87" s="9" t="s">
        <v>938</v>
      </c>
      <c r="G87" s="9" t="s">
        <v>939</v>
      </c>
      <c r="L87" s="53">
        <f>$I$34*$L$34</f>
        <v>108788.90280564956</v>
      </c>
      <c r="M87" s="53">
        <f>$I$34*$M$34</f>
        <v>13796.626877361688</v>
      </c>
      <c r="N87" s="53">
        <f ca="1">$I$34*$N$34</f>
        <v>43169.783199289966</v>
      </c>
      <c r="O87" s="53">
        <f>$I$34*$O$34</f>
        <v>0</v>
      </c>
      <c r="P87" s="53">
        <f>$I$34*$P$34</f>
        <v>0</v>
      </c>
      <c r="Q87" s="53">
        <f>$I$34*$Q$34</f>
        <v>1839503.5780380657</v>
      </c>
      <c r="R87" s="53">
        <f>$I$34*$R$34</f>
        <v>277459.13494591223</v>
      </c>
      <c r="S87" s="53">
        <f>$I$34*$S$34</f>
        <v>0</v>
      </c>
      <c r="T87" s="53">
        <f>$I$34*$T$34</f>
        <v>617127.69434058026</v>
      </c>
      <c r="U87" s="53">
        <f>$I$34*$U$34</f>
        <v>200816.01596629689</v>
      </c>
      <c r="V87" s="53">
        <f>$I$34*$V$34</f>
        <v>332008.68079812877</v>
      </c>
      <c r="W87" s="53">
        <f>$I$34*$W$34</f>
        <v>0</v>
      </c>
      <c r="X87" s="53">
        <f>$I$34*$X$34</f>
        <v>0</v>
      </c>
      <c r="Y87" s="53">
        <f>$I$34*$Y$34</f>
        <v>0</v>
      </c>
      <c r="Z87" s="53">
        <f>$I$34*$Z$34</f>
        <v>0</v>
      </c>
      <c r="AA87" s="53">
        <f>$I$34*$AA$34</f>
        <v>3264452.6630016505</v>
      </c>
      <c r="AB87" s="53">
        <f ca="1">$I$34*$AB$34</f>
        <v>-1254449.4898723359</v>
      </c>
      <c r="AC87" s="53">
        <f ca="1">$I$34*$AC$34</f>
        <v>0</v>
      </c>
      <c r="AD87" s="53">
        <f>$I$34*$AD$34</f>
        <v>307955.15465351584</v>
      </c>
      <c r="AE87" s="53">
        <f>$I$34*$AE$34</f>
        <v>10561.695833060599</v>
      </c>
      <c r="AF87" s="53">
        <f ca="1">$I$34*$AF$34</f>
        <v>45339.991504086611</v>
      </c>
      <c r="AG87" s="53">
        <f ca="1">$I$34*$AG$34</f>
        <v>5475.1438648484491</v>
      </c>
      <c r="AI87" s="53">
        <f>$I$34*$AI$34</f>
        <v>105235.60805544266</v>
      </c>
      <c r="AJ87" s="53">
        <f>$I$34*$AJ$34</f>
        <v>12631.878042618253</v>
      </c>
      <c r="AK87" s="53">
        <f>$I$34*$AK$34</f>
        <v>54584.982202189007</v>
      </c>
      <c r="AL87" s="53">
        <f>$I$34*$AL$34</f>
        <v>0</v>
      </c>
      <c r="AM87" s="53">
        <f>$I$34*$AM$34</f>
        <v>0</v>
      </c>
      <c r="AN87" s="53">
        <f>$I$34*$AN$34</f>
        <v>980571.46940758452</v>
      </c>
      <c r="AO87" s="53">
        <f>$I$34*$AO$34</f>
        <v>158459.60852696514</v>
      </c>
      <c r="AP87" s="53">
        <f>$I$34*$AP$34</f>
        <v>0</v>
      </c>
      <c r="AQ87" s="53">
        <f>$I$34*$AQ$34</f>
        <v>366958.8033632263</v>
      </c>
      <c r="AR87" s="53">
        <f>$I$34*$AR$34</f>
        <v>166756.62667694982</v>
      </c>
      <c r="AS87" s="53">
        <f>$I$34*$AS$34</f>
        <v>156363.16289959016</v>
      </c>
      <c r="AT87" s="53">
        <f>$I$34*$AT$34</f>
        <v>0</v>
      </c>
      <c r="AU87" s="53">
        <f>$I$34*$AU$34</f>
        <v>0</v>
      </c>
      <c r="AV87" s="53">
        <f>$I$34*$AV$34</f>
        <v>0</v>
      </c>
      <c r="AW87" s="53">
        <f>$I$34*$AW$34</f>
        <v>0</v>
      </c>
      <c r="AX87" s="53">
        <f>$I$34*$AX$34</f>
        <v>2976294.5312870475</v>
      </c>
      <c r="AY87" s="53">
        <f>$I$34*$AY$34</f>
        <v>0</v>
      </c>
      <c r="AZ87" s="53">
        <f>$I$34*$AZ$34</f>
        <v>0</v>
      </c>
      <c r="BA87" s="53">
        <f>$I$34*$BA$34</f>
        <v>318755.35047916661</v>
      </c>
      <c r="BB87" s="53">
        <f>$I$34*$BB$34</f>
        <v>9177.2395405343304</v>
      </c>
      <c r="BC87" s="53">
        <f>$I$34*$BC$34</f>
        <v>36850.526597069249</v>
      </c>
      <c r="BD87" s="53">
        <f>$I$34*$BD$34</f>
        <v>5162.1905041597302</v>
      </c>
    </row>
    <row r="88" spans="1:56" ht="11.25" customHeight="1" x14ac:dyDescent="0.25">
      <c r="A88" s="9" t="s">
        <v>42</v>
      </c>
      <c r="B88" s="9" t="s">
        <v>926</v>
      </c>
      <c r="C88" s="9" t="s">
        <v>927</v>
      </c>
      <c r="D88" s="9" t="s">
        <v>940</v>
      </c>
      <c r="E88" s="9" t="s">
        <v>941</v>
      </c>
      <c r="F88" s="9" t="s">
        <v>942</v>
      </c>
      <c r="G88" s="9" t="s">
        <v>943</v>
      </c>
      <c r="L88" s="53">
        <f>$I$35*$L$35</f>
        <v>0</v>
      </c>
      <c r="M88" s="53">
        <f>$I$35*$M$35</f>
        <v>0</v>
      </c>
      <c r="N88" s="53">
        <f ca="1">$I$35*$N$35</f>
        <v>0</v>
      </c>
      <c r="O88" s="53">
        <f>$I$35*$O$35</f>
        <v>0</v>
      </c>
      <c r="P88" s="53">
        <f>$I$35*$P$35</f>
        <v>0</v>
      </c>
      <c r="Q88" s="53">
        <f>$I$35*$Q$35</f>
        <v>0</v>
      </c>
      <c r="R88" s="53">
        <f>$I$35*$R$35</f>
        <v>0</v>
      </c>
      <c r="S88" s="53">
        <f>$I$35*$S$35</f>
        <v>0</v>
      </c>
      <c r="T88" s="53">
        <f>$I$35*$T$35</f>
        <v>0</v>
      </c>
      <c r="U88" s="53">
        <f>$I$35*$U$35</f>
        <v>0</v>
      </c>
      <c r="V88" s="53">
        <f>$I$35*$V$35</f>
        <v>0</v>
      </c>
      <c r="W88" s="53">
        <f>$I$35*$W$35</f>
        <v>0</v>
      </c>
      <c r="X88" s="53">
        <f>$I$35*$X$35</f>
        <v>0</v>
      </c>
      <c r="Y88" s="53">
        <f>$I$35*$Y$35</f>
        <v>0</v>
      </c>
      <c r="Z88" s="53">
        <f>$I$35*$Z$35</f>
        <v>0</v>
      </c>
      <c r="AA88" s="53">
        <f>$I$35*$AA$35</f>
        <v>0</v>
      </c>
      <c r="AB88" s="53">
        <f ca="1">$I$35*$AB$35</f>
        <v>0</v>
      </c>
      <c r="AC88" s="53">
        <f ca="1">$I$35*$AC$35</f>
        <v>0</v>
      </c>
      <c r="AD88" s="53">
        <f>$I$35*$AD$35</f>
        <v>0</v>
      </c>
      <c r="AE88" s="53">
        <f>$I$35*$AE$35</f>
        <v>0</v>
      </c>
      <c r="AF88" s="53">
        <f ca="1">$I$35*$AF$35</f>
        <v>0</v>
      </c>
      <c r="AG88" s="53">
        <f ca="1">$I$35*$AG$35</f>
        <v>0</v>
      </c>
      <c r="AI88" s="53">
        <f>$I$35*$AI$35</f>
        <v>0</v>
      </c>
      <c r="AJ88" s="53">
        <f>$I$35*$AJ$35</f>
        <v>0</v>
      </c>
      <c r="AK88" s="53">
        <f>$I$35*$AK$35</f>
        <v>0</v>
      </c>
      <c r="AL88" s="53">
        <f>$I$35*$AL$35</f>
        <v>0</v>
      </c>
      <c r="AM88" s="53">
        <f>$I$35*$AM$35</f>
        <v>0</v>
      </c>
      <c r="AN88" s="53">
        <f>$I$35*$AN$35</f>
        <v>0</v>
      </c>
      <c r="AO88" s="53">
        <f>$I$35*$AO$35</f>
        <v>0</v>
      </c>
      <c r="AP88" s="53">
        <f>$I$35*$AP$35</f>
        <v>0</v>
      </c>
      <c r="AQ88" s="53">
        <f>$I$35*$AQ$35</f>
        <v>0</v>
      </c>
      <c r="AR88" s="53">
        <f>$I$35*$AR$35</f>
        <v>0</v>
      </c>
      <c r="AS88" s="53">
        <f>$I$35*$AS$35</f>
        <v>0</v>
      </c>
      <c r="AT88" s="53">
        <f>$I$35*$AT$35</f>
        <v>0</v>
      </c>
      <c r="AU88" s="53">
        <f>$I$35*$AU$35</f>
        <v>0</v>
      </c>
      <c r="AV88" s="53">
        <f>$I$35*$AV$35</f>
        <v>0</v>
      </c>
      <c r="AW88" s="53">
        <f>$I$35*$AW$35</f>
        <v>0</v>
      </c>
      <c r="AX88" s="53">
        <f>$I$35*$AX$35</f>
        <v>0</v>
      </c>
      <c r="AY88" s="53">
        <f>$I$35*$AY$35</f>
        <v>0</v>
      </c>
      <c r="AZ88" s="53">
        <f>$I$35*$AZ$35</f>
        <v>0</v>
      </c>
      <c r="BA88" s="53">
        <f>$I$35*$BA$35</f>
        <v>0</v>
      </c>
      <c r="BB88" s="53">
        <f>$I$35*$BB$35</f>
        <v>0</v>
      </c>
      <c r="BC88" s="53">
        <f>$I$35*$BC$35</f>
        <v>0</v>
      </c>
      <c r="BD88" s="53">
        <f>$I$35*$BD$35</f>
        <v>0</v>
      </c>
    </row>
    <row r="89" spans="1:56" ht="11.25" customHeight="1" x14ac:dyDescent="0.25">
      <c r="A89" s="9" t="s">
        <v>42</v>
      </c>
      <c r="B89" s="9" t="s">
        <v>926</v>
      </c>
      <c r="C89" s="9" t="s">
        <v>927</v>
      </c>
      <c r="D89" s="9" t="s">
        <v>940</v>
      </c>
      <c r="E89" s="9" t="s">
        <v>941</v>
      </c>
      <c r="F89" s="9" t="s">
        <v>942</v>
      </c>
      <c r="G89" s="9" t="s">
        <v>944</v>
      </c>
      <c r="L89" s="53">
        <f>$I$36*$L$36</f>
        <v>0</v>
      </c>
      <c r="M89" s="53">
        <f>$I$36*$M$36</f>
        <v>0</v>
      </c>
      <c r="N89" s="53">
        <f ca="1">$I$36*$N$36</f>
        <v>0</v>
      </c>
      <c r="O89" s="53">
        <f>$I$36*$O$36</f>
        <v>0</v>
      </c>
      <c r="P89" s="53">
        <f>$I$36*$P$36</f>
        <v>0</v>
      </c>
      <c r="Q89" s="53">
        <f>$I$36*$Q$36</f>
        <v>0</v>
      </c>
      <c r="R89" s="53">
        <f>$I$36*$R$36</f>
        <v>0</v>
      </c>
      <c r="S89" s="53">
        <f>$I$36*$S$36</f>
        <v>0</v>
      </c>
      <c r="T89" s="53">
        <f>$I$36*$T$36</f>
        <v>0</v>
      </c>
      <c r="U89" s="53">
        <f>$I$36*$U$36</f>
        <v>0</v>
      </c>
      <c r="V89" s="53">
        <f>$I$36*$V$36</f>
        <v>0</v>
      </c>
      <c r="W89" s="53">
        <f>$I$36*$W$36</f>
        <v>0</v>
      </c>
      <c r="X89" s="53">
        <f>$I$36*$X$36</f>
        <v>0</v>
      </c>
      <c r="Y89" s="53">
        <f>$I$36*$Y$36</f>
        <v>0</v>
      </c>
      <c r="Z89" s="53">
        <f>$I$36*$Z$36</f>
        <v>0</v>
      </c>
      <c r="AA89" s="53">
        <f>$I$36*$AA$36</f>
        <v>0</v>
      </c>
      <c r="AB89" s="53">
        <f ca="1">$I$36*$AB$36</f>
        <v>0</v>
      </c>
      <c r="AC89" s="53">
        <f ca="1">$I$36*$AC$36</f>
        <v>0</v>
      </c>
      <c r="AD89" s="53">
        <f>$I$36*$AD$36</f>
        <v>0</v>
      </c>
      <c r="AE89" s="53">
        <f>$I$36*$AE$36</f>
        <v>0</v>
      </c>
      <c r="AF89" s="53">
        <f ca="1">$I$36*$AF$36</f>
        <v>0</v>
      </c>
      <c r="AG89" s="53">
        <f ca="1">$I$36*$AG$36</f>
        <v>0</v>
      </c>
      <c r="AI89" s="53">
        <f>$I$36*$AI$36</f>
        <v>0</v>
      </c>
      <c r="AJ89" s="53">
        <f>$I$36*$AJ$36</f>
        <v>0</v>
      </c>
      <c r="AK89" s="53">
        <f>$I$36*$AK$36</f>
        <v>0</v>
      </c>
      <c r="AL89" s="53">
        <f>$I$36*$AL$36</f>
        <v>0</v>
      </c>
      <c r="AM89" s="53">
        <f>$I$36*$AM$36</f>
        <v>0</v>
      </c>
      <c r="AN89" s="53">
        <f>$I$36*$AN$36</f>
        <v>0</v>
      </c>
      <c r="AO89" s="53">
        <f>$I$36*$AO$36</f>
        <v>0</v>
      </c>
      <c r="AP89" s="53">
        <f>$I$36*$AP$36</f>
        <v>0</v>
      </c>
      <c r="AQ89" s="53">
        <f>$I$36*$AQ$36</f>
        <v>0</v>
      </c>
      <c r="AR89" s="53">
        <f>$I$36*$AR$36</f>
        <v>0</v>
      </c>
      <c r="AS89" s="53">
        <f>$I$36*$AS$36</f>
        <v>0</v>
      </c>
      <c r="AT89" s="53">
        <f>$I$36*$AT$36</f>
        <v>0</v>
      </c>
      <c r="AU89" s="53">
        <f>$I$36*$AU$36</f>
        <v>0</v>
      </c>
      <c r="AV89" s="53">
        <f>$I$36*$AV$36</f>
        <v>0</v>
      </c>
      <c r="AW89" s="53">
        <f>$I$36*$AW$36</f>
        <v>0</v>
      </c>
      <c r="AX89" s="53">
        <f>$I$36*$AX$36</f>
        <v>0</v>
      </c>
      <c r="AY89" s="53">
        <f>$I$36*$AY$36</f>
        <v>0</v>
      </c>
      <c r="AZ89" s="53">
        <f>$I$36*$AZ$36</f>
        <v>0</v>
      </c>
      <c r="BA89" s="53">
        <f>$I$36*$BA$36</f>
        <v>0</v>
      </c>
      <c r="BB89" s="53">
        <f>$I$36*$BB$36</f>
        <v>0</v>
      </c>
      <c r="BC89" s="53">
        <f>$I$36*$BC$36</f>
        <v>0</v>
      </c>
      <c r="BD89" s="53">
        <f>$I$36*$BD$36</f>
        <v>0</v>
      </c>
    </row>
    <row r="90" spans="1:56" ht="11.25" customHeight="1" x14ac:dyDescent="0.25">
      <c r="A90" s="9" t="s">
        <v>42</v>
      </c>
      <c r="B90" s="9" t="s">
        <v>926</v>
      </c>
      <c r="C90" s="9" t="s">
        <v>927</v>
      </c>
      <c r="D90" s="9" t="s">
        <v>940</v>
      </c>
      <c r="E90" s="9" t="s">
        <v>941</v>
      </c>
      <c r="F90" s="9" t="s">
        <v>942</v>
      </c>
      <c r="G90" s="9" t="s">
        <v>945</v>
      </c>
      <c r="L90" s="53">
        <f>$I$37*$L$37</f>
        <v>0</v>
      </c>
      <c r="M90" s="53">
        <f>$I$37*$M$37</f>
        <v>0</v>
      </c>
      <c r="N90" s="53">
        <f ca="1">$I$37*$N$37</f>
        <v>0</v>
      </c>
      <c r="O90" s="53">
        <f>$I$37*$O$37</f>
        <v>0</v>
      </c>
      <c r="P90" s="53">
        <f>$I$37*$P$37</f>
        <v>0</v>
      </c>
      <c r="Q90" s="53">
        <f>$I$37*$Q$37</f>
        <v>0</v>
      </c>
      <c r="R90" s="53">
        <f>$I$37*$R$37</f>
        <v>0</v>
      </c>
      <c r="S90" s="53">
        <f>$I$37*$S$37</f>
        <v>0</v>
      </c>
      <c r="T90" s="53">
        <f>$I$37*$T$37</f>
        <v>0</v>
      </c>
      <c r="U90" s="53">
        <f>$I$37*$U$37</f>
        <v>0</v>
      </c>
      <c r="V90" s="53">
        <f>$I$37*$V$37</f>
        <v>0</v>
      </c>
      <c r="W90" s="53">
        <f>$I$37*$W$37</f>
        <v>0</v>
      </c>
      <c r="X90" s="53">
        <f>$I$37*$X$37</f>
        <v>0</v>
      </c>
      <c r="Y90" s="53">
        <f>$I$37*$Y$37</f>
        <v>0</v>
      </c>
      <c r="Z90" s="53">
        <f>$I$37*$Z$37</f>
        <v>0</v>
      </c>
      <c r="AA90" s="53">
        <f>$I$37*$AA$37</f>
        <v>0</v>
      </c>
      <c r="AB90" s="53">
        <f ca="1">$I$37*$AB$37</f>
        <v>0</v>
      </c>
      <c r="AC90" s="53">
        <f ca="1">$I$37*$AC$37</f>
        <v>0</v>
      </c>
      <c r="AD90" s="53">
        <f>$I$37*$AD$37</f>
        <v>0</v>
      </c>
      <c r="AE90" s="53">
        <f>$I$37*$AE$37</f>
        <v>0</v>
      </c>
      <c r="AF90" s="53">
        <f ca="1">$I$37*$AF$37</f>
        <v>0</v>
      </c>
      <c r="AG90" s="53">
        <f ca="1">$I$37*$AG$37</f>
        <v>0</v>
      </c>
      <c r="AI90" s="53">
        <f>$I$37*$AI$37</f>
        <v>0</v>
      </c>
      <c r="AJ90" s="53">
        <f>$I$37*$AJ$37</f>
        <v>0</v>
      </c>
      <c r="AK90" s="53">
        <f>$I$37*$AK$37</f>
        <v>0</v>
      </c>
      <c r="AL90" s="53">
        <f>$I$37*$AL$37</f>
        <v>0</v>
      </c>
      <c r="AM90" s="53">
        <f>$I$37*$AM$37</f>
        <v>0</v>
      </c>
      <c r="AN90" s="53">
        <f>$I$37*$AN$37</f>
        <v>0</v>
      </c>
      <c r="AO90" s="53">
        <f>$I$37*$AO$37</f>
        <v>0</v>
      </c>
      <c r="AP90" s="53">
        <f>$I$37*$AP$37</f>
        <v>0</v>
      </c>
      <c r="AQ90" s="53">
        <f>$I$37*$AQ$37</f>
        <v>0</v>
      </c>
      <c r="AR90" s="53">
        <f>$I$37*$AR$37</f>
        <v>0</v>
      </c>
      <c r="AS90" s="53">
        <f>$I$37*$AS$37</f>
        <v>0</v>
      </c>
      <c r="AT90" s="53">
        <f>$I$37*$AT$37</f>
        <v>0</v>
      </c>
      <c r="AU90" s="53">
        <f>$I$37*$AU$37</f>
        <v>0</v>
      </c>
      <c r="AV90" s="53">
        <f>$I$37*$AV$37</f>
        <v>0</v>
      </c>
      <c r="AW90" s="53">
        <f>$I$37*$AW$37</f>
        <v>0</v>
      </c>
      <c r="AX90" s="53">
        <f>$I$37*$AX$37</f>
        <v>0</v>
      </c>
      <c r="AY90" s="53">
        <f>$I$37*$AY$37</f>
        <v>0</v>
      </c>
      <c r="AZ90" s="53">
        <f>$I$37*$AZ$37</f>
        <v>0</v>
      </c>
      <c r="BA90" s="53">
        <f>$I$37*$BA$37</f>
        <v>0</v>
      </c>
      <c r="BB90" s="53">
        <f>$I$37*$BB$37</f>
        <v>0</v>
      </c>
      <c r="BC90" s="53">
        <f>$I$37*$BC$37</f>
        <v>0</v>
      </c>
      <c r="BD90" s="53">
        <f>$I$37*$BD$37</f>
        <v>0</v>
      </c>
    </row>
    <row r="91" spans="1:56" ht="11.25" customHeight="1" x14ac:dyDescent="0.25">
      <c r="A91" s="9" t="s">
        <v>42</v>
      </c>
      <c r="B91" s="9" t="s">
        <v>934</v>
      </c>
      <c r="C91" s="9" t="s">
        <v>935</v>
      </c>
      <c r="D91" s="9" t="s">
        <v>946</v>
      </c>
      <c r="E91" s="9" t="s">
        <v>947</v>
      </c>
      <c r="F91" s="9" t="s">
        <v>948</v>
      </c>
      <c r="G91" s="9" t="s">
        <v>949</v>
      </c>
      <c r="L91" s="53">
        <f>$I$38*$L$38</f>
        <v>0</v>
      </c>
      <c r="M91" s="53">
        <f>$I$38*$M$38</f>
        <v>0</v>
      </c>
      <c r="N91" s="53">
        <f ca="1">$I$38*$N$38</f>
        <v>0</v>
      </c>
      <c r="O91" s="53">
        <f>$I$38*$O$38</f>
        <v>0</v>
      </c>
      <c r="P91" s="53">
        <f>$I$38*$P$38</f>
        <v>0</v>
      </c>
      <c r="Q91" s="53">
        <f>$I$38*$Q$38</f>
        <v>0</v>
      </c>
      <c r="R91" s="53">
        <f>$I$38*$R$38</f>
        <v>0</v>
      </c>
      <c r="S91" s="53">
        <f>$I$38*$S$38</f>
        <v>0</v>
      </c>
      <c r="T91" s="53">
        <f>$I$38*$T$38</f>
        <v>0</v>
      </c>
      <c r="U91" s="53">
        <f>$I$38*$U$38</f>
        <v>0</v>
      </c>
      <c r="V91" s="53">
        <f>$I$38*$V$38</f>
        <v>0</v>
      </c>
      <c r="W91" s="53">
        <f>$I$38*$W$38</f>
        <v>0</v>
      </c>
      <c r="X91" s="53">
        <f>$I$38*$X$38</f>
        <v>0</v>
      </c>
      <c r="Y91" s="53">
        <f>$I$38*$Y$38</f>
        <v>0</v>
      </c>
      <c r="Z91" s="53">
        <f>$I$38*$Z$38</f>
        <v>0</v>
      </c>
      <c r="AA91" s="53">
        <f>$I$38*$AA$38</f>
        <v>0</v>
      </c>
      <c r="AB91" s="53">
        <f ca="1">$I$38*$AB$38</f>
        <v>0</v>
      </c>
      <c r="AC91" s="53">
        <f ca="1">$I$38*$AC$38</f>
        <v>0</v>
      </c>
      <c r="AD91" s="53">
        <f>$I$38*$AD$38</f>
        <v>0</v>
      </c>
      <c r="AE91" s="53">
        <f>$I$38*$AE$38</f>
        <v>0</v>
      </c>
      <c r="AF91" s="53">
        <f ca="1">$I$38*$AF$38</f>
        <v>0</v>
      </c>
      <c r="AG91" s="53">
        <f ca="1">$I$38*$AG$38</f>
        <v>0</v>
      </c>
      <c r="AI91" s="53">
        <f>$I$38*$AI$38</f>
        <v>0</v>
      </c>
      <c r="AJ91" s="53">
        <f>$I$38*$AJ$38</f>
        <v>0</v>
      </c>
      <c r="AK91" s="53">
        <f>$I$38*$AK$38</f>
        <v>0</v>
      </c>
      <c r="AL91" s="53">
        <f>$I$38*$AL$38</f>
        <v>0</v>
      </c>
      <c r="AM91" s="53">
        <f>$I$38*$AM$38</f>
        <v>0</v>
      </c>
      <c r="AN91" s="53">
        <f>$I$38*$AN$38</f>
        <v>0</v>
      </c>
      <c r="AO91" s="53">
        <f>$I$38*$AO$38</f>
        <v>0</v>
      </c>
      <c r="AP91" s="53">
        <f>$I$38*$AP$38</f>
        <v>0</v>
      </c>
      <c r="AQ91" s="53">
        <f>$I$38*$AQ$38</f>
        <v>0</v>
      </c>
      <c r="AR91" s="53">
        <f>$I$38*$AR$38</f>
        <v>0</v>
      </c>
      <c r="AS91" s="53">
        <f>$I$38*$AS$38</f>
        <v>0</v>
      </c>
      <c r="AT91" s="53">
        <f>$I$38*$AT$38</f>
        <v>0</v>
      </c>
      <c r="AU91" s="53">
        <f>$I$38*$AU$38</f>
        <v>0</v>
      </c>
      <c r="AV91" s="53">
        <f>$I$38*$AV$38</f>
        <v>0</v>
      </c>
      <c r="AW91" s="53">
        <f>$I$38*$AW$38</f>
        <v>0</v>
      </c>
      <c r="AX91" s="53">
        <f>$I$38*$AX$38</f>
        <v>0</v>
      </c>
      <c r="AY91" s="53">
        <f>$I$38*$AY$38</f>
        <v>0</v>
      </c>
      <c r="AZ91" s="53">
        <f>$I$38*$AZ$38</f>
        <v>0</v>
      </c>
      <c r="BA91" s="53">
        <f>$I$38*$BA$38</f>
        <v>0</v>
      </c>
      <c r="BB91" s="53">
        <f>$I$38*$BB$38</f>
        <v>0</v>
      </c>
      <c r="BC91" s="53">
        <f>$I$38*$BC$38</f>
        <v>0</v>
      </c>
      <c r="BD91" s="53">
        <f>$I$38*$BD$38</f>
        <v>0</v>
      </c>
    </row>
    <row r="92" spans="1:56" ht="11.25" customHeight="1" x14ac:dyDescent="0.25">
      <c r="A92" s="9" t="s">
        <v>42</v>
      </c>
      <c r="B92" s="9" t="s">
        <v>926</v>
      </c>
      <c r="C92" s="9" t="s">
        <v>927</v>
      </c>
      <c r="D92" s="9" t="s">
        <v>950</v>
      </c>
      <c r="E92" s="9" t="s">
        <v>951</v>
      </c>
      <c r="F92" s="9" t="s">
        <v>952</v>
      </c>
      <c r="G92" s="9" t="s">
        <v>953</v>
      </c>
      <c r="L92" s="53">
        <f>$I$39*$L$39</f>
        <v>0</v>
      </c>
      <c r="M92" s="53">
        <f>$I$39*$M$39</f>
        <v>0</v>
      </c>
      <c r="N92" s="53">
        <f ca="1">$I$39*$N$39</f>
        <v>0</v>
      </c>
      <c r="O92" s="53">
        <f>$I$39*$O$39</f>
        <v>0</v>
      </c>
      <c r="P92" s="53">
        <f>$I$39*$P$39</f>
        <v>0</v>
      </c>
      <c r="Q92" s="53">
        <f>$I$39*$Q$39</f>
        <v>0</v>
      </c>
      <c r="R92" s="53">
        <f>$I$39*$R$39</f>
        <v>0</v>
      </c>
      <c r="S92" s="53">
        <f>$I$39*$S$39</f>
        <v>0</v>
      </c>
      <c r="T92" s="53">
        <f>$I$39*$T$39</f>
        <v>0</v>
      </c>
      <c r="U92" s="53">
        <f>$I$39*$U$39</f>
        <v>0</v>
      </c>
      <c r="V92" s="53">
        <f>$I$39*$V$39</f>
        <v>0</v>
      </c>
      <c r="W92" s="53">
        <f>$I$39*$W$39</f>
        <v>0</v>
      </c>
      <c r="X92" s="53">
        <f>$I$39*$X$39</f>
        <v>0</v>
      </c>
      <c r="Y92" s="53">
        <f>$I$39*$Y$39</f>
        <v>0</v>
      </c>
      <c r="Z92" s="53">
        <f>$I$39*$Z$39</f>
        <v>0</v>
      </c>
      <c r="AA92" s="53">
        <f>$I$39*$AA$39</f>
        <v>0</v>
      </c>
      <c r="AB92" s="53">
        <f ca="1">$I$39*$AB$39</f>
        <v>0</v>
      </c>
      <c r="AC92" s="53">
        <f ca="1">$I$39*$AC$39</f>
        <v>0</v>
      </c>
      <c r="AD92" s="53">
        <f>$I$39*$AD$39</f>
        <v>0</v>
      </c>
      <c r="AE92" s="53">
        <f>$I$39*$AE$39</f>
        <v>0</v>
      </c>
      <c r="AF92" s="53">
        <f ca="1">$I$39*$AF$39</f>
        <v>0</v>
      </c>
      <c r="AG92" s="53">
        <f ca="1">$I$39*$AG$39</f>
        <v>0</v>
      </c>
      <c r="AI92" s="53">
        <f>$I$39*$AI$39</f>
        <v>0</v>
      </c>
      <c r="AJ92" s="53">
        <f>$I$39*$AJ$39</f>
        <v>0</v>
      </c>
      <c r="AK92" s="53">
        <f>$I$39*$AK$39</f>
        <v>0</v>
      </c>
      <c r="AL92" s="53">
        <f>$I$39*$AL$39</f>
        <v>0</v>
      </c>
      <c r="AM92" s="53">
        <f>$I$39*$AM$39</f>
        <v>0</v>
      </c>
      <c r="AN92" s="53">
        <f>$I$39*$AN$39</f>
        <v>0</v>
      </c>
      <c r="AO92" s="53">
        <f>$I$39*$AO$39</f>
        <v>0</v>
      </c>
      <c r="AP92" s="53">
        <f>$I$39*$AP$39</f>
        <v>0</v>
      </c>
      <c r="AQ92" s="53">
        <f>$I$39*$AQ$39</f>
        <v>0</v>
      </c>
      <c r="AR92" s="53">
        <f>$I$39*$AR$39</f>
        <v>0</v>
      </c>
      <c r="AS92" s="53">
        <f>$I$39*$AS$39</f>
        <v>0</v>
      </c>
      <c r="AT92" s="53">
        <f>$I$39*$AT$39</f>
        <v>0</v>
      </c>
      <c r="AU92" s="53">
        <f>$I$39*$AU$39</f>
        <v>0</v>
      </c>
      <c r="AV92" s="53">
        <f>$I$39*$AV$39</f>
        <v>0</v>
      </c>
      <c r="AW92" s="53">
        <f>$I$39*$AW$39</f>
        <v>0</v>
      </c>
      <c r="AX92" s="53">
        <f>$I$39*$AX$39</f>
        <v>0</v>
      </c>
      <c r="AY92" s="53">
        <f>$I$39*$AY$39</f>
        <v>0</v>
      </c>
      <c r="AZ92" s="53">
        <f>$I$39*$AZ$39</f>
        <v>0</v>
      </c>
      <c r="BA92" s="53">
        <f>$I$39*$BA$39</f>
        <v>0</v>
      </c>
      <c r="BB92" s="53">
        <f>$I$39*$BB$39</f>
        <v>0</v>
      </c>
      <c r="BC92" s="53">
        <f>$I$39*$BC$39</f>
        <v>0</v>
      </c>
      <c r="BD92" s="53">
        <f>$I$39*$BD$39</f>
        <v>0</v>
      </c>
    </row>
    <row r="93" spans="1:56" ht="11.25" customHeight="1" x14ac:dyDescent="0.25">
      <c r="A93" s="9" t="s">
        <v>42</v>
      </c>
      <c r="B93" s="9" t="s">
        <v>926</v>
      </c>
      <c r="C93" s="9" t="s">
        <v>927</v>
      </c>
      <c r="D93" s="9" t="s">
        <v>950</v>
      </c>
      <c r="E93" s="9" t="s">
        <v>951</v>
      </c>
      <c r="F93" s="9" t="s">
        <v>952</v>
      </c>
      <c r="G93" s="9" t="s">
        <v>954</v>
      </c>
      <c r="L93" s="53">
        <f>$I$40*$L$40</f>
        <v>0</v>
      </c>
      <c r="M93" s="53">
        <f>$I$40*$M$40</f>
        <v>0</v>
      </c>
      <c r="N93" s="53">
        <f ca="1">$I$40*$N$40</f>
        <v>0</v>
      </c>
      <c r="O93" s="53">
        <f>$I$40*$O$40</f>
        <v>0</v>
      </c>
      <c r="P93" s="53">
        <f>$I$40*$P$40</f>
        <v>0</v>
      </c>
      <c r="Q93" s="53">
        <f>$I$40*$Q$40</f>
        <v>0</v>
      </c>
      <c r="R93" s="53">
        <f>$I$40*$R$40</f>
        <v>0</v>
      </c>
      <c r="S93" s="53">
        <f>$I$40*$S$40</f>
        <v>0</v>
      </c>
      <c r="T93" s="53">
        <f>$I$40*$T$40</f>
        <v>0</v>
      </c>
      <c r="U93" s="53">
        <f>$I$40*$U$40</f>
        <v>0</v>
      </c>
      <c r="V93" s="53">
        <f>$I$40*$V$40</f>
        <v>0</v>
      </c>
      <c r="W93" s="53">
        <f>$I$40*$W$40</f>
        <v>0</v>
      </c>
      <c r="X93" s="53">
        <f>$I$40*$X$40</f>
        <v>0</v>
      </c>
      <c r="Y93" s="53">
        <f>$I$40*$Y$40</f>
        <v>0</v>
      </c>
      <c r="Z93" s="53">
        <f>$I$40*$Z$40</f>
        <v>0</v>
      </c>
      <c r="AA93" s="53">
        <f>$I$40*$AA$40</f>
        <v>0</v>
      </c>
      <c r="AB93" s="53">
        <f ca="1">$I$40*$AB$40</f>
        <v>0</v>
      </c>
      <c r="AC93" s="53">
        <f ca="1">$I$40*$AC$40</f>
        <v>0</v>
      </c>
      <c r="AD93" s="53">
        <f>$I$40*$AD$40</f>
        <v>0</v>
      </c>
      <c r="AE93" s="53">
        <f>$I$40*$AE$40</f>
        <v>0</v>
      </c>
      <c r="AF93" s="53">
        <f ca="1">$I$40*$AF$40</f>
        <v>0</v>
      </c>
      <c r="AG93" s="53">
        <f ca="1">$I$40*$AG$40</f>
        <v>0</v>
      </c>
      <c r="AI93" s="53">
        <f>$I$40*$AI$40</f>
        <v>0</v>
      </c>
      <c r="AJ93" s="53">
        <f>$I$40*$AJ$40</f>
        <v>0</v>
      </c>
      <c r="AK93" s="53">
        <f>$I$40*$AK$40</f>
        <v>0</v>
      </c>
      <c r="AL93" s="53">
        <f>$I$40*$AL$40</f>
        <v>0</v>
      </c>
      <c r="AM93" s="53">
        <f>$I$40*$AM$40</f>
        <v>0</v>
      </c>
      <c r="AN93" s="53">
        <f>$I$40*$AN$40</f>
        <v>0</v>
      </c>
      <c r="AO93" s="53">
        <f>$I$40*$AO$40</f>
        <v>0</v>
      </c>
      <c r="AP93" s="53">
        <f>$I$40*$AP$40</f>
        <v>0</v>
      </c>
      <c r="AQ93" s="53">
        <f>$I$40*$AQ$40</f>
        <v>0</v>
      </c>
      <c r="AR93" s="53">
        <f>$I$40*$AR$40</f>
        <v>0</v>
      </c>
      <c r="AS93" s="53">
        <f>$I$40*$AS$40</f>
        <v>0</v>
      </c>
      <c r="AT93" s="53">
        <f>$I$40*$AT$40</f>
        <v>0</v>
      </c>
      <c r="AU93" s="53">
        <f>$I$40*$AU$40</f>
        <v>0</v>
      </c>
      <c r="AV93" s="53">
        <f>$I$40*$AV$40</f>
        <v>0</v>
      </c>
      <c r="AW93" s="53">
        <f>$I$40*$AW$40</f>
        <v>0</v>
      </c>
      <c r="AX93" s="53">
        <f>$I$40*$AX$40</f>
        <v>0</v>
      </c>
      <c r="AY93" s="53">
        <f>$I$40*$AY$40</f>
        <v>0</v>
      </c>
      <c r="AZ93" s="53">
        <f>$I$40*$AZ$40</f>
        <v>0</v>
      </c>
      <c r="BA93" s="53">
        <f>$I$40*$BA$40</f>
        <v>0</v>
      </c>
      <c r="BB93" s="53">
        <f>$I$40*$BB$40</f>
        <v>0</v>
      </c>
      <c r="BC93" s="53">
        <f>$I$40*$BC$40</f>
        <v>0</v>
      </c>
      <c r="BD93" s="53">
        <f>$I$40*$BD$40</f>
        <v>0</v>
      </c>
    </row>
    <row r="94" spans="1:56" ht="11.25" customHeight="1" x14ac:dyDescent="0.25">
      <c r="A94" s="9" t="s">
        <v>42</v>
      </c>
      <c r="B94" s="9" t="s">
        <v>926</v>
      </c>
      <c r="C94" s="9" t="s">
        <v>927</v>
      </c>
      <c r="D94" s="9" t="s">
        <v>950</v>
      </c>
      <c r="E94" s="9" t="s">
        <v>951</v>
      </c>
      <c r="F94" s="9" t="s">
        <v>952</v>
      </c>
      <c r="G94" s="9" t="s">
        <v>955</v>
      </c>
      <c r="L94" s="53">
        <f>$I$41*$L$41</f>
        <v>0</v>
      </c>
      <c r="M94" s="53">
        <f>$I$41*$M$41</f>
        <v>0</v>
      </c>
      <c r="N94" s="53">
        <f ca="1">$I$41*$N$41</f>
        <v>0</v>
      </c>
      <c r="O94" s="53">
        <f>$I$41*$O$41</f>
        <v>0</v>
      </c>
      <c r="P94" s="53">
        <f>$I$41*$P$41</f>
        <v>0</v>
      </c>
      <c r="Q94" s="53">
        <f>$I$41*$Q$41</f>
        <v>0</v>
      </c>
      <c r="R94" s="53">
        <f>$I$41*$R$41</f>
        <v>0</v>
      </c>
      <c r="S94" s="53">
        <f>$I$41*$S$41</f>
        <v>0</v>
      </c>
      <c r="T94" s="53">
        <f>$I$41*$T$41</f>
        <v>0</v>
      </c>
      <c r="U94" s="53">
        <f>$I$41*$U$41</f>
        <v>0</v>
      </c>
      <c r="V94" s="53">
        <f>$I$41*$V$41</f>
        <v>0</v>
      </c>
      <c r="W94" s="53">
        <f>$I$41*$W$41</f>
        <v>0</v>
      </c>
      <c r="X94" s="53">
        <f>$I$41*$X$41</f>
        <v>0</v>
      </c>
      <c r="Y94" s="53">
        <f>$I$41*$Y$41</f>
        <v>0</v>
      </c>
      <c r="Z94" s="53">
        <f>$I$41*$Z$41</f>
        <v>0</v>
      </c>
      <c r="AA94" s="53">
        <f>$I$41*$AA$41</f>
        <v>0</v>
      </c>
      <c r="AB94" s="53">
        <f ca="1">$I$41*$AB$41</f>
        <v>0</v>
      </c>
      <c r="AC94" s="53">
        <f ca="1">$I$41*$AC$41</f>
        <v>0</v>
      </c>
      <c r="AD94" s="53">
        <f>$I$41*$AD$41</f>
        <v>0</v>
      </c>
      <c r="AE94" s="53">
        <f>$I$41*$AE$41</f>
        <v>0</v>
      </c>
      <c r="AF94" s="53">
        <f ca="1">$I$41*$AF$41</f>
        <v>0</v>
      </c>
      <c r="AG94" s="53">
        <f ca="1">$I$41*$AG$41</f>
        <v>0</v>
      </c>
      <c r="AI94" s="53">
        <f>$I$41*$AI$41</f>
        <v>0</v>
      </c>
      <c r="AJ94" s="53">
        <f>$I$41*$AJ$41</f>
        <v>0</v>
      </c>
      <c r="AK94" s="53">
        <f>$I$41*$AK$41</f>
        <v>0</v>
      </c>
      <c r="AL94" s="53">
        <f>$I$41*$AL$41</f>
        <v>0</v>
      </c>
      <c r="AM94" s="53">
        <f>$I$41*$AM$41</f>
        <v>0</v>
      </c>
      <c r="AN94" s="53">
        <f>$I$41*$AN$41</f>
        <v>0</v>
      </c>
      <c r="AO94" s="53">
        <f>$I$41*$AO$41</f>
        <v>0</v>
      </c>
      <c r="AP94" s="53">
        <f>$I$41*$AP$41</f>
        <v>0</v>
      </c>
      <c r="AQ94" s="53">
        <f>$I$41*$AQ$41</f>
        <v>0</v>
      </c>
      <c r="AR94" s="53">
        <f>$I$41*$AR$41</f>
        <v>0</v>
      </c>
      <c r="AS94" s="53">
        <f>$I$41*$AS$41</f>
        <v>0</v>
      </c>
      <c r="AT94" s="53">
        <f>$I$41*$AT$41</f>
        <v>0</v>
      </c>
      <c r="AU94" s="53">
        <f>$I$41*$AU$41</f>
        <v>0</v>
      </c>
      <c r="AV94" s="53">
        <f>$I$41*$AV$41</f>
        <v>0</v>
      </c>
      <c r="AW94" s="53">
        <f>$I$41*$AW$41</f>
        <v>0</v>
      </c>
      <c r="AX94" s="53">
        <f>$I$41*$AX$41</f>
        <v>0</v>
      </c>
      <c r="AY94" s="53">
        <f>$I$41*$AY$41</f>
        <v>0</v>
      </c>
      <c r="AZ94" s="53">
        <f>$I$41*$AZ$41</f>
        <v>0</v>
      </c>
      <c r="BA94" s="53">
        <f>$I$41*$BA$41</f>
        <v>0</v>
      </c>
      <c r="BB94" s="53">
        <f>$I$41*$BB$41</f>
        <v>0</v>
      </c>
      <c r="BC94" s="53">
        <f>$I$41*$BC$41</f>
        <v>0</v>
      </c>
      <c r="BD94" s="53">
        <f>$I$41*$BD$41</f>
        <v>0</v>
      </c>
    </row>
    <row r="95" spans="1:56" ht="11.25" customHeight="1" x14ac:dyDescent="0.25">
      <c r="A95" s="9" t="s">
        <v>42</v>
      </c>
      <c r="B95" s="9" t="s">
        <v>934</v>
      </c>
      <c r="C95" s="9" t="s">
        <v>935</v>
      </c>
      <c r="D95" s="9" t="s">
        <v>956</v>
      </c>
      <c r="E95" s="9" t="s">
        <v>957</v>
      </c>
      <c r="F95" s="9" t="s">
        <v>958</v>
      </c>
      <c r="G95" s="9" t="s">
        <v>959</v>
      </c>
      <c r="L95" s="53">
        <f>$I$42*$L$42</f>
        <v>0</v>
      </c>
      <c r="M95" s="53">
        <f>$I$42*$M$42</f>
        <v>0</v>
      </c>
      <c r="N95" s="53">
        <f ca="1">$I$42*$N$42</f>
        <v>0</v>
      </c>
      <c r="O95" s="53">
        <f>$I$42*$O$42</f>
        <v>0</v>
      </c>
      <c r="P95" s="53">
        <f>$I$42*$P$42</f>
        <v>0</v>
      </c>
      <c r="Q95" s="53">
        <f>$I$42*$Q$42</f>
        <v>0</v>
      </c>
      <c r="R95" s="53">
        <f>$I$42*$R$42</f>
        <v>0</v>
      </c>
      <c r="S95" s="53">
        <f>$I$42*$S$42</f>
        <v>0</v>
      </c>
      <c r="T95" s="53">
        <f>$I$42*$T$42</f>
        <v>0</v>
      </c>
      <c r="U95" s="53">
        <f>$I$42*$U$42</f>
        <v>0</v>
      </c>
      <c r="V95" s="53">
        <f>$I$42*$V$42</f>
        <v>0</v>
      </c>
      <c r="W95" s="53">
        <f>$I$42*$W$42</f>
        <v>0</v>
      </c>
      <c r="X95" s="53">
        <f>$I$42*$X$42</f>
        <v>0</v>
      </c>
      <c r="Y95" s="53">
        <f>$I$42*$Y$42</f>
        <v>0</v>
      </c>
      <c r="Z95" s="53">
        <f>$I$42*$Z$42</f>
        <v>0</v>
      </c>
      <c r="AA95" s="53">
        <f>$I$42*$AA$42</f>
        <v>0</v>
      </c>
      <c r="AB95" s="53">
        <f ca="1">$I$42*$AB$42</f>
        <v>0</v>
      </c>
      <c r="AC95" s="53">
        <f ca="1">$I$42*$AC$42</f>
        <v>0</v>
      </c>
      <c r="AD95" s="53">
        <f>$I$42*$AD$42</f>
        <v>0</v>
      </c>
      <c r="AE95" s="53">
        <f>$I$42*$AE$42</f>
        <v>0</v>
      </c>
      <c r="AF95" s="53">
        <f ca="1">$I$42*$AF$42</f>
        <v>0</v>
      </c>
      <c r="AG95" s="53">
        <f ca="1">$I$42*$AG$42</f>
        <v>0</v>
      </c>
      <c r="AI95" s="53">
        <f>$I$42*$AI$42</f>
        <v>0</v>
      </c>
      <c r="AJ95" s="53">
        <f>$I$42*$AJ$42</f>
        <v>0</v>
      </c>
      <c r="AK95" s="53">
        <f>$I$42*$AK$42</f>
        <v>0</v>
      </c>
      <c r="AL95" s="53">
        <f>$I$42*$AL$42</f>
        <v>0</v>
      </c>
      <c r="AM95" s="53">
        <f>$I$42*$AM$42</f>
        <v>0</v>
      </c>
      <c r="AN95" s="53">
        <f>$I$42*$AN$42</f>
        <v>0</v>
      </c>
      <c r="AO95" s="53">
        <f>$I$42*$AO$42</f>
        <v>0</v>
      </c>
      <c r="AP95" s="53">
        <f>$I$42*$AP$42</f>
        <v>0</v>
      </c>
      <c r="AQ95" s="53">
        <f>$I$42*$AQ$42</f>
        <v>0</v>
      </c>
      <c r="AR95" s="53">
        <f>$I$42*$AR$42</f>
        <v>0</v>
      </c>
      <c r="AS95" s="53">
        <f>$I$42*$AS$42</f>
        <v>0</v>
      </c>
      <c r="AT95" s="53">
        <f>$I$42*$AT$42</f>
        <v>0</v>
      </c>
      <c r="AU95" s="53">
        <f>$I$42*$AU$42</f>
        <v>0</v>
      </c>
      <c r="AV95" s="53">
        <f>$I$42*$AV$42</f>
        <v>0</v>
      </c>
      <c r="AW95" s="53">
        <f>$I$42*$AW$42</f>
        <v>0</v>
      </c>
      <c r="AX95" s="53">
        <f>$I$42*$AX$42</f>
        <v>0</v>
      </c>
      <c r="AY95" s="53">
        <f>$I$42*$AY$42</f>
        <v>0</v>
      </c>
      <c r="AZ95" s="53">
        <f>$I$42*$AZ$42</f>
        <v>0</v>
      </c>
      <c r="BA95" s="53">
        <f>$I$42*$BA$42</f>
        <v>0</v>
      </c>
      <c r="BB95" s="53">
        <f>$I$42*$BB$42</f>
        <v>0</v>
      </c>
      <c r="BC95" s="53">
        <f>$I$42*$BC$42</f>
        <v>0</v>
      </c>
      <c r="BD95" s="53">
        <f>$I$42*$BD$42</f>
        <v>0</v>
      </c>
    </row>
    <row r="96" spans="1:56" ht="11.25" customHeight="1" x14ac:dyDescent="0.25">
      <c r="A96" s="9" t="s">
        <v>42</v>
      </c>
      <c r="B96" s="9" t="s">
        <v>960</v>
      </c>
      <c r="C96" s="9" t="s">
        <v>961</v>
      </c>
      <c r="D96" s="9" t="s">
        <v>962</v>
      </c>
      <c r="E96" s="9" t="s">
        <v>963</v>
      </c>
      <c r="F96" s="9" t="s">
        <v>964</v>
      </c>
      <c r="G96" s="9" t="s">
        <v>965</v>
      </c>
      <c r="L96" s="53">
        <f>$I$43*$L$43</f>
        <v>0</v>
      </c>
      <c r="M96" s="53">
        <f>$I$43*$M$43</f>
        <v>0</v>
      </c>
      <c r="N96" s="53">
        <f ca="1">$I$43*$N$43</f>
        <v>0</v>
      </c>
      <c r="O96" s="53">
        <f>$I$43*$O$43</f>
        <v>0</v>
      </c>
      <c r="P96" s="53">
        <f>$I$43*$P$43</f>
        <v>0</v>
      </c>
      <c r="Q96" s="53">
        <f>$I$43*$Q$43</f>
        <v>0</v>
      </c>
      <c r="R96" s="53">
        <f>$I$43*$R$43</f>
        <v>0</v>
      </c>
      <c r="S96" s="53">
        <f>$I$43*$S$43</f>
        <v>0</v>
      </c>
      <c r="T96" s="53">
        <f>$I$43*$T$43</f>
        <v>0</v>
      </c>
      <c r="U96" s="53">
        <f>$I$43*$U$43</f>
        <v>0</v>
      </c>
      <c r="V96" s="53">
        <f>$I$43*$V$43</f>
        <v>0</v>
      </c>
      <c r="W96" s="53">
        <f>$I$43*$W$43</f>
        <v>0</v>
      </c>
      <c r="X96" s="53">
        <f>$I$43*$X$43</f>
        <v>0</v>
      </c>
      <c r="Y96" s="53">
        <f>$I$43*$Y$43</f>
        <v>0</v>
      </c>
      <c r="Z96" s="53">
        <f>$I$43*$Z$43</f>
        <v>0</v>
      </c>
      <c r="AA96" s="53">
        <f>$I$43*$AA$43</f>
        <v>0</v>
      </c>
      <c r="AB96" s="53">
        <f ca="1">$I$43*$AB$43</f>
        <v>0</v>
      </c>
      <c r="AC96" s="53">
        <f ca="1">$I$43*$AC$43</f>
        <v>0</v>
      </c>
      <c r="AD96" s="53">
        <f>$I$43*$AD$43</f>
        <v>0</v>
      </c>
      <c r="AE96" s="53">
        <f>$I$43*$AE$43</f>
        <v>0</v>
      </c>
      <c r="AF96" s="53">
        <f ca="1">$I$43*$AF$43</f>
        <v>0</v>
      </c>
      <c r="AG96" s="53">
        <f ca="1">$I$43*$AG$43</f>
        <v>0</v>
      </c>
      <c r="AI96" s="53">
        <f>$I$43*$AI$43</f>
        <v>0</v>
      </c>
      <c r="AJ96" s="53">
        <f>$I$43*$AJ$43</f>
        <v>0</v>
      </c>
      <c r="AK96" s="53">
        <f>$I$43*$AK$43</f>
        <v>0</v>
      </c>
      <c r="AL96" s="53">
        <f>$I$43*$AL$43</f>
        <v>0</v>
      </c>
      <c r="AM96" s="53">
        <f>$I$43*$AM$43</f>
        <v>0</v>
      </c>
      <c r="AN96" s="53">
        <f>$I$43*$AN$43</f>
        <v>0</v>
      </c>
      <c r="AO96" s="53">
        <f>$I$43*$AO$43</f>
        <v>0</v>
      </c>
      <c r="AP96" s="53">
        <f>$I$43*$AP$43</f>
        <v>0</v>
      </c>
      <c r="AQ96" s="53">
        <f>$I$43*$AQ$43</f>
        <v>0</v>
      </c>
      <c r="AR96" s="53">
        <f>$I$43*$AR$43</f>
        <v>0</v>
      </c>
      <c r="AS96" s="53">
        <f>$I$43*$AS$43</f>
        <v>0</v>
      </c>
      <c r="AT96" s="53">
        <f>$I$43*$AT$43</f>
        <v>0</v>
      </c>
      <c r="AU96" s="53">
        <f>$I$43*$AU$43</f>
        <v>0</v>
      </c>
      <c r="AV96" s="53">
        <f>$I$43*$AV$43</f>
        <v>0</v>
      </c>
      <c r="AW96" s="53">
        <f>$I$43*$AW$43</f>
        <v>0</v>
      </c>
      <c r="AX96" s="53">
        <f>$I$43*$AX$43</f>
        <v>0</v>
      </c>
      <c r="AY96" s="53">
        <f>$I$43*$AY$43</f>
        <v>0</v>
      </c>
      <c r="AZ96" s="53">
        <f>$I$43*$AZ$43</f>
        <v>0</v>
      </c>
      <c r="BA96" s="53">
        <f>$I$43*$BA$43</f>
        <v>0</v>
      </c>
      <c r="BB96" s="53">
        <f>$I$43*$BB$43</f>
        <v>0</v>
      </c>
      <c r="BC96" s="53">
        <f>$I$43*$BC$43</f>
        <v>0</v>
      </c>
      <c r="BD96" s="53">
        <f>$I$43*$BD$43</f>
        <v>0</v>
      </c>
    </row>
    <row r="97" spans="1:56" ht="11.25" customHeight="1" x14ac:dyDescent="0.25">
      <c r="A97" s="9" t="s">
        <v>42</v>
      </c>
      <c r="B97" s="9" t="s">
        <v>960</v>
      </c>
      <c r="C97" s="9" t="s">
        <v>961</v>
      </c>
      <c r="D97" s="9" t="s">
        <v>966</v>
      </c>
      <c r="E97" s="9" t="s">
        <v>967</v>
      </c>
      <c r="F97" s="9" t="s">
        <v>968</v>
      </c>
      <c r="G97" s="9" t="s">
        <v>969</v>
      </c>
      <c r="L97" s="53">
        <f>$I$44*$L$44</f>
        <v>0</v>
      </c>
      <c r="M97" s="53">
        <f>$I$44*$M$44</f>
        <v>0</v>
      </c>
      <c r="N97" s="53">
        <f ca="1">$I$44*$N$44</f>
        <v>0</v>
      </c>
      <c r="O97" s="53">
        <f>$I$44*$O$44</f>
        <v>0</v>
      </c>
      <c r="P97" s="53">
        <f>$I$44*$P$44</f>
        <v>0</v>
      </c>
      <c r="Q97" s="53">
        <f>$I$44*$Q$44</f>
        <v>0</v>
      </c>
      <c r="R97" s="53">
        <f>$I$44*$R$44</f>
        <v>0</v>
      </c>
      <c r="S97" s="53">
        <f>$I$44*$S$44</f>
        <v>0</v>
      </c>
      <c r="T97" s="53">
        <f>$I$44*$T$44</f>
        <v>0</v>
      </c>
      <c r="U97" s="53">
        <f>$I$44*$U$44</f>
        <v>0</v>
      </c>
      <c r="V97" s="53">
        <f>$I$44*$V$44</f>
        <v>0</v>
      </c>
      <c r="W97" s="53">
        <f>$I$44*$W$44</f>
        <v>0</v>
      </c>
      <c r="X97" s="53">
        <f>$I$44*$X$44</f>
        <v>0</v>
      </c>
      <c r="Y97" s="53">
        <f>$I$44*$Y$44</f>
        <v>0</v>
      </c>
      <c r="Z97" s="53">
        <f>$I$44*$Z$44</f>
        <v>0</v>
      </c>
      <c r="AA97" s="53">
        <f>$I$44*$AA$44</f>
        <v>0</v>
      </c>
      <c r="AB97" s="53">
        <f ca="1">$I$44*$AB$44</f>
        <v>0</v>
      </c>
      <c r="AC97" s="53">
        <f ca="1">$I$44*$AC$44</f>
        <v>0</v>
      </c>
      <c r="AD97" s="53">
        <f>$I$44*$AD$44</f>
        <v>0</v>
      </c>
      <c r="AE97" s="53">
        <f>$I$44*$AE$44</f>
        <v>0</v>
      </c>
      <c r="AF97" s="53">
        <f ca="1">$I$44*$AF$44</f>
        <v>0</v>
      </c>
      <c r="AG97" s="53">
        <f ca="1">$I$44*$AG$44</f>
        <v>0</v>
      </c>
      <c r="AI97" s="53">
        <f>$I$44*$AI$44</f>
        <v>0</v>
      </c>
      <c r="AJ97" s="53">
        <f>$I$44*$AJ$44</f>
        <v>0</v>
      </c>
      <c r="AK97" s="53">
        <f>$I$44*$AK$44</f>
        <v>0</v>
      </c>
      <c r="AL97" s="53">
        <f>$I$44*$AL$44</f>
        <v>0</v>
      </c>
      <c r="AM97" s="53">
        <f>$I$44*$AM$44</f>
        <v>0</v>
      </c>
      <c r="AN97" s="53">
        <f>$I$44*$AN$44</f>
        <v>0</v>
      </c>
      <c r="AO97" s="53">
        <f>$I$44*$AO$44</f>
        <v>0</v>
      </c>
      <c r="AP97" s="53">
        <f>$I$44*$AP$44</f>
        <v>0</v>
      </c>
      <c r="AQ97" s="53">
        <f>$I$44*$AQ$44</f>
        <v>0</v>
      </c>
      <c r="AR97" s="53">
        <f>$I$44*$AR$44</f>
        <v>0</v>
      </c>
      <c r="AS97" s="53">
        <f>$I$44*$AS$44</f>
        <v>0</v>
      </c>
      <c r="AT97" s="53">
        <f>$I$44*$AT$44</f>
        <v>0</v>
      </c>
      <c r="AU97" s="53">
        <f>$I$44*$AU$44</f>
        <v>0</v>
      </c>
      <c r="AV97" s="53">
        <f>$I$44*$AV$44</f>
        <v>0</v>
      </c>
      <c r="AW97" s="53">
        <f>$I$44*$AW$44</f>
        <v>0</v>
      </c>
      <c r="AX97" s="53">
        <f>$I$44*$AX$44</f>
        <v>0</v>
      </c>
      <c r="AY97" s="53">
        <f>$I$44*$AY$44</f>
        <v>0</v>
      </c>
      <c r="AZ97" s="53">
        <f>$I$44*$AZ$44</f>
        <v>0</v>
      </c>
      <c r="BA97" s="53">
        <f>$I$44*$BA$44</f>
        <v>0</v>
      </c>
      <c r="BB97" s="53">
        <f>$I$44*$BB$44</f>
        <v>0</v>
      </c>
      <c r="BC97" s="53">
        <f>$I$44*$BC$44</f>
        <v>0</v>
      </c>
      <c r="BD97" s="53">
        <f>$I$44*$BD$44</f>
        <v>0</v>
      </c>
    </row>
    <row r="98" spans="1:56" ht="11.25" customHeight="1" x14ac:dyDescent="0.25">
      <c r="A98" s="9" t="s">
        <v>42</v>
      </c>
      <c r="B98" s="9" t="s">
        <v>960</v>
      </c>
      <c r="C98" s="9" t="s">
        <v>961</v>
      </c>
      <c r="D98" s="9" t="s">
        <v>970</v>
      </c>
      <c r="E98" s="9" t="s">
        <v>971</v>
      </c>
      <c r="F98" s="9" t="s">
        <v>972</v>
      </c>
      <c r="G98" s="9" t="s">
        <v>973</v>
      </c>
      <c r="L98" s="53">
        <f>$I$45*$L$45</f>
        <v>0</v>
      </c>
      <c r="M98" s="53">
        <f>$I$45*$M$45</f>
        <v>0</v>
      </c>
      <c r="N98" s="53">
        <f ca="1">$I$45*$N$45</f>
        <v>0</v>
      </c>
      <c r="O98" s="53">
        <f>$I$45*$O$45</f>
        <v>0</v>
      </c>
      <c r="P98" s="53">
        <f>$I$45*$P$45</f>
        <v>0</v>
      </c>
      <c r="Q98" s="53">
        <f>$I$45*$Q$45</f>
        <v>0</v>
      </c>
      <c r="R98" s="53">
        <f>$I$45*$R$45</f>
        <v>0</v>
      </c>
      <c r="S98" s="53">
        <f>$I$45*$S$45</f>
        <v>0</v>
      </c>
      <c r="T98" s="53">
        <f>$I$45*$T$45</f>
        <v>0</v>
      </c>
      <c r="U98" s="53">
        <f>$I$45*$U$45</f>
        <v>0</v>
      </c>
      <c r="V98" s="53">
        <f>$I$45*$V$45</f>
        <v>0</v>
      </c>
      <c r="W98" s="53">
        <f>$I$45*$W$45</f>
        <v>0</v>
      </c>
      <c r="X98" s="53">
        <f>$I$45*$X$45</f>
        <v>0</v>
      </c>
      <c r="Y98" s="53">
        <f>$I$45*$Y$45</f>
        <v>0</v>
      </c>
      <c r="Z98" s="53">
        <f>$I$45*$Z$45</f>
        <v>0</v>
      </c>
      <c r="AA98" s="53">
        <f>$I$45*$AA$45</f>
        <v>0</v>
      </c>
      <c r="AB98" s="53">
        <f ca="1">$I$45*$AB$45</f>
        <v>0</v>
      </c>
      <c r="AC98" s="53">
        <f ca="1">$I$45*$AC$45</f>
        <v>0</v>
      </c>
      <c r="AD98" s="53">
        <f>$I$45*$AD$45</f>
        <v>0</v>
      </c>
      <c r="AE98" s="53">
        <f>$I$45*$AE$45</f>
        <v>0</v>
      </c>
      <c r="AF98" s="53">
        <f ca="1">$I$45*$AF$45</f>
        <v>0</v>
      </c>
      <c r="AG98" s="53">
        <f ca="1">$I$45*$AG$45</f>
        <v>0</v>
      </c>
      <c r="AI98" s="53">
        <f>$I$45*$AI$45</f>
        <v>0</v>
      </c>
      <c r="AJ98" s="53">
        <f>$I$45*$AJ$45</f>
        <v>0</v>
      </c>
      <c r="AK98" s="53">
        <f>$I$45*$AK$45</f>
        <v>0</v>
      </c>
      <c r="AL98" s="53">
        <f>$I$45*$AL$45</f>
        <v>0</v>
      </c>
      <c r="AM98" s="53">
        <f>$I$45*$AM$45</f>
        <v>0</v>
      </c>
      <c r="AN98" s="53">
        <f>$I$45*$AN$45</f>
        <v>0</v>
      </c>
      <c r="AO98" s="53">
        <f>$I$45*$AO$45</f>
        <v>0</v>
      </c>
      <c r="AP98" s="53">
        <f>$I$45*$AP$45</f>
        <v>0</v>
      </c>
      <c r="AQ98" s="53">
        <f>$I$45*$AQ$45</f>
        <v>0</v>
      </c>
      <c r="AR98" s="53">
        <f>$I$45*$AR$45</f>
        <v>0</v>
      </c>
      <c r="AS98" s="53">
        <f>$I$45*$AS$45</f>
        <v>0</v>
      </c>
      <c r="AT98" s="53">
        <f>$I$45*$AT$45</f>
        <v>0</v>
      </c>
      <c r="AU98" s="53">
        <f>$I$45*$AU$45</f>
        <v>0</v>
      </c>
      <c r="AV98" s="53">
        <f>$I$45*$AV$45</f>
        <v>0</v>
      </c>
      <c r="AW98" s="53">
        <f>$I$45*$AW$45</f>
        <v>0</v>
      </c>
      <c r="AX98" s="53">
        <f>$I$45*$AX$45</f>
        <v>0</v>
      </c>
      <c r="AY98" s="53">
        <f>$I$45*$AY$45</f>
        <v>0</v>
      </c>
      <c r="AZ98" s="53">
        <f>$I$45*$AZ$45</f>
        <v>0</v>
      </c>
      <c r="BA98" s="53">
        <f>$I$45*$BA$45</f>
        <v>0</v>
      </c>
      <c r="BB98" s="53">
        <f>$I$45*$BB$45</f>
        <v>0</v>
      </c>
      <c r="BC98" s="53">
        <f>$I$45*$BC$45</f>
        <v>0</v>
      </c>
      <c r="BD98" s="53">
        <f>$I$45*$BD$45</f>
        <v>0</v>
      </c>
    </row>
    <row r="99" spans="1:56" ht="11.25" customHeight="1" x14ac:dyDescent="0.25">
      <c r="A99" s="9" t="s">
        <v>36</v>
      </c>
      <c r="B99" s="9" t="s">
        <v>974</v>
      </c>
      <c r="C99" s="9" t="s">
        <v>975</v>
      </c>
      <c r="D99" s="9" t="s">
        <v>976</v>
      </c>
      <c r="E99" s="9" t="s">
        <v>977</v>
      </c>
      <c r="F99" s="9" t="s">
        <v>978</v>
      </c>
      <c r="G99" s="9" t="s">
        <v>979</v>
      </c>
      <c r="L99" s="53">
        <f>$I$46*$L$46</f>
        <v>126.51391642294639</v>
      </c>
      <c r="M99" s="53">
        <f>$I$46*$M$46</f>
        <v>16.044516073476458</v>
      </c>
      <c r="N99" s="53">
        <f ca="1">$I$46*$N$46</f>
        <v>206.23295340694466</v>
      </c>
      <c r="O99" s="53">
        <f>$I$46*$O$46</f>
        <v>0</v>
      </c>
      <c r="P99" s="53">
        <f>$I$46*$P$46</f>
        <v>0</v>
      </c>
      <c r="Q99" s="53">
        <f>$I$46*$Q$46</f>
        <v>2139.214533189805</v>
      </c>
      <c r="R99" s="53">
        <f>$I$46*$R$46</f>
        <v>322.6656479111694</v>
      </c>
      <c r="S99" s="53">
        <f>$I$46*$S$46</f>
        <v>0</v>
      </c>
      <c r="T99" s="53">
        <f>$I$46*$T$46</f>
        <v>3444.8457315367787</v>
      </c>
      <c r="U99" s="53">
        <f>$I$46*$U$46</f>
        <v>1120.9703093193741</v>
      </c>
      <c r="V99" s="53">
        <f>$I$46*$V$46</f>
        <v>1853.2920183920673</v>
      </c>
      <c r="W99" s="53">
        <f>$I$46*$W$46</f>
        <v>0</v>
      </c>
      <c r="X99" s="53">
        <f>$I$46*$X$46</f>
        <v>0</v>
      </c>
      <c r="Y99" s="53">
        <f>$I$46*$Y$46</f>
        <v>0</v>
      </c>
      <c r="Z99" s="53">
        <f>$I$46*$Z$46</f>
        <v>0</v>
      </c>
      <c r="AA99" s="53">
        <f>$I$46*$AA$46</f>
        <v>18222.389117528619</v>
      </c>
      <c r="AB99" s="53">
        <f ca="1">$I$46*$AB$46</f>
        <v>-5131.9053205623795</v>
      </c>
      <c r="AC99" s="53">
        <f ca="1">$I$46*$AC$46</f>
        <v>0</v>
      </c>
      <c r="AD99" s="53">
        <f>$I$46*$AD$46</f>
        <v>358.13039467318868</v>
      </c>
      <c r="AE99" s="53">
        <f>$I$46*$AE$46</f>
        <v>12.282516593586042</v>
      </c>
      <c r="AF99" s="53">
        <f ca="1">$I$46*$AF$46</f>
        <v>52.727252025077206</v>
      </c>
      <c r="AG99" s="53">
        <f ca="1">$I$46*$AG$46</f>
        <v>6.367210951272436</v>
      </c>
      <c r="AI99" s="53">
        <f>$I$46*$AI$46</f>
        <v>130.72588772792432</v>
      </c>
      <c r="AJ99" s="53">
        <f>$I$46*$AJ$46</f>
        <v>15.691584828608226</v>
      </c>
      <c r="AK99" s="53">
        <f>$I$46*$AK$46</f>
        <v>196.66092645463809</v>
      </c>
      <c r="AL99" s="53">
        <f>$I$46*$AL$46</f>
        <v>0</v>
      </c>
      <c r="AM99" s="53">
        <f>$I$46*$AM$46</f>
        <v>0</v>
      </c>
      <c r="AN99" s="53">
        <f>$I$46*$AN$46</f>
        <v>1218.0865221156671</v>
      </c>
      <c r="AO99" s="53">
        <f>$I$46*$AO$46</f>
        <v>196.84186157591682</v>
      </c>
      <c r="AP99" s="53">
        <f>$I$46*$AP$46</f>
        <v>0</v>
      </c>
      <c r="AQ99" s="53">
        <f>$I$46*$AQ$46</f>
        <v>1537.7878622904675</v>
      </c>
      <c r="AR99" s="53">
        <f>$I$46*$AR$46</f>
        <v>698.81498349015931</v>
      </c>
      <c r="AS99" s="53">
        <f>$I$46*$AS$46</f>
        <v>655.25555261365037</v>
      </c>
      <c r="AT99" s="53">
        <f>$I$46*$AT$46</f>
        <v>0</v>
      </c>
      <c r="AU99" s="53">
        <f>$I$46*$AU$46</f>
        <v>0</v>
      </c>
      <c r="AV99" s="53">
        <f>$I$46*$AV$46</f>
        <v>0</v>
      </c>
      <c r="AW99" s="53">
        <f>$I$46*$AW$46</f>
        <v>0</v>
      </c>
      <c r="AX99" s="53">
        <f>$I$46*$AX$46</f>
        <v>12472.559108704692</v>
      </c>
      <c r="AY99" s="53">
        <f>$I$46*$AY$46</f>
        <v>0</v>
      </c>
      <c r="AZ99" s="53">
        <f>$I$46*$AZ$46</f>
        <v>0</v>
      </c>
      <c r="BA99" s="53">
        <f>$I$46*$BA$46</f>
        <v>395.96460674662029</v>
      </c>
      <c r="BB99" s="53">
        <f>$I$46*$BB$46</f>
        <v>11.400160154879357</v>
      </c>
      <c r="BC99" s="53">
        <f>$I$46*$BC$46</f>
        <v>45.776499909663585</v>
      </c>
      <c r="BD99" s="53">
        <f>$I$46*$BD$46</f>
        <v>6.4125817177909132</v>
      </c>
    </row>
    <row r="100" spans="1:56" ht="11.25" customHeight="1" x14ac:dyDescent="0.25">
      <c r="A100" s="9" t="s">
        <v>36</v>
      </c>
      <c r="B100" s="9" t="s">
        <v>974</v>
      </c>
      <c r="C100" s="9" t="s">
        <v>975</v>
      </c>
      <c r="D100" s="9" t="s">
        <v>976</v>
      </c>
      <c r="E100" s="9" t="s">
        <v>977</v>
      </c>
      <c r="F100" s="9" t="s">
        <v>978</v>
      </c>
      <c r="G100" s="9" t="s">
        <v>980</v>
      </c>
      <c r="L100" s="53">
        <f>$I$47*$L$47</f>
        <v>103.12935899111613</v>
      </c>
      <c r="M100" s="53">
        <f>$I$47*$M$47</f>
        <v>13.078882582755723</v>
      </c>
      <c r="N100" s="53">
        <f ca="1">$I$47*$N$47</f>
        <v>55.651145869475272</v>
      </c>
      <c r="O100" s="53">
        <f>$I$47*$O$47</f>
        <v>0</v>
      </c>
      <c r="P100" s="53">
        <f>$I$47*$P$47</f>
        <v>0</v>
      </c>
      <c r="Q100" s="53">
        <f>$I$47*$Q$47</f>
        <v>1743.8067667971604</v>
      </c>
      <c r="R100" s="53">
        <f>$I$47*$R$47</f>
        <v>263.02483061457576</v>
      </c>
      <c r="S100" s="53">
        <f>$I$47*$S$47</f>
        <v>0</v>
      </c>
      <c r="T100" s="53">
        <f>$I$47*$T$47</f>
        <v>842.43302355526089</v>
      </c>
      <c r="U100" s="53">
        <f>$I$47*$U$47</f>
        <v>274.13125891896539</v>
      </c>
      <c r="V100" s="53">
        <f>$I$47*$V$47</f>
        <v>453.22036863063386</v>
      </c>
      <c r="W100" s="53">
        <f>$I$47*$W$47</f>
        <v>0</v>
      </c>
      <c r="X100" s="53">
        <f>$I$47*$X$47</f>
        <v>0</v>
      </c>
      <c r="Y100" s="53">
        <f>$I$47*$Y$47</f>
        <v>0</v>
      </c>
      <c r="Z100" s="53">
        <f>$I$47*$Z$47</f>
        <v>0</v>
      </c>
      <c r="AA100" s="53">
        <f>$I$47*$AA$47</f>
        <v>4456.2610112390284</v>
      </c>
      <c r="AB100" s="53">
        <f ca="1">$I$47*$AB$47</f>
        <v>-1535.8797374158812</v>
      </c>
      <c r="AC100" s="53">
        <f ca="1">$I$47*$AC$47</f>
        <v>0</v>
      </c>
      <c r="AD100" s="53">
        <f>$I$47*$AD$47</f>
        <v>291.93435064019997</v>
      </c>
      <c r="AE100" s="53">
        <f>$I$47*$AE$47</f>
        <v>10.012242912942746</v>
      </c>
      <c r="AF100" s="53">
        <f ca="1">$I$47*$AF$47</f>
        <v>42.981261322513113</v>
      </c>
      <c r="AG100" s="53">
        <f ca="1">$I$47*$AG$47</f>
        <v>5.1903095132295043</v>
      </c>
      <c r="AI100" s="53">
        <f>$I$47*$AI$47</f>
        <v>106.56279867153191</v>
      </c>
      <c r="AJ100" s="53">
        <f>$I$47*$AJ$47</f>
        <v>12.791186382366847</v>
      </c>
      <c r="AK100" s="53">
        <f>$I$47*$AK$47</f>
        <v>85.664902821354701</v>
      </c>
      <c r="AL100" s="53">
        <f>$I$47*$AL$47</f>
        <v>0</v>
      </c>
      <c r="AM100" s="53">
        <f>$I$47*$AM$47</f>
        <v>0</v>
      </c>
      <c r="AN100" s="53">
        <f>$I$47*$AN$47</f>
        <v>992.93805593328705</v>
      </c>
      <c r="AO100" s="53">
        <f>$I$47*$AO$47</f>
        <v>160.45803956520615</v>
      </c>
      <c r="AP100" s="53">
        <f>$I$47*$AP$47</f>
        <v>0</v>
      </c>
      <c r="AQ100" s="53">
        <f>$I$47*$AQ$47</f>
        <v>626.77419900964844</v>
      </c>
      <c r="AR100" s="53">
        <f>$I$47*$AR$47</f>
        <v>284.82377013686363</v>
      </c>
      <c r="AS100" s="53">
        <f>$I$47*$AS$47</f>
        <v>267.06580922360098</v>
      </c>
      <c r="AT100" s="53">
        <f>$I$47*$AT$47</f>
        <v>0</v>
      </c>
      <c r="AU100" s="53">
        <f>$I$47*$AU$47</f>
        <v>0</v>
      </c>
      <c r="AV100" s="53">
        <f>$I$47*$AV$47</f>
        <v>0</v>
      </c>
      <c r="AW100" s="53">
        <f>$I$47*$AW$47</f>
        <v>0</v>
      </c>
      <c r="AX100" s="53">
        <f>$I$47*$AX$47</f>
        <v>5083.5791912383811</v>
      </c>
      <c r="AY100" s="53">
        <f>$I$47*$AY$47</f>
        <v>0</v>
      </c>
      <c r="AZ100" s="53">
        <f>$I$47*$AZ$47</f>
        <v>0</v>
      </c>
      <c r="BA100" s="53">
        <f>$I$47*$BA$47</f>
        <v>322.77536915726847</v>
      </c>
      <c r="BB100" s="53">
        <f>$I$47*$BB$47</f>
        <v>9.2929793212498399</v>
      </c>
      <c r="BC100" s="53">
        <f>$I$47*$BC$47</f>
        <v>37.31527112604855</v>
      </c>
      <c r="BD100" s="53">
        <f>$I$47*$BD$47</f>
        <v>5.2272940458428465</v>
      </c>
    </row>
    <row r="101" spans="1:56" ht="11.25" customHeight="1" x14ac:dyDescent="0.25">
      <c r="A101" s="9" t="s">
        <v>36</v>
      </c>
      <c r="B101" s="9" t="s">
        <v>974</v>
      </c>
      <c r="C101" s="9" t="s">
        <v>975</v>
      </c>
      <c r="D101" s="9" t="s">
        <v>976</v>
      </c>
      <c r="E101" s="9" t="s">
        <v>977</v>
      </c>
      <c r="F101" s="9" t="s">
        <v>978</v>
      </c>
      <c r="G101" s="9" t="s">
        <v>981</v>
      </c>
      <c r="L101" s="53">
        <f>$I$48*$L$48</f>
        <v>1337.1158926672356</v>
      </c>
      <c r="M101" s="53">
        <f>$I$48*$M$48</f>
        <v>169.57326149227634</v>
      </c>
      <c r="N101" s="53">
        <f ca="1">$I$48*$N$48</f>
        <v>304.93510086248824</v>
      </c>
      <c r="O101" s="53">
        <f>$I$48*$O$48</f>
        <v>0</v>
      </c>
      <c r="P101" s="53">
        <f>$I$48*$P$48</f>
        <v>0</v>
      </c>
      <c r="Q101" s="53">
        <f>$I$48*$Q$48</f>
        <v>22609.194553667377</v>
      </c>
      <c r="R101" s="53">
        <f>$I$48*$R$48</f>
        <v>3410.2285190306761</v>
      </c>
      <c r="S101" s="53">
        <f>$I$48*$S$48</f>
        <v>0</v>
      </c>
      <c r="T101" s="53">
        <f>$I$48*$T$48</f>
        <v>3640.8268926561941</v>
      </c>
      <c r="U101" s="53">
        <f>$I$48*$U$48</f>
        <v>1184.7426913254992</v>
      </c>
      <c r="V101" s="53">
        <f>$I$48*$V$48</f>
        <v>1958.7380252423231</v>
      </c>
      <c r="W101" s="53">
        <f>$I$48*$W$48</f>
        <v>0</v>
      </c>
      <c r="X101" s="53">
        <f>$I$48*$X$48</f>
        <v>0</v>
      </c>
      <c r="Y101" s="53">
        <f>$I$48*$Y$48</f>
        <v>0</v>
      </c>
      <c r="Z101" s="53">
        <f>$I$48*$Z$48</f>
        <v>0</v>
      </c>
      <c r="AA101" s="53">
        <f>$I$48*$AA$48</f>
        <v>19259.111777698366</v>
      </c>
      <c r="AB101" s="53">
        <f ca="1">$I$48*$AB$48</f>
        <v>-10106.079912054</v>
      </c>
      <c r="AC101" s="53">
        <f ca="1">$I$48*$AC$48</f>
        <v>0</v>
      </c>
      <c r="AD101" s="53">
        <f>$I$48*$AD$48</f>
        <v>3785.0527112277173</v>
      </c>
      <c r="AE101" s="53">
        <f>$I$48*$AE$48</f>
        <v>129.81297712995465</v>
      </c>
      <c r="AF101" s="53">
        <f ca="1">$I$48*$AF$48</f>
        <v>557.27028814526579</v>
      </c>
      <c r="AG101" s="53">
        <f ca="1">$I$48*$AG$48</f>
        <v>67.294564863909883</v>
      </c>
      <c r="AI101" s="53">
        <f>$I$48*$AI$48</f>
        <v>1381.6318947844766</v>
      </c>
      <c r="AJ101" s="53">
        <f>$I$48*$AJ$48</f>
        <v>165.84315819712174</v>
      </c>
      <c r="AK101" s="53">
        <f>$I$48*$AK$48</f>
        <v>515.82207379894294</v>
      </c>
      <c r="AL101" s="53">
        <f>$I$48*$AL$48</f>
        <v>0</v>
      </c>
      <c r="AM101" s="53">
        <f>$I$48*$AM$48</f>
        <v>0</v>
      </c>
      <c r="AN101" s="53">
        <f>$I$48*$AN$48</f>
        <v>12873.863156047311</v>
      </c>
      <c r="AO101" s="53">
        <f>$I$48*$AO$48</f>
        <v>2080.4065584015434</v>
      </c>
      <c r="AP101" s="53">
        <f>$I$48*$AP$48</f>
        <v>0</v>
      </c>
      <c r="AQ101" s="53">
        <f>$I$48*$AQ$48</f>
        <v>3131.5581040864527</v>
      </c>
      <c r="AR101" s="53">
        <f>$I$48*$AR$48</f>
        <v>1423.0674447337149</v>
      </c>
      <c r="AS101" s="53">
        <f>$I$48*$AS$48</f>
        <v>1334.3530522115555</v>
      </c>
      <c r="AT101" s="53">
        <f>$I$48*$AT$48</f>
        <v>0</v>
      </c>
      <c r="AU101" s="53">
        <f>$I$48*$AU$48</f>
        <v>0</v>
      </c>
      <c r="AV101" s="53">
        <f>$I$48*$AV$48</f>
        <v>0</v>
      </c>
      <c r="AW101" s="53">
        <f>$I$48*$AW$48</f>
        <v>0</v>
      </c>
      <c r="AX101" s="53">
        <f>$I$48*$AX$48</f>
        <v>25399.130995924654</v>
      </c>
      <c r="AY101" s="53">
        <f>$I$48*$AY$48</f>
        <v>0</v>
      </c>
      <c r="AZ101" s="53">
        <f>$I$48*$AZ$48</f>
        <v>0</v>
      </c>
      <c r="BA101" s="53">
        <f>$I$48*$BA$48</f>
        <v>4184.9196008179952</v>
      </c>
      <c r="BB101" s="53">
        <f>$I$48*$BB$48</f>
        <v>120.48741951107766</v>
      </c>
      <c r="BC101" s="53">
        <f>$I$48*$BC$48</f>
        <v>483.80832141237693</v>
      </c>
      <c r="BD101" s="53">
        <f>$I$48*$BD$48</f>
        <v>67.774085020186916</v>
      </c>
    </row>
    <row r="102" spans="1:56" ht="11.25" customHeight="1" x14ac:dyDescent="0.25">
      <c r="A102" s="9" t="s">
        <v>36</v>
      </c>
      <c r="B102" s="9" t="s">
        <v>982</v>
      </c>
      <c r="C102" s="9" t="s">
        <v>983</v>
      </c>
      <c r="D102" s="9" t="s">
        <v>984</v>
      </c>
      <c r="E102" s="9" t="s">
        <v>985</v>
      </c>
      <c r="F102" s="9" t="s">
        <v>986</v>
      </c>
      <c r="G102" s="9" t="s">
        <v>987</v>
      </c>
      <c r="L102" s="53">
        <f>$I$49*$L$49</f>
        <v>161451.90985086601</v>
      </c>
      <c r="M102" s="53">
        <f>$I$49*$M$49</f>
        <v>20475.358252571306</v>
      </c>
      <c r="N102" s="53">
        <f ca="1">$I$49*$N$49</f>
        <v>64067.600330750283</v>
      </c>
      <c r="O102" s="53">
        <f>$I$49*$O$49</f>
        <v>0</v>
      </c>
      <c r="P102" s="53">
        <f>$I$49*$P$49</f>
        <v>0</v>
      </c>
      <c r="Q102" s="53">
        <f>$I$49*$Q$49</f>
        <v>2729978.5014131428</v>
      </c>
      <c r="R102" s="53">
        <f>$I$49*$R$49</f>
        <v>411772.76438401913</v>
      </c>
      <c r="S102" s="53">
        <f>$I$49*$S$49</f>
        <v>0</v>
      </c>
      <c r="T102" s="53">
        <f>$I$49*$T$49</f>
        <v>915869.56301184325</v>
      </c>
      <c r="U102" s="53">
        <f>$I$49*$U$49</f>
        <v>298027.90974298632</v>
      </c>
      <c r="V102" s="53">
        <f>$I$49*$V$49</f>
        <v>492728.89255705161</v>
      </c>
      <c r="W102" s="53">
        <f>$I$49*$W$49</f>
        <v>0</v>
      </c>
      <c r="X102" s="53">
        <f>$I$49*$X$49</f>
        <v>0</v>
      </c>
      <c r="Y102" s="53">
        <f>$I$49*$Y$49</f>
        <v>0</v>
      </c>
      <c r="Z102" s="53">
        <f>$I$49*$Z$49</f>
        <v>0</v>
      </c>
      <c r="AA102" s="53">
        <f>$I$49*$AA$49</f>
        <v>4844723.1607890744</v>
      </c>
      <c r="AB102" s="53">
        <f ca="1">$I$49*$AB$49</f>
        <v>-1861708.8758874347</v>
      </c>
      <c r="AC102" s="53">
        <f ca="1">$I$49*$AC$49</f>
        <v>0</v>
      </c>
      <c r="AD102" s="53">
        <f>$I$49*$AD$49</f>
        <v>457031.43045806064</v>
      </c>
      <c r="AE102" s="53">
        <f>$I$49*$AE$49</f>
        <v>15674.447664555481</v>
      </c>
      <c r="AF102" s="53">
        <f ca="1">$I$49*$AF$49</f>
        <v>67288.372546916362</v>
      </c>
      <c r="AG102" s="53">
        <f ca="1">$I$49*$AG$49</f>
        <v>8125.5754115586869</v>
      </c>
      <c r="AI102" s="53">
        <f>$I$49*$AI$49</f>
        <v>166827.05616403784</v>
      </c>
      <c r="AJ102" s="53">
        <f>$I$49*$AJ$49</f>
        <v>20024.961765440781</v>
      </c>
      <c r="AK102" s="53">
        <f>$I$49*$AK$49</f>
        <v>86532.040435971227</v>
      </c>
      <c r="AL102" s="53">
        <f>$I$49*$AL$49</f>
        <v>0</v>
      </c>
      <c r="AM102" s="53">
        <f>$I$49*$AM$49</f>
        <v>0</v>
      </c>
      <c r="AN102" s="53">
        <f>$I$49*$AN$49</f>
        <v>1554472.4321213411</v>
      </c>
      <c r="AO102" s="53">
        <f>$I$49*$AO$49</f>
        <v>251201.5704563818</v>
      </c>
      <c r="AP102" s="53">
        <f>$I$49*$AP$49</f>
        <v>0</v>
      </c>
      <c r="AQ102" s="53">
        <f>$I$49*$AQ$49</f>
        <v>581729.49279974133</v>
      </c>
      <c r="AR102" s="53">
        <f>$I$49*$AR$49</f>
        <v>264354.60048564989</v>
      </c>
      <c r="AS102" s="53">
        <f>$I$49*$AS$49</f>
        <v>247878.13403704087</v>
      </c>
      <c r="AT102" s="53">
        <f>$I$49*$AT$49</f>
        <v>0</v>
      </c>
      <c r="AU102" s="53">
        <f>$I$49*$AU$49</f>
        <v>0</v>
      </c>
      <c r="AV102" s="53">
        <f>$I$49*$AV$49</f>
        <v>0</v>
      </c>
      <c r="AW102" s="53">
        <f>$I$49*$AW$49</f>
        <v>0</v>
      </c>
      <c r="AX102" s="53">
        <f>$I$49*$AX$49</f>
        <v>4718236.1950163469</v>
      </c>
      <c r="AY102" s="53">
        <f>$I$49*$AY$49</f>
        <v>0</v>
      </c>
      <c r="AZ102" s="53">
        <f>$I$49*$AZ$49</f>
        <v>0</v>
      </c>
      <c r="BA102" s="53">
        <f>$I$49*$BA$49</f>
        <v>505313.91170334379</v>
      </c>
      <c r="BB102" s="53">
        <f>$I$49*$BB$49</f>
        <v>14548.420297556946</v>
      </c>
      <c r="BC102" s="53">
        <f>$I$49*$BC$49</f>
        <v>58418.105657210494</v>
      </c>
      <c r="BD102" s="53">
        <f>$I$49*$BD$49</f>
        <v>8183.4757367791726</v>
      </c>
    </row>
    <row r="103" spans="1:56" ht="11.25" customHeight="1" x14ac:dyDescent="0.25">
      <c r="A103" s="9" t="s">
        <v>36</v>
      </c>
      <c r="B103" s="9" t="s">
        <v>988</v>
      </c>
      <c r="C103" s="9" t="s">
        <v>989</v>
      </c>
      <c r="D103" s="9" t="s">
        <v>990</v>
      </c>
      <c r="E103" s="9" t="s">
        <v>991</v>
      </c>
      <c r="F103" s="9" t="s">
        <v>992</v>
      </c>
      <c r="G103" s="9" t="s">
        <v>993</v>
      </c>
      <c r="L103" s="53">
        <f>$I$50*$L$50</f>
        <v>0</v>
      </c>
      <c r="M103" s="53">
        <f>$I$50*$M$50</f>
        <v>0</v>
      </c>
      <c r="N103" s="53">
        <f ca="1">$I$50*$N$50</f>
        <v>0</v>
      </c>
      <c r="O103" s="53">
        <f>$I$50*$O$50</f>
        <v>0</v>
      </c>
      <c r="P103" s="53">
        <f>$I$50*$P$50</f>
        <v>0</v>
      </c>
      <c r="Q103" s="53">
        <f>$I$50*$Q$50</f>
        <v>0</v>
      </c>
      <c r="R103" s="53">
        <f>$I$50*$R$50</f>
        <v>0</v>
      </c>
      <c r="S103" s="53">
        <f>$I$50*$S$50</f>
        <v>0</v>
      </c>
      <c r="T103" s="53">
        <f>$I$50*$T$50</f>
        <v>0</v>
      </c>
      <c r="U103" s="53">
        <f>$I$50*$U$50</f>
        <v>0</v>
      </c>
      <c r="V103" s="53">
        <f>$I$50*$V$50</f>
        <v>0</v>
      </c>
      <c r="W103" s="53">
        <f>$I$50*$W$50</f>
        <v>0</v>
      </c>
      <c r="X103" s="53">
        <f>$I$50*$X$50</f>
        <v>0</v>
      </c>
      <c r="Y103" s="53">
        <f>$I$50*$Y$50</f>
        <v>0</v>
      </c>
      <c r="Z103" s="53">
        <f>$I$50*$Z$50</f>
        <v>0</v>
      </c>
      <c r="AA103" s="53">
        <f>$I$50*$AA$50</f>
        <v>0</v>
      </c>
      <c r="AB103" s="53">
        <f ca="1">$I$50*$AB$50</f>
        <v>0</v>
      </c>
      <c r="AC103" s="53">
        <f ca="1">$I$50*$AC$50</f>
        <v>0</v>
      </c>
      <c r="AD103" s="53">
        <f>$I$50*$AD$50</f>
        <v>0</v>
      </c>
      <c r="AE103" s="53">
        <f>$I$50*$AE$50</f>
        <v>0</v>
      </c>
      <c r="AF103" s="53">
        <f ca="1">$I$50*$AF$50</f>
        <v>0</v>
      </c>
      <c r="AG103" s="53">
        <f ca="1">$I$50*$AG$50</f>
        <v>0</v>
      </c>
      <c r="AI103" s="53">
        <f>$I$50*$AI$50</f>
        <v>0</v>
      </c>
      <c r="AJ103" s="53">
        <f>$I$50*$AJ$50</f>
        <v>0</v>
      </c>
      <c r="AK103" s="53">
        <f>$I$50*$AK$50</f>
        <v>0</v>
      </c>
      <c r="AL103" s="53">
        <f>$I$50*$AL$50</f>
        <v>0</v>
      </c>
      <c r="AM103" s="53">
        <f>$I$50*$AM$50</f>
        <v>0</v>
      </c>
      <c r="AN103" s="53">
        <f>$I$50*$AN$50</f>
        <v>0</v>
      </c>
      <c r="AO103" s="53">
        <f>$I$50*$AO$50</f>
        <v>0</v>
      </c>
      <c r="AP103" s="53">
        <f>$I$50*$AP$50</f>
        <v>0</v>
      </c>
      <c r="AQ103" s="53">
        <f>$I$50*$AQ$50</f>
        <v>0</v>
      </c>
      <c r="AR103" s="53">
        <f>$I$50*$AR$50</f>
        <v>0</v>
      </c>
      <c r="AS103" s="53">
        <f>$I$50*$AS$50</f>
        <v>0</v>
      </c>
      <c r="AT103" s="53">
        <f>$I$50*$AT$50</f>
        <v>0</v>
      </c>
      <c r="AU103" s="53">
        <f>$I$50*$AU$50</f>
        <v>0</v>
      </c>
      <c r="AV103" s="53">
        <f>$I$50*$AV$50</f>
        <v>0</v>
      </c>
      <c r="AW103" s="53">
        <f>$I$50*$AW$50</f>
        <v>0</v>
      </c>
      <c r="AX103" s="53">
        <f>$I$50*$AX$50</f>
        <v>0</v>
      </c>
      <c r="AY103" s="53">
        <f>$I$50*$AY$50</f>
        <v>0</v>
      </c>
      <c r="AZ103" s="53">
        <f>$I$50*$AZ$50</f>
        <v>0</v>
      </c>
      <c r="BA103" s="53">
        <f>$I$50*$BA$50</f>
        <v>0</v>
      </c>
      <c r="BB103" s="53">
        <f>$I$50*$BB$50</f>
        <v>0</v>
      </c>
      <c r="BC103" s="53">
        <f>$I$50*$BC$50</f>
        <v>0</v>
      </c>
      <c r="BD103" s="53">
        <f>$I$50*$BD$50</f>
        <v>0</v>
      </c>
    </row>
    <row r="104" spans="1:56" ht="11.25" customHeight="1" x14ac:dyDescent="0.25">
      <c r="A104" s="9" t="s">
        <v>45</v>
      </c>
      <c r="B104" s="9" t="s">
        <v>994</v>
      </c>
      <c r="C104" s="9" t="s">
        <v>995</v>
      </c>
      <c r="D104" s="9" t="s">
        <v>996</v>
      </c>
      <c r="E104" s="9" t="s">
        <v>997</v>
      </c>
      <c r="F104" s="9" t="s">
        <v>998</v>
      </c>
      <c r="G104" s="9" t="s">
        <v>999</v>
      </c>
      <c r="L104" s="53">
        <f>$I$51*$L$51</f>
        <v>18608.166406668457</v>
      </c>
      <c r="M104" s="53">
        <f>$I$51*$M$51</f>
        <v>2359.8907808024014</v>
      </c>
      <c r="N104" s="53">
        <f ca="1">$I$51*$N$51</f>
        <v>7384.1218064979948</v>
      </c>
      <c r="O104" s="53">
        <f>$I$51*$O$51</f>
        <v>0</v>
      </c>
      <c r="P104" s="53">
        <f>$I$51*$P$51</f>
        <v>0</v>
      </c>
      <c r="Q104" s="53">
        <f>$I$51*$Q$51</f>
        <v>314644.12088929315</v>
      </c>
      <c r="R104" s="53">
        <f>$I$51*$R$51</f>
        <v>47458.937639507953</v>
      </c>
      <c r="S104" s="53">
        <f>$I$51*$S$51</f>
        <v>0</v>
      </c>
      <c r="T104" s="53">
        <f>$I$51*$T$51</f>
        <v>105558.69702049046</v>
      </c>
      <c r="U104" s="53">
        <f>$I$51*$U$51</f>
        <v>34349.255722349139</v>
      </c>
      <c r="V104" s="53">
        <f>$I$51*$V$51</f>
        <v>56789.549498326356</v>
      </c>
      <c r="W104" s="53">
        <f>$I$51*$W$51</f>
        <v>0</v>
      </c>
      <c r="X104" s="53">
        <f>$I$51*$X$51</f>
        <v>0</v>
      </c>
      <c r="Y104" s="53">
        <f>$I$51*$Y$51</f>
        <v>0</v>
      </c>
      <c r="Z104" s="53">
        <f>$I$51*$Z$51</f>
        <v>0</v>
      </c>
      <c r="AA104" s="53">
        <f>$I$51*$AA$51</f>
        <v>558379.36419257743</v>
      </c>
      <c r="AB104" s="53">
        <f ca="1">$I$51*$AB$51</f>
        <v>-214571.56248746128</v>
      </c>
      <c r="AC104" s="53">
        <f ca="1">$I$51*$AC$51</f>
        <v>0</v>
      </c>
      <c r="AD104" s="53">
        <f>$I$51*$AD$51</f>
        <v>52675.232636746034</v>
      </c>
      <c r="AE104" s="53">
        <f>$I$51*$AE$51</f>
        <v>1806.5610418859944</v>
      </c>
      <c r="AF104" s="53">
        <f ca="1">$I$51*$AF$51</f>
        <v>7755.3324376497312</v>
      </c>
      <c r="AG104" s="53">
        <f ca="1">$I$51*$AG$51</f>
        <v>936.51452960750828</v>
      </c>
      <c r="AI104" s="53">
        <f>$I$51*$AI$51</f>
        <v>19227.679778471098</v>
      </c>
      <c r="AJ104" s="53">
        <f>$I$51*$AJ$51</f>
        <v>2307.9802596494146</v>
      </c>
      <c r="AK104" s="53">
        <f>$I$51*$AK$51</f>
        <v>9973.2645431600722</v>
      </c>
      <c r="AL104" s="53">
        <f>$I$51*$AL$51</f>
        <v>0</v>
      </c>
      <c r="AM104" s="53">
        <f>$I$51*$AM$51</f>
        <v>0</v>
      </c>
      <c r="AN104" s="53">
        <f>$I$51*$AN$51</f>
        <v>179160.97566273186</v>
      </c>
      <c r="AO104" s="53">
        <f>$I$51*$AO$51</f>
        <v>28952.278291328807</v>
      </c>
      <c r="AP104" s="53">
        <f>$I$51*$AP$51</f>
        <v>0</v>
      </c>
      <c r="AQ104" s="53">
        <f>$I$51*$AQ$51</f>
        <v>67047.32830775094</v>
      </c>
      <c r="AR104" s="53">
        <f>$I$51*$AR$51</f>
        <v>30468.232929230689</v>
      </c>
      <c r="AS104" s="53">
        <f>$I$51*$AS$51</f>
        <v>28569.235080565915</v>
      </c>
      <c r="AT104" s="53">
        <f>$I$51*$AT$51</f>
        <v>0</v>
      </c>
      <c r="AU104" s="53">
        <f>$I$51*$AU$51</f>
        <v>0</v>
      </c>
      <c r="AV104" s="53">
        <f>$I$51*$AV$51</f>
        <v>0</v>
      </c>
      <c r="AW104" s="53">
        <f>$I$51*$AW$51</f>
        <v>0</v>
      </c>
      <c r="AX104" s="53">
        <f>$I$51*$AX$51</f>
        <v>543801.08816259634</v>
      </c>
      <c r="AY104" s="53">
        <f>$I$51*$AY$51</f>
        <v>0</v>
      </c>
      <c r="AZ104" s="53">
        <f>$I$51*$AZ$51</f>
        <v>0</v>
      </c>
      <c r="BA104" s="53">
        <f>$I$51*$BA$51</f>
        <v>58240.037948550758</v>
      </c>
      <c r="BB104" s="53">
        <f>$I$51*$BB$51</f>
        <v>1676.7805726247393</v>
      </c>
      <c r="BC104" s="53">
        <f>$I$51*$BC$51</f>
        <v>6732.9883693282163</v>
      </c>
      <c r="BD104" s="53">
        <f>$I$51*$BD$51</f>
        <v>943.18784110750039</v>
      </c>
    </row>
    <row r="105" spans="1:56" ht="11.25" customHeight="1" x14ac:dyDescent="0.25">
      <c r="A105" s="9" t="s">
        <v>45</v>
      </c>
      <c r="B105" s="9" t="s">
        <v>994</v>
      </c>
      <c r="C105" s="9" t="s">
        <v>995</v>
      </c>
      <c r="D105" s="9" t="s">
        <v>1000</v>
      </c>
      <c r="E105" s="9" t="s">
        <v>1001</v>
      </c>
      <c r="F105" s="9" t="s">
        <v>1002</v>
      </c>
      <c r="G105" s="9" t="s">
        <v>1003</v>
      </c>
      <c r="L105" s="53">
        <f>$I$52*$L$52</f>
        <v>0</v>
      </c>
      <c r="M105" s="53">
        <f>$I$52*$M$52</f>
        <v>0</v>
      </c>
      <c r="N105" s="53">
        <f ca="1">$I$52*$N$52</f>
        <v>0</v>
      </c>
      <c r="O105" s="53">
        <f>$I$52*$O$52</f>
        <v>0</v>
      </c>
      <c r="P105" s="53">
        <f>$I$52*$P$52</f>
        <v>0</v>
      </c>
      <c r="Q105" s="53">
        <f>$I$52*$Q$52</f>
        <v>0</v>
      </c>
      <c r="R105" s="53">
        <f>$I$52*$R$52</f>
        <v>0</v>
      </c>
      <c r="S105" s="53">
        <f>$I$52*$S$52</f>
        <v>0</v>
      </c>
      <c r="T105" s="53">
        <f>$I$52*$T$52</f>
        <v>0</v>
      </c>
      <c r="U105" s="53">
        <f>$I$52*$U$52</f>
        <v>0</v>
      </c>
      <c r="V105" s="53">
        <f>$I$52*$V$52</f>
        <v>0</v>
      </c>
      <c r="W105" s="53">
        <f>$I$52*$W$52</f>
        <v>0</v>
      </c>
      <c r="X105" s="53">
        <f>$I$52*$X$52</f>
        <v>0</v>
      </c>
      <c r="Y105" s="53">
        <f>$I$52*$Y$52</f>
        <v>0</v>
      </c>
      <c r="Z105" s="53">
        <f>$I$52*$Z$52</f>
        <v>0</v>
      </c>
      <c r="AA105" s="53">
        <f>$I$52*$AA$52</f>
        <v>0</v>
      </c>
      <c r="AB105" s="53">
        <f ca="1">$I$52*$AB$52</f>
        <v>0</v>
      </c>
      <c r="AC105" s="53">
        <f ca="1">$I$52*$AC$52</f>
        <v>0</v>
      </c>
      <c r="AD105" s="53">
        <f>$I$52*$AD$52</f>
        <v>0</v>
      </c>
      <c r="AE105" s="53">
        <f>$I$52*$AE$52</f>
        <v>0</v>
      </c>
      <c r="AF105" s="53">
        <f ca="1">$I$52*$AF$52</f>
        <v>0</v>
      </c>
      <c r="AG105" s="53">
        <f ca="1">$I$52*$AG$52</f>
        <v>0</v>
      </c>
      <c r="AI105" s="53">
        <f>$I$52*$AI$52</f>
        <v>0</v>
      </c>
      <c r="AJ105" s="53">
        <f>$I$52*$AJ$52</f>
        <v>0</v>
      </c>
      <c r="AK105" s="53">
        <f>$I$52*$AK$52</f>
        <v>0</v>
      </c>
      <c r="AL105" s="53">
        <f>$I$52*$AL$52</f>
        <v>0</v>
      </c>
      <c r="AM105" s="53">
        <f>$I$52*$AM$52</f>
        <v>0</v>
      </c>
      <c r="AN105" s="53">
        <f>$I$52*$AN$52</f>
        <v>0</v>
      </c>
      <c r="AO105" s="53">
        <f>$I$52*$AO$52</f>
        <v>0</v>
      </c>
      <c r="AP105" s="53">
        <f>$I$52*$AP$52</f>
        <v>0</v>
      </c>
      <c r="AQ105" s="53">
        <f>$I$52*$AQ$52</f>
        <v>0</v>
      </c>
      <c r="AR105" s="53">
        <f>$I$52*$AR$52</f>
        <v>0</v>
      </c>
      <c r="AS105" s="53">
        <f>$I$52*$AS$52</f>
        <v>0</v>
      </c>
      <c r="AT105" s="53">
        <f>$I$52*$AT$52</f>
        <v>0</v>
      </c>
      <c r="AU105" s="53">
        <f>$I$52*$AU$52</f>
        <v>0</v>
      </c>
      <c r="AV105" s="53">
        <f>$I$52*$AV$52</f>
        <v>0</v>
      </c>
      <c r="AW105" s="53">
        <f>$I$52*$AW$52</f>
        <v>0</v>
      </c>
      <c r="AX105" s="53">
        <f>$I$52*$AX$52</f>
        <v>0</v>
      </c>
      <c r="AY105" s="53">
        <f>$I$52*$AY$52</f>
        <v>0</v>
      </c>
      <c r="AZ105" s="53">
        <f>$I$52*$AZ$52</f>
        <v>0</v>
      </c>
      <c r="BA105" s="53">
        <f>$I$52*$BA$52</f>
        <v>0</v>
      </c>
      <c r="BB105" s="53">
        <f>$I$52*$BB$52</f>
        <v>0</v>
      </c>
      <c r="BC105" s="53">
        <f>$I$52*$BC$52</f>
        <v>0</v>
      </c>
      <c r="BD105" s="53">
        <f>$I$52*$BD$52</f>
        <v>0</v>
      </c>
    </row>
  </sheetData>
  <mergeCells count="88">
    <mergeCell ref="A1:A4"/>
    <mergeCell ref="B1:B4"/>
    <mergeCell ref="C1:C4"/>
    <mergeCell ref="D1:D4"/>
    <mergeCell ref="E1:E4"/>
    <mergeCell ref="J1:J4"/>
    <mergeCell ref="L1:AG1"/>
    <mergeCell ref="L2:AG2"/>
    <mergeCell ref="L3:S3"/>
    <mergeCell ref="T3:Z3"/>
    <mergeCell ref="F6:F8"/>
    <mergeCell ref="B11:B15"/>
    <mergeCell ref="G1:G4"/>
    <mergeCell ref="H1:H4"/>
    <mergeCell ref="I1:I4"/>
    <mergeCell ref="F1:F4"/>
    <mergeCell ref="F11:F13"/>
    <mergeCell ref="F14:F15"/>
    <mergeCell ref="A6:A15"/>
    <mergeCell ref="B6:B9"/>
    <mergeCell ref="C6:C9"/>
    <mergeCell ref="D6:D9"/>
    <mergeCell ref="E6:E8"/>
    <mergeCell ref="C11:C15"/>
    <mergeCell ref="D11:D15"/>
    <mergeCell ref="E11:E13"/>
    <mergeCell ref="E14:E15"/>
    <mergeCell ref="A16:A17"/>
    <mergeCell ref="B16:B17"/>
    <mergeCell ref="C16:C17"/>
    <mergeCell ref="D16:D17"/>
    <mergeCell ref="A18:A30"/>
    <mergeCell ref="B18:B20"/>
    <mergeCell ref="C18:C20"/>
    <mergeCell ref="D18:D20"/>
    <mergeCell ref="E18:E20"/>
    <mergeCell ref="F18:F20"/>
    <mergeCell ref="B21:B25"/>
    <mergeCell ref="C21:C25"/>
    <mergeCell ref="B26:B30"/>
    <mergeCell ref="C26:C30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AI1:BD1"/>
    <mergeCell ref="AI2:BD2"/>
    <mergeCell ref="AI3:AP3"/>
    <mergeCell ref="AQ3:AW3"/>
    <mergeCell ref="AY3:AZ3"/>
    <mergeCell ref="E46:E48"/>
    <mergeCell ref="F46:F48"/>
    <mergeCell ref="A51:A52"/>
    <mergeCell ref="B51:B52"/>
    <mergeCell ref="C51:C52"/>
    <mergeCell ref="D46:D48"/>
    <mergeCell ref="AQ56:AW56"/>
    <mergeCell ref="AY56:AZ56"/>
    <mergeCell ref="BA56:BD56"/>
    <mergeCell ref="BA3:BD3"/>
    <mergeCell ref="L54:AG54"/>
    <mergeCell ref="AI54:BD54"/>
    <mergeCell ref="L55:AG55"/>
    <mergeCell ref="AI55:BD55"/>
    <mergeCell ref="L56:S56"/>
    <mergeCell ref="T56:Z56"/>
    <mergeCell ref="AB56:AC56"/>
    <mergeCell ref="AD56:AG56"/>
    <mergeCell ref="AI56:AP56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5B2F-38F3-49AA-8819-82F3C02EA77A}">
  <dimension ref="A1:AH85"/>
  <sheetViews>
    <sheetView showGridLines="0" topLeftCell="L1" workbookViewId="0">
      <selection activeCell="V43" sqref="V43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10.5703125" style="9" bestFit="1" customWidth="1"/>
    <col min="17" max="17" width="15" style="9" bestFit="1" customWidth="1"/>
    <col min="18" max="18" width="8.7109375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8.710937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10.5703125" style="9" bestFit="1" customWidth="1"/>
    <col min="29" max="29" width="15" style="9" bestFit="1" customWidth="1"/>
    <col min="30" max="30" width="8.7109375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41" t="s">
        <v>71</v>
      </c>
      <c r="B1" s="141" t="s">
        <v>72</v>
      </c>
      <c r="C1" s="141" t="s">
        <v>73</v>
      </c>
      <c r="D1" s="141" t="s">
        <v>74</v>
      </c>
      <c r="E1" s="141" t="s">
        <v>75</v>
      </c>
      <c r="F1" s="141" t="s">
        <v>15</v>
      </c>
      <c r="G1" s="141" t="s">
        <v>77</v>
      </c>
      <c r="H1" s="141" t="s">
        <v>78</v>
      </c>
      <c r="I1" s="141" t="s">
        <v>652</v>
      </c>
      <c r="J1" s="125"/>
      <c r="L1" s="139" t="s">
        <v>1004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X1" s="139" t="s">
        <v>1005</v>
      </c>
      <c r="Y1" s="139"/>
      <c r="Z1" s="139"/>
      <c r="AA1" s="139"/>
      <c r="AB1" s="139"/>
      <c r="AC1" s="139"/>
      <c r="AD1" s="139"/>
      <c r="AE1" s="139"/>
      <c r="AF1" s="139"/>
      <c r="AG1" s="139"/>
      <c r="AH1" s="139"/>
    </row>
    <row r="2" spans="1:34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5"/>
      <c r="L2" s="139" t="s">
        <v>590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X2" s="139" t="s">
        <v>590</v>
      </c>
      <c r="Y2" s="139"/>
      <c r="Z2" s="139"/>
      <c r="AA2" s="139"/>
      <c r="AB2" s="139"/>
      <c r="AC2" s="139"/>
      <c r="AD2" s="139"/>
      <c r="AE2" s="139"/>
      <c r="AF2" s="139"/>
      <c r="AG2" s="139"/>
      <c r="AH2" s="139"/>
    </row>
    <row r="3" spans="1:34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5"/>
      <c r="L3" s="139" t="s">
        <v>563</v>
      </c>
      <c r="M3" s="139"/>
      <c r="N3" s="139"/>
      <c r="O3" s="139"/>
      <c r="P3" s="139"/>
      <c r="Q3" s="80" t="s">
        <v>594</v>
      </c>
      <c r="R3" s="139" t="s">
        <v>572</v>
      </c>
      <c r="S3" s="139"/>
      <c r="T3" s="139"/>
      <c r="U3" s="80" t="s">
        <v>582</v>
      </c>
      <c r="V3" s="80" t="s">
        <v>585</v>
      </c>
      <c r="X3" s="139" t="s">
        <v>563</v>
      </c>
      <c r="Y3" s="139"/>
      <c r="Z3" s="139"/>
      <c r="AA3" s="139"/>
      <c r="AB3" s="139"/>
      <c r="AC3" s="80" t="s">
        <v>594</v>
      </c>
      <c r="AD3" s="139" t="s">
        <v>572</v>
      </c>
      <c r="AE3" s="139"/>
      <c r="AF3" s="139"/>
      <c r="AG3" s="80" t="s">
        <v>582</v>
      </c>
      <c r="AH3" s="80" t="s">
        <v>585</v>
      </c>
    </row>
    <row r="4" spans="1:34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5"/>
      <c r="L4" s="80" t="s">
        <v>565</v>
      </c>
      <c r="M4" s="80" t="s">
        <v>591</v>
      </c>
      <c r="N4" s="80" t="s">
        <v>592</v>
      </c>
      <c r="O4" s="80" t="s">
        <v>651</v>
      </c>
      <c r="P4" s="80" t="s">
        <v>593</v>
      </c>
      <c r="Q4" s="80" t="s">
        <v>595</v>
      </c>
      <c r="R4" s="80" t="s">
        <v>596</v>
      </c>
      <c r="S4" s="80" t="s">
        <v>597</v>
      </c>
      <c r="T4" s="80" t="s">
        <v>598</v>
      </c>
      <c r="U4" s="80" t="s">
        <v>583</v>
      </c>
      <c r="V4" s="80" t="s">
        <v>599</v>
      </c>
      <c r="X4" s="80" t="s">
        <v>565</v>
      </c>
      <c r="Y4" s="80" t="s">
        <v>591</v>
      </c>
      <c r="Z4" s="80" t="s">
        <v>592</v>
      </c>
      <c r="AA4" s="80" t="s">
        <v>651</v>
      </c>
      <c r="AB4" s="80" t="s">
        <v>593</v>
      </c>
      <c r="AC4" s="80" t="s">
        <v>595</v>
      </c>
      <c r="AD4" s="80" t="s">
        <v>596</v>
      </c>
      <c r="AE4" s="80" t="s">
        <v>597</v>
      </c>
      <c r="AF4" s="80" t="s">
        <v>598</v>
      </c>
      <c r="AG4" s="80" t="s">
        <v>583</v>
      </c>
      <c r="AH4" s="80" t="s">
        <v>599</v>
      </c>
    </row>
    <row r="5" spans="1:34" ht="11.25" customHeight="1" x14ac:dyDescent="0.25">
      <c r="A5" s="142" t="s">
        <v>38</v>
      </c>
      <c r="B5" s="142" t="s">
        <v>81</v>
      </c>
      <c r="C5" s="142" t="s">
        <v>25</v>
      </c>
      <c r="D5" s="142" t="s">
        <v>25</v>
      </c>
      <c r="E5" s="142" t="s">
        <v>25</v>
      </c>
      <c r="F5" s="142" t="s">
        <v>25</v>
      </c>
      <c r="G5" s="78" t="s">
        <v>83</v>
      </c>
      <c r="H5" s="78" t="s">
        <v>82</v>
      </c>
      <c r="I5" s="78">
        <f>'MERCADO TE'!$U$2</f>
        <v>2005.008</v>
      </c>
      <c r="J5" s="15"/>
      <c r="L5" s="76">
        <f>('TE BE'!$L$5+'TE BF'!$L$5+'TE CVA'!$L$5)*1</f>
        <v>2.6517917925504926</v>
      </c>
      <c r="M5" s="76">
        <f>('TE BE'!$M$5+'TE BF'!$M$5+'TE CVA'!$M$5)*1</f>
        <v>24.787563811916392</v>
      </c>
      <c r="N5" s="76">
        <f>('TE BE'!$N$5+'TE BF'!$N$5+'TE CVA'!$N$5)*1</f>
        <v>0</v>
      </c>
      <c r="O5" s="76">
        <f>('TE BE'!$O$5+'TE BF'!$O$5+'TE CVA'!$O$5)*1</f>
        <v>9.7477533604981481</v>
      </c>
      <c r="P5" s="76">
        <f>('TE BE'!$P$5+'TE BF'!$P$5+'TE CVA'!$P$5)*1</f>
        <v>-19.041352758632303</v>
      </c>
      <c r="Q5" s="76">
        <f>('TE BE'!$R$5+'TE BF'!$R$5+'TE CVA'!$R$5)*1</f>
        <v>386.83981474962764</v>
      </c>
      <c r="R5" s="76">
        <f>('TE BE'!$T$5+'TE BF'!$T$5+'TE CVA'!$T$5)*1</f>
        <v>8.8851742182925832</v>
      </c>
      <c r="S5" s="76">
        <f>('TE BE'!$U$5+'TE BF'!$U$5+'TE CVA'!$U$5)*1</f>
        <v>5.6360062635049388</v>
      </c>
      <c r="T5" s="76">
        <f>('TE BE'!$V$5+'TE BF'!$V$5+'TE CVA'!$V$5)*1</f>
        <v>0</v>
      </c>
      <c r="U5" s="76">
        <f>('TE BE'!$X$5+'TE BF'!$X$5+'TE CVA'!$X$5)*1</f>
        <v>-72.904527404294441</v>
      </c>
      <c r="V5" s="76">
        <f>('TE BE'!$Z$5+'TE BF'!$Z$5+'TE CVA'!$Z$5)*1</f>
        <v>6.9487760688279527</v>
      </c>
      <c r="X5" s="76">
        <v>2.4204369195340498</v>
      </c>
      <c r="Y5" s="76">
        <v>22.047252642132701</v>
      </c>
      <c r="Z5" s="76">
        <v>0</v>
      </c>
      <c r="AA5" s="76">
        <v>0</v>
      </c>
      <c r="AB5" s="76">
        <v>0</v>
      </c>
      <c r="AC5" s="76">
        <v>341.38223134673098</v>
      </c>
      <c r="AD5" s="76">
        <v>5.3492455756867097</v>
      </c>
      <c r="AE5" s="76">
        <v>4.8418307772697098</v>
      </c>
      <c r="AF5" s="76">
        <v>0</v>
      </c>
      <c r="AG5" s="76">
        <v>0</v>
      </c>
      <c r="AH5" s="76">
        <v>5.2971643090025102</v>
      </c>
    </row>
    <row r="6" spans="1:34" ht="11.25" customHeight="1" x14ac:dyDescent="0.25">
      <c r="A6" s="142"/>
      <c r="B6" s="142"/>
      <c r="C6" s="142"/>
      <c r="D6" s="142"/>
      <c r="E6" s="142"/>
      <c r="F6" s="142"/>
      <c r="G6" s="78" t="s">
        <v>84</v>
      </c>
      <c r="H6" s="78" t="s">
        <v>82</v>
      </c>
      <c r="I6" s="78">
        <f>'MERCADO TE'!$U$3</f>
        <v>28500.967999999997</v>
      </c>
      <c r="J6" s="15"/>
      <c r="L6" s="76">
        <f>('TE BE'!$L$6+'TE BF'!$L$6+'TE CVA'!$L$6)*1</f>
        <v>2.6517917925504926</v>
      </c>
      <c r="M6" s="76">
        <f>('TE BE'!$M$6+'TE BF'!$M$6+'TE CVA'!$M$6)*1</f>
        <v>24.787563811916392</v>
      </c>
      <c r="N6" s="76">
        <f>('TE BE'!$N$6+'TE BF'!$N$6+'TE CVA'!$N$6)*1</f>
        <v>0</v>
      </c>
      <c r="O6" s="76">
        <f>('TE BE'!$O$6+'TE BF'!$O$6+'TE CVA'!$O$6)*1</f>
        <v>9.7477533604981481</v>
      </c>
      <c r="P6" s="76">
        <f>('TE BE'!$P$6+'TE BF'!$P$6+'TE CVA'!$P$6)*1</f>
        <v>-19.041352758632303</v>
      </c>
      <c r="Q6" s="76">
        <f>('TE BE'!$R$6+'TE BF'!$R$6+'TE CVA'!$R$6)*1</f>
        <v>224.90686904048121</v>
      </c>
      <c r="R6" s="76">
        <f>('TE BE'!$T$6+'TE BF'!$T$6+'TE CVA'!$T$6)*1</f>
        <v>8.8851742182925832</v>
      </c>
      <c r="S6" s="76">
        <f>('TE BE'!$U$6+'TE BF'!$U$6+'TE CVA'!$U$6)*1</f>
        <v>5.6360062635049388</v>
      </c>
      <c r="T6" s="76">
        <f>('TE BE'!$V$6+'TE BF'!$V$6+'TE CVA'!$V$6)*1</f>
        <v>0</v>
      </c>
      <c r="U6" s="76">
        <f>('TE BE'!$X$6+'TE BF'!$X$6+'TE CVA'!$X$6)*1</f>
        <v>-45.118936699190549</v>
      </c>
      <c r="V6" s="76">
        <f>('TE BE'!$Z$6+'TE BF'!$Z$6+'TE CVA'!$Z$6)*1</f>
        <v>6.9487760688279527</v>
      </c>
      <c r="X6" s="76">
        <v>2.4204369195340498</v>
      </c>
      <c r="Y6" s="76">
        <v>22.047252642132701</v>
      </c>
      <c r="Z6" s="76">
        <v>0</v>
      </c>
      <c r="AA6" s="76">
        <v>0</v>
      </c>
      <c r="AB6" s="76">
        <v>0</v>
      </c>
      <c r="AC6" s="76">
        <v>198.47804148065799</v>
      </c>
      <c r="AD6" s="76">
        <v>5.3492455756867097</v>
      </c>
      <c r="AE6" s="76">
        <v>4.8418307772697098</v>
      </c>
      <c r="AF6" s="76">
        <v>0</v>
      </c>
      <c r="AG6" s="76">
        <v>0</v>
      </c>
      <c r="AH6" s="76">
        <v>5.2971643090025102</v>
      </c>
    </row>
    <row r="7" spans="1:34" ht="11.25" customHeight="1" x14ac:dyDescent="0.25">
      <c r="A7" s="142"/>
      <c r="B7" s="79" t="s">
        <v>85</v>
      </c>
      <c r="C7" s="79" t="s">
        <v>25</v>
      </c>
      <c r="D7" s="79" t="s">
        <v>25</v>
      </c>
      <c r="E7" s="79" t="s">
        <v>25</v>
      </c>
      <c r="F7" s="79" t="s">
        <v>25</v>
      </c>
      <c r="G7" s="78" t="s">
        <v>86</v>
      </c>
      <c r="H7" s="78" t="s">
        <v>82</v>
      </c>
      <c r="I7" s="78">
        <f>'MERCADO TE'!$U$4</f>
        <v>0</v>
      </c>
      <c r="J7" s="15"/>
      <c r="L7" s="76">
        <f>('TE BE'!$L$7+'TE BF'!$L$7+'TE CVA'!$L$7)*1</f>
        <v>2.6517917925504926</v>
      </c>
      <c r="M7" s="76">
        <f>('TE BE'!$M$7+'TE BF'!$M$7+'TE CVA'!$M$7)*1</f>
        <v>24.787563811916392</v>
      </c>
      <c r="N7" s="76">
        <f>('TE BE'!$N$7+'TE BF'!$N$7+'TE CVA'!$N$7)*1</f>
        <v>0</v>
      </c>
      <c r="O7" s="76">
        <f>('TE BE'!$O$7+'TE BF'!$O$7+'TE CVA'!$O$7)*1</f>
        <v>9.7477533604981481</v>
      </c>
      <c r="P7" s="76">
        <f>('TE BE'!$P$7+'TE BF'!$P$7+'TE CVA'!$P$7)*1</f>
        <v>-19.041352758632303</v>
      </c>
      <c r="Q7" s="76">
        <f>('TE BE'!$R$7+'TE BF'!$R$7+'TE CVA'!$R$7)*1</f>
        <v>238.40128118291011</v>
      </c>
      <c r="R7" s="76">
        <f>('TE BE'!$T$7+'TE BF'!$T$7+'TE CVA'!$T$7)*1</f>
        <v>8.8851742182925832</v>
      </c>
      <c r="S7" s="76">
        <f>('TE BE'!$U$7+'TE BF'!$U$7+'TE CVA'!$U$7)*1</f>
        <v>5.6360062635049388</v>
      </c>
      <c r="T7" s="76">
        <f>('TE BE'!$V$7+'TE BF'!$V$7+'TE CVA'!$V$7)*1</f>
        <v>0</v>
      </c>
      <c r="U7" s="76">
        <f>('TE BE'!$X$7+'TE BF'!$X$7+'TE CVA'!$X$7)*1</f>
        <v>-47.434402591282549</v>
      </c>
      <c r="V7" s="76">
        <f>('TE BE'!$Z$7+'TE BF'!$Z$7+'TE CVA'!$Z$7)*1</f>
        <v>6.9487760688279527</v>
      </c>
      <c r="X7" s="76">
        <v>0</v>
      </c>
      <c r="Y7" s="76">
        <v>0</v>
      </c>
      <c r="Z7" s="76">
        <v>0</v>
      </c>
      <c r="AA7" s="76">
        <v>0</v>
      </c>
      <c r="AB7" s="76">
        <v>0</v>
      </c>
      <c r="AC7" s="76">
        <v>0</v>
      </c>
      <c r="AD7" s="76">
        <v>0</v>
      </c>
      <c r="AE7" s="76">
        <v>0</v>
      </c>
      <c r="AF7" s="76">
        <v>0</v>
      </c>
      <c r="AG7" s="76">
        <v>0</v>
      </c>
      <c r="AH7" s="76">
        <v>0</v>
      </c>
    </row>
    <row r="8" spans="1:34" ht="11.25" customHeight="1" x14ac:dyDescent="0.25">
      <c r="A8" s="142" t="s">
        <v>22</v>
      </c>
      <c r="B8" s="142" t="s">
        <v>81</v>
      </c>
      <c r="C8" s="142" t="s">
        <v>24</v>
      </c>
      <c r="D8" s="142" t="s">
        <v>24</v>
      </c>
      <c r="E8" s="142" t="s">
        <v>25</v>
      </c>
      <c r="F8" s="142" t="s">
        <v>25</v>
      </c>
      <c r="G8" s="78" t="s">
        <v>83</v>
      </c>
      <c r="H8" s="78" t="s">
        <v>82</v>
      </c>
      <c r="I8" s="78">
        <f>'MERCADO TE'!$U$5</f>
        <v>1.103</v>
      </c>
      <c r="J8" s="15"/>
      <c r="L8" s="76">
        <f>('TE BE'!$L$8+'TE BF'!$L$8+'TE CVA'!$L$8)*1</f>
        <v>2.6517917925504926</v>
      </c>
      <c r="M8" s="76">
        <f>('TE BE'!$M$8+'TE BF'!$M$8+'TE CVA'!$M$8)*1</f>
        <v>24.787563811916392</v>
      </c>
      <c r="N8" s="76">
        <f>('TE BE'!$N$8+'TE BF'!$N$8+'TE CVA'!$N$8)*1</f>
        <v>0</v>
      </c>
      <c r="O8" s="76">
        <f>('TE BE'!$O$8+'TE BF'!$O$8+'TE CVA'!$O$8)*1</f>
        <v>9.7477533604981481</v>
      </c>
      <c r="P8" s="76">
        <f>('TE BE'!$P$8+'TE BF'!$P$8+'TE CVA'!$P$8)*1</f>
        <v>-19.041352758632303</v>
      </c>
      <c r="Q8" s="76">
        <f>('TE BE'!$R$8+'TE BF'!$R$8+'TE CVA'!$R$8)*1</f>
        <v>386.83981474962764</v>
      </c>
      <c r="R8" s="76">
        <f>('TE BE'!$T$8+'TE BF'!$T$8+'TE CVA'!$T$8)*1</f>
        <v>8.8851742182925832</v>
      </c>
      <c r="S8" s="76">
        <f>('TE BE'!$U$8+'TE BF'!$U$8+'TE CVA'!$U$8)*1</f>
        <v>5.6360062635049388</v>
      </c>
      <c r="T8" s="76">
        <f>('TE BE'!$V$8+'TE BF'!$V$8+'TE CVA'!$V$8)*1</f>
        <v>0</v>
      </c>
      <c r="U8" s="76">
        <f>('TE BE'!$X$8+'TE BF'!$X$8+'TE CVA'!$X$8)*1</f>
        <v>-72.904527404294441</v>
      </c>
      <c r="V8" s="76">
        <f>('TE BE'!$Z$8+'TE BF'!$Z$8+'TE CVA'!$Z$8)*1</f>
        <v>6.9487760688279527</v>
      </c>
      <c r="X8" s="76">
        <v>2.4204369195340498</v>
      </c>
      <c r="Y8" s="76">
        <v>22.047252642132701</v>
      </c>
      <c r="Z8" s="76">
        <v>0</v>
      </c>
      <c r="AA8" s="76">
        <v>0</v>
      </c>
      <c r="AB8" s="76">
        <v>0</v>
      </c>
      <c r="AC8" s="76">
        <v>341.38223134673098</v>
      </c>
      <c r="AD8" s="76">
        <v>5.3492455756867097</v>
      </c>
      <c r="AE8" s="76">
        <v>4.8418307772697098</v>
      </c>
      <c r="AF8" s="76">
        <v>0</v>
      </c>
      <c r="AG8" s="76">
        <v>0</v>
      </c>
      <c r="AH8" s="76">
        <v>5.2971643090025102</v>
      </c>
    </row>
    <row r="9" spans="1:34" ht="11.25" customHeight="1" x14ac:dyDescent="0.25">
      <c r="A9" s="142"/>
      <c r="B9" s="142"/>
      <c r="C9" s="142"/>
      <c r="D9" s="142"/>
      <c r="E9" s="142"/>
      <c r="F9" s="142"/>
      <c r="G9" s="78" t="s">
        <v>93</v>
      </c>
      <c r="H9" s="78" t="s">
        <v>82</v>
      </c>
      <c r="I9" s="78">
        <f>'MERCADO TE'!$U$6</f>
        <v>0.64800000000000013</v>
      </c>
      <c r="J9" s="15"/>
      <c r="L9" s="76">
        <f>('TE BE'!$L$9+'TE BF'!$L$9+'TE CVA'!$L$9)*1</f>
        <v>2.6517917925504926</v>
      </c>
      <c r="M9" s="76">
        <f>('TE BE'!$M$9+'TE BF'!$M$9+'TE CVA'!$M$9)*1</f>
        <v>24.787563811916392</v>
      </c>
      <c r="N9" s="76">
        <f>('TE BE'!$N$9+'TE BF'!$N$9+'TE CVA'!$N$9)*1</f>
        <v>0</v>
      </c>
      <c r="O9" s="76">
        <f>('TE BE'!$O$9+'TE BF'!$O$9+'TE CVA'!$O$9)*1</f>
        <v>9.7477533604981481</v>
      </c>
      <c r="P9" s="76">
        <f>('TE BE'!$P$9+'TE BF'!$P$9+'TE CVA'!$P$9)*1</f>
        <v>-19.041352758632303</v>
      </c>
      <c r="Q9" s="76">
        <f>('TE BE'!$R$9+'TE BF'!$R$9+'TE CVA'!$R$9)*1</f>
        <v>224.90686904048121</v>
      </c>
      <c r="R9" s="76">
        <f>('TE BE'!$T$9+'TE BF'!$T$9+'TE CVA'!$T$9)*1</f>
        <v>8.8851742182925832</v>
      </c>
      <c r="S9" s="76">
        <f>('TE BE'!$U$9+'TE BF'!$U$9+'TE CVA'!$U$9)*1</f>
        <v>5.6360062635049388</v>
      </c>
      <c r="T9" s="76">
        <f>('TE BE'!$V$9+'TE BF'!$V$9+'TE CVA'!$V$9)*1</f>
        <v>0</v>
      </c>
      <c r="U9" s="76">
        <f>('TE BE'!$X$9+'TE BF'!$X$9+'TE CVA'!$X$9)*1</f>
        <v>-45.118936699190549</v>
      </c>
      <c r="V9" s="76">
        <f>('TE BE'!$Z$9+'TE BF'!$Z$9+'TE CVA'!$Z$9)*1</f>
        <v>6.9487760688279527</v>
      </c>
      <c r="X9" s="76">
        <v>2.4204369195340498</v>
      </c>
      <c r="Y9" s="76">
        <v>22.047252642132701</v>
      </c>
      <c r="Z9" s="76">
        <v>0</v>
      </c>
      <c r="AA9" s="76">
        <v>0</v>
      </c>
      <c r="AB9" s="76">
        <v>0</v>
      </c>
      <c r="AC9" s="76">
        <v>198.47804148065799</v>
      </c>
      <c r="AD9" s="76">
        <v>5.3492455756867097</v>
      </c>
      <c r="AE9" s="76">
        <v>4.8418307772697098</v>
      </c>
      <c r="AF9" s="76">
        <v>0</v>
      </c>
      <c r="AG9" s="76">
        <v>0</v>
      </c>
      <c r="AH9" s="76">
        <v>5.2971643090025102</v>
      </c>
    </row>
    <row r="10" spans="1:34" ht="11.25" customHeight="1" x14ac:dyDescent="0.25">
      <c r="A10" s="142"/>
      <c r="B10" s="142"/>
      <c r="C10" s="142"/>
      <c r="D10" s="142"/>
      <c r="E10" s="142"/>
      <c r="F10" s="142"/>
      <c r="G10" s="78" t="s">
        <v>84</v>
      </c>
      <c r="H10" s="78" t="s">
        <v>82</v>
      </c>
      <c r="I10" s="78">
        <f>'MERCADO TE'!$U$7</f>
        <v>11.868000000000002</v>
      </c>
      <c r="J10" s="15"/>
      <c r="L10" s="76">
        <f>('TE BE'!$L$10+'TE BF'!$L$10+'TE CVA'!$L$10)*1</f>
        <v>2.6517917925504926</v>
      </c>
      <c r="M10" s="76">
        <f>('TE BE'!$M$10+'TE BF'!$M$10+'TE CVA'!$M$10)*1</f>
        <v>24.787563811916392</v>
      </c>
      <c r="N10" s="76">
        <f>('TE BE'!$N$10+'TE BF'!$N$10+'TE CVA'!$N$10)*1</f>
        <v>0</v>
      </c>
      <c r="O10" s="76">
        <f>('TE BE'!$O$10+'TE BF'!$O$10+'TE CVA'!$O$10)*1</f>
        <v>9.7477533604981481</v>
      </c>
      <c r="P10" s="76">
        <f>('TE BE'!$P$10+'TE BF'!$P$10+'TE CVA'!$P$10)*1</f>
        <v>-19.041352758632303</v>
      </c>
      <c r="Q10" s="76">
        <f>('TE BE'!$R$10+'TE BF'!$R$10+'TE CVA'!$R$10)*1</f>
        <v>224.90686904048121</v>
      </c>
      <c r="R10" s="76">
        <f>('TE BE'!$T$10+'TE BF'!$T$10+'TE CVA'!$T$10)*1</f>
        <v>8.8851742182925832</v>
      </c>
      <c r="S10" s="76">
        <f>('TE BE'!$U$10+'TE BF'!$U$10+'TE CVA'!$U$10)*1</f>
        <v>5.6360062635049388</v>
      </c>
      <c r="T10" s="76">
        <f>('TE BE'!$V$10+'TE BF'!$V$10+'TE CVA'!$V$10)*1</f>
        <v>0</v>
      </c>
      <c r="U10" s="76">
        <f>('TE BE'!$X$10+'TE BF'!$X$10+'TE CVA'!$X$10)*1</f>
        <v>-45.118936699190549</v>
      </c>
      <c r="V10" s="76">
        <f>('TE BE'!$Z$10+'TE BF'!$Z$10+'TE CVA'!$Z$10)*1</f>
        <v>6.9487760688279527</v>
      </c>
      <c r="X10" s="76">
        <v>2.4204369195340498</v>
      </c>
      <c r="Y10" s="76">
        <v>22.047252642132701</v>
      </c>
      <c r="Z10" s="76">
        <v>0</v>
      </c>
      <c r="AA10" s="76">
        <v>0</v>
      </c>
      <c r="AB10" s="76">
        <v>0</v>
      </c>
      <c r="AC10" s="76">
        <v>198.47804148065799</v>
      </c>
      <c r="AD10" s="76">
        <v>5.3492455756867097</v>
      </c>
      <c r="AE10" s="76">
        <v>4.8418307772697098</v>
      </c>
      <c r="AF10" s="76">
        <v>0</v>
      </c>
      <c r="AG10" s="76">
        <v>0</v>
      </c>
      <c r="AH10" s="76">
        <v>5.2971643090025102</v>
      </c>
    </row>
    <row r="11" spans="1:34" ht="11.25" customHeight="1" x14ac:dyDescent="0.25">
      <c r="A11" s="142"/>
      <c r="B11" s="142" t="s">
        <v>85</v>
      </c>
      <c r="C11" s="142" t="s">
        <v>24</v>
      </c>
      <c r="D11" s="79" t="s">
        <v>24</v>
      </c>
      <c r="E11" s="79" t="s">
        <v>25</v>
      </c>
      <c r="F11" s="79" t="s">
        <v>25</v>
      </c>
      <c r="G11" s="78" t="s">
        <v>86</v>
      </c>
      <c r="H11" s="78" t="s">
        <v>82</v>
      </c>
      <c r="I11" s="78">
        <f>'MERCADO TE'!$U$8</f>
        <v>63212.388999999996</v>
      </c>
      <c r="J11" s="15"/>
      <c r="L11" s="76">
        <f>('TE BE'!$L$11+'TE BF'!$L$11+'TE CVA'!$L$11)*1</f>
        <v>2.6517917925504926</v>
      </c>
      <c r="M11" s="76">
        <f>('TE BE'!$M$11+'TE BF'!$M$11+'TE CVA'!$M$11)*1</f>
        <v>24.787563811916392</v>
      </c>
      <c r="N11" s="76">
        <f>('TE BE'!$N$11+'TE BF'!$N$11+'TE CVA'!$N$11)*1</f>
        <v>0</v>
      </c>
      <c r="O11" s="76">
        <f>('TE BE'!$O$11+'TE BF'!$O$11+'TE CVA'!$O$11)*1</f>
        <v>9.7477533604981481</v>
      </c>
      <c r="P11" s="76">
        <f>('TE BE'!$P$11+'TE BF'!$P$11+'TE CVA'!$P$11)*1</f>
        <v>-19.041352758632303</v>
      </c>
      <c r="Q11" s="76">
        <f>('TE BE'!$R$11+'TE BF'!$R$11+'TE CVA'!$R$11)*1</f>
        <v>238.40128118291011</v>
      </c>
      <c r="R11" s="76">
        <f>('TE BE'!$T$11+'TE BF'!$T$11+'TE CVA'!$T$11)*1</f>
        <v>8.8851742182925832</v>
      </c>
      <c r="S11" s="76">
        <f>('TE BE'!$U$11+'TE BF'!$U$11+'TE CVA'!$U$11)*1</f>
        <v>5.6360062635049388</v>
      </c>
      <c r="T11" s="76">
        <f>('TE BE'!$V$11+'TE BF'!$V$11+'TE CVA'!$V$11)*1</f>
        <v>0</v>
      </c>
      <c r="U11" s="76">
        <f>('TE BE'!$X$11+'TE BF'!$X$11+'TE CVA'!$X$11)*1</f>
        <v>-47.434402591282549</v>
      </c>
      <c r="V11" s="76">
        <f>('TE BE'!$Z$11+'TE BF'!$Z$11+'TE CVA'!$Z$11)*1</f>
        <v>6.9487760688279527</v>
      </c>
      <c r="X11" s="76">
        <v>2.4204369195340498</v>
      </c>
      <c r="Y11" s="76">
        <v>22.047252642132701</v>
      </c>
      <c r="Z11" s="76">
        <v>0</v>
      </c>
      <c r="AA11" s="76">
        <v>0</v>
      </c>
      <c r="AB11" s="76">
        <v>0</v>
      </c>
      <c r="AC11" s="76">
        <v>210.38672396949701</v>
      </c>
      <c r="AD11" s="76">
        <v>5.3492455756867097</v>
      </c>
      <c r="AE11" s="76">
        <v>4.8418307772697098</v>
      </c>
      <c r="AF11" s="76">
        <v>0</v>
      </c>
      <c r="AG11" s="76">
        <v>0</v>
      </c>
      <c r="AH11" s="76">
        <v>5.2971643090025102</v>
      </c>
    </row>
    <row r="12" spans="1:34" ht="11.25" customHeight="1" x14ac:dyDescent="0.25">
      <c r="A12" s="142"/>
      <c r="B12" s="142"/>
      <c r="C12" s="142"/>
      <c r="D12" s="79" t="s">
        <v>28</v>
      </c>
      <c r="E12" s="79" t="s">
        <v>25</v>
      </c>
      <c r="F12" s="79" t="s">
        <v>25</v>
      </c>
      <c r="G12" s="78" t="s">
        <v>86</v>
      </c>
      <c r="H12" s="78" t="s">
        <v>82</v>
      </c>
      <c r="I12" s="78">
        <f>'MERCADO TE'!$U$9</f>
        <v>258.12700000000001</v>
      </c>
      <c r="J12" s="15"/>
      <c r="L12" s="76">
        <f>('TE BE'!$L$12+'TE BF'!$L$12+'TE CVA'!$L$12)*(1 - 0.65)</f>
        <v>0.92812712739267234</v>
      </c>
      <c r="M12" s="76">
        <f>('TE BE'!$M$12+'TE BF'!$M$12+'TE CVA'!$M$12)*(1 - 0.65)</f>
        <v>8.675647334170737</v>
      </c>
      <c r="N12" s="76">
        <f>('TE BE'!$N$12+'TE BF'!$N$12+'TE CVA'!$N$12)*(1 - 0.65)</f>
        <v>0</v>
      </c>
      <c r="O12" s="76">
        <f>('TE BE'!$O$12+'TE BF'!$O$12+'TE CVA'!$O$12)*(1 - 0.65)</f>
        <v>3.4117136761743518</v>
      </c>
      <c r="P12" s="76">
        <f>('TE BE'!$P$12+'TE BF'!$P$12+'TE CVA'!$P$12)*(1 - 0.65)</f>
        <v>-6.664473465521306</v>
      </c>
      <c r="Q12" s="76">
        <f>('TE BE'!$R$12+'TE BF'!$R$12+'TE CVA'!$R$12)*(1 - 0.65)</f>
        <v>83.440448414018533</v>
      </c>
      <c r="R12" s="76">
        <f>('TE BE'!$T$12+'TE BF'!$T$12+'TE CVA'!$T$12)*(1 - 0.65)</f>
        <v>3.1098109764024038</v>
      </c>
      <c r="S12" s="76">
        <f>('TE BE'!$U$12+'TE BF'!$U$12+'TE CVA'!$U$12)*(1 - 0.65)</f>
        <v>1.9726021922267285</v>
      </c>
      <c r="T12" s="76">
        <f>('TE BE'!$V$12+'TE BF'!$V$12+'TE CVA'!$V$12)*(1 - 0.65)</f>
        <v>0</v>
      </c>
      <c r="U12" s="76">
        <f>('TE BE'!$X$12+'TE BF'!$X$12+'TE CVA'!$X$12)*(1 - 0.65)</f>
        <v>-16.60204090694889</v>
      </c>
      <c r="V12" s="76">
        <f>('TE BE'!$Z$12+'TE BF'!$Z$12+'TE CVA'!$Z$12)*(1 - 0.65)</f>
        <v>2.4320716240897835</v>
      </c>
      <c r="X12" s="76">
        <v>0.84715292183691604</v>
      </c>
      <c r="Y12" s="76">
        <v>7.7165384247464601</v>
      </c>
      <c r="Z12" s="76">
        <v>0</v>
      </c>
      <c r="AA12" s="76">
        <v>0</v>
      </c>
      <c r="AB12" s="76">
        <v>0</v>
      </c>
      <c r="AC12" s="76">
        <v>73.635353389323896</v>
      </c>
      <c r="AD12" s="76">
        <v>1.8722359514903499</v>
      </c>
      <c r="AE12" s="76">
        <v>1.6946407720443999</v>
      </c>
      <c r="AF12" s="76">
        <v>0</v>
      </c>
      <c r="AG12" s="76">
        <v>0</v>
      </c>
      <c r="AH12" s="76">
        <v>1.85400750815088</v>
      </c>
    </row>
    <row r="13" spans="1:34" ht="11.25" customHeight="1" x14ac:dyDescent="0.25">
      <c r="A13" s="142"/>
      <c r="B13" s="142"/>
      <c r="C13" s="142"/>
      <c r="D13" s="79" t="s">
        <v>29</v>
      </c>
      <c r="E13" s="79" t="s">
        <v>25</v>
      </c>
      <c r="F13" s="79" t="s">
        <v>25</v>
      </c>
      <c r="G13" s="78" t="s">
        <v>86</v>
      </c>
      <c r="H13" s="78" t="s">
        <v>82</v>
      </c>
      <c r="I13" s="78">
        <f>'MERCADO TE'!$U$10</f>
        <v>546.58100000000002</v>
      </c>
      <c r="J13" s="15"/>
      <c r="L13" s="76">
        <f>('TE BE'!$L$13+'TE BF'!$L$13+'TE CVA'!$L$13)*(1 - 0.4)</f>
        <v>1.5910750755302956</v>
      </c>
      <c r="M13" s="76">
        <f>('TE BE'!$M$13+'TE BF'!$M$13+'TE CVA'!$M$13)*(1 - 0.4)</f>
        <v>14.872538287149835</v>
      </c>
      <c r="N13" s="76">
        <f>('TE BE'!$N$13+'TE BF'!$N$13+'TE CVA'!$N$13)*(1 - 0.4)</f>
        <v>0</v>
      </c>
      <c r="O13" s="76">
        <f>('TE BE'!$O$13+'TE BF'!$O$13+'TE CVA'!$O$13)*(1 - 0.4)</f>
        <v>5.8486520162988889</v>
      </c>
      <c r="P13" s="76">
        <f>('TE BE'!$P$13+'TE BF'!$P$13+'TE CVA'!$P$13)*(1 - 0.4)</f>
        <v>-11.424811655179381</v>
      </c>
      <c r="Q13" s="76">
        <f>('TE BE'!$R$13+'TE BF'!$R$13+'TE CVA'!$R$13)*(1 - 0.4)</f>
        <v>143.04076870974606</v>
      </c>
      <c r="R13" s="76">
        <f>('TE BE'!$T$13+'TE BF'!$T$13+'TE CVA'!$T$13)*(1 - 0.4)</f>
        <v>5.3311045309755496</v>
      </c>
      <c r="S13" s="76">
        <f>('TE BE'!$U$13+'TE BF'!$U$13+'TE CVA'!$U$13)*(1 - 0.4)</f>
        <v>3.3816037581029632</v>
      </c>
      <c r="T13" s="76">
        <f>('TE BE'!$V$13+'TE BF'!$V$13+'TE CVA'!$V$13)*(1 - 0.4)</f>
        <v>0</v>
      </c>
      <c r="U13" s="76">
        <f>('TE BE'!$X$13+'TE BF'!$X$13+'TE CVA'!$X$13)*(1 - 0.4)</f>
        <v>-28.460641554769527</v>
      </c>
      <c r="V13" s="76">
        <f>('TE BE'!$Z$13+'TE BF'!$Z$13+'TE CVA'!$Z$13)*(1 - 0.4)</f>
        <v>4.1692656412967715</v>
      </c>
      <c r="X13" s="76">
        <v>1.4522621517204299</v>
      </c>
      <c r="Y13" s="76">
        <v>13.228351585279601</v>
      </c>
      <c r="Z13" s="76">
        <v>0</v>
      </c>
      <c r="AA13" s="76">
        <v>0</v>
      </c>
      <c r="AB13" s="76">
        <v>0</v>
      </c>
      <c r="AC13" s="76">
        <v>126.232034381698</v>
      </c>
      <c r="AD13" s="76">
        <v>3.2095473454120298</v>
      </c>
      <c r="AE13" s="76">
        <v>2.9050984663618298</v>
      </c>
      <c r="AF13" s="76">
        <v>0</v>
      </c>
      <c r="AG13" s="76">
        <v>0</v>
      </c>
      <c r="AH13" s="76">
        <v>3.1782985854015098</v>
      </c>
    </row>
    <row r="14" spans="1:34" ht="11.25" customHeight="1" x14ac:dyDescent="0.25">
      <c r="A14" s="142"/>
      <c r="B14" s="142"/>
      <c r="C14" s="142"/>
      <c r="D14" s="79" t="s">
        <v>30</v>
      </c>
      <c r="E14" s="79" t="s">
        <v>25</v>
      </c>
      <c r="F14" s="79" t="s">
        <v>25</v>
      </c>
      <c r="G14" s="78" t="s">
        <v>86</v>
      </c>
      <c r="H14" s="78" t="s">
        <v>82</v>
      </c>
      <c r="I14" s="78">
        <f>'MERCADO TE'!$U$11</f>
        <v>537.75300000000004</v>
      </c>
      <c r="J14" s="15"/>
      <c r="L14" s="76">
        <f>('TE BE'!$L$14+'TE BF'!$L$14+'TE CVA'!$L$14)*(1 - 0.1)</f>
        <v>2.3866126132954433</v>
      </c>
      <c r="M14" s="76">
        <f>('TE BE'!$M$14+'TE BF'!$M$14+'TE CVA'!$M$14)*(1 - 0.1)</f>
        <v>22.308807430724755</v>
      </c>
      <c r="N14" s="76">
        <f>('TE BE'!$N$14+'TE BF'!$N$14+'TE CVA'!$N$14)*(1 - 0.1)</f>
        <v>0</v>
      </c>
      <c r="O14" s="76">
        <f>('TE BE'!$O$14+'TE BF'!$O$14+'TE CVA'!$O$14)*(1 - 0.1)</f>
        <v>8.7729780244483333</v>
      </c>
      <c r="P14" s="76">
        <f>('TE BE'!$P$14+'TE BF'!$P$14+'TE CVA'!$P$14)*(1 - 0.1)</f>
        <v>-17.137217482769074</v>
      </c>
      <c r="Q14" s="76">
        <f>('TE BE'!$R$14+'TE BF'!$R$14+'TE CVA'!$R$14)*(1 - 0.1)</f>
        <v>214.56115306461911</v>
      </c>
      <c r="R14" s="76">
        <f>('TE BE'!$T$14+'TE BF'!$T$14+'TE CVA'!$T$14)*(1 - 0.1)</f>
        <v>7.9966567964633253</v>
      </c>
      <c r="S14" s="76">
        <f>('TE BE'!$U$14+'TE BF'!$U$14+'TE CVA'!$U$14)*(1 - 0.1)</f>
        <v>5.0724056371544455</v>
      </c>
      <c r="T14" s="76">
        <f>('TE BE'!$V$14+'TE BF'!$V$14+'TE CVA'!$V$14)*(1 - 0.1)</f>
        <v>0</v>
      </c>
      <c r="U14" s="76">
        <f>('TE BE'!$X$14+'TE BF'!$X$14+'TE CVA'!$X$14)*(1 - 0.1)</f>
        <v>-42.690962332154292</v>
      </c>
      <c r="V14" s="76">
        <f>('TE BE'!$Z$14+'TE BF'!$Z$14+'TE CVA'!$Z$14)*(1 - 0.1)</f>
        <v>6.2538984619451572</v>
      </c>
      <c r="X14" s="76">
        <v>2.1783932275806399</v>
      </c>
      <c r="Y14" s="76">
        <v>19.842527377919499</v>
      </c>
      <c r="Z14" s="76">
        <v>0</v>
      </c>
      <c r="AA14" s="76">
        <v>0</v>
      </c>
      <c r="AB14" s="76">
        <v>0</v>
      </c>
      <c r="AC14" s="76">
        <v>189.34805157254701</v>
      </c>
      <c r="AD14" s="76">
        <v>4.81432101811804</v>
      </c>
      <c r="AE14" s="76">
        <v>4.3576476995427402</v>
      </c>
      <c r="AF14" s="76">
        <v>0</v>
      </c>
      <c r="AG14" s="76">
        <v>0</v>
      </c>
      <c r="AH14" s="76">
        <v>4.76744787810226</v>
      </c>
    </row>
    <row r="15" spans="1:34" ht="11.25" customHeight="1" x14ac:dyDescent="0.25">
      <c r="A15" s="142"/>
      <c r="B15" s="142"/>
      <c r="C15" s="142"/>
      <c r="D15" s="79" t="s">
        <v>31</v>
      </c>
      <c r="E15" s="79" t="s">
        <v>25</v>
      </c>
      <c r="F15" s="79" t="s">
        <v>25</v>
      </c>
      <c r="G15" s="78" t="s">
        <v>86</v>
      </c>
      <c r="H15" s="78" t="s">
        <v>82</v>
      </c>
      <c r="I15" s="78">
        <f>'MERCADO TE'!$U$12</f>
        <v>180.10599999999999</v>
      </c>
      <c r="J15" s="15"/>
      <c r="L15" s="76">
        <f>('TE BE'!$L$15+'TE BF'!$L$15+'TE CVA'!$L$15)*1</f>
        <v>2.6517917925504926</v>
      </c>
      <c r="M15" s="76">
        <f>('TE BE'!$M$15+'TE BF'!$M$15+'TE CVA'!$M$15)*1</f>
        <v>24.787563811916392</v>
      </c>
      <c r="N15" s="76">
        <f>('TE BE'!$N$15+'TE BF'!$N$15+'TE CVA'!$N$15)*1</f>
        <v>0</v>
      </c>
      <c r="O15" s="76">
        <f>('TE BE'!$O$15+'TE BF'!$O$15+'TE CVA'!$O$15)*1</f>
        <v>9.7477533604981481</v>
      </c>
      <c r="P15" s="76">
        <f>('TE BE'!$P$15+'TE BF'!$P$15+'TE CVA'!$P$15)*1</f>
        <v>-19.041352758632303</v>
      </c>
      <c r="Q15" s="76">
        <f>('TE BE'!$R$15+'TE BF'!$R$15+'TE CVA'!$R$15)*1</f>
        <v>238.40128118291011</v>
      </c>
      <c r="R15" s="76">
        <f>('TE BE'!$T$15+'TE BF'!$T$15+'TE CVA'!$T$15)*1</f>
        <v>8.8851742182925832</v>
      </c>
      <c r="S15" s="76">
        <f>('TE BE'!$U$15+'TE BF'!$U$15+'TE CVA'!$U$15)*1</f>
        <v>5.6360062635049388</v>
      </c>
      <c r="T15" s="76">
        <f>('TE BE'!$V$15+'TE BF'!$V$15+'TE CVA'!$V$15)*1</f>
        <v>0</v>
      </c>
      <c r="U15" s="76">
        <f>('TE BE'!$X$15+'TE BF'!$X$15+'TE CVA'!$X$15)*1</f>
        <v>-47.434402591282549</v>
      </c>
      <c r="V15" s="76">
        <f>('TE BE'!$Z$15+'TE BF'!$Z$15+'TE CVA'!$Z$15)*1</f>
        <v>6.9487760688279527</v>
      </c>
      <c r="X15" s="76">
        <v>2.4204369195340498</v>
      </c>
      <c r="Y15" s="76">
        <v>22.047252642132701</v>
      </c>
      <c r="Z15" s="76">
        <v>0</v>
      </c>
      <c r="AA15" s="76">
        <v>0</v>
      </c>
      <c r="AB15" s="76">
        <v>0</v>
      </c>
      <c r="AC15" s="76">
        <v>210.38672396949701</v>
      </c>
      <c r="AD15" s="76">
        <v>5.3492455756867097</v>
      </c>
      <c r="AE15" s="76">
        <v>4.8418307772697098</v>
      </c>
      <c r="AF15" s="76">
        <v>0</v>
      </c>
      <c r="AG15" s="76">
        <v>0</v>
      </c>
      <c r="AH15" s="76">
        <v>5.2971643090025102</v>
      </c>
    </row>
    <row r="16" spans="1:34" ht="11.25" customHeight="1" x14ac:dyDescent="0.25">
      <c r="A16" s="142"/>
      <c r="B16" s="142" t="s">
        <v>94</v>
      </c>
      <c r="C16" s="142" t="s">
        <v>24</v>
      </c>
      <c r="D16" s="79" t="s">
        <v>24</v>
      </c>
      <c r="E16" s="79" t="s">
        <v>25</v>
      </c>
      <c r="F16" s="79" t="s">
        <v>25</v>
      </c>
      <c r="G16" s="78" t="s">
        <v>86</v>
      </c>
      <c r="H16" s="78" t="s">
        <v>82</v>
      </c>
      <c r="I16" s="78">
        <f>'MERCADO TE'!$U$13</f>
        <v>0</v>
      </c>
      <c r="J16" s="15"/>
      <c r="L16" s="76">
        <f>('TE BE'!$L$16+'TE BF'!$L$16+'TE CVA'!$L$16)*1</f>
        <v>2.6517917925504926</v>
      </c>
      <c r="M16" s="76">
        <f>('TE BE'!$M$16+'TE BF'!$M$16+'TE CVA'!$M$16)*1</f>
        <v>24.787563811916392</v>
      </c>
      <c r="N16" s="76">
        <f>('TE BE'!$N$16+'TE BF'!$N$16+'TE CVA'!$N$16)*1</f>
        <v>0</v>
      </c>
      <c r="O16" s="76">
        <f>('TE BE'!$O$16+'TE BF'!$O$16+'TE CVA'!$O$16)*1</f>
        <v>9.7477533604981481</v>
      </c>
      <c r="P16" s="76">
        <f>('TE BE'!$P$16+'TE BF'!$P$16+'TE CVA'!$P$16)*1</f>
        <v>-19.041352758632303</v>
      </c>
      <c r="Q16" s="76">
        <f>('TE BE'!$R$16+'TE BF'!$R$16+'TE CVA'!$R$16)*1</f>
        <v>238.40128118291011</v>
      </c>
      <c r="R16" s="76">
        <f>('TE BE'!$T$16+'TE BF'!$T$16+'TE CVA'!$T$16)*1</f>
        <v>8.8851742182925832</v>
      </c>
      <c r="S16" s="76">
        <f>('TE BE'!$U$16+'TE BF'!$U$16+'TE CVA'!$U$16)*1</f>
        <v>5.6360062635049388</v>
      </c>
      <c r="T16" s="76">
        <f>('TE BE'!$V$16+'TE BF'!$V$16+'TE CVA'!$V$16)*1</f>
        <v>0</v>
      </c>
      <c r="U16" s="76">
        <f>('TE BE'!$X$16+'TE BF'!$X$16+'TE CVA'!$X$16)*1</f>
        <v>-47.434402591282549</v>
      </c>
      <c r="V16" s="76">
        <f>('TE BE'!$Z$16+'TE BF'!$Z$16+'TE CVA'!$Z$16)*1</f>
        <v>6.9487760688279527</v>
      </c>
      <c r="X16" s="76">
        <v>2.4204369195340498</v>
      </c>
      <c r="Y16" s="76">
        <v>22.047252642132701</v>
      </c>
      <c r="Z16" s="76">
        <v>0</v>
      </c>
      <c r="AA16" s="76">
        <v>0</v>
      </c>
      <c r="AB16" s="76">
        <v>0</v>
      </c>
      <c r="AC16" s="76">
        <v>210.38672396949701</v>
      </c>
      <c r="AD16" s="76">
        <v>5.3492455756867097</v>
      </c>
      <c r="AE16" s="76">
        <v>4.8418307772697098</v>
      </c>
      <c r="AF16" s="76">
        <v>0</v>
      </c>
      <c r="AG16" s="76">
        <v>0</v>
      </c>
      <c r="AH16" s="76">
        <v>5.2971643090025102</v>
      </c>
    </row>
    <row r="17" spans="1:34" ht="11.25" customHeight="1" x14ac:dyDescent="0.25">
      <c r="A17" s="142"/>
      <c r="B17" s="142"/>
      <c r="C17" s="142"/>
      <c r="D17" s="79" t="s">
        <v>28</v>
      </c>
      <c r="E17" s="79" t="s">
        <v>25</v>
      </c>
      <c r="F17" s="79" t="s">
        <v>25</v>
      </c>
      <c r="G17" s="78" t="s">
        <v>86</v>
      </c>
      <c r="H17" s="78" t="s">
        <v>82</v>
      </c>
      <c r="I17" s="78">
        <f>'MERCADO TE'!$U$14</f>
        <v>0</v>
      </c>
      <c r="J17" s="15"/>
      <c r="L17" s="76">
        <f>('TE BE'!$L$17+'TE BF'!$L$17+'TE CVA'!$L$17)*(1 - 0.65)</f>
        <v>0.92812712739267234</v>
      </c>
      <c r="M17" s="76">
        <f>('TE BE'!$M$17+'TE BF'!$M$17+'TE CVA'!$M$17)*(1 - 0.65)</f>
        <v>8.675647334170737</v>
      </c>
      <c r="N17" s="76">
        <f>('TE BE'!$N$17+'TE BF'!$N$17+'TE CVA'!$N$17)*(1 - 0.65)</f>
        <v>0</v>
      </c>
      <c r="O17" s="76">
        <f>('TE BE'!$O$17+'TE BF'!$O$17+'TE CVA'!$O$17)*(1 - 0.65)</f>
        <v>3.4117136761743518</v>
      </c>
      <c r="P17" s="76">
        <f>('TE BE'!$P$17+'TE BF'!$P$17+'TE CVA'!$P$17)*(1 - 0.65)</f>
        <v>-6.664473465521306</v>
      </c>
      <c r="Q17" s="76">
        <f>('TE BE'!$R$17+'TE BF'!$R$17+'TE CVA'!$R$17)*(1 - 0.65)</f>
        <v>83.440448414018533</v>
      </c>
      <c r="R17" s="76">
        <f>('TE BE'!$T$17+'TE BF'!$T$17+'TE CVA'!$T$17)*(1 - 0.65)</f>
        <v>3.1098109764024038</v>
      </c>
      <c r="S17" s="76">
        <f>('TE BE'!$U$17+'TE BF'!$U$17+'TE CVA'!$U$17)*(1 - 0.65)</f>
        <v>1.9726021922267285</v>
      </c>
      <c r="T17" s="76">
        <f>('TE BE'!$V$17+'TE BF'!$V$17+'TE CVA'!$V$17)*(1 - 0.65)</f>
        <v>0</v>
      </c>
      <c r="U17" s="76">
        <f>('TE BE'!$X$17+'TE BF'!$X$17+'TE CVA'!$X$17)*(1 - 0.65)</f>
        <v>-16.60204090694889</v>
      </c>
      <c r="V17" s="76">
        <f>('TE BE'!$Z$17+'TE BF'!$Z$17+'TE CVA'!$Z$17)*(1 - 0.65)</f>
        <v>2.4320716240897835</v>
      </c>
      <c r="X17" s="76">
        <v>0.84715292183691604</v>
      </c>
      <c r="Y17" s="76">
        <v>7.7165384247464601</v>
      </c>
      <c r="Z17" s="76">
        <v>0</v>
      </c>
      <c r="AA17" s="76">
        <v>0</v>
      </c>
      <c r="AB17" s="76">
        <v>0</v>
      </c>
      <c r="AC17" s="76">
        <v>73.635353389323896</v>
      </c>
      <c r="AD17" s="76">
        <v>1.8722359514903499</v>
      </c>
      <c r="AE17" s="76">
        <v>1.6946407720443999</v>
      </c>
      <c r="AF17" s="76">
        <v>0</v>
      </c>
      <c r="AG17" s="76">
        <v>0</v>
      </c>
      <c r="AH17" s="76">
        <v>1.85400750815088</v>
      </c>
    </row>
    <row r="18" spans="1:34" ht="11.25" customHeight="1" x14ac:dyDescent="0.25">
      <c r="A18" s="142"/>
      <c r="B18" s="142"/>
      <c r="C18" s="142"/>
      <c r="D18" s="79" t="s">
        <v>29</v>
      </c>
      <c r="E18" s="79" t="s">
        <v>25</v>
      </c>
      <c r="F18" s="79" t="s">
        <v>25</v>
      </c>
      <c r="G18" s="78" t="s">
        <v>86</v>
      </c>
      <c r="H18" s="78" t="s">
        <v>82</v>
      </c>
      <c r="I18" s="78">
        <f>'MERCADO TE'!$U$15</f>
        <v>0</v>
      </c>
      <c r="J18" s="15"/>
      <c r="L18" s="76">
        <f>('TE BE'!$L$18+'TE BF'!$L$18+'TE CVA'!$L$18)*(1 - 0.4)</f>
        <v>1.5910750755302956</v>
      </c>
      <c r="M18" s="76">
        <f>('TE BE'!$M$18+'TE BF'!$M$18+'TE CVA'!$M$18)*(1 - 0.4)</f>
        <v>14.872538287149835</v>
      </c>
      <c r="N18" s="76">
        <f>('TE BE'!$N$18+'TE BF'!$N$18+'TE CVA'!$N$18)*(1 - 0.4)</f>
        <v>0</v>
      </c>
      <c r="O18" s="76">
        <f>('TE BE'!$O$18+'TE BF'!$O$18+'TE CVA'!$O$18)*(1 - 0.4)</f>
        <v>5.8486520162988889</v>
      </c>
      <c r="P18" s="76">
        <f>('TE BE'!$P$18+'TE BF'!$P$18+'TE CVA'!$P$18)*(1 - 0.4)</f>
        <v>-11.424811655179381</v>
      </c>
      <c r="Q18" s="76">
        <f>('TE BE'!$R$18+'TE BF'!$R$18+'TE CVA'!$R$18)*(1 - 0.4)</f>
        <v>143.04076870974606</v>
      </c>
      <c r="R18" s="76">
        <f>('TE BE'!$T$18+'TE BF'!$T$18+'TE CVA'!$T$18)*(1 - 0.4)</f>
        <v>5.3311045309755496</v>
      </c>
      <c r="S18" s="76">
        <f>('TE BE'!$U$18+'TE BF'!$U$18+'TE CVA'!$U$18)*(1 - 0.4)</f>
        <v>3.3816037581029632</v>
      </c>
      <c r="T18" s="76">
        <f>('TE BE'!$V$18+'TE BF'!$V$18+'TE CVA'!$V$18)*(1 - 0.4)</f>
        <v>0</v>
      </c>
      <c r="U18" s="76">
        <f>('TE BE'!$X$18+'TE BF'!$X$18+'TE CVA'!$X$18)*(1 - 0.4)</f>
        <v>-28.460641554769527</v>
      </c>
      <c r="V18" s="76">
        <f>('TE BE'!$Z$18+'TE BF'!$Z$18+'TE CVA'!$Z$18)*(1 - 0.4)</f>
        <v>4.1692656412967715</v>
      </c>
      <c r="X18" s="76">
        <v>1.4522621517204299</v>
      </c>
      <c r="Y18" s="76">
        <v>13.228351585279601</v>
      </c>
      <c r="Z18" s="76">
        <v>0</v>
      </c>
      <c r="AA18" s="76">
        <v>0</v>
      </c>
      <c r="AB18" s="76">
        <v>0</v>
      </c>
      <c r="AC18" s="76">
        <v>126.232034381698</v>
      </c>
      <c r="AD18" s="76">
        <v>3.2095473454120298</v>
      </c>
      <c r="AE18" s="76">
        <v>2.9050984663618298</v>
      </c>
      <c r="AF18" s="76">
        <v>0</v>
      </c>
      <c r="AG18" s="76">
        <v>0</v>
      </c>
      <c r="AH18" s="76">
        <v>3.1782985854015098</v>
      </c>
    </row>
    <row r="19" spans="1:34" ht="11.25" customHeight="1" x14ac:dyDescent="0.25">
      <c r="A19" s="142"/>
      <c r="B19" s="142"/>
      <c r="C19" s="142"/>
      <c r="D19" s="79" t="s">
        <v>30</v>
      </c>
      <c r="E19" s="79" t="s">
        <v>25</v>
      </c>
      <c r="F19" s="79" t="s">
        <v>25</v>
      </c>
      <c r="G19" s="78" t="s">
        <v>86</v>
      </c>
      <c r="H19" s="78" t="s">
        <v>82</v>
      </c>
      <c r="I19" s="78">
        <f>'MERCADO TE'!$U$16</f>
        <v>0</v>
      </c>
      <c r="J19" s="15"/>
      <c r="L19" s="76">
        <f>('TE BE'!$L$19+'TE BF'!$L$19+'TE CVA'!$L$19)*(1 - 0.1)</f>
        <v>2.3866126132954433</v>
      </c>
      <c r="M19" s="76">
        <f>('TE BE'!$M$19+'TE BF'!$M$19+'TE CVA'!$M$19)*(1 - 0.1)</f>
        <v>22.308807430724755</v>
      </c>
      <c r="N19" s="76">
        <f>('TE BE'!$N$19+'TE BF'!$N$19+'TE CVA'!$N$19)*(1 - 0.1)</f>
        <v>0</v>
      </c>
      <c r="O19" s="76">
        <f>('TE BE'!$O$19+'TE BF'!$O$19+'TE CVA'!$O$19)*(1 - 0.1)</f>
        <v>8.7729780244483333</v>
      </c>
      <c r="P19" s="76">
        <f>('TE BE'!$P$19+'TE BF'!$P$19+'TE CVA'!$P$19)*(1 - 0.1)</f>
        <v>-17.137217482769074</v>
      </c>
      <c r="Q19" s="76">
        <f>('TE BE'!$R$19+'TE BF'!$R$19+'TE CVA'!$R$19)*(1 - 0.1)</f>
        <v>214.56115306461911</v>
      </c>
      <c r="R19" s="76">
        <f>('TE BE'!$T$19+'TE BF'!$T$19+'TE CVA'!$T$19)*(1 - 0.1)</f>
        <v>7.9966567964633253</v>
      </c>
      <c r="S19" s="76">
        <f>('TE BE'!$U$19+'TE BF'!$U$19+'TE CVA'!$U$19)*(1 - 0.1)</f>
        <v>5.0724056371544455</v>
      </c>
      <c r="T19" s="76">
        <f>('TE BE'!$V$19+'TE BF'!$V$19+'TE CVA'!$V$19)*(1 - 0.1)</f>
        <v>0</v>
      </c>
      <c r="U19" s="76">
        <f>('TE BE'!$X$19+'TE BF'!$X$19+'TE CVA'!$X$19)*(1 - 0.1)</f>
        <v>-42.690962332154292</v>
      </c>
      <c r="V19" s="76">
        <f>('TE BE'!$Z$19+'TE BF'!$Z$19+'TE CVA'!$Z$19)*(1 - 0.1)</f>
        <v>6.2538984619451572</v>
      </c>
      <c r="X19" s="76">
        <v>2.1783932275806399</v>
      </c>
      <c r="Y19" s="76">
        <v>19.842527377919499</v>
      </c>
      <c r="Z19" s="76">
        <v>0</v>
      </c>
      <c r="AA19" s="76">
        <v>0</v>
      </c>
      <c r="AB19" s="76">
        <v>0</v>
      </c>
      <c r="AC19" s="76">
        <v>189.34805157254701</v>
      </c>
      <c r="AD19" s="76">
        <v>4.81432101811804</v>
      </c>
      <c r="AE19" s="76">
        <v>4.3576476995427402</v>
      </c>
      <c r="AF19" s="76">
        <v>0</v>
      </c>
      <c r="AG19" s="76">
        <v>0</v>
      </c>
      <c r="AH19" s="76">
        <v>4.76744787810226</v>
      </c>
    </row>
    <row r="20" spans="1:34" ht="11.25" customHeight="1" x14ac:dyDescent="0.25">
      <c r="A20" s="142"/>
      <c r="B20" s="142"/>
      <c r="C20" s="142"/>
      <c r="D20" s="79" t="s">
        <v>31</v>
      </c>
      <c r="E20" s="79" t="s">
        <v>25</v>
      </c>
      <c r="F20" s="79" t="s">
        <v>25</v>
      </c>
      <c r="G20" s="78" t="s">
        <v>86</v>
      </c>
      <c r="H20" s="78" t="s">
        <v>82</v>
      </c>
      <c r="I20" s="78">
        <f>'MERCADO TE'!$U$17</f>
        <v>0</v>
      </c>
      <c r="J20" s="15"/>
      <c r="L20" s="76">
        <f>('TE BE'!$L$20+'TE BF'!$L$20+'TE CVA'!$L$20)*1</f>
        <v>2.6517917925504926</v>
      </c>
      <c r="M20" s="76">
        <f>('TE BE'!$M$20+'TE BF'!$M$20+'TE CVA'!$M$20)*1</f>
        <v>24.787563811916392</v>
      </c>
      <c r="N20" s="76">
        <f>('TE BE'!$N$20+'TE BF'!$N$20+'TE CVA'!$N$20)*1</f>
        <v>0</v>
      </c>
      <c r="O20" s="76">
        <f>('TE BE'!$O$20+'TE BF'!$O$20+'TE CVA'!$O$20)*1</f>
        <v>9.7477533604981481</v>
      </c>
      <c r="P20" s="76">
        <f>('TE BE'!$P$20+'TE BF'!$P$20+'TE CVA'!$P$20)*1</f>
        <v>-19.041352758632303</v>
      </c>
      <c r="Q20" s="76">
        <f>('TE BE'!$R$20+'TE BF'!$R$20+'TE CVA'!$R$20)*1</f>
        <v>238.40128118291011</v>
      </c>
      <c r="R20" s="76">
        <f>('TE BE'!$T$20+'TE BF'!$T$20+'TE CVA'!$T$20)*1</f>
        <v>8.8851742182925832</v>
      </c>
      <c r="S20" s="76">
        <f>('TE BE'!$U$20+'TE BF'!$U$20+'TE CVA'!$U$20)*1</f>
        <v>5.6360062635049388</v>
      </c>
      <c r="T20" s="76">
        <f>('TE BE'!$V$20+'TE BF'!$V$20+'TE CVA'!$V$20)*1</f>
        <v>0</v>
      </c>
      <c r="U20" s="76">
        <f>('TE BE'!$X$20+'TE BF'!$X$20+'TE CVA'!$X$20)*1</f>
        <v>-47.434402591282549</v>
      </c>
      <c r="V20" s="76">
        <f>('TE BE'!$Z$20+'TE BF'!$Z$20+'TE CVA'!$Z$20)*1</f>
        <v>6.9487760688279527</v>
      </c>
      <c r="X20" s="76">
        <v>2.4204369195340498</v>
      </c>
      <c r="Y20" s="76">
        <v>22.047252642132701</v>
      </c>
      <c r="Z20" s="76">
        <v>0</v>
      </c>
      <c r="AA20" s="76">
        <v>0</v>
      </c>
      <c r="AB20" s="76">
        <v>0</v>
      </c>
      <c r="AC20" s="76">
        <v>210.38672396949701</v>
      </c>
      <c r="AD20" s="76">
        <v>5.3492455756867097</v>
      </c>
      <c r="AE20" s="76">
        <v>4.8418307772697098</v>
      </c>
      <c r="AF20" s="76">
        <v>0</v>
      </c>
      <c r="AG20" s="76">
        <v>0</v>
      </c>
      <c r="AH20" s="76">
        <v>5.2971643090025102</v>
      </c>
    </row>
    <row r="21" spans="1:34" ht="11.25" customHeight="1" x14ac:dyDescent="0.25">
      <c r="A21" s="142" t="s">
        <v>42</v>
      </c>
      <c r="B21" s="142" t="s">
        <v>81</v>
      </c>
      <c r="C21" s="142" t="s">
        <v>43</v>
      </c>
      <c r="D21" s="142" t="s">
        <v>25</v>
      </c>
      <c r="E21" s="142" t="s">
        <v>25</v>
      </c>
      <c r="F21" s="142" t="s">
        <v>25</v>
      </c>
      <c r="G21" s="78" t="s">
        <v>83</v>
      </c>
      <c r="H21" s="78" t="s">
        <v>82</v>
      </c>
      <c r="I21" s="78">
        <f>'MERCADO TE'!$U$18</f>
        <v>0</v>
      </c>
      <c r="J21" s="15"/>
      <c r="L21" s="76">
        <f>('TE BE'!$L$21+'TE BF'!$L$21+'TE CVA'!$L$21)*(1 - CUSTOS!$M$38)</f>
        <v>2.4926842849974631</v>
      </c>
      <c r="M21" s="76">
        <f>('TE BE'!$M$21+'TE BF'!$M$21+'TE CVA'!$M$21)*(1 - CUSTOS!$M$38)</f>
        <v>23.300309983201409</v>
      </c>
      <c r="N21" s="76">
        <f>('TE BE'!$N$21+'TE BF'!$N$21+'TE CVA'!$N$21)*(1 - CUSTOS!$M$38)</f>
        <v>0</v>
      </c>
      <c r="O21" s="76">
        <f>('TE BE'!$O$21+'TE BF'!$O$21+'TE CVA'!$O$21)*(1 - CUSTOS!$M$38)</f>
        <v>9.1628881588682596</v>
      </c>
      <c r="P21" s="76">
        <f>('TE BE'!$P$21+'TE BF'!$P$21+'TE CVA'!$P$21)*(1 - CUSTOS!$M$38)</f>
        <v>-17.898871593114364</v>
      </c>
      <c r="Q21" s="76">
        <f>('TE BE'!$R$21+'TE BF'!$R$21+'TE CVA'!$R$21)*(1 - CUSTOS!$M$38)</f>
        <v>363.62942586464993</v>
      </c>
      <c r="R21" s="76">
        <f>('TE BE'!$T$21+'TE BF'!$T$21+'TE CVA'!$T$21)*(1 - CUSTOS!$M$38)</f>
        <v>8.3520637651950285</v>
      </c>
      <c r="S21" s="76">
        <f>('TE BE'!$U$21+'TE BF'!$U$21+'TE CVA'!$U$21)*(1 - CUSTOS!$M$38)</f>
        <v>5.2978458876946419</v>
      </c>
      <c r="T21" s="76">
        <f>('TE BE'!$V$21+'TE BF'!$V$21+'TE CVA'!$V$21)*(1 - CUSTOS!$M$38)</f>
        <v>0</v>
      </c>
      <c r="U21" s="76">
        <f>('TE BE'!$X$21+'TE BF'!$X$21+'TE CVA'!$X$21)*(1 - CUSTOS!$M$38)</f>
        <v>-68.530255760036766</v>
      </c>
      <c r="V21" s="76">
        <f>('TE BE'!$Z$21+'TE BF'!$Z$21+'TE CVA'!$Z$21)*(1 - CUSTOS!$M$38)</f>
        <v>6.5318495046982754</v>
      </c>
      <c r="X21" s="76">
        <v>2.12998448918996</v>
      </c>
      <c r="Y21" s="76">
        <v>19.401582325076799</v>
      </c>
      <c r="Z21" s="76">
        <v>0</v>
      </c>
      <c r="AA21" s="76">
        <v>0</v>
      </c>
      <c r="AB21" s="76">
        <v>0</v>
      </c>
      <c r="AC21" s="76">
        <v>300.41636358512301</v>
      </c>
      <c r="AD21" s="76">
        <v>4.70733610660431</v>
      </c>
      <c r="AE21" s="76">
        <v>4.2608110839973499</v>
      </c>
      <c r="AF21" s="76">
        <v>0</v>
      </c>
      <c r="AG21" s="76">
        <v>0</v>
      </c>
      <c r="AH21" s="76">
        <v>4.6615045919222098</v>
      </c>
    </row>
    <row r="22" spans="1:34" ht="11.25" customHeight="1" x14ac:dyDescent="0.25">
      <c r="A22" s="142"/>
      <c r="B22" s="142"/>
      <c r="C22" s="142"/>
      <c r="D22" s="142"/>
      <c r="E22" s="142"/>
      <c r="F22" s="142"/>
      <c r="G22" s="78" t="s">
        <v>93</v>
      </c>
      <c r="H22" s="78" t="s">
        <v>82</v>
      </c>
      <c r="I22" s="78">
        <f>'MERCADO TE'!$U$19</f>
        <v>0</v>
      </c>
      <c r="J22" s="15"/>
      <c r="L22" s="76">
        <f>('TE BE'!$L$22+'TE BF'!$L$22+'TE CVA'!$L$22)*(1 - CUSTOS!$M$38)</f>
        <v>2.4926842849974631</v>
      </c>
      <c r="M22" s="76">
        <f>('TE BE'!$M$22+'TE BF'!$M$22+'TE CVA'!$M$22)*(1 - CUSTOS!$M$38)</f>
        <v>23.300309983201409</v>
      </c>
      <c r="N22" s="76">
        <f>('TE BE'!$N$22+'TE BF'!$N$22+'TE CVA'!$N$22)*(1 - CUSTOS!$M$38)</f>
        <v>0</v>
      </c>
      <c r="O22" s="76">
        <f>('TE BE'!$O$22+'TE BF'!$O$22+'TE CVA'!$O$22)*(1 - CUSTOS!$M$38)</f>
        <v>9.1628881588682596</v>
      </c>
      <c r="P22" s="76">
        <f>('TE BE'!$P$22+'TE BF'!$P$22+'TE CVA'!$P$22)*(1 - CUSTOS!$M$38)</f>
        <v>-17.898871593114364</v>
      </c>
      <c r="Q22" s="76">
        <f>('TE BE'!$R$22+'TE BF'!$R$22+'TE CVA'!$R$22)*(1 - CUSTOS!$M$38)</f>
        <v>211.41245689805234</v>
      </c>
      <c r="R22" s="76">
        <f>('TE BE'!$T$22+'TE BF'!$T$22+'TE CVA'!$T$22)*(1 - CUSTOS!$M$38)</f>
        <v>8.3520637651950285</v>
      </c>
      <c r="S22" s="76">
        <f>('TE BE'!$U$22+'TE BF'!$U$22+'TE CVA'!$U$22)*(1 - CUSTOS!$M$38)</f>
        <v>5.2978458876946419</v>
      </c>
      <c r="T22" s="76">
        <f>('TE BE'!$V$22+'TE BF'!$V$22+'TE CVA'!$V$22)*(1 - CUSTOS!$M$38)</f>
        <v>0</v>
      </c>
      <c r="U22" s="76">
        <f>('TE BE'!$X$22+'TE BF'!$X$22+'TE CVA'!$X$22)*(1 - CUSTOS!$M$38)</f>
        <v>-42.411800497239113</v>
      </c>
      <c r="V22" s="76">
        <f>('TE BE'!$Z$22+'TE BF'!$Z$22+'TE CVA'!$Z$22)*(1 - CUSTOS!$M$38)</f>
        <v>6.5318495046982754</v>
      </c>
      <c r="X22" s="76">
        <v>2.12998448918996</v>
      </c>
      <c r="Y22" s="76">
        <v>19.401582325076799</v>
      </c>
      <c r="Z22" s="76">
        <v>0</v>
      </c>
      <c r="AA22" s="76">
        <v>0</v>
      </c>
      <c r="AB22" s="76">
        <v>0</v>
      </c>
      <c r="AC22" s="76">
        <v>174.66067650297899</v>
      </c>
      <c r="AD22" s="76">
        <v>4.70733610660431</v>
      </c>
      <c r="AE22" s="76">
        <v>4.2608110839973499</v>
      </c>
      <c r="AF22" s="76">
        <v>0</v>
      </c>
      <c r="AG22" s="76">
        <v>0</v>
      </c>
      <c r="AH22" s="76">
        <v>4.6615045919222098</v>
      </c>
    </row>
    <row r="23" spans="1:34" ht="11.25" customHeight="1" x14ac:dyDescent="0.25">
      <c r="A23" s="142"/>
      <c r="B23" s="142"/>
      <c r="C23" s="142"/>
      <c r="D23" s="142"/>
      <c r="E23" s="142"/>
      <c r="F23" s="142"/>
      <c r="G23" s="78" t="s">
        <v>84</v>
      </c>
      <c r="H23" s="78" t="s">
        <v>82</v>
      </c>
      <c r="I23" s="78">
        <f>'MERCADO TE'!$U$20</f>
        <v>0</v>
      </c>
      <c r="J23" s="15"/>
      <c r="L23" s="76">
        <f>('TE BE'!$L$23+'TE BF'!$L$23+'TE CVA'!$L$23)*(1 - CUSTOS!$M$38)</f>
        <v>2.4926842849974631</v>
      </c>
      <c r="M23" s="76">
        <f>('TE BE'!$M$23+'TE BF'!$M$23+'TE CVA'!$M$23)*(1 - CUSTOS!$M$38)</f>
        <v>23.300309983201409</v>
      </c>
      <c r="N23" s="76">
        <f>('TE BE'!$N$23+'TE BF'!$N$23+'TE CVA'!$N$23)*(1 - CUSTOS!$M$38)</f>
        <v>0</v>
      </c>
      <c r="O23" s="76">
        <f>('TE BE'!$O$23+'TE BF'!$O$23+'TE CVA'!$O$23)*(1 - CUSTOS!$M$38)</f>
        <v>9.1628881588682596</v>
      </c>
      <c r="P23" s="76">
        <f>('TE BE'!$P$23+'TE BF'!$P$23+'TE CVA'!$P$23)*(1 - CUSTOS!$M$38)</f>
        <v>-17.898871593114364</v>
      </c>
      <c r="Q23" s="76">
        <f>('TE BE'!$R$23+'TE BF'!$R$23+'TE CVA'!$R$23)*(1 - CUSTOS!$M$38)</f>
        <v>211.41245689805234</v>
      </c>
      <c r="R23" s="76">
        <f>('TE BE'!$T$23+'TE BF'!$T$23+'TE CVA'!$T$23)*(1 - CUSTOS!$M$38)</f>
        <v>8.3520637651950285</v>
      </c>
      <c r="S23" s="76">
        <f>('TE BE'!$U$23+'TE BF'!$U$23+'TE CVA'!$U$23)*(1 - CUSTOS!$M$38)</f>
        <v>5.2978458876946419</v>
      </c>
      <c r="T23" s="76">
        <f>('TE BE'!$V$23+'TE BF'!$V$23+'TE CVA'!$V$23)*(1 - CUSTOS!$M$38)</f>
        <v>0</v>
      </c>
      <c r="U23" s="76">
        <f>('TE BE'!$X$23+'TE BF'!$X$23+'TE CVA'!$X$23)*(1 - CUSTOS!$M$38)</f>
        <v>-42.411800497239113</v>
      </c>
      <c r="V23" s="76">
        <f>('TE BE'!$Z$23+'TE BF'!$Z$23+'TE CVA'!$Z$23)*(1 - CUSTOS!$M$38)</f>
        <v>6.5318495046982754</v>
      </c>
      <c r="X23" s="76">
        <v>2.12998448918996</v>
      </c>
      <c r="Y23" s="76">
        <v>19.401582325076799</v>
      </c>
      <c r="Z23" s="76">
        <v>0</v>
      </c>
      <c r="AA23" s="76">
        <v>0</v>
      </c>
      <c r="AB23" s="76">
        <v>0</v>
      </c>
      <c r="AC23" s="76">
        <v>174.66067650297899</v>
      </c>
      <c r="AD23" s="76">
        <v>4.70733610660431</v>
      </c>
      <c r="AE23" s="76">
        <v>4.2608110839973499</v>
      </c>
      <c r="AF23" s="76">
        <v>0</v>
      </c>
      <c r="AG23" s="76">
        <v>0</v>
      </c>
      <c r="AH23" s="76">
        <v>4.6615045919222098</v>
      </c>
    </row>
    <row r="24" spans="1:34" ht="11.25" customHeight="1" x14ac:dyDescent="0.25">
      <c r="A24" s="142"/>
      <c r="B24" s="79" t="s">
        <v>85</v>
      </c>
      <c r="C24" s="79" t="s">
        <v>43</v>
      </c>
      <c r="D24" s="79" t="s">
        <v>25</v>
      </c>
      <c r="E24" s="79" t="s">
        <v>25</v>
      </c>
      <c r="F24" s="79" t="s">
        <v>25</v>
      </c>
      <c r="G24" s="78" t="s">
        <v>86</v>
      </c>
      <c r="H24" s="78" t="s">
        <v>82</v>
      </c>
      <c r="I24" s="78">
        <f>'MERCADO TE'!$U$21</f>
        <v>18727.453000000001</v>
      </c>
      <c r="J24" s="15"/>
      <c r="L24" s="76">
        <f>('TE BE'!$L$24+'TE BF'!$L$24+'TE CVA'!$L$24)*(1 - CUSTOS!$M$38)</f>
        <v>2.4926842849974631</v>
      </c>
      <c r="M24" s="76">
        <f>('TE BE'!$M$24+'TE BF'!$M$24+'TE CVA'!$M$24)*(1 - CUSTOS!$M$38)</f>
        <v>23.300309983201409</v>
      </c>
      <c r="N24" s="76">
        <f>('TE BE'!$N$24+'TE BF'!$N$24+'TE CVA'!$N$24)*(1 - CUSTOS!$M$38)</f>
        <v>0</v>
      </c>
      <c r="O24" s="76">
        <f>('TE BE'!$O$24+'TE BF'!$O$24+'TE CVA'!$O$24)*(1 - CUSTOS!$M$38)</f>
        <v>9.1628881588682596</v>
      </c>
      <c r="P24" s="76">
        <f>('TE BE'!$P$24+'TE BF'!$P$24+'TE CVA'!$P$24)*(1 - CUSTOS!$M$38)</f>
        <v>-17.898871593114364</v>
      </c>
      <c r="Q24" s="76">
        <f>('TE BE'!$R$24+'TE BF'!$R$24+'TE CVA'!$R$24)*(1 - CUSTOS!$M$38)</f>
        <v>224.09720431193549</v>
      </c>
      <c r="R24" s="76">
        <f>('TE BE'!$T$24+'TE BF'!$T$24+'TE CVA'!$T$24)*(1 - CUSTOS!$M$38)</f>
        <v>8.3520637651950285</v>
      </c>
      <c r="S24" s="76">
        <f>('TE BE'!$U$24+'TE BF'!$U$24+'TE CVA'!$U$24)*(1 - CUSTOS!$M$38)</f>
        <v>5.2978458876946419</v>
      </c>
      <c r="T24" s="76">
        <f>('TE BE'!$V$24+'TE BF'!$V$24+'TE CVA'!$V$24)*(1 - CUSTOS!$M$38)</f>
        <v>0</v>
      </c>
      <c r="U24" s="76">
        <f>('TE BE'!$X$24+'TE BF'!$X$24+'TE CVA'!$X$24)*(1 - CUSTOS!$M$38)</f>
        <v>-44.588338435805596</v>
      </c>
      <c r="V24" s="76">
        <f>('TE BE'!$Z$24+'TE BF'!$Z$24+'TE CVA'!$Z$24)*(1 - CUSTOS!$M$38)</f>
        <v>6.5318495046982754</v>
      </c>
      <c r="X24" s="76">
        <v>2.12998448918996</v>
      </c>
      <c r="Y24" s="76">
        <v>19.401582325076799</v>
      </c>
      <c r="Z24" s="76">
        <v>0</v>
      </c>
      <c r="AA24" s="76">
        <v>0</v>
      </c>
      <c r="AB24" s="76">
        <v>0</v>
      </c>
      <c r="AC24" s="76">
        <v>185.14031709315699</v>
      </c>
      <c r="AD24" s="76">
        <v>4.70733610660431</v>
      </c>
      <c r="AE24" s="76">
        <v>4.2608110839973499</v>
      </c>
      <c r="AF24" s="76">
        <v>0</v>
      </c>
      <c r="AG24" s="76">
        <v>0</v>
      </c>
      <c r="AH24" s="76">
        <v>4.6615045919222098</v>
      </c>
    </row>
    <row r="25" spans="1:34" ht="11.25" customHeight="1" x14ac:dyDescent="0.25">
      <c r="A25" s="142"/>
      <c r="B25" s="142" t="s">
        <v>81</v>
      </c>
      <c r="C25" s="142" t="s">
        <v>43</v>
      </c>
      <c r="D25" s="142" t="s">
        <v>96</v>
      </c>
      <c r="E25" s="142" t="s">
        <v>25</v>
      </c>
      <c r="F25" s="142" t="s">
        <v>25</v>
      </c>
      <c r="G25" s="78" t="s">
        <v>83</v>
      </c>
      <c r="H25" s="78" t="s">
        <v>82</v>
      </c>
      <c r="I25" s="78">
        <f>'MERCADO TE'!$U$22</f>
        <v>0</v>
      </c>
      <c r="J25" s="15"/>
      <c r="L25" s="76">
        <f>('TE BE'!$L$25+'TE BF'!$L$25+'TE CVA'!$L$25)*(1 - CUSTOS!$M$39)</f>
        <v>2.4926842849974631</v>
      </c>
      <c r="M25" s="76">
        <f>('TE BE'!$M$25+'TE BF'!$M$25+'TE CVA'!$M$25)*(1 - CUSTOS!$M$39)</f>
        <v>23.300309983201409</v>
      </c>
      <c r="N25" s="76">
        <f>('TE BE'!$N$25+'TE BF'!$N$25+'TE CVA'!$N$25)*(1 - CUSTOS!$M$39)</f>
        <v>0</v>
      </c>
      <c r="O25" s="76">
        <f>('TE BE'!$O$25+'TE BF'!$O$25+'TE CVA'!$O$25)*(1 - CUSTOS!$M$39)</f>
        <v>9.1628881588682596</v>
      </c>
      <c r="P25" s="76">
        <f>('TE BE'!$P$25+'TE BF'!$P$25+'TE CVA'!$P$25)*(1 - CUSTOS!$M$39)</f>
        <v>-17.898871593114364</v>
      </c>
      <c r="Q25" s="76">
        <f>('TE BE'!$R$25+'TE BF'!$R$25+'TE CVA'!$R$25)*(1 - CUSTOS!$M$39)</f>
        <v>363.62942586464993</v>
      </c>
      <c r="R25" s="76">
        <f>('TE BE'!$T$25+'TE BF'!$T$25+'TE CVA'!$T$25)*(1 - CUSTOS!$M$39)</f>
        <v>8.3520637651950285</v>
      </c>
      <c r="S25" s="76">
        <f>('TE BE'!$U$25+'TE BF'!$U$25+'TE CVA'!$U$25)*(1 - CUSTOS!$M$39)</f>
        <v>5.2978458876946419</v>
      </c>
      <c r="T25" s="76">
        <f>('TE BE'!$V$25+'TE BF'!$V$25+'TE CVA'!$V$25)*(1 - CUSTOS!$M$39)</f>
        <v>0</v>
      </c>
      <c r="U25" s="76">
        <f>('TE BE'!$X$25+'TE BF'!$X$25+'TE CVA'!$X$25)*(1 - CUSTOS!$M$39)</f>
        <v>-68.530255760036766</v>
      </c>
      <c r="V25" s="76">
        <f>('TE BE'!$Z$25+'TE BF'!$Z$25+'TE CVA'!$Z$25)*(1 - CUSTOS!$M$39)</f>
        <v>6.5318495046982754</v>
      </c>
      <c r="X25" s="76">
        <v>2.12998448918996</v>
      </c>
      <c r="Y25" s="76">
        <v>19.401582325076799</v>
      </c>
      <c r="Z25" s="76">
        <v>0</v>
      </c>
      <c r="AA25" s="76">
        <v>0</v>
      </c>
      <c r="AB25" s="76">
        <v>0</v>
      </c>
      <c r="AC25" s="76">
        <v>300.41636358512301</v>
      </c>
      <c r="AD25" s="76">
        <v>4.70733610660431</v>
      </c>
      <c r="AE25" s="76">
        <v>4.2608110839973499</v>
      </c>
      <c r="AF25" s="76">
        <v>0</v>
      </c>
      <c r="AG25" s="76">
        <v>0</v>
      </c>
      <c r="AH25" s="76">
        <v>4.6615045919222098</v>
      </c>
    </row>
    <row r="26" spans="1:34" ht="11.25" customHeight="1" x14ac:dyDescent="0.25">
      <c r="A26" s="142"/>
      <c r="B26" s="142"/>
      <c r="C26" s="142"/>
      <c r="D26" s="142"/>
      <c r="E26" s="142"/>
      <c r="F26" s="142"/>
      <c r="G26" s="78" t="s">
        <v>93</v>
      </c>
      <c r="H26" s="78" t="s">
        <v>82</v>
      </c>
      <c r="I26" s="78">
        <f>'MERCADO TE'!$U$23</f>
        <v>0</v>
      </c>
      <c r="J26" s="15"/>
      <c r="L26" s="76">
        <f>('TE BE'!$L$26+'TE BF'!$L$26+'TE CVA'!$L$26)*(1 - CUSTOS!$M$39)</f>
        <v>2.4926842849974631</v>
      </c>
      <c r="M26" s="76">
        <f>('TE BE'!$M$26+'TE BF'!$M$26+'TE CVA'!$M$26)*(1 - CUSTOS!$M$39)</f>
        <v>23.300309983201409</v>
      </c>
      <c r="N26" s="76">
        <f>('TE BE'!$N$26+'TE BF'!$N$26+'TE CVA'!$N$26)*(1 - CUSTOS!$M$39)</f>
        <v>0</v>
      </c>
      <c r="O26" s="76">
        <f>('TE BE'!$O$26+'TE BF'!$O$26+'TE CVA'!$O$26)*(1 - CUSTOS!$M$39)</f>
        <v>9.1628881588682596</v>
      </c>
      <c r="P26" s="76">
        <f>('TE BE'!$P$26+'TE BF'!$P$26+'TE CVA'!$P$26)*(1 - CUSTOS!$M$39)</f>
        <v>-17.898871593114364</v>
      </c>
      <c r="Q26" s="76">
        <f>('TE BE'!$R$26+'TE BF'!$R$26+'TE CVA'!$R$26)*(1 - CUSTOS!$M$39)</f>
        <v>211.41245689805234</v>
      </c>
      <c r="R26" s="76">
        <f>('TE BE'!$T$26+'TE BF'!$T$26+'TE CVA'!$T$26)*(1 - CUSTOS!$M$39)</f>
        <v>8.3520637651950285</v>
      </c>
      <c r="S26" s="76">
        <f>('TE BE'!$U$26+'TE BF'!$U$26+'TE CVA'!$U$26)*(1 - CUSTOS!$M$39)</f>
        <v>5.2978458876946419</v>
      </c>
      <c r="T26" s="76">
        <f>('TE BE'!$V$26+'TE BF'!$V$26+'TE CVA'!$V$26)*(1 - CUSTOS!$M$39)</f>
        <v>0</v>
      </c>
      <c r="U26" s="76">
        <f>('TE BE'!$X$26+'TE BF'!$X$26+'TE CVA'!$X$26)*(1 - CUSTOS!$M$39)</f>
        <v>-42.411800497239113</v>
      </c>
      <c r="V26" s="76">
        <f>('TE BE'!$Z$26+'TE BF'!$Z$26+'TE CVA'!$Z$26)*(1 - CUSTOS!$M$39)</f>
        <v>6.5318495046982754</v>
      </c>
      <c r="X26" s="76">
        <v>2.12998448918996</v>
      </c>
      <c r="Y26" s="76">
        <v>19.401582325076799</v>
      </c>
      <c r="Z26" s="76">
        <v>0</v>
      </c>
      <c r="AA26" s="76">
        <v>0</v>
      </c>
      <c r="AB26" s="76">
        <v>0</v>
      </c>
      <c r="AC26" s="76">
        <v>174.66067650297899</v>
      </c>
      <c r="AD26" s="76">
        <v>4.70733610660431</v>
      </c>
      <c r="AE26" s="76">
        <v>4.2608110839973499</v>
      </c>
      <c r="AF26" s="76">
        <v>0</v>
      </c>
      <c r="AG26" s="76">
        <v>0</v>
      </c>
      <c r="AH26" s="76">
        <v>4.6615045919222098</v>
      </c>
    </row>
    <row r="27" spans="1:34" ht="11.25" customHeight="1" x14ac:dyDescent="0.25">
      <c r="A27" s="142"/>
      <c r="B27" s="142"/>
      <c r="C27" s="142"/>
      <c r="D27" s="142"/>
      <c r="E27" s="142"/>
      <c r="F27" s="142"/>
      <c r="G27" s="78" t="s">
        <v>84</v>
      </c>
      <c r="H27" s="78" t="s">
        <v>82</v>
      </c>
      <c r="I27" s="78">
        <f>'MERCADO TE'!$U$24</f>
        <v>0</v>
      </c>
      <c r="J27" s="15"/>
      <c r="L27" s="76">
        <f>('TE BE'!$L$27+'TE BF'!$L$27+'TE CVA'!$L$27)*(1 - CUSTOS!$M$39)</f>
        <v>2.4926842849974631</v>
      </c>
      <c r="M27" s="76">
        <f>('TE BE'!$M$27+'TE BF'!$M$27+'TE CVA'!$M$27)*(1 - CUSTOS!$M$39)</f>
        <v>23.300309983201409</v>
      </c>
      <c r="N27" s="76">
        <f>('TE BE'!$N$27+'TE BF'!$N$27+'TE CVA'!$N$27)*(1 - CUSTOS!$M$39)</f>
        <v>0</v>
      </c>
      <c r="O27" s="76">
        <f>('TE BE'!$O$27+'TE BF'!$O$27+'TE CVA'!$O$27)*(1 - CUSTOS!$M$39)</f>
        <v>9.1628881588682596</v>
      </c>
      <c r="P27" s="76">
        <f>('TE BE'!$P$27+'TE BF'!$P$27+'TE CVA'!$P$27)*(1 - CUSTOS!$M$39)</f>
        <v>-17.898871593114364</v>
      </c>
      <c r="Q27" s="76">
        <f>('TE BE'!$R$27+'TE BF'!$R$27+'TE CVA'!$R$27)*(1 - CUSTOS!$M$39)</f>
        <v>211.41245689805234</v>
      </c>
      <c r="R27" s="76">
        <f>('TE BE'!$T$27+'TE BF'!$T$27+'TE CVA'!$T$27)*(1 - CUSTOS!$M$39)</f>
        <v>8.3520637651950285</v>
      </c>
      <c r="S27" s="76">
        <f>('TE BE'!$U$27+'TE BF'!$U$27+'TE CVA'!$U$27)*(1 - CUSTOS!$M$39)</f>
        <v>5.2978458876946419</v>
      </c>
      <c r="T27" s="76">
        <f>('TE BE'!$V$27+'TE BF'!$V$27+'TE CVA'!$V$27)*(1 - CUSTOS!$M$39)</f>
        <v>0</v>
      </c>
      <c r="U27" s="76">
        <f>('TE BE'!$X$27+'TE BF'!$X$27+'TE CVA'!$X$27)*(1 - CUSTOS!$M$39)</f>
        <v>-42.411800497239113</v>
      </c>
      <c r="V27" s="76">
        <f>('TE BE'!$Z$27+'TE BF'!$Z$27+'TE CVA'!$Z$27)*(1 - CUSTOS!$M$39)</f>
        <v>6.5318495046982754</v>
      </c>
      <c r="X27" s="76">
        <v>2.12998448918996</v>
      </c>
      <c r="Y27" s="76">
        <v>19.401582325076799</v>
      </c>
      <c r="Z27" s="76">
        <v>0</v>
      </c>
      <c r="AA27" s="76">
        <v>0</v>
      </c>
      <c r="AB27" s="76">
        <v>0</v>
      </c>
      <c r="AC27" s="76">
        <v>174.66067650297899</v>
      </c>
      <c r="AD27" s="76">
        <v>4.70733610660431</v>
      </c>
      <c r="AE27" s="76">
        <v>4.2608110839973499</v>
      </c>
      <c r="AF27" s="76">
        <v>0</v>
      </c>
      <c r="AG27" s="76">
        <v>0</v>
      </c>
      <c r="AH27" s="76">
        <v>4.6615045919222098</v>
      </c>
    </row>
    <row r="28" spans="1:34" ht="11.25" customHeight="1" x14ac:dyDescent="0.25">
      <c r="A28" s="142"/>
      <c r="B28" s="79" t="s">
        <v>85</v>
      </c>
      <c r="C28" s="79" t="s">
        <v>43</v>
      </c>
      <c r="D28" s="79" t="s">
        <v>96</v>
      </c>
      <c r="E28" s="79" t="s">
        <v>25</v>
      </c>
      <c r="F28" s="79" t="s">
        <v>25</v>
      </c>
      <c r="G28" s="78" t="s">
        <v>86</v>
      </c>
      <c r="H28" s="78" t="s">
        <v>82</v>
      </c>
      <c r="I28" s="78">
        <f>'MERCADO TE'!$U$25</f>
        <v>0</v>
      </c>
      <c r="J28" s="15"/>
      <c r="L28" s="76">
        <f>('TE BE'!$L$28+'TE BF'!$L$28+'TE CVA'!$L$28)*(1 - CUSTOS!$M$39)</f>
        <v>2.4926842849974631</v>
      </c>
      <c r="M28" s="76">
        <f>('TE BE'!$M$28+'TE BF'!$M$28+'TE CVA'!$M$28)*(1 - CUSTOS!$M$39)</f>
        <v>23.300309983201409</v>
      </c>
      <c r="N28" s="76">
        <f>('TE BE'!$N$28+'TE BF'!$N$28+'TE CVA'!$N$28)*(1 - CUSTOS!$M$39)</f>
        <v>0</v>
      </c>
      <c r="O28" s="76">
        <f>('TE BE'!$O$28+'TE BF'!$O$28+'TE CVA'!$O$28)*(1 - CUSTOS!$M$39)</f>
        <v>9.1628881588682596</v>
      </c>
      <c r="P28" s="76">
        <f>('TE BE'!$P$28+'TE BF'!$P$28+'TE CVA'!$P$28)*(1 - CUSTOS!$M$39)</f>
        <v>-17.898871593114364</v>
      </c>
      <c r="Q28" s="76">
        <f>('TE BE'!$R$28+'TE BF'!$R$28+'TE CVA'!$R$28)*(1 - CUSTOS!$M$39)</f>
        <v>224.09720431193549</v>
      </c>
      <c r="R28" s="76">
        <f>('TE BE'!$T$28+'TE BF'!$T$28+'TE CVA'!$T$28)*(1 - CUSTOS!$M$39)</f>
        <v>8.3520637651950285</v>
      </c>
      <c r="S28" s="76">
        <f>('TE BE'!$U$28+'TE BF'!$U$28+'TE CVA'!$U$28)*(1 - CUSTOS!$M$39)</f>
        <v>5.2978458876946419</v>
      </c>
      <c r="T28" s="76">
        <f>('TE BE'!$V$28+'TE BF'!$V$28+'TE CVA'!$V$28)*(1 - CUSTOS!$M$39)</f>
        <v>0</v>
      </c>
      <c r="U28" s="76">
        <f>('TE BE'!$X$28+'TE BF'!$X$28+'TE CVA'!$X$28)*(1 - CUSTOS!$M$39)</f>
        <v>-44.588338435805596</v>
      </c>
      <c r="V28" s="76">
        <f>('TE BE'!$Z$28+'TE BF'!$Z$28+'TE CVA'!$Z$28)*(1 - CUSTOS!$M$39)</f>
        <v>6.5318495046982754</v>
      </c>
      <c r="X28" s="76">
        <v>2.12998448918996</v>
      </c>
      <c r="Y28" s="76">
        <v>19.401582325076799</v>
      </c>
      <c r="Z28" s="76">
        <v>0</v>
      </c>
      <c r="AA28" s="76">
        <v>0</v>
      </c>
      <c r="AB28" s="76">
        <v>0</v>
      </c>
      <c r="AC28" s="76">
        <v>185.14031709315699</v>
      </c>
      <c r="AD28" s="76">
        <v>4.70733610660431</v>
      </c>
      <c r="AE28" s="76">
        <v>4.2608110839973499</v>
      </c>
      <c r="AF28" s="76">
        <v>0</v>
      </c>
      <c r="AG28" s="76">
        <v>0</v>
      </c>
      <c r="AH28" s="76">
        <v>4.6615045919222098</v>
      </c>
    </row>
    <row r="29" spans="1:34" ht="11.25" customHeight="1" x14ac:dyDescent="0.25">
      <c r="A29" s="142"/>
      <c r="B29" s="142" t="s">
        <v>81</v>
      </c>
      <c r="C29" s="142" t="s">
        <v>43</v>
      </c>
      <c r="D29" s="142" t="s">
        <v>97</v>
      </c>
      <c r="E29" s="142" t="s">
        <v>25</v>
      </c>
      <c r="F29" s="142" t="s">
        <v>25</v>
      </c>
      <c r="G29" s="78" t="s">
        <v>83</v>
      </c>
      <c r="H29" s="78" t="s">
        <v>82</v>
      </c>
      <c r="I29" s="78">
        <f>'MERCADO TE'!$U$26</f>
        <v>0</v>
      </c>
      <c r="J29" s="15"/>
      <c r="L29" s="76">
        <f>('TE BE'!$L$29+'TE BF'!$L$29+'TE CVA'!$L$29)*(1 - CUSTOS!$M$40)</f>
        <v>2.4396484491464534</v>
      </c>
      <c r="M29" s="76">
        <f>('TE BE'!$M$29+'TE BF'!$M$29+'TE CVA'!$M$29)*(1 - CUSTOS!$M$40)</f>
        <v>22.804558706963082</v>
      </c>
      <c r="N29" s="76">
        <f>('TE BE'!$N$29+'TE BF'!$N$29+'TE CVA'!$N$29)*(1 - CUSTOS!$M$40)</f>
        <v>0</v>
      </c>
      <c r="O29" s="76">
        <f>('TE BE'!$O$29+'TE BF'!$O$29+'TE CVA'!$O$29)*(1 - CUSTOS!$M$40)</f>
        <v>8.9679330916582973</v>
      </c>
      <c r="P29" s="76">
        <f>('TE BE'!$P$29+'TE BF'!$P$29+'TE CVA'!$P$29)*(1 - CUSTOS!$M$40)</f>
        <v>-17.518044537941719</v>
      </c>
      <c r="Q29" s="76">
        <f>('TE BE'!$R$29+'TE BF'!$R$29+'TE CVA'!$R$29)*(1 - CUSTOS!$M$40)</f>
        <v>355.89262956965746</v>
      </c>
      <c r="R29" s="76">
        <f>('TE BE'!$T$29+'TE BF'!$T$29+'TE CVA'!$T$29)*(1 - CUSTOS!$M$40)</f>
        <v>8.1743602808291769</v>
      </c>
      <c r="S29" s="76">
        <f>('TE BE'!$U$29+'TE BF'!$U$29+'TE CVA'!$U$29)*(1 - CUSTOS!$M$40)</f>
        <v>5.1851257624245441</v>
      </c>
      <c r="T29" s="76">
        <f>('TE BE'!$V$29+'TE BF'!$V$29+'TE CVA'!$V$29)*(1 - CUSTOS!$M$40)</f>
        <v>0</v>
      </c>
      <c r="U29" s="76">
        <f>('TE BE'!$X$29+'TE BF'!$X$29+'TE CVA'!$X$29)*(1 - CUSTOS!$M$40)</f>
        <v>-67.072165211950889</v>
      </c>
      <c r="V29" s="76">
        <f>('TE BE'!$Z$29+'TE BF'!$Z$29+'TE CVA'!$Z$29)*(1 - CUSTOS!$M$40)</f>
        <v>6.3928739833217172</v>
      </c>
      <c r="X29" s="76">
        <v>2.0331670124086001</v>
      </c>
      <c r="Y29" s="76">
        <v>18.519692219391501</v>
      </c>
      <c r="Z29" s="76">
        <v>0</v>
      </c>
      <c r="AA29" s="76">
        <v>0</v>
      </c>
      <c r="AB29" s="76">
        <v>0</v>
      </c>
      <c r="AC29" s="76">
        <v>286.76107433125401</v>
      </c>
      <c r="AD29" s="76">
        <v>4.4933662835768402</v>
      </c>
      <c r="AE29" s="76">
        <v>4.0671378529065603</v>
      </c>
      <c r="AF29" s="76">
        <v>0</v>
      </c>
      <c r="AG29" s="76">
        <v>0</v>
      </c>
      <c r="AH29" s="76">
        <v>4.4496180195621102</v>
      </c>
    </row>
    <row r="30" spans="1:34" ht="11.25" customHeight="1" x14ac:dyDescent="0.25">
      <c r="A30" s="142"/>
      <c r="B30" s="142"/>
      <c r="C30" s="142"/>
      <c r="D30" s="142"/>
      <c r="E30" s="142"/>
      <c r="F30" s="142"/>
      <c r="G30" s="78" t="s">
        <v>93</v>
      </c>
      <c r="H30" s="78" t="s">
        <v>82</v>
      </c>
      <c r="I30" s="78">
        <f>'MERCADO TE'!$U$27</f>
        <v>0</v>
      </c>
      <c r="J30" s="15"/>
      <c r="L30" s="76">
        <f>('TE BE'!$L$30+'TE BF'!$L$30+'TE CVA'!$L$30)*(1 - CUSTOS!$M$40)</f>
        <v>2.4396484491464534</v>
      </c>
      <c r="M30" s="76">
        <f>('TE BE'!$M$30+'TE BF'!$M$30+'TE CVA'!$M$30)*(1 - CUSTOS!$M$40)</f>
        <v>22.804558706963082</v>
      </c>
      <c r="N30" s="76">
        <f>('TE BE'!$N$30+'TE BF'!$N$30+'TE CVA'!$N$30)*(1 - CUSTOS!$M$40)</f>
        <v>0</v>
      </c>
      <c r="O30" s="76">
        <f>('TE BE'!$O$30+'TE BF'!$O$30+'TE CVA'!$O$30)*(1 - CUSTOS!$M$40)</f>
        <v>8.9679330916582973</v>
      </c>
      <c r="P30" s="76">
        <f>('TE BE'!$P$30+'TE BF'!$P$30+'TE CVA'!$P$30)*(1 - CUSTOS!$M$40)</f>
        <v>-17.518044537941719</v>
      </c>
      <c r="Q30" s="76">
        <f>('TE BE'!$R$30+'TE BF'!$R$30+'TE CVA'!$R$30)*(1 - CUSTOS!$M$40)</f>
        <v>206.91431951724272</v>
      </c>
      <c r="R30" s="76">
        <f>('TE BE'!$T$30+'TE BF'!$T$30+'TE CVA'!$T$30)*(1 - CUSTOS!$M$40)</f>
        <v>8.1743602808291769</v>
      </c>
      <c r="S30" s="76">
        <f>('TE BE'!$U$30+'TE BF'!$U$30+'TE CVA'!$U$30)*(1 - CUSTOS!$M$40)</f>
        <v>5.1851257624245441</v>
      </c>
      <c r="T30" s="76">
        <f>('TE BE'!$V$30+'TE BF'!$V$30+'TE CVA'!$V$30)*(1 - CUSTOS!$M$40)</f>
        <v>0</v>
      </c>
      <c r="U30" s="76">
        <f>('TE BE'!$X$30+'TE BF'!$X$30+'TE CVA'!$X$30)*(1 - CUSTOS!$M$40)</f>
        <v>-41.509421763255304</v>
      </c>
      <c r="V30" s="76">
        <f>('TE BE'!$Z$30+'TE BF'!$Z$30+'TE CVA'!$Z$30)*(1 - CUSTOS!$M$40)</f>
        <v>6.3928739833217172</v>
      </c>
      <c r="X30" s="76">
        <v>2.0331670124086001</v>
      </c>
      <c r="Y30" s="76">
        <v>18.519692219391501</v>
      </c>
      <c r="Z30" s="76">
        <v>0</v>
      </c>
      <c r="AA30" s="76">
        <v>0</v>
      </c>
      <c r="AB30" s="76">
        <v>0</v>
      </c>
      <c r="AC30" s="76">
        <v>166.72155484375199</v>
      </c>
      <c r="AD30" s="76">
        <v>4.4933662835768402</v>
      </c>
      <c r="AE30" s="76">
        <v>4.0671378529065603</v>
      </c>
      <c r="AF30" s="76">
        <v>0</v>
      </c>
      <c r="AG30" s="76">
        <v>0</v>
      </c>
      <c r="AH30" s="76">
        <v>4.4496180195621102</v>
      </c>
    </row>
    <row r="31" spans="1:34" ht="11.25" customHeight="1" x14ac:dyDescent="0.25">
      <c r="A31" s="142"/>
      <c r="B31" s="142"/>
      <c r="C31" s="142"/>
      <c r="D31" s="142"/>
      <c r="E31" s="142"/>
      <c r="F31" s="142"/>
      <c r="G31" s="78" t="s">
        <v>84</v>
      </c>
      <c r="H31" s="78" t="s">
        <v>82</v>
      </c>
      <c r="I31" s="78">
        <f>'MERCADO TE'!$U$28</f>
        <v>0</v>
      </c>
      <c r="J31" s="15"/>
      <c r="L31" s="76">
        <f>('TE BE'!$L$31+'TE BF'!$L$31+'TE CVA'!$L$31)*(1 - CUSTOS!$M$40)</f>
        <v>2.4396484491464534</v>
      </c>
      <c r="M31" s="76">
        <f>('TE BE'!$M$31+'TE BF'!$M$31+'TE CVA'!$M$31)*(1 - CUSTOS!$M$40)</f>
        <v>22.804558706963082</v>
      </c>
      <c r="N31" s="76">
        <f>('TE BE'!$N$31+'TE BF'!$N$31+'TE CVA'!$N$31)*(1 - CUSTOS!$M$40)</f>
        <v>0</v>
      </c>
      <c r="O31" s="76">
        <f>('TE BE'!$O$31+'TE BF'!$O$31+'TE CVA'!$O$31)*(1 - CUSTOS!$M$40)</f>
        <v>8.9679330916582973</v>
      </c>
      <c r="P31" s="76">
        <f>('TE BE'!$P$31+'TE BF'!$P$31+'TE CVA'!$P$31)*(1 - CUSTOS!$M$40)</f>
        <v>-17.518044537941719</v>
      </c>
      <c r="Q31" s="76">
        <f>('TE BE'!$R$31+'TE BF'!$R$31+'TE CVA'!$R$31)*(1 - CUSTOS!$M$40)</f>
        <v>206.91431951724272</v>
      </c>
      <c r="R31" s="76">
        <f>('TE BE'!$T$31+'TE BF'!$T$31+'TE CVA'!$T$31)*(1 - CUSTOS!$M$40)</f>
        <v>8.1743602808291769</v>
      </c>
      <c r="S31" s="76">
        <f>('TE BE'!$U$31+'TE BF'!$U$31+'TE CVA'!$U$31)*(1 - CUSTOS!$M$40)</f>
        <v>5.1851257624245441</v>
      </c>
      <c r="T31" s="76">
        <f>('TE BE'!$V$31+'TE BF'!$V$31+'TE CVA'!$V$31)*(1 - CUSTOS!$M$40)</f>
        <v>0</v>
      </c>
      <c r="U31" s="76">
        <f>('TE BE'!$X$31+'TE BF'!$X$31+'TE CVA'!$X$31)*(1 - CUSTOS!$M$40)</f>
        <v>-41.509421763255304</v>
      </c>
      <c r="V31" s="76">
        <f>('TE BE'!$Z$31+'TE BF'!$Z$31+'TE CVA'!$Z$31)*(1 - CUSTOS!$M$40)</f>
        <v>6.3928739833217172</v>
      </c>
      <c r="X31" s="76">
        <v>2.0331670124086001</v>
      </c>
      <c r="Y31" s="76">
        <v>18.519692219391501</v>
      </c>
      <c r="Z31" s="76">
        <v>0</v>
      </c>
      <c r="AA31" s="76">
        <v>0</v>
      </c>
      <c r="AB31" s="76">
        <v>0</v>
      </c>
      <c r="AC31" s="76">
        <v>166.72155484375199</v>
      </c>
      <c r="AD31" s="76">
        <v>4.4933662835768402</v>
      </c>
      <c r="AE31" s="76">
        <v>4.0671378529065603</v>
      </c>
      <c r="AF31" s="76">
        <v>0</v>
      </c>
      <c r="AG31" s="76">
        <v>0</v>
      </c>
      <c r="AH31" s="76">
        <v>4.4496180195621102</v>
      </c>
    </row>
    <row r="32" spans="1:34" ht="11.25" customHeight="1" x14ac:dyDescent="0.25">
      <c r="A32" s="142"/>
      <c r="B32" s="79" t="s">
        <v>85</v>
      </c>
      <c r="C32" s="79" t="s">
        <v>43</v>
      </c>
      <c r="D32" s="79" t="s">
        <v>97</v>
      </c>
      <c r="E32" s="79" t="s">
        <v>25</v>
      </c>
      <c r="F32" s="79" t="s">
        <v>25</v>
      </c>
      <c r="G32" s="78" t="s">
        <v>86</v>
      </c>
      <c r="H32" s="78" t="s">
        <v>82</v>
      </c>
      <c r="I32" s="78">
        <f>'MERCADO TE'!$U$29</f>
        <v>0</v>
      </c>
      <c r="J32" s="15"/>
      <c r="L32" s="76">
        <f>('TE BE'!$L$32+'TE BF'!$L$32+'TE CVA'!$L$32)*(1 - CUSTOS!$M$40)</f>
        <v>2.4396484491464534</v>
      </c>
      <c r="M32" s="76">
        <f>('TE BE'!$M$32+'TE BF'!$M$32+'TE CVA'!$M$32)*(1 - CUSTOS!$M$40)</f>
        <v>22.804558706963082</v>
      </c>
      <c r="N32" s="76">
        <f>('TE BE'!$N$32+'TE BF'!$N$32+'TE CVA'!$N$32)*(1 - CUSTOS!$M$40)</f>
        <v>0</v>
      </c>
      <c r="O32" s="76">
        <f>('TE BE'!$O$32+'TE BF'!$O$32+'TE CVA'!$O$32)*(1 - CUSTOS!$M$40)</f>
        <v>8.9679330916582973</v>
      </c>
      <c r="P32" s="76">
        <f>('TE BE'!$P$32+'TE BF'!$P$32+'TE CVA'!$P$32)*(1 - CUSTOS!$M$40)</f>
        <v>-17.518044537941719</v>
      </c>
      <c r="Q32" s="76">
        <f>('TE BE'!$R$32+'TE BF'!$R$32+'TE CVA'!$R$32)*(1 - CUSTOS!$M$40)</f>
        <v>219.32917868827732</v>
      </c>
      <c r="R32" s="76">
        <f>('TE BE'!$T$32+'TE BF'!$T$32+'TE CVA'!$T$32)*(1 - CUSTOS!$M$40)</f>
        <v>8.1743602808291769</v>
      </c>
      <c r="S32" s="76">
        <f>('TE BE'!$U$32+'TE BF'!$U$32+'TE CVA'!$U$32)*(1 - CUSTOS!$M$40)</f>
        <v>5.1851257624245441</v>
      </c>
      <c r="T32" s="76">
        <f>('TE BE'!$V$32+'TE BF'!$V$32+'TE CVA'!$V$32)*(1 - CUSTOS!$M$40)</f>
        <v>0</v>
      </c>
      <c r="U32" s="76">
        <f>('TE BE'!$X$32+'TE BF'!$X$32+'TE CVA'!$X$32)*(1 - CUSTOS!$M$40)</f>
        <v>-43.639650383979948</v>
      </c>
      <c r="V32" s="76">
        <f>('TE BE'!$Z$32+'TE BF'!$Z$32+'TE CVA'!$Z$32)*(1 - CUSTOS!$M$40)</f>
        <v>6.3928739833217172</v>
      </c>
      <c r="X32" s="76">
        <v>2.0331670124086001</v>
      </c>
      <c r="Y32" s="76">
        <v>18.519692219391501</v>
      </c>
      <c r="Z32" s="76">
        <v>0</v>
      </c>
      <c r="AA32" s="76">
        <v>0</v>
      </c>
      <c r="AB32" s="76">
        <v>0</v>
      </c>
      <c r="AC32" s="76">
        <v>176.724848134377</v>
      </c>
      <c r="AD32" s="76">
        <v>4.4933662835768402</v>
      </c>
      <c r="AE32" s="76">
        <v>4.0671378529065603</v>
      </c>
      <c r="AF32" s="76">
        <v>0</v>
      </c>
      <c r="AG32" s="76">
        <v>0</v>
      </c>
      <c r="AH32" s="76">
        <v>4.4496180195621102</v>
      </c>
    </row>
    <row r="33" spans="1:34" ht="11.25" customHeight="1" x14ac:dyDescent="0.25">
      <c r="A33" s="142"/>
      <c r="B33" s="142" t="s">
        <v>94</v>
      </c>
      <c r="C33" s="142" t="s">
        <v>43</v>
      </c>
      <c r="D33" s="79" t="s">
        <v>25</v>
      </c>
      <c r="E33" s="79" t="s">
        <v>25</v>
      </c>
      <c r="F33" s="79" t="s">
        <v>25</v>
      </c>
      <c r="G33" s="78" t="s">
        <v>86</v>
      </c>
      <c r="H33" s="78" t="s">
        <v>82</v>
      </c>
      <c r="I33" s="78">
        <f>'MERCADO TE'!$U$30</f>
        <v>0</v>
      </c>
      <c r="J33" s="15"/>
      <c r="L33" s="76">
        <f>('TE BE'!$L$33+'TE BF'!$L$33+'TE CVA'!$L$33)*(1 - CUSTOS!$M$38)</f>
        <v>2.4926842849974631</v>
      </c>
      <c r="M33" s="76">
        <f>('TE BE'!$M$33+'TE BF'!$M$33+'TE CVA'!$M$33)*(1 - CUSTOS!$M$38)</f>
        <v>23.300309983201409</v>
      </c>
      <c r="N33" s="76">
        <f>('TE BE'!$N$33+'TE BF'!$N$33+'TE CVA'!$N$33)*(1 - CUSTOS!$M$38)</f>
        <v>0</v>
      </c>
      <c r="O33" s="76">
        <f>('TE BE'!$O$33+'TE BF'!$O$33+'TE CVA'!$O$33)*(1 - CUSTOS!$M$38)</f>
        <v>9.1628881588682596</v>
      </c>
      <c r="P33" s="76">
        <f>('TE BE'!$P$33+'TE BF'!$P$33+'TE CVA'!$P$33)*(1 - CUSTOS!$M$38)</f>
        <v>-17.898871593114364</v>
      </c>
      <c r="Q33" s="76">
        <f>('TE BE'!$R$33+'TE BF'!$R$33+'TE CVA'!$R$33)*(1 - CUSTOS!$M$38)</f>
        <v>224.09720431193549</v>
      </c>
      <c r="R33" s="76">
        <f>('TE BE'!$T$33+'TE BF'!$T$33+'TE CVA'!$T$33)*(1 - CUSTOS!$M$38)</f>
        <v>8.3520637651950285</v>
      </c>
      <c r="S33" s="76">
        <f>('TE BE'!$U$33+'TE BF'!$U$33+'TE CVA'!$U$33)*(1 - CUSTOS!$M$38)</f>
        <v>5.2978458876946419</v>
      </c>
      <c r="T33" s="76">
        <f>('TE BE'!$V$33+'TE BF'!$V$33+'TE CVA'!$V$33)*(1 - CUSTOS!$M$38)</f>
        <v>0</v>
      </c>
      <c r="U33" s="76">
        <f>('TE BE'!$X$33+'TE BF'!$X$33+'TE CVA'!$X$33)*(1 - CUSTOS!$M$38)</f>
        <v>-44.588338435805596</v>
      </c>
      <c r="V33" s="76">
        <f>('TE BE'!$Z$33+'TE BF'!$Z$33+'TE CVA'!$Z$33)*(1 - CUSTOS!$M$38)</f>
        <v>6.5318495046982754</v>
      </c>
      <c r="X33" s="76">
        <v>2.12998448918996</v>
      </c>
      <c r="Y33" s="76">
        <v>19.401582325076799</v>
      </c>
      <c r="Z33" s="76">
        <v>0</v>
      </c>
      <c r="AA33" s="76">
        <v>0</v>
      </c>
      <c r="AB33" s="76">
        <v>0</v>
      </c>
      <c r="AC33" s="76">
        <v>185.14031709315699</v>
      </c>
      <c r="AD33" s="76">
        <v>4.70733610660431</v>
      </c>
      <c r="AE33" s="76">
        <v>4.2608110839973499</v>
      </c>
      <c r="AF33" s="76">
        <v>0</v>
      </c>
      <c r="AG33" s="76">
        <v>0</v>
      </c>
      <c r="AH33" s="76">
        <v>4.6615045919222098</v>
      </c>
    </row>
    <row r="34" spans="1:34" ht="11.25" customHeight="1" x14ac:dyDescent="0.25">
      <c r="A34" s="142"/>
      <c r="B34" s="142"/>
      <c r="C34" s="142"/>
      <c r="D34" s="79" t="s">
        <v>96</v>
      </c>
      <c r="E34" s="79" t="s">
        <v>25</v>
      </c>
      <c r="F34" s="79" t="s">
        <v>25</v>
      </c>
      <c r="G34" s="78" t="s">
        <v>86</v>
      </c>
      <c r="H34" s="78" t="s">
        <v>82</v>
      </c>
      <c r="I34" s="78">
        <f>'MERCADO TE'!$U$31</f>
        <v>0</v>
      </c>
      <c r="J34" s="15"/>
      <c r="L34" s="76">
        <f>('TE BE'!$L$34+'TE BF'!$L$34+'TE CVA'!$L$34)*(1 - CUSTOS!$M$39)</f>
        <v>2.4926842849974631</v>
      </c>
      <c r="M34" s="76">
        <f>('TE BE'!$M$34+'TE BF'!$M$34+'TE CVA'!$M$34)*(1 - CUSTOS!$M$39)</f>
        <v>23.300309983201409</v>
      </c>
      <c r="N34" s="76">
        <f>('TE BE'!$N$34+'TE BF'!$N$34+'TE CVA'!$N$34)*(1 - CUSTOS!$M$39)</f>
        <v>0</v>
      </c>
      <c r="O34" s="76">
        <f>('TE BE'!$O$34+'TE BF'!$O$34+'TE CVA'!$O$34)*(1 - CUSTOS!$M$39)</f>
        <v>9.1628881588682596</v>
      </c>
      <c r="P34" s="76">
        <f>('TE BE'!$P$34+'TE BF'!$P$34+'TE CVA'!$P$34)*(1 - CUSTOS!$M$39)</f>
        <v>-17.898871593114364</v>
      </c>
      <c r="Q34" s="76">
        <f>('TE BE'!$R$34+'TE BF'!$R$34+'TE CVA'!$R$34)*(1 - CUSTOS!$M$39)</f>
        <v>224.09720431193549</v>
      </c>
      <c r="R34" s="76">
        <f>('TE BE'!$T$34+'TE BF'!$T$34+'TE CVA'!$T$34)*(1 - CUSTOS!$M$39)</f>
        <v>8.3520637651950285</v>
      </c>
      <c r="S34" s="76">
        <f>('TE BE'!$U$34+'TE BF'!$U$34+'TE CVA'!$U$34)*(1 - CUSTOS!$M$39)</f>
        <v>5.2978458876946419</v>
      </c>
      <c r="T34" s="76">
        <f>('TE BE'!$V$34+'TE BF'!$V$34+'TE CVA'!$V$34)*(1 - CUSTOS!$M$39)</f>
        <v>0</v>
      </c>
      <c r="U34" s="76">
        <f>('TE BE'!$X$34+'TE BF'!$X$34+'TE CVA'!$X$34)*(1 - CUSTOS!$M$39)</f>
        <v>-44.588338435805596</v>
      </c>
      <c r="V34" s="76">
        <f>('TE BE'!$Z$34+'TE BF'!$Z$34+'TE CVA'!$Z$34)*(1 - CUSTOS!$M$39)</f>
        <v>6.5318495046982754</v>
      </c>
      <c r="X34" s="76">
        <v>2.12998448918996</v>
      </c>
      <c r="Y34" s="76">
        <v>19.401582325076799</v>
      </c>
      <c r="Z34" s="76">
        <v>0</v>
      </c>
      <c r="AA34" s="76">
        <v>0</v>
      </c>
      <c r="AB34" s="76">
        <v>0</v>
      </c>
      <c r="AC34" s="76">
        <v>185.14031709315699</v>
      </c>
      <c r="AD34" s="76">
        <v>4.70733610660431</v>
      </c>
      <c r="AE34" s="76">
        <v>4.2608110839973499</v>
      </c>
      <c r="AF34" s="76">
        <v>0</v>
      </c>
      <c r="AG34" s="76">
        <v>0</v>
      </c>
      <c r="AH34" s="76">
        <v>4.6615045919222098</v>
      </c>
    </row>
    <row r="35" spans="1:34" ht="11.25" customHeight="1" x14ac:dyDescent="0.25">
      <c r="A35" s="142"/>
      <c r="B35" s="142"/>
      <c r="C35" s="142"/>
      <c r="D35" s="79" t="s">
        <v>97</v>
      </c>
      <c r="E35" s="79" t="s">
        <v>25</v>
      </c>
      <c r="F35" s="79" t="s">
        <v>25</v>
      </c>
      <c r="G35" s="78" t="s">
        <v>86</v>
      </c>
      <c r="H35" s="78" t="s">
        <v>82</v>
      </c>
      <c r="I35" s="78">
        <f>'MERCADO TE'!$U$32</f>
        <v>0</v>
      </c>
      <c r="J35" s="15"/>
      <c r="L35" s="76">
        <f>('TE BE'!$L$35+'TE BF'!$L$35+'TE CVA'!$L$35)*(1 - CUSTOS!$M$40)</f>
        <v>2.4396484491464534</v>
      </c>
      <c r="M35" s="76">
        <f>('TE BE'!$M$35+'TE BF'!$M$35+'TE CVA'!$M$35)*(1 - CUSTOS!$M$40)</f>
        <v>22.804558706963082</v>
      </c>
      <c r="N35" s="76">
        <f>('TE BE'!$N$35+'TE BF'!$N$35+'TE CVA'!$N$35)*(1 - CUSTOS!$M$40)</f>
        <v>0</v>
      </c>
      <c r="O35" s="76">
        <f>('TE BE'!$O$35+'TE BF'!$O$35+'TE CVA'!$O$35)*(1 - CUSTOS!$M$40)</f>
        <v>8.9679330916582973</v>
      </c>
      <c r="P35" s="76">
        <f>('TE BE'!$P$35+'TE BF'!$P$35+'TE CVA'!$P$35)*(1 - CUSTOS!$M$40)</f>
        <v>-17.518044537941719</v>
      </c>
      <c r="Q35" s="76">
        <f>('TE BE'!$R$35+'TE BF'!$R$35+'TE CVA'!$R$35)*(1 - CUSTOS!$M$40)</f>
        <v>219.32917868827732</v>
      </c>
      <c r="R35" s="76">
        <f>('TE BE'!$T$35+'TE BF'!$T$35+'TE CVA'!$T$35)*(1 - CUSTOS!$M$40)</f>
        <v>8.1743602808291769</v>
      </c>
      <c r="S35" s="76">
        <f>('TE BE'!$U$35+'TE BF'!$U$35+'TE CVA'!$U$35)*(1 - CUSTOS!$M$40)</f>
        <v>5.1851257624245441</v>
      </c>
      <c r="T35" s="76">
        <f>('TE BE'!$V$35+'TE BF'!$V$35+'TE CVA'!$V$35)*(1 - CUSTOS!$M$40)</f>
        <v>0</v>
      </c>
      <c r="U35" s="76">
        <f>('TE BE'!$X$35+'TE BF'!$X$35+'TE CVA'!$X$35)*(1 - CUSTOS!$M$40)</f>
        <v>-43.639650383979948</v>
      </c>
      <c r="V35" s="76">
        <f>('TE BE'!$Z$35+'TE BF'!$Z$35+'TE CVA'!$Z$35)*(1 - CUSTOS!$M$40)</f>
        <v>6.3928739833217172</v>
      </c>
      <c r="X35" s="76">
        <v>2.0331670124086001</v>
      </c>
      <c r="Y35" s="76">
        <v>18.519692219391501</v>
      </c>
      <c r="Z35" s="76">
        <v>0</v>
      </c>
      <c r="AA35" s="76">
        <v>0</v>
      </c>
      <c r="AB35" s="76">
        <v>0</v>
      </c>
      <c r="AC35" s="76">
        <v>176.724848134377</v>
      </c>
      <c r="AD35" s="76">
        <v>4.4933662835768402</v>
      </c>
      <c r="AE35" s="76">
        <v>4.0671378529065603</v>
      </c>
      <c r="AF35" s="76">
        <v>0</v>
      </c>
      <c r="AG35" s="76">
        <v>0</v>
      </c>
      <c r="AH35" s="76">
        <v>4.4496180195621102</v>
      </c>
    </row>
    <row r="36" spans="1:34" ht="11.25" customHeight="1" x14ac:dyDescent="0.25">
      <c r="A36" s="142" t="s">
        <v>36</v>
      </c>
      <c r="B36" s="142" t="s">
        <v>81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78" t="s">
        <v>83</v>
      </c>
      <c r="H36" s="78" t="s">
        <v>82</v>
      </c>
      <c r="I36" s="78">
        <f>'MERCADO TE'!$U$33</f>
        <v>20.471999999999998</v>
      </c>
      <c r="J36" s="15"/>
      <c r="L36" s="76">
        <f>('TE BE'!$L$36+'TE BF'!$L$36+'TE CVA'!$L$36)*1</f>
        <v>2.6517917925504926</v>
      </c>
      <c r="M36" s="76">
        <f>('TE BE'!$M$36+'TE BF'!$M$36+'TE CVA'!$M$36)*1</f>
        <v>24.787563811916392</v>
      </c>
      <c r="N36" s="76">
        <f>('TE BE'!$N$36+'TE BF'!$N$36+'TE CVA'!$N$36)*1</f>
        <v>0</v>
      </c>
      <c r="O36" s="76">
        <f>('TE BE'!$O$36+'TE BF'!$O$36+'TE CVA'!$O$36)*1</f>
        <v>9.7477533604981481</v>
      </c>
      <c r="P36" s="76">
        <f>('TE BE'!$P$36+'TE BF'!$P$36+'TE CVA'!$P$36)*1</f>
        <v>-19.041352758632303</v>
      </c>
      <c r="Q36" s="76">
        <f>('TE BE'!$R$36+'TE BF'!$R$36+'TE CVA'!$R$36)*1</f>
        <v>386.83981474962764</v>
      </c>
      <c r="R36" s="76">
        <f>('TE BE'!$T$36+'TE BF'!$T$36+'TE CVA'!$T$36)*1</f>
        <v>8.8851742182925832</v>
      </c>
      <c r="S36" s="76">
        <f>('TE BE'!$U$36+'TE BF'!$U$36+'TE CVA'!$U$36)*1</f>
        <v>5.6360062635049388</v>
      </c>
      <c r="T36" s="76">
        <f>('TE BE'!$V$36+'TE BF'!$V$36+'TE CVA'!$V$36)*1</f>
        <v>0</v>
      </c>
      <c r="U36" s="76">
        <f>('TE BE'!$X$36+'TE BF'!$X$36+'TE CVA'!$X$36)*1</f>
        <v>-72.904527404294441</v>
      </c>
      <c r="V36" s="76">
        <f>('TE BE'!$Z$36+'TE BF'!$Z$36+'TE CVA'!$Z$36)*1</f>
        <v>6.9487760688279527</v>
      </c>
      <c r="X36" s="76">
        <v>2.4204369195340498</v>
      </c>
      <c r="Y36" s="76">
        <v>22.047252642132701</v>
      </c>
      <c r="Z36" s="76">
        <v>0</v>
      </c>
      <c r="AA36" s="76">
        <v>0</v>
      </c>
      <c r="AB36" s="76">
        <v>0</v>
      </c>
      <c r="AC36" s="76">
        <v>341.38223134673098</v>
      </c>
      <c r="AD36" s="76">
        <v>5.3492455756867097</v>
      </c>
      <c r="AE36" s="76">
        <v>4.8418307772697098</v>
      </c>
      <c r="AF36" s="76">
        <v>0</v>
      </c>
      <c r="AG36" s="76">
        <v>0</v>
      </c>
      <c r="AH36" s="76">
        <v>5.2971643090025102</v>
      </c>
    </row>
    <row r="37" spans="1:34" ht="11.25" customHeight="1" x14ac:dyDescent="0.25">
      <c r="A37" s="142"/>
      <c r="B37" s="142"/>
      <c r="C37" s="142"/>
      <c r="D37" s="142"/>
      <c r="E37" s="142"/>
      <c r="F37" s="142"/>
      <c r="G37" s="78" t="s">
        <v>93</v>
      </c>
      <c r="H37" s="78" t="s">
        <v>82</v>
      </c>
      <c r="I37" s="78">
        <f>'MERCADO TE'!$U$34</f>
        <v>16.687999999999999</v>
      </c>
      <c r="J37" s="15"/>
      <c r="L37" s="76">
        <f>('TE BE'!$L$37+'TE BF'!$L$37+'TE CVA'!$L$37)*1</f>
        <v>2.6517917925504926</v>
      </c>
      <c r="M37" s="76">
        <f>('TE BE'!$M$37+'TE BF'!$M$37+'TE CVA'!$M$37)*1</f>
        <v>24.787563811916392</v>
      </c>
      <c r="N37" s="76">
        <f>('TE BE'!$N$37+'TE BF'!$N$37+'TE CVA'!$N$37)*1</f>
        <v>0</v>
      </c>
      <c r="O37" s="76">
        <f>('TE BE'!$O$37+'TE BF'!$O$37+'TE CVA'!$O$37)*1</f>
        <v>9.7477533604981481</v>
      </c>
      <c r="P37" s="76">
        <f>('TE BE'!$P$37+'TE BF'!$P$37+'TE CVA'!$P$37)*1</f>
        <v>-19.041352758632303</v>
      </c>
      <c r="Q37" s="76">
        <f>('TE BE'!$R$37+'TE BF'!$R$37+'TE CVA'!$R$37)*1</f>
        <v>224.90686904048121</v>
      </c>
      <c r="R37" s="76">
        <f>('TE BE'!$T$37+'TE BF'!$T$37+'TE CVA'!$T$37)*1</f>
        <v>8.8851742182925832</v>
      </c>
      <c r="S37" s="76">
        <f>('TE BE'!$U$37+'TE BF'!$U$37+'TE CVA'!$U$37)*1</f>
        <v>5.6360062635049388</v>
      </c>
      <c r="T37" s="76">
        <f>('TE BE'!$V$37+'TE BF'!$V$37+'TE CVA'!$V$37)*1</f>
        <v>0</v>
      </c>
      <c r="U37" s="76">
        <f>('TE BE'!$X$37+'TE BF'!$X$37+'TE CVA'!$X$37)*1</f>
        <v>-45.118936699190549</v>
      </c>
      <c r="V37" s="76">
        <f>('TE BE'!$Z$37+'TE BF'!$Z$37+'TE CVA'!$Z$37)*1</f>
        <v>6.9487760688279527</v>
      </c>
      <c r="X37" s="76">
        <v>2.4204369195340498</v>
      </c>
      <c r="Y37" s="76">
        <v>22.047252642132701</v>
      </c>
      <c r="Z37" s="76">
        <v>0</v>
      </c>
      <c r="AA37" s="76">
        <v>0</v>
      </c>
      <c r="AB37" s="76">
        <v>0</v>
      </c>
      <c r="AC37" s="76">
        <v>198.47804148065799</v>
      </c>
      <c r="AD37" s="76">
        <v>5.3492455756867097</v>
      </c>
      <c r="AE37" s="76">
        <v>4.8418307772697098</v>
      </c>
      <c r="AF37" s="76">
        <v>0</v>
      </c>
      <c r="AG37" s="76">
        <v>0</v>
      </c>
      <c r="AH37" s="76">
        <v>5.2971643090025102</v>
      </c>
    </row>
    <row r="38" spans="1:34" ht="11.25" customHeight="1" x14ac:dyDescent="0.25">
      <c r="A38" s="142"/>
      <c r="B38" s="142"/>
      <c r="C38" s="142"/>
      <c r="D38" s="142"/>
      <c r="E38" s="142"/>
      <c r="F38" s="142"/>
      <c r="G38" s="78" t="s">
        <v>84</v>
      </c>
      <c r="H38" s="78" t="s">
        <v>82</v>
      </c>
      <c r="I38" s="78">
        <f>'MERCADO TE'!$U$35</f>
        <v>216.36699999999999</v>
      </c>
      <c r="J38" s="15"/>
      <c r="L38" s="76">
        <f>('TE BE'!$L$38+'TE BF'!$L$38+'TE CVA'!$L$38)*1</f>
        <v>2.6517917925504926</v>
      </c>
      <c r="M38" s="76">
        <f>('TE BE'!$M$38+'TE BF'!$M$38+'TE CVA'!$M$38)*1</f>
        <v>24.787563811916392</v>
      </c>
      <c r="N38" s="76">
        <f>('TE BE'!$N$38+'TE BF'!$N$38+'TE CVA'!$N$38)*1</f>
        <v>0</v>
      </c>
      <c r="O38" s="76">
        <f>('TE BE'!$O$38+'TE BF'!$O$38+'TE CVA'!$O$38)*1</f>
        <v>9.7477533604981481</v>
      </c>
      <c r="P38" s="76">
        <f>('TE BE'!$P$38+'TE BF'!$P$38+'TE CVA'!$P$38)*1</f>
        <v>-19.041352758632303</v>
      </c>
      <c r="Q38" s="76">
        <f>('TE BE'!$R$38+'TE BF'!$R$38+'TE CVA'!$R$38)*1</f>
        <v>224.90686904048121</v>
      </c>
      <c r="R38" s="76">
        <f>('TE BE'!$T$38+'TE BF'!$T$38+'TE CVA'!$T$38)*1</f>
        <v>8.8851742182925832</v>
      </c>
      <c r="S38" s="76">
        <f>('TE BE'!$U$38+'TE BF'!$U$38+'TE CVA'!$U$38)*1</f>
        <v>5.6360062635049388</v>
      </c>
      <c r="T38" s="76">
        <f>('TE BE'!$V$38+'TE BF'!$V$38+'TE CVA'!$V$38)*1</f>
        <v>0</v>
      </c>
      <c r="U38" s="76">
        <f>('TE BE'!$X$38+'TE BF'!$X$38+'TE CVA'!$X$38)*1</f>
        <v>-45.118936699190549</v>
      </c>
      <c r="V38" s="76">
        <f>('TE BE'!$Z$38+'TE BF'!$Z$38+'TE CVA'!$Z$38)*1</f>
        <v>6.9487760688279527</v>
      </c>
      <c r="X38" s="76">
        <v>2.4204369195340498</v>
      </c>
      <c r="Y38" s="76">
        <v>22.047252642132701</v>
      </c>
      <c r="Z38" s="76">
        <v>0</v>
      </c>
      <c r="AA38" s="76">
        <v>0</v>
      </c>
      <c r="AB38" s="76">
        <v>0</v>
      </c>
      <c r="AC38" s="76">
        <v>198.47804148065799</v>
      </c>
      <c r="AD38" s="76">
        <v>5.3492455756867097</v>
      </c>
      <c r="AE38" s="76">
        <v>4.8418307772697098</v>
      </c>
      <c r="AF38" s="76">
        <v>0</v>
      </c>
      <c r="AG38" s="76">
        <v>0</v>
      </c>
      <c r="AH38" s="76">
        <v>5.2971643090025102</v>
      </c>
    </row>
    <row r="39" spans="1:34" ht="11.25" customHeight="1" x14ac:dyDescent="0.25">
      <c r="A39" s="142"/>
      <c r="B39" s="79" t="s">
        <v>85</v>
      </c>
      <c r="C39" s="79" t="s">
        <v>25</v>
      </c>
      <c r="D39" s="79" t="s">
        <v>25</v>
      </c>
      <c r="E39" s="79" t="s">
        <v>25</v>
      </c>
      <c r="F39" s="79" t="s">
        <v>25</v>
      </c>
      <c r="G39" s="78" t="s">
        <v>86</v>
      </c>
      <c r="H39" s="78" t="s">
        <v>82</v>
      </c>
      <c r="I39" s="78">
        <f>'MERCADO TE'!$U$36</f>
        <v>26125.533000000003</v>
      </c>
      <c r="J39" s="15"/>
      <c r="L39" s="76">
        <f>('TE BE'!$L$39+'TE BF'!$L$39+'TE CVA'!$L$39)*1</f>
        <v>2.6517917925504926</v>
      </c>
      <c r="M39" s="76">
        <f>('TE BE'!$M$39+'TE BF'!$M$39+'TE CVA'!$M$39)*1</f>
        <v>24.787563811916392</v>
      </c>
      <c r="N39" s="76">
        <f>('TE BE'!$N$39+'TE BF'!$N$39+'TE CVA'!$N$39)*1</f>
        <v>0</v>
      </c>
      <c r="O39" s="76">
        <f>('TE BE'!$O$39+'TE BF'!$O$39+'TE CVA'!$O$39)*1</f>
        <v>9.7477533604981481</v>
      </c>
      <c r="P39" s="76">
        <f>('TE BE'!$P$39+'TE BF'!$P$39+'TE CVA'!$P$39)*1</f>
        <v>-19.041352758632303</v>
      </c>
      <c r="Q39" s="76">
        <f>('TE BE'!$R$39+'TE BF'!$R$39+'TE CVA'!$R$39)*1</f>
        <v>238.40128118291011</v>
      </c>
      <c r="R39" s="76">
        <f>('TE BE'!$T$39+'TE BF'!$T$39+'TE CVA'!$T$39)*1</f>
        <v>8.8851742182925832</v>
      </c>
      <c r="S39" s="76">
        <f>('TE BE'!$U$39+'TE BF'!$U$39+'TE CVA'!$U$39)*1</f>
        <v>5.6360062635049388</v>
      </c>
      <c r="T39" s="76">
        <f>('TE BE'!$V$39+'TE BF'!$V$39+'TE CVA'!$V$39)*1</f>
        <v>0</v>
      </c>
      <c r="U39" s="76">
        <f>('TE BE'!$X$39+'TE BF'!$X$39+'TE CVA'!$X$39)*1</f>
        <v>-47.434402591282549</v>
      </c>
      <c r="V39" s="76">
        <f>('TE BE'!$Z$39+'TE BF'!$Z$39+'TE CVA'!$Z$39)*1</f>
        <v>6.9487760688279527</v>
      </c>
      <c r="X39" s="76">
        <v>2.4204369195340498</v>
      </c>
      <c r="Y39" s="76">
        <v>22.047252642132701</v>
      </c>
      <c r="Z39" s="76">
        <v>0</v>
      </c>
      <c r="AA39" s="76">
        <v>0</v>
      </c>
      <c r="AB39" s="76">
        <v>0</v>
      </c>
      <c r="AC39" s="76">
        <v>210.38672396949701</v>
      </c>
      <c r="AD39" s="76">
        <v>5.3492455756867097</v>
      </c>
      <c r="AE39" s="76">
        <v>4.8418307772697098</v>
      </c>
      <c r="AF39" s="76">
        <v>0</v>
      </c>
      <c r="AG39" s="76">
        <v>0</v>
      </c>
      <c r="AH39" s="76">
        <v>5.2971643090025102</v>
      </c>
    </row>
    <row r="40" spans="1:34" ht="11.25" customHeight="1" x14ac:dyDescent="0.25">
      <c r="A40" s="142"/>
      <c r="B40" s="79" t="s">
        <v>94</v>
      </c>
      <c r="C40" s="79" t="s">
        <v>25</v>
      </c>
      <c r="D40" s="79" t="s">
        <v>25</v>
      </c>
      <c r="E40" s="79" t="s">
        <v>25</v>
      </c>
      <c r="F40" s="79" t="s">
        <v>25</v>
      </c>
      <c r="G40" s="78" t="s">
        <v>86</v>
      </c>
      <c r="H40" s="78" t="s">
        <v>82</v>
      </c>
      <c r="I40" s="78">
        <f>'MERCADO TE'!$U$37</f>
        <v>0</v>
      </c>
      <c r="J40" s="15"/>
      <c r="L40" s="76">
        <f>('TE BE'!$L$40+'TE BF'!$L$40+'TE CVA'!$L$40)*1</f>
        <v>2.6517917925504926</v>
      </c>
      <c r="M40" s="76">
        <f>('TE BE'!$M$40+'TE BF'!$M$40+'TE CVA'!$M$40)*1</f>
        <v>24.787563811916392</v>
      </c>
      <c r="N40" s="76">
        <f>('TE BE'!$N$40+'TE BF'!$N$40+'TE CVA'!$N$40)*1</f>
        <v>0</v>
      </c>
      <c r="O40" s="76">
        <f>('TE BE'!$O$40+'TE BF'!$O$40+'TE CVA'!$O$40)*1</f>
        <v>9.7477533604981481</v>
      </c>
      <c r="P40" s="76">
        <f>('TE BE'!$P$40+'TE BF'!$P$40+'TE CVA'!$P$40)*1</f>
        <v>-19.041352758632303</v>
      </c>
      <c r="Q40" s="76">
        <f>('TE BE'!$R$40+'TE BF'!$R$40+'TE CVA'!$R$40)*1</f>
        <v>238.40128118291011</v>
      </c>
      <c r="R40" s="76">
        <f>('TE BE'!$T$40+'TE BF'!$T$40+'TE CVA'!$T$40)*1</f>
        <v>8.8851742182925832</v>
      </c>
      <c r="S40" s="76">
        <f>('TE BE'!$U$40+'TE BF'!$U$40+'TE CVA'!$U$40)*1</f>
        <v>5.6360062635049388</v>
      </c>
      <c r="T40" s="76">
        <f>('TE BE'!$V$40+'TE BF'!$V$40+'TE CVA'!$V$40)*1</f>
        <v>0</v>
      </c>
      <c r="U40" s="76">
        <f>('TE BE'!$X$40+'TE BF'!$X$40+'TE CVA'!$X$40)*1</f>
        <v>-47.434402591282549</v>
      </c>
      <c r="V40" s="76">
        <f>('TE BE'!$Z$40+'TE BF'!$Z$40+'TE CVA'!$Z$40)*1</f>
        <v>6.9487760688279527</v>
      </c>
      <c r="X40" s="76">
        <v>2.4204369195340498</v>
      </c>
      <c r="Y40" s="76">
        <v>22.047252642132701</v>
      </c>
      <c r="Z40" s="76">
        <v>0</v>
      </c>
      <c r="AA40" s="76">
        <v>0</v>
      </c>
      <c r="AB40" s="76">
        <v>0</v>
      </c>
      <c r="AC40" s="76">
        <v>210.38672396949701</v>
      </c>
      <c r="AD40" s="76">
        <v>5.3492455756867097</v>
      </c>
      <c r="AE40" s="76">
        <v>4.8418307772697098</v>
      </c>
      <c r="AF40" s="76">
        <v>0</v>
      </c>
      <c r="AG40" s="76">
        <v>0</v>
      </c>
      <c r="AH40" s="76">
        <v>5.2971643090025102</v>
      </c>
    </row>
    <row r="41" spans="1:34" ht="11.25" customHeight="1" x14ac:dyDescent="0.25">
      <c r="A41" s="142" t="s">
        <v>45</v>
      </c>
      <c r="B41" s="142" t="s">
        <v>85</v>
      </c>
      <c r="C41" s="142" t="s">
        <v>46</v>
      </c>
      <c r="D41" s="79" t="s">
        <v>47</v>
      </c>
      <c r="E41" s="79" t="s">
        <v>25</v>
      </c>
      <c r="F41" s="79" t="s">
        <v>25</v>
      </c>
      <c r="G41" s="78" t="s">
        <v>86</v>
      </c>
      <c r="H41" s="78" t="s">
        <v>82</v>
      </c>
      <c r="I41" s="78">
        <f>'MERCADO TE'!$U$38</f>
        <v>5474.732</v>
      </c>
      <c r="J41" s="15"/>
      <c r="L41" s="76">
        <f>('TE BE'!$L$41+'TE BF'!$L$41+'TE CVA'!$L$41)*1</f>
        <v>1.4584854859027712</v>
      </c>
      <c r="M41" s="76">
        <f>('TE BE'!$M$41+'TE BF'!$M$41+'TE CVA'!$M$41)*1</f>
        <v>13.633160096554015</v>
      </c>
      <c r="N41" s="76">
        <f>('TE BE'!$N$41+'TE BF'!$N$41+'TE CVA'!$N$41)*1</f>
        <v>0</v>
      </c>
      <c r="O41" s="76">
        <f>('TE BE'!$O$41+'TE BF'!$O$41+'TE CVA'!$O$41)*1</f>
        <v>5.3612643482739815</v>
      </c>
      <c r="P41" s="76">
        <f>('TE BE'!$P$41+'TE BF'!$P$41+'TE CVA'!$P$41)*1</f>
        <v>-10.472744017247768</v>
      </c>
      <c r="Q41" s="76">
        <f>('TE BE'!$R$41+'TE BF'!$R$41+'TE CVA'!$R$41)*1</f>
        <v>131.12070465060054</v>
      </c>
      <c r="R41" s="76">
        <f>('TE BE'!$T$41+'TE BF'!$T$41+'TE CVA'!$T$41)*1</f>
        <v>4.8868458200609206</v>
      </c>
      <c r="S41" s="76">
        <f>('TE BE'!$U$41+'TE BF'!$U$41+'TE CVA'!$U$41)*1</f>
        <v>3.099803444927717</v>
      </c>
      <c r="T41" s="76">
        <f>('TE BE'!$V$41+'TE BF'!$V$41+'TE CVA'!$V$41)*1</f>
        <v>0</v>
      </c>
      <c r="U41" s="76">
        <f>('TE BE'!$X$41+'TE BF'!$X$41+'TE CVA'!$X$41)*1</f>
        <v>-26.088921425205402</v>
      </c>
      <c r="V41" s="76">
        <f>('TE BE'!$Z$41+'TE BF'!$Z$41+'TE CVA'!$Z$41)*1</f>
        <v>3.8218268378553746</v>
      </c>
      <c r="X41" s="76">
        <v>1.3312403057437301</v>
      </c>
      <c r="Y41" s="76">
        <v>12.125988953173</v>
      </c>
      <c r="Z41" s="76">
        <v>0</v>
      </c>
      <c r="AA41" s="76">
        <v>0</v>
      </c>
      <c r="AB41" s="76">
        <v>0</v>
      </c>
      <c r="AC41" s="76">
        <v>115.712698183223</v>
      </c>
      <c r="AD41" s="76">
        <v>2.9420850666276901</v>
      </c>
      <c r="AE41" s="76">
        <v>2.6630069274983401</v>
      </c>
      <c r="AF41" s="76">
        <v>0</v>
      </c>
      <c r="AG41" s="76">
        <v>0</v>
      </c>
      <c r="AH41" s="76">
        <v>2.9134403699513798</v>
      </c>
    </row>
    <row r="42" spans="1:34" ht="11.25" customHeight="1" x14ac:dyDescent="0.25">
      <c r="A42" s="142"/>
      <c r="B42" s="142"/>
      <c r="C42" s="142"/>
      <c r="D42" s="78" t="s">
        <v>98</v>
      </c>
      <c r="E42" s="78" t="s">
        <v>25</v>
      </c>
      <c r="F42" s="78" t="s">
        <v>25</v>
      </c>
      <c r="G42" s="78" t="s">
        <v>86</v>
      </c>
      <c r="H42" s="78" t="s">
        <v>82</v>
      </c>
      <c r="I42" s="78">
        <f>'MERCADO TE'!$U$39</f>
        <v>0</v>
      </c>
      <c r="J42" s="15"/>
      <c r="L42" s="76">
        <f>('TE BE'!$L$42+'TE BF'!$L$42+'TE CVA'!$L$42)*1</f>
        <v>1.5910750755302956</v>
      </c>
      <c r="M42" s="76">
        <f>('TE BE'!$M$42+'TE BF'!$M$42+'TE CVA'!$M$42)*1</f>
        <v>14.872538287149833</v>
      </c>
      <c r="N42" s="76">
        <f>('TE BE'!$N$42+'TE BF'!$N$42+'TE CVA'!$N$42)*1</f>
        <v>0</v>
      </c>
      <c r="O42" s="76">
        <f>('TE BE'!$O$42+'TE BF'!$O$42+'TE CVA'!$O$42)*1</f>
        <v>5.848652016298888</v>
      </c>
      <c r="P42" s="76">
        <f>('TE BE'!$P$42+'TE BF'!$P$42+'TE CVA'!$P$42)*1</f>
        <v>-11.424811655179381</v>
      </c>
      <c r="Q42" s="76">
        <f>('TE BE'!$R$42+'TE BF'!$R$42+'TE CVA'!$R$42)*1</f>
        <v>143.04076870974603</v>
      </c>
      <c r="R42" s="76">
        <f>('TE BE'!$T$42+'TE BF'!$T$42+'TE CVA'!$T$42)*1</f>
        <v>5.3311045309755496</v>
      </c>
      <c r="S42" s="76">
        <f>('TE BE'!$U$42+'TE BF'!$U$42+'TE CVA'!$U$42)*1</f>
        <v>3.3816037581029637</v>
      </c>
      <c r="T42" s="76">
        <f>('TE BE'!$V$42+'TE BF'!$V$42+'TE CVA'!$V$42)*1</f>
        <v>0</v>
      </c>
      <c r="U42" s="76">
        <f>('TE BE'!$X$42+'TE BF'!$X$42+'TE CVA'!$X$42)*1</f>
        <v>-28.460641554769527</v>
      </c>
      <c r="V42" s="76">
        <f>('TE BE'!$Z$42+'TE BF'!$Z$42+'TE CVA'!$Z$42)*1</f>
        <v>4.1692656412967715</v>
      </c>
      <c r="X42" s="76">
        <v>1.4522621517204299</v>
      </c>
      <c r="Y42" s="76">
        <v>13.228351585279601</v>
      </c>
      <c r="Z42" s="76">
        <v>0</v>
      </c>
      <c r="AA42" s="76">
        <v>0</v>
      </c>
      <c r="AB42" s="76">
        <v>0</v>
      </c>
      <c r="AC42" s="76">
        <v>126.232034381698</v>
      </c>
      <c r="AD42" s="76">
        <v>3.2095473454120298</v>
      </c>
      <c r="AE42" s="76">
        <v>2.9050984663618298</v>
      </c>
      <c r="AF42" s="76">
        <v>0</v>
      </c>
      <c r="AG42" s="76">
        <v>0</v>
      </c>
      <c r="AH42" s="76">
        <v>3.1782985854015098</v>
      </c>
    </row>
    <row r="44" spans="1:34" ht="11.25" customHeight="1" x14ac:dyDescent="0.25">
      <c r="L44" s="139" t="s">
        <v>1004</v>
      </c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X44" s="139" t="s">
        <v>1005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</row>
    <row r="45" spans="1:34" ht="11.25" customHeight="1" x14ac:dyDescent="0.25">
      <c r="L45" s="139" t="s">
        <v>590</v>
      </c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X45" s="139" t="s">
        <v>590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</row>
    <row r="46" spans="1:34" ht="11.25" customHeight="1" x14ac:dyDescent="0.25">
      <c r="L46" s="139" t="s">
        <v>563</v>
      </c>
      <c r="M46" s="139"/>
      <c r="N46" s="139"/>
      <c r="O46" s="139"/>
      <c r="P46" s="139"/>
      <c r="Q46" s="80" t="s">
        <v>594</v>
      </c>
      <c r="R46" s="139" t="s">
        <v>572</v>
      </c>
      <c r="S46" s="139"/>
      <c r="T46" s="139"/>
      <c r="U46" s="80" t="s">
        <v>582</v>
      </c>
      <c r="V46" s="80" t="s">
        <v>585</v>
      </c>
      <c r="X46" s="139" t="s">
        <v>563</v>
      </c>
      <c r="Y46" s="139"/>
      <c r="Z46" s="139"/>
      <c r="AA46" s="139"/>
      <c r="AB46" s="139"/>
      <c r="AC46" s="80" t="s">
        <v>594</v>
      </c>
      <c r="AD46" s="139" t="s">
        <v>572</v>
      </c>
      <c r="AE46" s="139"/>
      <c r="AF46" s="139"/>
      <c r="AG46" s="80" t="s">
        <v>582</v>
      </c>
      <c r="AH46" s="80" t="s">
        <v>585</v>
      </c>
    </row>
    <row r="47" spans="1:34" ht="11.25" customHeight="1" x14ac:dyDescent="0.25">
      <c r="L47" s="80" t="s">
        <v>565</v>
      </c>
      <c r="M47" s="80" t="s">
        <v>591</v>
      </c>
      <c r="N47" s="80" t="s">
        <v>592</v>
      </c>
      <c r="O47" s="80" t="s">
        <v>651</v>
      </c>
      <c r="P47" s="80" t="s">
        <v>593</v>
      </c>
      <c r="Q47" s="80" t="s">
        <v>595</v>
      </c>
      <c r="R47" s="80" t="s">
        <v>596</v>
      </c>
      <c r="S47" s="80" t="s">
        <v>597</v>
      </c>
      <c r="T47" s="80" t="s">
        <v>598</v>
      </c>
      <c r="U47" s="80" t="s">
        <v>583</v>
      </c>
      <c r="V47" s="80" t="s">
        <v>599</v>
      </c>
      <c r="X47" s="80" t="s">
        <v>565</v>
      </c>
      <c r="Y47" s="80" t="s">
        <v>591</v>
      </c>
      <c r="Z47" s="80" t="s">
        <v>592</v>
      </c>
      <c r="AA47" s="80" t="s">
        <v>651</v>
      </c>
      <c r="AB47" s="80" t="s">
        <v>593</v>
      </c>
      <c r="AC47" s="80" t="s">
        <v>595</v>
      </c>
      <c r="AD47" s="80" t="s">
        <v>596</v>
      </c>
      <c r="AE47" s="80" t="s">
        <v>597</v>
      </c>
      <c r="AF47" s="80" t="s">
        <v>598</v>
      </c>
      <c r="AG47" s="80" t="s">
        <v>583</v>
      </c>
      <c r="AH47" s="80" t="s">
        <v>599</v>
      </c>
    </row>
    <row r="48" spans="1:34" ht="11.25" customHeight="1" x14ac:dyDescent="0.25">
      <c r="A48" s="9" t="s">
        <v>38</v>
      </c>
      <c r="B48" s="9" t="s">
        <v>1006</v>
      </c>
      <c r="C48" s="9" t="s">
        <v>1007</v>
      </c>
      <c r="D48" s="9" t="s">
        <v>1008</v>
      </c>
      <c r="E48" s="9" t="s">
        <v>1009</v>
      </c>
      <c r="F48" s="9" t="s">
        <v>1010</v>
      </c>
      <c r="G48" s="9" t="s">
        <v>1011</v>
      </c>
      <c r="L48" s="76">
        <f>$I$5*$L$5</f>
        <v>5316.8637583980781</v>
      </c>
      <c r="M48" s="76">
        <f>$I$5*$M$5</f>
        <v>49699.263743402866</v>
      </c>
      <c r="N48" s="76">
        <f>$I$5*$N$5</f>
        <v>0</v>
      </c>
      <c r="O48" s="76">
        <f>$I$5*$O$5</f>
        <v>19544.323469825671</v>
      </c>
      <c r="P48" s="76">
        <f>$I$5*$P$5</f>
        <v>-38178.06461187984</v>
      </c>
      <c r="Q48" s="76">
        <f>$I$5*$Q$5</f>
        <v>775616.92329152138</v>
      </c>
      <c r="R48" s="76">
        <f>$I$5*$R$5</f>
        <v>17814.845389070375</v>
      </c>
      <c r="S48" s="76">
        <f>$I$5*$S$5</f>
        <v>11300.237646377511</v>
      </c>
      <c r="T48" s="76">
        <f>$I$5*$T$5</f>
        <v>0</v>
      </c>
      <c r="U48" s="76">
        <f>$I$5*$U$5</f>
        <v>-146174.16068182958</v>
      </c>
      <c r="V48" s="76">
        <f>$I$5*$V$5</f>
        <v>13932.351608208595</v>
      </c>
      <c r="X48" s="76">
        <f>$I$5*$X$5</f>
        <v>4852.995387161126</v>
      </c>
      <c r="Y48" s="76">
        <f>$I$5*$Y$5</f>
        <v>44204.917925497204</v>
      </c>
      <c r="Z48" s="76">
        <f>$I$5*$Z$5</f>
        <v>0</v>
      </c>
      <c r="AA48" s="76">
        <f>$I$5*$AA$5</f>
        <v>0</v>
      </c>
      <c r="AB48" s="76">
        <f>$I$5*$AB$5</f>
        <v>0</v>
      </c>
      <c r="AC48" s="76">
        <f>$I$5*$AC$5</f>
        <v>684474.10490804643</v>
      </c>
      <c r="AD48" s="76">
        <f>$I$5*$AD$5</f>
        <v>10725.280173216459</v>
      </c>
      <c r="AE48" s="76">
        <f>$I$5*$AE$5</f>
        <v>9707.909443071987</v>
      </c>
      <c r="AF48" s="76">
        <f>$I$5*$AF$5</f>
        <v>0</v>
      </c>
      <c r="AG48" s="76">
        <f>$I$5*$AG$5</f>
        <v>0</v>
      </c>
      <c r="AH48" s="76">
        <f>$I$5*$AH$5</f>
        <v>10620.856816864505</v>
      </c>
    </row>
    <row r="49" spans="1:34" ht="11.25" customHeight="1" x14ac:dyDescent="0.25">
      <c r="A49" s="9" t="s">
        <v>38</v>
      </c>
      <c r="B49" s="9" t="s">
        <v>1006</v>
      </c>
      <c r="C49" s="9" t="s">
        <v>1007</v>
      </c>
      <c r="D49" s="9" t="s">
        <v>1008</v>
      </c>
      <c r="E49" s="9" t="s">
        <v>1009</v>
      </c>
      <c r="F49" s="9" t="s">
        <v>1010</v>
      </c>
      <c r="G49" s="9" t="s">
        <v>1012</v>
      </c>
      <c r="L49" s="76">
        <f>$I$6*$L$6</f>
        <v>75578.633022144219</v>
      </c>
      <c r="M49" s="76">
        <f>$I$6*$M$6</f>
        <v>706469.56300138705</v>
      </c>
      <c r="N49" s="76">
        <f>$I$6*$N$6</f>
        <v>0</v>
      </c>
      <c r="O49" s="76">
        <f>$I$6*$O$6</f>
        <v>277820.40659945016</v>
      </c>
      <c r="P49" s="76">
        <f>$I$6*$P$6</f>
        <v>-542696.98565049097</v>
      </c>
      <c r="Q49" s="76">
        <f>$I$6*$Q$6</f>
        <v>6410063.4775029449</v>
      </c>
      <c r="R49" s="76">
        <f>$I$6*$R$6</f>
        <v>253236.0660699819</v>
      </c>
      <c r="S49" s="76">
        <f>$I$6*$S$6</f>
        <v>160631.6341639538</v>
      </c>
      <c r="T49" s="76">
        <f>$I$6*$T$6</f>
        <v>0</v>
      </c>
      <c r="U49" s="76">
        <f>$I$6*$U$6</f>
        <v>-1285933.3710576554</v>
      </c>
      <c r="V49" s="76">
        <f>$I$6*$V$6</f>
        <v>198046.84437683126</v>
      </c>
      <c r="X49" s="76">
        <f>$I$6*$X$6</f>
        <v>68984.795189658529</v>
      </c>
      <c r="Y49" s="76">
        <f>$I$6*$Y$6</f>
        <v>628368.04204133945</v>
      </c>
      <c r="Z49" s="76">
        <f>$I$6*$Z$6</f>
        <v>0</v>
      </c>
      <c r="AA49" s="76">
        <f>$I$6*$AA$6</f>
        <v>0</v>
      </c>
      <c r="AB49" s="76">
        <f>$I$6*$AB$6</f>
        <v>0</v>
      </c>
      <c r="AC49" s="76">
        <f>$I$6*$AC$6</f>
        <v>5656816.3089429056</v>
      </c>
      <c r="AD49" s="76">
        <f>$I$6*$AD$6</f>
        <v>152458.67697678847</v>
      </c>
      <c r="AE49" s="76">
        <f>$I$6*$AE$6</f>
        <v>137996.86404437912</v>
      </c>
      <c r="AF49" s="76">
        <f>$I$6*$AF$6</f>
        <v>0</v>
      </c>
      <c r="AG49" s="76">
        <f>$I$6*$AG$6</f>
        <v>0</v>
      </c>
      <c r="AH49" s="76">
        <f>$I$6*$AH$6</f>
        <v>150974.31046162263</v>
      </c>
    </row>
    <row r="50" spans="1:34" ht="11.25" customHeight="1" x14ac:dyDescent="0.25">
      <c r="A50" s="9" t="s">
        <v>38</v>
      </c>
      <c r="B50" s="9" t="s">
        <v>1013</v>
      </c>
      <c r="C50" s="9" t="s">
        <v>1014</v>
      </c>
      <c r="D50" s="9" t="s">
        <v>1015</v>
      </c>
      <c r="E50" s="9" t="s">
        <v>1016</v>
      </c>
      <c r="F50" s="9" t="s">
        <v>1017</v>
      </c>
      <c r="G50" s="9" t="s">
        <v>1018</v>
      </c>
      <c r="L50" s="76">
        <f>$I$7*$L$7</f>
        <v>0</v>
      </c>
      <c r="M50" s="76">
        <f>$I$7*$M$7</f>
        <v>0</v>
      </c>
      <c r="N50" s="76">
        <f>$I$7*$N$7</f>
        <v>0</v>
      </c>
      <c r="O50" s="76">
        <f>$I$7*$O$7</f>
        <v>0</v>
      </c>
      <c r="P50" s="76">
        <f>$I$7*$P$7</f>
        <v>0</v>
      </c>
      <c r="Q50" s="76">
        <f>$I$7*$Q$7</f>
        <v>0</v>
      </c>
      <c r="R50" s="76">
        <f>$I$7*$R$7</f>
        <v>0</v>
      </c>
      <c r="S50" s="76">
        <f>$I$7*$S$7</f>
        <v>0</v>
      </c>
      <c r="T50" s="76">
        <f>$I$7*$T$7</f>
        <v>0</v>
      </c>
      <c r="U50" s="76">
        <f>$I$7*$U$7</f>
        <v>0</v>
      </c>
      <c r="V50" s="76">
        <f>$I$7*$V$7</f>
        <v>0</v>
      </c>
      <c r="X50" s="76">
        <f>$I$7*$X$7</f>
        <v>0</v>
      </c>
      <c r="Y50" s="76">
        <f>$I$7*$Y$7</f>
        <v>0</v>
      </c>
      <c r="Z50" s="76">
        <f>$I$7*$Z$7</f>
        <v>0</v>
      </c>
      <c r="AA50" s="76">
        <f>$I$7*$AA$7</f>
        <v>0</v>
      </c>
      <c r="AB50" s="76">
        <f>$I$7*$AB$7</f>
        <v>0</v>
      </c>
      <c r="AC50" s="76">
        <f>$I$7*$AC$7</f>
        <v>0</v>
      </c>
      <c r="AD50" s="76">
        <f>$I$7*$AD$7</f>
        <v>0</v>
      </c>
      <c r="AE50" s="76">
        <f>$I$7*$AE$7</f>
        <v>0</v>
      </c>
      <c r="AF50" s="76">
        <f>$I$7*$AF$7</f>
        <v>0</v>
      </c>
      <c r="AG50" s="76">
        <f>$I$7*$AG$7</f>
        <v>0</v>
      </c>
      <c r="AH50" s="76">
        <f>$I$7*$AH$7</f>
        <v>0</v>
      </c>
    </row>
    <row r="51" spans="1:34" ht="11.25" customHeight="1" x14ac:dyDescent="0.25">
      <c r="A51" s="9" t="s">
        <v>22</v>
      </c>
      <c r="B51" s="9" t="s">
        <v>1019</v>
      </c>
      <c r="C51" s="9" t="s">
        <v>1020</v>
      </c>
      <c r="D51" s="9" t="s">
        <v>1021</v>
      </c>
      <c r="E51" s="9" t="s">
        <v>1022</v>
      </c>
      <c r="F51" s="9" t="s">
        <v>1023</v>
      </c>
      <c r="G51" s="9" t="s">
        <v>1024</v>
      </c>
      <c r="L51" s="76">
        <f>$I$8*$L$8</f>
        <v>2.9249263471831934</v>
      </c>
      <c r="M51" s="76">
        <f>$I$8*$M$8</f>
        <v>27.340682884543781</v>
      </c>
      <c r="N51" s="76">
        <f>$I$8*$N$8</f>
        <v>0</v>
      </c>
      <c r="O51" s="76">
        <f>$I$8*$O$8</f>
        <v>10.751771956629458</v>
      </c>
      <c r="P51" s="76">
        <f>$I$8*$P$8</f>
        <v>-21.002612092771429</v>
      </c>
      <c r="Q51" s="76">
        <f>$I$8*$Q$8</f>
        <v>426.68431566883925</v>
      </c>
      <c r="R51" s="76">
        <f>$I$8*$R$8</f>
        <v>9.8003471627767187</v>
      </c>
      <c r="S51" s="76">
        <f>$I$8*$S$8</f>
        <v>6.216514908645947</v>
      </c>
      <c r="T51" s="76">
        <f>$I$8*$T$8</f>
        <v>0</v>
      </c>
      <c r="U51" s="76">
        <f>$I$8*$U$8</f>
        <v>-80.413693726936771</v>
      </c>
      <c r="V51" s="76">
        <f>$I$8*$V$8</f>
        <v>7.6645000039172313</v>
      </c>
      <c r="X51" s="76">
        <f>$I$8*$X$8</f>
        <v>2.669741922246057</v>
      </c>
      <c r="Y51" s="76">
        <f>$I$8*$Y$8</f>
        <v>24.31811966427237</v>
      </c>
      <c r="Z51" s="76">
        <f>$I$8*$Z$8</f>
        <v>0</v>
      </c>
      <c r="AA51" s="76">
        <f>$I$8*$AA$8</f>
        <v>0</v>
      </c>
      <c r="AB51" s="76">
        <f>$I$8*$AB$8</f>
        <v>0</v>
      </c>
      <c r="AC51" s="76">
        <f>$I$8*$AC$8</f>
        <v>376.54460117544426</v>
      </c>
      <c r="AD51" s="76">
        <f>$I$8*$AD$8</f>
        <v>5.9002178699824404</v>
      </c>
      <c r="AE51" s="76">
        <f>$I$8*$AE$8</f>
        <v>5.3405393473284901</v>
      </c>
      <c r="AF51" s="76">
        <f>$I$8*$AF$8</f>
        <v>0</v>
      </c>
      <c r="AG51" s="76">
        <f>$I$8*$AG$8</f>
        <v>0</v>
      </c>
      <c r="AH51" s="76">
        <f>$I$8*$AH$8</f>
        <v>5.8427722328297689</v>
      </c>
    </row>
    <row r="52" spans="1:34" ht="11.25" customHeight="1" x14ac:dyDescent="0.25">
      <c r="A52" s="9" t="s">
        <v>22</v>
      </c>
      <c r="B52" s="9" t="s">
        <v>1019</v>
      </c>
      <c r="C52" s="9" t="s">
        <v>1020</v>
      </c>
      <c r="D52" s="9" t="s">
        <v>1021</v>
      </c>
      <c r="E52" s="9" t="s">
        <v>1022</v>
      </c>
      <c r="F52" s="9" t="s">
        <v>1023</v>
      </c>
      <c r="G52" s="9" t="s">
        <v>1025</v>
      </c>
      <c r="L52" s="76">
        <f>$I$9*$L$9</f>
        <v>1.7183610815727195</v>
      </c>
      <c r="M52" s="76">
        <f>$I$9*$M$9</f>
        <v>16.062341350121827</v>
      </c>
      <c r="N52" s="76">
        <f>$I$9*$N$9</f>
        <v>0</v>
      </c>
      <c r="O52" s="76">
        <f>$I$9*$O$9</f>
        <v>6.3165441776028013</v>
      </c>
      <c r="P52" s="76">
        <f>$I$9*$P$9</f>
        <v>-12.338796587593736</v>
      </c>
      <c r="Q52" s="76">
        <f>$I$9*$Q$9</f>
        <v>145.73965113823186</v>
      </c>
      <c r="R52" s="76">
        <f>$I$9*$R$9</f>
        <v>5.7575928934535954</v>
      </c>
      <c r="S52" s="76">
        <f>$I$9*$S$9</f>
        <v>3.6521320587512012</v>
      </c>
      <c r="T52" s="76">
        <f>$I$9*$T$9</f>
        <v>0</v>
      </c>
      <c r="U52" s="76">
        <f>$I$9*$U$9</f>
        <v>-29.237070981075483</v>
      </c>
      <c r="V52" s="76">
        <f>$I$9*$V$9</f>
        <v>4.502806892600514</v>
      </c>
      <c r="X52" s="76">
        <f>$I$9*$X$9</f>
        <v>1.5684431238580645</v>
      </c>
      <c r="Y52" s="76">
        <f>$I$9*$Y$9</f>
        <v>14.286619712101993</v>
      </c>
      <c r="Z52" s="76">
        <f>$I$9*$Z$9</f>
        <v>0</v>
      </c>
      <c r="AA52" s="76">
        <f>$I$9*$AA$9</f>
        <v>0</v>
      </c>
      <c r="AB52" s="76">
        <f>$I$9*$AB$9</f>
        <v>0</v>
      </c>
      <c r="AC52" s="76">
        <f>$I$9*$AC$9</f>
        <v>128.61377087946641</v>
      </c>
      <c r="AD52" s="76">
        <f>$I$9*$AD$9</f>
        <v>3.4663111330449885</v>
      </c>
      <c r="AE52" s="76">
        <f>$I$9*$AE$9</f>
        <v>3.1375063436707724</v>
      </c>
      <c r="AF52" s="76">
        <f>$I$9*$AF$9</f>
        <v>0</v>
      </c>
      <c r="AG52" s="76">
        <f>$I$9*$AG$9</f>
        <v>0</v>
      </c>
      <c r="AH52" s="76">
        <f>$I$9*$AH$9</f>
        <v>3.4325624722336272</v>
      </c>
    </row>
    <row r="53" spans="1:34" ht="11.25" customHeight="1" x14ac:dyDescent="0.25">
      <c r="A53" s="9" t="s">
        <v>22</v>
      </c>
      <c r="B53" s="9" t="s">
        <v>1019</v>
      </c>
      <c r="C53" s="9" t="s">
        <v>1020</v>
      </c>
      <c r="D53" s="9" t="s">
        <v>1021</v>
      </c>
      <c r="E53" s="9" t="s">
        <v>1022</v>
      </c>
      <c r="F53" s="9" t="s">
        <v>1023</v>
      </c>
      <c r="G53" s="9" t="s">
        <v>1026</v>
      </c>
      <c r="L53" s="76">
        <f>$I$10*$L$10</f>
        <v>31.471464993989251</v>
      </c>
      <c r="M53" s="76">
        <f>$I$10*$M$10</f>
        <v>294.17880731982382</v>
      </c>
      <c r="N53" s="76">
        <f>$I$10*$N$10</f>
        <v>0</v>
      </c>
      <c r="O53" s="76">
        <f>$I$10*$O$10</f>
        <v>115.68633688239204</v>
      </c>
      <c r="P53" s="76">
        <f>$I$10*$P$10</f>
        <v>-225.98277453944823</v>
      </c>
      <c r="Q53" s="76">
        <f>$I$10*$Q$10</f>
        <v>2669.1947217724314</v>
      </c>
      <c r="R53" s="76">
        <f>$I$10*$R$10</f>
        <v>105.44924762269639</v>
      </c>
      <c r="S53" s="76">
        <f>$I$10*$S$10</f>
        <v>66.88812233527662</v>
      </c>
      <c r="T53" s="76">
        <f>$I$10*$T$10</f>
        <v>0</v>
      </c>
      <c r="U53" s="76">
        <f>$I$10*$U$10</f>
        <v>-535.47154074599348</v>
      </c>
      <c r="V53" s="76">
        <f>$I$10*$V$10</f>
        <v>82.468074384850155</v>
      </c>
      <c r="X53" s="76">
        <f>$I$10*$X$10</f>
        <v>28.725745361030107</v>
      </c>
      <c r="Y53" s="76">
        <f>$I$10*$Y$10</f>
        <v>261.65679435683091</v>
      </c>
      <c r="Z53" s="76">
        <f>$I$10*$Z$10</f>
        <v>0</v>
      </c>
      <c r="AA53" s="76">
        <f>$I$10*$AA$10</f>
        <v>0</v>
      </c>
      <c r="AB53" s="76">
        <f>$I$10*$AB$10</f>
        <v>0</v>
      </c>
      <c r="AC53" s="76">
        <f>$I$10*$AC$10</f>
        <v>2355.5373962924496</v>
      </c>
      <c r="AD53" s="76">
        <f>$I$10*$AD$10</f>
        <v>63.484846492249879</v>
      </c>
      <c r="AE53" s="76">
        <f>$I$10*$AE$10</f>
        <v>57.462847664636925</v>
      </c>
      <c r="AF53" s="76">
        <f>$I$10*$AF$10</f>
        <v>0</v>
      </c>
      <c r="AG53" s="76">
        <f>$I$10*$AG$10</f>
        <v>0</v>
      </c>
      <c r="AH53" s="76">
        <f>$I$10*$AH$10</f>
        <v>62.866746019241802</v>
      </c>
    </row>
    <row r="54" spans="1:34" ht="11.25" customHeight="1" x14ac:dyDescent="0.25">
      <c r="A54" s="9" t="s">
        <v>22</v>
      </c>
      <c r="B54" s="9" t="s">
        <v>1027</v>
      </c>
      <c r="C54" s="9" t="s">
        <v>1028</v>
      </c>
      <c r="D54" s="9" t="s">
        <v>1029</v>
      </c>
      <c r="E54" s="9" t="s">
        <v>1030</v>
      </c>
      <c r="F54" s="9" t="s">
        <v>1031</v>
      </c>
      <c r="G54" s="9" t="s">
        <v>1032</v>
      </c>
      <c r="L54" s="76">
        <f>$I$11*$L$11</f>
        <v>167626.09433770902</v>
      </c>
      <c r="M54" s="76">
        <f>$I$11*$M$11</f>
        <v>1566881.1260411816</v>
      </c>
      <c r="N54" s="76">
        <f>$I$11*$N$11</f>
        <v>0</v>
      </c>
      <c r="O54" s="76">
        <f>$I$11*$O$11</f>
        <v>616178.77729986608</v>
      </c>
      <c r="P54" s="76">
        <f>$I$11*$P$11</f>
        <v>-1203649.3976648883</v>
      </c>
      <c r="Q54" s="76">
        <f>$I$11*$Q$11</f>
        <v>15069914.524232494</v>
      </c>
      <c r="R54" s="76">
        <f>$I$11*$R$11</f>
        <v>561653.08901948167</v>
      </c>
      <c r="S54" s="76">
        <f>$I$11*$S$11</f>
        <v>356265.42033511068</v>
      </c>
      <c r="T54" s="76">
        <f>$I$11*$T$11</f>
        <v>0</v>
      </c>
      <c r="U54" s="76">
        <f>$I$11*$U$11</f>
        <v>-2998441.9085827605</v>
      </c>
      <c r="V54" s="76">
        <f>$I$11*$V$11</f>
        <v>439248.73593664326</v>
      </c>
      <c r="X54" s="76">
        <f>$I$11*$X$11</f>
        <v>153001.60010754806</v>
      </c>
      <c r="Y54" s="76">
        <f>$I$11*$Y$11</f>
        <v>1393659.51039577</v>
      </c>
      <c r="Z54" s="76">
        <f>$I$11*$Z$11</f>
        <v>0</v>
      </c>
      <c r="AA54" s="76">
        <f>$I$11*$AA$11</f>
        <v>0</v>
      </c>
      <c r="AB54" s="76">
        <f>$I$11*$AB$11</f>
        <v>0</v>
      </c>
      <c r="AC54" s="76">
        <f>$I$11*$AC$11</f>
        <v>13299047.435995469</v>
      </c>
      <c r="AD54" s="76">
        <f>$I$11*$AD$11</f>
        <v>338138.59218683722</v>
      </c>
      <c r="AE54" s="76">
        <f>$I$11*$AE$11</f>
        <v>306063.69056494522</v>
      </c>
      <c r="AF54" s="76">
        <f>$I$11*$AF$11</f>
        <v>0</v>
      </c>
      <c r="AG54" s="76">
        <f>$I$11*$AG$11</f>
        <v>0</v>
      </c>
      <c r="AH54" s="76">
        <f>$I$11*$AH$11</f>
        <v>334846.41089758283</v>
      </c>
    </row>
    <row r="55" spans="1:34" ht="11.25" customHeight="1" x14ac:dyDescent="0.25">
      <c r="A55" s="9" t="s">
        <v>22</v>
      </c>
      <c r="B55" s="9" t="s">
        <v>1027</v>
      </c>
      <c r="C55" s="9" t="s">
        <v>1028</v>
      </c>
      <c r="D55" s="9" t="s">
        <v>1033</v>
      </c>
      <c r="E55" s="9" t="s">
        <v>1034</v>
      </c>
      <c r="F55" s="9" t="s">
        <v>1035</v>
      </c>
      <c r="G55" s="9" t="s">
        <v>1036</v>
      </c>
      <c r="L55" s="76">
        <f>$I$12*$L$12</f>
        <v>239.57467101248835</v>
      </c>
      <c r="M55" s="76">
        <f>$I$12*$M$12</f>
        <v>2239.4188194274898</v>
      </c>
      <c r="N55" s="76">
        <f>$I$12*$N$12</f>
        <v>0</v>
      </c>
      <c r="O55" s="76">
        <f>$I$12*$O$12</f>
        <v>880.655416089857</v>
      </c>
      <c r="P55" s="76">
        <f>$I$12*$P$12</f>
        <v>-1720.2805422346182</v>
      </c>
      <c r="Q55" s="76">
        <f>$I$12*$Q$12</f>
        <v>21538.232627765363</v>
      </c>
      <c r="R55" s="76">
        <f>$I$12*$R$12</f>
        <v>802.72617790582331</v>
      </c>
      <c r="S55" s="76">
        <f>$I$12*$S$12</f>
        <v>509.18188607290875</v>
      </c>
      <c r="T55" s="76">
        <f>$I$12*$T$12</f>
        <v>0</v>
      </c>
      <c r="U55" s="76">
        <f>$I$12*$U$12</f>
        <v>-4285.4350131879964</v>
      </c>
      <c r="V55" s="76">
        <f>$I$12*$V$12</f>
        <v>627.7833521114236</v>
      </c>
      <c r="X55" s="76">
        <f>$I$12*$X$12</f>
        <v>218.67304225499763</v>
      </c>
      <c r="Y55" s="76">
        <f>$I$12*$Y$12</f>
        <v>1991.8469139645297</v>
      </c>
      <c r="Z55" s="76">
        <f>$I$12*$Z$12</f>
        <v>0</v>
      </c>
      <c r="AA55" s="76">
        <f>$I$12*$AA$12</f>
        <v>0</v>
      </c>
      <c r="AB55" s="76">
        <f>$I$12*$AB$12</f>
        <v>0</v>
      </c>
      <c r="AC55" s="76">
        <f>$I$12*$AC$12</f>
        <v>19007.272864326009</v>
      </c>
      <c r="AD55" s="76">
        <f>$I$12*$AD$12</f>
        <v>483.27464945034956</v>
      </c>
      <c r="AE55" s="76">
        <f>$I$12*$AE$12</f>
        <v>437.43253856550484</v>
      </c>
      <c r="AF55" s="76">
        <f>$I$12*$AF$12</f>
        <v>0</v>
      </c>
      <c r="AG55" s="76">
        <f>$I$12*$AG$12</f>
        <v>0</v>
      </c>
      <c r="AH55" s="76">
        <f>$I$12*$AH$12</f>
        <v>478.56939605646221</v>
      </c>
    </row>
    <row r="56" spans="1:34" ht="11.25" customHeight="1" x14ac:dyDescent="0.25">
      <c r="A56" s="9" t="s">
        <v>22</v>
      </c>
      <c r="B56" s="9" t="s">
        <v>1027</v>
      </c>
      <c r="C56" s="9" t="s">
        <v>1028</v>
      </c>
      <c r="D56" s="9" t="s">
        <v>1037</v>
      </c>
      <c r="E56" s="9" t="s">
        <v>1038</v>
      </c>
      <c r="F56" s="9" t="s">
        <v>1039</v>
      </c>
      <c r="G56" s="9" t="s">
        <v>1040</v>
      </c>
      <c r="L56" s="76">
        <f>$I$13*$L$13</f>
        <v>869.65140585842448</v>
      </c>
      <c r="M56" s="76">
        <f>$I$13*$M$13</f>
        <v>8129.0468495286441</v>
      </c>
      <c r="N56" s="76">
        <f>$I$13*$N$13</f>
        <v>0</v>
      </c>
      <c r="O56" s="76">
        <f>$I$13*$O$13</f>
        <v>3196.7620677206633</v>
      </c>
      <c r="P56" s="76">
        <f>$I$13*$P$13</f>
        <v>-6244.5849792996014</v>
      </c>
      <c r="Q56" s="76">
        <f>$I$13*$Q$13</f>
        <v>78183.366402141721</v>
      </c>
      <c r="R56" s="76">
        <f>$I$13*$R$13</f>
        <v>2913.8804456451471</v>
      </c>
      <c r="S56" s="76">
        <f>$I$13*$S$13</f>
        <v>1848.3203637076758</v>
      </c>
      <c r="T56" s="76">
        <f>$I$13*$T$13</f>
        <v>0</v>
      </c>
      <c r="U56" s="76">
        <f>$I$13*$U$13</f>
        <v>-15556.045921647483</v>
      </c>
      <c r="V56" s="76">
        <f>$I$13*$V$13</f>
        <v>2278.8413834856306</v>
      </c>
      <c r="X56" s="76">
        <f>$I$13*$X$13</f>
        <v>793.77889914950435</v>
      </c>
      <c r="Y56" s="76">
        <f>$I$13*$Y$13</f>
        <v>7230.36563783371</v>
      </c>
      <c r="Z56" s="76">
        <f>$I$13*$Z$13</f>
        <v>0</v>
      </c>
      <c r="AA56" s="76">
        <f>$I$13*$AA$13</f>
        <v>0</v>
      </c>
      <c r="AB56" s="76">
        <f>$I$13*$AB$13</f>
        <v>0</v>
      </c>
      <c r="AC56" s="76">
        <f>$I$13*$AC$13</f>
        <v>68996.031584382872</v>
      </c>
      <c r="AD56" s="76">
        <f>$I$13*$AD$13</f>
        <v>1754.2775976026528</v>
      </c>
      <c r="AE56" s="76">
        <f>$I$13*$AE$13</f>
        <v>1587.8716248425153</v>
      </c>
      <c r="AF56" s="76">
        <f>$I$13*$AF$13</f>
        <v>0</v>
      </c>
      <c r="AG56" s="76">
        <f>$I$13*$AG$13</f>
        <v>0</v>
      </c>
      <c r="AH56" s="76">
        <f>$I$13*$AH$13</f>
        <v>1737.1976191073427</v>
      </c>
    </row>
    <row r="57" spans="1:34" ht="11.25" customHeight="1" x14ac:dyDescent="0.25">
      <c r="A57" s="9" t="s">
        <v>22</v>
      </c>
      <c r="B57" s="9" t="s">
        <v>1027</v>
      </c>
      <c r="C57" s="9" t="s">
        <v>1028</v>
      </c>
      <c r="D57" s="9" t="s">
        <v>1041</v>
      </c>
      <c r="E57" s="9" t="s">
        <v>1042</v>
      </c>
      <c r="F57" s="9" t="s">
        <v>1043</v>
      </c>
      <c r="G57" s="9" t="s">
        <v>1044</v>
      </c>
      <c r="L57" s="76">
        <f>$I$14*$L$14</f>
        <v>1283.4080926374645</v>
      </c>
      <c r="M57" s="76">
        <f>$I$14*$M$14</f>
        <v>11996.628122294531</v>
      </c>
      <c r="N57" s="76">
        <f>$I$14*$N$14</f>
        <v>0</v>
      </c>
      <c r="O57" s="76">
        <f>$I$14*$O$14</f>
        <v>4717.6952515811654</v>
      </c>
      <c r="P57" s="76">
        <f>$I$14*$P$14</f>
        <v>-9215.590113011518</v>
      </c>
      <c r="Q57" s="76">
        <f>$I$14*$Q$14</f>
        <v>115380.90374395813</v>
      </c>
      <c r="R57" s="76">
        <f>$I$14*$R$14</f>
        <v>4300.2261822685432</v>
      </c>
      <c r="S57" s="76">
        <f>$I$14*$S$14</f>
        <v>2727.7013485967145</v>
      </c>
      <c r="T57" s="76">
        <f>$I$14*$T$14</f>
        <v>0</v>
      </c>
      <c r="U57" s="76">
        <f>$I$14*$U$14</f>
        <v>-22957.193067002969</v>
      </c>
      <c r="V57" s="76">
        <f>$I$14*$V$14</f>
        <v>3363.0526596063942</v>
      </c>
      <c r="X57" s="76">
        <f>$I$14*$X$14</f>
        <v>1171.4374933111719</v>
      </c>
      <c r="Y57" s="76">
        <f>$I$14*$Y$14</f>
        <v>10670.378625058345</v>
      </c>
      <c r="Z57" s="76">
        <f>$I$14*$Z$14</f>
        <v>0</v>
      </c>
      <c r="AA57" s="76">
        <f>$I$14*$AA$14</f>
        <v>0</v>
      </c>
      <c r="AB57" s="76">
        <f>$I$14*$AB$14</f>
        <v>0</v>
      </c>
      <c r="AC57" s="76">
        <f>$I$14*$AC$14</f>
        <v>101822.48277729188</v>
      </c>
      <c r="AD57" s="76">
        <f>$I$14*$AD$14</f>
        <v>2588.9155704560308</v>
      </c>
      <c r="AE57" s="76">
        <f>$I$14*$AE$14</f>
        <v>2343.3381233722075</v>
      </c>
      <c r="AF57" s="76">
        <f>$I$14*$AF$14</f>
        <v>0</v>
      </c>
      <c r="AG57" s="76">
        <f>$I$14*$AG$14</f>
        <v>0</v>
      </c>
      <c r="AH57" s="76">
        <f>$I$14*$AH$14</f>
        <v>2563.7093987931248</v>
      </c>
    </row>
    <row r="58" spans="1:34" ht="11.25" customHeight="1" x14ac:dyDescent="0.25">
      <c r="A58" s="9" t="s">
        <v>22</v>
      </c>
      <c r="B58" s="9" t="s">
        <v>1027</v>
      </c>
      <c r="C58" s="9" t="s">
        <v>1028</v>
      </c>
      <c r="D58" s="9" t="s">
        <v>1045</v>
      </c>
      <c r="E58" s="9" t="s">
        <v>1046</v>
      </c>
      <c r="F58" s="9" t="s">
        <v>1047</v>
      </c>
      <c r="G58" s="9" t="s">
        <v>1048</v>
      </c>
      <c r="L58" s="76">
        <f>$I$15*$L$15</f>
        <v>477.60361258909899</v>
      </c>
      <c r="M58" s="76">
        <f>$I$15*$M$15</f>
        <v>4464.3889679090134</v>
      </c>
      <c r="N58" s="76">
        <f>$I$15*$N$15</f>
        <v>0</v>
      </c>
      <c r="O58" s="76">
        <f>$I$15*$O$15</f>
        <v>1755.6288667458793</v>
      </c>
      <c r="P58" s="76">
        <f>$I$15*$P$15</f>
        <v>-3429.4618799462296</v>
      </c>
      <c r="Q58" s="76">
        <f>$I$15*$Q$15</f>
        <v>42937.501148729207</v>
      </c>
      <c r="R58" s="76">
        <f>$I$15*$R$15</f>
        <v>1600.2731877598039</v>
      </c>
      <c r="S58" s="76">
        <f>$I$15*$S$15</f>
        <v>1015.0785440948205</v>
      </c>
      <c r="T58" s="76">
        <f>$I$15*$T$15</f>
        <v>0</v>
      </c>
      <c r="U58" s="76">
        <f>$I$15*$U$15</f>
        <v>-8543.2205131055343</v>
      </c>
      <c r="V58" s="76">
        <f>$I$15*$V$15</f>
        <v>1251.5162626523272</v>
      </c>
      <c r="X58" s="76">
        <f>$I$15*$X$15</f>
        <v>435.93521182959955</v>
      </c>
      <c r="Y58" s="76">
        <f>$I$15*$Y$15</f>
        <v>3970.8424843639523</v>
      </c>
      <c r="Z58" s="76">
        <f>$I$15*$Z$15</f>
        <v>0</v>
      </c>
      <c r="AA58" s="76">
        <f>$I$15*$AA$15</f>
        <v>0</v>
      </c>
      <c r="AB58" s="76">
        <f>$I$15*$AB$15</f>
        <v>0</v>
      </c>
      <c r="AC58" s="76">
        <f>$I$15*$AC$15</f>
        <v>37891.91130725023</v>
      </c>
      <c r="AD58" s="76">
        <f>$I$15*$AD$15</f>
        <v>963.43122365463046</v>
      </c>
      <c r="AE58" s="76">
        <f>$I$15*$AE$15</f>
        <v>872.04277397093836</v>
      </c>
      <c r="AF58" s="76">
        <f>$I$15*$AF$15</f>
        <v>0</v>
      </c>
      <c r="AG58" s="76">
        <f>$I$15*$AG$15</f>
        <v>0</v>
      </c>
      <c r="AH58" s="76">
        <f>$I$15*$AH$15</f>
        <v>954.05107503720603</v>
      </c>
    </row>
    <row r="59" spans="1:34" ht="11.25" customHeight="1" x14ac:dyDescent="0.25">
      <c r="A59" s="9" t="s">
        <v>22</v>
      </c>
      <c r="B59" s="9" t="s">
        <v>1049</v>
      </c>
      <c r="C59" s="9" t="s">
        <v>1050</v>
      </c>
      <c r="D59" s="9" t="s">
        <v>1051</v>
      </c>
      <c r="E59" s="9" t="s">
        <v>1052</v>
      </c>
      <c r="F59" s="9" t="s">
        <v>1053</v>
      </c>
      <c r="G59" s="9" t="s">
        <v>1054</v>
      </c>
      <c r="L59" s="76">
        <f>$I$16*$L$16</f>
        <v>0</v>
      </c>
      <c r="M59" s="76">
        <f>$I$16*$M$16</f>
        <v>0</v>
      </c>
      <c r="N59" s="76">
        <f>$I$16*$N$16</f>
        <v>0</v>
      </c>
      <c r="O59" s="76">
        <f>$I$16*$O$16</f>
        <v>0</v>
      </c>
      <c r="P59" s="76">
        <f>$I$16*$P$16</f>
        <v>0</v>
      </c>
      <c r="Q59" s="76">
        <f>$I$16*$Q$16</f>
        <v>0</v>
      </c>
      <c r="R59" s="76">
        <f>$I$16*$R$16</f>
        <v>0</v>
      </c>
      <c r="S59" s="76">
        <f>$I$16*$S$16</f>
        <v>0</v>
      </c>
      <c r="T59" s="76">
        <f>$I$16*$T$16</f>
        <v>0</v>
      </c>
      <c r="U59" s="76">
        <f>$I$16*$U$16</f>
        <v>0</v>
      </c>
      <c r="V59" s="76">
        <f>$I$16*$V$16</f>
        <v>0</v>
      </c>
      <c r="X59" s="76">
        <f>$I$16*$X$16</f>
        <v>0</v>
      </c>
      <c r="Y59" s="76">
        <f>$I$16*$Y$16</f>
        <v>0</v>
      </c>
      <c r="Z59" s="76">
        <f>$I$16*$Z$16</f>
        <v>0</v>
      </c>
      <c r="AA59" s="76">
        <f>$I$16*$AA$16</f>
        <v>0</v>
      </c>
      <c r="AB59" s="76">
        <f>$I$16*$AB$16</f>
        <v>0</v>
      </c>
      <c r="AC59" s="76">
        <f>$I$16*$AC$16</f>
        <v>0</v>
      </c>
      <c r="AD59" s="76">
        <f>$I$16*$AD$16</f>
        <v>0</v>
      </c>
      <c r="AE59" s="76">
        <f>$I$16*$AE$16</f>
        <v>0</v>
      </c>
      <c r="AF59" s="76">
        <f>$I$16*$AF$16</f>
        <v>0</v>
      </c>
      <c r="AG59" s="76">
        <f>$I$16*$AG$16</f>
        <v>0</v>
      </c>
      <c r="AH59" s="76">
        <f>$I$16*$AH$16</f>
        <v>0</v>
      </c>
    </row>
    <row r="60" spans="1:34" ht="11.25" customHeight="1" x14ac:dyDescent="0.25">
      <c r="A60" s="9" t="s">
        <v>22</v>
      </c>
      <c r="B60" s="9" t="s">
        <v>1049</v>
      </c>
      <c r="C60" s="9" t="s">
        <v>1050</v>
      </c>
      <c r="D60" s="9" t="s">
        <v>1055</v>
      </c>
      <c r="E60" s="9" t="s">
        <v>1056</v>
      </c>
      <c r="F60" s="9" t="s">
        <v>1057</v>
      </c>
      <c r="G60" s="9" t="s">
        <v>1058</v>
      </c>
      <c r="L60" s="76">
        <f>$I$17*$L$17</f>
        <v>0</v>
      </c>
      <c r="M60" s="76">
        <f>$I$17*$M$17</f>
        <v>0</v>
      </c>
      <c r="N60" s="76">
        <f>$I$17*$N$17</f>
        <v>0</v>
      </c>
      <c r="O60" s="76">
        <f>$I$17*$O$17</f>
        <v>0</v>
      </c>
      <c r="P60" s="76">
        <f>$I$17*$P$17</f>
        <v>0</v>
      </c>
      <c r="Q60" s="76">
        <f>$I$17*$Q$17</f>
        <v>0</v>
      </c>
      <c r="R60" s="76">
        <f>$I$17*$R$17</f>
        <v>0</v>
      </c>
      <c r="S60" s="76">
        <f>$I$17*$S$17</f>
        <v>0</v>
      </c>
      <c r="T60" s="76">
        <f>$I$17*$T$17</f>
        <v>0</v>
      </c>
      <c r="U60" s="76">
        <f>$I$17*$U$17</f>
        <v>0</v>
      </c>
      <c r="V60" s="76">
        <f>$I$17*$V$17</f>
        <v>0</v>
      </c>
      <c r="X60" s="76">
        <f>$I$17*$X$17</f>
        <v>0</v>
      </c>
      <c r="Y60" s="76">
        <f>$I$17*$Y$17</f>
        <v>0</v>
      </c>
      <c r="Z60" s="76">
        <f>$I$17*$Z$17</f>
        <v>0</v>
      </c>
      <c r="AA60" s="76">
        <f>$I$17*$AA$17</f>
        <v>0</v>
      </c>
      <c r="AB60" s="76">
        <f>$I$17*$AB$17</f>
        <v>0</v>
      </c>
      <c r="AC60" s="76">
        <f>$I$17*$AC$17</f>
        <v>0</v>
      </c>
      <c r="AD60" s="76">
        <f>$I$17*$AD$17</f>
        <v>0</v>
      </c>
      <c r="AE60" s="76">
        <f>$I$17*$AE$17</f>
        <v>0</v>
      </c>
      <c r="AF60" s="76">
        <f>$I$17*$AF$17</f>
        <v>0</v>
      </c>
      <c r="AG60" s="76">
        <f>$I$17*$AG$17</f>
        <v>0</v>
      </c>
      <c r="AH60" s="76">
        <f>$I$17*$AH$17</f>
        <v>0</v>
      </c>
    </row>
    <row r="61" spans="1:34" ht="11.25" customHeight="1" x14ac:dyDescent="0.25">
      <c r="A61" s="9" t="s">
        <v>22</v>
      </c>
      <c r="B61" s="9" t="s">
        <v>1049</v>
      </c>
      <c r="C61" s="9" t="s">
        <v>1050</v>
      </c>
      <c r="D61" s="9" t="s">
        <v>1059</v>
      </c>
      <c r="E61" s="9" t="s">
        <v>1060</v>
      </c>
      <c r="F61" s="9" t="s">
        <v>1061</v>
      </c>
      <c r="G61" s="9" t="s">
        <v>1062</v>
      </c>
      <c r="L61" s="76">
        <f>$I$18*$L$18</f>
        <v>0</v>
      </c>
      <c r="M61" s="76">
        <f>$I$18*$M$18</f>
        <v>0</v>
      </c>
      <c r="N61" s="76">
        <f>$I$18*$N$18</f>
        <v>0</v>
      </c>
      <c r="O61" s="76">
        <f>$I$18*$O$18</f>
        <v>0</v>
      </c>
      <c r="P61" s="76">
        <f>$I$18*$P$18</f>
        <v>0</v>
      </c>
      <c r="Q61" s="76">
        <f>$I$18*$Q$18</f>
        <v>0</v>
      </c>
      <c r="R61" s="76">
        <f>$I$18*$R$18</f>
        <v>0</v>
      </c>
      <c r="S61" s="76">
        <f>$I$18*$S$18</f>
        <v>0</v>
      </c>
      <c r="T61" s="76">
        <f>$I$18*$T$18</f>
        <v>0</v>
      </c>
      <c r="U61" s="76">
        <f>$I$18*$U$18</f>
        <v>0</v>
      </c>
      <c r="V61" s="76">
        <f>$I$18*$V$18</f>
        <v>0</v>
      </c>
      <c r="X61" s="76">
        <f>$I$18*$X$18</f>
        <v>0</v>
      </c>
      <c r="Y61" s="76">
        <f>$I$18*$Y$18</f>
        <v>0</v>
      </c>
      <c r="Z61" s="76">
        <f>$I$18*$Z$18</f>
        <v>0</v>
      </c>
      <c r="AA61" s="76">
        <f>$I$18*$AA$18</f>
        <v>0</v>
      </c>
      <c r="AB61" s="76">
        <f>$I$18*$AB$18</f>
        <v>0</v>
      </c>
      <c r="AC61" s="76">
        <f>$I$18*$AC$18</f>
        <v>0</v>
      </c>
      <c r="AD61" s="76">
        <f>$I$18*$AD$18</f>
        <v>0</v>
      </c>
      <c r="AE61" s="76">
        <f>$I$18*$AE$18</f>
        <v>0</v>
      </c>
      <c r="AF61" s="76">
        <f>$I$18*$AF$18</f>
        <v>0</v>
      </c>
      <c r="AG61" s="76">
        <f>$I$18*$AG$18</f>
        <v>0</v>
      </c>
      <c r="AH61" s="76">
        <f>$I$18*$AH$18</f>
        <v>0</v>
      </c>
    </row>
    <row r="62" spans="1:34" ht="11.25" customHeight="1" x14ac:dyDescent="0.25">
      <c r="A62" s="9" t="s">
        <v>22</v>
      </c>
      <c r="B62" s="9" t="s">
        <v>1049</v>
      </c>
      <c r="C62" s="9" t="s">
        <v>1050</v>
      </c>
      <c r="D62" s="9" t="s">
        <v>1063</v>
      </c>
      <c r="E62" s="9" t="s">
        <v>1064</v>
      </c>
      <c r="F62" s="9" t="s">
        <v>1065</v>
      </c>
      <c r="G62" s="9" t="s">
        <v>1066</v>
      </c>
      <c r="L62" s="76">
        <f>$I$19*$L$19</f>
        <v>0</v>
      </c>
      <c r="M62" s="76">
        <f>$I$19*$M$19</f>
        <v>0</v>
      </c>
      <c r="N62" s="76">
        <f>$I$19*$N$19</f>
        <v>0</v>
      </c>
      <c r="O62" s="76">
        <f>$I$19*$O$19</f>
        <v>0</v>
      </c>
      <c r="P62" s="76">
        <f>$I$19*$P$19</f>
        <v>0</v>
      </c>
      <c r="Q62" s="76">
        <f>$I$19*$Q$19</f>
        <v>0</v>
      </c>
      <c r="R62" s="76">
        <f>$I$19*$R$19</f>
        <v>0</v>
      </c>
      <c r="S62" s="76">
        <f>$I$19*$S$19</f>
        <v>0</v>
      </c>
      <c r="T62" s="76">
        <f>$I$19*$T$19</f>
        <v>0</v>
      </c>
      <c r="U62" s="76">
        <f>$I$19*$U$19</f>
        <v>0</v>
      </c>
      <c r="V62" s="76">
        <f>$I$19*$V$19</f>
        <v>0</v>
      </c>
      <c r="X62" s="76">
        <f>$I$19*$X$19</f>
        <v>0</v>
      </c>
      <c r="Y62" s="76">
        <f>$I$19*$Y$19</f>
        <v>0</v>
      </c>
      <c r="Z62" s="76">
        <f>$I$19*$Z$19</f>
        <v>0</v>
      </c>
      <c r="AA62" s="76">
        <f>$I$19*$AA$19</f>
        <v>0</v>
      </c>
      <c r="AB62" s="76">
        <f>$I$19*$AB$19</f>
        <v>0</v>
      </c>
      <c r="AC62" s="76">
        <f>$I$19*$AC$19</f>
        <v>0</v>
      </c>
      <c r="AD62" s="76">
        <f>$I$19*$AD$19</f>
        <v>0</v>
      </c>
      <c r="AE62" s="76">
        <f>$I$19*$AE$19</f>
        <v>0</v>
      </c>
      <c r="AF62" s="76">
        <f>$I$19*$AF$19</f>
        <v>0</v>
      </c>
      <c r="AG62" s="76">
        <f>$I$19*$AG$19</f>
        <v>0</v>
      </c>
      <c r="AH62" s="76">
        <f>$I$19*$AH$19</f>
        <v>0</v>
      </c>
    </row>
    <row r="63" spans="1:34" ht="11.25" customHeight="1" x14ac:dyDescent="0.25">
      <c r="A63" s="9" t="s">
        <v>22</v>
      </c>
      <c r="B63" s="9" t="s">
        <v>1049</v>
      </c>
      <c r="C63" s="9" t="s">
        <v>1050</v>
      </c>
      <c r="D63" s="9" t="s">
        <v>1067</v>
      </c>
      <c r="E63" s="9" t="s">
        <v>1068</v>
      </c>
      <c r="F63" s="9" t="s">
        <v>1069</v>
      </c>
      <c r="G63" s="9" t="s">
        <v>1070</v>
      </c>
      <c r="L63" s="76">
        <f>$I$20*$L$20</f>
        <v>0</v>
      </c>
      <c r="M63" s="76">
        <f>$I$20*$M$20</f>
        <v>0</v>
      </c>
      <c r="N63" s="76">
        <f>$I$20*$N$20</f>
        <v>0</v>
      </c>
      <c r="O63" s="76">
        <f>$I$20*$O$20</f>
        <v>0</v>
      </c>
      <c r="P63" s="76">
        <f>$I$20*$P$20</f>
        <v>0</v>
      </c>
      <c r="Q63" s="76">
        <f>$I$20*$Q$20</f>
        <v>0</v>
      </c>
      <c r="R63" s="76">
        <f>$I$20*$R$20</f>
        <v>0</v>
      </c>
      <c r="S63" s="76">
        <f>$I$20*$S$20</f>
        <v>0</v>
      </c>
      <c r="T63" s="76">
        <f>$I$20*$T$20</f>
        <v>0</v>
      </c>
      <c r="U63" s="76">
        <f>$I$20*$U$20</f>
        <v>0</v>
      </c>
      <c r="V63" s="76">
        <f>$I$20*$V$20</f>
        <v>0</v>
      </c>
      <c r="X63" s="76">
        <f>$I$20*$X$20</f>
        <v>0</v>
      </c>
      <c r="Y63" s="76">
        <f>$I$20*$Y$20</f>
        <v>0</v>
      </c>
      <c r="Z63" s="76">
        <f>$I$20*$Z$20</f>
        <v>0</v>
      </c>
      <c r="AA63" s="76">
        <f>$I$20*$AA$20</f>
        <v>0</v>
      </c>
      <c r="AB63" s="76">
        <f>$I$20*$AB$20</f>
        <v>0</v>
      </c>
      <c r="AC63" s="76">
        <f>$I$20*$AC$20</f>
        <v>0</v>
      </c>
      <c r="AD63" s="76">
        <f>$I$20*$AD$20</f>
        <v>0</v>
      </c>
      <c r="AE63" s="76">
        <f>$I$20*$AE$20</f>
        <v>0</v>
      </c>
      <c r="AF63" s="76">
        <f>$I$20*$AF$20</f>
        <v>0</v>
      </c>
      <c r="AG63" s="76">
        <f>$I$20*$AG$20</f>
        <v>0</v>
      </c>
      <c r="AH63" s="76">
        <f>$I$20*$AH$20</f>
        <v>0</v>
      </c>
    </row>
    <row r="64" spans="1:34" ht="11.25" customHeight="1" x14ac:dyDescent="0.25">
      <c r="A64" s="9" t="s">
        <v>42</v>
      </c>
      <c r="B64" s="9" t="s">
        <v>1071</v>
      </c>
      <c r="C64" s="9" t="s">
        <v>1072</v>
      </c>
      <c r="D64" s="9" t="s">
        <v>1073</v>
      </c>
      <c r="E64" s="9" t="s">
        <v>1074</v>
      </c>
      <c r="F64" s="9" t="s">
        <v>1075</v>
      </c>
      <c r="G64" s="9" t="s">
        <v>1076</v>
      </c>
      <c r="L64" s="76">
        <f>$I$21*$L$21</f>
        <v>0</v>
      </c>
      <c r="M64" s="76">
        <f>$I$21*$M$21</f>
        <v>0</v>
      </c>
      <c r="N64" s="76">
        <f>$I$21*$N$21</f>
        <v>0</v>
      </c>
      <c r="O64" s="76">
        <f>$I$21*$O$21</f>
        <v>0</v>
      </c>
      <c r="P64" s="76">
        <f>$I$21*$P$21</f>
        <v>0</v>
      </c>
      <c r="Q64" s="76">
        <f>$I$21*$Q$21</f>
        <v>0</v>
      </c>
      <c r="R64" s="76">
        <f>$I$21*$R$21</f>
        <v>0</v>
      </c>
      <c r="S64" s="76">
        <f>$I$21*$S$21</f>
        <v>0</v>
      </c>
      <c r="T64" s="76">
        <f>$I$21*$T$21</f>
        <v>0</v>
      </c>
      <c r="U64" s="76">
        <f>$I$21*$U$21</f>
        <v>0</v>
      </c>
      <c r="V64" s="76">
        <f>$I$21*$V$21</f>
        <v>0</v>
      </c>
      <c r="X64" s="76">
        <f>$I$21*$X$21</f>
        <v>0</v>
      </c>
      <c r="Y64" s="76">
        <f>$I$21*$Y$21</f>
        <v>0</v>
      </c>
      <c r="Z64" s="76">
        <f>$I$21*$Z$21</f>
        <v>0</v>
      </c>
      <c r="AA64" s="76">
        <f>$I$21*$AA$21</f>
        <v>0</v>
      </c>
      <c r="AB64" s="76">
        <f>$I$21*$AB$21</f>
        <v>0</v>
      </c>
      <c r="AC64" s="76">
        <f>$I$21*$AC$21</f>
        <v>0</v>
      </c>
      <c r="AD64" s="76">
        <f>$I$21*$AD$21</f>
        <v>0</v>
      </c>
      <c r="AE64" s="76">
        <f>$I$21*$AE$21</f>
        <v>0</v>
      </c>
      <c r="AF64" s="76">
        <f>$I$21*$AF$21</f>
        <v>0</v>
      </c>
      <c r="AG64" s="76">
        <f>$I$21*$AG$21</f>
        <v>0</v>
      </c>
      <c r="AH64" s="76">
        <f>$I$21*$AH$21</f>
        <v>0</v>
      </c>
    </row>
    <row r="65" spans="1:34" ht="11.25" customHeight="1" x14ac:dyDescent="0.25">
      <c r="A65" s="9" t="s">
        <v>42</v>
      </c>
      <c r="B65" s="9" t="s">
        <v>1071</v>
      </c>
      <c r="C65" s="9" t="s">
        <v>1072</v>
      </c>
      <c r="D65" s="9" t="s">
        <v>1073</v>
      </c>
      <c r="E65" s="9" t="s">
        <v>1074</v>
      </c>
      <c r="F65" s="9" t="s">
        <v>1075</v>
      </c>
      <c r="G65" s="9" t="s">
        <v>1077</v>
      </c>
      <c r="L65" s="76">
        <f>$I$22*$L$22</f>
        <v>0</v>
      </c>
      <c r="M65" s="76">
        <f>$I$22*$M$22</f>
        <v>0</v>
      </c>
      <c r="N65" s="76">
        <f>$I$22*$N$22</f>
        <v>0</v>
      </c>
      <c r="O65" s="76">
        <f>$I$22*$O$22</f>
        <v>0</v>
      </c>
      <c r="P65" s="76">
        <f>$I$22*$P$22</f>
        <v>0</v>
      </c>
      <c r="Q65" s="76">
        <f>$I$22*$Q$22</f>
        <v>0</v>
      </c>
      <c r="R65" s="76">
        <f>$I$22*$R$22</f>
        <v>0</v>
      </c>
      <c r="S65" s="76">
        <f>$I$22*$S$22</f>
        <v>0</v>
      </c>
      <c r="T65" s="76">
        <f>$I$22*$T$22</f>
        <v>0</v>
      </c>
      <c r="U65" s="76">
        <f>$I$22*$U$22</f>
        <v>0</v>
      </c>
      <c r="V65" s="76">
        <f>$I$22*$V$22</f>
        <v>0</v>
      </c>
      <c r="X65" s="76">
        <f>$I$22*$X$22</f>
        <v>0</v>
      </c>
      <c r="Y65" s="76">
        <f>$I$22*$Y$22</f>
        <v>0</v>
      </c>
      <c r="Z65" s="76">
        <f>$I$22*$Z$22</f>
        <v>0</v>
      </c>
      <c r="AA65" s="76">
        <f>$I$22*$AA$22</f>
        <v>0</v>
      </c>
      <c r="AB65" s="76">
        <f>$I$22*$AB$22</f>
        <v>0</v>
      </c>
      <c r="AC65" s="76">
        <f>$I$22*$AC$22</f>
        <v>0</v>
      </c>
      <c r="AD65" s="76">
        <f>$I$22*$AD$22</f>
        <v>0</v>
      </c>
      <c r="AE65" s="76">
        <f>$I$22*$AE$22</f>
        <v>0</v>
      </c>
      <c r="AF65" s="76">
        <f>$I$22*$AF$22</f>
        <v>0</v>
      </c>
      <c r="AG65" s="76">
        <f>$I$22*$AG$22</f>
        <v>0</v>
      </c>
      <c r="AH65" s="76">
        <f>$I$22*$AH$22</f>
        <v>0</v>
      </c>
    </row>
    <row r="66" spans="1:34" ht="11.25" customHeight="1" x14ac:dyDescent="0.25">
      <c r="A66" s="9" t="s">
        <v>42</v>
      </c>
      <c r="B66" s="9" t="s">
        <v>1071</v>
      </c>
      <c r="C66" s="9" t="s">
        <v>1072</v>
      </c>
      <c r="D66" s="9" t="s">
        <v>1073</v>
      </c>
      <c r="E66" s="9" t="s">
        <v>1074</v>
      </c>
      <c r="F66" s="9" t="s">
        <v>1075</v>
      </c>
      <c r="G66" s="9" t="s">
        <v>1078</v>
      </c>
      <c r="L66" s="76">
        <f>$I$23*$L$23</f>
        <v>0</v>
      </c>
      <c r="M66" s="76">
        <f>$I$23*$M$23</f>
        <v>0</v>
      </c>
      <c r="N66" s="76">
        <f>$I$23*$N$23</f>
        <v>0</v>
      </c>
      <c r="O66" s="76">
        <f>$I$23*$O$23</f>
        <v>0</v>
      </c>
      <c r="P66" s="76">
        <f>$I$23*$P$23</f>
        <v>0</v>
      </c>
      <c r="Q66" s="76">
        <f>$I$23*$Q$23</f>
        <v>0</v>
      </c>
      <c r="R66" s="76">
        <f>$I$23*$R$23</f>
        <v>0</v>
      </c>
      <c r="S66" s="76">
        <f>$I$23*$S$23</f>
        <v>0</v>
      </c>
      <c r="T66" s="76">
        <f>$I$23*$T$23</f>
        <v>0</v>
      </c>
      <c r="U66" s="76">
        <f>$I$23*$U$23</f>
        <v>0</v>
      </c>
      <c r="V66" s="76">
        <f>$I$23*$V$23</f>
        <v>0</v>
      </c>
      <c r="X66" s="76">
        <f>$I$23*$X$23</f>
        <v>0</v>
      </c>
      <c r="Y66" s="76">
        <f>$I$23*$Y$23</f>
        <v>0</v>
      </c>
      <c r="Z66" s="76">
        <f>$I$23*$Z$23</f>
        <v>0</v>
      </c>
      <c r="AA66" s="76">
        <f>$I$23*$AA$23</f>
        <v>0</v>
      </c>
      <c r="AB66" s="76">
        <f>$I$23*$AB$23</f>
        <v>0</v>
      </c>
      <c r="AC66" s="76">
        <f>$I$23*$AC$23</f>
        <v>0</v>
      </c>
      <c r="AD66" s="76">
        <f>$I$23*$AD$23</f>
        <v>0</v>
      </c>
      <c r="AE66" s="76">
        <f>$I$23*$AE$23</f>
        <v>0</v>
      </c>
      <c r="AF66" s="76">
        <f>$I$23*$AF$23</f>
        <v>0</v>
      </c>
      <c r="AG66" s="76">
        <f>$I$23*$AG$23</f>
        <v>0</v>
      </c>
      <c r="AH66" s="76">
        <f>$I$23*$AH$23</f>
        <v>0</v>
      </c>
    </row>
    <row r="67" spans="1:34" ht="11.25" customHeight="1" x14ac:dyDescent="0.25">
      <c r="A67" s="9" t="s">
        <v>42</v>
      </c>
      <c r="B67" s="9" t="s">
        <v>1079</v>
      </c>
      <c r="C67" s="9" t="s">
        <v>1080</v>
      </c>
      <c r="D67" s="9" t="s">
        <v>1081</v>
      </c>
      <c r="E67" s="9" t="s">
        <v>1082</v>
      </c>
      <c r="F67" s="9" t="s">
        <v>1083</v>
      </c>
      <c r="G67" s="9" t="s">
        <v>1084</v>
      </c>
      <c r="L67" s="76">
        <f>$I$24*$L$24</f>
        <v>46681.627791128602</v>
      </c>
      <c r="M67" s="76">
        <f>$I$24*$M$24</f>
        <v>436355.46009583521</v>
      </c>
      <c r="N67" s="76">
        <f>$I$24*$N$24</f>
        <v>0</v>
      </c>
      <c r="O67" s="76">
        <f>$I$24*$O$24</f>
        <v>171597.55733946187</v>
      </c>
      <c r="P67" s="76">
        <f>$I$24*$P$24</f>
        <v>-335200.27651308442</v>
      </c>
      <c r="Q67" s="76">
        <f>$I$24*$Q$24</f>
        <v>4196769.8611831693</v>
      </c>
      <c r="R67" s="76">
        <f>$I$24*$R$24</f>
        <v>156412.88161569295</v>
      </c>
      <c r="S67" s="76">
        <f>$I$24*$S$24</f>
        <v>99215.159863044697</v>
      </c>
      <c r="T67" s="76">
        <f>$I$24*$T$24</f>
        <v>0</v>
      </c>
      <c r="U67" s="76">
        <f>$I$24*$U$24</f>
        <v>-835026.01240464288</v>
      </c>
      <c r="V67" s="76">
        <f>$I$24*$V$24</f>
        <v>122324.90460231024</v>
      </c>
      <c r="X67" s="76">
        <f>$I$24*$X$24</f>
        <v>39889.184412033988</v>
      </c>
      <c r="Y67" s="76">
        <f>$I$24*$Y$24</f>
        <v>363342.22111850651</v>
      </c>
      <c r="Z67" s="76">
        <f>$I$24*$Z$24</f>
        <v>0</v>
      </c>
      <c r="AA67" s="76">
        <f>$I$24*$AA$24</f>
        <v>0</v>
      </c>
      <c r="AB67" s="76">
        <f>$I$24*$AB$24</f>
        <v>0</v>
      </c>
      <c r="AC67" s="76">
        <f>$I$24*$AC$24</f>
        <v>3467206.5867671943</v>
      </c>
      <c r="AD67" s="76">
        <f>$I$24*$AD$24</f>
        <v>88156.415691635208</v>
      </c>
      <c r="AE67" s="76">
        <f>$I$24*$AE$24</f>
        <v>79794.139317439432</v>
      </c>
      <c r="AF67" s="76">
        <f>$I$24*$AF$24</f>
        <v>0</v>
      </c>
      <c r="AG67" s="76">
        <f>$I$24*$AG$24</f>
        <v>0</v>
      </c>
      <c r="AH67" s="76">
        <f>$I$24*$AH$24</f>
        <v>87298.108154507368</v>
      </c>
    </row>
    <row r="68" spans="1:34" ht="11.25" customHeight="1" x14ac:dyDescent="0.25">
      <c r="A68" s="9" t="s">
        <v>42</v>
      </c>
      <c r="B68" s="9" t="s">
        <v>1071</v>
      </c>
      <c r="C68" s="9" t="s">
        <v>1072</v>
      </c>
      <c r="D68" s="9" t="s">
        <v>1085</v>
      </c>
      <c r="E68" s="9" t="s">
        <v>1086</v>
      </c>
      <c r="F68" s="9" t="s">
        <v>1087</v>
      </c>
      <c r="G68" s="9" t="s">
        <v>1088</v>
      </c>
      <c r="L68" s="76">
        <f>$I$25*$L$25</f>
        <v>0</v>
      </c>
      <c r="M68" s="76">
        <f>$I$25*$M$25</f>
        <v>0</v>
      </c>
      <c r="N68" s="76">
        <f>$I$25*$N$25</f>
        <v>0</v>
      </c>
      <c r="O68" s="76">
        <f>$I$25*$O$25</f>
        <v>0</v>
      </c>
      <c r="P68" s="76">
        <f>$I$25*$P$25</f>
        <v>0</v>
      </c>
      <c r="Q68" s="76">
        <f>$I$25*$Q$25</f>
        <v>0</v>
      </c>
      <c r="R68" s="76">
        <f>$I$25*$R$25</f>
        <v>0</v>
      </c>
      <c r="S68" s="76">
        <f>$I$25*$S$25</f>
        <v>0</v>
      </c>
      <c r="T68" s="76">
        <f>$I$25*$T$25</f>
        <v>0</v>
      </c>
      <c r="U68" s="76">
        <f>$I$25*$U$25</f>
        <v>0</v>
      </c>
      <c r="V68" s="76">
        <f>$I$25*$V$25</f>
        <v>0</v>
      </c>
      <c r="X68" s="76">
        <f>$I$25*$X$25</f>
        <v>0</v>
      </c>
      <c r="Y68" s="76">
        <f>$I$25*$Y$25</f>
        <v>0</v>
      </c>
      <c r="Z68" s="76">
        <f>$I$25*$Z$25</f>
        <v>0</v>
      </c>
      <c r="AA68" s="76">
        <f>$I$25*$AA$25</f>
        <v>0</v>
      </c>
      <c r="AB68" s="76">
        <f>$I$25*$AB$25</f>
        <v>0</v>
      </c>
      <c r="AC68" s="76">
        <f>$I$25*$AC$25</f>
        <v>0</v>
      </c>
      <c r="AD68" s="76">
        <f>$I$25*$AD$25</f>
        <v>0</v>
      </c>
      <c r="AE68" s="76">
        <f>$I$25*$AE$25</f>
        <v>0</v>
      </c>
      <c r="AF68" s="76">
        <f>$I$25*$AF$25</f>
        <v>0</v>
      </c>
      <c r="AG68" s="76">
        <f>$I$25*$AG$25</f>
        <v>0</v>
      </c>
      <c r="AH68" s="76">
        <f>$I$25*$AH$25</f>
        <v>0</v>
      </c>
    </row>
    <row r="69" spans="1:34" ht="11.25" customHeight="1" x14ac:dyDescent="0.25">
      <c r="A69" s="9" t="s">
        <v>42</v>
      </c>
      <c r="B69" s="9" t="s">
        <v>1071</v>
      </c>
      <c r="C69" s="9" t="s">
        <v>1072</v>
      </c>
      <c r="D69" s="9" t="s">
        <v>1085</v>
      </c>
      <c r="E69" s="9" t="s">
        <v>1086</v>
      </c>
      <c r="F69" s="9" t="s">
        <v>1087</v>
      </c>
      <c r="G69" s="9" t="s">
        <v>1089</v>
      </c>
      <c r="L69" s="76">
        <f>$I$26*$L$26</f>
        <v>0</v>
      </c>
      <c r="M69" s="76">
        <f>$I$26*$M$26</f>
        <v>0</v>
      </c>
      <c r="N69" s="76">
        <f>$I$26*$N$26</f>
        <v>0</v>
      </c>
      <c r="O69" s="76">
        <f>$I$26*$O$26</f>
        <v>0</v>
      </c>
      <c r="P69" s="76">
        <f>$I$26*$P$26</f>
        <v>0</v>
      </c>
      <c r="Q69" s="76">
        <f>$I$26*$Q$26</f>
        <v>0</v>
      </c>
      <c r="R69" s="76">
        <f>$I$26*$R$26</f>
        <v>0</v>
      </c>
      <c r="S69" s="76">
        <f>$I$26*$S$26</f>
        <v>0</v>
      </c>
      <c r="T69" s="76">
        <f>$I$26*$T$26</f>
        <v>0</v>
      </c>
      <c r="U69" s="76">
        <f>$I$26*$U$26</f>
        <v>0</v>
      </c>
      <c r="V69" s="76">
        <f>$I$26*$V$26</f>
        <v>0</v>
      </c>
      <c r="X69" s="76">
        <f>$I$26*$X$26</f>
        <v>0</v>
      </c>
      <c r="Y69" s="76">
        <f>$I$26*$Y$26</f>
        <v>0</v>
      </c>
      <c r="Z69" s="76">
        <f>$I$26*$Z$26</f>
        <v>0</v>
      </c>
      <c r="AA69" s="76">
        <f>$I$26*$AA$26</f>
        <v>0</v>
      </c>
      <c r="AB69" s="76">
        <f>$I$26*$AB$26</f>
        <v>0</v>
      </c>
      <c r="AC69" s="76">
        <f>$I$26*$AC$26</f>
        <v>0</v>
      </c>
      <c r="AD69" s="76">
        <f>$I$26*$AD$26</f>
        <v>0</v>
      </c>
      <c r="AE69" s="76">
        <f>$I$26*$AE$26</f>
        <v>0</v>
      </c>
      <c r="AF69" s="76">
        <f>$I$26*$AF$26</f>
        <v>0</v>
      </c>
      <c r="AG69" s="76">
        <f>$I$26*$AG$26</f>
        <v>0</v>
      </c>
      <c r="AH69" s="76">
        <f>$I$26*$AH$26</f>
        <v>0</v>
      </c>
    </row>
    <row r="70" spans="1:34" ht="11.25" customHeight="1" x14ac:dyDescent="0.25">
      <c r="A70" s="9" t="s">
        <v>42</v>
      </c>
      <c r="B70" s="9" t="s">
        <v>1071</v>
      </c>
      <c r="C70" s="9" t="s">
        <v>1072</v>
      </c>
      <c r="D70" s="9" t="s">
        <v>1085</v>
      </c>
      <c r="E70" s="9" t="s">
        <v>1086</v>
      </c>
      <c r="F70" s="9" t="s">
        <v>1087</v>
      </c>
      <c r="G70" s="9" t="s">
        <v>1090</v>
      </c>
      <c r="L70" s="76">
        <f>$I$27*$L$27</f>
        <v>0</v>
      </c>
      <c r="M70" s="76">
        <f>$I$27*$M$27</f>
        <v>0</v>
      </c>
      <c r="N70" s="76">
        <f>$I$27*$N$27</f>
        <v>0</v>
      </c>
      <c r="O70" s="76">
        <f>$I$27*$O$27</f>
        <v>0</v>
      </c>
      <c r="P70" s="76">
        <f>$I$27*$P$27</f>
        <v>0</v>
      </c>
      <c r="Q70" s="76">
        <f>$I$27*$Q$27</f>
        <v>0</v>
      </c>
      <c r="R70" s="76">
        <f>$I$27*$R$27</f>
        <v>0</v>
      </c>
      <c r="S70" s="76">
        <f>$I$27*$S$27</f>
        <v>0</v>
      </c>
      <c r="T70" s="76">
        <f>$I$27*$T$27</f>
        <v>0</v>
      </c>
      <c r="U70" s="76">
        <f>$I$27*$U$27</f>
        <v>0</v>
      </c>
      <c r="V70" s="76">
        <f>$I$27*$V$27</f>
        <v>0</v>
      </c>
      <c r="X70" s="76">
        <f>$I$27*$X$27</f>
        <v>0</v>
      </c>
      <c r="Y70" s="76">
        <f>$I$27*$Y$27</f>
        <v>0</v>
      </c>
      <c r="Z70" s="76">
        <f>$I$27*$Z$27</f>
        <v>0</v>
      </c>
      <c r="AA70" s="76">
        <f>$I$27*$AA$27</f>
        <v>0</v>
      </c>
      <c r="AB70" s="76">
        <f>$I$27*$AB$27</f>
        <v>0</v>
      </c>
      <c r="AC70" s="76">
        <f>$I$27*$AC$27</f>
        <v>0</v>
      </c>
      <c r="AD70" s="76">
        <f>$I$27*$AD$27</f>
        <v>0</v>
      </c>
      <c r="AE70" s="76">
        <f>$I$27*$AE$27</f>
        <v>0</v>
      </c>
      <c r="AF70" s="76">
        <f>$I$27*$AF$27</f>
        <v>0</v>
      </c>
      <c r="AG70" s="76">
        <f>$I$27*$AG$27</f>
        <v>0</v>
      </c>
      <c r="AH70" s="76">
        <f>$I$27*$AH$27</f>
        <v>0</v>
      </c>
    </row>
    <row r="71" spans="1:34" ht="11.25" customHeight="1" x14ac:dyDescent="0.25">
      <c r="A71" s="9" t="s">
        <v>42</v>
      </c>
      <c r="B71" s="9" t="s">
        <v>1079</v>
      </c>
      <c r="C71" s="9" t="s">
        <v>1080</v>
      </c>
      <c r="D71" s="9" t="s">
        <v>1091</v>
      </c>
      <c r="E71" s="9" t="s">
        <v>1092</v>
      </c>
      <c r="F71" s="9" t="s">
        <v>1093</v>
      </c>
      <c r="G71" s="9" t="s">
        <v>1094</v>
      </c>
      <c r="L71" s="76">
        <f>$I$28*$L$28</f>
        <v>0</v>
      </c>
      <c r="M71" s="76">
        <f>$I$28*$M$28</f>
        <v>0</v>
      </c>
      <c r="N71" s="76">
        <f>$I$28*$N$28</f>
        <v>0</v>
      </c>
      <c r="O71" s="76">
        <f>$I$28*$O$28</f>
        <v>0</v>
      </c>
      <c r="P71" s="76">
        <f>$I$28*$P$28</f>
        <v>0</v>
      </c>
      <c r="Q71" s="76">
        <f>$I$28*$Q$28</f>
        <v>0</v>
      </c>
      <c r="R71" s="76">
        <f>$I$28*$R$28</f>
        <v>0</v>
      </c>
      <c r="S71" s="76">
        <f>$I$28*$S$28</f>
        <v>0</v>
      </c>
      <c r="T71" s="76">
        <f>$I$28*$T$28</f>
        <v>0</v>
      </c>
      <c r="U71" s="76">
        <f>$I$28*$U$28</f>
        <v>0</v>
      </c>
      <c r="V71" s="76">
        <f>$I$28*$V$28</f>
        <v>0</v>
      </c>
      <c r="X71" s="76">
        <f>$I$28*$X$28</f>
        <v>0</v>
      </c>
      <c r="Y71" s="76">
        <f>$I$28*$Y$28</f>
        <v>0</v>
      </c>
      <c r="Z71" s="76">
        <f>$I$28*$Z$28</f>
        <v>0</v>
      </c>
      <c r="AA71" s="76">
        <f>$I$28*$AA$28</f>
        <v>0</v>
      </c>
      <c r="AB71" s="76">
        <f>$I$28*$AB$28</f>
        <v>0</v>
      </c>
      <c r="AC71" s="76">
        <f>$I$28*$AC$28</f>
        <v>0</v>
      </c>
      <c r="AD71" s="76">
        <f>$I$28*$AD$28</f>
        <v>0</v>
      </c>
      <c r="AE71" s="76">
        <f>$I$28*$AE$28</f>
        <v>0</v>
      </c>
      <c r="AF71" s="76">
        <f>$I$28*$AF$28</f>
        <v>0</v>
      </c>
      <c r="AG71" s="76">
        <f>$I$28*$AG$28</f>
        <v>0</v>
      </c>
      <c r="AH71" s="76">
        <f>$I$28*$AH$28</f>
        <v>0</v>
      </c>
    </row>
    <row r="72" spans="1:34" ht="11.25" customHeight="1" x14ac:dyDescent="0.25">
      <c r="A72" s="9" t="s">
        <v>42</v>
      </c>
      <c r="B72" s="9" t="s">
        <v>1071</v>
      </c>
      <c r="C72" s="9" t="s">
        <v>1072</v>
      </c>
      <c r="D72" s="9" t="s">
        <v>1095</v>
      </c>
      <c r="E72" s="9" t="s">
        <v>1096</v>
      </c>
      <c r="F72" s="9" t="s">
        <v>1097</v>
      </c>
      <c r="G72" s="9" t="s">
        <v>1098</v>
      </c>
      <c r="L72" s="76">
        <f>$I$29*$L$29</f>
        <v>0</v>
      </c>
      <c r="M72" s="76">
        <f>$I$29*$M$29</f>
        <v>0</v>
      </c>
      <c r="N72" s="76">
        <f>$I$29*$N$29</f>
        <v>0</v>
      </c>
      <c r="O72" s="76">
        <f>$I$29*$O$29</f>
        <v>0</v>
      </c>
      <c r="P72" s="76">
        <f>$I$29*$P$29</f>
        <v>0</v>
      </c>
      <c r="Q72" s="76">
        <f>$I$29*$Q$29</f>
        <v>0</v>
      </c>
      <c r="R72" s="76">
        <f>$I$29*$R$29</f>
        <v>0</v>
      </c>
      <c r="S72" s="76">
        <f>$I$29*$S$29</f>
        <v>0</v>
      </c>
      <c r="T72" s="76">
        <f>$I$29*$T$29</f>
        <v>0</v>
      </c>
      <c r="U72" s="76">
        <f>$I$29*$U$29</f>
        <v>0</v>
      </c>
      <c r="V72" s="76">
        <f>$I$29*$V$29</f>
        <v>0</v>
      </c>
      <c r="X72" s="76">
        <f>$I$29*$X$29</f>
        <v>0</v>
      </c>
      <c r="Y72" s="76">
        <f>$I$29*$Y$29</f>
        <v>0</v>
      </c>
      <c r="Z72" s="76">
        <f>$I$29*$Z$29</f>
        <v>0</v>
      </c>
      <c r="AA72" s="76">
        <f>$I$29*$AA$29</f>
        <v>0</v>
      </c>
      <c r="AB72" s="76">
        <f>$I$29*$AB$29</f>
        <v>0</v>
      </c>
      <c r="AC72" s="76">
        <f>$I$29*$AC$29</f>
        <v>0</v>
      </c>
      <c r="AD72" s="76">
        <f>$I$29*$AD$29</f>
        <v>0</v>
      </c>
      <c r="AE72" s="76">
        <f>$I$29*$AE$29</f>
        <v>0</v>
      </c>
      <c r="AF72" s="76">
        <f>$I$29*$AF$29</f>
        <v>0</v>
      </c>
      <c r="AG72" s="76">
        <f>$I$29*$AG$29</f>
        <v>0</v>
      </c>
      <c r="AH72" s="76">
        <f>$I$29*$AH$29</f>
        <v>0</v>
      </c>
    </row>
    <row r="73" spans="1:34" ht="11.25" customHeight="1" x14ac:dyDescent="0.25">
      <c r="A73" s="9" t="s">
        <v>42</v>
      </c>
      <c r="B73" s="9" t="s">
        <v>1071</v>
      </c>
      <c r="C73" s="9" t="s">
        <v>1072</v>
      </c>
      <c r="D73" s="9" t="s">
        <v>1095</v>
      </c>
      <c r="E73" s="9" t="s">
        <v>1096</v>
      </c>
      <c r="F73" s="9" t="s">
        <v>1097</v>
      </c>
      <c r="G73" s="9" t="s">
        <v>1099</v>
      </c>
      <c r="L73" s="76">
        <f>$I$30*$L$30</f>
        <v>0</v>
      </c>
      <c r="M73" s="76">
        <f>$I$30*$M$30</f>
        <v>0</v>
      </c>
      <c r="N73" s="76">
        <f>$I$30*$N$30</f>
        <v>0</v>
      </c>
      <c r="O73" s="76">
        <f>$I$30*$O$30</f>
        <v>0</v>
      </c>
      <c r="P73" s="76">
        <f>$I$30*$P$30</f>
        <v>0</v>
      </c>
      <c r="Q73" s="76">
        <f>$I$30*$Q$30</f>
        <v>0</v>
      </c>
      <c r="R73" s="76">
        <f>$I$30*$R$30</f>
        <v>0</v>
      </c>
      <c r="S73" s="76">
        <f>$I$30*$S$30</f>
        <v>0</v>
      </c>
      <c r="T73" s="76">
        <f>$I$30*$T$30</f>
        <v>0</v>
      </c>
      <c r="U73" s="76">
        <f>$I$30*$U$30</f>
        <v>0</v>
      </c>
      <c r="V73" s="76">
        <f>$I$30*$V$30</f>
        <v>0</v>
      </c>
      <c r="X73" s="76">
        <f>$I$30*$X$30</f>
        <v>0</v>
      </c>
      <c r="Y73" s="76">
        <f>$I$30*$Y$30</f>
        <v>0</v>
      </c>
      <c r="Z73" s="76">
        <f>$I$30*$Z$30</f>
        <v>0</v>
      </c>
      <c r="AA73" s="76">
        <f>$I$30*$AA$30</f>
        <v>0</v>
      </c>
      <c r="AB73" s="76">
        <f>$I$30*$AB$30</f>
        <v>0</v>
      </c>
      <c r="AC73" s="76">
        <f>$I$30*$AC$30</f>
        <v>0</v>
      </c>
      <c r="AD73" s="76">
        <f>$I$30*$AD$30</f>
        <v>0</v>
      </c>
      <c r="AE73" s="76">
        <f>$I$30*$AE$30</f>
        <v>0</v>
      </c>
      <c r="AF73" s="76">
        <f>$I$30*$AF$30</f>
        <v>0</v>
      </c>
      <c r="AG73" s="76">
        <f>$I$30*$AG$30</f>
        <v>0</v>
      </c>
      <c r="AH73" s="76">
        <f>$I$30*$AH$30</f>
        <v>0</v>
      </c>
    </row>
    <row r="74" spans="1:34" ht="11.25" customHeight="1" x14ac:dyDescent="0.25">
      <c r="A74" s="9" t="s">
        <v>42</v>
      </c>
      <c r="B74" s="9" t="s">
        <v>1071</v>
      </c>
      <c r="C74" s="9" t="s">
        <v>1072</v>
      </c>
      <c r="D74" s="9" t="s">
        <v>1095</v>
      </c>
      <c r="E74" s="9" t="s">
        <v>1096</v>
      </c>
      <c r="F74" s="9" t="s">
        <v>1097</v>
      </c>
      <c r="G74" s="9" t="s">
        <v>1100</v>
      </c>
      <c r="L74" s="76">
        <f>$I$31*$L$31</f>
        <v>0</v>
      </c>
      <c r="M74" s="76">
        <f>$I$31*$M$31</f>
        <v>0</v>
      </c>
      <c r="N74" s="76">
        <f>$I$31*$N$31</f>
        <v>0</v>
      </c>
      <c r="O74" s="76">
        <f>$I$31*$O$31</f>
        <v>0</v>
      </c>
      <c r="P74" s="76">
        <f>$I$31*$P$31</f>
        <v>0</v>
      </c>
      <c r="Q74" s="76">
        <f>$I$31*$Q$31</f>
        <v>0</v>
      </c>
      <c r="R74" s="76">
        <f>$I$31*$R$31</f>
        <v>0</v>
      </c>
      <c r="S74" s="76">
        <f>$I$31*$S$31</f>
        <v>0</v>
      </c>
      <c r="T74" s="76">
        <f>$I$31*$T$31</f>
        <v>0</v>
      </c>
      <c r="U74" s="76">
        <f>$I$31*$U$31</f>
        <v>0</v>
      </c>
      <c r="V74" s="76">
        <f>$I$31*$V$31</f>
        <v>0</v>
      </c>
      <c r="X74" s="76">
        <f>$I$31*$X$31</f>
        <v>0</v>
      </c>
      <c r="Y74" s="76">
        <f>$I$31*$Y$31</f>
        <v>0</v>
      </c>
      <c r="Z74" s="76">
        <f>$I$31*$Z$31</f>
        <v>0</v>
      </c>
      <c r="AA74" s="76">
        <f>$I$31*$AA$31</f>
        <v>0</v>
      </c>
      <c r="AB74" s="76">
        <f>$I$31*$AB$31</f>
        <v>0</v>
      </c>
      <c r="AC74" s="76">
        <f>$I$31*$AC$31</f>
        <v>0</v>
      </c>
      <c r="AD74" s="76">
        <f>$I$31*$AD$31</f>
        <v>0</v>
      </c>
      <c r="AE74" s="76">
        <f>$I$31*$AE$31</f>
        <v>0</v>
      </c>
      <c r="AF74" s="76">
        <f>$I$31*$AF$31</f>
        <v>0</v>
      </c>
      <c r="AG74" s="76">
        <f>$I$31*$AG$31</f>
        <v>0</v>
      </c>
      <c r="AH74" s="76">
        <f>$I$31*$AH$31</f>
        <v>0</v>
      </c>
    </row>
    <row r="75" spans="1:34" ht="11.25" customHeight="1" x14ac:dyDescent="0.25">
      <c r="A75" s="9" t="s">
        <v>42</v>
      </c>
      <c r="B75" s="9" t="s">
        <v>1079</v>
      </c>
      <c r="C75" s="9" t="s">
        <v>1080</v>
      </c>
      <c r="D75" s="9" t="s">
        <v>1101</v>
      </c>
      <c r="E75" s="9" t="s">
        <v>1102</v>
      </c>
      <c r="F75" s="9" t="s">
        <v>1103</v>
      </c>
      <c r="G75" s="9" t="s">
        <v>1104</v>
      </c>
      <c r="L75" s="76">
        <f>$I$32*$L$32</f>
        <v>0</v>
      </c>
      <c r="M75" s="76">
        <f>$I$32*$M$32</f>
        <v>0</v>
      </c>
      <c r="N75" s="76">
        <f>$I$32*$N$32</f>
        <v>0</v>
      </c>
      <c r="O75" s="76">
        <f>$I$32*$O$32</f>
        <v>0</v>
      </c>
      <c r="P75" s="76">
        <f>$I$32*$P$32</f>
        <v>0</v>
      </c>
      <c r="Q75" s="76">
        <f>$I$32*$Q$32</f>
        <v>0</v>
      </c>
      <c r="R75" s="76">
        <f>$I$32*$R$32</f>
        <v>0</v>
      </c>
      <c r="S75" s="76">
        <f>$I$32*$S$32</f>
        <v>0</v>
      </c>
      <c r="T75" s="76">
        <f>$I$32*$T$32</f>
        <v>0</v>
      </c>
      <c r="U75" s="76">
        <f>$I$32*$U$32</f>
        <v>0</v>
      </c>
      <c r="V75" s="76">
        <f>$I$32*$V$32</f>
        <v>0</v>
      </c>
      <c r="X75" s="76">
        <f>$I$32*$X$32</f>
        <v>0</v>
      </c>
      <c r="Y75" s="76">
        <f>$I$32*$Y$32</f>
        <v>0</v>
      </c>
      <c r="Z75" s="76">
        <f>$I$32*$Z$32</f>
        <v>0</v>
      </c>
      <c r="AA75" s="76">
        <f>$I$32*$AA$32</f>
        <v>0</v>
      </c>
      <c r="AB75" s="76">
        <f>$I$32*$AB$32</f>
        <v>0</v>
      </c>
      <c r="AC75" s="76">
        <f>$I$32*$AC$32</f>
        <v>0</v>
      </c>
      <c r="AD75" s="76">
        <f>$I$32*$AD$32</f>
        <v>0</v>
      </c>
      <c r="AE75" s="76">
        <f>$I$32*$AE$32</f>
        <v>0</v>
      </c>
      <c r="AF75" s="76">
        <f>$I$32*$AF$32</f>
        <v>0</v>
      </c>
      <c r="AG75" s="76">
        <f>$I$32*$AG$32</f>
        <v>0</v>
      </c>
      <c r="AH75" s="76">
        <f>$I$32*$AH$32</f>
        <v>0</v>
      </c>
    </row>
    <row r="76" spans="1:34" ht="11.25" customHeight="1" x14ac:dyDescent="0.25">
      <c r="A76" s="9" t="s">
        <v>42</v>
      </c>
      <c r="B76" s="9" t="s">
        <v>1105</v>
      </c>
      <c r="C76" s="9" t="s">
        <v>1106</v>
      </c>
      <c r="D76" s="9" t="s">
        <v>1107</v>
      </c>
      <c r="E76" s="9" t="s">
        <v>1108</v>
      </c>
      <c r="F76" s="9" t="s">
        <v>1109</v>
      </c>
      <c r="G76" s="9" t="s">
        <v>1110</v>
      </c>
      <c r="L76" s="76">
        <f>$I$33*$L$33</f>
        <v>0</v>
      </c>
      <c r="M76" s="76">
        <f>$I$33*$M$33</f>
        <v>0</v>
      </c>
      <c r="N76" s="76">
        <f>$I$33*$N$33</f>
        <v>0</v>
      </c>
      <c r="O76" s="76">
        <f>$I$33*$O$33</f>
        <v>0</v>
      </c>
      <c r="P76" s="76">
        <f>$I$33*$P$33</f>
        <v>0</v>
      </c>
      <c r="Q76" s="76">
        <f>$I$33*$Q$33</f>
        <v>0</v>
      </c>
      <c r="R76" s="76">
        <f>$I$33*$R$33</f>
        <v>0</v>
      </c>
      <c r="S76" s="76">
        <f>$I$33*$S$33</f>
        <v>0</v>
      </c>
      <c r="T76" s="76">
        <f>$I$33*$T$33</f>
        <v>0</v>
      </c>
      <c r="U76" s="76">
        <f>$I$33*$U$33</f>
        <v>0</v>
      </c>
      <c r="V76" s="76">
        <f>$I$33*$V$33</f>
        <v>0</v>
      </c>
      <c r="X76" s="76">
        <f>$I$33*$X$33</f>
        <v>0</v>
      </c>
      <c r="Y76" s="76">
        <f>$I$33*$Y$33</f>
        <v>0</v>
      </c>
      <c r="Z76" s="76">
        <f>$I$33*$Z$33</f>
        <v>0</v>
      </c>
      <c r="AA76" s="76">
        <f>$I$33*$AA$33</f>
        <v>0</v>
      </c>
      <c r="AB76" s="76">
        <f>$I$33*$AB$33</f>
        <v>0</v>
      </c>
      <c r="AC76" s="76">
        <f>$I$33*$AC$33</f>
        <v>0</v>
      </c>
      <c r="AD76" s="76">
        <f>$I$33*$AD$33</f>
        <v>0</v>
      </c>
      <c r="AE76" s="76">
        <f>$I$33*$AE$33</f>
        <v>0</v>
      </c>
      <c r="AF76" s="76">
        <f>$I$33*$AF$33</f>
        <v>0</v>
      </c>
      <c r="AG76" s="76">
        <f>$I$33*$AG$33</f>
        <v>0</v>
      </c>
      <c r="AH76" s="76">
        <f>$I$33*$AH$33</f>
        <v>0</v>
      </c>
    </row>
    <row r="77" spans="1:34" ht="11.25" customHeight="1" x14ac:dyDescent="0.25">
      <c r="A77" s="9" t="s">
        <v>42</v>
      </c>
      <c r="B77" s="9" t="s">
        <v>1105</v>
      </c>
      <c r="C77" s="9" t="s">
        <v>1106</v>
      </c>
      <c r="D77" s="9" t="s">
        <v>1111</v>
      </c>
      <c r="E77" s="9" t="s">
        <v>1112</v>
      </c>
      <c r="F77" s="9" t="s">
        <v>1113</v>
      </c>
      <c r="G77" s="9" t="s">
        <v>1114</v>
      </c>
      <c r="L77" s="76">
        <f>$I$34*$L$34</f>
        <v>0</v>
      </c>
      <c r="M77" s="76">
        <f>$I$34*$M$34</f>
        <v>0</v>
      </c>
      <c r="N77" s="76">
        <f>$I$34*$N$34</f>
        <v>0</v>
      </c>
      <c r="O77" s="76">
        <f>$I$34*$O$34</f>
        <v>0</v>
      </c>
      <c r="P77" s="76">
        <f>$I$34*$P$34</f>
        <v>0</v>
      </c>
      <c r="Q77" s="76">
        <f>$I$34*$Q$34</f>
        <v>0</v>
      </c>
      <c r="R77" s="76">
        <f>$I$34*$R$34</f>
        <v>0</v>
      </c>
      <c r="S77" s="76">
        <f>$I$34*$S$34</f>
        <v>0</v>
      </c>
      <c r="T77" s="76">
        <f>$I$34*$T$34</f>
        <v>0</v>
      </c>
      <c r="U77" s="76">
        <f>$I$34*$U$34</f>
        <v>0</v>
      </c>
      <c r="V77" s="76">
        <f>$I$34*$V$34</f>
        <v>0</v>
      </c>
      <c r="X77" s="76">
        <f>$I$34*$X$34</f>
        <v>0</v>
      </c>
      <c r="Y77" s="76">
        <f>$I$34*$Y$34</f>
        <v>0</v>
      </c>
      <c r="Z77" s="76">
        <f>$I$34*$Z$34</f>
        <v>0</v>
      </c>
      <c r="AA77" s="76">
        <f>$I$34*$AA$34</f>
        <v>0</v>
      </c>
      <c r="AB77" s="76">
        <f>$I$34*$AB$34</f>
        <v>0</v>
      </c>
      <c r="AC77" s="76">
        <f>$I$34*$AC$34</f>
        <v>0</v>
      </c>
      <c r="AD77" s="76">
        <f>$I$34*$AD$34</f>
        <v>0</v>
      </c>
      <c r="AE77" s="76">
        <f>$I$34*$AE$34</f>
        <v>0</v>
      </c>
      <c r="AF77" s="76">
        <f>$I$34*$AF$34</f>
        <v>0</v>
      </c>
      <c r="AG77" s="76">
        <f>$I$34*$AG$34</f>
        <v>0</v>
      </c>
      <c r="AH77" s="76">
        <f>$I$34*$AH$34</f>
        <v>0</v>
      </c>
    </row>
    <row r="78" spans="1:34" ht="11.25" customHeight="1" x14ac:dyDescent="0.25">
      <c r="A78" s="9" t="s">
        <v>42</v>
      </c>
      <c r="B78" s="9" t="s">
        <v>1105</v>
      </c>
      <c r="C78" s="9" t="s">
        <v>1106</v>
      </c>
      <c r="D78" s="9" t="s">
        <v>1115</v>
      </c>
      <c r="E78" s="9" t="s">
        <v>1116</v>
      </c>
      <c r="F78" s="9" t="s">
        <v>1117</v>
      </c>
      <c r="G78" s="9" t="s">
        <v>1118</v>
      </c>
      <c r="L78" s="76">
        <f>$I$35*$L$35</f>
        <v>0</v>
      </c>
      <c r="M78" s="76">
        <f>$I$35*$M$35</f>
        <v>0</v>
      </c>
      <c r="N78" s="76">
        <f>$I$35*$N$35</f>
        <v>0</v>
      </c>
      <c r="O78" s="76">
        <f>$I$35*$O$35</f>
        <v>0</v>
      </c>
      <c r="P78" s="76">
        <f>$I$35*$P$35</f>
        <v>0</v>
      </c>
      <c r="Q78" s="76">
        <f>$I$35*$Q$35</f>
        <v>0</v>
      </c>
      <c r="R78" s="76">
        <f>$I$35*$R$35</f>
        <v>0</v>
      </c>
      <c r="S78" s="76">
        <f>$I$35*$S$35</f>
        <v>0</v>
      </c>
      <c r="T78" s="76">
        <f>$I$35*$T$35</f>
        <v>0</v>
      </c>
      <c r="U78" s="76">
        <f>$I$35*$U$35</f>
        <v>0</v>
      </c>
      <c r="V78" s="76">
        <f>$I$35*$V$35</f>
        <v>0</v>
      </c>
      <c r="X78" s="76">
        <f>$I$35*$X$35</f>
        <v>0</v>
      </c>
      <c r="Y78" s="76">
        <f>$I$35*$Y$35</f>
        <v>0</v>
      </c>
      <c r="Z78" s="76">
        <f>$I$35*$Z$35</f>
        <v>0</v>
      </c>
      <c r="AA78" s="76">
        <f>$I$35*$AA$35</f>
        <v>0</v>
      </c>
      <c r="AB78" s="76">
        <f>$I$35*$AB$35</f>
        <v>0</v>
      </c>
      <c r="AC78" s="76">
        <f>$I$35*$AC$35</f>
        <v>0</v>
      </c>
      <c r="AD78" s="76">
        <f>$I$35*$AD$35</f>
        <v>0</v>
      </c>
      <c r="AE78" s="76">
        <f>$I$35*$AE$35</f>
        <v>0</v>
      </c>
      <c r="AF78" s="76">
        <f>$I$35*$AF$35</f>
        <v>0</v>
      </c>
      <c r="AG78" s="76">
        <f>$I$35*$AG$35</f>
        <v>0</v>
      </c>
      <c r="AH78" s="76">
        <f>$I$35*$AH$35</f>
        <v>0</v>
      </c>
    </row>
    <row r="79" spans="1:34" ht="11.25" customHeight="1" x14ac:dyDescent="0.25">
      <c r="A79" s="9" t="s">
        <v>36</v>
      </c>
      <c r="B79" s="9" t="s">
        <v>1119</v>
      </c>
      <c r="C79" s="9" t="s">
        <v>1120</v>
      </c>
      <c r="D79" s="9" t="s">
        <v>1121</v>
      </c>
      <c r="E79" s="9" t="s">
        <v>1122</v>
      </c>
      <c r="F79" s="9" t="s">
        <v>1123</v>
      </c>
      <c r="G79" s="9" t="s">
        <v>1124</v>
      </c>
      <c r="L79" s="76">
        <f>$I$36*$L$36</f>
        <v>54.287481577093679</v>
      </c>
      <c r="M79" s="76">
        <f>$I$36*$M$36</f>
        <v>507.45100635755233</v>
      </c>
      <c r="N79" s="76">
        <f>$I$36*$N$36</f>
        <v>0</v>
      </c>
      <c r="O79" s="76">
        <f>$I$36*$O$36</f>
        <v>199.55600679611806</v>
      </c>
      <c r="P79" s="76">
        <f>$I$36*$P$36</f>
        <v>-389.81457367472046</v>
      </c>
      <c r="Q79" s="76">
        <f>$I$36*$Q$36</f>
        <v>7919.3846875543759</v>
      </c>
      <c r="R79" s="76">
        <f>$I$36*$R$36</f>
        <v>181.89728659688575</v>
      </c>
      <c r="S79" s="76">
        <f>$I$36*$S$36</f>
        <v>115.38032022647309</v>
      </c>
      <c r="T79" s="76">
        <f>$I$36*$T$36</f>
        <v>0</v>
      </c>
      <c r="U79" s="76">
        <f>$I$36*$U$36</f>
        <v>-1492.5014850207156</v>
      </c>
      <c r="V79" s="76">
        <f>$I$36*$V$36</f>
        <v>142.25534368104584</v>
      </c>
      <c r="X79" s="76">
        <f>$I$36*$X$36</f>
        <v>49.551184616701065</v>
      </c>
      <c r="Y79" s="76">
        <f>$I$36*$Y$36</f>
        <v>451.35135608974059</v>
      </c>
      <c r="Z79" s="76">
        <f>$I$36*$Z$36</f>
        <v>0</v>
      </c>
      <c r="AA79" s="76">
        <f>$I$36*$AA$36</f>
        <v>0</v>
      </c>
      <c r="AB79" s="76">
        <f>$I$36*$AB$36</f>
        <v>0</v>
      </c>
      <c r="AC79" s="76">
        <f>$I$36*$AC$36</f>
        <v>6988.777040130276</v>
      </c>
      <c r="AD79" s="76">
        <f>$I$36*$AD$36</f>
        <v>109.50975542545831</v>
      </c>
      <c r="AE79" s="76">
        <f>$I$36*$AE$36</f>
        <v>99.12195967226549</v>
      </c>
      <c r="AF79" s="76">
        <f>$I$36*$AF$36</f>
        <v>0</v>
      </c>
      <c r="AG79" s="76">
        <f>$I$36*$AG$36</f>
        <v>0</v>
      </c>
      <c r="AH79" s="76">
        <f>$I$36*$AH$36</f>
        <v>108.44354773389938</v>
      </c>
    </row>
    <row r="80" spans="1:34" ht="11.25" customHeight="1" x14ac:dyDescent="0.25">
      <c r="A80" s="9" t="s">
        <v>36</v>
      </c>
      <c r="B80" s="9" t="s">
        <v>1119</v>
      </c>
      <c r="C80" s="9" t="s">
        <v>1120</v>
      </c>
      <c r="D80" s="9" t="s">
        <v>1121</v>
      </c>
      <c r="E80" s="9" t="s">
        <v>1122</v>
      </c>
      <c r="F80" s="9" t="s">
        <v>1123</v>
      </c>
      <c r="G80" s="9" t="s">
        <v>1125</v>
      </c>
      <c r="L80" s="76">
        <f>$I$37*$L$37</f>
        <v>44.253101434082616</v>
      </c>
      <c r="M80" s="76">
        <f>$I$37*$M$37</f>
        <v>413.65486489326071</v>
      </c>
      <c r="N80" s="76">
        <f>$I$37*$N$37</f>
        <v>0</v>
      </c>
      <c r="O80" s="76">
        <f>$I$37*$O$37</f>
        <v>162.67050807999308</v>
      </c>
      <c r="P80" s="76">
        <f>$I$37*$P$37</f>
        <v>-317.76209483605584</v>
      </c>
      <c r="Q80" s="76">
        <f>$I$37*$Q$37</f>
        <v>3753.2458305475502</v>
      </c>
      <c r="R80" s="76">
        <f>$I$37*$R$37</f>
        <v>148.27578735486662</v>
      </c>
      <c r="S80" s="76">
        <f>$I$37*$S$37</f>
        <v>94.053672525370416</v>
      </c>
      <c r="T80" s="76">
        <f>$I$37*$T$37</f>
        <v>0</v>
      </c>
      <c r="U80" s="76">
        <f>$I$37*$U$37</f>
        <v>-752.94481563609179</v>
      </c>
      <c r="V80" s="76">
        <f>$I$37*$V$37</f>
        <v>115.96117503660086</v>
      </c>
      <c r="X80" s="76">
        <f>$I$37*$X$37</f>
        <v>40.392251313184218</v>
      </c>
      <c r="Y80" s="76">
        <f>$I$37*$Y$37</f>
        <v>367.92455209191047</v>
      </c>
      <c r="Z80" s="76">
        <f>$I$37*$Z$37</f>
        <v>0</v>
      </c>
      <c r="AA80" s="76">
        <f>$I$37*$AA$37</f>
        <v>0</v>
      </c>
      <c r="AB80" s="76">
        <f>$I$37*$AB$37</f>
        <v>0</v>
      </c>
      <c r="AC80" s="76">
        <f>$I$37*$AC$37</f>
        <v>3312.2015562292204</v>
      </c>
      <c r="AD80" s="76">
        <f>$I$37*$AD$37</f>
        <v>89.268210167059806</v>
      </c>
      <c r="AE80" s="76">
        <f>$I$37*$AE$37</f>
        <v>80.800472011076906</v>
      </c>
      <c r="AF80" s="76">
        <f>$I$37*$AF$37</f>
        <v>0</v>
      </c>
      <c r="AG80" s="76">
        <f>$I$37*$AG$37</f>
        <v>0</v>
      </c>
      <c r="AH80" s="76">
        <f>$I$37*$AH$37</f>
        <v>88.399077988633891</v>
      </c>
    </row>
    <row r="81" spans="1:34" ht="11.25" customHeight="1" x14ac:dyDescent="0.25">
      <c r="A81" s="9" t="s">
        <v>36</v>
      </c>
      <c r="B81" s="9" t="s">
        <v>1119</v>
      </c>
      <c r="C81" s="9" t="s">
        <v>1120</v>
      </c>
      <c r="D81" s="9" t="s">
        <v>1121</v>
      </c>
      <c r="E81" s="9" t="s">
        <v>1122</v>
      </c>
      <c r="F81" s="9" t="s">
        <v>1123</v>
      </c>
      <c r="G81" s="9" t="s">
        <v>1126</v>
      </c>
      <c r="L81" s="76">
        <f>$I$38*$L$38</f>
        <v>573.76023477877243</v>
      </c>
      <c r="M81" s="76">
        <f>$I$38*$M$38</f>
        <v>5363.2108192929136</v>
      </c>
      <c r="N81" s="76">
        <f>$I$38*$N$38</f>
        <v>0</v>
      </c>
      <c r="O81" s="76">
        <f>$I$38*$O$38</f>
        <v>2109.0921513509029</v>
      </c>
      <c r="P81" s="76">
        <f>$I$38*$P$38</f>
        <v>-4119.9203723269957</v>
      </c>
      <c r="Q81" s="76">
        <f>$I$38*$Q$38</f>
        <v>48662.424533681798</v>
      </c>
      <c r="R81" s="76">
        <f>$I$38*$R$38</f>
        <v>1922.4584900893112</v>
      </c>
      <c r="S81" s="76">
        <f>$I$38*$S$38</f>
        <v>1219.445767215773</v>
      </c>
      <c r="T81" s="76">
        <f>$I$38*$T$38</f>
        <v>0</v>
      </c>
      <c r="U81" s="76">
        <f>$I$38*$U$38</f>
        <v>-9762.2489767937604</v>
      </c>
      <c r="V81" s="76">
        <f>$I$38*$V$38</f>
        <v>1503.4858316840975</v>
      </c>
      <c r="X81" s="76">
        <f>$I$38*$X$38</f>
        <v>523.70267496882377</v>
      </c>
      <c r="Y81" s="76">
        <f>$I$38*$Y$38</f>
        <v>4770.2979124203257</v>
      </c>
      <c r="Z81" s="76">
        <f>$I$38*$Z$38</f>
        <v>0</v>
      </c>
      <c r="AA81" s="76">
        <f>$I$38*$AA$38</f>
        <v>0</v>
      </c>
      <c r="AB81" s="76">
        <f>$I$38*$AB$38</f>
        <v>0</v>
      </c>
      <c r="AC81" s="76">
        <f>$I$38*$AC$38</f>
        <v>42944.098401045529</v>
      </c>
      <c r="AD81" s="76">
        <f>$I$38*$AD$38</f>
        <v>1157.4002174746063</v>
      </c>
      <c r="AE81" s="76">
        <f>$I$38*$AE$38</f>
        <v>1047.6123997855152</v>
      </c>
      <c r="AF81" s="76">
        <f>$I$38*$AF$38</f>
        <v>0</v>
      </c>
      <c r="AG81" s="76">
        <f>$I$38*$AG$38</f>
        <v>0</v>
      </c>
      <c r="AH81" s="76">
        <f>$I$38*$AH$38</f>
        <v>1146.1315500459461</v>
      </c>
    </row>
    <row r="82" spans="1:34" ht="11.25" customHeight="1" x14ac:dyDescent="0.25">
      <c r="A82" s="9" t="s">
        <v>36</v>
      </c>
      <c r="B82" s="9" t="s">
        <v>1127</v>
      </c>
      <c r="C82" s="9" t="s">
        <v>1128</v>
      </c>
      <c r="D82" s="9" t="s">
        <v>1129</v>
      </c>
      <c r="E82" s="9" t="s">
        <v>1130</v>
      </c>
      <c r="F82" s="9" t="s">
        <v>1131</v>
      </c>
      <c r="G82" s="9" t="s">
        <v>1132</v>
      </c>
      <c r="L82" s="76">
        <f>$I$39*$L$39</f>
        <v>69279.47398540705</v>
      </c>
      <c r="M82" s="76">
        <f>$I$39*$M$39</f>
        <v>647588.31635782763</v>
      </c>
      <c r="N82" s="76">
        <f>$I$39*$N$39</f>
        <v>0</v>
      </c>
      <c r="O82" s="76">
        <f>$I$39*$O$39</f>
        <v>254665.2520955553</v>
      </c>
      <c r="P82" s="76">
        <f>$I$39*$P$39</f>
        <v>-497465.48986028932</v>
      </c>
      <c r="Q82" s="76">
        <f>$I$39*$Q$39</f>
        <v>6228360.5387863982</v>
      </c>
      <c r="R82" s="76">
        <f>$I$39*$R$39</f>
        <v>232129.91225075212</v>
      </c>
      <c r="S82" s="76">
        <f>$I$39*$S$39</f>
        <v>147243.66762540498</v>
      </c>
      <c r="T82" s="76">
        <f>$I$39*$T$39</f>
        <v>0</v>
      </c>
      <c r="U82" s="76">
        <f>$I$39*$U$39</f>
        <v>-1239249.0502338379</v>
      </c>
      <c r="V82" s="76">
        <f>$I$39*$V$39</f>
        <v>181540.47849577497</v>
      </c>
      <c r="X82" s="76">
        <f>$I$39*$X$39</f>
        <v>63235.204615705174</v>
      </c>
      <c r="Y82" s="76">
        <f>$I$39*$Y$39</f>
        <v>575996.22646137513</v>
      </c>
      <c r="Z82" s="76">
        <f>$I$39*$Z$39</f>
        <v>0</v>
      </c>
      <c r="AA82" s="76">
        <f>$I$39*$AA$39</f>
        <v>0</v>
      </c>
      <c r="AB82" s="76">
        <f>$I$39*$AB$39</f>
        <v>0</v>
      </c>
      <c r="AC82" s="76">
        <f>$I$39*$AC$39</f>
        <v>5496465.2998269862</v>
      </c>
      <c r="AD82" s="76">
        <f>$I$39*$AD$39</f>
        <v>139751.89181270715</v>
      </c>
      <c r="AE82" s="76">
        <f>$I$39*$AE$39</f>
        <v>126495.40975197547</v>
      </c>
      <c r="AF82" s="76">
        <f>$I$39*$AF$39</f>
        <v>0</v>
      </c>
      <c r="AG82" s="76">
        <f>$I$39*$AG$39</f>
        <v>0</v>
      </c>
      <c r="AH82" s="76">
        <f>$I$39*$AH$39</f>
        <v>138391.24096126729</v>
      </c>
    </row>
    <row r="83" spans="1:34" ht="11.25" customHeight="1" x14ac:dyDescent="0.25">
      <c r="A83" s="9" t="s">
        <v>36</v>
      </c>
      <c r="B83" s="9" t="s">
        <v>1133</v>
      </c>
      <c r="C83" s="9" t="s">
        <v>1134</v>
      </c>
      <c r="D83" s="9" t="s">
        <v>1135</v>
      </c>
      <c r="E83" s="9" t="s">
        <v>1136</v>
      </c>
      <c r="F83" s="9" t="s">
        <v>1137</v>
      </c>
      <c r="G83" s="9" t="s">
        <v>1138</v>
      </c>
      <c r="L83" s="76">
        <f>$I$40*$L$40</f>
        <v>0</v>
      </c>
      <c r="M83" s="76">
        <f>$I$40*$M$40</f>
        <v>0</v>
      </c>
      <c r="N83" s="76">
        <f>$I$40*$N$40</f>
        <v>0</v>
      </c>
      <c r="O83" s="76">
        <f>$I$40*$O$40</f>
        <v>0</v>
      </c>
      <c r="P83" s="76">
        <f>$I$40*$P$40</f>
        <v>0</v>
      </c>
      <c r="Q83" s="76">
        <f>$I$40*$Q$40</f>
        <v>0</v>
      </c>
      <c r="R83" s="76">
        <f>$I$40*$R$40</f>
        <v>0</v>
      </c>
      <c r="S83" s="76">
        <f>$I$40*$S$40</f>
        <v>0</v>
      </c>
      <c r="T83" s="76">
        <f>$I$40*$T$40</f>
        <v>0</v>
      </c>
      <c r="U83" s="76">
        <f>$I$40*$U$40</f>
        <v>0</v>
      </c>
      <c r="V83" s="76">
        <f>$I$40*$V$40</f>
        <v>0</v>
      </c>
      <c r="X83" s="76">
        <f>$I$40*$X$40</f>
        <v>0</v>
      </c>
      <c r="Y83" s="76">
        <f>$I$40*$Y$40</f>
        <v>0</v>
      </c>
      <c r="Z83" s="76">
        <f>$I$40*$Z$40</f>
        <v>0</v>
      </c>
      <c r="AA83" s="76">
        <f>$I$40*$AA$40</f>
        <v>0</v>
      </c>
      <c r="AB83" s="76">
        <f>$I$40*$AB$40</f>
        <v>0</v>
      </c>
      <c r="AC83" s="76">
        <f>$I$40*$AC$40</f>
        <v>0</v>
      </c>
      <c r="AD83" s="76">
        <f>$I$40*$AD$40</f>
        <v>0</v>
      </c>
      <c r="AE83" s="76">
        <f>$I$40*$AE$40</f>
        <v>0</v>
      </c>
      <c r="AF83" s="76">
        <f>$I$40*$AF$40</f>
        <v>0</v>
      </c>
      <c r="AG83" s="76">
        <f>$I$40*$AG$40</f>
        <v>0</v>
      </c>
      <c r="AH83" s="76">
        <f>$I$40*$AH$40</f>
        <v>0</v>
      </c>
    </row>
    <row r="84" spans="1:34" ht="11.25" customHeight="1" x14ac:dyDescent="0.25">
      <c r="A84" s="9" t="s">
        <v>45</v>
      </c>
      <c r="B84" s="9" t="s">
        <v>1139</v>
      </c>
      <c r="C84" s="9" t="s">
        <v>1140</v>
      </c>
      <c r="D84" s="9" t="s">
        <v>1141</v>
      </c>
      <c r="E84" s="9" t="s">
        <v>1142</v>
      </c>
      <c r="F84" s="9" t="s">
        <v>1143</v>
      </c>
      <c r="G84" s="9" t="s">
        <v>1144</v>
      </c>
      <c r="L84" s="76">
        <f>$I$41*$L$41</f>
        <v>7984.8171612074502</v>
      </c>
      <c r="M84" s="76">
        <f>$I$41*$M$41</f>
        <v>74637.897841727347</v>
      </c>
      <c r="N84" s="76">
        <f>$I$41*$N$41</f>
        <v>0</v>
      </c>
      <c r="O84" s="76">
        <f>$I$41*$O$41</f>
        <v>29351.485487954709</v>
      </c>
      <c r="P84" s="76">
        <f>$I$41*$P$41</f>
        <v>-57335.466799034904</v>
      </c>
      <c r="Q84" s="76">
        <f>$I$41*$Q$41</f>
        <v>717850.71761319158</v>
      </c>
      <c r="R84" s="76">
        <f>$I$41*$R$41</f>
        <v>26754.171190153764</v>
      </c>
      <c r="S84" s="76">
        <f>$I$41*$S$41</f>
        <v>16970.59311365601</v>
      </c>
      <c r="T84" s="76">
        <f>$I$41*$T$41</f>
        <v>0</v>
      </c>
      <c r="U84" s="76">
        <f>$I$41*$U$41</f>
        <v>-142829.85297205762</v>
      </c>
      <c r="V84" s="76">
        <f>$I$41*$V$41</f>
        <v>20923.477687665629</v>
      </c>
      <c r="X84" s="76">
        <f>$I$41*$X$41</f>
        <v>7288.1839015449832</v>
      </c>
      <c r="Y84" s="76">
        <f>$I$41*$Y$41</f>
        <v>66386.539753582721</v>
      </c>
      <c r="Z84" s="76">
        <f>$I$41*$Z$41</f>
        <v>0</v>
      </c>
      <c r="AA84" s="76">
        <f>$I$41*$AA$41</f>
        <v>0</v>
      </c>
      <c r="AB84" s="76">
        <f>$I$41*$AB$41</f>
        <v>0</v>
      </c>
      <c r="AC84" s="76">
        <f>$I$41*$AC$41</f>
        <v>633496.01155003277</v>
      </c>
      <c r="AD84" s="76">
        <f>$I$41*$AD$41</f>
        <v>16107.127260988747</v>
      </c>
      <c r="AE84" s="76">
        <f>$I$41*$AE$41</f>
        <v>14579.249242196842</v>
      </c>
      <c r="AF84" s="76">
        <f>$I$41*$AF$41</f>
        <v>0</v>
      </c>
      <c r="AG84" s="76">
        <f>$I$41*$AG$41</f>
        <v>0</v>
      </c>
      <c r="AH84" s="76">
        <f>$I$41*$AH$41</f>
        <v>15950.305223464657</v>
      </c>
    </row>
    <row r="85" spans="1:34" ht="11.25" customHeight="1" x14ac:dyDescent="0.25">
      <c r="A85" s="9" t="s">
        <v>45</v>
      </c>
      <c r="B85" s="9" t="s">
        <v>1139</v>
      </c>
      <c r="C85" s="9" t="s">
        <v>1140</v>
      </c>
      <c r="D85" s="9" t="s">
        <v>1145</v>
      </c>
      <c r="E85" s="9" t="s">
        <v>1146</v>
      </c>
      <c r="F85" s="9" t="s">
        <v>1147</v>
      </c>
      <c r="G85" s="9" t="s">
        <v>1148</v>
      </c>
      <c r="L85" s="76">
        <f>$I$42*$L$42</f>
        <v>0</v>
      </c>
      <c r="M85" s="76">
        <f>$I$42*$M$42</f>
        <v>0</v>
      </c>
      <c r="N85" s="76">
        <f>$I$42*$N$42</f>
        <v>0</v>
      </c>
      <c r="O85" s="76">
        <f>$I$42*$O$42</f>
        <v>0</v>
      </c>
      <c r="P85" s="76">
        <f>$I$42*$P$42</f>
        <v>0</v>
      </c>
      <c r="Q85" s="76">
        <f>$I$42*$Q$42</f>
        <v>0</v>
      </c>
      <c r="R85" s="76">
        <f>$I$42*$R$42</f>
        <v>0</v>
      </c>
      <c r="S85" s="76">
        <f>$I$42*$S$42</f>
        <v>0</v>
      </c>
      <c r="T85" s="76">
        <f>$I$42*$T$42</f>
        <v>0</v>
      </c>
      <c r="U85" s="76">
        <f>$I$42*$U$42</f>
        <v>0</v>
      </c>
      <c r="V85" s="76">
        <f>$I$42*$V$42</f>
        <v>0</v>
      </c>
      <c r="X85" s="76">
        <f>$I$42*$X$42</f>
        <v>0</v>
      </c>
      <c r="Y85" s="76">
        <f>$I$42*$Y$42</f>
        <v>0</v>
      </c>
      <c r="Z85" s="76">
        <f>$I$42*$Z$42</f>
        <v>0</v>
      </c>
      <c r="AA85" s="76">
        <f>$I$42*$AA$42</f>
        <v>0</v>
      </c>
      <c r="AB85" s="76">
        <f>$I$42*$AB$42</f>
        <v>0</v>
      </c>
      <c r="AC85" s="76">
        <f>$I$42*$AC$42</f>
        <v>0</v>
      </c>
      <c r="AD85" s="76">
        <f>$I$42*$AD$42</f>
        <v>0</v>
      </c>
      <c r="AE85" s="76">
        <f>$I$42*$AE$42</f>
        <v>0</v>
      </c>
      <c r="AF85" s="76">
        <f>$I$42*$AF$42</f>
        <v>0</v>
      </c>
      <c r="AG85" s="76">
        <f>$I$42*$AG$42</f>
        <v>0</v>
      </c>
      <c r="AH85" s="76">
        <f>$I$42*$AH$42</f>
        <v>0</v>
      </c>
    </row>
  </sheetData>
  <mergeCells count="69">
    <mergeCell ref="F1:F4"/>
    <mergeCell ref="A1:A4"/>
    <mergeCell ref="B1:B4"/>
    <mergeCell ref="C1:C4"/>
    <mergeCell ref="D1:D4"/>
    <mergeCell ref="E1:E4"/>
    <mergeCell ref="H1:H4"/>
    <mergeCell ref="I1:I4"/>
    <mergeCell ref="J1:J4"/>
    <mergeCell ref="L1:V1"/>
    <mergeCell ref="L2:V2"/>
    <mergeCell ref="L3:P3"/>
    <mergeCell ref="R3:T3"/>
    <mergeCell ref="A5:A7"/>
    <mergeCell ref="B5:B6"/>
    <mergeCell ref="C5:C6"/>
    <mergeCell ref="D5:D6"/>
    <mergeCell ref="E5:E6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L44:V44"/>
    <mergeCell ref="X44:AH44"/>
    <mergeCell ref="L45:V45"/>
    <mergeCell ref="X45:AH45"/>
    <mergeCell ref="L46:P46"/>
    <mergeCell ref="R46:T46"/>
    <mergeCell ref="X46:AB46"/>
    <mergeCell ref="AD46:AF46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2D3D9-C7FB-4728-BEAF-9B1D03383BB2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7" width="10.85546875" style="14" bestFit="1" customWidth="1"/>
    <col min="8" max="8" width="10" style="14" bestFit="1" customWidth="1"/>
    <col min="9" max="9" width="8" style="14" bestFit="1" customWidth="1"/>
    <col min="10" max="12" width="10" style="14" bestFit="1" customWidth="1"/>
    <col min="13" max="13" width="9.7109375" style="14" bestFit="1" customWidth="1"/>
    <col min="14" max="14" width="6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11.4257812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7.85546875" style="14" bestFit="1" customWidth="1"/>
    <col min="24" max="24" width="10.855468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71</v>
      </c>
      <c r="B1" s="14" t="s">
        <v>72</v>
      </c>
      <c r="C1" s="14" t="s">
        <v>73</v>
      </c>
      <c r="D1" s="14" t="s">
        <v>74</v>
      </c>
      <c r="E1" s="14" t="s">
        <v>75</v>
      </c>
      <c r="F1" s="14" t="s">
        <v>15</v>
      </c>
      <c r="G1" s="14" t="s">
        <v>77</v>
      </c>
      <c r="I1" s="14" t="s">
        <v>1156</v>
      </c>
      <c r="AA1" s="14" t="s">
        <v>62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62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38</v>
      </c>
      <c r="AB2" s="14" t="s">
        <v>59</v>
      </c>
      <c r="AC2" s="14" t="s">
        <v>24</v>
      </c>
      <c r="AD2" s="14" t="s">
        <v>24</v>
      </c>
      <c r="AE2" s="14" t="s">
        <v>89</v>
      </c>
      <c r="AG2" s="14" t="s">
        <v>9</v>
      </c>
    </row>
    <row r="3" spans="1:33" x14ac:dyDescent="0.2">
      <c r="AA3" s="14" t="s">
        <v>90</v>
      </c>
      <c r="AB3" s="14" t="s">
        <v>39</v>
      </c>
      <c r="AC3" s="14" t="s">
        <v>43</v>
      </c>
      <c r="AD3" s="14" t="s">
        <v>28</v>
      </c>
      <c r="AE3" s="14" t="s">
        <v>91</v>
      </c>
      <c r="AG3" s="14" t="s">
        <v>87</v>
      </c>
    </row>
    <row r="4" spans="1:33" x14ac:dyDescent="0.2">
      <c r="AA4" s="14" t="s">
        <v>22</v>
      </c>
      <c r="AB4" s="14" t="s">
        <v>40</v>
      </c>
      <c r="AC4" s="14" t="s">
        <v>46</v>
      </c>
      <c r="AD4" s="14" t="s">
        <v>29</v>
      </c>
      <c r="AE4" s="14" t="s">
        <v>92</v>
      </c>
      <c r="AG4" s="14" t="s">
        <v>88</v>
      </c>
    </row>
    <row r="5" spans="1:33" x14ac:dyDescent="0.2">
      <c r="A5" s="14" t="s">
        <v>1149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600</v>
      </c>
      <c r="AA5" s="14" t="s">
        <v>42</v>
      </c>
      <c r="AB5" s="14" t="s">
        <v>32</v>
      </c>
      <c r="AD5" s="14" t="s">
        <v>30</v>
      </c>
      <c r="AG5" s="14" t="s">
        <v>86</v>
      </c>
    </row>
    <row r="6" spans="1:33" x14ac:dyDescent="0.2">
      <c r="A6" s="14" t="s">
        <v>1150</v>
      </c>
      <c r="B6" s="17">
        <f>SUM(TUSD!$AI$58:'TUSD'!$AI$105)</f>
        <v>1179725.5956102356</v>
      </c>
      <c r="C6" s="17">
        <f>SUM(TUSD!$AJ$58:'TUSD'!$AJ$105)</f>
        <v>134387.00840417604</v>
      </c>
      <c r="D6" s="17">
        <f>SUM(TUSD!$AK$58:'TUSD'!$AK$105)</f>
        <v>458636.8471988372</v>
      </c>
      <c r="E6" s="17">
        <f>SUM(TUSD!$AL$58:'TUSD'!$AL$105)</f>
        <v>0</v>
      </c>
      <c r="F6" s="17">
        <f>SUM(TUSD!$AM$58:'TUSD'!$AM$105)</f>
        <v>0</v>
      </c>
      <c r="G6" s="17">
        <f>SUM(TUSD!$AN$58:'TUSD'!$AN$105)</f>
        <v>10992526.979801463</v>
      </c>
      <c r="H6" s="17">
        <f>SUM(TUSD!$AO$58:'TUSD'!$AO$105)</f>
        <v>1885076.570012053</v>
      </c>
      <c r="I6" s="17">
        <f>SUM(TUSD!$AP$58:'TUSD'!$AP$105)</f>
        <v>0</v>
      </c>
      <c r="J6" s="17">
        <f>SUM(TUSD!$AQ$58:'TUSD'!$AQ$105)</f>
        <v>4803024.5699301073</v>
      </c>
      <c r="K6" s="17">
        <f>SUM(TUSD!$AR$58:'TUSD'!$AR$105)</f>
        <v>2182725.4398956047</v>
      </c>
      <c r="L6" s="17">
        <f>SUM(TUSD!$AS$58:'TUSD'!$AS$105)</f>
        <v>2059751.1289192697</v>
      </c>
      <c r="M6" s="17">
        <f>SUM(TUSD!$AT$58:'TUSD'!$AT$105)</f>
        <v>0</v>
      </c>
      <c r="N6" s="17">
        <f>SUM(TUSD!$AU$58:'TUSD'!$AU$105)</f>
        <v>0</v>
      </c>
      <c r="O6" s="17">
        <f>SUM(TUSD!$AV$58:'TUSD'!$AV$105)</f>
        <v>0</v>
      </c>
      <c r="P6" s="17">
        <f>SUM(TUSD!$AW$58:'TUSD'!$AW$105)</f>
        <v>0</v>
      </c>
      <c r="Q6" s="17">
        <f>SUM(TUSD!$AX$58:'TUSD'!$AX$105)</f>
        <v>31884024.183867738</v>
      </c>
      <c r="R6" s="17">
        <f>SUM(TUSD!$AY$58:'TUSD'!$AY$105)</f>
        <v>0</v>
      </c>
      <c r="S6" s="17">
        <f>SUM(TUSD!$AZ$58:'TUSD'!$AZ$105)</f>
        <v>0</v>
      </c>
      <c r="T6" s="17">
        <f>SUM(TUSD!$BA$58:'TUSD'!$BA$105)</f>
        <v>2869873.620923609</v>
      </c>
      <c r="U6" s="17">
        <f>SUM(TUSD!$BB$58:'TUSD'!$BB$105)</f>
        <v>82626.119469633501</v>
      </c>
      <c r="V6" s="17">
        <f>SUM(TUSD!$BC$58:'TUSD'!$BC$105)</f>
        <v>407499.897567206</v>
      </c>
      <c r="W6" s="17">
        <f>SUM(TUSD!$BD$58:'TUSD'!$BD$105)</f>
        <v>57084.451591929137</v>
      </c>
      <c r="X6" s="17">
        <f t="shared" ref="X6:X11" si="0">SUM(B6:W6)</f>
        <v>58996962.413191862</v>
      </c>
      <c r="AA6" s="14" t="s">
        <v>36</v>
      </c>
      <c r="AB6" s="14" t="s">
        <v>23</v>
      </c>
      <c r="AD6" s="14" t="s">
        <v>31</v>
      </c>
      <c r="AG6" s="14" t="s">
        <v>83</v>
      </c>
    </row>
    <row r="7" spans="1:33" x14ac:dyDescent="0.2">
      <c r="A7" s="14" t="s">
        <v>1151</v>
      </c>
      <c r="B7" s="17">
        <f>SUM(TUSD!$L$58:'TUSD'!$L$105)</f>
        <v>1132537.7233320225</v>
      </c>
      <c r="C7" s="17">
        <f>SUM(TUSD!$M$58:'TUSD'!$M$105)</f>
        <v>125563.75120968846</v>
      </c>
      <c r="D7" s="17">
        <f ca="1">SUM(TUSD!$N$58:'TUSD'!$N$105)</f>
        <v>335563.04493465502</v>
      </c>
      <c r="E7" s="17">
        <f>SUM(TUSD!$O$58:'TUSD'!$O$105)</f>
        <v>0</v>
      </c>
      <c r="F7" s="17">
        <f>SUM(TUSD!$P$58:'TUSD'!$P$105)</f>
        <v>0</v>
      </c>
      <c r="G7" s="17">
        <f>SUM(TUSD!$Q$58:'TUSD'!$Q$105)</f>
        <v>19149997.293879788</v>
      </c>
      <c r="H7" s="17">
        <f>SUM(TUSD!$R$58:'TUSD'!$R$105)</f>
        <v>3107751.3101554718</v>
      </c>
      <c r="I7" s="17">
        <f>SUM(TUSD!$S$58:'TUSD'!$S$105)</f>
        <v>0</v>
      </c>
      <c r="J7" s="17">
        <f>SUM(TUSD!$T$58:'TUSD'!$T$105)</f>
        <v>7525943.9736985276</v>
      </c>
      <c r="K7" s="17">
        <f>SUM(TUSD!$U$58:'TUSD'!$U$105)</f>
        <v>2438469.1570189903</v>
      </c>
      <c r="L7" s="17">
        <f>SUM(TUSD!$V$58:'TUSD'!$V$105)</f>
        <v>4016028.830107132</v>
      </c>
      <c r="M7" s="17">
        <f>SUM(TUSD!$W$58:'TUSD'!$W$105)</f>
        <v>0</v>
      </c>
      <c r="N7" s="17">
        <f>SUM(TUSD!$X$58:'TUSD'!$X$105)</f>
        <v>0</v>
      </c>
      <c r="O7" s="17">
        <f>SUM(TUSD!$Y$58:'TUSD'!$Y$105)</f>
        <v>0</v>
      </c>
      <c r="P7" s="17">
        <f>SUM(TUSD!$Z$58:'TUSD'!$Z$105)</f>
        <v>0</v>
      </c>
      <c r="Q7" s="17">
        <f>SUM(TUSD!$AA$58:'TUSD'!$AA$105)</f>
        <v>29788747.898833837</v>
      </c>
      <c r="R7" s="17">
        <f ca="1">SUM(TUSD!$AB$58:'TUSD'!$AB$105)</f>
        <v>-12539177.649351079</v>
      </c>
      <c r="S7" s="17">
        <f ca="1">SUM(TUSD!$AC$58:'TUSD'!$AC$105)</f>
        <v>0</v>
      </c>
      <c r="T7" s="17">
        <f>SUM(TUSD!$AD$58:'TUSD'!$AD$105)</f>
        <v>2615328.3394374195</v>
      </c>
      <c r="U7" s="17">
        <f>SUM(TUSD!$AE$58:'TUSD'!$AE$105)</f>
        <v>89695.509027470282</v>
      </c>
      <c r="V7" s="17">
        <f ca="1">SUM(TUSD!$AF$58:'TUSD'!$AF$105)</f>
        <v>454861.14239735046</v>
      </c>
      <c r="W7" s="17">
        <f ca="1">SUM(TUSD!$AG$58:'TUSD'!$AG$105)</f>
        <v>54927.892805854208</v>
      </c>
      <c r="X7" s="17">
        <f t="shared" ca="1" si="0"/>
        <v>58296238.217487127</v>
      </c>
      <c r="AA7" s="14" t="s">
        <v>45</v>
      </c>
      <c r="AB7" s="14" t="s">
        <v>95</v>
      </c>
      <c r="AD7" s="14" t="s">
        <v>96</v>
      </c>
      <c r="AG7" s="14" t="s">
        <v>84</v>
      </c>
    </row>
    <row r="8" spans="1:33" x14ac:dyDescent="0.2">
      <c r="A8" s="14" t="s">
        <v>1154</v>
      </c>
      <c r="B8" s="17">
        <f>IF($G$2&lt;&gt;"Não se aplica",SUMIF(TUSD!$G$58:'TUSD'!$G$105,$I$2,TUSD!$AI$58:'TUSD'!$AI$105),IF($F$2&lt;&gt;"Não se aplica",SUMIF(TUSD!$F$58:'TUSD'!$F$105,$I$2,TUSD!$AI$58:'TUSD'!$AI$105),IF($E$2&lt;&gt;"Não se aplica",SUMIF(TUSD!$E$58:'TUSD'!$E$105,$I$2,TUSD!$AI$58:'TUSD'!$AI$105),IF($D$2&lt;&gt;"Não se aplica",SUMIF(TUSD!$D$58:'TUSD'!$D$105,$I$2,TUSD!$AI$58:'TUSD'!$AI$105),IF($C$2&lt;&gt;"Não se aplica",SUMIF(TUSD!$C$58:'TUSD'!$C$105,$I$2,TUSD!$AI$58:'TUSD'!$AI$105),IF($B$2&lt;&gt;"Não se aplica",SUMIF(TUSD!$B$58:'TUSD'!$B$105,$I$2,TUSD!$AI$58:'TUSD'!$AI$105),SUMIF(TUSD!$A$58:'TUSD'!$A$105,$I$2,TUSD!$AI$58:'TUSD'!$AI$105)))))))</f>
        <v>0</v>
      </c>
      <c r="C8" s="17">
        <f>IF($G$2&lt;&gt;"Não se aplica",SUMIF(TUSD!$G$58:'TUSD'!$G$105,$I$2,TUSD!$AJ$58:'TUSD'!$AJ$105),IF($F$2&lt;&gt;"Não se aplica",SUMIF(TUSD!$F$58:'TUSD'!$F$105,$I$2,TUSD!$AJ$58:'TUSD'!$AJ$105),IF($E$2&lt;&gt;"Não se aplica",SUMIF(TUSD!$E$58:'TUSD'!$E$105,$I$2,TUSD!$AJ$58:'TUSD'!$AJ$105),IF($D$2&lt;&gt;"Não se aplica",SUMIF(TUSD!$D$58:'TUSD'!$D$105,$I$2,TUSD!$AJ$58:'TUSD'!$AJ$105),IF($C$2&lt;&gt;"Não se aplica",SUMIF(TUSD!$C$58:'TUSD'!$C$105,$I$2,TUSD!$AJ$58:'TUSD'!$AJ$105),IF($B$2&lt;&gt;"Não se aplica",SUMIF(TUSD!$B$58:'TUSD'!$B$105,$I$2,TUSD!$AJ$58:'TUSD'!$AJ$105),SUMIF(TUSD!$A$58:'TUSD'!$A$105,$I$2,TUSD!$AJ$58:'TUSD'!$AJ$105)))))))</f>
        <v>1316.7978401273779</v>
      </c>
      <c r="D8" s="17">
        <f>IF($G$2&lt;&gt;"Não se aplica",SUMIF(TUSD!$G$58:'TUSD'!$G$105,$I$2,TUSD!$AK$58:'TUSD'!$AK$105),IF($F$2&lt;&gt;"Não se aplica",SUMIF(TUSD!$F$58:'TUSD'!$F$105,$I$2,TUSD!$AK$58:'TUSD'!$AK$105),IF($E$2&lt;&gt;"Não se aplica",SUMIF(TUSD!$E$58:'TUSD'!$E$105,$I$2,TUSD!$AK$58:'TUSD'!$AK$105),IF($D$2&lt;&gt;"Não se aplica",SUMIF(TUSD!$D$58:'TUSD'!$D$105,$I$2,TUSD!$AK$58:'TUSD'!$AK$105),IF($C$2&lt;&gt;"Não se aplica",SUMIF(TUSD!$C$58:'TUSD'!$C$105,$I$2,TUSD!$AK$58:'TUSD'!$AK$105),IF($B$2&lt;&gt;"Não se aplica",SUMIF(TUSD!$B$58:'TUSD'!$B$105,$I$2,TUSD!$AK$58:'TUSD'!$AK$105),SUMIF(TUSD!$A$58:'TUSD'!$A$105,$I$2,TUSD!$AK$58:'TUSD'!$AK$105)))))))</f>
        <v>3631.847536482373</v>
      </c>
      <c r="E8" s="17">
        <f>IF($G$2&lt;&gt;"Não se aplica",SUMIF(TUSD!$G$58:'TUSD'!$G$105,$I$2,TUSD!$AL$58:'TUSD'!$AL$105),IF($F$2&lt;&gt;"Não se aplica",SUMIF(TUSD!$F$58:'TUSD'!$F$105,$I$2,TUSD!$AL$58:'TUSD'!$AL$105),IF($E$2&lt;&gt;"Não se aplica",SUMIF(TUSD!$E$58:'TUSD'!$E$105,$I$2,TUSD!$AL$58:'TUSD'!$AL$105),IF($D$2&lt;&gt;"Não se aplica",SUMIF(TUSD!$D$58:'TUSD'!$D$105,$I$2,TUSD!$AL$58:'TUSD'!$AL$105),IF($C$2&lt;&gt;"Não se aplica",SUMIF(TUSD!$C$58:'TUSD'!$C$105,$I$2,TUSD!$AL$58:'TUSD'!$AL$105),IF($B$2&lt;&gt;"Não se aplica",SUMIF(TUSD!$B$58:'TUSD'!$B$105,$I$2,TUSD!$AL$58:'TUSD'!$AL$105),SUMIF(TUSD!$A$58:'TUSD'!$A$105,$I$2,TUSD!$AL$58:'TUSD'!$AL$105)))))))</f>
        <v>0</v>
      </c>
      <c r="F8" s="17">
        <f>IF($G$2&lt;&gt;"Não se aplica",SUMIF(TUSD!$G$58:'TUSD'!$G$105,$I$2,TUSD!$AM$58:'TUSD'!$AM$105),IF($F$2&lt;&gt;"Não se aplica",SUMIF(TUSD!$F$58:'TUSD'!$F$105,$I$2,TUSD!$AM$58:'TUSD'!$AM$105),IF($E$2&lt;&gt;"Não se aplica",SUMIF(TUSD!$E$58:'TUSD'!$E$105,$I$2,TUSD!$AM$58:'TUSD'!$AM$105),IF($D$2&lt;&gt;"Não se aplica",SUMIF(TUSD!$D$58:'TUSD'!$D$105,$I$2,TUSD!$AM$58:'TUSD'!$AM$105),IF($C$2&lt;&gt;"Não se aplica",SUMIF(TUSD!$C$58:'TUSD'!$C$105,$I$2,TUSD!$AM$58:'TUSD'!$AM$105),IF($B$2&lt;&gt;"Não se aplica",SUMIF(TUSD!$B$58:'TUSD'!$B$105,$I$2,TUSD!$AM$58:'TUSD'!$AM$105),SUMIF(TUSD!$A$58:'TUSD'!$A$105,$I$2,TUSD!$AM$58:'TUSD'!$AM$105)))))))</f>
        <v>0</v>
      </c>
      <c r="G8" s="17">
        <f>IF($G$2&lt;&gt;"Não se aplica",SUMIF(TUSD!$G$58:'TUSD'!$G$105,$I$2,TUSD!$AN$58:'TUSD'!$AN$105),IF($F$2&lt;&gt;"Não se aplica",SUMIF(TUSD!$F$58:'TUSD'!$F$105,$I$2,TUSD!$AN$58:'TUSD'!$AN$105),IF($E$2&lt;&gt;"Não se aplica",SUMIF(TUSD!$E$58:'TUSD'!$E$105,$I$2,TUSD!$AN$58:'TUSD'!$AN$105),IF($D$2&lt;&gt;"Não se aplica",SUMIF(TUSD!$D$58:'TUSD'!$D$105,$I$2,TUSD!$AN$58:'TUSD'!$AN$105),IF($C$2&lt;&gt;"Não se aplica",SUMIF(TUSD!$C$58:'TUSD'!$C$105,$I$2,TUSD!$AN$58:'TUSD'!$AN$105),IF($B$2&lt;&gt;"Não se aplica",SUMIF(TUSD!$B$58:'TUSD'!$B$105,$I$2,TUSD!$AN$58:'TUSD'!$AN$105),SUMIF(TUSD!$A$58:'TUSD'!$A$105,$I$2,TUSD!$AN$58:'TUSD'!$AN$105)))))))</f>
        <v>0</v>
      </c>
      <c r="H8" s="17">
        <f>IF($G$2&lt;&gt;"Não se aplica",SUMIF(TUSD!$G$58:'TUSD'!$G$105,$I$2,TUSD!$AO$58:'TUSD'!$AO$105),IF($F$2&lt;&gt;"Não se aplica",SUMIF(TUSD!$F$58:'TUSD'!$F$105,$I$2,TUSD!$AO$58:'TUSD'!$AO$105),IF($E$2&lt;&gt;"Não se aplica",SUMIF(TUSD!$E$58:'TUSD'!$E$105,$I$2,TUSD!$AO$58:'TUSD'!$AO$105),IF($D$2&lt;&gt;"Não se aplica",SUMIF(TUSD!$D$58:'TUSD'!$D$105,$I$2,TUSD!$AO$58:'TUSD'!$AO$105),IF($C$2&lt;&gt;"Não se aplica",SUMIF(TUSD!$C$58:'TUSD'!$C$105,$I$2,TUSD!$AO$58:'TUSD'!$AO$105),IF($B$2&lt;&gt;"Não se aplica",SUMIF(TUSD!$B$58:'TUSD'!$B$105,$I$2,TUSD!$AO$58:'TUSD'!$AO$105),SUMIF(TUSD!$A$58:'TUSD'!$A$105,$I$2,TUSD!$AO$58:'TUSD'!$AO$105)))))))</f>
        <v>0</v>
      </c>
      <c r="I8" s="17">
        <f>IF($G$2&lt;&gt;"Não se aplica",SUMIF(TUSD!$G$58:'TUSD'!$G$105,$I$2,TUSD!$AP$58:'TUSD'!$AP$105),IF($F$2&lt;&gt;"Não se aplica",SUMIF(TUSD!$F$58:'TUSD'!$F$105,$I$2,TUSD!$AP$58:'TUSD'!$AP$105),IF($E$2&lt;&gt;"Não se aplica",SUMIF(TUSD!$E$58:'TUSD'!$E$105,$I$2,TUSD!$AP$58:'TUSD'!$AP$105),IF($D$2&lt;&gt;"Não se aplica",SUMIF(TUSD!$D$58:'TUSD'!$D$105,$I$2,TUSD!$AP$58:'TUSD'!$AP$105),IF($C$2&lt;&gt;"Não se aplica",SUMIF(TUSD!$C$58:'TUSD'!$C$105,$I$2,TUSD!$AP$58:'TUSD'!$AP$105),IF($B$2&lt;&gt;"Não se aplica",SUMIF(TUSD!$B$58:'TUSD'!$B$105,$I$2,TUSD!$AP$58:'TUSD'!$AP$105),SUMIF(TUSD!$A$58:'TUSD'!$A$105,$I$2,TUSD!$AP$58:'TUSD'!$AP$105)))))))</f>
        <v>0</v>
      </c>
      <c r="J8" s="17">
        <f>IF($G$2&lt;&gt;"Não se aplica",SUMIF(TUSD!$G$58:'TUSD'!$G$105,$I$2,TUSD!$AQ$58:'TUSD'!$AQ$105),IF($F$2&lt;&gt;"Não se aplica",SUMIF(TUSD!$F$58:'TUSD'!$F$105,$I$2,TUSD!$AQ$58:'TUSD'!$AQ$105),IF($E$2&lt;&gt;"Não se aplica",SUMIF(TUSD!$E$58:'TUSD'!$E$105,$I$2,TUSD!$AQ$58:'TUSD'!$AQ$105),IF($D$2&lt;&gt;"Não se aplica",SUMIF(TUSD!$D$58:'TUSD'!$D$105,$I$2,TUSD!$AQ$58:'TUSD'!$AQ$105),IF($C$2&lt;&gt;"Não se aplica",SUMIF(TUSD!$C$58:'TUSD'!$C$105,$I$2,TUSD!$AQ$58:'TUSD'!$AQ$105),IF($B$2&lt;&gt;"Não se aplica",SUMIF(TUSD!$B$58:'TUSD'!$B$105,$I$2,TUSD!$AQ$58:'TUSD'!$AQ$105),SUMIF(TUSD!$A$58:'TUSD'!$A$105,$I$2,TUSD!$AQ$58:'TUSD'!$AQ$105)))))))</f>
        <v>0</v>
      </c>
      <c r="K8" s="17">
        <f>IF($G$2&lt;&gt;"Não se aplica",SUMIF(TUSD!$G$58:'TUSD'!$G$105,$I$2,TUSD!$AR$58:'TUSD'!$AR$105),IF($F$2&lt;&gt;"Não se aplica",SUMIF(TUSD!$F$58:'TUSD'!$F$105,$I$2,TUSD!$AR$58:'TUSD'!$AR$105),IF($E$2&lt;&gt;"Não se aplica",SUMIF(TUSD!$E$58:'TUSD'!$E$105,$I$2,TUSD!$AR$58:'TUSD'!$AR$105),IF($D$2&lt;&gt;"Não se aplica",SUMIF(TUSD!$D$58:'TUSD'!$D$105,$I$2,TUSD!$AR$58:'TUSD'!$AR$105),IF($C$2&lt;&gt;"Não se aplica",SUMIF(TUSD!$C$58:'TUSD'!$C$105,$I$2,TUSD!$AR$58:'TUSD'!$AR$105),IF($B$2&lt;&gt;"Não se aplica",SUMIF(TUSD!$B$58:'TUSD'!$B$105,$I$2,TUSD!$AR$58:'TUSD'!$AR$105),SUMIF(TUSD!$A$58:'TUSD'!$A$105,$I$2,TUSD!$AR$58:'TUSD'!$AR$105)))))))</f>
        <v>0</v>
      </c>
      <c r="L8" s="17">
        <f>IF($G$2&lt;&gt;"Não se aplica",SUMIF(TUSD!$G$58:'TUSD'!$G$105,$I$2,TUSD!$AS$58:'TUSD'!$AS$105),IF($F$2&lt;&gt;"Não se aplica",SUMIF(TUSD!$F$58:'TUSD'!$F$105,$I$2,TUSD!$AS$58:'TUSD'!$AS$105),IF($E$2&lt;&gt;"Não se aplica",SUMIF(TUSD!$E$58:'TUSD'!$E$105,$I$2,TUSD!$AS$58:'TUSD'!$AS$105),IF($D$2&lt;&gt;"Não se aplica",SUMIF(TUSD!$D$58:'TUSD'!$D$105,$I$2,TUSD!$AS$58:'TUSD'!$AS$105),IF($C$2&lt;&gt;"Não se aplica",SUMIF(TUSD!$C$58:'TUSD'!$C$105,$I$2,TUSD!$AS$58:'TUSD'!$AS$105),IF($B$2&lt;&gt;"Não se aplica",SUMIF(TUSD!$B$58:'TUSD'!$B$105,$I$2,TUSD!$AS$58:'TUSD'!$AS$105),SUMIF(TUSD!$A$58:'TUSD'!$A$105,$I$2,TUSD!$AS$58:'TUSD'!$AS$105)))))))</f>
        <v>0</v>
      </c>
      <c r="M8" s="17">
        <f>IF($G$2&lt;&gt;"Não se aplica",SUMIF(TUSD!$G$58:'TUSD'!$G$105,$I$2,TUSD!$AT$58:'TUSD'!$AT$105),IF($F$2&lt;&gt;"Não se aplica",SUMIF(TUSD!$F$58:'TUSD'!$F$105,$I$2,TUSD!$AT$58:'TUSD'!$AT$105),IF($E$2&lt;&gt;"Não se aplica",SUMIF(TUSD!$E$58:'TUSD'!$E$105,$I$2,TUSD!$AT$58:'TUSD'!$AT$105),IF($D$2&lt;&gt;"Não se aplica",SUMIF(TUSD!$D$58:'TUSD'!$D$105,$I$2,TUSD!$AT$58:'TUSD'!$AT$105),IF($C$2&lt;&gt;"Não se aplica",SUMIF(TUSD!$C$58:'TUSD'!$C$105,$I$2,TUSD!$AT$58:'TUSD'!$AT$105),IF($B$2&lt;&gt;"Não se aplica",SUMIF(TUSD!$B$58:'TUSD'!$B$105,$I$2,TUSD!$AT$58:'TUSD'!$AT$105),SUMIF(TUSD!$A$58:'TUSD'!$A$105,$I$2,TUSD!$AT$58:'TUSD'!$AT$105)))))))</f>
        <v>0</v>
      </c>
      <c r="N8" s="17">
        <f>IF($G$2&lt;&gt;"Não se aplica",SUMIF(TUSD!$G$58:'TUSD'!$G$105,$I$2,TUSD!$AU$58:'TUSD'!$AU$105),IF($F$2&lt;&gt;"Não se aplica",SUMIF(TUSD!$F$58:'TUSD'!$F$105,$I$2,TUSD!$AU$58:'TUSD'!$AU$105),IF($E$2&lt;&gt;"Não se aplica",SUMIF(TUSD!$E$58:'TUSD'!$E$105,$I$2,TUSD!$AU$58:'TUSD'!$AU$105),IF($D$2&lt;&gt;"Não se aplica",SUMIF(TUSD!$D$58:'TUSD'!$D$105,$I$2,TUSD!$AU$58:'TUSD'!$AU$105),IF($C$2&lt;&gt;"Não se aplica",SUMIF(TUSD!$C$58:'TUSD'!$C$105,$I$2,TUSD!$AU$58:'TUSD'!$AU$105),IF($B$2&lt;&gt;"Não se aplica",SUMIF(TUSD!$B$58:'TUSD'!$B$105,$I$2,TUSD!$AU$58:'TUSD'!$AU$105),SUMIF(TUSD!$A$58:'TUSD'!$A$105,$I$2,TUSD!$AU$58:'TUSD'!$AU$105)))))))</f>
        <v>0</v>
      </c>
      <c r="O8" s="17">
        <f>IF($G$2&lt;&gt;"Não se aplica",SUMIF(TUSD!$G$58:'TUSD'!$G$105,$I$2,TUSD!$AV$58:'TUSD'!$AV$105),IF($F$2&lt;&gt;"Não se aplica",SUMIF(TUSD!$F$58:'TUSD'!$F$105,$I$2,TUSD!$AV$58:'TUSD'!$AV$105),IF($E$2&lt;&gt;"Não se aplica",SUMIF(TUSD!$E$58:'TUSD'!$E$105,$I$2,TUSD!$AV$58:'TUSD'!$AV$105),IF($D$2&lt;&gt;"Não se aplica",SUMIF(TUSD!$D$58:'TUSD'!$D$105,$I$2,TUSD!$AV$58:'TUSD'!$AV$105),IF($C$2&lt;&gt;"Não se aplica",SUMIF(TUSD!$C$58:'TUSD'!$C$105,$I$2,TUSD!$AV$58:'TUSD'!$AV$105),IF($B$2&lt;&gt;"Não se aplica",SUMIF(TUSD!$B$58:'TUSD'!$B$105,$I$2,TUSD!$AV$58:'TUSD'!$AV$105),SUMIF(TUSD!$A$58:'TUSD'!$A$105,$I$2,TUSD!$AV$58:'TUSD'!$AV$105)))))))</f>
        <v>0</v>
      </c>
      <c r="P8" s="17">
        <f>IF($G$2&lt;&gt;"Não se aplica",SUMIF(TUSD!$G$58:'TUSD'!$G$105,$I$2,TUSD!$AW$58:'TUSD'!$AW$105),IF($F$2&lt;&gt;"Não se aplica",SUMIF(TUSD!$F$58:'TUSD'!$F$105,$I$2,TUSD!$AW$58:'TUSD'!$AW$105),IF($E$2&lt;&gt;"Não se aplica",SUMIF(TUSD!$E$58:'TUSD'!$E$105,$I$2,TUSD!$AW$58:'TUSD'!$AW$105),IF($D$2&lt;&gt;"Não se aplica",SUMIF(TUSD!$D$58:'TUSD'!$D$105,$I$2,TUSD!$AW$58:'TUSD'!$AW$105),IF($C$2&lt;&gt;"Não se aplica",SUMIF(TUSD!$C$58:'TUSD'!$C$105,$I$2,TUSD!$AW$58:'TUSD'!$AW$105),IF($B$2&lt;&gt;"Não se aplica",SUMIF(TUSD!$B$58:'TUSD'!$B$105,$I$2,TUSD!$AW$58:'TUSD'!$AW$105),SUMIF(TUSD!$A$58:'TUSD'!$A$105,$I$2,TUSD!$AW$58:'TUSD'!$AW$105)))))))</f>
        <v>0</v>
      </c>
      <c r="Q8" s="17">
        <f>IF($G$2&lt;&gt;"Não se aplica",SUMIF(TUSD!$G$58:'TUSD'!$G$105,$I$2,TUSD!$AX$58:'TUSD'!$AX$105),IF($F$2&lt;&gt;"Não se aplica",SUMIF(TUSD!$F$58:'TUSD'!$F$105,$I$2,TUSD!$AX$58:'TUSD'!$AX$105),IF($E$2&lt;&gt;"Não se aplica",SUMIF(TUSD!$E$58:'TUSD'!$E$105,$I$2,TUSD!$AX$58:'TUSD'!$AX$105),IF($D$2&lt;&gt;"Não se aplica",SUMIF(TUSD!$D$58:'TUSD'!$D$105,$I$2,TUSD!$AX$58:'TUSD'!$AX$105),IF($C$2&lt;&gt;"Não se aplica",SUMIF(TUSD!$C$58:'TUSD'!$C$105,$I$2,TUSD!$AX$58:'TUSD'!$AX$105),IF($B$2&lt;&gt;"Não se aplica",SUMIF(TUSD!$B$58:'TUSD'!$B$105,$I$2,TUSD!$AX$58:'TUSD'!$AX$105),SUMIF(TUSD!$A$58:'TUSD'!$A$105,$I$2,TUSD!$AX$58:'TUSD'!$AX$105)))))))</f>
        <v>358567.66364798386</v>
      </c>
      <c r="R8" s="17">
        <f>IF($G$2&lt;&gt;"Não se aplica",SUMIF(TUSD!$G$58:'TUSD'!$G$105,$I$2,TUSD!$AY$58:'TUSD'!$AY$105),IF($F$2&lt;&gt;"Não se aplica",SUMIF(TUSD!$F$58:'TUSD'!$F$105,$I$2,TUSD!$AY$58:'TUSD'!$AY$105),IF($E$2&lt;&gt;"Não se aplica",SUMIF(TUSD!$E$58:'TUSD'!$E$105,$I$2,TUSD!$AY$58:'TUSD'!$AY$105),IF($D$2&lt;&gt;"Não se aplica",SUMIF(TUSD!$D$58:'TUSD'!$D$105,$I$2,TUSD!$AY$58:'TUSD'!$AY$105),IF($C$2&lt;&gt;"Não se aplica",SUMIF(TUSD!$C$58:'TUSD'!$C$105,$I$2,TUSD!$AY$58:'TUSD'!$AY$105),IF($B$2&lt;&gt;"Não se aplica",SUMIF(TUSD!$B$58:'TUSD'!$B$105,$I$2,TUSD!$AY$58:'TUSD'!$AY$105),SUMIF(TUSD!$A$58:'TUSD'!$A$105,$I$2,TUSD!$AY$58:'TUSD'!$AY$105)))))))</f>
        <v>0</v>
      </c>
      <c r="S8" s="17">
        <f>IF($G$2&lt;&gt;"Não se aplica",SUMIF(TUSD!$G$58:'TUSD'!$G$105,$I$2,TUSD!$AZ$58:'TUSD'!$AZ$105),IF($F$2&lt;&gt;"Não se aplica",SUMIF(TUSD!$F$58:'TUSD'!$F$105,$I$2,TUSD!$AZ$58:'TUSD'!$AZ$105),IF($E$2&lt;&gt;"Não se aplica",SUMIF(TUSD!$E$58:'TUSD'!$E$105,$I$2,TUSD!$AZ$58:'TUSD'!$AZ$105),IF($D$2&lt;&gt;"Não se aplica",SUMIF(TUSD!$D$58:'TUSD'!$D$105,$I$2,TUSD!$AZ$58:'TUSD'!$AZ$105),IF($C$2&lt;&gt;"Não se aplica",SUMIF(TUSD!$C$58:'TUSD'!$C$105,$I$2,TUSD!$AZ$58:'TUSD'!$AZ$105),IF($B$2&lt;&gt;"Não se aplica",SUMIF(TUSD!$B$58:'TUSD'!$B$105,$I$2,TUSD!$AZ$58:'TUSD'!$AZ$105),SUMIF(TUSD!$A$58:'TUSD'!$A$105,$I$2,TUSD!$AZ$58:'TUSD'!$AZ$105)))))))</f>
        <v>0</v>
      </c>
      <c r="T8" s="17">
        <f>IF($G$2&lt;&gt;"Não se aplica",SUMIF(TUSD!$G$58:'TUSD'!$G$105,$I$2,TUSD!$BA$58:'TUSD'!$BA$105),IF($F$2&lt;&gt;"Não se aplica",SUMIF(TUSD!$F$58:'TUSD'!$F$105,$I$2,TUSD!$BA$58:'TUSD'!$BA$105),IF($E$2&lt;&gt;"Não se aplica",SUMIF(TUSD!$E$58:'TUSD'!$E$105,$I$2,TUSD!$BA$58:'TUSD'!$BA$105),IF($D$2&lt;&gt;"Não se aplica",SUMIF(TUSD!$D$58:'TUSD'!$D$105,$I$2,TUSD!$BA$58:'TUSD'!$BA$105),IF($C$2&lt;&gt;"Não se aplica",SUMIF(TUSD!$C$58:'TUSD'!$C$105,$I$2,TUSD!$BA$58:'TUSD'!$BA$105),IF($B$2&lt;&gt;"Não se aplica",SUMIF(TUSD!$B$58:'TUSD'!$B$105,$I$2,TUSD!$BA$58:'TUSD'!$BA$105),SUMIF(TUSD!$A$58:'TUSD'!$A$105,$I$2,TUSD!$BA$58:'TUSD'!$BA$105)))))))</f>
        <v>0</v>
      </c>
      <c r="U8" s="17">
        <f>IF($G$2&lt;&gt;"Não se aplica",SUMIF(TUSD!$G$58:'TUSD'!$G$105,$I$2,TUSD!$BB$58:'TUSD'!$BB$105),IF($F$2&lt;&gt;"Não se aplica",SUMIF(TUSD!$F$58:'TUSD'!$F$105,$I$2,TUSD!$BB$58:'TUSD'!$BB$105),IF($E$2&lt;&gt;"Não se aplica",SUMIF(TUSD!$E$58:'TUSD'!$E$105,$I$2,TUSD!$BB$58:'TUSD'!$BB$105),IF($D$2&lt;&gt;"Não se aplica",SUMIF(TUSD!$D$58:'TUSD'!$D$105,$I$2,TUSD!$BB$58:'TUSD'!$BB$105),IF($C$2&lt;&gt;"Não se aplica",SUMIF(TUSD!$C$58:'TUSD'!$C$105,$I$2,TUSD!$BB$58:'TUSD'!$BB$105),IF($B$2&lt;&gt;"Não se aplica",SUMIF(TUSD!$B$58:'TUSD'!$B$105,$I$2,TUSD!$BB$58:'TUSD'!$BB$105),SUMIF(TUSD!$A$58:'TUSD'!$A$105,$I$2,TUSD!$BB$58:'TUSD'!$BB$105)))))))</f>
        <v>0</v>
      </c>
      <c r="V8" s="17">
        <f>IF($G$2&lt;&gt;"Não se aplica",SUMIF(TUSD!$G$58:'TUSD'!$G$105,$I$2,TUSD!$BC$58:'TUSD'!$BC$105),IF($F$2&lt;&gt;"Não se aplica",SUMIF(TUSD!$F$58:'TUSD'!$F$105,$I$2,TUSD!$BC$58:'TUSD'!$BC$105),IF($E$2&lt;&gt;"Não se aplica",SUMIF(TUSD!$E$58:'TUSD'!$E$105,$I$2,TUSD!$BC$58:'TUSD'!$BC$105),IF($D$2&lt;&gt;"Não se aplica",SUMIF(TUSD!$D$58:'TUSD'!$D$105,$I$2,TUSD!$BC$58:'TUSD'!$BC$105),IF($C$2&lt;&gt;"Não se aplica",SUMIF(TUSD!$C$58:'TUSD'!$C$105,$I$2,TUSD!$BC$58:'TUSD'!$BC$105),IF($B$2&lt;&gt;"Não se aplica",SUMIF(TUSD!$B$58:'TUSD'!$B$105,$I$2,TUSD!$BC$58:'TUSD'!$BC$105),SUMIF(TUSD!$A$58:'TUSD'!$A$105,$I$2,TUSD!$BC$58:'TUSD'!$BC$105)))))))</f>
        <v>0</v>
      </c>
      <c r="W8" s="17">
        <f>IF($G$2&lt;&gt;"Não se aplica",SUMIF(TUSD!$G$58:'TUSD'!$G$105,$I$2,TUSD!$BD$58:'TUSD'!$BD$105),IF($F$2&lt;&gt;"Não se aplica",SUMIF(TUSD!$F$58:'TUSD'!$F$105,$I$2,TUSD!$BD$58:'TUSD'!$BD$105),IF($E$2&lt;&gt;"Não se aplica",SUMIF(TUSD!$E$58:'TUSD'!$E$105,$I$2,TUSD!$BD$58:'TUSD'!$BD$105),IF($D$2&lt;&gt;"Não se aplica",SUMIF(TUSD!$D$58:'TUSD'!$D$105,$I$2,TUSD!$BD$58:'TUSD'!$BD$105),IF($C$2&lt;&gt;"Não se aplica",SUMIF(TUSD!$C$58:'TUSD'!$C$105,$I$2,TUSD!$BD$58:'TUSD'!$BD$105),IF($B$2&lt;&gt;"Não se aplica",SUMIF(TUSD!$B$58:'TUSD'!$B$105,$I$2,TUSD!$BD$58:'TUSD'!$BD$105),SUMIF(TUSD!$A$58:'TUSD'!$A$105,$I$2,TUSD!$BD$58:'TUSD'!$BD$105)))))))</f>
        <v>0</v>
      </c>
      <c r="X8" s="17">
        <f t="shared" si="0"/>
        <v>363516.30902459362</v>
      </c>
      <c r="AD8" s="14" t="s">
        <v>97</v>
      </c>
      <c r="AG8" s="14" t="s">
        <v>93</v>
      </c>
    </row>
    <row r="9" spans="1:33" x14ac:dyDescent="0.2">
      <c r="A9" s="14" t="s">
        <v>1155</v>
      </c>
      <c r="B9" s="17">
        <f>IF($G$2&lt;&gt;"Não se aplica",SUMIF(TUSD!$G$58:'TUSD'!$G$105,$I$2,TUSD!$L$58:'TUSD'!$L$105),IF($F$2&lt;&gt;"Não se aplica",SUMIF(TUSD!$F$58:'TUSD'!$F$105,$I$2,TUSD!$L$58:'TUSD'!$L$105),IF($E$2&lt;&gt;"Não se aplica",SUMIF(TUSD!$E$58:'TUSD'!$E$105,$I$2,TUSD!$L$58:'TUSD'!$L$105),IF($D$2&lt;&gt;"Não se aplica",SUMIF(TUSD!$D$58:'TUSD'!$D$105,$I$2,TUSD!$L$58:'TUSD'!$L$105),IF($C$2&lt;&gt;"Não se aplica",SUMIF(TUSD!$C$58:'TUSD'!$C$105,$I$2,TUSD!$L$58:'TUSD'!$L$105),IF($B$2&lt;&gt;"Não se aplica",SUMIF(TUSD!$B$58:'TUSD'!$B$105,$I$2,TUSD!$L$58:'TUSD'!$L$105),SUMIF(TUSD!$A$58:'TUSD'!$A$105,$I$2,TUSD!$L$58:'TUSD'!$L$105)))))))</f>
        <v>0</v>
      </c>
      <c r="C9" s="17">
        <f>IF($G$2&lt;&gt;"Não se aplica",SUMIF(TUSD!$G$58:'TUSD'!$G$105,$I$2,TUSD!$M$58:'TUSD'!$M$105),IF($F$2&lt;&gt;"Não se aplica",SUMIF(TUSD!$F$58:'TUSD'!$F$105,$I$2,TUSD!$M$58:'TUSD'!$M$105),IF($E$2&lt;&gt;"Não se aplica",SUMIF(TUSD!$E$58:'TUSD'!$E$105,$I$2,TUSD!$M$58:'TUSD'!$M$105),IF($D$2&lt;&gt;"Não se aplica",SUMIF(TUSD!$D$58:'TUSD'!$D$105,$I$2,TUSD!$M$58:'TUSD'!$M$105),IF($C$2&lt;&gt;"Não se aplica",SUMIF(TUSD!$C$58:'TUSD'!$C$105,$I$2,TUSD!$M$58:'TUSD'!$M$105),IF($B$2&lt;&gt;"Não se aplica",SUMIF(TUSD!$B$58:'TUSD'!$B$105,$I$2,TUSD!$M$58:'TUSD'!$M$105),SUMIF(TUSD!$A$58:'TUSD'!$A$105,$I$2,TUSD!$M$58:'TUSD'!$M$105)))))))</f>
        <v>1420.555028837229</v>
      </c>
      <c r="D9" s="17">
        <f ca="1">IF($G$2&lt;&gt;"Não se aplica",SUMIF(TUSD!$G$58:'TUSD'!$G$105,$I$2,TUSD!$N$58:'TUSD'!$N$105),IF($F$2&lt;&gt;"Não se aplica",SUMIF(TUSD!$F$58:'TUSD'!$F$105,$I$2,TUSD!$N$58:'TUSD'!$N$105),IF($E$2&lt;&gt;"Não se aplica",SUMIF(TUSD!$E$58:'TUSD'!$E$105,$I$2,TUSD!$N$58:'TUSD'!$N$105),IF($D$2&lt;&gt;"Não se aplica",SUMIF(TUSD!$D$58:'TUSD'!$D$105,$I$2,TUSD!$N$58:'TUSD'!$N$105),IF($C$2&lt;&gt;"Não se aplica",SUMIF(TUSD!$C$58:'TUSD'!$C$105,$I$2,TUSD!$N$58:'TUSD'!$N$105),IF($B$2&lt;&gt;"Não se aplica",SUMIF(TUSD!$B$58:'TUSD'!$B$105,$I$2,TUSD!$N$58:'TUSD'!$N$105),SUMIF(TUSD!$A$58:'TUSD'!$A$105,$I$2,TUSD!$N$58:'TUSD'!$N$105)))))))</f>
        <v>4020.6090660400487</v>
      </c>
      <c r="E9" s="17">
        <f>IF($G$2&lt;&gt;"Não se aplica",SUMIF(TUSD!$G$58:'TUSD'!$G$105,$I$2,TUSD!$O$58:'TUSD'!$O$105),IF($F$2&lt;&gt;"Não se aplica",SUMIF(TUSD!$F$58:'TUSD'!$F$105,$I$2,TUSD!$O$58:'TUSD'!$O$105),IF($E$2&lt;&gt;"Não se aplica",SUMIF(TUSD!$E$58:'TUSD'!$E$105,$I$2,TUSD!$O$58:'TUSD'!$O$105),IF($D$2&lt;&gt;"Não se aplica",SUMIF(TUSD!$D$58:'TUSD'!$D$105,$I$2,TUSD!$O$58:'TUSD'!$O$105),IF($C$2&lt;&gt;"Não se aplica",SUMIF(TUSD!$C$58:'TUSD'!$C$105,$I$2,TUSD!$O$58:'TUSD'!$O$105),IF($B$2&lt;&gt;"Não se aplica",SUMIF(TUSD!$B$58:'TUSD'!$B$105,$I$2,TUSD!$O$58:'TUSD'!$O$105),SUMIF(TUSD!$A$58:'TUSD'!$A$105,$I$2,TUSD!$O$58:'TUSD'!$O$105)))))))</f>
        <v>0</v>
      </c>
      <c r="F9" s="17">
        <f>IF($G$2&lt;&gt;"Não se aplica",SUMIF(TUSD!$G$58:'TUSD'!$G$105,$I$2,TUSD!$P$58:'TUSD'!$P$105),IF($F$2&lt;&gt;"Não se aplica",SUMIF(TUSD!$F$58:'TUSD'!$F$105,$I$2,TUSD!$P$58:'TUSD'!$P$105),IF($E$2&lt;&gt;"Não se aplica",SUMIF(TUSD!$E$58:'TUSD'!$E$105,$I$2,TUSD!$P$58:'TUSD'!$P$105),IF($D$2&lt;&gt;"Não se aplica",SUMIF(TUSD!$D$58:'TUSD'!$D$105,$I$2,TUSD!$P$58:'TUSD'!$P$105),IF($C$2&lt;&gt;"Não se aplica",SUMIF(TUSD!$C$58:'TUSD'!$C$105,$I$2,TUSD!$P$58:'TUSD'!$P$105),IF($B$2&lt;&gt;"Não se aplica",SUMIF(TUSD!$B$58:'TUSD'!$B$105,$I$2,TUSD!$P$58:'TUSD'!$P$105),SUMIF(TUSD!$A$58:'TUSD'!$A$105,$I$2,TUSD!$P$58:'TUSD'!$P$105)))))))</f>
        <v>0</v>
      </c>
      <c r="G9" s="17">
        <f>IF($G$2&lt;&gt;"Não se aplica",SUMIF(TUSD!$G$58:'TUSD'!$G$105,$I$2,TUSD!$Q$58:'TUSD'!$Q$105),IF($F$2&lt;&gt;"Não se aplica",SUMIF(TUSD!$F$58:'TUSD'!$F$105,$I$2,TUSD!$Q$58:'TUSD'!$Q$105),IF($E$2&lt;&gt;"Não se aplica",SUMIF(TUSD!$E$58:'TUSD'!$E$105,$I$2,TUSD!$Q$58:'TUSD'!$Q$105),IF($D$2&lt;&gt;"Não se aplica",SUMIF(TUSD!$D$58:'TUSD'!$D$105,$I$2,TUSD!$Q$58:'TUSD'!$Q$105),IF($C$2&lt;&gt;"Não se aplica",SUMIF(TUSD!$C$58:'TUSD'!$C$105,$I$2,TUSD!$Q$58:'TUSD'!$Q$105),IF($B$2&lt;&gt;"Não se aplica",SUMIF(TUSD!$B$58:'TUSD'!$B$105,$I$2,TUSD!$Q$58:'TUSD'!$Q$105),SUMIF(TUSD!$A$58:'TUSD'!$A$105,$I$2,TUSD!$Q$58:'TUSD'!$Q$105)))))))</f>
        <v>0</v>
      </c>
      <c r="H9" s="17">
        <f>IF($G$2&lt;&gt;"Não se aplica",SUMIF(TUSD!$G$58:'TUSD'!$G$105,$I$2,TUSD!$R$58:'TUSD'!$R$105),IF($F$2&lt;&gt;"Não se aplica",SUMIF(TUSD!$F$58:'TUSD'!$F$105,$I$2,TUSD!$R$58:'TUSD'!$R$105),IF($E$2&lt;&gt;"Não se aplica",SUMIF(TUSD!$E$58:'TUSD'!$E$105,$I$2,TUSD!$R$58:'TUSD'!$R$105),IF($D$2&lt;&gt;"Não se aplica",SUMIF(TUSD!$D$58:'TUSD'!$D$105,$I$2,TUSD!$R$58:'TUSD'!$R$105),IF($C$2&lt;&gt;"Não se aplica",SUMIF(TUSD!$C$58:'TUSD'!$C$105,$I$2,TUSD!$R$58:'TUSD'!$R$105),IF($B$2&lt;&gt;"Não se aplica",SUMIF(TUSD!$B$58:'TUSD'!$B$105,$I$2,TUSD!$R$58:'TUSD'!$R$105),SUMIF(TUSD!$A$58:'TUSD'!$A$105,$I$2,TUSD!$R$58:'TUSD'!$R$105)))))))</f>
        <v>0</v>
      </c>
      <c r="I9" s="17">
        <f>IF($G$2&lt;&gt;"Não se aplica",SUMIF(TUSD!$G$58:'TUSD'!$G$105,$I$2,TUSD!$S$58:'TUSD'!$S$105),IF($F$2&lt;&gt;"Não se aplica",SUMIF(TUSD!$F$58:'TUSD'!$F$105,$I$2,TUSD!$S$58:'TUSD'!$S$105),IF($E$2&lt;&gt;"Não se aplica",SUMIF(TUSD!$E$58:'TUSD'!$E$105,$I$2,TUSD!$S$58:'TUSD'!$S$105),IF($D$2&lt;&gt;"Não se aplica",SUMIF(TUSD!$D$58:'TUSD'!$D$105,$I$2,TUSD!$S$58:'TUSD'!$S$105),IF($C$2&lt;&gt;"Não se aplica",SUMIF(TUSD!$C$58:'TUSD'!$C$105,$I$2,TUSD!$S$58:'TUSD'!$S$105),IF($B$2&lt;&gt;"Não se aplica",SUMIF(TUSD!$B$58:'TUSD'!$B$105,$I$2,TUSD!$S$58:'TUSD'!$S$105),SUMIF(TUSD!$A$58:'TUSD'!$A$105,$I$2,TUSD!$S$58:'TUSD'!$S$105)))))))</f>
        <v>0</v>
      </c>
      <c r="J9" s="17">
        <f>IF($G$2&lt;&gt;"Não se aplica",SUMIF(TUSD!$G$58:'TUSD'!$G$105,$I$2,TUSD!$T$58:'TUSD'!$T$105),IF($F$2&lt;&gt;"Não se aplica",SUMIF(TUSD!$F$58:'TUSD'!$F$105,$I$2,TUSD!$T$58:'TUSD'!$T$105),IF($E$2&lt;&gt;"Não se aplica",SUMIF(TUSD!$E$58:'TUSD'!$E$105,$I$2,TUSD!$T$58:'TUSD'!$T$105),IF($D$2&lt;&gt;"Não se aplica",SUMIF(TUSD!$D$58:'TUSD'!$D$105,$I$2,TUSD!$T$58:'TUSD'!$T$105),IF($C$2&lt;&gt;"Não se aplica",SUMIF(TUSD!$C$58:'TUSD'!$C$105,$I$2,TUSD!$T$58:'TUSD'!$T$105),IF($B$2&lt;&gt;"Não se aplica",SUMIF(TUSD!$B$58:'TUSD'!$B$105,$I$2,TUSD!$T$58:'TUSD'!$T$105),SUMIF(TUSD!$A$58:'TUSD'!$A$105,$I$2,TUSD!$T$58:'TUSD'!$T$105)))))))</f>
        <v>0</v>
      </c>
      <c r="K9" s="17">
        <f>IF($G$2&lt;&gt;"Não se aplica",SUMIF(TUSD!$G$58:'TUSD'!$G$105,$I$2,TUSD!$U$58:'TUSD'!$U$105),IF($F$2&lt;&gt;"Não se aplica",SUMIF(TUSD!$F$58:'TUSD'!$F$105,$I$2,TUSD!$U$58:'TUSD'!$U$105),IF($E$2&lt;&gt;"Não se aplica",SUMIF(TUSD!$E$58:'TUSD'!$E$105,$I$2,TUSD!$U$58:'TUSD'!$U$105),IF($D$2&lt;&gt;"Não se aplica",SUMIF(TUSD!$D$58:'TUSD'!$D$105,$I$2,TUSD!$U$58:'TUSD'!$U$105),IF($C$2&lt;&gt;"Não se aplica",SUMIF(TUSD!$C$58:'TUSD'!$C$105,$I$2,TUSD!$U$58:'TUSD'!$U$105),IF($B$2&lt;&gt;"Não se aplica",SUMIF(TUSD!$B$58:'TUSD'!$B$105,$I$2,TUSD!$U$58:'TUSD'!$U$105),SUMIF(TUSD!$A$58:'TUSD'!$A$105,$I$2,TUSD!$U$58:'TUSD'!$U$105)))))))</f>
        <v>0</v>
      </c>
      <c r="L9" s="17">
        <f>IF($G$2&lt;&gt;"Não se aplica",SUMIF(TUSD!$G$58:'TUSD'!$G$105,$I$2,TUSD!$V$58:'TUSD'!$V$105),IF($F$2&lt;&gt;"Não se aplica",SUMIF(TUSD!$F$58:'TUSD'!$F$105,$I$2,TUSD!$V$58:'TUSD'!$V$105),IF($E$2&lt;&gt;"Não se aplica",SUMIF(TUSD!$E$58:'TUSD'!$E$105,$I$2,TUSD!$V$58:'TUSD'!$V$105),IF($D$2&lt;&gt;"Não se aplica",SUMIF(TUSD!$D$58:'TUSD'!$D$105,$I$2,TUSD!$V$58:'TUSD'!$V$105),IF($C$2&lt;&gt;"Não se aplica",SUMIF(TUSD!$C$58:'TUSD'!$C$105,$I$2,TUSD!$V$58:'TUSD'!$V$105),IF($B$2&lt;&gt;"Não se aplica",SUMIF(TUSD!$B$58:'TUSD'!$B$105,$I$2,TUSD!$V$58:'TUSD'!$V$105),SUMIF(TUSD!$A$58:'TUSD'!$A$105,$I$2,TUSD!$V$58:'TUSD'!$V$105)))))))</f>
        <v>0</v>
      </c>
      <c r="M9" s="17">
        <f>IF($G$2&lt;&gt;"Não se aplica",SUMIF(TUSD!$G$58:'TUSD'!$G$105,$I$2,TUSD!$W$58:'TUSD'!$W$105),IF($F$2&lt;&gt;"Não se aplica",SUMIF(TUSD!$F$58:'TUSD'!$F$105,$I$2,TUSD!$W$58:'TUSD'!$W$105),IF($E$2&lt;&gt;"Não se aplica",SUMIF(TUSD!$E$58:'TUSD'!$E$105,$I$2,TUSD!$W$58:'TUSD'!$W$105),IF($D$2&lt;&gt;"Não se aplica",SUMIF(TUSD!$D$58:'TUSD'!$D$105,$I$2,TUSD!$W$58:'TUSD'!$W$105),IF($C$2&lt;&gt;"Não se aplica",SUMIF(TUSD!$C$58:'TUSD'!$C$105,$I$2,TUSD!$W$58:'TUSD'!$W$105),IF($B$2&lt;&gt;"Não se aplica",SUMIF(TUSD!$B$58:'TUSD'!$B$105,$I$2,TUSD!$W$58:'TUSD'!$W$105),SUMIF(TUSD!$A$58:'TUSD'!$A$105,$I$2,TUSD!$W$58:'TUSD'!$W$105)))))))</f>
        <v>0</v>
      </c>
      <c r="N9" s="17">
        <f>IF($G$2&lt;&gt;"Não se aplica",SUMIF(TUSD!$G$58:'TUSD'!$G$105,$I$2,TUSD!$X$58:'TUSD'!$X$105),IF($F$2&lt;&gt;"Não se aplica",SUMIF(TUSD!$F$58:'TUSD'!$F$105,$I$2,TUSD!$X$58:'TUSD'!$X$105),IF($E$2&lt;&gt;"Não se aplica",SUMIF(TUSD!$E$58:'TUSD'!$E$105,$I$2,TUSD!$X$58:'TUSD'!$X$105),IF($D$2&lt;&gt;"Não se aplica",SUMIF(TUSD!$D$58:'TUSD'!$D$105,$I$2,TUSD!$X$58:'TUSD'!$X$105),IF($C$2&lt;&gt;"Não se aplica",SUMIF(TUSD!$C$58:'TUSD'!$C$105,$I$2,TUSD!$X$58:'TUSD'!$X$105),IF($B$2&lt;&gt;"Não se aplica",SUMIF(TUSD!$B$58:'TUSD'!$B$105,$I$2,TUSD!$X$58:'TUSD'!$X$105),SUMIF(TUSD!$A$58:'TUSD'!$A$105,$I$2,TUSD!$X$58:'TUSD'!$X$105)))))))</f>
        <v>0</v>
      </c>
      <c r="O9" s="17">
        <f>IF($G$2&lt;&gt;"Não se aplica",SUMIF(TUSD!$G$58:'TUSD'!$G$105,$I$2,TUSD!$Y$58:'TUSD'!$Y$105),IF($F$2&lt;&gt;"Não se aplica",SUMIF(TUSD!$F$58:'TUSD'!$F$105,$I$2,TUSD!$Y$58:'TUSD'!$Y$105),IF($E$2&lt;&gt;"Não se aplica",SUMIF(TUSD!$E$58:'TUSD'!$E$105,$I$2,TUSD!$Y$58:'TUSD'!$Y$105),IF($D$2&lt;&gt;"Não se aplica",SUMIF(TUSD!$D$58:'TUSD'!$D$105,$I$2,TUSD!$Y$58:'TUSD'!$Y$105),IF($C$2&lt;&gt;"Não se aplica",SUMIF(TUSD!$C$58:'TUSD'!$C$105,$I$2,TUSD!$Y$58:'TUSD'!$Y$105),IF($B$2&lt;&gt;"Não se aplica",SUMIF(TUSD!$B$58:'TUSD'!$B$105,$I$2,TUSD!$Y$58:'TUSD'!$Y$105),SUMIF(TUSD!$A$58:'TUSD'!$A$105,$I$2,TUSD!$Y$58:'TUSD'!$Y$105)))))))</f>
        <v>0</v>
      </c>
      <c r="P9" s="17">
        <f>IF($G$2&lt;&gt;"Não se aplica",SUMIF(TUSD!$G$58:'TUSD'!$G$105,$I$2,TUSD!$Z$58:'TUSD'!$Z$105),IF($F$2&lt;&gt;"Não se aplica",SUMIF(TUSD!$F$58:'TUSD'!$F$105,$I$2,TUSD!$Z$58:'TUSD'!$Z$105),IF($E$2&lt;&gt;"Não se aplica",SUMIF(TUSD!$E$58:'TUSD'!$E$105,$I$2,TUSD!$Z$58:'TUSD'!$Z$105),IF($D$2&lt;&gt;"Não se aplica",SUMIF(TUSD!$D$58:'TUSD'!$D$105,$I$2,TUSD!$Z$58:'TUSD'!$Z$105),IF($C$2&lt;&gt;"Não se aplica",SUMIF(TUSD!$C$58:'TUSD'!$C$105,$I$2,TUSD!$Z$58:'TUSD'!$Z$105),IF($B$2&lt;&gt;"Não se aplica",SUMIF(TUSD!$B$58:'TUSD'!$B$105,$I$2,TUSD!$Z$58:'TUSD'!$Z$105),SUMIF(TUSD!$A$58:'TUSD'!$A$105,$I$2,TUSD!$Z$58:'TUSD'!$Z$105)))))))</f>
        <v>0</v>
      </c>
      <c r="Q9" s="17">
        <f>IF($G$2&lt;&gt;"Não se aplica",SUMIF(TUSD!$G$58:'TUSD'!$G$105,$I$2,TUSD!$AA$58:'TUSD'!$AA$105),IF($F$2&lt;&gt;"Não se aplica",SUMIF(TUSD!$F$58:'TUSD'!$F$105,$I$2,TUSD!$AA$58:'TUSD'!$AA$105),IF($E$2&lt;&gt;"Não se aplica",SUMIF(TUSD!$E$58:'TUSD'!$E$105,$I$2,TUSD!$AA$58:'TUSD'!$AA$105),IF($D$2&lt;&gt;"Não se aplica",SUMIF(TUSD!$D$58:'TUSD'!$D$105,$I$2,TUSD!$AA$58:'TUSD'!$AA$105),IF($C$2&lt;&gt;"Não se aplica",SUMIF(TUSD!$C$58:'TUSD'!$C$105,$I$2,TUSD!$AA$58:'TUSD'!$AA$105),IF($B$2&lt;&gt;"Não se aplica",SUMIF(TUSD!$B$58:'TUSD'!$B$105,$I$2,TUSD!$AA$58:'TUSD'!$AA$105),SUMIF(TUSD!$A$58:'TUSD'!$A$105,$I$2,TUSD!$AA$58:'TUSD'!$AA$105)))))))</f>
        <v>393770.67288688058</v>
      </c>
      <c r="R9" s="17">
        <f ca="1">IF($G$2&lt;&gt;"Não se aplica",SUMIF(TUSD!$G$58:'TUSD'!$G$105,$I$2,TUSD!$AB$58:'TUSD'!$AB$105),IF($F$2&lt;&gt;"Não se aplica",SUMIF(TUSD!$F$58:'TUSD'!$F$105,$I$2,TUSD!$AB$58:'TUSD'!$AB$105),IF($E$2&lt;&gt;"Não se aplica",SUMIF(TUSD!$E$58:'TUSD'!$E$105,$I$2,TUSD!$AB$58:'TUSD'!$AB$105),IF($D$2&lt;&gt;"Não se aplica",SUMIF(TUSD!$D$58:'TUSD'!$D$105,$I$2,TUSD!$AB$58:'TUSD'!$AB$105),IF($C$2&lt;&gt;"Não se aplica",SUMIF(TUSD!$C$58:'TUSD'!$C$105,$I$2,TUSD!$AB$58:'TUSD'!$AB$105),IF($B$2&lt;&gt;"Não se aplica",SUMIF(TUSD!$B$58:'TUSD'!$B$105,$I$2,TUSD!$AB$58:'TUSD'!$AB$105),SUMIF(TUSD!$A$58:'TUSD'!$A$105,$I$2,TUSD!$AB$58:'TUSD'!$AB$105)))))))</f>
        <v>-75169.824487806894</v>
      </c>
      <c r="S9" s="17">
        <f ca="1">IF($G$2&lt;&gt;"Não se aplica",SUMIF(TUSD!$G$58:'TUSD'!$G$105,$I$2,TUSD!$AC$58:'TUSD'!$AC$105),IF($F$2&lt;&gt;"Não se aplica",SUMIF(TUSD!$F$58:'TUSD'!$F$105,$I$2,TUSD!$AC$58:'TUSD'!$AC$105),IF($E$2&lt;&gt;"Não se aplica",SUMIF(TUSD!$E$58:'TUSD'!$E$105,$I$2,TUSD!$AC$58:'TUSD'!$AC$105),IF($D$2&lt;&gt;"Não se aplica",SUMIF(TUSD!$D$58:'TUSD'!$D$105,$I$2,TUSD!$AC$58:'TUSD'!$AC$105),IF($C$2&lt;&gt;"Não se aplica",SUMIF(TUSD!$C$58:'TUSD'!$C$105,$I$2,TUSD!$AC$58:'TUSD'!$AC$105),IF($B$2&lt;&gt;"Não se aplica",SUMIF(TUSD!$B$58:'TUSD'!$B$105,$I$2,TUSD!$AC$58:'TUSD'!$AC$105),SUMIF(TUSD!$A$58:'TUSD'!$A$105,$I$2,TUSD!$AC$58:'TUSD'!$AC$105)))))))</f>
        <v>0</v>
      </c>
      <c r="T9" s="17">
        <f>IF($G$2&lt;&gt;"Não se aplica",SUMIF(TUSD!$G$58:'TUSD'!$G$105,$I$2,TUSD!$AD$58:'TUSD'!$AD$105),IF($F$2&lt;&gt;"Não se aplica",SUMIF(TUSD!$F$58:'TUSD'!$F$105,$I$2,TUSD!$AD$58:'TUSD'!$AD$105),IF($E$2&lt;&gt;"Não se aplica",SUMIF(TUSD!$E$58:'TUSD'!$E$105,$I$2,TUSD!$AD$58:'TUSD'!$AD$105),IF($D$2&lt;&gt;"Não se aplica",SUMIF(TUSD!$D$58:'TUSD'!$D$105,$I$2,TUSD!$AD$58:'TUSD'!$AD$105),IF($C$2&lt;&gt;"Não se aplica",SUMIF(TUSD!$C$58:'TUSD'!$C$105,$I$2,TUSD!$AD$58:'TUSD'!$AD$105),IF($B$2&lt;&gt;"Não se aplica",SUMIF(TUSD!$B$58:'TUSD'!$B$105,$I$2,TUSD!$AD$58:'TUSD'!$AD$105),SUMIF(TUSD!$A$58:'TUSD'!$A$105,$I$2,TUSD!$AD$58:'TUSD'!$AD$105)))))))</f>
        <v>0</v>
      </c>
      <c r="U9" s="17">
        <f>IF($G$2&lt;&gt;"Não se aplica",SUMIF(TUSD!$G$58:'TUSD'!$G$105,$I$2,TUSD!$AE$58:'TUSD'!$AE$105),IF($F$2&lt;&gt;"Não se aplica",SUMIF(TUSD!$F$58:'TUSD'!$F$105,$I$2,TUSD!$AE$58:'TUSD'!$AE$105),IF($E$2&lt;&gt;"Não se aplica",SUMIF(TUSD!$E$58:'TUSD'!$E$105,$I$2,TUSD!$AE$58:'TUSD'!$AE$105),IF($D$2&lt;&gt;"Não se aplica",SUMIF(TUSD!$D$58:'TUSD'!$D$105,$I$2,TUSD!$AE$58:'TUSD'!$AE$105),IF($C$2&lt;&gt;"Não se aplica",SUMIF(TUSD!$C$58:'TUSD'!$C$105,$I$2,TUSD!$AE$58:'TUSD'!$AE$105),IF($B$2&lt;&gt;"Não se aplica",SUMIF(TUSD!$B$58:'TUSD'!$B$105,$I$2,TUSD!$AE$58:'TUSD'!$AE$105),SUMIF(TUSD!$A$58:'TUSD'!$A$105,$I$2,TUSD!$AE$58:'TUSD'!$AE$105)))))))</f>
        <v>0</v>
      </c>
      <c r="V9" s="17">
        <f ca="1">IF($G$2&lt;&gt;"Não se aplica",SUMIF(TUSD!$G$58:'TUSD'!$G$105,$I$2,TUSD!$AF$58:'TUSD'!$AF$105),IF($F$2&lt;&gt;"Não se aplica",SUMIF(TUSD!$F$58:'TUSD'!$F$105,$I$2,TUSD!$AF$58:'TUSD'!$AF$105),IF($E$2&lt;&gt;"Não se aplica",SUMIF(TUSD!$E$58:'TUSD'!$E$105,$I$2,TUSD!$AF$58:'TUSD'!$AF$105),IF($D$2&lt;&gt;"Não se aplica",SUMIF(TUSD!$D$58:'TUSD'!$D$105,$I$2,TUSD!$AF$58:'TUSD'!$AF$105),IF($C$2&lt;&gt;"Não se aplica",SUMIF(TUSD!$C$58:'TUSD'!$C$105,$I$2,TUSD!$AF$58:'TUSD'!$AF$105),IF($B$2&lt;&gt;"Não se aplica",SUMIF(TUSD!$B$58:'TUSD'!$B$105,$I$2,TUSD!$AF$58:'TUSD'!$AF$105),SUMIF(TUSD!$A$58:'TUSD'!$A$105,$I$2,TUSD!$AF$58:'TUSD'!$AF$105)))))))</f>
        <v>0</v>
      </c>
      <c r="W9" s="17">
        <f ca="1">IF($G$2&lt;&gt;"Não se aplica",SUMIF(TUSD!$G$58:'TUSD'!$G$105,$I$2,TUSD!$AG$58:'TUSD'!$AG$105),IF($F$2&lt;&gt;"Não se aplica",SUMIF(TUSD!$F$58:'TUSD'!$F$105,$I$2,TUSD!$AG$58:'TUSD'!$AG$105),IF($E$2&lt;&gt;"Não se aplica",SUMIF(TUSD!$E$58:'TUSD'!$E$105,$I$2,TUSD!$AG$58:'TUSD'!$AG$105),IF($D$2&lt;&gt;"Não se aplica",SUMIF(TUSD!$D$58:'TUSD'!$D$105,$I$2,TUSD!$AG$58:'TUSD'!$AG$105),IF($C$2&lt;&gt;"Não se aplica",SUMIF(TUSD!$C$58:'TUSD'!$C$105,$I$2,TUSD!$AG$58:'TUSD'!$AG$105),IF($B$2&lt;&gt;"Não se aplica",SUMIF(TUSD!$B$58:'TUSD'!$B$105,$I$2,TUSD!$AG$58:'TUSD'!$AG$105),SUMIF(TUSD!$A$58:'TUSD'!$A$105,$I$2,TUSD!$AG$58:'TUSD'!$AG$105)))))))</f>
        <v>0</v>
      </c>
      <c r="X9" s="17">
        <f t="shared" ca="1" si="0"/>
        <v>324042.01249395096</v>
      </c>
      <c r="AD9" s="14" t="s">
        <v>47</v>
      </c>
    </row>
    <row r="10" spans="1:33" x14ac:dyDescent="0.2">
      <c r="A10" s="14" t="s">
        <v>1152</v>
      </c>
      <c r="B10" s="17">
        <f>SUMIF(TUSD!$A$58:'TUSD'!$A$105,$A$2,TUSD!$AI$58:'TUSD'!$AI$105)</f>
        <v>0</v>
      </c>
      <c r="C10" s="17">
        <f>SUMIF(TUSD!$A$58:'TUSD'!$A$105,$A$2,TUSD!$AJ$58:'TUSD'!$AJ$105)</f>
        <v>1316.7978401273779</v>
      </c>
      <c r="D10" s="17">
        <f>SUMIF(TUSD!$A$58:'TUSD'!$A$105,$A$2,TUSD!$AK$58:'TUSD'!$AK$105)</f>
        <v>3631.847536482373</v>
      </c>
      <c r="E10" s="17">
        <f>SUMIF(TUSD!$A$58:'TUSD'!$A$105,$A$2,TUSD!$AL$58:'TUSD'!$AL$105)</f>
        <v>0</v>
      </c>
      <c r="F10" s="17">
        <f>SUMIF(TUSD!$A$58:'TUSD'!$A$105,$A$2,TUSD!$AM$58:'TUSD'!$AM$105)</f>
        <v>0</v>
      </c>
      <c r="G10" s="17">
        <f>SUMIF(TUSD!$A$58:'TUSD'!$A$105,$A$2,TUSD!$AN$58:'TUSD'!$AN$105)</f>
        <v>0</v>
      </c>
      <c r="H10" s="17">
        <f>SUMIF(TUSD!$A$58:'TUSD'!$A$105,$A$2,TUSD!$AO$58:'TUSD'!$AO$105)</f>
        <v>0</v>
      </c>
      <c r="I10" s="17">
        <f>SUMIF(TUSD!$A$58:'TUSD'!$A$105,$A$2,TUSD!$AP$58:'TUSD'!$AP$105)</f>
        <v>0</v>
      </c>
      <c r="J10" s="17">
        <f>SUMIF(TUSD!$A$58:'TUSD'!$A$105,$A$2,TUSD!$AQ$58:'TUSD'!$AQ$105)</f>
        <v>0</v>
      </c>
      <c r="K10" s="17">
        <f>SUMIF(TUSD!$A$58:'TUSD'!$A$105,$A$2,TUSD!$AR$58:'TUSD'!$AR$105)</f>
        <v>0</v>
      </c>
      <c r="L10" s="17">
        <f>SUMIF(TUSD!$A$58:'TUSD'!$A$105,$A$2,TUSD!$AS$58:'TUSD'!$AS$105)</f>
        <v>0</v>
      </c>
      <c r="M10" s="17">
        <f>SUMIF(TUSD!$A$58:'TUSD'!$A$105,$A$2,TUSD!$AT$58:'TUSD'!$AT$105)</f>
        <v>0</v>
      </c>
      <c r="N10" s="17">
        <f>SUMIF(TUSD!$A$58:'TUSD'!$A$105,$A$2,TUSD!$AU$58:'TUSD'!$AU$105)</f>
        <v>0</v>
      </c>
      <c r="O10" s="17">
        <f>SUMIF(TUSD!$A$58:'TUSD'!$A$105,$A$2,TUSD!$AV$58:'TUSD'!$AV$105)</f>
        <v>0</v>
      </c>
      <c r="P10" s="17">
        <f>SUMIF(TUSD!$A$58:'TUSD'!$A$105,$A$2,TUSD!$AW$58:'TUSD'!$AW$105)</f>
        <v>0</v>
      </c>
      <c r="Q10" s="17">
        <f>SUMIF(TUSD!$A$58:'TUSD'!$A$105,$A$2,TUSD!$AX$58:'TUSD'!$AX$105)</f>
        <v>358567.66364798386</v>
      </c>
      <c r="R10" s="17">
        <f>SUMIF(TUSD!$A$58:'TUSD'!$A$105,$A$2,TUSD!$AY$58:'TUSD'!$AY$105)</f>
        <v>0</v>
      </c>
      <c r="S10" s="17">
        <f>SUMIF(TUSD!$A$58:'TUSD'!$A$105,$A$2,TUSD!$AZ$58:'TUSD'!$AZ$105)</f>
        <v>0</v>
      </c>
      <c r="T10" s="17">
        <f>SUMIF(TUSD!$A$58:'TUSD'!$A$105,$A$2,TUSD!$BA$58:'TUSD'!$BA$105)</f>
        <v>0</v>
      </c>
      <c r="U10" s="17">
        <f>SUMIF(TUSD!$A$58:'TUSD'!$A$105,$A$2,TUSD!$BB$58:'TUSD'!$BB$105)</f>
        <v>0</v>
      </c>
      <c r="V10" s="17">
        <f>SUMIF(TUSD!$A$58:'TUSD'!$A$105,$A$2,TUSD!$BC$58:'TUSD'!$BC$105)</f>
        <v>0</v>
      </c>
      <c r="W10" s="17">
        <f>SUMIF(TUSD!$A$58:'TUSD'!$A$105,$A$2,TUSD!$BD$58:'TUSD'!$BD$105)</f>
        <v>0</v>
      </c>
      <c r="X10" s="17">
        <f t="shared" si="0"/>
        <v>363516.30902459362</v>
      </c>
      <c r="AD10" s="14" t="s">
        <v>98</v>
      </c>
    </row>
    <row r="11" spans="1:33" x14ac:dyDescent="0.2">
      <c r="A11" s="14" t="s">
        <v>1153</v>
      </c>
      <c r="B11" s="17">
        <f>SUMIF(TUSD!$A$58:'TUSD'!$A$105,$A$2,TUSD!$L$58:'TUSD'!$L$105)</f>
        <v>0</v>
      </c>
      <c r="C11" s="17">
        <f>SUMIF(TUSD!$A$58:'TUSD'!$A$105,$A$2,TUSD!$M$58:'TUSD'!$M$105)</f>
        <v>1420.555028837229</v>
      </c>
      <c r="D11" s="17">
        <f ca="1">SUMIF(TUSD!$A$58:'TUSD'!$A$105,$A$2,TUSD!$N$58:'TUSD'!$N$105)</f>
        <v>4020.6090660400487</v>
      </c>
      <c r="E11" s="17">
        <f>SUMIF(TUSD!$A$58:'TUSD'!$A$105,$A$2,TUSD!$O$58:'TUSD'!$O$105)</f>
        <v>0</v>
      </c>
      <c r="F11" s="17">
        <f>SUMIF(TUSD!$A$58:'TUSD'!$A$105,$A$2,TUSD!$P$58:'TUSD'!$P$105)</f>
        <v>0</v>
      </c>
      <c r="G11" s="17">
        <f>SUMIF(TUSD!$A$58:'TUSD'!$A$105,$A$2,TUSD!$Q$58:'TUSD'!$Q$105)</f>
        <v>0</v>
      </c>
      <c r="H11" s="17">
        <f>SUMIF(TUSD!$A$58:'TUSD'!$A$105,$A$2,TUSD!$R$58:'TUSD'!$R$105)</f>
        <v>0</v>
      </c>
      <c r="I11" s="17">
        <f>SUMIF(TUSD!$A$58:'TUSD'!$A$105,$A$2,TUSD!$S$58:'TUSD'!$S$105)</f>
        <v>0</v>
      </c>
      <c r="J11" s="17">
        <f>SUMIF(TUSD!$A$58:'TUSD'!$A$105,$A$2,TUSD!$T$58:'TUSD'!$T$105)</f>
        <v>0</v>
      </c>
      <c r="K11" s="17">
        <f>SUMIF(TUSD!$A$58:'TUSD'!$A$105,$A$2,TUSD!$U$58:'TUSD'!$U$105)</f>
        <v>0</v>
      </c>
      <c r="L11" s="17">
        <f>SUMIF(TUSD!$A$58:'TUSD'!$A$105,$A$2,TUSD!$V$58:'TUSD'!$V$105)</f>
        <v>0</v>
      </c>
      <c r="M11" s="17">
        <f>SUMIF(TUSD!$A$58:'TUSD'!$A$105,$A$2,TUSD!$W$58:'TUSD'!$W$105)</f>
        <v>0</v>
      </c>
      <c r="N11" s="17">
        <f>SUMIF(TUSD!$A$58:'TUSD'!$A$105,$A$2,TUSD!$X$58:'TUSD'!$X$105)</f>
        <v>0</v>
      </c>
      <c r="O11" s="17">
        <f>SUMIF(TUSD!$A$58:'TUSD'!$A$105,$A$2,TUSD!$Y$58:'TUSD'!$Y$105)</f>
        <v>0</v>
      </c>
      <c r="P11" s="17">
        <f>SUMIF(TUSD!$A$58:'TUSD'!$A$105,$A$2,TUSD!$Z$58:'TUSD'!$Z$105)</f>
        <v>0</v>
      </c>
      <c r="Q11" s="17">
        <f>SUMIF(TUSD!$A$58:'TUSD'!$A$105,$A$2,TUSD!$AA$58:'TUSD'!$AA$105)</f>
        <v>393770.67288688058</v>
      </c>
      <c r="R11" s="17">
        <f ca="1">SUMIF(TUSD!$A$58:'TUSD'!$A$105,$A$2,TUSD!$AB$58:'TUSD'!$AB$105)</f>
        <v>-75169.824487806894</v>
      </c>
      <c r="S11" s="17">
        <f ca="1">SUMIF(TUSD!$A$58:'TUSD'!$A$105,$A$2,TUSD!$AC$58:'TUSD'!$AC$105)</f>
        <v>0</v>
      </c>
      <c r="T11" s="17">
        <f>SUMIF(TUSD!$A$58:'TUSD'!$A$105,$A$2,TUSD!$AD$58:'TUSD'!$AD$105)</f>
        <v>0</v>
      </c>
      <c r="U11" s="17">
        <f>SUMIF(TUSD!$A$58:'TUSD'!$A$105,$A$2,TUSD!$AE$58:'TUSD'!$AE$105)</f>
        <v>0</v>
      </c>
      <c r="V11" s="17">
        <f ca="1">SUMIF(TUSD!$A$58:'TUSD'!$A$105,$A$2,TUSD!$AF$58:'TUSD'!$AF$105)</f>
        <v>0</v>
      </c>
      <c r="W11" s="17">
        <f ca="1">SUMIF(TUSD!$A$58:'TUSD'!$A$105,$A$2,TUSD!$AG$58:'TUSD'!$AG$105)</f>
        <v>0</v>
      </c>
      <c r="X11" s="17">
        <f t="shared" ca="1" si="0"/>
        <v>324042.01249395096</v>
      </c>
    </row>
    <row r="13" spans="1:33" x14ac:dyDescent="0.2">
      <c r="A13" s="14" t="s">
        <v>1157</v>
      </c>
      <c r="B13" s="28">
        <f t="shared" ref="B13:X13" si="1">IF($X$6&lt;&gt;0,(B$7-B$6)/$X$6,0)</f>
        <v>-7.9983562454838712E-4</v>
      </c>
      <c r="C13" s="28">
        <f t="shared" si="1"/>
        <v>-1.495544318484214E-4</v>
      </c>
      <c r="D13" s="28">
        <f t="shared" ca="1" si="1"/>
        <v>-2.0861040506157075E-3</v>
      </c>
      <c r="E13" s="28">
        <f t="shared" si="1"/>
        <v>0</v>
      </c>
      <c r="F13" s="28">
        <f t="shared" si="1"/>
        <v>0</v>
      </c>
      <c r="G13" s="28">
        <f t="shared" si="1"/>
        <v>0.13826932744344639</v>
      </c>
      <c r="H13" s="28">
        <f t="shared" si="1"/>
        <v>2.0724367664563453E-2</v>
      </c>
      <c r="I13" s="28">
        <f t="shared" si="1"/>
        <v>0</v>
      </c>
      <c r="J13" s="28">
        <f t="shared" si="1"/>
        <v>4.6153552528656439E-2</v>
      </c>
      <c r="K13" s="28">
        <f t="shared" si="1"/>
        <v>4.3348624515997221E-3</v>
      </c>
      <c r="L13" s="28">
        <f t="shared" si="1"/>
        <v>3.3158956345698806E-2</v>
      </c>
      <c r="M13" s="28">
        <f t="shared" si="1"/>
        <v>0</v>
      </c>
      <c r="N13" s="28">
        <f t="shared" si="1"/>
        <v>0</v>
      </c>
      <c r="O13" s="28">
        <f t="shared" si="1"/>
        <v>0</v>
      </c>
      <c r="P13" s="28">
        <f t="shared" si="1"/>
        <v>0</v>
      </c>
      <c r="Q13" s="28">
        <f t="shared" si="1"/>
        <v>-3.5514985845532136E-2</v>
      </c>
      <c r="R13" s="28">
        <f t="shared" ca="1" si="1"/>
        <v>-0.21253937722304309</v>
      </c>
      <c r="S13" s="28">
        <f t="shared" ca="1" si="1"/>
        <v>0</v>
      </c>
      <c r="T13" s="28">
        <f t="shared" si="1"/>
        <v>-4.314548937341095E-3</v>
      </c>
      <c r="U13" s="28">
        <f t="shared" si="1"/>
        <v>1.1982633119863894E-4</v>
      </c>
      <c r="V13" s="28">
        <f t="shared" ca="1" si="1"/>
        <v>8.0277429367370896E-4</v>
      </c>
      <c r="W13" s="28">
        <f t="shared" ca="1" si="1"/>
        <v>-3.6553725782883995E-5</v>
      </c>
      <c r="X13" s="28">
        <f t="shared" ca="1" si="1"/>
        <v>-1.1877292779874583E-2</v>
      </c>
    </row>
    <row r="14" spans="1:33" x14ac:dyDescent="0.2">
      <c r="A14" s="14" t="s">
        <v>1158</v>
      </c>
      <c r="B14" s="28">
        <f t="shared" ref="B14:X14" si="2">IF($X$10&lt;&gt;0,(B$9-B$8)/$X$10,0)</f>
        <v>0</v>
      </c>
      <c r="C14" s="28">
        <f t="shared" si="2"/>
        <v>2.8542650256396459E-4</v>
      </c>
      <c r="D14" s="28">
        <f t="shared" ca="1" si="2"/>
        <v>1.0694472844996182E-3</v>
      </c>
      <c r="E14" s="28">
        <f t="shared" si="2"/>
        <v>0</v>
      </c>
      <c r="F14" s="28">
        <f t="shared" si="2"/>
        <v>0</v>
      </c>
      <c r="G14" s="28">
        <f t="shared" si="2"/>
        <v>0</v>
      </c>
      <c r="H14" s="28">
        <f t="shared" si="2"/>
        <v>0</v>
      </c>
      <c r="I14" s="28">
        <f t="shared" si="2"/>
        <v>0</v>
      </c>
      <c r="J14" s="28">
        <f t="shared" si="2"/>
        <v>0</v>
      </c>
      <c r="K14" s="28">
        <f t="shared" si="2"/>
        <v>0</v>
      </c>
      <c r="L14" s="28">
        <f t="shared" si="2"/>
        <v>0</v>
      </c>
      <c r="M14" s="28">
        <f t="shared" si="2"/>
        <v>0</v>
      </c>
      <c r="N14" s="28">
        <f t="shared" si="2"/>
        <v>0</v>
      </c>
      <c r="O14" s="28">
        <f t="shared" si="2"/>
        <v>0</v>
      </c>
      <c r="P14" s="28">
        <f t="shared" si="2"/>
        <v>0</v>
      </c>
      <c r="Q14" s="28">
        <f t="shared" si="2"/>
        <v>9.6840247232250223E-2</v>
      </c>
      <c r="R14" s="28">
        <f t="shared" ca="1" si="2"/>
        <v>-0.20678528754186185</v>
      </c>
      <c r="S14" s="28">
        <f t="shared" ca="1" si="2"/>
        <v>0</v>
      </c>
      <c r="T14" s="28">
        <f t="shared" si="2"/>
        <v>0</v>
      </c>
      <c r="U14" s="28">
        <f t="shared" si="2"/>
        <v>0</v>
      </c>
      <c r="V14" s="28">
        <f t="shared" ca="1" si="2"/>
        <v>0</v>
      </c>
      <c r="W14" s="28">
        <f t="shared" ca="1" si="2"/>
        <v>0</v>
      </c>
      <c r="X14" s="28">
        <f t="shared" ca="1" si="2"/>
        <v>-0.10859016652254806</v>
      </c>
    </row>
    <row r="15" spans="1:33" x14ac:dyDescent="0.2">
      <c r="A15" s="14" t="s">
        <v>1159</v>
      </c>
      <c r="B15" s="28">
        <f t="shared" ref="B15:X15" si="3">IF($X$8&lt;&gt;0,(B$9-B$8)/$X$8,0)</f>
        <v>0</v>
      </c>
      <c r="C15" s="28">
        <f t="shared" si="3"/>
        <v>2.8542650256396459E-4</v>
      </c>
      <c r="D15" s="28">
        <f t="shared" ca="1" si="3"/>
        <v>1.0694472844996182E-3</v>
      </c>
      <c r="E15" s="28">
        <f t="shared" si="3"/>
        <v>0</v>
      </c>
      <c r="F15" s="28">
        <f t="shared" si="3"/>
        <v>0</v>
      </c>
      <c r="G15" s="28">
        <f t="shared" si="3"/>
        <v>0</v>
      </c>
      <c r="H15" s="28">
        <f t="shared" si="3"/>
        <v>0</v>
      </c>
      <c r="I15" s="28">
        <f t="shared" si="3"/>
        <v>0</v>
      </c>
      <c r="J15" s="28">
        <f t="shared" si="3"/>
        <v>0</v>
      </c>
      <c r="K15" s="28">
        <f t="shared" si="3"/>
        <v>0</v>
      </c>
      <c r="L15" s="28">
        <f t="shared" si="3"/>
        <v>0</v>
      </c>
      <c r="M15" s="28">
        <f t="shared" si="3"/>
        <v>0</v>
      </c>
      <c r="N15" s="28">
        <f t="shared" si="3"/>
        <v>0</v>
      </c>
      <c r="O15" s="28">
        <f t="shared" si="3"/>
        <v>0</v>
      </c>
      <c r="P15" s="28">
        <f t="shared" si="3"/>
        <v>0</v>
      </c>
      <c r="Q15" s="28">
        <f t="shared" si="3"/>
        <v>9.6840247232250223E-2</v>
      </c>
      <c r="R15" s="28">
        <f t="shared" ca="1" si="3"/>
        <v>-0.20678528754186185</v>
      </c>
      <c r="S15" s="28">
        <f t="shared" ca="1" si="3"/>
        <v>0</v>
      </c>
      <c r="T15" s="28">
        <f t="shared" si="3"/>
        <v>0</v>
      </c>
      <c r="U15" s="28">
        <f t="shared" si="3"/>
        <v>0</v>
      </c>
      <c r="V15" s="28">
        <f t="shared" ca="1" si="3"/>
        <v>0</v>
      </c>
      <c r="W15" s="28">
        <f t="shared" ca="1" si="3"/>
        <v>0</v>
      </c>
      <c r="X15" s="28">
        <f t="shared" ca="1" si="3"/>
        <v>-0.10859016652254806</v>
      </c>
    </row>
  </sheetData>
  <dataValidations count="5">
    <dataValidation type="list" allowBlank="1" showInputMessage="1" showErrorMessage="1" error="Deve-se selecionar grupo válido" sqref="A2:B2" xr:uid="{A0A65D8F-49C7-4119-BD6D-EABB08B382E6}">
      <formula1>AA1:AA7</formula1>
    </dataValidation>
    <dataValidation type="list" allowBlank="1" showInputMessage="1" showErrorMessage="1" error="Deve-se selecionar grupo válido" sqref="C2 E2" xr:uid="{F2BFA906-C349-423D-A4B3-6E28E3A9CB01}">
      <formula1>AC1:AC4</formula1>
    </dataValidation>
    <dataValidation type="list" allowBlank="1" showInputMessage="1" showErrorMessage="1" error="Deve-se selecionar grupo válido" sqref="D2" xr:uid="{1D6B866F-B437-4C89-9F5C-E5E5FC60BEBB}">
      <formula1>AD1:AD10</formula1>
    </dataValidation>
    <dataValidation type="list" allowBlank="1" showInputMessage="1" showErrorMessage="1" error="Deve-se selecionar grupo válido" sqref="F2" xr:uid="{96257F7B-E49D-4790-9C43-8CE2323BE6AB}">
      <formula1>AF1:AF1</formula1>
    </dataValidation>
    <dataValidation type="list" allowBlank="1" showInputMessage="1" showErrorMessage="1" error="Deve-se selecionar grupo válido" sqref="G2" xr:uid="{C6AA2611-29ED-4562-B56C-6A3ADE9F6A6E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B640-08E6-4B00-A54C-C4A9F2112AC3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5" width="10.28515625" style="14" bestFit="1" customWidth="1"/>
    <col min="6" max="6" width="10.5703125" style="14" bestFit="1" customWidth="1"/>
    <col min="7" max="7" width="14.85546875" style="14" bestFit="1" customWidth="1"/>
    <col min="8" max="8" width="10" style="14" bestFit="1" customWidth="1"/>
    <col min="9" max="9" width="9.5703125" style="14" bestFit="1" customWidth="1"/>
    <col min="10" max="10" width="6.42578125" style="14" bestFit="1" customWidth="1"/>
    <col min="11" max="11" width="10.570312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71</v>
      </c>
      <c r="B1" s="14" t="s">
        <v>72</v>
      </c>
      <c r="C1" s="14" t="s">
        <v>73</v>
      </c>
      <c r="D1" s="14" t="s">
        <v>74</v>
      </c>
      <c r="E1" s="14" t="s">
        <v>75</v>
      </c>
      <c r="F1" s="14" t="s">
        <v>15</v>
      </c>
      <c r="G1" s="14" t="s">
        <v>77</v>
      </c>
      <c r="I1" s="14" t="s">
        <v>1156</v>
      </c>
      <c r="AA1" s="14" t="s">
        <v>38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38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81</v>
      </c>
      <c r="AC2" s="14" t="s">
        <v>24</v>
      </c>
      <c r="AD2" s="14" t="s">
        <v>24</v>
      </c>
      <c r="AG2" s="14" t="s">
        <v>83</v>
      </c>
    </row>
    <row r="3" spans="1:33" x14ac:dyDescent="0.2">
      <c r="AA3" s="14" t="s">
        <v>42</v>
      </c>
      <c r="AB3" s="14" t="s">
        <v>85</v>
      </c>
      <c r="AC3" s="14" t="s">
        <v>43</v>
      </c>
      <c r="AD3" s="14" t="s">
        <v>28</v>
      </c>
      <c r="AG3" s="14" t="s">
        <v>84</v>
      </c>
    </row>
    <row r="4" spans="1:33" x14ac:dyDescent="0.2">
      <c r="AA4" s="14" t="s">
        <v>36</v>
      </c>
      <c r="AB4" s="14" t="s">
        <v>94</v>
      </c>
      <c r="AC4" s="14" t="s">
        <v>46</v>
      </c>
      <c r="AD4" s="14" t="s">
        <v>29</v>
      </c>
      <c r="AG4" s="14" t="s">
        <v>86</v>
      </c>
    </row>
    <row r="5" spans="1:33" x14ac:dyDescent="0.2">
      <c r="A5" s="14" t="s">
        <v>1149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600</v>
      </c>
      <c r="AA5" s="14" t="s">
        <v>45</v>
      </c>
      <c r="AD5" s="14" t="s">
        <v>30</v>
      </c>
      <c r="AG5" s="14" t="s">
        <v>93</v>
      </c>
    </row>
    <row r="6" spans="1:33" x14ac:dyDescent="0.2">
      <c r="A6" s="14" t="s">
        <v>1150</v>
      </c>
      <c r="B6" s="17">
        <f>SUM(TE!$X$48:'TE'!$X$85)</f>
        <v>340518.39830150304</v>
      </c>
      <c r="C6" s="17">
        <f>SUM(TE!$Y$48:'TE'!$Y$85)</f>
        <v>3101710.7267116266</v>
      </c>
      <c r="D6" s="17">
        <f>SUM(TE!$Z$48:'TE'!$Z$85)</f>
        <v>0</v>
      </c>
      <c r="E6" s="17">
        <f>SUM(TE!$AA$48:'TE'!$AA$85)</f>
        <v>0</v>
      </c>
      <c r="F6" s="17">
        <f>SUM(TE!$AB$48:'TE'!$AB$85)</f>
        <v>0</v>
      </c>
      <c r="G6" s="17">
        <f>SUM(TE!$AC$48:'TE'!$AC$85)</f>
        <v>29521329.219289634</v>
      </c>
      <c r="H6" s="17">
        <f>SUM(TE!$AD$48:'TE'!$AD$85)</f>
        <v>752556.9127018993</v>
      </c>
      <c r="I6" s="17">
        <f>SUM(TE!$AE$48:'TE'!$AE$85)</f>
        <v>681171.42314958374</v>
      </c>
      <c r="J6" s="17">
        <f>SUM(TE!$AF$48:'TE'!$AF$85)</f>
        <v>0</v>
      </c>
      <c r="K6" s="17">
        <f>SUM(TE!$AG$48:'TE'!$AG$85)</f>
        <v>0</v>
      </c>
      <c r="L6" s="17">
        <f>SUM(TE!$AH$48:'TE'!$AH$85)</f>
        <v>745229.8762607961</v>
      </c>
      <c r="M6" s="17">
        <f t="shared" ref="M6:M11" si="0">SUM(B6:L6)</f>
        <v>35142516.556415044</v>
      </c>
      <c r="AD6" s="14" t="s">
        <v>31</v>
      </c>
    </row>
    <row r="7" spans="1:33" x14ac:dyDescent="0.2">
      <c r="A7" s="14" t="s">
        <v>1151</v>
      </c>
      <c r="B7" s="17">
        <f>SUM(TE!$L$48:'TE'!$L$85)</f>
        <v>376046.16340830451</v>
      </c>
      <c r="C7" s="17">
        <f>SUM(TE!$M$48:'TE'!$M$85)</f>
        <v>3515083.0083626197</v>
      </c>
      <c r="D7" s="17">
        <f>SUM(TE!$N$48:'TE'!$N$85)</f>
        <v>0</v>
      </c>
      <c r="E7" s="17">
        <f>SUM(TE!$O$48:'TE'!$O$85)</f>
        <v>1382312.6172134946</v>
      </c>
      <c r="F7" s="17">
        <f>SUM(TE!$P$48:'TE'!$P$85)</f>
        <v>-2700222.4198382176</v>
      </c>
      <c r="G7" s="17">
        <f>SUM(TE!$Q$48:'TE'!$Q$85)</f>
        <v>33720192.720272675</v>
      </c>
      <c r="H7" s="17">
        <f>SUM(TE!$R$48:'TE'!$R$85)</f>
        <v>1259991.7102804324</v>
      </c>
      <c r="I7" s="17">
        <f>SUM(TE!$S$48:'TE'!$S$85)</f>
        <v>799232.63141929009</v>
      </c>
      <c r="J7" s="17">
        <f>SUM(TE!$T$48:'TE'!$T$85)</f>
        <v>0</v>
      </c>
      <c r="K7" s="17">
        <f>SUM(TE!$U$48:'TE'!$U$85)</f>
        <v>-6711649.068030633</v>
      </c>
      <c r="L7" s="17">
        <f>SUM(TE!$V$48:'TE'!$V$85)</f>
        <v>985394.32409697294</v>
      </c>
      <c r="M7" s="17">
        <f t="shared" si="0"/>
        <v>32626381.687184941</v>
      </c>
      <c r="AD7" s="14" t="s">
        <v>96</v>
      </c>
    </row>
    <row r="8" spans="1:33" x14ac:dyDescent="0.2">
      <c r="A8" s="14" t="s">
        <v>1154</v>
      </c>
      <c r="B8" s="17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73837.790576819651</v>
      </c>
      <c r="C8" s="17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672572.95996683661</v>
      </c>
      <c r="D8" s="17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17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17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17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6341290.4138509519</v>
      </c>
      <c r="H8" s="17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163183.95715000492</v>
      </c>
      <c r="I8" s="17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147704.77348745111</v>
      </c>
      <c r="J8" s="17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17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0</v>
      </c>
      <c r="L8" s="17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161595.16727848715</v>
      </c>
      <c r="M8" s="17">
        <f t="shared" si="0"/>
        <v>7560185.0623105513</v>
      </c>
      <c r="AD8" s="14" t="s">
        <v>97</v>
      </c>
    </row>
    <row r="9" spans="1:33" x14ac:dyDescent="0.2">
      <c r="A9" s="14" t="s">
        <v>1155</v>
      </c>
      <c r="B9" s="17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80895.496780542293</v>
      </c>
      <c r="C9" s="17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756168.82674478996</v>
      </c>
      <c r="D9" s="17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17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297364.73006927583</v>
      </c>
      <c r="F9" s="17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-580875.05026237085</v>
      </c>
      <c r="G9" s="17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7185680.400794466</v>
      </c>
      <c r="H9" s="17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271050.91145905229</v>
      </c>
      <c r="I9" s="17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171931.8718103313</v>
      </c>
      <c r="J9" s="17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17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-1432107.531739485</v>
      </c>
      <c r="L9" s="17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211979.19598503984</v>
      </c>
      <c r="M9" s="17">
        <f t="shared" si="0"/>
        <v>6962088.8516416419</v>
      </c>
      <c r="AD9" s="14" t="s">
        <v>47</v>
      </c>
    </row>
    <row r="10" spans="1:33" x14ac:dyDescent="0.2">
      <c r="A10" s="14" t="s">
        <v>1152</v>
      </c>
      <c r="B10" s="17">
        <f>SUMIF(TE!$A$48:'TE'!$A$85,$A$2,TE!$X$48:'TE'!$X$85)</f>
        <v>73837.790576819651</v>
      </c>
      <c r="C10" s="17">
        <f>SUMIF(TE!$A$48:'TE'!$A$85,$A$2,TE!$Y$48:'TE'!$Y$85)</f>
        <v>672572.95996683661</v>
      </c>
      <c r="D10" s="17">
        <f>SUMIF(TE!$A$48:'TE'!$A$85,$A$2,TE!$Z$48:'TE'!$Z$85)</f>
        <v>0</v>
      </c>
      <c r="E10" s="17">
        <f>SUMIF(TE!$A$48:'TE'!$A$85,$A$2,TE!$AA$48:'TE'!$AA$85)</f>
        <v>0</v>
      </c>
      <c r="F10" s="17">
        <f>SUMIF(TE!$A$48:'TE'!$A$85,$A$2,TE!$AB$48:'TE'!$AB$85)</f>
        <v>0</v>
      </c>
      <c r="G10" s="17">
        <f>SUMIF(TE!$A$48:'TE'!$A$85,$A$2,TE!$AC$48:'TE'!$AC$85)</f>
        <v>6341290.4138509519</v>
      </c>
      <c r="H10" s="17">
        <f>SUMIF(TE!$A$48:'TE'!$A$85,$A$2,TE!$AD$48:'TE'!$AD$85)</f>
        <v>163183.95715000492</v>
      </c>
      <c r="I10" s="17">
        <f>SUMIF(TE!$A$48:'TE'!$A$85,$A$2,TE!$AE$48:'TE'!$AE$85)</f>
        <v>147704.77348745111</v>
      </c>
      <c r="J10" s="17">
        <f>SUMIF(TE!$A$48:'TE'!$A$85,$A$2,TE!$AF$48:'TE'!$AF$85)</f>
        <v>0</v>
      </c>
      <c r="K10" s="17">
        <f>SUMIF(TE!$A$48:'TE'!$A$85,$A$2,TE!$AG$48:'TE'!$AG$85)</f>
        <v>0</v>
      </c>
      <c r="L10" s="17">
        <f>SUMIF(TE!$A$48:'TE'!$A$85,$A$2,TE!$AH$48:'TE'!$AH$85)</f>
        <v>161595.16727848715</v>
      </c>
      <c r="M10" s="17">
        <f t="shared" si="0"/>
        <v>7560185.0623105513</v>
      </c>
      <c r="AD10" s="14" t="s">
        <v>98</v>
      </c>
    </row>
    <row r="11" spans="1:33" x14ac:dyDescent="0.2">
      <c r="A11" s="14" t="s">
        <v>1153</v>
      </c>
      <c r="B11" s="17">
        <f>SUMIF(TE!$A$48:'TE'!$A$85,$A$2,TE!$L$48:'TE'!$L$85)</f>
        <v>80895.496780542293</v>
      </c>
      <c r="C11" s="17">
        <f>SUMIF(TE!$A$48:'TE'!$A$85,$A$2,TE!$M$48:'TE'!$M$85)</f>
        <v>756168.82674478996</v>
      </c>
      <c r="D11" s="17">
        <f>SUMIF(TE!$A$48:'TE'!$A$85,$A$2,TE!$N$48:'TE'!$N$85)</f>
        <v>0</v>
      </c>
      <c r="E11" s="17">
        <f>SUMIF(TE!$A$48:'TE'!$A$85,$A$2,TE!$O$48:'TE'!$O$85)</f>
        <v>297364.73006927583</v>
      </c>
      <c r="F11" s="17">
        <f>SUMIF(TE!$A$48:'TE'!$A$85,$A$2,TE!$P$48:'TE'!$P$85)</f>
        <v>-580875.05026237085</v>
      </c>
      <c r="G11" s="17">
        <f>SUMIF(TE!$A$48:'TE'!$A$85,$A$2,TE!$Q$48:'TE'!$Q$85)</f>
        <v>7185680.400794466</v>
      </c>
      <c r="H11" s="17">
        <f>SUMIF(TE!$A$48:'TE'!$A$85,$A$2,TE!$R$48:'TE'!$R$85)</f>
        <v>271050.91145905229</v>
      </c>
      <c r="I11" s="17">
        <f>SUMIF(TE!$A$48:'TE'!$A$85,$A$2,TE!$S$48:'TE'!$S$85)</f>
        <v>171931.8718103313</v>
      </c>
      <c r="J11" s="17">
        <f>SUMIF(TE!$A$48:'TE'!$A$85,$A$2,TE!$T$48:'TE'!$T$85)</f>
        <v>0</v>
      </c>
      <c r="K11" s="17">
        <f>SUMIF(TE!$A$48:'TE'!$A$85,$A$2,TE!$U$48:'TE'!$U$85)</f>
        <v>-1432107.531739485</v>
      </c>
      <c r="L11" s="17">
        <f>SUMIF(TE!$A$48:'TE'!$A$85,$A$2,TE!$V$48:'TE'!$V$85)</f>
        <v>211979.19598503984</v>
      </c>
      <c r="M11" s="17">
        <f t="shared" si="0"/>
        <v>6962088.8516416419</v>
      </c>
    </row>
    <row r="13" spans="1:33" x14ac:dyDescent="0.2">
      <c r="A13" s="14" t="s">
        <v>1157</v>
      </c>
      <c r="B13" s="28">
        <f t="shared" ref="B13:M13" si="1">IF($M$6&lt;&gt;0,(B$7-B$6)/$M$6,0)</f>
        <v>1.0109624633673567E-3</v>
      </c>
      <c r="C13" s="28">
        <f t="shared" si="1"/>
        <v>1.1762739899045008E-2</v>
      </c>
      <c r="D13" s="28">
        <f t="shared" si="1"/>
        <v>0</v>
      </c>
      <c r="E13" s="28">
        <f t="shared" si="1"/>
        <v>3.9334480073287811E-2</v>
      </c>
      <c r="F13" s="28">
        <f t="shared" si="1"/>
        <v>-7.6836341970658015E-2</v>
      </c>
      <c r="G13" s="28">
        <f t="shared" si="1"/>
        <v>0.11948101366737679</v>
      </c>
      <c r="H13" s="28">
        <f t="shared" si="1"/>
        <v>1.4439341495761608E-2</v>
      </c>
      <c r="I13" s="28">
        <f t="shared" si="1"/>
        <v>3.3594978344871837E-3</v>
      </c>
      <c r="J13" s="28">
        <f t="shared" si="1"/>
        <v>0</v>
      </c>
      <c r="K13" s="28">
        <f t="shared" si="1"/>
        <v>-0.19098373496548768</v>
      </c>
      <c r="L13" s="28">
        <f t="shared" si="1"/>
        <v>6.8340139343929926E-3</v>
      </c>
      <c r="M13" s="28">
        <f t="shared" si="1"/>
        <v>-7.1598027568426897E-2</v>
      </c>
    </row>
    <row r="14" spans="1:33" x14ac:dyDescent="0.2">
      <c r="A14" s="14" t="s">
        <v>1158</v>
      </c>
      <c r="B14" s="28">
        <f t="shared" ref="B14:M14" si="2">IF($M$10&lt;&gt;0,(B$9-B$8)/$M$10,0)</f>
        <v>9.3353616949234562E-4</v>
      </c>
      <c r="C14" s="28">
        <f t="shared" si="2"/>
        <v>1.1057383660447683E-2</v>
      </c>
      <c r="D14" s="28">
        <f t="shared" si="2"/>
        <v>0</v>
      </c>
      <c r="E14" s="28">
        <f t="shared" si="2"/>
        <v>3.9332996165889478E-2</v>
      </c>
      <c r="F14" s="28">
        <f t="shared" si="2"/>
        <v>-7.6833443292040685E-2</v>
      </c>
      <c r="G14" s="28">
        <f t="shared" si="2"/>
        <v>0.1116890631623574</v>
      </c>
      <c r="H14" s="28">
        <f t="shared" si="2"/>
        <v>1.4267766386671092E-2</v>
      </c>
      <c r="I14" s="28">
        <f t="shared" si="2"/>
        <v>3.2045641903210081E-3</v>
      </c>
      <c r="J14" s="28">
        <f t="shared" si="2"/>
        <v>0</v>
      </c>
      <c r="K14" s="28">
        <f t="shared" si="2"/>
        <v>-0.18942757616859221</v>
      </c>
      <c r="L14" s="28">
        <f t="shared" si="2"/>
        <v>6.6643909231441853E-3</v>
      </c>
      <c r="M14" s="28">
        <f t="shared" si="2"/>
        <v>-7.9111318802309663E-2</v>
      </c>
    </row>
    <row r="15" spans="1:33" x14ac:dyDescent="0.2">
      <c r="A15" s="14" t="s">
        <v>1159</v>
      </c>
      <c r="B15" s="28">
        <f t="shared" ref="B15:M15" si="3">IF($M$8&lt;&gt;0,(B$9-B$8)/$M$8,0)</f>
        <v>9.3353616949234562E-4</v>
      </c>
      <c r="C15" s="28">
        <f t="shared" si="3"/>
        <v>1.1057383660447683E-2</v>
      </c>
      <c r="D15" s="28">
        <f t="shared" si="3"/>
        <v>0</v>
      </c>
      <c r="E15" s="28">
        <f t="shared" si="3"/>
        <v>3.9332996165889478E-2</v>
      </c>
      <c r="F15" s="28">
        <f t="shared" si="3"/>
        <v>-7.6833443292040685E-2</v>
      </c>
      <c r="G15" s="28">
        <f t="shared" si="3"/>
        <v>0.1116890631623574</v>
      </c>
      <c r="H15" s="28">
        <f t="shared" si="3"/>
        <v>1.4267766386671092E-2</v>
      </c>
      <c r="I15" s="28">
        <f t="shared" si="3"/>
        <v>3.2045641903210081E-3</v>
      </c>
      <c r="J15" s="28">
        <f t="shared" si="3"/>
        <v>0</v>
      </c>
      <c r="K15" s="28">
        <f t="shared" si="3"/>
        <v>-0.18942757616859221</v>
      </c>
      <c r="L15" s="28">
        <f t="shared" si="3"/>
        <v>6.6643909231441853E-3</v>
      </c>
      <c r="M15" s="28">
        <f t="shared" si="3"/>
        <v>-7.9111318802309663E-2</v>
      </c>
    </row>
  </sheetData>
  <dataValidations count="4">
    <dataValidation type="list" allowBlank="1" showInputMessage="1" showErrorMessage="1" sqref="A2 G2" xr:uid="{374E5BD1-28E2-4430-8184-4EBFA163F281}">
      <formula1>AA1:AA5</formula1>
    </dataValidation>
    <dataValidation type="list" allowBlank="1" showInputMessage="1" showErrorMessage="1" sqref="B2 C2" xr:uid="{2E540A5F-1A2C-40D6-A684-FFB76430C32F}">
      <formula1>AB1:AB4</formula1>
    </dataValidation>
    <dataValidation type="list" allowBlank="1" showInputMessage="1" showErrorMessage="1" sqref="D2" xr:uid="{B2542240-68B4-4C49-91DD-9B58B3EF5106}">
      <formula1>AD1:AD10</formula1>
    </dataValidation>
    <dataValidation type="list" allowBlank="1" showInputMessage="1" showErrorMessage="1" sqref="E2 F2" xr:uid="{76BB7207-C420-4B25-8FF3-65D035CCF56A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8B23-5C3B-4F25-9CA3-39E49786D6FD}">
  <sheetPr>
    <tabColor indexed="12" tint="-0.249977111117893"/>
  </sheetPr>
  <dimension ref="A1:BC59"/>
  <sheetViews>
    <sheetView showGridLines="0" topLeftCell="AB29" workbookViewId="0">
      <selection activeCell="AO54" sqref="AO54:AP5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1" width="11.5703125" style="9" bestFit="1" customWidth="1"/>
    <col min="42" max="42" width="10.85546875" style="9" bestFit="1" customWidth="1"/>
    <col min="43" max="16384" width="9.140625" style="9"/>
  </cols>
  <sheetData>
    <row r="1" spans="1:55" ht="11.25" customHeight="1" x14ac:dyDescent="0.25">
      <c r="A1" s="132" t="s">
        <v>71</v>
      </c>
      <c r="B1" s="132" t="s">
        <v>72</v>
      </c>
      <c r="C1" s="132" t="s">
        <v>73</v>
      </c>
      <c r="D1" s="132" t="s">
        <v>74</v>
      </c>
      <c r="E1" s="132" t="s">
        <v>75</v>
      </c>
      <c r="F1" s="132" t="s">
        <v>15</v>
      </c>
      <c r="G1" s="132" t="s">
        <v>77</v>
      </c>
      <c r="H1" s="132" t="s">
        <v>78</v>
      </c>
      <c r="I1" s="132" t="s">
        <v>652</v>
      </c>
      <c r="J1" s="125"/>
      <c r="L1" s="133" t="s">
        <v>663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76"/>
      <c r="AP1" s="136" t="s">
        <v>654</v>
      </c>
      <c r="AQ1" s="150" t="s">
        <v>1</v>
      </c>
      <c r="AR1" s="152" t="s">
        <v>2</v>
      </c>
      <c r="AS1" s="152" t="s">
        <v>3</v>
      </c>
      <c r="AT1" s="152" t="s">
        <v>4</v>
      </c>
      <c r="AU1" s="152" t="s">
        <v>5</v>
      </c>
      <c r="AV1" s="152" t="s">
        <v>1182</v>
      </c>
      <c r="AW1" s="152" t="s">
        <v>1183</v>
      </c>
      <c r="AX1" s="152" t="s">
        <v>1184</v>
      </c>
      <c r="AY1" s="152" t="s">
        <v>1185</v>
      </c>
      <c r="AZ1" s="152" t="s">
        <v>1186</v>
      </c>
      <c r="BC1" s="152" t="s">
        <v>1187</v>
      </c>
    </row>
    <row r="2" spans="1:55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5"/>
      <c r="L2" s="133" t="s">
        <v>562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76"/>
      <c r="AP2" s="137"/>
      <c r="AQ2" s="151"/>
      <c r="AR2" s="153"/>
      <c r="AS2" s="153"/>
      <c r="AT2" s="153"/>
      <c r="AU2" s="153"/>
      <c r="AV2" s="153"/>
      <c r="AW2" s="153"/>
      <c r="AX2" s="153"/>
      <c r="AY2" s="153"/>
      <c r="AZ2" s="153"/>
      <c r="BC2" s="153"/>
    </row>
    <row r="3" spans="1:55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5"/>
      <c r="L3" s="133" t="s">
        <v>563</v>
      </c>
      <c r="M3" s="133"/>
      <c r="N3" s="133"/>
      <c r="O3" s="133"/>
      <c r="P3" s="133"/>
      <c r="Q3" s="133"/>
      <c r="R3" s="133"/>
      <c r="S3" s="133"/>
      <c r="T3" s="133"/>
      <c r="U3" s="133" t="s">
        <v>572</v>
      </c>
      <c r="V3" s="133"/>
      <c r="W3" s="133"/>
      <c r="X3" s="133"/>
      <c r="Y3" s="133"/>
      <c r="Z3" s="133"/>
      <c r="AA3" s="133"/>
      <c r="AB3" s="133"/>
      <c r="AC3" s="133" t="s">
        <v>580</v>
      </c>
      <c r="AD3" s="133"/>
      <c r="AE3" s="133" t="s">
        <v>582</v>
      </c>
      <c r="AF3" s="133"/>
      <c r="AG3" s="133"/>
      <c r="AH3" s="133" t="s">
        <v>585</v>
      </c>
      <c r="AI3" s="133"/>
      <c r="AJ3" s="133"/>
      <c r="AK3" s="133"/>
      <c r="AL3" s="133"/>
      <c r="AM3" s="133" t="s">
        <v>571</v>
      </c>
      <c r="AO3" s="76"/>
      <c r="AP3" s="137"/>
      <c r="AQ3" s="151"/>
      <c r="AR3" s="153"/>
      <c r="AS3" s="153"/>
      <c r="AT3" s="153"/>
      <c r="AU3" s="153"/>
      <c r="AV3" s="153"/>
      <c r="AW3" s="153"/>
      <c r="AX3" s="153"/>
      <c r="AY3" s="153"/>
      <c r="AZ3" s="153"/>
      <c r="BC3" s="153"/>
    </row>
    <row r="4" spans="1:55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5"/>
      <c r="L4" s="69" t="s">
        <v>648</v>
      </c>
      <c r="M4" s="69" t="s">
        <v>564</v>
      </c>
      <c r="N4" s="69" t="s">
        <v>565</v>
      </c>
      <c r="O4" s="69" t="s">
        <v>566</v>
      </c>
      <c r="P4" s="69" t="s">
        <v>567</v>
      </c>
      <c r="Q4" s="69" t="s">
        <v>568</v>
      </c>
      <c r="R4" s="69" t="s">
        <v>569</v>
      </c>
      <c r="S4" s="69" t="s">
        <v>570</v>
      </c>
      <c r="T4" s="69" t="s">
        <v>571</v>
      </c>
      <c r="U4" s="69" t="s">
        <v>573</v>
      </c>
      <c r="V4" s="69" t="s">
        <v>574</v>
      </c>
      <c r="W4" s="69" t="s">
        <v>575</v>
      </c>
      <c r="X4" s="69" t="s">
        <v>576</v>
      </c>
      <c r="Y4" s="69" t="s">
        <v>577</v>
      </c>
      <c r="Z4" s="69" t="s">
        <v>578</v>
      </c>
      <c r="AA4" s="69" t="s">
        <v>579</v>
      </c>
      <c r="AB4" s="69" t="s">
        <v>571</v>
      </c>
      <c r="AC4" s="69" t="s">
        <v>581</v>
      </c>
      <c r="AD4" s="69" t="s">
        <v>571</v>
      </c>
      <c r="AE4" s="69" t="s">
        <v>583</v>
      </c>
      <c r="AF4" s="69" t="s">
        <v>584</v>
      </c>
      <c r="AG4" s="69" t="s">
        <v>571</v>
      </c>
      <c r="AH4" s="69" t="s">
        <v>586</v>
      </c>
      <c r="AI4" s="69" t="s">
        <v>587</v>
      </c>
      <c r="AJ4" s="69" t="s">
        <v>588</v>
      </c>
      <c r="AK4" s="69" t="s">
        <v>589</v>
      </c>
      <c r="AL4" s="69" t="s">
        <v>571</v>
      </c>
      <c r="AM4" s="135"/>
      <c r="AO4" s="77" t="s">
        <v>665</v>
      </c>
      <c r="AP4" s="138"/>
      <c r="AQ4" s="151"/>
      <c r="AR4" s="153"/>
      <c r="AS4" s="153"/>
      <c r="AT4" s="153"/>
      <c r="AU4" s="153"/>
      <c r="AV4" s="153"/>
      <c r="AW4" s="153"/>
      <c r="AX4" s="153"/>
      <c r="AY4" s="153"/>
      <c r="AZ4" s="153"/>
      <c r="BC4" s="153"/>
    </row>
    <row r="5" spans="1:55" ht="11.25" customHeight="1" x14ac:dyDescent="0.25">
      <c r="A5" s="73" t="s">
        <v>62</v>
      </c>
      <c r="B5" s="73" t="s">
        <v>59</v>
      </c>
      <c r="C5" s="73" t="s">
        <v>25</v>
      </c>
      <c r="D5" s="73" t="s">
        <v>25</v>
      </c>
      <c r="E5" s="73" t="s">
        <v>25</v>
      </c>
      <c r="F5" s="73" t="s">
        <v>25</v>
      </c>
      <c r="G5" s="74" t="s">
        <v>9</v>
      </c>
      <c r="H5" s="74" t="s">
        <v>80</v>
      </c>
      <c r="I5" s="74">
        <f>'MERCADO TUSD'!$U$2</f>
        <v>27600</v>
      </c>
      <c r="J5" s="15"/>
      <c r="L5" s="53">
        <f>'TUSD BE'!$L$5*'TUSD BE'!$L$59</f>
        <v>0</v>
      </c>
      <c r="M5" s="53">
        <f>'TUSD BE'!$M$5*'TUSD BE'!$M$59</f>
        <v>-3.6846798101543292E-3</v>
      </c>
      <c r="N5" s="53">
        <f ca="1">'TUSD BE'!$N$5*'TUSD BE'!$N$59</f>
        <v>1.6774856883181126E-12</v>
      </c>
      <c r="O5" s="53">
        <f>'TUSD BE'!$O$5*'TUSD BE'!$O$59</f>
        <v>0</v>
      </c>
      <c r="P5" s="53">
        <f>'TUSD BE'!$P$5*'TUSD BE'!$P$59</f>
        <v>0</v>
      </c>
      <c r="Q5" s="53">
        <f>'TUSD BE'!$Q$5*'TUSD BE'!$Q$59</f>
        <v>0</v>
      </c>
      <c r="R5" s="53">
        <f>'TUSD BE'!$R$5*'TUSD BE'!$R$59</f>
        <v>0</v>
      </c>
      <c r="S5" s="53">
        <f>'TUSD BE'!$R$5*'TUSD BE'!$S$59</f>
        <v>0</v>
      </c>
      <c r="T5" s="53">
        <f ca="1">SUM($L$5:$S$5)</f>
        <v>-3.6846798084768434E-3</v>
      </c>
      <c r="U5" s="53">
        <f>'TUSD BE'!$U$5*'TUSD BE'!$U$59</f>
        <v>0</v>
      </c>
      <c r="V5" s="53">
        <f>'TUSD BE'!$V$5*'TUSD BE'!$V$59</f>
        <v>0</v>
      </c>
      <c r="W5" s="53">
        <f>'TUSD BE'!$W$5*'TUSD BE'!$W$59</f>
        <v>0</v>
      </c>
      <c r="X5" s="53">
        <f>'TUSD BE'!$X$5*'TUSD BE'!$X$59</f>
        <v>0</v>
      </c>
      <c r="Y5" s="53">
        <f>'TUSD BE'!$Y$5*'TUSD BE'!$Y$59</f>
        <v>0</v>
      </c>
      <c r="Z5" s="53">
        <f>'TUSD BE'!$Z$5*'TUSD BE'!$Z$59</f>
        <v>0</v>
      </c>
      <c r="AA5" s="53">
        <f>'TUSD BE'!$AA$5*'TUSD BE'!$AA$59</f>
        <v>0</v>
      </c>
      <c r="AB5" s="53">
        <f>SUM($U$5:$AA$5)</f>
        <v>0</v>
      </c>
      <c r="AC5" s="53">
        <f>'TUSD BE'!$AC$5*'TUSD BE'!$AC$59</f>
        <v>-0.11517826139012903</v>
      </c>
      <c r="AD5" s="53">
        <f>SUM($AC$5:$AC$5)</f>
        <v>-0.11517826139012903</v>
      </c>
      <c r="AE5" s="53">
        <f ca="1">$AO$5*$AO$56</f>
        <v>-2.72354436550025</v>
      </c>
      <c r="AF5" s="53">
        <f ca="1">$AP$5*$AP$56</f>
        <v>0</v>
      </c>
      <c r="AG5" s="53">
        <f ca="1">SUM($AE$5:$AF$5)</f>
        <v>-2.72354436550025</v>
      </c>
      <c r="AH5" s="53">
        <f>'TUSD BE'!$AH$5*'TUSD BE'!$AH$59</f>
        <v>0</v>
      </c>
      <c r="AI5" s="53">
        <f>'TUSD BE'!$AI$5*'TUSD BE'!$AI$59</f>
        <v>0</v>
      </c>
      <c r="AJ5" s="53">
        <f ca="1">'TUSD BE'!$AJ$5*'TUSD BE'!$AJ$59</f>
        <v>0</v>
      </c>
      <c r="AK5" s="53">
        <f ca="1">'TUSD BE'!$AK$5*'TUSD BE'!$AK$59</f>
        <v>0</v>
      </c>
      <c r="AL5" s="53">
        <f ca="1">SUM($AH$5:$AK$5)</f>
        <v>0</v>
      </c>
      <c r="AM5" s="53">
        <f ca="1">SUMIF($L$4:$AL$4,"SUBTOTAL",$L$5:$AL$5)+AZ5</f>
        <v>-2.8424073066988558</v>
      </c>
      <c r="AO5" s="76">
        <f>+'TUSD BE'!$T$5+'TUSD BE'!$AB$5+'TUSD BE'!$AD$5+'TUSD BE'!$AL$5</f>
        <v>14.583059933291283</v>
      </c>
      <c r="AP5" s="76">
        <f>+'TUSD BE'!$T$5+'TUSD BE'!$AB$5+'TUSD BE'!$AD$5+'TUSD BE'!$AL$5</f>
        <v>14.583059933291283</v>
      </c>
      <c r="AQ5" s="9" t="str">
        <f t="shared" ref="AQ5:AQ52" si="0">IF($A5="",AQ4,$A5)</f>
        <v>A3</v>
      </c>
      <c r="AR5" s="9" t="str">
        <f t="shared" ref="AR5:AR52" si="1">IF($B5="",AR4,$B5)</f>
        <v>Geração</v>
      </c>
      <c r="AS5" s="9" t="str">
        <f t="shared" ref="AS5:AS52" si="2">IF($C5="",AS4,$C5)</f>
        <v>Não se aplica</v>
      </c>
      <c r="AT5" s="9" t="str">
        <f t="shared" ref="AT5:AT52" si="3">IF($D5="",AT4,$D5)</f>
        <v>Não se aplica</v>
      </c>
      <c r="AU5" s="9" t="str">
        <f t="shared" ref="AU5:AU52" si="4">IF($E5="",AU4,$E5)</f>
        <v>Não se aplica</v>
      </c>
      <c r="AV5" s="9">
        <f t="shared" ref="AV5:AV52" si="5">IF(OR(AR5="Distribuição",AR5="Geração"),0,1)</f>
        <v>0</v>
      </c>
      <c r="AW5" s="9">
        <f>IFERROR(VLOOKUP(AQ5,TarifaMedia!$C$17:$G$17,5,0),0)</f>
        <v>0</v>
      </c>
      <c r="AX5" s="15">
        <f ca="1">'TUSD BE'!$AM5+'TUSD BF'!$AM5+'TUSD CVA'!$AM5</f>
        <v>11.740652626592427</v>
      </c>
      <c r="AY5" s="9">
        <v>6.45</v>
      </c>
      <c r="AZ5" s="9">
        <f t="shared" ref="AZ5:AZ52" ca="1" si="6">(AY5-AX5)*AW5*AV5</f>
        <v>0</v>
      </c>
      <c r="BC5" s="50" t="s">
        <v>1188</v>
      </c>
    </row>
    <row r="6" spans="1:55" ht="11.25" customHeight="1" x14ac:dyDescent="0.25">
      <c r="A6" s="131" t="s">
        <v>38</v>
      </c>
      <c r="B6" s="131" t="s">
        <v>39</v>
      </c>
      <c r="C6" s="131" t="s">
        <v>25</v>
      </c>
      <c r="D6" s="131" t="s">
        <v>25</v>
      </c>
      <c r="E6" s="131" t="s">
        <v>25</v>
      </c>
      <c r="F6" s="131" t="s">
        <v>25</v>
      </c>
      <c r="G6" s="74" t="s">
        <v>87</v>
      </c>
      <c r="H6" s="74" t="s">
        <v>80</v>
      </c>
      <c r="I6" s="74">
        <f>'MERCADO TUSD'!$U$3</f>
        <v>74530</v>
      </c>
      <c r="J6" s="15"/>
      <c r="L6" s="53">
        <f>'TUSD BE'!$L$6*'TUSD BE'!$L$59</f>
        <v>0</v>
      </c>
      <c r="M6" s="53">
        <f>'TUSD BE'!$M$6*'TUSD BE'!$M$59</f>
        <v>0</v>
      </c>
      <c r="N6" s="53">
        <f ca="1">'TUSD BE'!$N$6*'TUSD BE'!$N$59</f>
        <v>0</v>
      </c>
      <c r="O6" s="53">
        <f>'TUSD BE'!$O$6*'TUSD BE'!$O$59</f>
        <v>0</v>
      </c>
      <c r="P6" s="53">
        <f>'TUSD BE'!$P$6*'TUSD BE'!$P$59</f>
        <v>0</v>
      </c>
      <c r="Q6" s="53">
        <f>'TUSD BE'!$Q$6*'TUSD BE'!$Q$59</f>
        <v>0</v>
      </c>
      <c r="R6" s="53">
        <f>'TUSD BE'!$R$6*'TUSD BE'!$R$59</f>
        <v>0</v>
      </c>
      <c r="S6" s="53">
        <f>'TUSD BE'!$R$6*'TUSD BE'!$S$59</f>
        <v>0</v>
      </c>
      <c r="T6" s="53">
        <f ca="1">SUM($L$6:$S$6)</f>
        <v>0</v>
      </c>
      <c r="U6" s="53">
        <f>'TUSD BE'!$U$6*'TUSD BE'!$U$59</f>
        <v>-0.40725443134265971</v>
      </c>
      <c r="V6" s="53">
        <f>'TUSD BE'!$V$6*'TUSD BE'!$V$59</f>
        <v>7.3452540847505257E-2</v>
      </c>
      <c r="W6" s="53">
        <f>'TUSD BE'!$W$6*'TUSD BE'!$W$59</f>
        <v>-0.15295350606041819</v>
      </c>
      <c r="X6" s="53">
        <f>'TUSD BE'!$X$6*'TUSD BE'!$X$59</f>
        <v>0</v>
      </c>
      <c r="Y6" s="53">
        <f>'TUSD BE'!$Y$6*'TUSD BE'!$Y$59</f>
        <v>0</v>
      </c>
      <c r="Z6" s="53">
        <f>'TUSD BE'!$Z$6*'TUSD BE'!$Z$59</f>
        <v>0</v>
      </c>
      <c r="AA6" s="53">
        <f>'TUSD BE'!$AA$6*'TUSD BE'!$AA$59</f>
        <v>0</v>
      </c>
      <c r="AB6" s="53">
        <f>SUM($U$6:$AA$6)</f>
        <v>-0.48675539655557265</v>
      </c>
      <c r="AC6" s="53">
        <f>'TUSD BE'!$AC$6*'TUSD BE'!$AC$59</f>
        <v>-0.26471129332124754</v>
      </c>
      <c r="AD6" s="53">
        <f>SUM($AC$6:$AC$6)</f>
        <v>-0.26471129332124754</v>
      </c>
      <c r="AE6" s="53">
        <f ca="1">$AO$6*$AO$56</f>
        <v>-9.2057626729930533</v>
      </c>
      <c r="AF6" s="53">
        <f ca="1">$AP$6*$AP$56</f>
        <v>0</v>
      </c>
      <c r="AG6" s="53">
        <f ca="1">SUM($AE$6:$AF$6)</f>
        <v>-9.2057626729930533</v>
      </c>
      <c r="AH6" s="53">
        <f>'TUSD BE'!$AH$6*'TUSD BE'!$AH$59</f>
        <v>0</v>
      </c>
      <c r="AI6" s="53">
        <f>'TUSD BE'!$AI$6*'TUSD BE'!$AI$59</f>
        <v>0</v>
      </c>
      <c r="AJ6" s="53">
        <f ca="1">'TUSD BE'!$AJ$6*'TUSD BE'!$AJ$59</f>
        <v>0</v>
      </c>
      <c r="AK6" s="53">
        <f ca="1">'TUSD BE'!$AK$6*'TUSD BE'!$AK$59</f>
        <v>0</v>
      </c>
      <c r="AL6" s="53">
        <f ca="1">SUM($AH$6:$AK$6)</f>
        <v>0</v>
      </c>
      <c r="AM6" s="53">
        <f ca="1">SUMIF($L$4:$AL$4,"SUBTOTAL",$L$6:$AL$6)+AZ6</f>
        <v>-9.9572293628698727</v>
      </c>
      <c r="AO6" s="76">
        <f ca="1">+'TUSD BE'!$T$6+'TUSD BE'!$AB$6+'TUSD BE'!$AD$6+'TUSD BE'!$AL$6</f>
        <v>49.291720925300687</v>
      </c>
      <c r="AP6" s="76">
        <f ca="1">+'TUSD BE'!$T$6+'TUSD BE'!$AB$6+'TUSD BE'!$AD$6+'TUSD BE'!$AL$6</f>
        <v>49.291720925300687</v>
      </c>
      <c r="AQ6" s="9" t="str">
        <f t="shared" si="0"/>
        <v>A4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IFERROR(VLOOKUP(AQ6,TarifaMedia!$C$17:$G$17,5,0),0)</f>
        <v>0</v>
      </c>
      <c r="AX6" s="15">
        <f ca="1">'TUSD BE'!$AM6+'TUSD BF'!$AM6+'TUSD CVA'!$AM6</f>
        <v>40.182791243128264</v>
      </c>
      <c r="AY6" s="9">
        <v>47.94</v>
      </c>
      <c r="AZ6" s="9">
        <f t="shared" ca="1" si="6"/>
        <v>0</v>
      </c>
      <c r="BC6" s="50" t="s">
        <v>1189</v>
      </c>
    </row>
    <row r="7" spans="1:55" ht="11.25" customHeight="1" x14ac:dyDescent="0.25">
      <c r="A7" s="131"/>
      <c r="B7" s="131"/>
      <c r="C7" s="131"/>
      <c r="D7" s="131"/>
      <c r="E7" s="131"/>
      <c r="F7" s="131"/>
      <c r="G7" s="74" t="s">
        <v>88</v>
      </c>
      <c r="H7" s="74" t="s">
        <v>80</v>
      </c>
      <c r="I7" s="74">
        <f>'MERCADO TUSD'!$U$4</f>
        <v>78662</v>
      </c>
      <c r="J7" s="15"/>
      <c r="L7" s="53">
        <f>'TUSD BE'!$L$7*'TUSD BE'!$L$59</f>
        <v>0</v>
      </c>
      <c r="M7" s="53">
        <f>'TUSD BE'!$M$7*'TUSD BE'!$M$59</f>
        <v>0</v>
      </c>
      <c r="N7" s="53">
        <f ca="1">'TUSD BE'!$N$7*'TUSD BE'!$N$59</f>
        <v>0</v>
      </c>
      <c r="O7" s="53">
        <f>'TUSD BE'!$O$7*'TUSD BE'!$O$59</f>
        <v>0</v>
      </c>
      <c r="P7" s="53">
        <f>'TUSD BE'!$P$7*'TUSD BE'!$P$59</f>
        <v>0</v>
      </c>
      <c r="Q7" s="53">
        <f>'TUSD BE'!$Q$7*'TUSD BE'!$Q$59</f>
        <v>0</v>
      </c>
      <c r="R7" s="53">
        <f>'TUSD BE'!$R$7*'TUSD BE'!$R$59</f>
        <v>0</v>
      </c>
      <c r="S7" s="53">
        <f>'TUSD BE'!$R$7*'TUSD BE'!$S$59</f>
        <v>0</v>
      </c>
      <c r="T7" s="53">
        <f ca="1">SUM($L$7:$S$7)</f>
        <v>0</v>
      </c>
      <c r="U7" s="53">
        <f>'TUSD BE'!$U$7*'TUSD BE'!$U$59</f>
        <v>-0.26962620569690682</v>
      </c>
      <c r="V7" s="53">
        <f>'TUSD BE'!$V$7*'TUSD BE'!$V$59</f>
        <v>4.5514703551613307E-2</v>
      </c>
      <c r="W7" s="53">
        <f>'TUSD BE'!$W$7*'TUSD BE'!$W$59</f>
        <v>-8.9301738741501019E-2</v>
      </c>
      <c r="X7" s="53">
        <f>'TUSD BE'!$X$7*'TUSD BE'!$X$59</f>
        <v>0</v>
      </c>
      <c r="Y7" s="53">
        <f>'TUSD BE'!$Y$7*'TUSD BE'!$Y$59</f>
        <v>0</v>
      </c>
      <c r="Z7" s="53">
        <f>'TUSD BE'!$Z$7*'TUSD BE'!$Z$59</f>
        <v>0</v>
      </c>
      <c r="AA7" s="53">
        <f>'TUSD BE'!$AA$7*'TUSD BE'!$AA$59</f>
        <v>0</v>
      </c>
      <c r="AB7" s="53">
        <f>SUM($U$7:$AA$7)</f>
        <v>-0.31341324088679456</v>
      </c>
      <c r="AC7" s="53">
        <f>'TUSD BE'!$AC$7*'TUSD BE'!$AC$59</f>
        <v>-6.5909250593234867E-2</v>
      </c>
      <c r="AD7" s="53">
        <f>SUM($AC$7:$AC$7)</f>
        <v>-6.5909250593234867E-2</v>
      </c>
      <c r="AE7" s="53">
        <f ca="1">$AO$7*$AO$56</f>
        <v>-3.4491706909117097</v>
      </c>
      <c r="AF7" s="53">
        <f ca="1">$AP$7*$AP$56</f>
        <v>0</v>
      </c>
      <c r="AG7" s="53">
        <f ca="1">SUM($AE$7:$AF$7)</f>
        <v>-3.4491706909117097</v>
      </c>
      <c r="AH7" s="53">
        <f>'TUSD BE'!$AH$7*'TUSD BE'!$AH$59</f>
        <v>0</v>
      </c>
      <c r="AI7" s="53">
        <f>'TUSD BE'!$AI$7*'TUSD BE'!$AI$59</f>
        <v>0</v>
      </c>
      <c r="AJ7" s="53">
        <f ca="1">'TUSD BE'!$AJ$7*'TUSD BE'!$AJ$59</f>
        <v>0</v>
      </c>
      <c r="AK7" s="53">
        <f ca="1">'TUSD BE'!$AK$7*'TUSD BE'!$AK$59</f>
        <v>0</v>
      </c>
      <c r="AL7" s="53">
        <f ca="1">SUM($AH$7:$AK$7)</f>
        <v>0</v>
      </c>
      <c r="AM7" s="53">
        <f ca="1">SUMIF($L$4:$AL$4,"SUBTOTAL",$L$7:$AL$7)+AZ7</f>
        <v>-3.828493182391739</v>
      </c>
      <c r="AO7" s="76">
        <f ca="1">+'TUSD BE'!$T$7+'TUSD BE'!$AB$7+'TUSD BE'!$AD$7+'TUSD BE'!$AL$7</f>
        <v>18.468383898155576</v>
      </c>
      <c r="AP7" s="76">
        <f ca="1">+'TUSD BE'!$T$7+'TUSD BE'!$AB$7+'TUSD BE'!$AD$7+'TUSD BE'!$AL$7</f>
        <v>18.468383898155576</v>
      </c>
      <c r="AQ7" s="9" t="str">
        <f t="shared" si="0"/>
        <v>A4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IFERROR(VLOOKUP(AQ7,TarifaMedia!$C$17:$G$17,5,0),0)</f>
        <v>0</v>
      </c>
      <c r="AX7" s="15">
        <f ca="1">'TUSD BE'!$AM7+'TUSD BF'!$AM7+'TUSD CVA'!$AM7</f>
        <v>15.19295792072058</v>
      </c>
      <c r="AY7" s="9">
        <v>32.31</v>
      </c>
      <c r="AZ7" s="9">
        <f t="shared" ca="1" si="6"/>
        <v>0</v>
      </c>
      <c r="BC7" s="50" t="s">
        <v>1190</v>
      </c>
    </row>
    <row r="8" spans="1:55" ht="11.25" customHeight="1" x14ac:dyDescent="0.25">
      <c r="A8" s="131"/>
      <c r="B8" s="131"/>
      <c r="C8" s="131"/>
      <c r="D8" s="131"/>
      <c r="E8" s="131"/>
      <c r="F8" s="131"/>
      <c r="G8" s="74" t="s">
        <v>86</v>
      </c>
      <c r="H8" s="74" t="s">
        <v>82</v>
      </c>
      <c r="I8" s="74">
        <f>'MERCADO TUSD'!$U$5</f>
        <v>35898.876000000004</v>
      </c>
      <c r="J8" s="15"/>
      <c r="L8" s="53">
        <f>'TUSD BE'!$L$8*'TUSD BE'!$L$59</f>
        <v>-0.35554476245293976</v>
      </c>
      <c r="M8" s="53">
        <f>'TUSD BE'!$M$8*'TUSD BE'!$M$59</f>
        <v>-3.0136442926313279E-2</v>
      </c>
      <c r="N8" s="53">
        <f ca="1">'TUSD BE'!$N$8*'TUSD BE'!$N$59</f>
        <v>2.535280601657733E-12</v>
      </c>
      <c r="O8" s="53">
        <f>'TUSD BE'!$O$8*'TUSD BE'!$O$59</f>
        <v>0</v>
      </c>
      <c r="P8" s="53">
        <f>'TUSD BE'!$P$8*'TUSD BE'!$P$59</f>
        <v>0</v>
      </c>
      <c r="Q8" s="53">
        <f>'TUSD BE'!$Q$8*'TUSD BE'!$Q$59</f>
        <v>1.1157675029528007</v>
      </c>
      <c r="R8" s="53">
        <f>'TUSD BE'!$R$8*'TUSD BE'!$R$59</f>
        <v>-1.3656761373948416</v>
      </c>
      <c r="S8" s="53">
        <f>'TUSD BE'!$R$8*'TUSD BE'!$S$59</f>
        <v>0</v>
      </c>
      <c r="T8" s="53">
        <f ca="1">SUM($L$8:$S$8)</f>
        <v>-0.63558983981875872</v>
      </c>
      <c r="U8" s="53">
        <f>'TUSD BE'!$U$8*'TUSD BE'!$U$59</f>
        <v>0</v>
      </c>
      <c r="V8" s="53">
        <f>'TUSD BE'!$V$8*'TUSD BE'!$V$59</f>
        <v>0</v>
      </c>
      <c r="W8" s="53">
        <f>'TUSD BE'!$W$8*'TUSD BE'!$W$59</f>
        <v>0</v>
      </c>
      <c r="X8" s="53">
        <f>'TUSD BE'!$X$8*'TUSD BE'!$X$59</f>
        <v>0</v>
      </c>
      <c r="Y8" s="53">
        <f>'TUSD BE'!$Y$8*'TUSD BE'!$Y$59</f>
        <v>0</v>
      </c>
      <c r="Z8" s="53">
        <f>'TUSD BE'!$Z$8*'TUSD BE'!$Z$59</f>
        <v>0</v>
      </c>
      <c r="AA8" s="53">
        <f>'TUSD BE'!$AA$8*'TUSD BE'!$AA$59</f>
        <v>0</v>
      </c>
      <c r="AB8" s="53">
        <f>SUM($U$8:$AA$8)</f>
        <v>0</v>
      </c>
      <c r="AC8" s="53">
        <f>'TUSD BE'!$AC$8*'TUSD BE'!$AC$59</f>
        <v>0</v>
      </c>
      <c r="AD8" s="53">
        <f>SUM($AC$8:$AC$8)</f>
        <v>0</v>
      </c>
      <c r="AE8" s="53">
        <f ca="1">$AO$8*$AO$56</f>
        <v>-19.247550180527909</v>
      </c>
      <c r="AF8" s="53">
        <f ca="1">$AP$8*$AP$56</f>
        <v>0</v>
      </c>
      <c r="AG8" s="53">
        <f ca="1">SUM($AE$8:$AF$8)</f>
        <v>-19.247550180527909</v>
      </c>
      <c r="AH8" s="53">
        <f>'TUSD BE'!$AH$8*'TUSD BE'!$AH$59</f>
        <v>-0.19639514211993864</v>
      </c>
      <c r="AI8" s="53">
        <f>'TUSD BE'!$AI$8*'TUSD BE'!$AI$59</f>
        <v>-6.7356097886891444E-3</v>
      </c>
      <c r="AJ8" s="53">
        <f ca="1">'TUSD BE'!$AJ$8*'TUSD BE'!$AJ$59</f>
        <v>-4.9432439962707575E-2</v>
      </c>
      <c r="AK8" s="53">
        <f ca="1">'TUSD BE'!$AK$8*'TUSD BE'!$AK$59</f>
        <v>1.4151288042821559E-2</v>
      </c>
      <c r="AL8" s="53">
        <f ca="1">SUM($AH$8:$AK$8)</f>
        <v>-0.23841190382851379</v>
      </c>
      <c r="AM8" s="53">
        <f ca="1">SUMIF($L$4:$AL$4,"SUBTOTAL",$L$8:$AL$8)+AZ8</f>
        <v>-20.121551924175183</v>
      </c>
      <c r="AO8" s="76">
        <f ca="1">+'TUSD BE'!$T$8+'TUSD BE'!$AB$8+'TUSD BE'!$AD$8+'TUSD BE'!$AL$8</f>
        <v>103.05988821302503</v>
      </c>
      <c r="AP8" s="76">
        <f ca="1">+'TUSD BE'!$T$8+'TUSD BE'!$AB$8+'TUSD BE'!$AD$8+'TUSD BE'!$AL$8</f>
        <v>103.05988821302503</v>
      </c>
      <c r="AQ8" s="9" t="str">
        <f t="shared" si="0"/>
        <v>A4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Não se aplica</v>
      </c>
      <c r="AV8" s="9">
        <f t="shared" si="5"/>
        <v>1</v>
      </c>
      <c r="AW8" s="9">
        <f ca="1">IFERROR(VLOOKUP(AQ8,TarifaMedia!$C$17:$G$17,5,0),0)</f>
        <v>0</v>
      </c>
      <c r="AX8" s="15">
        <f ca="1">'TUSD BE'!$AM8+'TUSD BF'!$AM8+'TUSD CVA'!$AM8</f>
        <v>100.23755694003805</v>
      </c>
      <c r="AY8" s="9">
        <v>116.79</v>
      </c>
      <c r="AZ8" s="9">
        <f t="shared" ca="1" si="6"/>
        <v>0</v>
      </c>
      <c r="BC8" s="50" t="s">
        <v>1191</v>
      </c>
    </row>
    <row r="9" spans="1:55" ht="11.25" customHeight="1" x14ac:dyDescent="0.25">
      <c r="A9" s="131"/>
      <c r="B9" s="131"/>
      <c r="C9" s="131"/>
      <c r="D9" s="131"/>
      <c r="E9" s="73" t="s">
        <v>89</v>
      </c>
      <c r="F9" s="73" t="s">
        <v>25</v>
      </c>
      <c r="G9" s="74" t="s">
        <v>86</v>
      </c>
      <c r="H9" s="74" t="s">
        <v>82</v>
      </c>
      <c r="I9" s="74">
        <f>'MERCADO TUSD'!$U$6</f>
        <v>0</v>
      </c>
      <c r="J9" s="15"/>
      <c r="L9" s="53">
        <f>'TUSD BE'!$L$9*'TUSD BE'!$L$59</f>
        <v>0</v>
      </c>
      <c r="M9" s="53">
        <f>'TUSD BE'!$M$9*'TUSD BE'!$M$59</f>
        <v>-3.0136442926313279E-2</v>
      </c>
      <c r="N9" s="53">
        <f ca="1">'TUSD BE'!$N$9*'TUSD BE'!$N$59</f>
        <v>2.4314321272062679E-12</v>
      </c>
      <c r="O9" s="53">
        <f>'TUSD BE'!$O$9*'TUSD BE'!$O$59</f>
        <v>0</v>
      </c>
      <c r="P9" s="53">
        <f>'TUSD BE'!$P$9*'TUSD BE'!$P$59</f>
        <v>0</v>
      </c>
      <c r="Q9" s="53">
        <f>'TUSD BE'!$Q$9*'TUSD BE'!$Q$59</f>
        <v>0</v>
      </c>
      <c r="R9" s="53">
        <f>'TUSD BE'!$R$9*'TUSD BE'!$R$59</f>
        <v>0</v>
      </c>
      <c r="S9" s="53">
        <f>'TUSD BE'!$R$9*'TUSD BE'!$S$59</f>
        <v>0</v>
      </c>
      <c r="T9" s="53">
        <f ca="1">SUM($L$9:$S$9)</f>
        <v>-3.0136442923881845E-2</v>
      </c>
      <c r="U9" s="53">
        <f>'TUSD BE'!$U$9*'TUSD BE'!$U$59</f>
        <v>0</v>
      </c>
      <c r="V9" s="53">
        <f>'TUSD BE'!$V$9*'TUSD BE'!$V$59</f>
        <v>0</v>
      </c>
      <c r="W9" s="53">
        <f>'TUSD BE'!$W$9*'TUSD BE'!$W$59</f>
        <v>0</v>
      </c>
      <c r="X9" s="53">
        <f>'TUSD BE'!$X$9*'TUSD BE'!$X$59</f>
        <v>0</v>
      </c>
      <c r="Y9" s="53">
        <f>'TUSD BE'!$Y$9*'TUSD BE'!$Y$59</f>
        <v>0</v>
      </c>
      <c r="Z9" s="53">
        <f>'TUSD BE'!$Z$9*'TUSD BE'!$Z$59</f>
        <v>0</v>
      </c>
      <c r="AA9" s="53">
        <f>'TUSD BE'!$AA$9*'TUSD BE'!$AA$59</f>
        <v>0</v>
      </c>
      <c r="AB9" s="53">
        <f>SUM($U$9:$AA$9)</f>
        <v>0</v>
      </c>
      <c r="AC9" s="53">
        <f>'TUSD BE'!$AC$9*'TUSD BE'!$AC$59</f>
        <v>0</v>
      </c>
      <c r="AD9" s="53">
        <f>SUM($AC$9:$AC$9)</f>
        <v>0</v>
      </c>
      <c r="AE9" s="53">
        <f ca="1">$AO$9*$AO$56</f>
        <v>-1.8603709162607489</v>
      </c>
      <c r="AF9" s="53">
        <f ca="1">$AP$9*$AP$56</f>
        <v>0</v>
      </c>
      <c r="AG9" s="53">
        <f ca="1">SUM($AE$9:$AF$9)</f>
        <v>-1.8603709162607489</v>
      </c>
      <c r="AH9" s="53">
        <f>'TUSD BE'!$AH$9*'TUSD BE'!$AH$59</f>
        <v>-0.19639514211993864</v>
      </c>
      <c r="AI9" s="53">
        <f>'TUSD BE'!$AI$9*'TUSD BE'!$AI$59</f>
        <v>-6.7356097886891444E-3</v>
      </c>
      <c r="AJ9" s="53">
        <f ca="1">'TUSD BE'!$AJ$9*'TUSD BE'!$AJ$59</f>
        <v>-4.9432439962707575E-2</v>
      </c>
      <c r="AK9" s="53">
        <f ca="1">'TUSD BE'!$AK$9*'TUSD BE'!$AK$59</f>
        <v>1.4151288042821559E-2</v>
      </c>
      <c r="AL9" s="53">
        <f ca="1">SUM($AH$9:$AK$9)</f>
        <v>-0.23841190382851379</v>
      </c>
      <c r="AM9" s="53">
        <f ca="1">SUMIF($L$4:$AL$4,"SUBTOTAL",$L$9:$AL$9)+AZ9</f>
        <v>-2.1289192630131448</v>
      </c>
      <c r="AO9" s="76">
        <f ca="1">+'TUSD BE'!$T$9+'TUSD BE'!$AB$9+'TUSD BE'!$AD$9+'TUSD BE'!$AL$9</f>
        <v>9.9612478921375693</v>
      </c>
      <c r="AP9" s="76">
        <f ca="1">+'TUSD BE'!$T$9+'TUSD BE'!$AB$9+'TUSD BE'!$AD$9+'TUSD BE'!$AL$9</f>
        <v>9.9612478921375693</v>
      </c>
      <c r="AQ9" s="9" t="str">
        <f t="shared" si="0"/>
        <v>A4</v>
      </c>
      <c r="AR9" s="9" t="str">
        <f t="shared" si="1"/>
        <v>Azul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APE</v>
      </c>
      <c r="AV9" s="9">
        <f t="shared" si="5"/>
        <v>1</v>
      </c>
      <c r="AW9" s="9">
        <f ca="1">IFERROR(VLOOKUP(AQ9,TarifaMedia!$C$17:$G$17,5,0),0)</f>
        <v>0</v>
      </c>
      <c r="AX9" s="15">
        <f ca="1">'TUSD BE'!$AM9+'TUSD BF'!$AM9+'TUSD CVA'!$AM9</f>
        <v>8.8878190510274617</v>
      </c>
      <c r="AY9" s="9">
        <v>17.61</v>
      </c>
      <c r="AZ9" s="9">
        <f t="shared" ca="1" si="6"/>
        <v>0</v>
      </c>
      <c r="BC9" s="50" t="s">
        <v>1192</v>
      </c>
    </row>
    <row r="10" spans="1:55" ht="11.25" customHeight="1" x14ac:dyDescent="0.25">
      <c r="A10" s="131"/>
      <c r="B10" s="73" t="s">
        <v>59</v>
      </c>
      <c r="C10" s="73" t="s">
        <v>25</v>
      </c>
      <c r="D10" s="73" t="s">
        <v>25</v>
      </c>
      <c r="E10" s="73" t="s">
        <v>25</v>
      </c>
      <c r="F10" s="73" t="s">
        <v>25</v>
      </c>
      <c r="G10" s="74" t="s">
        <v>9</v>
      </c>
      <c r="H10" s="74" t="s">
        <v>80</v>
      </c>
      <c r="I10" s="74">
        <f>'MERCADO TUSD'!$U$7</f>
        <v>15360</v>
      </c>
      <c r="J10" s="15"/>
      <c r="L10" s="53">
        <f>'TUSD BE'!$L$10*'TUSD BE'!$L$59</f>
        <v>0</v>
      </c>
      <c r="M10" s="53">
        <f>'TUSD BE'!$M$10*'TUSD BE'!$M$59</f>
        <v>-1.431959999488894E-3</v>
      </c>
      <c r="N10" s="53">
        <f ca="1">'TUSD BE'!$N$10*'TUSD BE'!$N$59</f>
        <v>5.5870479254888404E-13</v>
      </c>
      <c r="O10" s="53">
        <f>'TUSD BE'!$O$10*'TUSD BE'!$O$59</f>
        <v>0</v>
      </c>
      <c r="P10" s="53">
        <f>'TUSD BE'!$P$10*'TUSD BE'!$P$59</f>
        <v>0</v>
      </c>
      <c r="Q10" s="53">
        <f>'TUSD BE'!$Q$10*'TUSD BE'!$Q$59</f>
        <v>0</v>
      </c>
      <c r="R10" s="53">
        <f>'TUSD BE'!$R$10*'TUSD BE'!$R$59</f>
        <v>0</v>
      </c>
      <c r="S10" s="53">
        <f>'TUSD BE'!$R$10*'TUSD BE'!$S$59</f>
        <v>0</v>
      </c>
      <c r="T10" s="53">
        <f ca="1">SUM($L$10:$S$10)</f>
        <v>-1.4319599989301892E-3</v>
      </c>
      <c r="U10" s="53">
        <f>'TUSD BE'!$U$10*'TUSD BE'!$U$59</f>
        <v>0</v>
      </c>
      <c r="V10" s="53">
        <f>'TUSD BE'!$V$10*'TUSD BE'!$V$59</f>
        <v>0</v>
      </c>
      <c r="W10" s="53">
        <f>'TUSD BE'!$W$10*'TUSD BE'!$W$59</f>
        <v>0</v>
      </c>
      <c r="X10" s="53">
        <f>'TUSD BE'!$X$10*'TUSD BE'!$X$59</f>
        <v>0</v>
      </c>
      <c r="Y10" s="53">
        <f>'TUSD BE'!$Y$10*'TUSD BE'!$Y$59</f>
        <v>0</v>
      </c>
      <c r="Z10" s="53">
        <f>'TUSD BE'!$Z$10*'TUSD BE'!$Z$59</f>
        <v>0</v>
      </c>
      <c r="AA10" s="53">
        <f>'TUSD BE'!$AA$10*'TUSD BE'!$AA$59</f>
        <v>0</v>
      </c>
      <c r="AB10" s="53">
        <f>SUM($U$10:$AA$10)</f>
        <v>0</v>
      </c>
      <c r="AC10" s="53">
        <f>'TUSD BE'!$AC$10*'TUSD BE'!$AC$59</f>
        <v>-5.3654692763076675E-2</v>
      </c>
      <c r="AD10" s="53">
        <f>SUM($AC$10:$AC$10)</f>
        <v>-5.3654692763076675E-2</v>
      </c>
      <c r="AE10" s="53">
        <f ca="1">$AO$10*$AO$56</f>
        <v>-1.2644436324262018</v>
      </c>
      <c r="AF10" s="53">
        <f ca="1">$AP$10*$AP$56</f>
        <v>0</v>
      </c>
      <c r="AG10" s="53">
        <f ca="1">SUM($AE$10:$AF$10)</f>
        <v>-1.2644436324262018</v>
      </c>
      <c r="AH10" s="53">
        <f>'TUSD BE'!$AH$10*'TUSD BE'!$AH$59</f>
        <v>-1.7024913171656688E-5</v>
      </c>
      <c r="AI10" s="53">
        <f>'TUSD BE'!$AI$10*'TUSD BE'!$AI$59</f>
        <v>0</v>
      </c>
      <c r="AJ10" s="53">
        <f ca="1">'TUSD BE'!$AJ$10*'TUSD BE'!$AJ$59</f>
        <v>0</v>
      </c>
      <c r="AK10" s="53">
        <f ca="1">'TUSD BE'!$AK$10*'TUSD BE'!$AK$59</f>
        <v>0</v>
      </c>
      <c r="AL10" s="53">
        <f ca="1">SUM($AH$10:$AK$10)</f>
        <v>-1.7024913171656688E-5</v>
      </c>
      <c r="AM10" s="53">
        <f ca="1">SUMIF($L$4:$AL$4,"SUBTOTAL",$L$10:$AL$10)+AZ10</f>
        <v>-1.3195473101013804</v>
      </c>
      <c r="AO10" s="76">
        <f ca="1">+'TUSD BE'!$T$10+'TUSD BE'!$AB$10+'TUSD BE'!$AD$10+'TUSD BE'!$AL$10</f>
        <v>6.7703899035083079</v>
      </c>
      <c r="AP10" s="76">
        <f ca="1">+'TUSD BE'!$T$10+'TUSD BE'!$AB$10+'TUSD BE'!$AD$10+'TUSD BE'!$AL$10</f>
        <v>6.7703899035083079</v>
      </c>
      <c r="AQ10" s="9" t="str">
        <f t="shared" si="0"/>
        <v>A4</v>
      </c>
      <c r="AR10" s="9" t="str">
        <f t="shared" si="1"/>
        <v>Geração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0</v>
      </c>
      <c r="AW10" s="9">
        <f ca="1">IFERROR(VLOOKUP(AQ10,TarifaMedia!$C$17:$G$17,5,0),0)</f>
        <v>0</v>
      </c>
      <c r="AX10" s="15">
        <f ca="1">'TUSD BE'!$AM10+'TUSD BF'!$AM10+'TUSD CVA'!$AM10</f>
        <v>5.4509137424633414</v>
      </c>
      <c r="AY10" s="9">
        <v>8.82</v>
      </c>
      <c r="AZ10" s="9">
        <f t="shared" ca="1" si="6"/>
        <v>0</v>
      </c>
      <c r="BC10" s="50" t="s">
        <v>1193</v>
      </c>
    </row>
    <row r="11" spans="1:55" ht="11.25" customHeight="1" x14ac:dyDescent="0.25">
      <c r="A11" s="131"/>
      <c r="B11" s="131" t="s">
        <v>40</v>
      </c>
      <c r="C11" s="131" t="s">
        <v>25</v>
      </c>
      <c r="D11" s="131" t="s">
        <v>25</v>
      </c>
      <c r="E11" s="131" t="s">
        <v>25</v>
      </c>
      <c r="F11" s="131" t="s">
        <v>25</v>
      </c>
      <c r="G11" s="74" t="s">
        <v>9</v>
      </c>
      <c r="H11" s="74" t="s">
        <v>80</v>
      </c>
      <c r="I11" s="74">
        <f>'MERCADO TUSD'!$U$8</f>
        <v>288308</v>
      </c>
      <c r="J11" s="15"/>
      <c r="L11" s="53">
        <f>'TUSD BE'!$L$11*'TUSD BE'!$L$59</f>
        <v>0</v>
      </c>
      <c r="M11" s="53">
        <f>'TUSD BE'!$M$11*'TUSD BE'!$M$59</f>
        <v>0</v>
      </c>
      <c r="N11" s="53">
        <f ca="1">'TUSD BE'!$N$11*'TUSD BE'!$N$59</f>
        <v>0</v>
      </c>
      <c r="O11" s="53">
        <f>'TUSD BE'!$O$11*'TUSD BE'!$O$59</f>
        <v>0</v>
      </c>
      <c r="P11" s="53">
        <f>'TUSD BE'!$P$11*'TUSD BE'!$P$59</f>
        <v>0</v>
      </c>
      <c r="Q11" s="53">
        <f>'TUSD BE'!$Q$11*'TUSD BE'!$Q$59</f>
        <v>0</v>
      </c>
      <c r="R11" s="53">
        <f>'TUSD BE'!$R$11*'TUSD BE'!$R$59</f>
        <v>0</v>
      </c>
      <c r="S11" s="53">
        <f>'TUSD BE'!$R$11*'TUSD BE'!$S$59</f>
        <v>0</v>
      </c>
      <c r="T11" s="53">
        <f ca="1">SUM($L$11:$S$11)</f>
        <v>0</v>
      </c>
      <c r="U11" s="53">
        <f>'TUSD BE'!$U$11*'TUSD BE'!$U$59</f>
        <v>-0.26962620569690682</v>
      </c>
      <c r="V11" s="53">
        <f>'TUSD BE'!$V$11*'TUSD BE'!$V$59</f>
        <v>4.5514703551613307E-2</v>
      </c>
      <c r="W11" s="53">
        <f>'TUSD BE'!$W$11*'TUSD BE'!$W$59</f>
        <v>-8.9301738741501019E-2</v>
      </c>
      <c r="X11" s="53">
        <f>'TUSD BE'!$X$11*'TUSD BE'!$X$59</f>
        <v>0</v>
      </c>
      <c r="Y11" s="53">
        <f>'TUSD BE'!$Y$11*'TUSD BE'!$Y$59</f>
        <v>0</v>
      </c>
      <c r="Z11" s="53">
        <f>'TUSD BE'!$Z$11*'TUSD BE'!$Z$59</f>
        <v>0</v>
      </c>
      <c r="AA11" s="53">
        <f>'TUSD BE'!$AA$11*'TUSD BE'!$AA$59</f>
        <v>0</v>
      </c>
      <c r="AB11" s="53">
        <f>SUM($U$11:$AA$11)</f>
        <v>-0.31341324088679456</v>
      </c>
      <c r="AC11" s="53">
        <f>'TUSD BE'!$AC$11*'TUSD BE'!$AC$59</f>
        <v>-6.5909250593234867E-2</v>
      </c>
      <c r="AD11" s="53">
        <f>SUM($AC$11:$AC$11)</f>
        <v>-6.5909250593234867E-2</v>
      </c>
      <c r="AE11" s="53">
        <f ca="1">$AO$11*$AO$56</f>
        <v>-3.4491706909117097</v>
      </c>
      <c r="AF11" s="53">
        <f ca="1">$AP$11*$AP$56</f>
        <v>0</v>
      </c>
      <c r="AG11" s="53">
        <f ca="1">SUM($AE$11:$AF$11)</f>
        <v>-3.4491706909117097</v>
      </c>
      <c r="AH11" s="53">
        <f>'TUSD BE'!$AH$11*'TUSD BE'!$AH$59</f>
        <v>0</v>
      </c>
      <c r="AI11" s="53">
        <f>'TUSD BE'!$AI$11*'TUSD BE'!$AI$59</f>
        <v>0</v>
      </c>
      <c r="AJ11" s="53">
        <f ca="1">'TUSD BE'!$AJ$11*'TUSD BE'!$AJ$59</f>
        <v>0</v>
      </c>
      <c r="AK11" s="53">
        <f ca="1">'TUSD BE'!$AK$11*'TUSD BE'!$AK$59</f>
        <v>0</v>
      </c>
      <c r="AL11" s="53">
        <f ca="1">SUM($AH$11:$AK$11)</f>
        <v>0</v>
      </c>
      <c r="AM11" s="53">
        <f ca="1">SUMIF($L$4:$AL$4,"SUBTOTAL",$L$11:$AL$11)+AZ11</f>
        <v>-3.828493182391739</v>
      </c>
      <c r="AO11" s="76">
        <f ca="1">+'TUSD BE'!$T$11+'TUSD BE'!$AB$11+'TUSD BE'!$AD$11+'TUSD BE'!$AL$11</f>
        <v>18.468383898155576</v>
      </c>
      <c r="AP11" s="76">
        <f ca="1">+'TUSD BE'!$T$11+'TUSD BE'!$AB$11+'TUSD BE'!$AD$11+'TUSD BE'!$AL$11</f>
        <v>18.468383898155576</v>
      </c>
      <c r="AQ11" s="9" t="str">
        <f t="shared" si="0"/>
        <v>A4</v>
      </c>
      <c r="AR11" s="9" t="str">
        <f t="shared" si="1"/>
        <v>Verde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IFERROR(VLOOKUP(AQ11,TarifaMedia!$C$17:$G$17,5,0),0)</f>
        <v>0</v>
      </c>
      <c r="AX11" s="15">
        <f ca="1">'TUSD BE'!$AM11+'TUSD BF'!$AM11+'TUSD CVA'!$AM11</f>
        <v>15.19295792072058</v>
      </c>
      <c r="AY11" s="9">
        <v>32.31</v>
      </c>
      <c r="AZ11" s="9">
        <f t="shared" ca="1" si="6"/>
        <v>0</v>
      </c>
      <c r="BC11" s="50" t="s">
        <v>1194</v>
      </c>
    </row>
    <row r="12" spans="1:55" ht="11.25" customHeight="1" x14ac:dyDescent="0.25">
      <c r="A12" s="131"/>
      <c r="B12" s="131"/>
      <c r="C12" s="131"/>
      <c r="D12" s="131"/>
      <c r="E12" s="131"/>
      <c r="F12" s="131"/>
      <c r="G12" s="74" t="s">
        <v>83</v>
      </c>
      <c r="H12" s="74" t="s">
        <v>82</v>
      </c>
      <c r="I12" s="74">
        <f>'MERCADO TUSD'!$U$9</f>
        <v>4081.9879999999994</v>
      </c>
      <c r="J12" s="15"/>
      <c r="L12" s="53">
        <f>'TUSD BE'!$L$12*'TUSD BE'!$L$59</f>
        <v>-0.35554476245293976</v>
      </c>
      <c r="M12" s="53">
        <f>'TUSD BE'!$M$12*'TUSD BE'!$M$59</f>
        <v>-3.0136442926313279E-2</v>
      </c>
      <c r="N12" s="53">
        <f ca="1">'TUSD BE'!$N$12*'TUSD BE'!$N$59</f>
        <v>1.1193117440076129E-10</v>
      </c>
      <c r="O12" s="53">
        <f>'TUSD BE'!$O$12*'TUSD BE'!$O$59</f>
        <v>0</v>
      </c>
      <c r="P12" s="53">
        <f>'TUSD BE'!$P$12*'TUSD BE'!$P$59</f>
        <v>0</v>
      </c>
      <c r="Q12" s="53">
        <f>'TUSD BE'!$Q$12*'TUSD BE'!$Q$59</f>
        <v>1.1157675029528007</v>
      </c>
      <c r="R12" s="53">
        <f>'TUSD BE'!$R$12*'TUSD BE'!$R$59</f>
        <v>-1.3656761373948416</v>
      </c>
      <c r="S12" s="53">
        <f>'TUSD BE'!$R$12*'TUSD BE'!$S$59</f>
        <v>0</v>
      </c>
      <c r="T12" s="53">
        <f ca="1">SUM($L$12:$S$12)</f>
        <v>-0.63558983970936278</v>
      </c>
      <c r="U12" s="53">
        <f>'TUSD BE'!$U$12*'TUSD BE'!$U$59</f>
        <v>-9.7945120163421109</v>
      </c>
      <c r="V12" s="53">
        <f>'TUSD BE'!$V$12*'TUSD BE'!$V$59</f>
        <v>1.7665363662209441</v>
      </c>
      <c r="W12" s="53">
        <f>'TUSD BE'!$W$12*'TUSD BE'!$W$59</f>
        <v>-3.6785308281071041</v>
      </c>
      <c r="X12" s="53">
        <f>'TUSD BE'!$X$12*'TUSD BE'!$X$59</f>
        <v>0</v>
      </c>
      <c r="Y12" s="53">
        <f>'TUSD BE'!$Y$12*'TUSD BE'!$Y$59</f>
        <v>0</v>
      </c>
      <c r="Z12" s="53">
        <f>'TUSD BE'!$Z$12*'TUSD BE'!$Z$59</f>
        <v>0</v>
      </c>
      <c r="AA12" s="53">
        <f>'TUSD BE'!$AA$12*'TUSD BE'!$AA$59</f>
        <v>0</v>
      </c>
      <c r="AB12" s="53">
        <f>SUM($U$12:$AA$12)</f>
        <v>-11.70650647822827</v>
      </c>
      <c r="AC12" s="53">
        <f>'TUSD BE'!$AC$12*'TUSD BE'!$AC$59</f>
        <v>-6.3663163830616041</v>
      </c>
      <c r="AD12" s="53">
        <f>SUM($AC$12:$AC$12)</f>
        <v>-6.3663163830616041</v>
      </c>
      <c r="AE12" s="53">
        <f ca="1">$AO$12*$AO$56</f>
        <v>-242.42078335121207</v>
      </c>
      <c r="AF12" s="53">
        <f ca="1">$AP$12*$AP$56</f>
        <v>0</v>
      </c>
      <c r="AG12" s="53">
        <f ca="1">SUM($AE$12:$AF$12)</f>
        <v>-242.42078335121207</v>
      </c>
      <c r="AH12" s="53">
        <f>'TUSD BE'!$AH$12*'TUSD BE'!$AH$59</f>
        <v>-0.19639514211993864</v>
      </c>
      <c r="AI12" s="53">
        <f>'TUSD BE'!$AI$12*'TUSD BE'!$AI$59</f>
        <v>-6.7356097886891444E-3</v>
      </c>
      <c r="AJ12" s="53">
        <f ca="1">'TUSD BE'!$AJ$12*'TUSD BE'!$AJ$59</f>
        <v>-4.9432439962707575E-2</v>
      </c>
      <c r="AK12" s="53">
        <f ca="1">'TUSD BE'!$AK$12*'TUSD BE'!$AK$59</f>
        <v>1.4151288042821559E-2</v>
      </c>
      <c r="AL12" s="53">
        <f ca="1">SUM($AH$12:$AK$12)</f>
        <v>-0.23841190382851379</v>
      </c>
      <c r="AM12" s="53">
        <f ca="1">SUMIF($L$4:$AL$4,"SUBTOTAL",$L$12:$AL$12)+AZ12</f>
        <v>-261.36760795603982</v>
      </c>
      <c r="AO12" s="76">
        <f ca="1">+'TUSD BE'!$T$12+'TUSD BE'!$AB$12+'TUSD BE'!$AD$12+'TUSD BE'!$AL$12</f>
        <v>1298.0279878924639</v>
      </c>
      <c r="AP12" s="76">
        <f ca="1">+'TUSD BE'!$T$12+'TUSD BE'!$AB$12+'TUSD BE'!$AD$12+'TUSD BE'!$AL$12</f>
        <v>1298.0279878924639</v>
      </c>
      <c r="AQ12" s="9" t="str">
        <f t="shared" si="0"/>
        <v>A4</v>
      </c>
      <c r="AR12" s="9" t="str">
        <f t="shared" si="1"/>
        <v>Verde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1</v>
      </c>
      <c r="AW12" s="9">
        <f ca="1">IFERROR(VLOOKUP(AQ12,TarifaMedia!$C$17:$G$17,5,0),0)</f>
        <v>0</v>
      </c>
      <c r="AX12" s="15">
        <f ca="1">'TUSD BE'!$AM12+'TUSD BF'!$AM12+'TUSD CVA'!$AM12</f>
        <v>1074.3612836602365</v>
      </c>
      <c r="AY12" s="9">
        <v>1283.23</v>
      </c>
      <c r="AZ12" s="9">
        <f t="shared" ca="1" si="6"/>
        <v>0</v>
      </c>
      <c r="BC12" s="50" t="s">
        <v>1195</v>
      </c>
    </row>
    <row r="13" spans="1:55" ht="11.25" customHeight="1" x14ac:dyDescent="0.25">
      <c r="A13" s="131"/>
      <c r="B13" s="131"/>
      <c r="C13" s="131"/>
      <c r="D13" s="131"/>
      <c r="E13" s="131"/>
      <c r="F13" s="131"/>
      <c r="G13" s="74" t="s">
        <v>84</v>
      </c>
      <c r="H13" s="74" t="s">
        <v>82</v>
      </c>
      <c r="I13" s="74">
        <f>'MERCADO TUSD'!$U$10</f>
        <v>46975.044999999991</v>
      </c>
      <c r="J13" s="15"/>
      <c r="L13" s="53">
        <f>'TUSD BE'!$L$13*'TUSD BE'!$L$59</f>
        <v>-0.35554476245293976</v>
      </c>
      <c r="M13" s="53">
        <f>'TUSD BE'!$M$13*'TUSD BE'!$M$59</f>
        <v>-3.0136442926313279E-2</v>
      </c>
      <c r="N13" s="53">
        <f ca="1">'TUSD BE'!$N$13*'TUSD BE'!$N$59</f>
        <v>2.535280601657733E-12</v>
      </c>
      <c r="O13" s="53">
        <f>'TUSD BE'!$O$13*'TUSD BE'!$O$59</f>
        <v>0</v>
      </c>
      <c r="P13" s="53">
        <f>'TUSD BE'!$P$13*'TUSD BE'!$P$59</f>
        <v>0</v>
      </c>
      <c r="Q13" s="53">
        <f>'TUSD BE'!$Q$13*'TUSD BE'!$Q$59</f>
        <v>1.1157675029528007</v>
      </c>
      <c r="R13" s="53">
        <f>'TUSD BE'!$R$13*'TUSD BE'!$R$59</f>
        <v>-1.3656761373948416</v>
      </c>
      <c r="S13" s="53">
        <f>'TUSD BE'!$R$13*'TUSD BE'!$S$59</f>
        <v>0</v>
      </c>
      <c r="T13" s="53">
        <f ca="1">SUM($L$13:$S$13)</f>
        <v>-0.63558983981875872</v>
      </c>
      <c r="U13" s="53">
        <f>'TUSD BE'!$U$13*'TUSD BE'!$U$59</f>
        <v>0</v>
      </c>
      <c r="V13" s="53">
        <f>'TUSD BE'!$V$13*'TUSD BE'!$V$59</f>
        <v>0</v>
      </c>
      <c r="W13" s="53">
        <f>'TUSD BE'!$W$13*'TUSD BE'!$W$59</f>
        <v>0</v>
      </c>
      <c r="X13" s="53">
        <f>'TUSD BE'!$X$13*'TUSD BE'!$X$59</f>
        <v>0</v>
      </c>
      <c r="Y13" s="53">
        <f>'TUSD BE'!$Y$13*'TUSD BE'!$Y$59</f>
        <v>0</v>
      </c>
      <c r="Z13" s="53">
        <f>'TUSD BE'!$Z$13*'TUSD BE'!$Z$59</f>
        <v>0</v>
      </c>
      <c r="AA13" s="53">
        <f>'TUSD BE'!$AA$13*'TUSD BE'!$AA$59</f>
        <v>0</v>
      </c>
      <c r="AB13" s="53">
        <f>SUM($U$13:$AA$13)</f>
        <v>0</v>
      </c>
      <c r="AC13" s="53">
        <f>'TUSD BE'!$AC$13*'TUSD BE'!$AC$59</f>
        <v>0</v>
      </c>
      <c r="AD13" s="53">
        <f>SUM($AC$13:$AC$13)</f>
        <v>0</v>
      </c>
      <c r="AE13" s="53">
        <f ca="1">$AO$13*$AO$56</f>
        <v>-19.247550180527909</v>
      </c>
      <c r="AF13" s="53">
        <f ca="1">$AP$13*$AP$56</f>
        <v>0</v>
      </c>
      <c r="AG13" s="53">
        <f ca="1">SUM($AE$13:$AF$13)</f>
        <v>-19.247550180527909</v>
      </c>
      <c r="AH13" s="53">
        <f>'TUSD BE'!$AH$13*'TUSD BE'!$AH$59</f>
        <v>-0.19639514211993864</v>
      </c>
      <c r="AI13" s="53">
        <f>'TUSD BE'!$AI$13*'TUSD BE'!$AI$59</f>
        <v>-6.7356097886891444E-3</v>
      </c>
      <c r="AJ13" s="53">
        <f ca="1">'TUSD BE'!$AJ$13*'TUSD BE'!$AJ$59</f>
        <v>-4.9432439962707575E-2</v>
      </c>
      <c r="AK13" s="53">
        <f ca="1">'TUSD BE'!$AK$13*'TUSD BE'!$AK$59</f>
        <v>1.4151288042821559E-2</v>
      </c>
      <c r="AL13" s="53">
        <f ca="1">SUM($AH$13:$AK$13)</f>
        <v>-0.23841190382851379</v>
      </c>
      <c r="AM13" s="53">
        <f ca="1">SUMIF($L$4:$AL$4,"SUBTOTAL",$L$13:$AL$13)+AZ13</f>
        <v>-20.121551924175183</v>
      </c>
      <c r="AO13" s="76">
        <f ca="1">+'TUSD BE'!$T$13+'TUSD BE'!$AB$13+'TUSD BE'!$AD$13+'TUSD BE'!$AL$13</f>
        <v>103.05988821302503</v>
      </c>
      <c r="AP13" s="76">
        <f ca="1">+'TUSD BE'!$T$13+'TUSD BE'!$AB$13+'TUSD BE'!$AD$13+'TUSD BE'!$AL$13</f>
        <v>103.05988821302503</v>
      </c>
      <c r="AQ13" s="9" t="str">
        <f t="shared" si="0"/>
        <v>A4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Não se aplica</v>
      </c>
      <c r="AV13" s="9">
        <f t="shared" si="5"/>
        <v>1</v>
      </c>
      <c r="AW13" s="9">
        <f ca="1">IFERROR(VLOOKUP(AQ13,TarifaMedia!$C$17:$G$17,5,0),0)</f>
        <v>0</v>
      </c>
      <c r="AX13" s="15">
        <f ca="1">'TUSD BE'!$AM13+'TUSD BF'!$AM13+'TUSD CVA'!$AM13</f>
        <v>100.23755694003805</v>
      </c>
      <c r="AY13" s="9">
        <v>116.79</v>
      </c>
      <c r="AZ13" s="9">
        <f t="shared" ca="1" si="6"/>
        <v>0</v>
      </c>
      <c r="BC13" s="50" t="s">
        <v>1196</v>
      </c>
    </row>
    <row r="14" spans="1:55" ht="11.25" customHeight="1" x14ac:dyDescent="0.25">
      <c r="A14" s="131"/>
      <c r="B14" s="131"/>
      <c r="C14" s="131"/>
      <c r="D14" s="131"/>
      <c r="E14" s="131" t="s">
        <v>89</v>
      </c>
      <c r="F14" s="131" t="s">
        <v>25</v>
      </c>
      <c r="G14" s="74" t="s">
        <v>83</v>
      </c>
      <c r="H14" s="74" t="s">
        <v>82</v>
      </c>
      <c r="I14" s="74">
        <f>'MERCADO TUSD'!$U$11</f>
        <v>0</v>
      </c>
      <c r="J14" s="15"/>
      <c r="L14" s="53">
        <f>'TUSD BE'!$L$14*'TUSD BE'!$L$59</f>
        <v>0</v>
      </c>
      <c r="M14" s="53">
        <f>'TUSD BE'!$M$14*'TUSD BE'!$M$59</f>
        <v>-3.0136442926313279E-2</v>
      </c>
      <c r="N14" s="53">
        <f ca="1">'TUSD BE'!$N$14*'TUSD BE'!$N$59</f>
        <v>1.1182732592630984E-10</v>
      </c>
      <c r="O14" s="53">
        <f>'TUSD BE'!$O$14*'TUSD BE'!$O$59</f>
        <v>0</v>
      </c>
      <c r="P14" s="53">
        <f>'TUSD BE'!$P$14*'TUSD BE'!$P$59</f>
        <v>0</v>
      </c>
      <c r="Q14" s="53">
        <f>'TUSD BE'!$Q$14*'TUSD BE'!$Q$59</f>
        <v>0</v>
      </c>
      <c r="R14" s="53">
        <f>'TUSD BE'!$R$14*'TUSD BE'!$R$59</f>
        <v>0</v>
      </c>
      <c r="S14" s="53">
        <f>'TUSD BE'!$R$14*'TUSD BE'!$S$59</f>
        <v>0</v>
      </c>
      <c r="T14" s="53">
        <f ca="1">SUM($L$14:$S$14)</f>
        <v>-3.0136442814485954E-2</v>
      </c>
      <c r="U14" s="53">
        <f>'TUSD BE'!$U$14*'TUSD BE'!$U$59</f>
        <v>-9.7945120163421109</v>
      </c>
      <c r="V14" s="53">
        <f>'TUSD BE'!$V$14*'TUSD BE'!$V$59</f>
        <v>1.7665363662209441</v>
      </c>
      <c r="W14" s="53">
        <f>'TUSD BE'!$W$14*'TUSD BE'!$W$59</f>
        <v>-3.6785308281071041</v>
      </c>
      <c r="X14" s="53">
        <f>'TUSD BE'!$X$14*'TUSD BE'!$X$59</f>
        <v>0</v>
      </c>
      <c r="Y14" s="53">
        <f>'TUSD BE'!$Y$14*'TUSD BE'!$Y$59</f>
        <v>0</v>
      </c>
      <c r="Z14" s="53">
        <f>'TUSD BE'!$Z$14*'TUSD BE'!$Z$59</f>
        <v>0</v>
      </c>
      <c r="AA14" s="53">
        <f>'TUSD BE'!$AA$14*'TUSD BE'!$AA$59</f>
        <v>0</v>
      </c>
      <c r="AB14" s="53">
        <f>SUM($U$14:$AA$14)</f>
        <v>-11.70650647822827</v>
      </c>
      <c r="AC14" s="53">
        <f>'TUSD BE'!$AC$14*'TUSD BE'!$AC$59</f>
        <v>-6.3663163830616041</v>
      </c>
      <c r="AD14" s="53">
        <f>SUM($AC$14:$AC$14)</f>
        <v>-6.3663163830616041</v>
      </c>
      <c r="AE14" s="53">
        <f ca="1">$AO$14*$AO$56</f>
        <v>-225.03360408694491</v>
      </c>
      <c r="AF14" s="53">
        <f ca="1">$AP$14*$AP$56</f>
        <v>0</v>
      </c>
      <c r="AG14" s="53">
        <f ca="1">SUM($AE$14:$AF$14)</f>
        <v>-225.03360408694491</v>
      </c>
      <c r="AH14" s="53">
        <f>'TUSD BE'!$AH$14*'TUSD BE'!$AH$59</f>
        <v>-0.19639514211993864</v>
      </c>
      <c r="AI14" s="53">
        <f>'TUSD BE'!$AI$14*'TUSD BE'!$AI$59</f>
        <v>-6.7356097886891444E-3</v>
      </c>
      <c r="AJ14" s="53">
        <f ca="1">'TUSD BE'!$AJ$14*'TUSD BE'!$AJ$59</f>
        <v>-4.9432439962707575E-2</v>
      </c>
      <c r="AK14" s="53">
        <f ca="1">'TUSD BE'!$AK$14*'TUSD BE'!$AK$59</f>
        <v>1.4151288042821559E-2</v>
      </c>
      <c r="AL14" s="53">
        <f ca="1">SUM($AH$14:$AK$14)</f>
        <v>-0.23841190382851379</v>
      </c>
      <c r="AM14" s="53">
        <f ca="1">SUMIF($L$4:$AL$4,"SUBTOTAL",$L$14:$AL$14)+AZ14</f>
        <v>-243.37497529487777</v>
      </c>
      <c r="AO14" s="76">
        <f ca="1">+'TUSD BE'!$T$14+'TUSD BE'!$AB$14+'TUSD BE'!$AD$14+'TUSD BE'!$AL$14</f>
        <v>1204.9293475715765</v>
      </c>
      <c r="AP14" s="76">
        <f ca="1">+'TUSD BE'!$T$14+'TUSD BE'!$AB$14+'TUSD BE'!$AD$14+'TUSD BE'!$AL$14</f>
        <v>1204.9293475715765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APE</v>
      </c>
      <c r="AV14" s="9">
        <f t="shared" si="5"/>
        <v>1</v>
      </c>
      <c r="AW14" s="9">
        <f ca="1">IFERROR(VLOOKUP(AQ14,TarifaMedia!$C$17:$G$17,5,0),0)</f>
        <v>0</v>
      </c>
      <c r="AX14" s="15">
        <f ca="1">'TUSD BE'!$AM14+'TUSD BF'!$AM14+'TUSD CVA'!$AM14</f>
        <v>983.011545771226</v>
      </c>
      <c r="AY14" s="9">
        <v>1184.06</v>
      </c>
      <c r="AZ14" s="9">
        <f t="shared" ca="1" si="6"/>
        <v>0</v>
      </c>
      <c r="BC14" s="50" t="s">
        <v>1197</v>
      </c>
    </row>
    <row r="15" spans="1:55" ht="11.25" customHeight="1" x14ac:dyDescent="0.25">
      <c r="A15" s="131"/>
      <c r="B15" s="131"/>
      <c r="C15" s="131"/>
      <c r="D15" s="131"/>
      <c r="E15" s="131"/>
      <c r="F15" s="131"/>
      <c r="G15" s="74" t="s">
        <v>84</v>
      </c>
      <c r="H15" s="74" t="s">
        <v>82</v>
      </c>
      <c r="I15" s="74">
        <f>'MERCADO TUSD'!$U$12</f>
        <v>0</v>
      </c>
      <c r="J15" s="15"/>
      <c r="L15" s="53">
        <f>'TUSD BE'!$L$15*'TUSD BE'!$L$59</f>
        <v>0</v>
      </c>
      <c r="M15" s="53">
        <f>'TUSD BE'!$M$15*'TUSD BE'!$M$59</f>
        <v>-3.0136442926313279E-2</v>
      </c>
      <c r="N15" s="53">
        <f ca="1">'TUSD BE'!$N$15*'TUSD BE'!$N$59</f>
        <v>2.4314321272062679E-12</v>
      </c>
      <c r="O15" s="53">
        <f>'TUSD BE'!$O$15*'TUSD BE'!$O$59</f>
        <v>0</v>
      </c>
      <c r="P15" s="53">
        <f>'TUSD BE'!$P$15*'TUSD BE'!$P$59</f>
        <v>0</v>
      </c>
      <c r="Q15" s="53">
        <f>'TUSD BE'!$Q$15*'TUSD BE'!$Q$59</f>
        <v>0</v>
      </c>
      <c r="R15" s="53">
        <f>'TUSD BE'!$R$15*'TUSD BE'!$R$59</f>
        <v>0</v>
      </c>
      <c r="S15" s="53">
        <f>'TUSD BE'!$R$15*'TUSD BE'!$S$59</f>
        <v>0</v>
      </c>
      <c r="T15" s="53">
        <f ca="1">SUM($L$15:$S$15)</f>
        <v>-3.0136442923881845E-2</v>
      </c>
      <c r="U15" s="53">
        <f>'TUSD BE'!$U$15*'TUSD BE'!$U$59</f>
        <v>0</v>
      </c>
      <c r="V15" s="53">
        <f>'TUSD BE'!$V$15*'TUSD BE'!$V$59</f>
        <v>0</v>
      </c>
      <c r="W15" s="53">
        <f>'TUSD BE'!$W$15*'TUSD BE'!$W$59</f>
        <v>0</v>
      </c>
      <c r="X15" s="53">
        <f>'TUSD BE'!$X$15*'TUSD BE'!$X$59</f>
        <v>0</v>
      </c>
      <c r="Y15" s="53">
        <f>'TUSD BE'!$Y$15*'TUSD BE'!$Y$59</f>
        <v>0</v>
      </c>
      <c r="Z15" s="53">
        <f>'TUSD BE'!$Z$15*'TUSD BE'!$Z$59</f>
        <v>0</v>
      </c>
      <c r="AA15" s="53">
        <f>'TUSD BE'!$AA$15*'TUSD BE'!$AA$59</f>
        <v>0</v>
      </c>
      <c r="AB15" s="53">
        <f>SUM($U$15:$AA$15)</f>
        <v>0</v>
      </c>
      <c r="AC15" s="53">
        <f>'TUSD BE'!$AC$15*'TUSD BE'!$AC$59</f>
        <v>0</v>
      </c>
      <c r="AD15" s="53">
        <f>SUM($AC$15:$AC$15)</f>
        <v>0</v>
      </c>
      <c r="AE15" s="53">
        <f ca="1">$AO$15*$AO$56</f>
        <v>-1.8603709162607489</v>
      </c>
      <c r="AF15" s="53">
        <f ca="1">$AP$15*$AP$56</f>
        <v>0</v>
      </c>
      <c r="AG15" s="53">
        <f ca="1">SUM($AE$15:$AF$15)</f>
        <v>-1.8603709162607489</v>
      </c>
      <c r="AH15" s="53">
        <f>'TUSD BE'!$AH$15*'TUSD BE'!$AH$59</f>
        <v>-0.19639514211993864</v>
      </c>
      <c r="AI15" s="53">
        <f>'TUSD BE'!$AI$15*'TUSD BE'!$AI$59</f>
        <v>-6.7356097886891444E-3</v>
      </c>
      <c r="AJ15" s="53">
        <f ca="1">'TUSD BE'!$AJ$15*'TUSD BE'!$AJ$59</f>
        <v>-4.9432439962707575E-2</v>
      </c>
      <c r="AK15" s="53">
        <f ca="1">'TUSD BE'!$AK$15*'TUSD BE'!$AK$59</f>
        <v>1.4151288042821559E-2</v>
      </c>
      <c r="AL15" s="53">
        <f ca="1">SUM($AH$15:$AK$15)</f>
        <v>-0.23841190382851379</v>
      </c>
      <c r="AM15" s="53">
        <f ca="1">SUMIF($L$4:$AL$4,"SUBTOTAL",$L$15:$AL$15)+AZ15</f>
        <v>-2.1289192630131448</v>
      </c>
      <c r="AO15" s="76">
        <f ca="1">+'TUSD BE'!$T$15+'TUSD BE'!$AB$15+'TUSD BE'!$AD$15+'TUSD BE'!$AL$15</f>
        <v>9.9612478921375693</v>
      </c>
      <c r="AP15" s="76">
        <f ca="1">+'TUSD BE'!$T$15+'TUSD BE'!$AB$15+'TUSD BE'!$AD$15+'TUSD BE'!$AL$15</f>
        <v>9.9612478921375693</v>
      </c>
      <c r="AQ15" s="9" t="str">
        <f t="shared" si="0"/>
        <v>A4</v>
      </c>
      <c r="AR15" s="9" t="str">
        <f t="shared" si="1"/>
        <v>Verde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APE</v>
      </c>
      <c r="AV15" s="9">
        <f t="shared" si="5"/>
        <v>1</v>
      </c>
      <c r="AW15" s="9">
        <f ca="1">IFERROR(VLOOKUP(AQ15,TarifaMedia!$C$17:$G$17,5,0),0)</f>
        <v>0</v>
      </c>
      <c r="AX15" s="15">
        <f ca="1">'TUSD BE'!$AM15+'TUSD BF'!$AM15+'TUSD CVA'!$AM15</f>
        <v>8.8878190510274617</v>
      </c>
      <c r="AY15" s="9">
        <v>17.61</v>
      </c>
      <c r="AZ15" s="9">
        <f t="shared" ca="1" si="6"/>
        <v>0</v>
      </c>
      <c r="BC15" s="50" t="s">
        <v>1198</v>
      </c>
    </row>
    <row r="16" spans="1:55" ht="11.25" customHeight="1" x14ac:dyDescent="0.25">
      <c r="A16" s="131" t="s">
        <v>90</v>
      </c>
      <c r="B16" s="131" t="s">
        <v>59</v>
      </c>
      <c r="C16" s="131" t="s">
        <v>25</v>
      </c>
      <c r="D16" s="131" t="s">
        <v>25</v>
      </c>
      <c r="E16" s="73" t="s">
        <v>91</v>
      </c>
      <c r="F16" s="73" t="s">
        <v>25</v>
      </c>
      <c r="G16" s="74" t="s">
        <v>9</v>
      </c>
      <c r="H16" s="74" t="s">
        <v>80</v>
      </c>
      <c r="I16" s="74">
        <f>'MERCADO TUSD'!$U$13+0.00000001</f>
        <v>1E-8</v>
      </c>
      <c r="J16" s="15"/>
      <c r="L16" s="53">
        <f>'TUSD BE'!$L$16*'TUSD BE'!$L$59</f>
        <v>0</v>
      </c>
      <c r="M16" s="53">
        <f>'TUSD BE'!$M$16*'TUSD BE'!$M$59</f>
        <v>-8.498080370798576E-4</v>
      </c>
      <c r="N16" s="53">
        <f ca="1">'TUSD BE'!$N$16*'TUSD BE'!$N$59</f>
        <v>3.3127663350017472E-13</v>
      </c>
      <c r="O16" s="53">
        <f>'TUSD BE'!$O$16*'TUSD BE'!$O$59</f>
        <v>0</v>
      </c>
      <c r="P16" s="53">
        <f>'TUSD BE'!$P$16*'TUSD BE'!$P$59</f>
        <v>0</v>
      </c>
      <c r="Q16" s="53">
        <f>'TUSD BE'!$Q$16*'TUSD BE'!$Q$59</f>
        <v>0</v>
      </c>
      <c r="R16" s="53">
        <f>'TUSD BE'!$R$16*'TUSD BE'!$R$59</f>
        <v>0</v>
      </c>
      <c r="S16" s="53">
        <f>'TUSD BE'!$R$16*'TUSD BE'!$S$59</f>
        <v>0</v>
      </c>
      <c r="T16" s="53">
        <f ca="1">SUM($L$16:$S$16)</f>
        <v>-8.4980803674858092E-4</v>
      </c>
      <c r="U16" s="53">
        <f>'TUSD BE'!$U$16*'TUSD BE'!$U$59</f>
        <v>0</v>
      </c>
      <c r="V16" s="53">
        <f>'TUSD BE'!$V$16*'TUSD BE'!$V$59</f>
        <v>0</v>
      </c>
      <c r="W16" s="53">
        <f>'TUSD BE'!$W$16*'TUSD BE'!$W$59</f>
        <v>0</v>
      </c>
      <c r="X16" s="53">
        <f>'TUSD BE'!$X$16*'TUSD BE'!$X$59</f>
        <v>0</v>
      </c>
      <c r="Y16" s="53">
        <f>'TUSD BE'!$Y$16*'TUSD BE'!$Y$59</f>
        <v>0</v>
      </c>
      <c r="Z16" s="53">
        <f>'TUSD BE'!$Z$16*'TUSD BE'!$Z$59</f>
        <v>0</v>
      </c>
      <c r="AA16" s="53">
        <f>'TUSD BE'!$AA$16*'TUSD BE'!$AA$59</f>
        <v>0</v>
      </c>
      <c r="AB16" s="53">
        <f>SUM($U$16:$AA$16)</f>
        <v>0</v>
      </c>
      <c r="AC16" s="53">
        <f>'TUSD BE'!$AC$16*'TUSD BE'!$AC$59</f>
        <v>-2.8921258603308339E-2</v>
      </c>
      <c r="AD16" s="53">
        <f>SUM($AC$16:$AC$16)</f>
        <v>-2.8921258603308339E-2</v>
      </c>
      <c r="AE16" s="53">
        <f ca="1">$AO$16*$AO$56</f>
        <v>-0.68221241028403601</v>
      </c>
      <c r="AF16" s="53">
        <f ca="1">$AP$16*$AP$56</f>
        <v>0</v>
      </c>
      <c r="AG16" s="53">
        <f ca="1">SUM($AE$16:$AF$16)</f>
        <v>-0.68221241028403601</v>
      </c>
      <c r="AH16" s="53">
        <f>'TUSD BE'!$AH$16*'TUSD BE'!$AH$59</f>
        <v>0</v>
      </c>
      <c r="AI16" s="53">
        <f>'TUSD BE'!$AI$16*'TUSD BE'!$AI$59</f>
        <v>0</v>
      </c>
      <c r="AJ16" s="53">
        <f ca="1">'TUSD BE'!$AJ$16*'TUSD BE'!$AJ$59</f>
        <v>0</v>
      </c>
      <c r="AK16" s="53">
        <f ca="1">'TUSD BE'!$AK$16*'TUSD BE'!$AK$59</f>
        <v>0</v>
      </c>
      <c r="AL16" s="53">
        <f ca="1">SUM($AH$16:$AK$16)</f>
        <v>0</v>
      </c>
      <c r="AM16" s="53">
        <f ca="1">SUMIF($L$4:$AL$4,"SUBTOTAL",$L$16:$AL$16)+AZ16</f>
        <v>-0.71198347692409292</v>
      </c>
      <c r="AO16" s="76">
        <f ca="1">+'TUSD BE'!$T$16+'TUSD BE'!$AB$16+'TUSD BE'!$AD$16+'TUSD BE'!$AL$16</f>
        <v>3.6528666807966066</v>
      </c>
      <c r="AP16" s="76">
        <f ca="1">+'TUSD BE'!$T$16+'TUSD BE'!$AB$16+'TUSD BE'!$AD$16+'TUSD BE'!$AL$16</f>
        <v>3.6528666807966066</v>
      </c>
      <c r="AQ16" s="9" t="str">
        <f t="shared" si="0"/>
        <v>B</v>
      </c>
      <c r="AR16" s="9" t="str">
        <f t="shared" si="1"/>
        <v>Geração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TIPO 01</v>
      </c>
      <c r="AV16" s="9">
        <f t="shared" si="5"/>
        <v>0</v>
      </c>
      <c r="AW16" s="9">
        <f ca="1">TarifaMedia!$G$20</f>
        <v>0</v>
      </c>
      <c r="AX16" s="15">
        <f ca="1">'TUSD BE'!$AM16+'TUSD BF'!$AM16+'TUSD CVA'!$AM16</f>
        <v>2.9408832038725139</v>
      </c>
      <c r="AY16" s="9">
        <v>5.23</v>
      </c>
      <c r="AZ16" s="9">
        <f t="shared" ca="1" si="6"/>
        <v>0</v>
      </c>
      <c r="BC16" s="50" t="s">
        <v>1199</v>
      </c>
    </row>
    <row r="17" spans="1:55" ht="11.25" customHeight="1" x14ac:dyDescent="0.25">
      <c r="A17" s="131"/>
      <c r="B17" s="131"/>
      <c r="C17" s="131"/>
      <c r="D17" s="131"/>
      <c r="E17" s="73" t="s">
        <v>92</v>
      </c>
      <c r="F17" s="73" t="s">
        <v>25</v>
      </c>
      <c r="G17" s="74" t="s">
        <v>9</v>
      </c>
      <c r="H17" s="74" t="s">
        <v>80</v>
      </c>
      <c r="I17" s="74">
        <f>'MERCADO TUSD'!$U$14+0.00000001</f>
        <v>1E-8</v>
      </c>
      <c r="J17" s="15"/>
      <c r="L17" s="53">
        <f>'TUSD BE'!$L$17*'TUSD BE'!$L$59</f>
        <v>0</v>
      </c>
      <c r="M17" s="53">
        <f>'TUSD BE'!$M$17*'TUSD BE'!$M$59</f>
        <v>-8.498080370798576E-4</v>
      </c>
      <c r="N17" s="53">
        <f ca="1">'TUSD BE'!$N$17*'TUSD BE'!$N$59</f>
        <v>3.3127663350017472E-13</v>
      </c>
      <c r="O17" s="53">
        <f>'TUSD BE'!$O$17*'TUSD BE'!$O$59</f>
        <v>0</v>
      </c>
      <c r="P17" s="53">
        <f>'TUSD BE'!$P$17*'TUSD BE'!$P$59</f>
        <v>0</v>
      </c>
      <c r="Q17" s="53">
        <f>'TUSD BE'!$Q$17*'TUSD BE'!$Q$59</f>
        <v>0</v>
      </c>
      <c r="R17" s="53">
        <f>'TUSD BE'!$R$17*'TUSD BE'!$R$59</f>
        <v>0</v>
      </c>
      <c r="S17" s="53">
        <f>'TUSD BE'!$R$17*'TUSD BE'!$S$59</f>
        <v>0</v>
      </c>
      <c r="T17" s="53">
        <f ca="1">SUM($L$17:$S$17)</f>
        <v>-8.4980803674858092E-4</v>
      </c>
      <c r="U17" s="53">
        <f>'TUSD BE'!$U$17*'TUSD BE'!$U$59</f>
        <v>0</v>
      </c>
      <c r="V17" s="53">
        <f>'TUSD BE'!$V$17*'TUSD BE'!$V$59</f>
        <v>0</v>
      </c>
      <c r="W17" s="53">
        <f>'TUSD BE'!$W$17*'TUSD BE'!$W$59</f>
        <v>0</v>
      </c>
      <c r="X17" s="53">
        <f>'TUSD BE'!$X$17*'TUSD BE'!$X$59</f>
        <v>0</v>
      </c>
      <c r="Y17" s="53">
        <f>'TUSD BE'!$Y$17*'TUSD BE'!$Y$59</f>
        <v>0</v>
      </c>
      <c r="Z17" s="53">
        <f>'TUSD BE'!$Z$17*'TUSD BE'!$Z$59</f>
        <v>0</v>
      </c>
      <c r="AA17" s="53">
        <f>'TUSD BE'!$AA$17*'TUSD BE'!$AA$59</f>
        <v>0</v>
      </c>
      <c r="AB17" s="53">
        <f>SUM($U$17:$AA$17)</f>
        <v>0</v>
      </c>
      <c r="AC17" s="53">
        <f>'TUSD BE'!$AC$17*'TUSD BE'!$AC$59</f>
        <v>-8.9228914226449074E-2</v>
      </c>
      <c r="AD17" s="53">
        <f>SUM($AC$17:$AC$17)</f>
        <v>-8.9228914226449074E-2</v>
      </c>
      <c r="AE17" s="53">
        <f ca="1">$AO$17*$AO$56</f>
        <v>-2.0886290626528652</v>
      </c>
      <c r="AF17" s="53">
        <f ca="1">$AP$17*$AP$56</f>
        <v>0</v>
      </c>
      <c r="AG17" s="53">
        <f ca="1">SUM($AE$17:$AF$17)</f>
        <v>-2.0886290626528652</v>
      </c>
      <c r="AH17" s="53">
        <f>'TUSD BE'!$AH$17*'TUSD BE'!$AH$59</f>
        <v>0</v>
      </c>
      <c r="AI17" s="53">
        <f>'TUSD BE'!$AI$17*'TUSD BE'!$AI$59</f>
        <v>0</v>
      </c>
      <c r="AJ17" s="53">
        <f ca="1">'TUSD BE'!$AJ$17*'TUSD BE'!$AJ$59</f>
        <v>0</v>
      </c>
      <c r="AK17" s="53">
        <f ca="1">'TUSD BE'!$AK$17*'TUSD BE'!$AK$59</f>
        <v>0</v>
      </c>
      <c r="AL17" s="53">
        <f ca="1">SUM($AH$17:$AK$17)</f>
        <v>0</v>
      </c>
      <c r="AM17" s="53">
        <f ca="1">SUMIF($L$4:$AL$4,"SUBTOTAL",$L$17:$AL$17)+AZ17</f>
        <v>-2.178707784916063</v>
      </c>
      <c r="AO17" s="76">
        <f ca="1">+'TUSD BE'!$T$17+'TUSD BE'!$AB$17+'TUSD BE'!$AD$17+'TUSD BE'!$AL$17</f>
        <v>11.183442863977804</v>
      </c>
      <c r="AP17" s="76">
        <f ca="1">+'TUSD BE'!$T$17+'TUSD BE'!$AB$17+'TUSD BE'!$AD$17+'TUSD BE'!$AL$17</f>
        <v>11.183442863977804</v>
      </c>
      <c r="AQ17" s="9" t="str">
        <f t="shared" si="0"/>
        <v>B</v>
      </c>
      <c r="AR17" s="9" t="str">
        <f t="shared" si="1"/>
        <v>Geração</v>
      </c>
      <c r="AS17" s="9" t="str">
        <f t="shared" si="2"/>
        <v>Não se aplica</v>
      </c>
      <c r="AT17" s="9" t="str">
        <f t="shared" si="3"/>
        <v>Não se aplica</v>
      </c>
      <c r="AU17" s="9" t="str">
        <f t="shared" si="4"/>
        <v>TIPO 02</v>
      </c>
      <c r="AV17" s="9">
        <f t="shared" si="5"/>
        <v>0</v>
      </c>
      <c r="AW17" s="9">
        <f ca="1">TarifaMedia!$G$20</f>
        <v>0</v>
      </c>
      <c r="AX17" s="15">
        <f ca="1">'TUSD BE'!$AM17+'TUSD BF'!$AM17+'TUSD CVA'!$AM17</f>
        <v>9.0047350790617422</v>
      </c>
      <c r="AY17" s="9">
        <v>13.5</v>
      </c>
      <c r="AZ17" s="9">
        <f t="shared" ca="1" si="6"/>
        <v>0</v>
      </c>
      <c r="BC17" s="50" t="s">
        <v>1200</v>
      </c>
    </row>
    <row r="18" spans="1:55" ht="11.25" customHeight="1" x14ac:dyDescent="0.25">
      <c r="A18" s="131" t="s">
        <v>22</v>
      </c>
      <c r="B18" s="131" t="s">
        <v>32</v>
      </c>
      <c r="C18" s="131" t="s">
        <v>24</v>
      </c>
      <c r="D18" s="131" t="s">
        <v>24</v>
      </c>
      <c r="E18" s="131" t="s">
        <v>25</v>
      </c>
      <c r="F18" s="131" t="s">
        <v>25</v>
      </c>
      <c r="G18" s="74" t="s">
        <v>83</v>
      </c>
      <c r="H18" s="74" t="s">
        <v>82</v>
      </c>
      <c r="I18" s="74">
        <f>'MERCADO TUSD'!$U$15</f>
        <v>1.103</v>
      </c>
      <c r="J18" s="15"/>
      <c r="L18" s="53">
        <f>'TUSD BE'!$L$18*'TUSD BE'!$L$59</f>
        <v>-0.4232675743487378</v>
      </c>
      <c r="M18" s="53">
        <f>'TUSD BE'!$M$18*'TUSD BE'!$M$59</f>
        <v>-5.6107009911459463E-2</v>
      </c>
      <c r="N18" s="53">
        <f ca="1">'TUSD BE'!$N$18*'TUSD BE'!$N$59</f>
        <v>8.828889609040144E-11</v>
      </c>
      <c r="O18" s="53">
        <f>'TUSD BE'!$O$18*'TUSD BE'!$O$59</f>
        <v>0</v>
      </c>
      <c r="P18" s="53">
        <f>'TUSD BE'!$P$18*'TUSD BE'!$P$59</f>
        <v>0</v>
      </c>
      <c r="Q18" s="53">
        <f>'TUSD BE'!$Q$18*'TUSD BE'!$Q$59</f>
        <v>1.3282946463723817</v>
      </c>
      <c r="R18" s="53">
        <f>'TUSD BE'!$R$18*'TUSD BE'!$R$59</f>
        <v>-1.3656761373948416</v>
      </c>
      <c r="S18" s="53">
        <f>'TUSD BE'!$R$18*'TUSD BE'!$S$59</f>
        <v>0</v>
      </c>
      <c r="T18" s="53">
        <f ca="1">SUM($L$18:$S$18)</f>
        <v>-0.51675607519436828</v>
      </c>
      <c r="U18" s="53">
        <f>'TUSD BE'!$U$18*'TUSD BE'!$U$59</f>
        <v>-5.8930866121374637</v>
      </c>
      <c r="V18" s="53">
        <f>'TUSD BE'!$V$18*'TUSD BE'!$V$59</f>
        <v>1.032277185655607</v>
      </c>
      <c r="W18" s="53">
        <f>'TUSD BE'!$W$18*'TUSD BE'!$W$59</f>
        <v>-2.0957573525527597</v>
      </c>
      <c r="X18" s="53">
        <f>'TUSD BE'!$X$18*'TUSD BE'!$X$59</f>
        <v>0</v>
      </c>
      <c r="Y18" s="53">
        <f>'TUSD BE'!$Y$18*'TUSD BE'!$Y$59</f>
        <v>0</v>
      </c>
      <c r="Z18" s="53">
        <f>'TUSD BE'!$Z$18*'TUSD BE'!$Z$59</f>
        <v>0</v>
      </c>
      <c r="AA18" s="53">
        <f>'TUSD BE'!$AA$18*'TUSD BE'!$AA$59</f>
        <v>0</v>
      </c>
      <c r="AB18" s="53">
        <f>SUM($U$18:$AA$18)</f>
        <v>-6.9565667790346168</v>
      </c>
      <c r="AC18" s="53">
        <f>'TUSD BE'!$AC$18*'TUSD BE'!$AC$59</f>
        <v>-5.3894263283130073</v>
      </c>
      <c r="AD18" s="53">
        <f>SUM($AC$18:$AC$18)</f>
        <v>-5.3894263283130073</v>
      </c>
      <c r="AE18" s="53">
        <f ca="1">$AO$18*$AO$56</f>
        <v>-194.02056537604295</v>
      </c>
      <c r="AF18" s="53">
        <f ca="1">$AP$18*$AP$56</f>
        <v>0</v>
      </c>
      <c r="AG18" s="53">
        <f ca="1">SUM($AE$18:$AF$18)</f>
        <v>-194.02056537604295</v>
      </c>
      <c r="AH18" s="53">
        <f>'TUSD BE'!$AH$18*'TUSD BE'!$AH$59</f>
        <v>-0.44707847611599749</v>
      </c>
      <c r="AI18" s="53">
        <f>'TUSD BE'!$AI$18*'TUSD BE'!$AI$59</f>
        <v>-1.5333099014231768E-2</v>
      </c>
      <c r="AJ18" s="53">
        <f ca="1">'TUSD BE'!$AJ$18*'TUSD BE'!$AJ$59</f>
        <v>-6.5823007027000266E-2</v>
      </c>
      <c r="AK18" s="53">
        <f ca="1">'TUSD BE'!$AK$18*'TUSD BE'!$AK$59</f>
        <v>1.8843503031338697E-2</v>
      </c>
      <c r="AL18" s="53">
        <f ca="1">SUM($AH$18:$AK$18)</f>
        <v>-0.50939107912589077</v>
      </c>
      <c r="AM18" s="53">
        <f ca="1">SUMIF($L$4:$AL$4,"SUBTOTAL",$L$18:$AL$18)+AZ18</f>
        <v>-207.39270563771083</v>
      </c>
      <c r="AO18" s="76">
        <f ca="1">+'TUSD BE'!$T$18+'TUSD BE'!$AB$18+'TUSD BE'!$AD$18+'TUSD BE'!$AL$18</f>
        <v>1038.8718351757777</v>
      </c>
      <c r="AP18" s="76">
        <f ca="1">+'TUSD BE'!$T$18+'TUSD BE'!$AB$18+'TUSD BE'!$AD$18+'TUSD BE'!$AL$18</f>
        <v>1038.8718351757777</v>
      </c>
      <c r="AQ18" s="9" t="str">
        <f t="shared" si="0"/>
        <v>B1</v>
      </c>
      <c r="AR18" s="9" t="str">
        <f t="shared" si="1"/>
        <v>Branca</v>
      </c>
      <c r="AS18" s="9" t="str">
        <f t="shared" si="2"/>
        <v>Residencial</v>
      </c>
      <c r="AT18" s="9" t="str">
        <f t="shared" si="3"/>
        <v>Residencial</v>
      </c>
      <c r="AU18" s="9" t="str">
        <f t="shared" si="4"/>
        <v>Não se aplica</v>
      </c>
      <c r="AV18" s="9">
        <f t="shared" si="5"/>
        <v>1</v>
      </c>
      <c r="AW18" s="9">
        <f ca="1">TarifaMedia!$G$20</f>
        <v>0</v>
      </c>
      <c r="AX18" s="15">
        <f ca="1">'TUSD BE'!$AM18+'TUSD BF'!$AM18+'TUSD CVA'!$AM18</f>
        <v>864.59749550040999</v>
      </c>
      <c r="AY18" s="9">
        <v>871.05</v>
      </c>
      <c r="AZ18" s="9">
        <f t="shared" ca="1" si="6"/>
        <v>0</v>
      </c>
      <c r="BC18" s="50" t="s">
        <v>1201</v>
      </c>
    </row>
    <row r="19" spans="1:55" ht="11.25" customHeight="1" x14ac:dyDescent="0.25">
      <c r="A19" s="131"/>
      <c r="B19" s="131"/>
      <c r="C19" s="131"/>
      <c r="D19" s="131"/>
      <c r="E19" s="131"/>
      <c r="F19" s="131"/>
      <c r="G19" s="74" t="s">
        <v>93</v>
      </c>
      <c r="H19" s="74" t="s">
        <v>82</v>
      </c>
      <c r="I19" s="74">
        <f>'MERCADO TUSD'!$U$16</f>
        <v>0.64800000000000013</v>
      </c>
      <c r="J19" s="15"/>
      <c r="L19" s="53">
        <f>'TUSD BE'!$L$19*'TUSD BE'!$L$59</f>
        <v>-0.4232675743487378</v>
      </c>
      <c r="M19" s="53">
        <f>'TUSD BE'!$M$19*'TUSD BE'!$M$59</f>
        <v>-5.6107009911459463E-2</v>
      </c>
      <c r="N19" s="53">
        <f ca="1">'TUSD BE'!$N$19*'TUSD BE'!$N$59</f>
        <v>4.6715895751059055E-11</v>
      </c>
      <c r="O19" s="53">
        <f>'TUSD BE'!$O$19*'TUSD BE'!$O$59</f>
        <v>0</v>
      </c>
      <c r="P19" s="53">
        <f>'TUSD BE'!$P$19*'TUSD BE'!$P$59</f>
        <v>0</v>
      </c>
      <c r="Q19" s="53">
        <f>'TUSD BE'!$Q$19*'TUSD BE'!$Q$59</f>
        <v>1.3282946463723817</v>
      </c>
      <c r="R19" s="53">
        <f>'TUSD BE'!$R$19*'TUSD BE'!$R$59</f>
        <v>-1.3656761373948416</v>
      </c>
      <c r="S19" s="53">
        <f>'TUSD BE'!$R$19*'TUSD BE'!$S$59</f>
        <v>0</v>
      </c>
      <c r="T19" s="53">
        <f ca="1">SUM($L$19:$S$19)</f>
        <v>-0.51675607523594125</v>
      </c>
      <c r="U19" s="53">
        <f>'TUSD BE'!$U$19*'TUSD BE'!$U$59</f>
        <v>-2.9465410529101836</v>
      </c>
      <c r="V19" s="53">
        <f>'TUSD BE'!$V$19*'TUSD BE'!$V$59</f>
        <v>0.51613989561262374</v>
      </c>
      <c r="W19" s="53">
        <f>'TUSD BE'!$W$19*'TUSD BE'!$W$59</f>
        <v>-1.0478800825248131</v>
      </c>
      <c r="X19" s="53">
        <f>'TUSD BE'!$X$19*'TUSD BE'!$X$59</f>
        <v>0</v>
      </c>
      <c r="Y19" s="53">
        <f>'TUSD BE'!$Y$19*'TUSD BE'!$Y$59</f>
        <v>0</v>
      </c>
      <c r="Z19" s="53">
        <f>'TUSD BE'!$Z$19*'TUSD BE'!$Z$59</f>
        <v>0</v>
      </c>
      <c r="AA19" s="53">
        <f>'TUSD BE'!$AA$19*'TUSD BE'!$AA$59</f>
        <v>0</v>
      </c>
      <c r="AB19" s="53">
        <f>SUM($U$19:$AA$19)</f>
        <v>-3.4782812398223726</v>
      </c>
      <c r="AC19" s="53">
        <f>'TUSD BE'!$AC$19*'TUSD BE'!$AC$59</f>
        <v>-2.6947131641565036</v>
      </c>
      <c r="AD19" s="53">
        <f>SUM($AC$19:$AC$19)</f>
        <v>-2.6947131641565036</v>
      </c>
      <c r="AE19" s="53">
        <f ca="1">$AO$19*$AO$56</f>
        <v>-109.03257704638929</v>
      </c>
      <c r="AF19" s="53">
        <f ca="1">$AP$19*$AP$56</f>
        <v>0</v>
      </c>
      <c r="AG19" s="53">
        <f ca="1">SUM($AE$19:$AF$19)</f>
        <v>-109.03257704638929</v>
      </c>
      <c r="AH19" s="53">
        <f>'TUSD BE'!$AH$19*'TUSD BE'!$AH$59</f>
        <v>-0.44707847611599749</v>
      </c>
      <c r="AI19" s="53">
        <f>'TUSD BE'!$AI$19*'TUSD BE'!$AI$59</f>
        <v>-1.5333099014231768E-2</v>
      </c>
      <c r="AJ19" s="53">
        <f ca="1">'TUSD BE'!$AJ$19*'TUSD BE'!$AJ$59</f>
        <v>-6.5823007027000266E-2</v>
      </c>
      <c r="AK19" s="53">
        <f ca="1">'TUSD BE'!$AK$19*'TUSD BE'!$AK$59</f>
        <v>1.8843503031338697E-2</v>
      </c>
      <c r="AL19" s="53">
        <f ca="1">SUM($AH$19:$AK$19)</f>
        <v>-0.50939107912589077</v>
      </c>
      <c r="AM19" s="53">
        <f ca="1">SUMIF($L$4:$AL$4,"SUBTOTAL",$L$19:$AL$19)+AZ19</f>
        <v>-116.23171860473001</v>
      </c>
      <c r="AO19" s="76">
        <f ca="1">+'TUSD BE'!$T$19+'TUSD BE'!$AB$19+'TUSD BE'!$AD$19+'TUSD BE'!$AL$19</f>
        <v>583.80859364361561</v>
      </c>
      <c r="AP19" s="76">
        <f ca="1">+'TUSD BE'!$T$19+'TUSD BE'!$AB$19+'TUSD BE'!$AD$19+'TUSD BE'!$AL$19</f>
        <v>583.80859364361561</v>
      </c>
      <c r="AQ19" s="9" t="str">
        <f t="shared" si="0"/>
        <v>B1</v>
      </c>
      <c r="AR19" s="9" t="str">
        <f t="shared" si="1"/>
        <v>Branca</v>
      </c>
      <c r="AS19" s="9" t="str">
        <f t="shared" si="2"/>
        <v>Residencial</v>
      </c>
      <c r="AT19" s="9" t="str">
        <f t="shared" si="3"/>
        <v>Residencial</v>
      </c>
      <c r="AU19" s="9" t="str">
        <f t="shared" si="4"/>
        <v>Não se aplica</v>
      </c>
      <c r="AV19" s="9">
        <f t="shared" si="5"/>
        <v>1</v>
      </c>
      <c r="AW19" s="9">
        <f ca="1">TarifaMedia!$G$20</f>
        <v>0</v>
      </c>
      <c r="AX19" s="15">
        <f ca="1">'TUSD BE'!$AM19+'TUSD BF'!$AM19+'TUSD CVA'!$AM19</f>
        <v>494.59970140636</v>
      </c>
      <c r="AY19" s="9">
        <v>582.04</v>
      </c>
      <c r="AZ19" s="9">
        <f t="shared" ca="1" si="6"/>
        <v>0</v>
      </c>
      <c r="BC19" s="50" t="s">
        <v>1202</v>
      </c>
    </row>
    <row r="20" spans="1:55" ht="11.25" customHeight="1" x14ac:dyDescent="0.25">
      <c r="A20" s="131"/>
      <c r="B20" s="131"/>
      <c r="C20" s="131"/>
      <c r="D20" s="131"/>
      <c r="E20" s="131"/>
      <c r="F20" s="131"/>
      <c r="G20" s="74" t="s">
        <v>84</v>
      </c>
      <c r="H20" s="74" t="s">
        <v>82</v>
      </c>
      <c r="I20" s="74">
        <f>'MERCADO TUSD'!$U$17</f>
        <v>11.868000000000002</v>
      </c>
      <c r="J20" s="15"/>
      <c r="L20" s="53">
        <f>'TUSD BE'!$L$20*'TUSD BE'!$L$59</f>
        <v>-0.4232675743487378</v>
      </c>
      <c r="M20" s="53">
        <f>'TUSD BE'!$M$20*'TUSD BE'!$M$59</f>
        <v>-5.6107009911459463E-2</v>
      </c>
      <c r="N20" s="53">
        <f ca="1">'TUSD BE'!$N$20*'TUSD BE'!$N$59</f>
        <v>1.3457486652464822E-11</v>
      </c>
      <c r="O20" s="53">
        <f>'TUSD BE'!$O$20*'TUSD BE'!$O$59</f>
        <v>0</v>
      </c>
      <c r="P20" s="53">
        <f>'TUSD BE'!$P$20*'TUSD BE'!$P$59</f>
        <v>0</v>
      </c>
      <c r="Q20" s="53">
        <f>'TUSD BE'!$Q$20*'TUSD BE'!$Q$59</f>
        <v>1.3282946463723817</v>
      </c>
      <c r="R20" s="53">
        <f>'TUSD BE'!$R$20*'TUSD BE'!$R$59</f>
        <v>-1.3656761373948416</v>
      </c>
      <c r="S20" s="53">
        <f>'TUSD BE'!$R$20*'TUSD BE'!$S$59</f>
        <v>0</v>
      </c>
      <c r="T20" s="53">
        <f ca="1">SUM($L$20:$S$20)</f>
        <v>-0.51675607526919964</v>
      </c>
      <c r="U20" s="53">
        <f>'TUSD BE'!$U$20*'TUSD BE'!$U$59</f>
        <v>-0.58930911184545598</v>
      </c>
      <c r="V20" s="53">
        <f>'TUSD BE'!$V$20*'TUSD BE'!$V$59</f>
        <v>0.10322745800859667</v>
      </c>
      <c r="W20" s="53">
        <f>'TUSD BE'!$W$20*'TUSD BE'!$W$59</f>
        <v>-0.2095760165049626</v>
      </c>
      <c r="X20" s="53">
        <f>'TUSD BE'!$X$20*'TUSD BE'!$X$59</f>
        <v>0</v>
      </c>
      <c r="Y20" s="53">
        <f>'TUSD BE'!$Y$20*'TUSD BE'!$Y$59</f>
        <v>0</v>
      </c>
      <c r="Z20" s="53">
        <f>'TUSD BE'!$Z$20*'TUSD BE'!$Z$59</f>
        <v>0</v>
      </c>
      <c r="AA20" s="53">
        <f>'TUSD BE'!$AA$20*'TUSD BE'!$AA$59</f>
        <v>0</v>
      </c>
      <c r="AB20" s="53">
        <f>SUM($U$20:$AA$20)</f>
        <v>-0.69565767034182191</v>
      </c>
      <c r="AC20" s="53">
        <f>'TUSD BE'!$AC$20*'TUSD BE'!$AC$59</f>
        <v>-0.53894247819162144</v>
      </c>
      <c r="AD20" s="53">
        <f>SUM($AC$20:$AC$20)</f>
        <v>-0.53894247819162144</v>
      </c>
      <c r="AE20" s="53">
        <f ca="1">$AO$20*$AO$56</f>
        <v>-41.04216859234365</v>
      </c>
      <c r="AF20" s="53">
        <f ca="1">$AP$20*$AP$56</f>
        <v>0</v>
      </c>
      <c r="AG20" s="53">
        <f ca="1">SUM($AE$20:$AF$20)</f>
        <v>-41.04216859234365</v>
      </c>
      <c r="AH20" s="53">
        <f>'TUSD BE'!$AH$20*'TUSD BE'!$AH$59</f>
        <v>-0.44707847611599749</v>
      </c>
      <c r="AI20" s="53">
        <f>'TUSD BE'!$AI$20*'TUSD BE'!$AI$59</f>
        <v>-1.5333099014231768E-2</v>
      </c>
      <c r="AJ20" s="53">
        <f ca="1">'TUSD BE'!$AJ$20*'TUSD BE'!$AJ$59</f>
        <v>-6.5823007027000266E-2</v>
      </c>
      <c r="AK20" s="53">
        <f ca="1">'TUSD BE'!$AK$20*'TUSD BE'!$AK$59</f>
        <v>1.8843503031338697E-2</v>
      </c>
      <c r="AL20" s="53">
        <f ca="1">SUM($AH$20:$AK$20)</f>
        <v>-0.50939107912589077</v>
      </c>
      <c r="AM20" s="53">
        <f ca="1">SUMIF($L$4:$AL$4,"SUBTOTAL",$L$20:$AL$20)+AZ20</f>
        <v>-43.302915895272186</v>
      </c>
      <c r="AO20" s="76">
        <f ca="1">+'TUSD BE'!$T$20+'TUSD BE'!$AB$20+'TUSD BE'!$AD$20+'TUSD BE'!$AL$20</f>
        <v>219.75790516063748</v>
      </c>
      <c r="AP20" s="76">
        <f ca="1">+'TUSD BE'!$T$20+'TUSD BE'!$AB$20+'TUSD BE'!$AD$20+'TUSD BE'!$AL$20</f>
        <v>219.75790516063748</v>
      </c>
      <c r="AQ20" s="9" t="str">
        <f t="shared" si="0"/>
        <v>B1</v>
      </c>
      <c r="AR20" s="9" t="str">
        <f t="shared" si="1"/>
        <v>Branca</v>
      </c>
      <c r="AS20" s="9" t="str">
        <f t="shared" si="2"/>
        <v>Residencial</v>
      </c>
      <c r="AT20" s="9" t="str">
        <f t="shared" si="3"/>
        <v>Residencial</v>
      </c>
      <c r="AU20" s="9" t="str">
        <f t="shared" si="4"/>
        <v>Não se aplica</v>
      </c>
      <c r="AV20" s="9">
        <f t="shared" si="5"/>
        <v>1</v>
      </c>
      <c r="AW20" s="9">
        <f ca="1">TarifaMedia!$G$20</f>
        <v>0</v>
      </c>
      <c r="AX20" s="15">
        <f ca="1">'TUSD BE'!$AM20+'TUSD BF'!$AM20+'TUSD CVA'!$AM20</f>
        <v>198.60138395404957</v>
      </c>
      <c r="AY20" s="9">
        <v>293.04000000000002</v>
      </c>
      <c r="AZ20" s="9">
        <f t="shared" ca="1" si="6"/>
        <v>0</v>
      </c>
      <c r="BC20" s="50" t="s">
        <v>1203</v>
      </c>
    </row>
    <row r="21" spans="1:55" ht="11.25" customHeight="1" x14ac:dyDescent="0.25">
      <c r="A21" s="131"/>
      <c r="B21" s="131" t="s">
        <v>23</v>
      </c>
      <c r="C21" s="131" t="s">
        <v>24</v>
      </c>
      <c r="D21" s="73" t="s">
        <v>24</v>
      </c>
      <c r="E21" s="73" t="s">
        <v>25</v>
      </c>
      <c r="F21" s="73" t="s">
        <v>25</v>
      </c>
      <c r="G21" s="74" t="s">
        <v>86</v>
      </c>
      <c r="H21" s="74" t="s">
        <v>82</v>
      </c>
      <c r="I21" s="74">
        <f>'MERCADO TUSD'!$U$18</f>
        <v>63212.388999999996</v>
      </c>
      <c r="J21" s="15"/>
      <c r="L21" s="53">
        <f>'TUSD BE'!$L$21*'TUSD BE'!$L$59</f>
        <v>-0.4232675743487378</v>
      </c>
      <c r="M21" s="53">
        <f>'TUSD BE'!$M$21*'TUSD BE'!$M$59</f>
        <v>-5.6107009911459463E-2</v>
      </c>
      <c r="N21" s="53">
        <f ca="1">'TUSD BE'!$N$21*'TUSD BE'!$N$59</f>
        <v>2.8239002788186737E-11</v>
      </c>
      <c r="O21" s="53">
        <f>'TUSD BE'!$O$21*'TUSD BE'!$O$59</f>
        <v>0</v>
      </c>
      <c r="P21" s="53">
        <f>'TUSD BE'!$P$21*'TUSD BE'!$P$59</f>
        <v>0</v>
      </c>
      <c r="Q21" s="53">
        <f>'TUSD BE'!$Q$21*'TUSD BE'!$Q$59</f>
        <v>1.3282946463723817</v>
      </c>
      <c r="R21" s="53">
        <f>'TUSD BE'!$R$21*'TUSD BE'!$R$59</f>
        <v>-1.3656761373948416</v>
      </c>
      <c r="S21" s="53">
        <f>'TUSD BE'!$R$21*'TUSD BE'!$S$59</f>
        <v>0</v>
      </c>
      <c r="T21" s="53">
        <f ca="1">SUM($L$21:$S$21)</f>
        <v>-0.51675607525441813</v>
      </c>
      <c r="U21" s="53">
        <f>'TUSD BE'!$U$21*'TUSD BE'!$U$59</f>
        <v>-1.6369692544243668</v>
      </c>
      <c r="V21" s="53">
        <f>'TUSD BE'!$V$21*'TUSD BE'!$V$59</f>
        <v>0.28674293891276859</v>
      </c>
      <c r="W21" s="53">
        <f>'TUSD BE'!$W$21*'TUSD BE'!$W$59</f>
        <v>-0.58215591390232568</v>
      </c>
      <c r="X21" s="53">
        <f>'TUSD BE'!$X$21*'TUSD BE'!$X$59</f>
        <v>0</v>
      </c>
      <c r="Y21" s="53">
        <f>'TUSD BE'!$Y$21*'TUSD BE'!$Y$59</f>
        <v>0</v>
      </c>
      <c r="Z21" s="53">
        <f>'TUSD BE'!$Z$21*'TUSD BE'!$Z$59</f>
        <v>0</v>
      </c>
      <c r="AA21" s="53">
        <f>'TUSD BE'!$AA$21*'TUSD BE'!$AA$59</f>
        <v>0</v>
      </c>
      <c r="AB21" s="53">
        <f>SUM($U$21:$AA$21)</f>
        <v>-1.9323822294139239</v>
      </c>
      <c r="AC21" s="53">
        <f>'TUSD BE'!$AC$21*'TUSD BE'!$AC$59</f>
        <v>-1.4970628689758352</v>
      </c>
      <c r="AD21" s="53">
        <f>SUM($AC$21:$AC$21)</f>
        <v>-1.4970628689758352</v>
      </c>
      <c r="AE21" s="53">
        <f ca="1">$AO$21*$AO$56</f>
        <v>-71.260129922992746</v>
      </c>
      <c r="AF21" s="53">
        <f ca="1">$AP$21*$AP$56</f>
        <v>0</v>
      </c>
      <c r="AG21" s="53">
        <f ca="1">SUM($AE$21:$AF$21)</f>
        <v>-71.260129922992746</v>
      </c>
      <c r="AH21" s="53">
        <f>'TUSD BE'!$AH$21*'TUSD BE'!$AH$59</f>
        <v>-0.44707847611599749</v>
      </c>
      <c r="AI21" s="53">
        <f>'TUSD BE'!$AI$21*'TUSD BE'!$AI$59</f>
        <v>-1.5333099014231768E-2</v>
      </c>
      <c r="AJ21" s="53">
        <f ca="1">'TUSD BE'!$AJ$21*'TUSD BE'!$AJ$59</f>
        <v>-6.5823007027000266E-2</v>
      </c>
      <c r="AK21" s="53">
        <f ca="1">'TUSD BE'!$AK$21*'TUSD BE'!$AK$59</f>
        <v>1.8843503031338697E-2</v>
      </c>
      <c r="AL21" s="53">
        <f ca="1">SUM($AH$21:$AK$21)</f>
        <v>-0.50939107912589077</v>
      </c>
      <c r="AM21" s="53">
        <f ca="1">SUMIF($L$4:$AL$4,"SUBTOTAL",$L$21:$AL$21)+AZ21</f>
        <v>-75.715722175762821</v>
      </c>
      <c r="AO21" s="76">
        <f ca="1">+'TUSD BE'!$T$21+'TUSD BE'!$AB$21+'TUSD BE'!$AD$21+'TUSD BE'!$AL$21</f>
        <v>381.55822195694333</v>
      </c>
      <c r="AP21" s="76">
        <f ca="1">+'TUSD BE'!$T$21+'TUSD BE'!$AB$21+'TUSD BE'!$AD$21+'TUSD BE'!$AL$21</f>
        <v>381.55822195694333</v>
      </c>
      <c r="AQ21" s="9" t="str">
        <f t="shared" si="0"/>
        <v>B1</v>
      </c>
      <c r="AR21" s="9" t="str">
        <f t="shared" si="1"/>
        <v>Convencional</v>
      </c>
      <c r="AS21" s="9" t="str">
        <f t="shared" si="2"/>
        <v>Residencial</v>
      </c>
      <c r="AT21" s="9" t="str">
        <f t="shared" si="3"/>
        <v>Residencial</v>
      </c>
      <c r="AU21" s="9" t="str">
        <f t="shared" si="4"/>
        <v>Não se aplica</v>
      </c>
      <c r="AV21" s="9">
        <f t="shared" si="5"/>
        <v>1</v>
      </c>
      <c r="AW21" s="9">
        <f ca="1">TarifaMedia!$G$20</f>
        <v>0</v>
      </c>
      <c r="AX21" s="15">
        <f ca="1">'TUSD BE'!$AM21+'TUSD BF'!$AM21+'TUSD CVA'!$AM21</f>
        <v>330.1561966420345</v>
      </c>
      <c r="AY21" s="9">
        <v>437.54</v>
      </c>
      <c r="AZ21" s="9">
        <f t="shared" ca="1" si="6"/>
        <v>0</v>
      </c>
      <c r="BC21" s="50" t="s">
        <v>1204</v>
      </c>
    </row>
    <row r="22" spans="1:55" ht="11.25" customHeight="1" x14ac:dyDescent="0.25">
      <c r="A22" s="131"/>
      <c r="B22" s="131"/>
      <c r="C22" s="131"/>
      <c r="D22" s="73" t="s">
        <v>28</v>
      </c>
      <c r="E22" s="73" t="s">
        <v>25</v>
      </c>
      <c r="F22" s="73" t="s">
        <v>25</v>
      </c>
      <c r="G22" s="74" t="s">
        <v>86</v>
      </c>
      <c r="H22" s="74" t="s">
        <v>82</v>
      </c>
      <c r="I22" s="74">
        <f>'MERCADO TUSD'!$U$19</f>
        <v>258.12700000000001</v>
      </c>
      <c r="J22" s="15"/>
      <c r="L22" s="53">
        <f>'TUSD BE'!$L$22*'TUSD BE'!$L$59</f>
        <v>0</v>
      </c>
      <c r="M22" s="53">
        <f>'TUSD BE'!$M$22*'TUSD BE'!$M$59</f>
        <v>-5.6107009911459463E-2</v>
      </c>
      <c r="N22" s="53">
        <f ca="1">'TUSD BE'!$N$22*'TUSD BE'!$N$59</f>
        <v>2.8135154313735273E-11</v>
      </c>
      <c r="O22" s="53">
        <f>'TUSD BE'!$O$22*'TUSD BE'!$O$59</f>
        <v>0</v>
      </c>
      <c r="P22" s="53">
        <f>'TUSD BE'!$P$22*'TUSD BE'!$P$59</f>
        <v>0</v>
      </c>
      <c r="Q22" s="53">
        <f>'TUSD BE'!$Q$22*'TUSD BE'!$Q$59</f>
        <v>0</v>
      </c>
      <c r="R22" s="53">
        <f>'TUSD BE'!$R$22*'TUSD BE'!$R$59</f>
        <v>0</v>
      </c>
      <c r="S22" s="53">
        <f>'TUSD BE'!$R$22*'TUSD BE'!$S$59</f>
        <v>0</v>
      </c>
      <c r="T22" s="53">
        <f ca="1">SUM($L$22:$S$22)</f>
        <v>-5.6107009883324309E-2</v>
      </c>
      <c r="U22" s="53">
        <f>'TUSD BE'!$U$22*'TUSD BE'!$U$59</f>
        <v>-1.6369692544243668</v>
      </c>
      <c r="V22" s="53">
        <f>'TUSD BE'!$V$22*'TUSD BE'!$V$59</f>
        <v>0.28674293891276859</v>
      </c>
      <c r="W22" s="53">
        <f>'TUSD BE'!$W$22*'TUSD BE'!$W$59</f>
        <v>-0.58215591390232568</v>
      </c>
      <c r="X22" s="53">
        <f>'TUSD BE'!$X$22*'TUSD BE'!$X$59</f>
        <v>0</v>
      </c>
      <c r="Y22" s="53">
        <f>'TUSD BE'!$Y$22*'TUSD BE'!$Y$59</f>
        <v>0</v>
      </c>
      <c r="Z22" s="53">
        <f>'TUSD BE'!$Z$22*'TUSD BE'!$Z$59</f>
        <v>0</v>
      </c>
      <c r="AA22" s="53">
        <f>'TUSD BE'!$AA$22*'TUSD BE'!$AA$59</f>
        <v>0</v>
      </c>
      <c r="AB22" s="53">
        <f>SUM($U$22:$AA$22)</f>
        <v>-1.9323822294139239</v>
      </c>
      <c r="AC22" s="53">
        <f>'TUSD BE'!$AC$22*'TUSD BE'!$AC$59</f>
        <v>-1.4970628689758352</v>
      </c>
      <c r="AD22" s="53">
        <f>SUM($AC$22:$AC$22)</f>
        <v>-1.4970628689758352</v>
      </c>
      <c r="AE22" s="53">
        <f ca="1">$AO$22*$AO$56</f>
        <v>-51.055269028897861</v>
      </c>
      <c r="AF22" s="53">
        <f ca="1">$AP$22*$AP$56</f>
        <v>0</v>
      </c>
      <c r="AG22" s="53">
        <f ca="1">SUM($AE$22:$AF$22)</f>
        <v>-51.055269028897861</v>
      </c>
      <c r="AH22" s="53">
        <f>'TUSD BE'!$AH$22*'TUSD BE'!$AH$59</f>
        <v>-0.44707847611599749</v>
      </c>
      <c r="AI22" s="53">
        <f>'TUSD BE'!$AI$22*'TUSD BE'!$AI$59</f>
        <v>-1.5333099014231768E-2</v>
      </c>
      <c r="AJ22" s="53">
        <f ca="1">'TUSD BE'!$AJ$22*'TUSD BE'!$AJ$59</f>
        <v>-6.5823007027000266E-2</v>
      </c>
      <c r="AK22" s="53">
        <f ca="1">'TUSD BE'!$AK$22*'TUSD BE'!$AK$59</f>
        <v>1.8843503031338697E-2</v>
      </c>
      <c r="AL22" s="53">
        <f ca="1">SUM($AH$22:$AK$22)</f>
        <v>-0.50939107912589077</v>
      </c>
      <c r="AM22" s="53">
        <f ca="1">SUMIF($L$4:$AL$4,"SUBTOTAL",$L$22:$AL$22)+AZ22</f>
        <v>-55.050212216296835</v>
      </c>
      <c r="AO22" s="76">
        <f ca="1">+'TUSD BE'!$T$22+'TUSD BE'!$AB$22+'TUSD BE'!$AD$22+'TUSD BE'!$AL$22</f>
        <v>273.37246919492463</v>
      </c>
      <c r="AP22" s="76">
        <f ca="1">+'TUSD BE'!$T$22+'TUSD BE'!$AB$22+'TUSD BE'!$AD$22+'TUSD BE'!$AL$22</f>
        <v>273.37246919492463</v>
      </c>
      <c r="AQ22" s="9" t="str">
        <f t="shared" si="0"/>
        <v>B1</v>
      </c>
      <c r="AR22" s="9" t="str">
        <f t="shared" si="1"/>
        <v>Convencional</v>
      </c>
      <c r="AS22" s="9" t="str">
        <f t="shared" si="2"/>
        <v>Residencial</v>
      </c>
      <c r="AT22" s="9" t="str">
        <f t="shared" si="3"/>
        <v>Residencial baixa renda – faixa 01</v>
      </c>
      <c r="AU22" s="9" t="str">
        <f t="shared" si="4"/>
        <v>Não se aplica</v>
      </c>
      <c r="AV22" s="9">
        <f t="shared" si="5"/>
        <v>1</v>
      </c>
      <c r="AW22" s="9">
        <f ca="1">TarifaMedia!$G$20</f>
        <v>0</v>
      </c>
      <c r="AX22" s="15">
        <f ca="1">'TUSD BE'!$AM22+'TUSD BF'!$AM22+'TUSD CVA'!$AM22</f>
        <v>223.91621971374065</v>
      </c>
      <c r="AY22" s="9">
        <v>322.51</v>
      </c>
      <c r="AZ22" s="9">
        <f t="shared" ca="1" si="6"/>
        <v>0</v>
      </c>
      <c r="BC22" s="50" t="s">
        <v>1205</v>
      </c>
    </row>
    <row r="23" spans="1:55" ht="11.25" customHeight="1" x14ac:dyDescent="0.25">
      <c r="A23" s="131"/>
      <c r="B23" s="131"/>
      <c r="C23" s="131"/>
      <c r="D23" s="73" t="s">
        <v>29</v>
      </c>
      <c r="E23" s="73" t="s">
        <v>25</v>
      </c>
      <c r="F23" s="73" t="s">
        <v>25</v>
      </c>
      <c r="G23" s="74" t="s">
        <v>86</v>
      </c>
      <c r="H23" s="74" t="s">
        <v>82</v>
      </c>
      <c r="I23" s="74">
        <f>'MERCADO TUSD'!$U$20</f>
        <v>546.58100000000002</v>
      </c>
      <c r="J23" s="15"/>
      <c r="L23" s="53">
        <f>'TUSD BE'!$L$23*'TUSD BE'!$L$59</f>
        <v>0</v>
      </c>
      <c r="M23" s="53">
        <f>'TUSD BE'!$M$23*'TUSD BE'!$M$59</f>
        <v>-5.6107009911459463E-2</v>
      </c>
      <c r="N23" s="53">
        <f ca="1">'TUSD BE'!$N$23*'TUSD BE'!$N$59</f>
        <v>2.8135154313735273E-11</v>
      </c>
      <c r="O23" s="53">
        <f>'TUSD BE'!$O$23*'TUSD BE'!$O$59</f>
        <v>0</v>
      </c>
      <c r="P23" s="53">
        <f>'TUSD BE'!$P$23*'TUSD BE'!$P$59</f>
        <v>0</v>
      </c>
      <c r="Q23" s="53">
        <f>'TUSD BE'!$Q$23*'TUSD BE'!$Q$59</f>
        <v>0</v>
      </c>
      <c r="R23" s="53">
        <f>'TUSD BE'!$R$23*'TUSD BE'!$R$59</f>
        <v>0</v>
      </c>
      <c r="S23" s="53">
        <f>'TUSD BE'!$R$23*'TUSD BE'!$S$59</f>
        <v>0</v>
      </c>
      <c r="T23" s="53">
        <f ca="1">SUM($L$23:$S$23)</f>
        <v>-5.6107009883324309E-2</v>
      </c>
      <c r="U23" s="53">
        <f>'TUSD BE'!$U$23*'TUSD BE'!$U$59</f>
        <v>-1.6369692544243668</v>
      </c>
      <c r="V23" s="53">
        <f>'TUSD BE'!$V$23*'TUSD BE'!$V$59</f>
        <v>0.28674293891276859</v>
      </c>
      <c r="W23" s="53">
        <f>'TUSD BE'!$W$23*'TUSD BE'!$W$59</f>
        <v>-0.58215591390232568</v>
      </c>
      <c r="X23" s="53">
        <f>'TUSD BE'!$X$23*'TUSD BE'!$X$59</f>
        <v>0</v>
      </c>
      <c r="Y23" s="53">
        <f>'TUSD BE'!$Y$23*'TUSD BE'!$Y$59</f>
        <v>0</v>
      </c>
      <c r="Z23" s="53">
        <f>'TUSD BE'!$Z$23*'TUSD BE'!$Z$59</f>
        <v>0</v>
      </c>
      <c r="AA23" s="53">
        <f>'TUSD BE'!$AA$23*'TUSD BE'!$AA$59</f>
        <v>0</v>
      </c>
      <c r="AB23" s="53">
        <f>SUM($U$23:$AA$23)</f>
        <v>-1.9323822294139239</v>
      </c>
      <c r="AC23" s="53">
        <f>'TUSD BE'!$AC$23*'TUSD BE'!$AC$59</f>
        <v>-1.4970628689758352</v>
      </c>
      <c r="AD23" s="53">
        <f>SUM($AC$23:$AC$23)</f>
        <v>-1.4970628689758352</v>
      </c>
      <c r="AE23" s="53">
        <f ca="1">$AO$23*$AO$56</f>
        <v>-51.055269028897861</v>
      </c>
      <c r="AF23" s="53">
        <f ca="1">$AP$23*$AP$56</f>
        <v>0</v>
      </c>
      <c r="AG23" s="53">
        <f ca="1">SUM($AE$23:$AF$23)</f>
        <v>-51.055269028897861</v>
      </c>
      <c r="AH23" s="53">
        <f>'TUSD BE'!$AH$23*'TUSD BE'!$AH$59</f>
        <v>-0.44707847611599749</v>
      </c>
      <c r="AI23" s="53">
        <f>'TUSD BE'!$AI$23*'TUSD BE'!$AI$59</f>
        <v>-1.5333099014231768E-2</v>
      </c>
      <c r="AJ23" s="53">
        <f ca="1">'TUSD BE'!$AJ$23*'TUSD BE'!$AJ$59</f>
        <v>-6.5823007027000266E-2</v>
      </c>
      <c r="AK23" s="53">
        <f ca="1">'TUSD BE'!$AK$23*'TUSD BE'!$AK$59</f>
        <v>1.8843503031338697E-2</v>
      </c>
      <c r="AL23" s="53">
        <f ca="1">SUM($AH$23:$AK$23)</f>
        <v>-0.50939107912589077</v>
      </c>
      <c r="AM23" s="53">
        <f ca="1">SUMIF($L$4:$AL$4,"SUBTOTAL",$L$23:$AL$23)+AZ23</f>
        <v>-55.050212216296835</v>
      </c>
      <c r="AO23" s="76">
        <f ca="1">+'TUSD BE'!$T$23+'TUSD BE'!$AB$23+'TUSD BE'!$AD$23+'TUSD BE'!$AL$23</f>
        <v>273.37246919492463</v>
      </c>
      <c r="AP23" s="76">
        <f ca="1">+'TUSD BE'!$T$23+'TUSD BE'!$AB$23+'TUSD BE'!$AD$23+'TUSD BE'!$AL$23</f>
        <v>273.37246919492463</v>
      </c>
      <c r="AQ23" s="9" t="str">
        <f t="shared" si="0"/>
        <v>B1</v>
      </c>
      <c r="AR23" s="9" t="str">
        <f t="shared" si="1"/>
        <v>Convencional</v>
      </c>
      <c r="AS23" s="9" t="str">
        <f t="shared" si="2"/>
        <v>Residencial</v>
      </c>
      <c r="AT23" s="9" t="str">
        <f t="shared" si="3"/>
        <v>Residencial baixa renda – faixa 02</v>
      </c>
      <c r="AU23" s="9" t="str">
        <f t="shared" si="4"/>
        <v>Não se aplica</v>
      </c>
      <c r="AV23" s="9">
        <f t="shared" si="5"/>
        <v>1</v>
      </c>
      <c r="AW23" s="9">
        <f ca="1">TarifaMedia!$G$20</f>
        <v>0</v>
      </c>
      <c r="AX23" s="15">
        <f ca="1">'TUSD BE'!$AM23+'TUSD BF'!$AM23+'TUSD CVA'!$AM23</f>
        <v>223.91621971374065</v>
      </c>
      <c r="AY23" s="9">
        <v>322.51</v>
      </c>
      <c r="AZ23" s="9">
        <f t="shared" ca="1" si="6"/>
        <v>0</v>
      </c>
      <c r="BC23" s="50" t="s">
        <v>1205</v>
      </c>
    </row>
    <row r="24" spans="1:55" ht="11.25" customHeight="1" x14ac:dyDescent="0.25">
      <c r="A24" s="131"/>
      <c r="B24" s="131"/>
      <c r="C24" s="131"/>
      <c r="D24" s="73" t="s">
        <v>30</v>
      </c>
      <c r="E24" s="73" t="s">
        <v>25</v>
      </c>
      <c r="F24" s="73" t="s">
        <v>25</v>
      </c>
      <c r="G24" s="74" t="s">
        <v>86</v>
      </c>
      <c r="H24" s="74" t="s">
        <v>82</v>
      </c>
      <c r="I24" s="74">
        <f>'MERCADO TUSD'!$U$21</f>
        <v>537.75300000000004</v>
      </c>
      <c r="J24" s="15"/>
      <c r="L24" s="53">
        <f>'TUSD BE'!$L$24*'TUSD BE'!$L$59</f>
        <v>0</v>
      </c>
      <c r="M24" s="53">
        <f>'TUSD BE'!$M$24*'TUSD BE'!$M$59</f>
        <v>-5.6107009911459463E-2</v>
      </c>
      <c r="N24" s="53">
        <f ca="1">'TUSD BE'!$N$24*'TUSD BE'!$N$59</f>
        <v>2.8135154313735273E-11</v>
      </c>
      <c r="O24" s="53">
        <f>'TUSD BE'!$O$24*'TUSD BE'!$O$59</f>
        <v>0</v>
      </c>
      <c r="P24" s="53">
        <f>'TUSD BE'!$P$24*'TUSD BE'!$P$59</f>
        <v>0</v>
      </c>
      <c r="Q24" s="53">
        <f>'TUSD BE'!$Q$24*'TUSD BE'!$Q$59</f>
        <v>0</v>
      </c>
      <c r="R24" s="53">
        <f>'TUSD BE'!$R$24*'TUSD BE'!$R$59</f>
        <v>0</v>
      </c>
      <c r="S24" s="53">
        <f>'TUSD BE'!$R$24*'TUSD BE'!$S$59</f>
        <v>0</v>
      </c>
      <c r="T24" s="53">
        <f ca="1">SUM($L$24:$S$24)</f>
        <v>-5.6107009883324309E-2</v>
      </c>
      <c r="U24" s="53">
        <f>'TUSD BE'!$U$24*'TUSD BE'!$U$59</f>
        <v>-1.6369692544243668</v>
      </c>
      <c r="V24" s="53">
        <f>'TUSD BE'!$V$24*'TUSD BE'!$V$59</f>
        <v>0.28674293891276859</v>
      </c>
      <c r="W24" s="53">
        <f>'TUSD BE'!$W$24*'TUSD BE'!$W$59</f>
        <v>-0.58215591390232568</v>
      </c>
      <c r="X24" s="53">
        <f>'TUSD BE'!$X$24*'TUSD BE'!$X$59</f>
        <v>0</v>
      </c>
      <c r="Y24" s="53">
        <f>'TUSD BE'!$Y$24*'TUSD BE'!$Y$59</f>
        <v>0</v>
      </c>
      <c r="Z24" s="53">
        <f>'TUSD BE'!$Z$24*'TUSD BE'!$Z$59</f>
        <v>0</v>
      </c>
      <c r="AA24" s="53">
        <f>'TUSD BE'!$AA$24*'TUSD BE'!$AA$59</f>
        <v>0</v>
      </c>
      <c r="AB24" s="53">
        <f>SUM($U$24:$AA$24)</f>
        <v>-1.9323822294139239</v>
      </c>
      <c r="AC24" s="53">
        <f>'TUSD BE'!$AC$24*'TUSD BE'!$AC$59</f>
        <v>-1.4970628689758352</v>
      </c>
      <c r="AD24" s="53">
        <f>SUM($AC$24:$AC$24)</f>
        <v>-1.4970628689758352</v>
      </c>
      <c r="AE24" s="53">
        <f ca="1">$AO$24*$AO$56</f>
        <v>-51.055269028897861</v>
      </c>
      <c r="AF24" s="53">
        <f ca="1">$AP$24*$AP$56</f>
        <v>0</v>
      </c>
      <c r="AG24" s="53">
        <f ca="1">SUM($AE$24:$AF$24)</f>
        <v>-51.055269028897861</v>
      </c>
      <c r="AH24" s="53">
        <f>'TUSD BE'!$AH$24*'TUSD BE'!$AH$59</f>
        <v>-0.44707847611599749</v>
      </c>
      <c r="AI24" s="53">
        <f>'TUSD BE'!$AI$24*'TUSD BE'!$AI$59</f>
        <v>-1.5333099014231768E-2</v>
      </c>
      <c r="AJ24" s="53">
        <f ca="1">'TUSD BE'!$AJ$24*'TUSD BE'!$AJ$59</f>
        <v>-6.5823007027000266E-2</v>
      </c>
      <c r="AK24" s="53">
        <f ca="1">'TUSD BE'!$AK$24*'TUSD BE'!$AK$59</f>
        <v>1.8843503031338697E-2</v>
      </c>
      <c r="AL24" s="53">
        <f ca="1">SUM($AH$24:$AK$24)</f>
        <v>-0.50939107912589077</v>
      </c>
      <c r="AM24" s="53">
        <f ca="1">SUMIF($L$4:$AL$4,"SUBTOTAL",$L$24:$AL$24)+AZ24</f>
        <v>-55.050212216296835</v>
      </c>
      <c r="AO24" s="76">
        <f ca="1">+'TUSD BE'!$T$24+'TUSD BE'!$AB$24+'TUSD BE'!$AD$24+'TUSD BE'!$AL$24</f>
        <v>273.37246919492463</v>
      </c>
      <c r="AP24" s="76">
        <f ca="1">+'TUSD BE'!$T$24+'TUSD BE'!$AB$24+'TUSD BE'!$AD$24+'TUSD BE'!$AL$24</f>
        <v>273.37246919492463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 baixa renda – faixa 03</v>
      </c>
      <c r="AU24" s="9" t="str">
        <f t="shared" si="4"/>
        <v>Não se aplica</v>
      </c>
      <c r="AV24" s="9">
        <f t="shared" si="5"/>
        <v>1</v>
      </c>
      <c r="AW24" s="9">
        <f ca="1">TarifaMedia!$G$20</f>
        <v>0</v>
      </c>
      <c r="AX24" s="15">
        <f ca="1">'TUSD BE'!$AM24+'TUSD BF'!$AM24+'TUSD CVA'!$AM24</f>
        <v>223.91621971374065</v>
      </c>
      <c r="AY24" s="9">
        <v>322.51</v>
      </c>
      <c r="AZ24" s="9">
        <f t="shared" ca="1" si="6"/>
        <v>0</v>
      </c>
      <c r="BC24" s="50" t="s">
        <v>1205</v>
      </c>
    </row>
    <row r="25" spans="1:55" ht="11.25" customHeight="1" x14ac:dyDescent="0.25">
      <c r="A25" s="131"/>
      <c r="B25" s="131"/>
      <c r="C25" s="131"/>
      <c r="D25" s="73" t="s">
        <v>31</v>
      </c>
      <c r="E25" s="73" t="s">
        <v>25</v>
      </c>
      <c r="F25" s="73" t="s">
        <v>25</v>
      </c>
      <c r="G25" s="74" t="s">
        <v>86</v>
      </c>
      <c r="H25" s="74" t="s">
        <v>82</v>
      </c>
      <c r="I25" s="74">
        <f>'MERCADO TUSD'!$U$22</f>
        <v>180.10599999999999</v>
      </c>
      <c r="J25" s="15"/>
      <c r="L25" s="53">
        <f>'TUSD BE'!$L$25*'TUSD BE'!$L$59</f>
        <v>0</v>
      </c>
      <c r="M25" s="53">
        <f>'TUSD BE'!$M$25*'TUSD BE'!$M$59</f>
        <v>-5.6107009911459463E-2</v>
      </c>
      <c r="N25" s="53">
        <f ca="1">'TUSD BE'!$N$25*'TUSD BE'!$N$59</f>
        <v>2.8135154313735273E-11</v>
      </c>
      <c r="O25" s="53">
        <f>'TUSD BE'!$O$25*'TUSD BE'!$O$59</f>
        <v>0</v>
      </c>
      <c r="P25" s="53">
        <f>'TUSD BE'!$P$25*'TUSD BE'!$P$59</f>
        <v>0</v>
      </c>
      <c r="Q25" s="53">
        <f>'TUSD BE'!$Q$25*'TUSD BE'!$Q$59</f>
        <v>0</v>
      </c>
      <c r="R25" s="53">
        <f>'TUSD BE'!$R$25*'TUSD BE'!$R$59</f>
        <v>0</v>
      </c>
      <c r="S25" s="53">
        <f>'TUSD BE'!$R$25*'TUSD BE'!$S$59</f>
        <v>0</v>
      </c>
      <c r="T25" s="53">
        <f ca="1">SUM($L$25:$S$25)</f>
        <v>-5.6107009883324309E-2</v>
      </c>
      <c r="U25" s="53">
        <f>'TUSD BE'!$U$25*'TUSD BE'!$U$59</f>
        <v>-1.6369692544243668</v>
      </c>
      <c r="V25" s="53">
        <f>'TUSD BE'!$V$25*'TUSD BE'!$V$59</f>
        <v>0.28674293891276859</v>
      </c>
      <c r="W25" s="53">
        <f>'TUSD BE'!$W$25*'TUSD BE'!$W$59</f>
        <v>-0.58215591390232568</v>
      </c>
      <c r="X25" s="53">
        <f>'TUSD BE'!$X$25*'TUSD BE'!$X$59</f>
        <v>0</v>
      </c>
      <c r="Y25" s="53">
        <f>'TUSD BE'!$Y$25*'TUSD BE'!$Y$59</f>
        <v>0</v>
      </c>
      <c r="Z25" s="53">
        <f>'TUSD BE'!$Z$25*'TUSD BE'!$Z$59</f>
        <v>0</v>
      </c>
      <c r="AA25" s="53">
        <f>'TUSD BE'!$AA$25*'TUSD BE'!$AA$59</f>
        <v>0</v>
      </c>
      <c r="AB25" s="53">
        <f>SUM($U$25:$AA$25)</f>
        <v>-1.9323822294139239</v>
      </c>
      <c r="AC25" s="53">
        <f>'TUSD BE'!$AC$25*'TUSD BE'!$AC$59</f>
        <v>-1.4970628689758352</v>
      </c>
      <c r="AD25" s="53">
        <f>SUM($AC$25:$AC$25)</f>
        <v>-1.4970628689758352</v>
      </c>
      <c r="AE25" s="53">
        <f ca="1">$AO$25*$AO$56</f>
        <v>-51.055269028897861</v>
      </c>
      <c r="AF25" s="53">
        <f ca="1">$AP$25*$AP$56</f>
        <v>0</v>
      </c>
      <c r="AG25" s="53">
        <f ca="1">SUM($AE$25:$AF$25)</f>
        <v>-51.055269028897861</v>
      </c>
      <c r="AH25" s="53">
        <f>'TUSD BE'!$AH$25*'TUSD BE'!$AH$59</f>
        <v>-0.44707847611599749</v>
      </c>
      <c r="AI25" s="53">
        <f>'TUSD BE'!$AI$25*'TUSD BE'!$AI$59</f>
        <v>-1.5333099014231768E-2</v>
      </c>
      <c r="AJ25" s="53">
        <f ca="1">'TUSD BE'!$AJ$25*'TUSD BE'!$AJ$59</f>
        <v>-6.5823007027000266E-2</v>
      </c>
      <c r="AK25" s="53">
        <f ca="1">'TUSD BE'!$AK$25*'TUSD BE'!$AK$59</f>
        <v>1.8843503031338697E-2</v>
      </c>
      <c r="AL25" s="53">
        <f ca="1">SUM($AH$25:$AK$25)</f>
        <v>-0.50939107912589077</v>
      </c>
      <c r="AM25" s="53">
        <f ca="1">SUMIF($L$4:$AL$4,"SUBTOTAL",$L$25:$AL$25)+AZ25</f>
        <v>-55.050212216296835</v>
      </c>
      <c r="AO25" s="76">
        <f ca="1">+'TUSD BE'!$T$25+'TUSD BE'!$AB$25+'TUSD BE'!$AD$25+'TUSD BE'!$AL$25</f>
        <v>273.37246919492463</v>
      </c>
      <c r="AP25" s="76">
        <f ca="1">+'TUSD BE'!$T$25+'TUSD BE'!$AB$25+'TUSD BE'!$AD$25+'TUSD BE'!$AL$25</f>
        <v>273.37246919492463</v>
      </c>
      <c r="AQ25" s="9" t="str">
        <f t="shared" si="0"/>
        <v>B1</v>
      </c>
      <c r="AR25" s="9" t="str">
        <f t="shared" si="1"/>
        <v>Convencional</v>
      </c>
      <c r="AS25" s="9" t="str">
        <f t="shared" si="2"/>
        <v>Residencial</v>
      </c>
      <c r="AT25" s="9" t="str">
        <f t="shared" si="3"/>
        <v>Residencial baixa renda – faixa 04</v>
      </c>
      <c r="AU25" s="9" t="str">
        <f t="shared" si="4"/>
        <v>Não se aplica</v>
      </c>
      <c r="AV25" s="9">
        <f t="shared" si="5"/>
        <v>1</v>
      </c>
      <c r="AW25" s="9">
        <f ca="1">TarifaMedia!$G$20</f>
        <v>0</v>
      </c>
      <c r="AX25" s="15">
        <f ca="1">'TUSD BE'!$AM25+'TUSD BF'!$AM25+'TUSD CVA'!$AM25</f>
        <v>223.91621971374065</v>
      </c>
      <c r="AY25" s="9">
        <v>322.51</v>
      </c>
      <c r="AZ25" s="9">
        <f t="shared" ca="1" si="6"/>
        <v>0</v>
      </c>
      <c r="BC25" s="50" t="s">
        <v>1205</v>
      </c>
    </row>
    <row r="26" spans="1:55" ht="11.25" customHeight="1" x14ac:dyDescent="0.25">
      <c r="A26" s="131"/>
      <c r="B26" s="131" t="s">
        <v>95</v>
      </c>
      <c r="C26" s="131" t="s">
        <v>24</v>
      </c>
      <c r="D26" s="73" t="s">
        <v>24</v>
      </c>
      <c r="E26" s="73" t="s">
        <v>25</v>
      </c>
      <c r="F26" s="73" t="s">
        <v>25</v>
      </c>
      <c r="G26" s="74" t="s">
        <v>86</v>
      </c>
      <c r="H26" s="74" t="s">
        <v>82</v>
      </c>
      <c r="I26" s="74">
        <f>'MERCADO TUSD'!$U$23</f>
        <v>0</v>
      </c>
      <c r="J26" s="15"/>
      <c r="L26" s="53">
        <f>'TUSD BE'!$L$26*'TUSD BE'!$L$59</f>
        <v>-0.4232675743487378</v>
      </c>
      <c r="M26" s="53">
        <f>'TUSD BE'!$M$26*'TUSD BE'!$M$59</f>
        <v>-5.6107009911459463E-2</v>
      </c>
      <c r="N26" s="53">
        <f ca="1">'TUSD BE'!$N$26*'TUSD BE'!$N$59</f>
        <v>2.8239002788186737E-11</v>
      </c>
      <c r="O26" s="53">
        <f>'TUSD BE'!$O$26*'TUSD BE'!$O$59</f>
        <v>0</v>
      </c>
      <c r="P26" s="53">
        <f>'TUSD BE'!$P$26*'TUSD BE'!$P$59</f>
        <v>0</v>
      </c>
      <c r="Q26" s="53">
        <f>'TUSD BE'!$Q$26*'TUSD BE'!$Q$59</f>
        <v>1.3282946463723817</v>
      </c>
      <c r="R26" s="53">
        <f>'TUSD BE'!$R$26*'TUSD BE'!$R$59</f>
        <v>-1.3656761373948416</v>
      </c>
      <c r="S26" s="53">
        <f>'TUSD BE'!$R$26*'TUSD BE'!$S$59</f>
        <v>0</v>
      </c>
      <c r="T26" s="53">
        <f ca="1">SUM($L$26:$S$26)</f>
        <v>-0.51675607525441813</v>
      </c>
      <c r="U26" s="53">
        <f>'TUSD BE'!$U$26*'TUSD BE'!$U$59</f>
        <v>-1.6369692544243668</v>
      </c>
      <c r="V26" s="53">
        <f>'TUSD BE'!$V$26*'TUSD BE'!$V$59</f>
        <v>0.28674293891276859</v>
      </c>
      <c r="W26" s="53">
        <f>'TUSD BE'!$W$26*'TUSD BE'!$W$59</f>
        <v>-0.58215591390232568</v>
      </c>
      <c r="X26" s="53">
        <f>'TUSD BE'!$X$26*'TUSD BE'!$X$59</f>
        <v>0</v>
      </c>
      <c r="Y26" s="53">
        <f>'TUSD BE'!$Y$26*'TUSD BE'!$Y$59</f>
        <v>0</v>
      </c>
      <c r="Z26" s="53">
        <f>'TUSD BE'!$Z$26*'TUSD BE'!$Z$59</f>
        <v>0</v>
      </c>
      <c r="AA26" s="53">
        <f>'TUSD BE'!$AA$26*'TUSD BE'!$AA$59</f>
        <v>0</v>
      </c>
      <c r="AB26" s="53">
        <f>SUM($U$26:$AA$26)</f>
        <v>-1.9323822294139239</v>
      </c>
      <c r="AC26" s="53">
        <f>'TUSD BE'!$AC$26*'TUSD BE'!$AC$59</f>
        <v>-1.4970628689758352</v>
      </c>
      <c r="AD26" s="53">
        <f>SUM($AC$26:$AC$26)</f>
        <v>-1.4970628689758352</v>
      </c>
      <c r="AE26" s="53">
        <f ca="1">$AO$26*$AO$56</f>
        <v>-71.260129922992746</v>
      </c>
      <c r="AF26" s="53">
        <f ca="1">$AP$26*$AP$56</f>
        <v>0</v>
      </c>
      <c r="AG26" s="53">
        <f ca="1">SUM($AE$26:$AF$26)</f>
        <v>-71.260129922992746</v>
      </c>
      <c r="AH26" s="53">
        <f>'TUSD BE'!$AH$26*'TUSD BE'!$AH$59</f>
        <v>-0.44707847611599749</v>
      </c>
      <c r="AI26" s="53">
        <f>'TUSD BE'!$AI$26*'TUSD BE'!$AI$59</f>
        <v>-1.5333099014231768E-2</v>
      </c>
      <c r="AJ26" s="53">
        <f ca="1">'TUSD BE'!$AJ$26*'TUSD BE'!$AJ$59</f>
        <v>-6.5823007027000266E-2</v>
      </c>
      <c r="AK26" s="53">
        <f ca="1">'TUSD BE'!$AK$26*'TUSD BE'!$AK$59</f>
        <v>1.8843503031338697E-2</v>
      </c>
      <c r="AL26" s="53">
        <f ca="1">SUM($AH$26:$AK$26)</f>
        <v>-0.50939107912589077</v>
      </c>
      <c r="AM26" s="53">
        <f ca="1">SUMIF($L$4:$AL$4,"SUBTOTAL",$L$26:$AL$26)+AZ26</f>
        <v>-75.715722175762821</v>
      </c>
      <c r="AO26" s="76">
        <f ca="1">+'TUSD BE'!$T$26+'TUSD BE'!$AB$26+'TUSD BE'!$AD$26+'TUSD BE'!$AL$26</f>
        <v>381.55822195694333</v>
      </c>
      <c r="AP26" s="76">
        <f ca="1">+'TUSD BE'!$T$26+'TUSD BE'!$AB$26+'TUSD BE'!$AD$26+'TUSD BE'!$AL$26</f>
        <v>381.55822195694333</v>
      </c>
      <c r="AQ26" s="9" t="str">
        <f t="shared" si="0"/>
        <v>B1</v>
      </c>
      <c r="AR26" s="9" t="str">
        <f t="shared" si="1"/>
        <v>Convencional pré-pagamento</v>
      </c>
      <c r="AS26" s="9" t="str">
        <f t="shared" si="2"/>
        <v>Residencial</v>
      </c>
      <c r="AT26" s="9" t="str">
        <f t="shared" si="3"/>
        <v>Residencial</v>
      </c>
      <c r="AU26" s="9" t="str">
        <f t="shared" si="4"/>
        <v>Não se aplica</v>
      </c>
      <c r="AV26" s="9">
        <f t="shared" si="5"/>
        <v>1</v>
      </c>
      <c r="AW26" s="9">
        <f ca="1">TarifaMedia!$G$20</f>
        <v>0</v>
      </c>
      <c r="AX26" s="15">
        <f ca="1">'TUSD BE'!$AM26+'TUSD BF'!$AM26+'TUSD CVA'!$AM26</f>
        <v>330.1561966420345</v>
      </c>
      <c r="AY26" s="9">
        <v>437.54</v>
      </c>
      <c r="AZ26" s="9">
        <f t="shared" ca="1" si="6"/>
        <v>0</v>
      </c>
      <c r="BC26" s="50" t="s">
        <v>1206</v>
      </c>
    </row>
    <row r="27" spans="1:55" ht="11.25" customHeight="1" x14ac:dyDescent="0.25">
      <c r="A27" s="131"/>
      <c r="B27" s="131"/>
      <c r="C27" s="131"/>
      <c r="D27" s="73" t="s">
        <v>28</v>
      </c>
      <c r="E27" s="73" t="s">
        <v>25</v>
      </c>
      <c r="F27" s="73" t="s">
        <v>25</v>
      </c>
      <c r="G27" s="74" t="s">
        <v>86</v>
      </c>
      <c r="H27" s="74" t="s">
        <v>82</v>
      </c>
      <c r="I27" s="74">
        <f>'MERCADO TUSD'!$U$24</f>
        <v>0</v>
      </c>
      <c r="J27" s="15"/>
      <c r="L27" s="53">
        <f>'TUSD BE'!$L$27*'TUSD BE'!$L$59</f>
        <v>0</v>
      </c>
      <c r="M27" s="53">
        <f>'TUSD BE'!$M$27*'TUSD BE'!$M$59</f>
        <v>-5.6107009911459463E-2</v>
      </c>
      <c r="N27" s="53">
        <f ca="1">'TUSD BE'!$N$27*'TUSD BE'!$N$59</f>
        <v>2.8135154313735273E-11</v>
      </c>
      <c r="O27" s="53">
        <f>'TUSD BE'!$O$27*'TUSD BE'!$O$59</f>
        <v>0</v>
      </c>
      <c r="P27" s="53">
        <f>'TUSD BE'!$P$27*'TUSD BE'!$P$59</f>
        <v>0</v>
      </c>
      <c r="Q27" s="53">
        <f>'TUSD BE'!$Q$27*'TUSD BE'!$Q$59</f>
        <v>0</v>
      </c>
      <c r="R27" s="53">
        <f>'TUSD BE'!$R$27*'TUSD BE'!$R$59</f>
        <v>0</v>
      </c>
      <c r="S27" s="53">
        <f>'TUSD BE'!$R$27*'TUSD BE'!$S$59</f>
        <v>0</v>
      </c>
      <c r="T27" s="53">
        <f ca="1">SUM($L$27:$S$27)</f>
        <v>-5.6107009883324309E-2</v>
      </c>
      <c r="U27" s="53">
        <f>'TUSD BE'!$U$27*'TUSD BE'!$U$59</f>
        <v>-1.6369692544243668</v>
      </c>
      <c r="V27" s="53">
        <f>'TUSD BE'!$V$27*'TUSD BE'!$V$59</f>
        <v>0.28674293891276859</v>
      </c>
      <c r="W27" s="53">
        <f>'TUSD BE'!$W$27*'TUSD BE'!$W$59</f>
        <v>-0.58215591390232568</v>
      </c>
      <c r="X27" s="53">
        <f>'TUSD BE'!$X$27*'TUSD BE'!$X$59</f>
        <v>0</v>
      </c>
      <c r="Y27" s="53">
        <f>'TUSD BE'!$Y$27*'TUSD BE'!$Y$59</f>
        <v>0</v>
      </c>
      <c r="Z27" s="53">
        <f>'TUSD BE'!$Z$27*'TUSD BE'!$Z$59</f>
        <v>0</v>
      </c>
      <c r="AA27" s="53">
        <f>'TUSD BE'!$AA$27*'TUSD BE'!$AA$59</f>
        <v>0</v>
      </c>
      <c r="AB27" s="53">
        <f>SUM($U$27:$AA$27)</f>
        <v>-1.9323822294139239</v>
      </c>
      <c r="AC27" s="53">
        <f>'TUSD BE'!$AC$27*'TUSD BE'!$AC$59</f>
        <v>-1.4970628689758352</v>
      </c>
      <c r="AD27" s="53">
        <f>SUM($AC$27:$AC$27)</f>
        <v>-1.4970628689758352</v>
      </c>
      <c r="AE27" s="53">
        <f ca="1">$AO$27*$AO$56</f>
        <v>-51.055269028897861</v>
      </c>
      <c r="AF27" s="53">
        <f ca="1">$AP$27*$AP$56</f>
        <v>0</v>
      </c>
      <c r="AG27" s="53">
        <f ca="1">SUM($AE$27:$AF$27)</f>
        <v>-51.055269028897861</v>
      </c>
      <c r="AH27" s="53">
        <f>'TUSD BE'!$AH$27*'TUSD BE'!$AH$59</f>
        <v>-0.44707847611599749</v>
      </c>
      <c r="AI27" s="53">
        <f>'TUSD BE'!$AI$27*'TUSD BE'!$AI$59</f>
        <v>-1.5333099014231768E-2</v>
      </c>
      <c r="AJ27" s="53">
        <f ca="1">'TUSD BE'!$AJ$27*'TUSD BE'!$AJ$59</f>
        <v>-6.5823007027000266E-2</v>
      </c>
      <c r="AK27" s="53">
        <f ca="1">'TUSD BE'!$AK$27*'TUSD BE'!$AK$59</f>
        <v>1.8843503031338697E-2</v>
      </c>
      <c r="AL27" s="53">
        <f ca="1">SUM($AH$27:$AK$27)</f>
        <v>-0.50939107912589077</v>
      </c>
      <c r="AM27" s="53">
        <f ca="1">SUMIF($L$4:$AL$4,"SUBTOTAL",$L$27:$AL$27)+AZ27</f>
        <v>-55.050212216296835</v>
      </c>
      <c r="AO27" s="76">
        <f ca="1">+'TUSD BE'!$T$27+'TUSD BE'!$AB$27+'TUSD BE'!$AD$27+'TUSD BE'!$AL$27</f>
        <v>273.37246919492463</v>
      </c>
      <c r="AP27" s="76">
        <f ca="1">+'TUSD BE'!$T$27+'TUSD BE'!$AB$27+'TUSD BE'!$AD$27+'TUSD BE'!$AL$27</f>
        <v>273.37246919492463</v>
      </c>
      <c r="AQ27" s="9" t="str">
        <f t="shared" si="0"/>
        <v>B1</v>
      </c>
      <c r="AR27" s="9" t="str">
        <f t="shared" si="1"/>
        <v>Convencional pré-pagamento</v>
      </c>
      <c r="AS27" s="9" t="str">
        <f t="shared" si="2"/>
        <v>Residencial</v>
      </c>
      <c r="AT27" s="9" t="str">
        <f t="shared" si="3"/>
        <v>Residencial baixa renda – faixa 01</v>
      </c>
      <c r="AU27" s="9" t="str">
        <f t="shared" si="4"/>
        <v>Não se aplica</v>
      </c>
      <c r="AV27" s="9">
        <f t="shared" si="5"/>
        <v>1</v>
      </c>
      <c r="AW27" s="9">
        <f ca="1">TarifaMedia!$G$20</f>
        <v>0</v>
      </c>
      <c r="AX27" s="15">
        <f ca="1">'TUSD BE'!$AM27+'TUSD BF'!$AM27+'TUSD CVA'!$AM27</f>
        <v>223.91621971374065</v>
      </c>
      <c r="AY27" s="9">
        <v>322.51</v>
      </c>
      <c r="AZ27" s="9">
        <f t="shared" ca="1" si="6"/>
        <v>0</v>
      </c>
      <c r="BC27" s="50" t="s">
        <v>1207</v>
      </c>
    </row>
    <row r="28" spans="1:55" ht="11.25" customHeight="1" x14ac:dyDescent="0.25">
      <c r="A28" s="131"/>
      <c r="B28" s="131"/>
      <c r="C28" s="131"/>
      <c r="D28" s="73" t="s">
        <v>29</v>
      </c>
      <c r="E28" s="73" t="s">
        <v>25</v>
      </c>
      <c r="F28" s="73" t="s">
        <v>25</v>
      </c>
      <c r="G28" s="74" t="s">
        <v>86</v>
      </c>
      <c r="H28" s="74" t="s">
        <v>82</v>
      </c>
      <c r="I28" s="74">
        <f>'MERCADO TUSD'!$U$25</f>
        <v>0</v>
      </c>
      <c r="J28" s="15"/>
      <c r="L28" s="53">
        <f>'TUSD BE'!$L$28*'TUSD BE'!$L$59</f>
        <v>0</v>
      </c>
      <c r="M28" s="53">
        <f>'TUSD BE'!$M$28*'TUSD BE'!$M$59</f>
        <v>-5.6107009911459463E-2</v>
      </c>
      <c r="N28" s="53">
        <f ca="1">'TUSD BE'!$N$28*'TUSD BE'!$N$59</f>
        <v>2.8135154313735273E-11</v>
      </c>
      <c r="O28" s="53">
        <f>'TUSD BE'!$O$28*'TUSD BE'!$O$59</f>
        <v>0</v>
      </c>
      <c r="P28" s="53">
        <f>'TUSD BE'!$P$28*'TUSD BE'!$P$59</f>
        <v>0</v>
      </c>
      <c r="Q28" s="53">
        <f>'TUSD BE'!$Q$28*'TUSD BE'!$Q$59</f>
        <v>0</v>
      </c>
      <c r="R28" s="53">
        <f>'TUSD BE'!$R$28*'TUSD BE'!$R$59</f>
        <v>0</v>
      </c>
      <c r="S28" s="53">
        <f>'TUSD BE'!$R$28*'TUSD BE'!$S$59</f>
        <v>0</v>
      </c>
      <c r="T28" s="53">
        <f ca="1">SUM($L$28:$S$28)</f>
        <v>-5.6107009883324309E-2</v>
      </c>
      <c r="U28" s="53">
        <f>'TUSD BE'!$U$28*'TUSD BE'!$U$59</f>
        <v>-1.6369692544243668</v>
      </c>
      <c r="V28" s="53">
        <f>'TUSD BE'!$V$28*'TUSD BE'!$V$59</f>
        <v>0.28674293891276859</v>
      </c>
      <c r="W28" s="53">
        <f>'TUSD BE'!$W$28*'TUSD BE'!$W$59</f>
        <v>-0.58215591390232568</v>
      </c>
      <c r="X28" s="53">
        <f>'TUSD BE'!$X$28*'TUSD BE'!$X$59</f>
        <v>0</v>
      </c>
      <c r="Y28" s="53">
        <f>'TUSD BE'!$Y$28*'TUSD BE'!$Y$59</f>
        <v>0</v>
      </c>
      <c r="Z28" s="53">
        <f>'TUSD BE'!$Z$28*'TUSD BE'!$Z$59</f>
        <v>0</v>
      </c>
      <c r="AA28" s="53">
        <f>'TUSD BE'!$AA$28*'TUSD BE'!$AA$59</f>
        <v>0</v>
      </c>
      <c r="AB28" s="53">
        <f>SUM($U$28:$AA$28)</f>
        <v>-1.9323822294139239</v>
      </c>
      <c r="AC28" s="53">
        <f>'TUSD BE'!$AC$28*'TUSD BE'!$AC$59</f>
        <v>-1.4970628689758352</v>
      </c>
      <c r="AD28" s="53">
        <f>SUM($AC$28:$AC$28)</f>
        <v>-1.4970628689758352</v>
      </c>
      <c r="AE28" s="53">
        <f ca="1">$AO$28*$AO$56</f>
        <v>-51.055269028897861</v>
      </c>
      <c r="AF28" s="53">
        <f ca="1">$AP$28*$AP$56</f>
        <v>0</v>
      </c>
      <c r="AG28" s="53">
        <f ca="1">SUM($AE$28:$AF$28)</f>
        <v>-51.055269028897861</v>
      </c>
      <c r="AH28" s="53">
        <f>'TUSD BE'!$AH$28*'TUSD BE'!$AH$59</f>
        <v>-0.44707847611599749</v>
      </c>
      <c r="AI28" s="53">
        <f>'TUSD BE'!$AI$28*'TUSD BE'!$AI$59</f>
        <v>-1.5333099014231768E-2</v>
      </c>
      <c r="AJ28" s="53">
        <f ca="1">'TUSD BE'!$AJ$28*'TUSD BE'!$AJ$59</f>
        <v>-6.5823007027000266E-2</v>
      </c>
      <c r="AK28" s="53">
        <f ca="1">'TUSD BE'!$AK$28*'TUSD BE'!$AK$59</f>
        <v>1.8843503031338697E-2</v>
      </c>
      <c r="AL28" s="53">
        <f ca="1">SUM($AH$28:$AK$28)</f>
        <v>-0.50939107912589077</v>
      </c>
      <c r="AM28" s="53">
        <f ca="1">SUMIF($L$4:$AL$4,"SUBTOTAL",$L$28:$AL$28)+AZ28</f>
        <v>-55.050212216296835</v>
      </c>
      <c r="AO28" s="76">
        <f ca="1">+'TUSD BE'!$T$28+'TUSD BE'!$AB$28+'TUSD BE'!$AD$28+'TUSD BE'!$AL$28</f>
        <v>273.37246919492463</v>
      </c>
      <c r="AP28" s="76">
        <f ca="1">+'TUSD BE'!$T$28+'TUSD BE'!$AB$28+'TUSD BE'!$AD$28+'TUSD BE'!$AL$28</f>
        <v>273.37246919492463</v>
      </c>
      <c r="AQ28" s="9" t="str">
        <f t="shared" si="0"/>
        <v>B1</v>
      </c>
      <c r="AR28" s="9" t="str">
        <f t="shared" si="1"/>
        <v>Convencional pré-pagamento</v>
      </c>
      <c r="AS28" s="9" t="str">
        <f t="shared" si="2"/>
        <v>Residencial</v>
      </c>
      <c r="AT28" s="9" t="str">
        <f t="shared" si="3"/>
        <v>Residencial baixa renda – faixa 02</v>
      </c>
      <c r="AU28" s="9" t="str">
        <f t="shared" si="4"/>
        <v>Não se aplica</v>
      </c>
      <c r="AV28" s="9">
        <f t="shared" si="5"/>
        <v>1</v>
      </c>
      <c r="AW28" s="9">
        <f ca="1">TarifaMedia!$G$20</f>
        <v>0</v>
      </c>
      <c r="AX28" s="15">
        <f ca="1">'TUSD BE'!$AM28+'TUSD BF'!$AM28+'TUSD CVA'!$AM28</f>
        <v>223.91621971374065</v>
      </c>
      <c r="AY28" s="9">
        <v>322.51</v>
      </c>
      <c r="AZ28" s="9">
        <f t="shared" ca="1" si="6"/>
        <v>0</v>
      </c>
      <c r="BC28" s="50" t="s">
        <v>1207</v>
      </c>
    </row>
    <row r="29" spans="1:55" ht="11.25" customHeight="1" x14ac:dyDescent="0.25">
      <c r="A29" s="131"/>
      <c r="B29" s="131"/>
      <c r="C29" s="131"/>
      <c r="D29" s="73" t="s">
        <v>30</v>
      </c>
      <c r="E29" s="73" t="s">
        <v>25</v>
      </c>
      <c r="F29" s="73" t="s">
        <v>25</v>
      </c>
      <c r="G29" s="74" t="s">
        <v>86</v>
      </c>
      <c r="H29" s="74" t="s">
        <v>82</v>
      </c>
      <c r="I29" s="74">
        <f>'MERCADO TUSD'!$U$26</f>
        <v>0</v>
      </c>
      <c r="J29" s="15"/>
      <c r="L29" s="53">
        <f>'TUSD BE'!$L$29*'TUSD BE'!$L$59</f>
        <v>0</v>
      </c>
      <c r="M29" s="53">
        <f>'TUSD BE'!$M$29*'TUSD BE'!$M$59</f>
        <v>-5.6107009911459463E-2</v>
      </c>
      <c r="N29" s="53">
        <f ca="1">'TUSD BE'!$N$29*'TUSD BE'!$N$59</f>
        <v>2.8135154313735273E-11</v>
      </c>
      <c r="O29" s="53">
        <f>'TUSD BE'!$O$29*'TUSD BE'!$O$59</f>
        <v>0</v>
      </c>
      <c r="P29" s="53">
        <f>'TUSD BE'!$P$29*'TUSD BE'!$P$59</f>
        <v>0</v>
      </c>
      <c r="Q29" s="53">
        <f>'TUSD BE'!$Q$29*'TUSD BE'!$Q$59</f>
        <v>0</v>
      </c>
      <c r="R29" s="53">
        <f>'TUSD BE'!$R$29*'TUSD BE'!$R$59</f>
        <v>0</v>
      </c>
      <c r="S29" s="53">
        <f>'TUSD BE'!$R$29*'TUSD BE'!$S$59</f>
        <v>0</v>
      </c>
      <c r="T29" s="53">
        <f ca="1">SUM($L$29:$S$29)</f>
        <v>-5.6107009883324309E-2</v>
      </c>
      <c r="U29" s="53">
        <f>'TUSD BE'!$U$29*'TUSD BE'!$U$59</f>
        <v>-1.6369692544243668</v>
      </c>
      <c r="V29" s="53">
        <f>'TUSD BE'!$V$29*'TUSD BE'!$V$59</f>
        <v>0.28674293891276859</v>
      </c>
      <c r="W29" s="53">
        <f>'TUSD BE'!$W$29*'TUSD BE'!$W$59</f>
        <v>-0.58215591390232568</v>
      </c>
      <c r="X29" s="53">
        <f>'TUSD BE'!$X$29*'TUSD BE'!$X$59</f>
        <v>0</v>
      </c>
      <c r="Y29" s="53">
        <f>'TUSD BE'!$Y$29*'TUSD BE'!$Y$59</f>
        <v>0</v>
      </c>
      <c r="Z29" s="53">
        <f>'TUSD BE'!$Z$29*'TUSD BE'!$Z$59</f>
        <v>0</v>
      </c>
      <c r="AA29" s="53">
        <f>'TUSD BE'!$AA$29*'TUSD BE'!$AA$59</f>
        <v>0</v>
      </c>
      <c r="AB29" s="53">
        <f>SUM($U$29:$AA$29)</f>
        <v>-1.9323822294139239</v>
      </c>
      <c r="AC29" s="53">
        <f>'TUSD BE'!$AC$29*'TUSD BE'!$AC$59</f>
        <v>-1.4970628689758352</v>
      </c>
      <c r="AD29" s="53">
        <f>SUM($AC$29:$AC$29)</f>
        <v>-1.4970628689758352</v>
      </c>
      <c r="AE29" s="53">
        <f ca="1">$AO$29*$AO$56</f>
        <v>-51.055269028897861</v>
      </c>
      <c r="AF29" s="53">
        <f ca="1">$AP$29*$AP$56</f>
        <v>0</v>
      </c>
      <c r="AG29" s="53">
        <f ca="1">SUM($AE$29:$AF$29)</f>
        <v>-51.055269028897861</v>
      </c>
      <c r="AH29" s="53">
        <f>'TUSD BE'!$AH$29*'TUSD BE'!$AH$59</f>
        <v>-0.44707847611599749</v>
      </c>
      <c r="AI29" s="53">
        <f>'TUSD BE'!$AI$29*'TUSD BE'!$AI$59</f>
        <v>-1.5333099014231768E-2</v>
      </c>
      <c r="AJ29" s="53">
        <f ca="1">'TUSD BE'!$AJ$29*'TUSD BE'!$AJ$59</f>
        <v>-6.5823007027000266E-2</v>
      </c>
      <c r="AK29" s="53">
        <f ca="1">'TUSD BE'!$AK$29*'TUSD BE'!$AK$59</f>
        <v>1.8843503031338697E-2</v>
      </c>
      <c r="AL29" s="53">
        <f ca="1">SUM($AH$29:$AK$29)</f>
        <v>-0.50939107912589077</v>
      </c>
      <c r="AM29" s="53">
        <f ca="1">SUMIF($L$4:$AL$4,"SUBTOTAL",$L$29:$AL$29)+AZ29</f>
        <v>-55.050212216296835</v>
      </c>
      <c r="AO29" s="76">
        <f ca="1">+'TUSD BE'!$T$29+'TUSD BE'!$AB$29+'TUSD BE'!$AD$29+'TUSD BE'!$AL$29</f>
        <v>273.37246919492463</v>
      </c>
      <c r="AP29" s="76">
        <f ca="1">+'TUSD BE'!$T$29+'TUSD BE'!$AB$29+'TUSD BE'!$AD$29+'TUSD BE'!$AL$29</f>
        <v>273.37246919492463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 baixa renda – faixa 03</v>
      </c>
      <c r="AU29" s="9" t="str">
        <f t="shared" si="4"/>
        <v>Não se aplica</v>
      </c>
      <c r="AV29" s="9">
        <f t="shared" si="5"/>
        <v>1</v>
      </c>
      <c r="AW29" s="9">
        <f ca="1">TarifaMedia!$G$20</f>
        <v>0</v>
      </c>
      <c r="AX29" s="15">
        <f ca="1">'TUSD BE'!$AM29+'TUSD BF'!$AM29+'TUSD CVA'!$AM29</f>
        <v>223.91621971374065</v>
      </c>
      <c r="AY29" s="9">
        <v>322.51</v>
      </c>
      <c r="AZ29" s="9">
        <f t="shared" ca="1" si="6"/>
        <v>0</v>
      </c>
      <c r="BC29" s="50" t="s">
        <v>1207</v>
      </c>
    </row>
    <row r="30" spans="1:55" ht="11.25" customHeight="1" x14ac:dyDescent="0.25">
      <c r="A30" s="131"/>
      <c r="B30" s="131"/>
      <c r="C30" s="131"/>
      <c r="D30" s="73" t="s">
        <v>31</v>
      </c>
      <c r="E30" s="73" t="s">
        <v>25</v>
      </c>
      <c r="F30" s="73" t="s">
        <v>25</v>
      </c>
      <c r="G30" s="74" t="s">
        <v>86</v>
      </c>
      <c r="H30" s="74" t="s">
        <v>82</v>
      </c>
      <c r="I30" s="74">
        <f>'MERCADO TUSD'!$U$27</f>
        <v>0</v>
      </c>
      <c r="J30" s="15"/>
      <c r="L30" s="53">
        <f>'TUSD BE'!$L$30*'TUSD BE'!$L$59</f>
        <v>0</v>
      </c>
      <c r="M30" s="53">
        <f>'TUSD BE'!$M$30*'TUSD BE'!$M$59</f>
        <v>-5.6107009911459463E-2</v>
      </c>
      <c r="N30" s="53">
        <f ca="1">'TUSD BE'!$N$30*'TUSD BE'!$N$59</f>
        <v>2.8135154313735273E-11</v>
      </c>
      <c r="O30" s="53">
        <f>'TUSD BE'!$O$30*'TUSD BE'!$O$59</f>
        <v>0</v>
      </c>
      <c r="P30" s="53">
        <f>'TUSD BE'!$P$30*'TUSD BE'!$P$59</f>
        <v>0</v>
      </c>
      <c r="Q30" s="53">
        <f>'TUSD BE'!$Q$30*'TUSD BE'!$Q$59</f>
        <v>0</v>
      </c>
      <c r="R30" s="53">
        <f>'TUSD BE'!$R$30*'TUSD BE'!$R$59</f>
        <v>0</v>
      </c>
      <c r="S30" s="53">
        <f>'TUSD BE'!$R$30*'TUSD BE'!$S$59</f>
        <v>0</v>
      </c>
      <c r="T30" s="53">
        <f ca="1">SUM($L$30:$S$30)</f>
        <v>-5.6107009883324309E-2</v>
      </c>
      <c r="U30" s="53">
        <f>'TUSD BE'!$U$30*'TUSD BE'!$U$59</f>
        <v>-1.6369692544243668</v>
      </c>
      <c r="V30" s="53">
        <f>'TUSD BE'!$V$30*'TUSD BE'!$V$59</f>
        <v>0.28674293891276859</v>
      </c>
      <c r="W30" s="53">
        <f>'TUSD BE'!$W$30*'TUSD BE'!$W$59</f>
        <v>-0.58215591390232568</v>
      </c>
      <c r="X30" s="53">
        <f>'TUSD BE'!$X$30*'TUSD BE'!$X$59</f>
        <v>0</v>
      </c>
      <c r="Y30" s="53">
        <f>'TUSD BE'!$Y$30*'TUSD BE'!$Y$59</f>
        <v>0</v>
      </c>
      <c r="Z30" s="53">
        <f>'TUSD BE'!$Z$30*'TUSD BE'!$Z$59</f>
        <v>0</v>
      </c>
      <c r="AA30" s="53">
        <f>'TUSD BE'!$AA$30*'TUSD BE'!$AA$59</f>
        <v>0</v>
      </c>
      <c r="AB30" s="53">
        <f>SUM($U$30:$AA$30)</f>
        <v>-1.9323822294139239</v>
      </c>
      <c r="AC30" s="53">
        <f>'TUSD BE'!$AC$30*'TUSD BE'!$AC$59</f>
        <v>-1.4970628689758352</v>
      </c>
      <c r="AD30" s="53">
        <f>SUM($AC$30:$AC$30)</f>
        <v>-1.4970628689758352</v>
      </c>
      <c r="AE30" s="53">
        <f ca="1">$AO$30*$AO$56</f>
        <v>-51.055269028897861</v>
      </c>
      <c r="AF30" s="53">
        <f ca="1">$AP$30*$AP$56</f>
        <v>0</v>
      </c>
      <c r="AG30" s="53">
        <f ca="1">SUM($AE$30:$AF$30)</f>
        <v>-51.055269028897861</v>
      </c>
      <c r="AH30" s="53">
        <f>'TUSD BE'!$AH$30*'TUSD BE'!$AH$59</f>
        <v>-0.44707847611599749</v>
      </c>
      <c r="AI30" s="53">
        <f>'TUSD BE'!$AI$30*'TUSD BE'!$AI$59</f>
        <v>-1.5333099014231768E-2</v>
      </c>
      <c r="AJ30" s="53">
        <f ca="1">'TUSD BE'!$AJ$30*'TUSD BE'!$AJ$59</f>
        <v>-6.5823007027000266E-2</v>
      </c>
      <c r="AK30" s="53">
        <f ca="1">'TUSD BE'!$AK$30*'TUSD BE'!$AK$59</f>
        <v>1.8843503031338697E-2</v>
      </c>
      <c r="AL30" s="53">
        <f ca="1">SUM($AH$30:$AK$30)</f>
        <v>-0.50939107912589077</v>
      </c>
      <c r="AM30" s="53">
        <f ca="1">SUMIF($L$4:$AL$4,"SUBTOTAL",$L$30:$AL$30)+AZ30</f>
        <v>-55.050212216296835</v>
      </c>
      <c r="AO30" s="76">
        <f ca="1">+'TUSD BE'!$T$30+'TUSD BE'!$AB$30+'TUSD BE'!$AD$30+'TUSD BE'!$AL$30</f>
        <v>273.37246919492463</v>
      </c>
      <c r="AP30" s="76">
        <f ca="1">+'TUSD BE'!$T$30+'TUSD BE'!$AB$30+'TUSD BE'!$AD$30+'TUSD BE'!$AL$30</f>
        <v>273.37246919492463</v>
      </c>
      <c r="AQ30" s="9" t="str">
        <f t="shared" si="0"/>
        <v>B1</v>
      </c>
      <c r="AR30" s="9" t="str">
        <f t="shared" si="1"/>
        <v>Convencional pré-pagamento</v>
      </c>
      <c r="AS30" s="9" t="str">
        <f t="shared" si="2"/>
        <v>Residencial</v>
      </c>
      <c r="AT30" s="9" t="str">
        <f t="shared" si="3"/>
        <v>Residencial baixa renda – faixa 04</v>
      </c>
      <c r="AU30" s="9" t="str">
        <f t="shared" si="4"/>
        <v>Não se aplica</v>
      </c>
      <c r="AV30" s="9">
        <f t="shared" si="5"/>
        <v>1</v>
      </c>
      <c r="AW30" s="9">
        <f ca="1">TarifaMedia!$G$20</f>
        <v>0</v>
      </c>
      <c r="AX30" s="15">
        <f ca="1">'TUSD BE'!$AM30+'TUSD BF'!$AM30+'TUSD CVA'!$AM30</f>
        <v>223.91621971374065</v>
      </c>
      <c r="AY30" s="9">
        <v>322.51</v>
      </c>
      <c r="AZ30" s="9">
        <f t="shared" ca="1" si="6"/>
        <v>0</v>
      </c>
      <c r="BC30" s="50" t="s">
        <v>1207</v>
      </c>
    </row>
    <row r="31" spans="1:55" ht="11.25" customHeight="1" x14ac:dyDescent="0.25">
      <c r="A31" s="131" t="s">
        <v>42</v>
      </c>
      <c r="B31" s="131" t="s">
        <v>32</v>
      </c>
      <c r="C31" s="131" t="s">
        <v>43</v>
      </c>
      <c r="D31" s="131" t="s">
        <v>25</v>
      </c>
      <c r="E31" s="131" t="s">
        <v>25</v>
      </c>
      <c r="F31" s="131" t="s">
        <v>25</v>
      </c>
      <c r="G31" s="74" t="s">
        <v>83</v>
      </c>
      <c r="H31" s="74" t="s">
        <v>82</v>
      </c>
      <c r="I31" s="74">
        <f>'MERCADO TUSD'!$U$28</f>
        <v>0</v>
      </c>
      <c r="J31" s="15"/>
      <c r="L31" s="53">
        <f>'TUSD BE'!$L$31*'TUSD BE'!$L$59</f>
        <v>-0.4232675743487378</v>
      </c>
      <c r="M31" s="53">
        <f>'TUSD BE'!$M$31*'TUSD BE'!$M$59</f>
        <v>-5.6107009911459463E-2</v>
      </c>
      <c r="N31" s="53">
        <f ca="1">'TUSD BE'!$N$31*'TUSD BE'!$N$59</f>
        <v>9.9836949778636463E-11</v>
      </c>
      <c r="O31" s="53">
        <f>'TUSD BE'!$O$31*'TUSD BE'!$O$59</f>
        <v>0</v>
      </c>
      <c r="P31" s="53">
        <f>'TUSD BE'!$P$31*'TUSD BE'!$P$59</f>
        <v>0</v>
      </c>
      <c r="Q31" s="53">
        <f>'TUSD BE'!$Q$31*'TUSD BE'!$Q$59</f>
        <v>1.3282946463723817</v>
      </c>
      <c r="R31" s="53">
        <f>'TUSD BE'!$R$31*'TUSD BE'!$R$59</f>
        <v>-1.3656761373948416</v>
      </c>
      <c r="S31" s="53">
        <f>'TUSD BE'!$R$31*'TUSD BE'!$S$59</f>
        <v>0</v>
      </c>
      <c r="T31" s="53">
        <f ca="1">SUM($L$31:$S$31)</f>
        <v>-0.51675607518282018</v>
      </c>
      <c r="U31" s="53">
        <f>'TUSD BE'!$U$31*'TUSD BE'!$U$59</f>
        <v>-6.7115689861911001</v>
      </c>
      <c r="V31" s="53">
        <f>'TUSD BE'!$V$31*'TUSD BE'!$V$59</f>
        <v>1.1756486551119913</v>
      </c>
      <c r="W31" s="53">
        <f>'TUSD BE'!$W$31*'TUSD BE'!$W$59</f>
        <v>-2.3868367157523558</v>
      </c>
      <c r="X31" s="53">
        <f>'TUSD BE'!$X$31*'TUSD BE'!$X$59</f>
        <v>0</v>
      </c>
      <c r="Y31" s="53">
        <f>'TUSD BE'!$Y$31*'TUSD BE'!$Y$59</f>
        <v>0</v>
      </c>
      <c r="Z31" s="53">
        <f>'TUSD BE'!$Z$31*'TUSD BE'!$Z$59</f>
        <v>0</v>
      </c>
      <c r="AA31" s="53">
        <f>'TUSD BE'!$AA$31*'TUSD BE'!$AA$59</f>
        <v>0</v>
      </c>
      <c r="AB31" s="53">
        <f>SUM($U$31:$AA$31)</f>
        <v>-7.9227570468314648</v>
      </c>
      <c r="AC31" s="53">
        <f>'TUSD BE'!$AC$31*'TUSD BE'!$AC$59</f>
        <v>-6.137957376201725</v>
      </c>
      <c r="AD31" s="53">
        <f>SUM($AC$31:$AC$31)</f>
        <v>-6.137957376201725</v>
      </c>
      <c r="AE31" s="53">
        <f ca="1">$AO$31*$AO$56</f>
        <v>-217.62833574472873</v>
      </c>
      <c r="AF31" s="53">
        <f ca="1">$AP$31*$AP$56</f>
        <v>0</v>
      </c>
      <c r="AG31" s="53">
        <f ca="1">SUM($AE$31:$AF$31)</f>
        <v>-217.62833574472873</v>
      </c>
      <c r="AH31" s="53">
        <f>'TUSD BE'!$AH$31*'TUSD BE'!$AH$59</f>
        <v>-0.44707847611599749</v>
      </c>
      <c r="AI31" s="53">
        <f>'TUSD BE'!$AI$31*'TUSD BE'!$AI$59</f>
        <v>-1.5333099014231768E-2</v>
      </c>
      <c r="AJ31" s="53">
        <f ca="1">'TUSD BE'!$AJ$31*'TUSD BE'!$AJ$59</f>
        <v>-6.5823007027000266E-2</v>
      </c>
      <c r="AK31" s="53">
        <f ca="1">'TUSD BE'!$AK$31*'TUSD BE'!$AK$59</f>
        <v>1.8843503031338697E-2</v>
      </c>
      <c r="AL31" s="53">
        <f ca="1">SUM($AH$31:$AK$31)</f>
        <v>-0.50939107912589077</v>
      </c>
      <c r="AM31" s="53">
        <f ca="1">SUMIF($L$4:$AL$4,"SUBTOTAL",$L$31:$AL$31)+AZ31</f>
        <v>-232.71519732207062</v>
      </c>
      <c r="AO31" s="76">
        <f ca="1">+'TUSD BE'!$T$31+'TUSD BE'!$AB$31+'TUSD BE'!$AD$31+'TUSD BE'!$AL$31</f>
        <v>1165.2782688432123</v>
      </c>
      <c r="AP31" s="76">
        <f ca="1">+'TUSD BE'!$T$31+'TUSD BE'!$AB$31+'TUSD BE'!$AD$31+'TUSD BE'!$AL$31</f>
        <v>1165.2782688432123</v>
      </c>
      <c r="AQ31" s="9" t="str">
        <f t="shared" si="0"/>
        <v>B2</v>
      </c>
      <c r="AR31" s="9" t="str">
        <f t="shared" si="1"/>
        <v>Branca</v>
      </c>
      <c r="AS31" s="9" t="str">
        <f t="shared" si="2"/>
        <v>Rural</v>
      </c>
      <c r="AT31" s="9" t="str">
        <f t="shared" si="3"/>
        <v>Não se aplica</v>
      </c>
      <c r="AU31" s="9" t="str">
        <f t="shared" si="4"/>
        <v>Não se aplica</v>
      </c>
      <c r="AV31" s="9">
        <f t="shared" si="5"/>
        <v>1</v>
      </c>
      <c r="AW31" s="9">
        <f ca="1">TarifaMedia!$G$20</f>
        <v>0</v>
      </c>
      <c r="AX31" s="15">
        <f ca="1">'TUSD BE'!$AM31+'TUSD BF'!$AM31+'TUSD CVA'!$AM31</f>
        <v>967.37463895203064</v>
      </c>
      <c r="AY31" s="9">
        <f>ROUND(845.96/(1-CUSTOS!$M$38),2)</f>
        <v>899.96</v>
      </c>
      <c r="AZ31" s="9">
        <f t="shared" ca="1" si="6"/>
        <v>0</v>
      </c>
      <c r="BC31" s="50" t="s">
        <v>1208</v>
      </c>
    </row>
    <row r="32" spans="1:55" ht="11.25" customHeight="1" x14ac:dyDescent="0.25">
      <c r="A32" s="131"/>
      <c r="B32" s="131"/>
      <c r="C32" s="131"/>
      <c r="D32" s="131"/>
      <c r="E32" s="131"/>
      <c r="F32" s="131"/>
      <c r="G32" s="74" t="s">
        <v>93</v>
      </c>
      <c r="H32" s="74" t="s">
        <v>82</v>
      </c>
      <c r="I32" s="74">
        <f>'MERCADO TUSD'!$U$29</f>
        <v>0</v>
      </c>
      <c r="J32" s="15"/>
      <c r="L32" s="53">
        <f>'TUSD BE'!$L$32*'TUSD BE'!$L$59</f>
        <v>-0.4232675743487378</v>
      </c>
      <c r="M32" s="53">
        <f>'TUSD BE'!$M$32*'TUSD BE'!$M$59</f>
        <v>-5.6107009911459463E-2</v>
      </c>
      <c r="N32" s="53">
        <f ca="1">'TUSD BE'!$N$32*'TUSD BE'!$N$59</f>
        <v>5.2489927008736741E-11</v>
      </c>
      <c r="O32" s="53">
        <f>'TUSD BE'!$O$32*'TUSD BE'!$O$59</f>
        <v>0</v>
      </c>
      <c r="P32" s="53">
        <f>'TUSD BE'!$P$32*'TUSD BE'!$P$59</f>
        <v>0</v>
      </c>
      <c r="Q32" s="53">
        <f>'TUSD BE'!$Q$32*'TUSD BE'!$Q$59</f>
        <v>1.3282946463723817</v>
      </c>
      <c r="R32" s="53">
        <f>'TUSD BE'!$R$32*'TUSD BE'!$R$59</f>
        <v>-1.3656761373948416</v>
      </c>
      <c r="S32" s="53">
        <f>'TUSD BE'!$R$32*'TUSD BE'!$S$59</f>
        <v>0</v>
      </c>
      <c r="T32" s="53">
        <f ca="1">SUM($L$32:$S$32)</f>
        <v>-0.5167560752301672</v>
      </c>
      <c r="U32" s="53">
        <f>'TUSD BE'!$U$32*'TUSD BE'!$U$59</f>
        <v>-3.3557867462540978</v>
      </c>
      <c r="V32" s="53">
        <f>'TUSD BE'!$V$32*'TUSD BE'!$V$59</f>
        <v>0.58782432755599567</v>
      </c>
      <c r="W32" s="53">
        <f>'TUSD BE'!$W$32*'TUSD BE'!$W$59</f>
        <v>-1.1934183578761779</v>
      </c>
      <c r="X32" s="53">
        <f>'TUSD BE'!$X$32*'TUSD BE'!$X$59</f>
        <v>0</v>
      </c>
      <c r="Y32" s="53">
        <f>'TUSD BE'!$Y$32*'TUSD BE'!$Y$59</f>
        <v>0</v>
      </c>
      <c r="Z32" s="53">
        <f>'TUSD BE'!$Z$32*'TUSD BE'!$Z$59</f>
        <v>0</v>
      </c>
      <c r="AA32" s="53">
        <f>'TUSD BE'!$AA$32*'TUSD BE'!$AA$59</f>
        <v>0</v>
      </c>
      <c r="AB32" s="53">
        <f>SUM($U$32:$AA$32)</f>
        <v>-3.9613807765742801</v>
      </c>
      <c r="AC32" s="53">
        <f>'TUSD BE'!$AC$32*'TUSD BE'!$AC$59</f>
        <v>-3.0689790747000614</v>
      </c>
      <c r="AD32" s="53">
        <f>SUM($AC$32:$AC$32)</f>
        <v>-3.0689790747000614</v>
      </c>
      <c r="AE32" s="53">
        <f ca="1">$AO$32*$AO$56</f>
        <v>-120.83647130785683</v>
      </c>
      <c r="AF32" s="53">
        <f ca="1">$AP$32*$AP$56</f>
        <v>0</v>
      </c>
      <c r="AG32" s="53">
        <f ca="1">SUM($AE$32:$AF$32)</f>
        <v>-120.83647130785683</v>
      </c>
      <c r="AH32" s="53">
        <f>'TUSD BE'!$AH$32*'TUSD BE'!$AH$59</f>
        <v>-0.44707847611599749</v>
      </c>
      <c r="AI32" s="53">
        <f>'TUSD BE'!$AI$32*'TUSD BE'!$AI$59</f>
        <v>-1.5333099014231768E-2</v>
      </c>
      <c r="AJ32" s="53">
        <f ca="1">'TUSD BE'!$AJ$32*'TUSD BE'!$AJ$59</f>
        <v>-6.5823007027000266E-2</v>
      </c>
      <c r="AK32" s="53">
        <f ca="1">'TUSD BE'!$AK$32*'TUSD BE'!$AK$59</f>
        <v>1.8843503031338697E-2</v>
      </c>
      <c r="AL32" s="53">
        <f ca="1">SUM($AH$32:$AK$32)</f>
        <v>-0.50939107912589077</v>
      </c>
      <c r="AM32" s="53">
        <f ca="1">SUMIF($L$4:$AL$4,"SUBTOTAL",$L$32:$AL$32)+AZ32</f>
        <v>-128.89297831348722</v>
      </c>
      <c r="AO32" s="76">
        <f ca="1">+'TUSD BE'!$T$32+'TUSD BE'!$AB$32+'TUSD BE'!$AD$32+'TUSD BE'!$AL$32</f>
        <v>647.01185908026901</v>
      </c>
      <c r="AP32" s="76">
        <f ca="1">+'TUSD BE'!$T$32+'TUSD BE'!$AB$32+'TUSD BE'!$AD$32+'TUSD BE'!$AL$32</f>
        <v>647.01185908026901</v>
      </c>
      <c r="AQ32" s="9" t="str">
        <f t="shared" si="0"/>
        <v>B2</v>
      </c>
      <c r="AR32" s="9" t="str">
        <f t="shared" si="1"/>
        <v>Branca</v>
      </c>
      <c r="AS32" s="9" t="str">
        <f t="shared" si="2"/>
        <v>Rural</v>
      </c>
      <c r="AT32" s="9" t="str">
        <f t="shared" si="3"/>
        <v>Não se aplica</v>
      </c>
      <c r="AU32" s="9" t="str">
        <f t="shared" si="4"/>
        <v>Não se aplica</v>
      </c>
      <c r="AV32" s="9">
        <f t="shared" si="5"/>
        <v>1</v>
      </c>
      <c r="AW32" s="9">
        <f ca="1">TarifaMedia!$G$20</f>
        <v>0</v>
      </c>
      <c r="AX32" s="15">
        <f ca="1">'TUSD BE'!$AM32+'TUSD BF'!$AM32+'TUSD CVA'!$AM32</f>
        <v>545.98831144410747</v>
      </c>
      <c r="AY32" s="9">
        <f>ROUND(563.42/(1-CUSTOS!$M$38),2)</f>
        <v>599.38</v>
      </c>
      <c r="AZ32" s="9">
        <f t="shared" ca="1" si="6"/>
        <v>0</v>
      </c>
      <c r="BC32" s="50" t="s">
        <v>1209</v>
      </c>
    </row>
    <row r="33" spans="1:55" ht="11.25" customHeight="1" x14ac:dyDescent="0.25">
      <c r="A33" s="131"/>
      <c r="B33" s="131"/>
      <c r="C33" s="131"/>
      <c r="D33" s="131"/>
      <c r="E33" s="131"/>
      <c r="F33" s="131"/>
      <c r="G33" s="74" t="s">
        <v>84</v>
      </c>
      <c r="H33" s="74" t="s">
        <v>82</v>
      </c>
      <c r="I33" s="74">
        <f>'MERCADO TUSD'!$U$30</f>
        <v>0</v>
      </c>
      <c r="J33" s="15"/>
      <c r="L33" s="53">
        <f>'TUSD BE'!$L$33*'TUSD BE'!$L$59</f>
        <v>-0.4232675743487378</v>
      </c>
      <c r="M33" s="53">
        <f>'TUSD BE'!$M$33*'TUSD BE'!$M$59</f>
        <v>-5.6107009911459463E-2</v>
      </c>
      <c r="N33" s="53">
        <f ca="1">'TUSD BE'!$N$33*'TUSD BE'!$N$59</f>
        <v>1.4612294669424424E-11</v>
      </c>
      <c r="O33" s="53">
        <f>'TUSD BE'!$O$33*'TUSD BE'!$O$59</f>
        <v>0</v>
      </c>
      <c r="P33" s="53">
        <f>'TUSD BE'!$P$33*'TUSD BE'!$P$59</f>
        <v>0</v>
      </c>
      <c r="Q33" s="53">
        <f>'TUSD BE'!$Q$33*'TUSD BE'!$Q$59</f>
        <v>1.3282946463723817</v>
      </c>
      <c r="R33" s="53">
        <f>'TUSD BE'!$R$33*'TUSD BE'!$R$59</f>
        <v>-1.3656761373948416</v>
      </c>
      <c r="S33" s="53">
        <f>'TUSD BE'!$R$33*'TUSD BE'!$S$59</f>
        <v>0</v>
      </c>
      <c r="T33" s="53">
        <f ca="1">SUM($L$33:$S$33)</f>
        <v>-0.5167560752680449</v>
      </c>
      <c r="U33" s="53">
        <f>'TUSD BE'!$U$33*'TUSD BE'!$U$59</f>
        <v>-0.6711573492508196</v>
      </c>
      <c r="V33" s="53">
        <f>'TUSD BE'!$V$33*'TUSD BE'!$V$59</f>
        <v>0.11756590773905527</v>
      </c>
      <c r="W33" s="53">
        <f>'TUSD BE'!$W$33*'TUSD BE'!$W$59</f>
        <v>-0.23868254657648896</v>
      </c>
      <c r="X33" s="53">
        <f>'TUSD BE'!$X$33*'TUSD BE'!$X$59</f>
        <v>0</v>
      </c>
      <c r="Y33" s="53">
        <f>'TUSD BE'!$Y$33*'TUSD BE'!$Y$59</f>
        <v>0</v>
      </c>
      <c r="Z33" s="53">
        <f>'TUSD BE'!$Z$33*'TUSD BE'!$Z$59</f>
        <v>0</v>
      </c>
      <c r="AA33" s="53">
        <f>'TUSD BE'!$AA$33*'TUSD BE'!$AA$59</f>
        <v>0</v>
      </c>
      <c r="AB33" s="53">
        <f>SUM($U$33:$AA$33)</f>
        <v>-0.79227398808825322</v>
      </c>
      <c r="AC33" s="53">
        <f>'TUSD BE'!$AC$33*'TUSD BE'!$AC$59</f>
        <v>-0.61379581494001223</v>
      </c>
      <c r="AD33" s="53">
        <f>SUM($AC$33:$AC$33)</f>
        <v>-0.61379581494001223</v>
      </c>
      <c r="AE33" s="53">
        <f ca="1">$AO$33*$AO$56</f>
        <v>-43.402951078492947</v>
      </c>
      <c r="AF33" s="53">
        <f ca="1">$AP$33*$AP$56</f>
        <v>0</v>
      </c>
      <c r="AG33" s="53">
        <f ca="1">SUM($AE$33:$AF$33)</f>
        <v>-43.402951078492947</v>
      </c>
      <c r="AH33" s="53">
        <f>'TUSD BE'!$AH$33*'TUSD BE'!$AH$59</f>
        <v>-0.44707847611599749</v>
      </c>
      <c r="AI33" s="53">
        <f>'TUSD BE'!$AI$33*'TUSD BE'!$AI$59</f>
        <v>-1.5333099014231768E-2</v>
      </c>
      <c r="AJ33" s="53">
        <f ca="1">'TUSD BE'!$AJ$33*'TUSD BE'!$AJ$59</f>
        <v>-6.5823007027000266E-2</v>
      </c>
      <c r="AK33" s="53">
        <f ca="1">'TUSD BE'!$AK$33*'TUSD BE'!$AK$59</f>
        <v>1.8843503031338697E-2</v>
      </c>
      <c r="AL33" s="53">
        <f ca="1">SUM($AH$33:$AK$33)</f>
        <v>-0.50939107912589077</v>
      </c>
      <c r="AM33" s="53">
        <f ca="1">SUMIF($L$4:$AL$4,"SUBTOTAL",$L$33:$AL$33)+AZ33</f>
        <v>-45.835168035915146</v>
      </c>
      <c r="AO33" s="76">
        <f ca="1">+'TUSD BE'!$T$33+'TUSD BE'!$AB$33+'TUSD BE'!$AD$33+'TUSD BE'!$AL$33</f>
        <v>232.39857770523767</v>
      </c>
      <c r="AP33" s="76">
        <f ca="1">+'TUSD BE'!$T$33+'TUSD BE'!$AB$33+'TUSD BE'!$AD$33+'TUSD BE'!$AL$33</f>
        <v>232.39857770523767</v>
      </c>
      <c r="AQ33" s="9" t="str">
        <f t="shared" si="0"/>
        <v>B2</v>
      </c>
      <c r="AR33" s="9" t="str">
        <f t="shared" si="1"/>
        <v>Branca</v>
      </c>
      <c r="AS33" s="9" t="str">
        <f t="shared" si="2"/>
        <v>Rural</v>
      </c>
      <c r="AT33" s="9" t="str">
        <f t="shared" si="3"/>
        <v>Não se aplica</v>
      </c>
      <c r="AU33" s="9" t="str">
        <f t="shared" si="4"/>
        <v>Não se aplica</v>
      </c>
      <c r="AV33" s="9">
        <f t="shared" si="5"/>
        <v>1</v>
      </c>
      <c r="AW33" s="9">
        <f ca="1">TarifaMedia!$G$20</f>
        <v>0</v>
      </c>
      <c r="AX33" s="15">
        <f ca="1">'TUSD BE'!$AM33+'TUSD BF'!$AM33+'TUSD CVA'!$AM33</f>
        <v>208.87912808333496</v>
      </c>
      <c r="AY33" s="9">
        <f>ROUND(280.89/(1-CUSTOS!$M$38),2)</f>
        <v>298.82</v>
      </c>
      <c r="AZ33" s="9">
        <f t="shared" ca="1" si="6"/>
        <v>0</v>
      </c>
      <c r="BC33" s="50" t="s">
        <v>1210</v>
      </c>
    </row>
    <row r="34" spans="1:55" ht="11.25" customHeight="1" x14ac:dyDescent="0.25">
      <c r="A34" s="131"/>
      <c r="B34" s="73" t="s">
        <v>23</v>
      </c>
      <c r="C34" s="73" t="s">
        <v>43</v>
      </c>
      <c r="D34" s="73" t="s">
        <v>25</v>
      </c>
      <c r="E34" s="73" t="s">
        <v>25</v>
      </c>
      <c r="F34" s="73" t="s">
        <v>25</v>
      </c>
      <c r="G34" s="74" t="s">
        <v>86</v>
      </c>
      <c r="H34" s="74" t="s">
        <v>82</v>
      </c>
      <c r="I34" s="74">
        <f>'MERCADO TUSD'!$U$31</f>
        <v>18727.453000000001</v>
      </c>
      <c r="J34" s="15"/>
      <c r="L34" s="53">
        <f>'TUSD BE'!$L$34*'TUSD BE'!$L$59</f>
        <v>-0.4232675743487378</v>
      </c>
      <c r="M34" s="53">
        <f>'TUSD BE'!$M$34*'TUSD BE'!$M$59</f>
        <v>-5.6107009911459463E-2</v>
      </c>
      <c r="N34" s="53">
        <f ca="1">'TUSD BE'!$N$34*'TUSD BE'!$N$59</f>
        <v>2.8239002788186737E-11</v>
      </c>
      <c r="O34" s="53">
        <f>'TUSD BE'!$O$34*'TUSD BE'!$O$59</f>
        <v>0</v>
      </c>
      <c r="P34" s="53">
        <f>'TUSD BE'!$P$34*'TUSD BE'!$P$59</f>
        <v>0</v>
      </c>
      <c r="Q34" s="53">
        <f>'TUSD BE'!$Q$34*'TUSD BE'!$Q$59</f>
        <v>1.3282946463723817</v>
      </c>
      <c r="R34" s="53">
        <f>'TUSD BE'!$R$34*'TUSD BE'!$R$59</f>
        <v>-1.3656761373948416</v>
      </c>
      <c r="S34" s="53">
        <f>'TUSD BE'!$R$34*'TUSD BE'!$S$59</f>
        <v>0</v>
      </c>
      <c r="T34" s="53">
        <f ca="1">SUM($L$34:$S$34)</f>
        <v>-0.51675607525441813</v>
      </c>
      <c r="U34" s="53">
        <f>'TUSD BE'!$U$34*'TUSD BE'!$U$59</f>
        <v>-1.6369692544243668</v>
      </c>
      <c r="V34" s="53">
        <f>'TUSD BE'!$V$34*'TUSD BE'!$V$59</f>
        <v>0.28674293891276859</v>
      </c>
      <c r="W34" s="53">
        <f>'TUSD BE'!$W$34*'TUSD BE'!$W$59</f>
        <v>-0.58215591390232568</v>
      </c>
      <c r="X34" s="53">
        <f>'TUSD BE'!$X$34*'TUSD BE'!$X$59</f>
        <v>0</v>
      </c>
      <c r="Y34" s="53">
        <f>'TUSD BE'!$Y$34*'TUSD BE'!$Y$59</f>
        <v>0</v>
      </c>
      <c r="Z34" s="53">
        <f>'TUSD BE'!$Z$34*'TUSD BE'!$Z$59</f>
        <v>0</v>
      </c>
      <c r="AA34" s="53">
        <f>'TUSD BE'!$AA$34*'TUSD BE'!$AA$59</f>
        <v>0</v>
      </c>
      <c r="AB34" s="53">
        <f>SUM($U$34:$AA$34)</f>
        <v>-1.9323822294139239</v>
      </c>
      <c r="AC34" s="53">
        <f>'TUSD BE'!$AC$34*'TUSD BE'!$AC$59</f>
        <v>-1.4970628689758352</v>
      </c>
      <c r="AD34" s="53">
        <f>SUM($AC$34:$AC$34)</f>
        <v>-1.4970628689758352</v>
      </c>
      <c r="AE34" s="53">
        <f ca="1">$AO$34*$AO$56</f>
        <v>-71.260129922992746</v>
      </c>
      <c r="AF34" s="53">
        <f ca="1">$AP$34*$AP$56</f>
        <v>0</v>
      </c>
      <c r="AG34" s="53">
        <f ca="1">SUM($AE$34:$AF$34)</f>
        <v>-71.260129922992746</v>
      </c>
      <c r="AH34" s="53">
        <f>'TUSD BE'!$AH$34*'TUSD BE'!$AH$59</f>
        <v>-0.44707847611599749</v>
      </c>
      <c r="AI34" s="53">
        <f>'TUSD BE'!$AI$34*'TUSD BE'!$AI$59</f>
        <v>-1.5333099014231768E-2</v>
      </c>
      <c r="AJ34" s="53">
        <f ca="1">'TUSD BE'!$AJ$34*'TUSD BE'!$AJ$59</f>
        <v>-6.5823007027000266E-2</v>
      </c>
      <c r="AK34" s="53">
        <f ca="1">'TUSD BE'!$AK$34*'TUSD BE'!$AK$59</f>
        <v>1.8843503031338697E-2</v>
      </c>
      <c r="AL34" s="53">
        <f ca="1">SUM($AH$34:$AK$34)</f>
        <v>-0.50939107912589077</v>
      </c>
      <c r="AM34" s="53">
        <f ca="1">SUMIF($L$4:$AL$4,"SUBTOTAL",$L$34:$AL$34)+AZ34</f>
        <v>-75.715722175762821</v>
      </c>
      <c r="AO34" s="76">
        <f ca="1">+'TUSD BE'!$T$34+'TUSD BE'!$AB$34+'TUSD BE'!$AD$34+'TUSD BE'!$AL$34</f>
        <v>381.55822195694333</v>
      </c>
      <c r="AP34" s="76">
        <f ca="1">+'TUSD BE'!$T$34+'TUSD BE'!$AB$34+'TUSD BE'!$AD$34+'TUSD BE'!$AL$34</f>
        <v>381.55822195694333</v>
      </c>
      <c r="AQ34" s="9" t="str">
        <f t="shared" si="0"/>
        <v>B2</v>
      </c>
      <c r="AR34" s="9" t="str">
        <f t="shared" si="1"/>
        <v>Convencional</v>
      </c>
      <c r="AS34" s="9" t="str">
        <f t="shared" si="2"/>
        <v>Rural</v>
      </c>
      <c r="AT34" s="9" t="str">
        <f t="shared" si="3"/>
        <v>Não se aplica</v>
      </c>
      <c r="AU34" s="9" t="str">
        <f t="shared" si="4"/>
        <v>Não se aplica</v>
      </c>
      <c r="AV34" s="9">
        <f t="shared" si="5"/>
        <v>1</v>
      </c>
      <c r="AW34" s="9">
        <f ca="1">TarifaMedia!$G$20</f>
        <v>0</v>
      </c>
      <c r="AX34" s="15">
        <f ca="1">'TUSD BE'!$AM34+'TUSD BF'!$AM34+'TUSD CVA'!$AM34</f>
        <v>330.1561966420345</v>
      </c>
      <c r="AY34" s="9">
        <v>437.54</v>
      </c>
      <c r="AZ34" s="9">
        <f t="shared" ca="1" si="6"/>
        <v>0</v>
      </c>
      <c r="BC34" s="50" t="s">
        <v>1204</v>
      </c>
    </row>
    <row r="35" spans="1:55" ht="11.25" customHeight="1" x14ac:dyDescent="0.25">
      <c r="A35" s="131"/>
      <c r="B35" s="131" t="s">
        <v>32</v>
      </c>
      <c r="C35" s="131" t="s">
        <v>43</v>
      </c>
      <c r="D35" s="131" t="s">
        <v>96</v>
      </c>
      <c r="E35" s="131" t="s">
        <v>25</v>
      </c>
      <c r="F35" s="131" t="s">
        <v>25</v>
      </c>
      <c r="G35" s="74" t="s">
        <v>83</v>
      </c>
      <c r="H35" s="74" t="s">
        <v>82</v>
      </c>
      <c r="I35" s="74">
        <f>'MERCADO TUSD'!$U$32</f>
        <v>0</v>
      </c>
      <c r="J35" s="15"/>
      <c r="L35" s="53">
        <f>'TUSD BE'!$L$35*'TUSD BE'!$L$59</f>
        <v>-0.4232675743487378</v>
      </c>
      <c r="M35" s="53">
        <f>'TUSD BE'!$M$35*'TUSD BE'!$M$59</f>
        <v>-5.6107009911459463E-2</v>
      </c>
      <c r="N35" s="53">
        <f ca="1">'TUSD BE'!$N$35*'TUSD BE'!$N$59</f>
        <v>9.9836949778636463E-11</v>
      </c>
      <c r="O35" s="53">
        <f>'TUSD BE'!$O$35*'TUSD BE'!$O$59</f>
        <v>0</v>
      </c>
      <c r="P35" s="53">
        <f>'TUSD BE'!$P$35*'TUSD BE'!$P$59</f>
        <v>0</v>
      </c>
      <c r="Q35" s="53">
        <f>'TUSD BE'!$Q$35*'TUSD BE'!$Q$59</f>
        <v>1.3282946463723817</v>
      </c>
      <c r="R35" s="53">
        <f>'TUSD BE'!$R$35*'TUSD BE'!$R$59</f>
        <v>-1.3656761373948416</v>
      </c>
      <c r="S35" s="53">
        <f>'TUSD BE'!$R$35*'TUSD BE'!$S$59</f>
        <v>0</v>
      </c>
      <c r="T35" s="53">
        <f ca="1">SUM($L$35:$S$35)</f>
        <v>-0.51675607518282018</v>
      </c>
      <c r="U35" s="53">
        <f>'TUSD BE'!$U$35*'TUSD BE'!$U$59</f>
        <v>-6.7115689861911001</v>
      </c>
      <c r="V35" s="53">
        <f>'TUSD BE'!$V$35*'TUSD BE'!$V$59</f>
        <v>1.1756486551119913</v>
      </c>
      <c r="W35" s="53">
        <f>'TUSD BE'!$W$35*'TUSD BE'!$W$59</f>
        <v>-2.3868367157523558</v>
      </c>
      <c r="X35" s="53">
        <f>'TUSD BE'!$X$35*'TUSD BE'!$X$59</f>
        <v>0</v>
      </c>
      <c r="Y35" s="53">
        <f>'TUSD BE'!$Y$35*'TUSD BE'!$Y$59</f>
        <v>0</v>
      </c>
      <c r="Z35" s="53">
        <f>'TUSD BE'!$Z$35*'TUSD BE'!$Z$59</f>
        <v>0</v>
      </c>
      <c r="AA35" s="53">
        <f>'TUSD BE'!$AA$35*'TUSD BE'!$AA$59</f>
        <v>0</v>
      </c>
      <c r="AB35" s="53">
        <f>SUM($U$35:$AA$35)</f>
        <v>-7.9227570468314648</v>
      </c>
      <c r="AC35" s="53">
        <f>'TUSD BE'!$AC$35*'TUSD BE'!$AC$59</f>
        <v>-6.137957376201725</v>
      </c>
      <c r="AD35" s="53">
        <f>SUM($AC$35:$AC$35)</f>
        <v>-6.137957376201725</v>
      </c>
      <c r="AE35" s="53">
        <f ca="1">$AO$35*$AO$56</f>
        <v>-217.62833574472873</v>
      </c>
      <c r="AF35" s="53">
        <f ca="1">$AP$35*$AP$56</f>
        <v>0</v>
      </c>
      <c r="AG35" s="53">
        <f ca="1">SUM($AE$35:$AF$35)</f>
        <v>-217.62833574472873</v>
      </c>
      <c r="AH35" s="53">
        <f>'TUSD BE'!$AH$35*'TUSD BE'!$AH$59</f>
        <v>-0.44707847611599749</v>
      </c>
      <c r="AI35" s="53">
        <f>'TUSD BE'!$AI$35*'TUSD BE'!$AI$59</f>
        <v>-1.5333099014231768E-2</v>
      </c>
      <c r="AJ35" s="53">
        <f ca="1">'TUSD BE'!$AJ$35*'TUSD BE'!$AJ$59</f>
        <v>-6.5823007027000266E-2</v>
      </c>
      <c r="AK35" s="53">
        <f ca="1">'TUSD BE'!$AK$35*'TUSD BE'!$AK$59</f>
        <v>1.8843503031338697E-2</v>
      </c>
      <c r="AL35" s="53">
        <f ca="1">SUM($AH$35:$AK$35)</f>
        <v>-0.50939107912589077</v>
      </c>
      <c r="AM35" s="53">
        <f ca="1">SUMIF($L$4:$AL$4,"SUBTOTAL",$L$35:$AL$35)+AZ35</f>
        <v>-232.71519732207062</v>
      </c>
      <c r="AO35" s="76">
        <f ca="1">+'TUSD BE'!$T$35+'TUSD BE'!$AB$35+'TUSD BE'!$AD$35+'TUSD BE'!$AL$35</f>
        <v>1165.2782688432123</v>
      </c>
      <c r="AP35" s="76">
        <f ca="1">+'TUSD BE'!$T$35+'TUSD BE'!$AB$35+'TUSD BE'!$AD$35+'TUSD BE'!$AL$35</f>
        <v>1165.2782688432123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Cooperativa de eletrificação rural</v>
      </c>
      <c r="AU35" s="9" t="str">
        <f t="shared" si="4"/>
        <v>Não se aplica</v>
      </c>
      <c r="AV35" s="9">
        <f t="shared" si="5"/>
        <v>1</v>
      </c>
      <c r="AW35" s="9">
        <f ca="1">TarifaMedia!$G$20</f>
        <v>0</v>
      </c>
      <c r="AX35" s="15">
        <f ca="1">'TUSD BE'!$AM35+'TUSD BF'!$AM35+'TUSD CVA'!$AM35</f>
        <v>967.37463895203064</v>
      </c>
      <c r="AY35" s="9">
        <f>ROUND(845.96/(1-CUSTOS!$M$38),2)</f>
        <v>899.96</v>
      </c>
      <c r="AZ35" s="9">
        <f t="shared" ca="1" si="6"/>
        <v>0</v>
      </c>
      <c r="BC35" s="50" t="s">
        <v>1208</v>
      </c>
    </row>
    <row r="36" spans="1:55" ht="11.25" customHeight="1" x14ac:dyDescent="0.25">
      <c r="A36" s="131"/>
      <c r="B36" s="131"/>
      <c r="C36" s="131"/>
      <c r="D36" s="131"/>
      <c r="E36" s="131"/>
      <c r="F36" s="131"/>
      <c r="G36" s="74" t="s">
        <v>93</v>
      </c>
      <c r="H36" s="74" t="s">
        <v>82</v>
      </c>
      <c r="I36" s="74">
        <f>'MERCADO TUSD'!$U$33</f>
        <v>0</v>
      </c>
      <c r="J36" s="15"/>
      <c r="L36" s="53">
        <f>'TUSD BE'!$L$36*'TUSD BE'!$L$59</f>
        <v>-0.4232675743487378</v>
      </c>
      <c r="M36" s="53">
        <f>'TUSD BE'!$M$36*'TUSD BE'!$M$59</f>
        <v>-5.6107009911459463E-2</v>
      </c>
      <c r="N36" s="53">
        <f ca="1">'TUSD BE'!$N$36*'TUSD BE'!$N$59</f>
        <v>5.2489927008736741E-11</v>
      </c>
      <c r="O36" s="53">
        <f>'TUSD BE'!$O$36*'TUSD BE'!$O$59</f>
        <v>0</v>
      </c>
      <c r="P36" s="53">
        <f>'TUSD BE'!$P$36*'TUSD BE'!$P$59</f>
        <v>0</v>
      </c>
      <c r="Q36" s="53">
        <f>'TUSD BE'!$Q$36*'TUSD BE'!$Q$59</f>
        <v>1.3282946463723817</v>
      </c>
      <c r="R36" s="53">
        <f>'TUSD BE'!$R$36*'TUSD BE'!$R$59</f>
        <v>-1.3656761373948416</v>
      </c>
      <c r="S36" s="53">
        <f>'TUSD BE'!$R$36*'TUSD BE'!$S$59</f>
        <v>0</v>
      </c>
      <c r="T36" s="53">
        <f ca="1">SUM($L$36:$S$36)</f>
        <v>-0.5167560752301672</v>
      </c>
      <c r="U36" s="53">
        <f>'TUSD BE'!$U$36*'TUSD BE'!$U$59</f>
        <v>-3.3557867462540978</v>
      </c>
      <c r="V36" s="53">
        <f>'TUSD BE'!$V$36*'TUSD BE'!$V$59</f>
        <v>0.58782432755599567</v>
      </c>
      <c r="W36" s="53">
        <f>'TUSD BE'!$W$36*'TUSD BE'!$W$59</f>
        <v>-1.1934183578761779</v>
      </c>
      <c r="X36" s="53">
        <f>'TUSD BE'!$X$36*'TUSD BE'!$X$59</f>
        <v>0</v>
      </c>
      <c r="Y36" s="53">
        <f>'TUSD BE'!$Y$36*'TUSD BE'!$Y$59</f>
        <v>0</v>
      </c>
      <c r="Z36" s="53">
        <f>'TUSD BE'!$Z$36*'TUSD BE'!$Z$59</f>
        <v>0</v>
      </c>
      <c r="AA36" s="53">
        <f>'TUSD BE'!$AA$36*'TUSD BE'!$AA$59</f>
        <v>0</v>
      </c>
      <c r="AB36" s="53">
        <f>SUM($U$36:$AA$36)</f>
        <v>-3.9613807765742801</v>
      </c>
      <c r="AC36" s="53">
        <f>'TUSD BE'!$AC$36*'TUSD BE'!$AC$59</f>
        <v>-3.0689790747000614</v>
      </c>
      <c r="AD36" s="53">
        <f>SUM($AC$36:$AC$36)</f>
        <v>-3.0689790747000614</v>
      </c>
      <c r="AE36" s="53">
        <f ca="1">$AO$36*$AO$56</f>
        <v>-120.83647130785683</v>
      </c>
      <c r="AF36" s="53">
        <f ca="1">$AP$36*$AP$56</f>
        <v>0</v>
      </c>
      <c r="AG36" s="53">
        <f ca="1">SUM($AE$36:$AF$36)</f>
        <v>-120.83647130785683</v>
      </c>
      <c r="AH36" s="53">
        <f>'TUSD BE'!$AH$36*'TUSD BE'!$AH$59</f>
        <v>-0.44707847611599749</v>
      </c>
      <c r="AI36" s="53">
        <f>'TUSD BE'!$AI$36*'TUSD BE'!$AI$59</f>
        <v>-1.5333099014231768E-2</v>
      </c>
      <c r="AJ36" s="53">
        <f ca="1">'TUSD BE'!$AJ$36*'TUSD BE'!$AJ$59</f>
        <v>-6.5823007027000266E-2</v>
      </c>
      <c r="AK36" s="53">
        <f ca="1">'TUSD BE'!$AK$36*'TUSD BE'!$AK$59</f>
        <v>1.8843503031338697E-2</v>
      </c>
      <c r="AL36" s="53">
        <f ca="1">SUM($AH$36:$AK$36)</f>
        <v>-0.50939107912589077</v>
      </c>
      <c r="AM36" s="53">
        <f ca="1">SUMIF($L$4:$AL$4,"SUBTOTAL",$L$36:$AL$36)+AZ36</f>
        <v>-128.89297831348722</v>
      </c>
      <c r="AO36" s="76">
        <f ca="1">+'TUSD BE'!$T$36+'TUSD BE'!$AB$36+'TUSD BE'!$AD$36+'TUSD BE'!$AL$36</f>
        <v>647.01185908026901</v>
      </c>
      <c r="AP36" s="76">
        <f ca="1">+'TUSD BE'!$T$36+'TUSD BE'!$AB$36+'TUSD BE'!$AD$36+'TUSD BE'!$AL$36</f>
        <v>647.01185908026901</v>
      </c>
      <c r="AQ36" s="9" t="str">
        <f t="shared" si="0"/>
        <v>B2</v>
      </c>
      <c r="AR36" s="9" t="str">
        <f t="shared" si="1"/>
        <v>Branca</v>
      </c>
      <c r="AS36" s="9" t="str">
        <f t="shared" si="2"/>
        <v>Rural</v>
      </c>
      <c r="AT36" s="9" t="str">
        <f t="shared" si="3"/>
        <v>Cooperativa de eletrificação rural</v>
      </c>
      <c r="AU36" s="9" t="str">
        <f t="shared" si="4"/>
        <v>Não se aplica</v>
      </c>
      <c r="AV36" s="9">
        <f t="shared" si="5"/>
        <v>1</v>
      </c>
      <c r="AW36" s="9">
        <f ca="1">TarifaMedia!$G$20</f>
        <v>0</v>
      </c>
      <c r="AX36" s="15">
        <f ca="1">'TUSD BE'!$AM36+'TUSD BF'!$AM36+'TUSD CVA'!$AM36</f>
        <v>545.98831144410747</v>
      </c>
      <c r="AY36" s="9">
        <f>ROUND(563.42/(1-CUSTOS!$M$38),2)</f>
        <v>599.38</v>
      </c>
      <c r="AZ36" s="9">
        <f t="shared" ca="1" si="6"/>
        <v>0</v>
      </c>
      <c r="BC36" s="50" t="s">
        <v>1209</v>
      </c>
    </row>
    <row r="37" spans="1:55" ht="11.25" customHeight="1" x14ac:dyDescent="0.25">
      <c r="A37" s="131"/>
      <c r="B37" s="131"/>
      <c r="C37" s="131"/>
      <c r="D37" s="131"/>
      <c r="E37" s="131"/>
      <c r="F37" s="131"/>
      <c r="G37" s="74" t="s">
        <v>84</v>
      </c>
      <c r="H37" s="74" t="s">
        <v>82</v>
      </c>
      <c r="I37" s="74">
        <f>'MERCADO TUSD'!$U$34</f>
        <v>0</v>
      </c>
      <c r="J37" s="15"/>
      <c r="L37" s="53">
        <f>'TUSD BE'!$L$37*'TUSD BE'!$L$59</f>
        <v>-0.4232675743487378</v>
      </c>
      <c r="M37" s="53">
        <f>'TUSD BE'!$M$37*'TUSD BE'!$M$59</f>
        <v>-5.6107009911459463E-2</v>
      </c>
      <c r="N37" s="53">
        <f ca="1">'TUSD BE'!$N$37*'TUSD BE'!$N$59</f>
        <v>1.4612294669424424E-11</v>
      </c>
      <c r="O37" s="53">
        <f>'TUSD BE'!$O$37*'TUSD BE'!$O$59</f>
        <v>0</v>
      </c>
      <c r="P37" s="53">
        <f>'TUSD BE'!$P$37*'TUSD BE'!$P$59</f>
        <v>0</v>
      </c>
      <c r="Q37" s="53">
        <f>'TUSD BE'!$Q$37*'TUSD BE'!$Q$59</f>
        <v>1.3282946463723817</v>
      </c>
      <c r="R37" s="53">
        <f>'TUSD BE'!$R$37*'TUSD BE'!$R$59</f>
        <v>-1.3656761373948416</v>
      </c>
      <c r="S37" s="53">
        <f>'TUSD BE'!$R$37*'TUSD BE'!$S$59</f>
        <v>0</v>
      </c>
      <c r="T37" s="53">
        <f ca="1">SUM($L$37:$S$37)</f>
        <v>-0.5167560752680449</v>
      </c>
      <c r="U37" s="53">
        <f>'TUSD BE'!$U$37*'TUSD BE'!$U$59</f>
        <v>-0.6711573492508196</v>
      </c>
      <c r="V37" s="53">
        <f>'TUSD BE'!$V$37*'TUSD BE'!$V$59</f>
        <v>0.11756590773905527</v>
      </c>
      <c r="W37" s="53">
        <f>'TUSD BE'!$W$37*'TUSD BE'!$W$59</f>
        <v>-0.23868254657648896</v>
      </c>
      <c r="X37" s="53">
        <f>'TUSD BE'!$X$37*'TUSD BE'!$X$59</f>
        <v>0</v>
      </c>
      <c r="Y37" s="53">
        <f>'TUSD BE'!$Y$37*'TUSD BE'!$Y$59</f>
        <v>0</v>
      </c>
      <c r="Z37" s="53">
        <f>'TUSD BE'!$Z$37*'TUSD BE'!$Z$59</f>
        <v>0</v>
      </c>
      <c r="AA37" s="53">
        <f>'TUSD BE'!$AA$37*'TUSD BE'!$AA$59</f>
        <v>0</v>
      </c>
      <c r="AB37" s="53">
        <f>SUM($U$37:$AA$37)</f>
        <v>-0.79227398808825322</v>
      </c>
      <c r="AC37" s="53">
        <f>'TUSD BE'!$AC$37*'TUSD BE'!$AC$59</f>
        <v>-0.61379581494001223</v>
      </c>
      <c r="AD37" s="53">
        <f>SUM($AC$37:$AC$37)</f>
        <v>-0.61379581494001223</v>
      </c>
      <c r="AE37" s="53">
        <f ca="1">$AO$37*$AO$56</f>
        <v>-43.402951078492947</v>
      </c>
      <c r="AF37" s="53">
        <f ca="1">$AP$37*$AP$56</f>
        <v>0</v>
      </c>
      <c r="AG37" s="53">
        <f ca="1">SUM($AE$37:$AF$37)</f>
        <v>-43.402951078492947</v>
      </c>
      <c r="AH37" s="53">
        <f>'TUSD BE'!$AH$37*'TUSD BE'!$AH$59</f>
        <v>-0.44707847611599749</v>
      </c>
      <c r="AI37" s="53">
        <f>'TUSD BE'!$AI$37*'TUSD BE'!$AI$59</f>
        <v>-1.5333099014231768E-2</v>
      </c>
      <c r="AJ37" s="53">
        <f ca="1">'TUSD BE'!$AJ$37*'TUSD BE'!$AJ$59</f>
        <v>-6.5823007027000266E-2</v>
      </c>
      <c r="AK37" s="53">
        <f ca="1">'TUSD BE'!$AK$37*'TUSD BE'!$AK$59</f>
        <v>1.8843503031338697E-2</v>
      </c>
      <c r="AL37" s="53">
        <f ca="1">SUM($AH$37:$AK$37)</f>
        <v>-0.50939107912589077</v>
      </c>
      <c r="AM37" s="53">
        <f ca="1">SUMIF($L$4:$AL$4,"SUBTOTAL",$L$37:$AL$37)+AZ37</f>
        <v>-45.835168035915146</v>
      </c>
      <c r="AO37" s="76">
        <f ca="1">+'TUSD BE'!$T$37+'TUSD BE'!$AB$37+'TUSD BE'!$AD$37+'TUSD BE'!$AL$37</f>
        <v>232.39857770523767</v>
      </c>
      <c r="AP37" s="76">
        <f ca="1">+'TUSD BE'!$T$37+'TUSD BE'!$AB$37+'TUSD BE'!$AD$37+'TUSD BE'!$AL$37</f>
        <v>232.39857770523767</v>
      </c>
      <c r="AQ37" s="9" t="str">
        <f t="shared" si="0"/>
        <v>B2</v>
      </c>
      <c r="AR37" s="9" t="str">
        <f t="shared" si="1"/>
        <v>Branca</v>
      </c>
      <c r="AS37" s="9" t="str">
        <f t="shared" si="2"/>
        <v>Rural</v>
      </c>
      <c r="AT37" s="9" t="str">
        <f t="shared" si="3"/>
        <v>Cooperativa de eletrificação rural</v>
      </c>
      <c r="AU37" s="9" t="str">
        <f t="shared" si="4"/>
        <v>Não se aplica</v>
      </c>
      <c r="AV37" s="9">
        <f t="shared" si="5"/>
        <v>1</v>
      </c>
      <c r="AW37" s="9">
        <f ca="1">TarifaMedia!$G$20</f>
        <v>0</v>
      </c>
      <c r="AX37" s="15">
        <f ca="1">'TUSD BE'!$AM37+'TUSD BF'!$AM37+'TUSD CVA'!$AM37</f>
        <v>208.87912808333496</v>
      </c>
      <c r="AY37" s="9">
        <f>ROUND(280.89/(1-CUSTOS!$M$38),2)</f>
        <v>298.82</v>
      </c>
      <c r="AZ37" s="9">
        <f t="shared" ca="1" si="6"/>
        <v>0</v>
      </c>
      <c r="BC37" s="50" t="s">
        <v>1210</v>
      </c>
    </row>
    <row r="38" spans="1:55" ht="11.25" customHeight="1" x14ac:dyDescent="0.25">
      <c r="A38" s="131"/>
      <c r="B38" s="73" t="s">
        <v>23</v>
      </c>
      <c r="C38" s="73" t="s">
        <v>43</v>
      </c>
      <c r="D38" s="73" t="s">
        <v>96</v>
      </c>
      <c r="E38" s="73" t="s">
        <v>25</v>
      </c>
      <c r="F38" s="73" t="s">
        <v>25</v>
      </c>
      <c r="G38" s="74" t="s">
        <v>86</v>
      </c>
      <c r="H38" s="74" t="s">
        <v>82</v>
      </c>
      <c r="I38" s="74">
        <f>'MERCADO TUSD'!$U$35</f>
        <v>0</v>
      </c>
      <c r="J38" s="15"/>
      <c r="L38" s="53">
        <f>'TUSD BE'!$L$38*'TUSD BE'!$L$59</f>
        <v>-0.4232675743487378</v>
      </c>
      <c r="M38" s="53">
        <f>'TUSD BE'!$M$38*'TUSD BE'!$M$59</f>
        <v>-5.6107009911459463E-2</v>
      </c>
      <c r="N38" s="53">
        <f ca="1">'TUSD BE'!$N$38*'TUSD BE'!$N$59</f>
        <v>2.8239002788186737E-11</v>
      </c>
      <c r="O38" s="53">
        <f>'TUSD BE'!$O$38*'TUSD BE'!$O$59</f>
        <v>0</v>
      </c>
      <c r="P38" s="53">
        <f>'TUSD BE'!$P$38*'TUSD BE'!$P$59</f>
        <v>0</v>
      </c>
      <c r="Q38" s="53">
        <f>'TUSD BE'!$Q$38*'TUSD BE'!$Q$59</f>
        <v>1.3282946463723817</v>
      </c>
      <c r="R38" s="53">
        <f>'TUSD BE'!$R$38*'TUSD BE'!$R$59</f>
        <v>-1.3656761373948416</v>
      </c>
      <c r="S38" s="53">
        <f>'TUSD BE'!$R$38*'TUSD BE'!$S$59</f>
        <v>0</v>
      </c>
      <c r="T38" s="53">
        <f ca="1">SUM($L$38:$S$38)</f>
        <v>-0.51675607525441813</v>
      </c>
      <c r="U38" s="53">
        <f>'TUSD BE'!$U$38*'TUSD BE'!$U$59</f>
        <v>-1.6369692544243668</v>
      </c>
      <c r="V38" s="53">
        <f>'TUSD BE'!$V$38*'TUSD BE'!$V$59</f>
        <v>0.28674293891276859</v>
      </c>
      <c r="W38" s="53">
        <f>'TUSD BE'!$W$38*'TUSD BE'!$W$59</f>
        <v>-0.58215591390232568</v>
      </c>
      <c r="X38" s="53">
        <f>'TUSD BE'!$X$38*'TUSD BE'!$X$59</f>
        <v>0</v>
      </c>
      <c r="Y38" s="53">
        <f>'TUSD BE'!$Y$38*'TUSD BE'!$Y$59</f>
        <v>0</v>
      </c>
      <c r="Z38" s="53">
        <f>'TUSD BE'!$Z$38*'TUSD BE'!$Z$59</f>
        <v>0</v>
      </c>
      <c r="AA38" s="53">
        <f>'TUSD BE'!$AA$38*'TUSD BE'!$AA$59</f>
        <v>0</v>
      </c>
      <c r="AB38" s="53">
        <f>SUM($U$38:$AA$38)</f>
        <v>-1.9323822294139239</v>
      </c>
      <c r="AC38" s="53">
        <f>'TUSD BE'!$AC$38*'TUSD BE'!$AC$59</f>
        <v>-1.4970628689758352</v>
      </c>
      <c r="AD38" s="53">
        <f>SUM($AC$38:$AC$38)</f>
        <v>-1.4970628689758352</v>
      </c>
      <c r="AE38" s="53">
        <f ca="1">$AO$38*$AO$56</f>
        <v>-71.260129922992746</v>
      </c>
      <c r="AF38" s="53">
        <f ca="1">$AP$38*$AP$56</f>
        <v>0</v>
      </c>
      <c r="AG38" s="53">
        <f ca="1">SUM($AE$38:$AF$38)</f>
        <v>-71.260129922992746</v>
      </c>
      <c r="AH38" s="53">
        <f>'TUSD BE'!$AH$38*'TUSD BE'!$AH$59</f>
        <v>-0.44707847611599749</v>
      </c>
      <c r="AI38" s="53">
        <f>'TUSD BE'!$AI$38*'TUSD BE'!$AI$59</f>
        <v>-1.5333099014231768E-2</v>
      </c>
      <c r="AJ38" s="53">
        <f ca="1">'TUSD BE'!$AJ$38*'TUSD BE'!$AJ$59</f>
        <v>-6.5823007027000266E-2</v>
      </c>
      <c r="AK38" s="53">
        <f ca="1">'TUSD BE'!$AK$38*'TUSD BE'!$AK$59</f>
        <v>1.8843503031338697E-2</v>
      </c>
      <c r="AL38" s="53">
        <f ca="1">SUM($AH$38:$AK$38)</f>
        <v>-0.50939107912589077</v>
      </c>
      <c r="AM38" s="53">
        <f ca="1">SUMIF($L$4:$AL$4,"SUBTOTAL",$L$38:$AL$38)+AZ38</f>
        <v>-75.715722175762821</v>
      </c>
      <c r="AO38" s="76">
        <f ca="1">+'TUSD BE'!$T$38+'TUSD BE'!$AB$38+'TUSD BE'!$AD$38+'TUSD BE'!$AL$38</f>
        <v>381.55822195694333</v>
      </c>
      <c r="AP38" s="76">
        <f ca="1">+'TUSD BE'!$T$38+'TUSD BE'!$AB$38+'TUSD BE'!$AD$38+'TUSD BE'!$AL$38</f>
        <v>381.55822195694333</v>
      </c>
      <c r="AQ38" s="9" t="str">
        <f t="shared" si="0"/>
        <v>B2</v>
      </c>
      <c r="AR38" s="9" t="str">
        <f t="shared" si="1"/>
        <v>Convencional</v>
      </c>
      <c r="AS38" s="9" t="str">
        <f t="shared" si="2"/>
        <v>Rural</v>
      </c>
      <c r="AT38" s="9" t="str">
        <f t="shared" si="3"/>
        <v>Cooperativa de eletrificação rural</v>
      </c>
      <c r="AU38" s="9" t="str">
        <f t="shared" si="4"/>
        <v>Não se aplica</v>
      </c>
      <c r="AV38" s="9">
        <f t="shared" si="5"/>
        <v>1</v>
      </c>
      <c r="AW38" s="9">
        <f ca="1">TarifaMedia!$G$20</f>
        <v>0</v>
      </c>
      <c r="AX38" s="15">
        <f ca="1">'TUSD BE'!$AM38+'TUSD BF'!$AM38+'TUSD CVA'!$AM38</f>
        <v>330.1561966420345</v>
      </c>
      <c r="AY38" s="9">
        <v>437.54</v>
      </c>
      <c r="AZ38" s="9">
        <f t="shared" ca="1" si="6"/>
        <v>0</v>
      </c>
      <c r="BC38" s="50" t="s">
        <v>1204</v>
      </c>
    </row>
    <row r="39" spans="1:55" ht="11.25" customHeight="1" x14ac:dyDescent="0.25">
      <c r="A39" s="131"/>
      <c r="B39" s="131" t="s">
        <v>32</v>
      </c>
      <c r="C39" s="131" t="s">
        <v>43</v>
      </c>
      <c r="D39" s="131" t="s">
        <v>97</v>
      </c>
      <c r="E39" s="131" t="s">
        <v>25</v>
      </c>
      <c r="F39" s="131" t="s">
        <v>25</v>
      </c>
      <c r="G39" s="74" t="s">
        <v>83</v>
      </c>
      <c r="H39" s="74" t="s">
        <v>82</v>
      </c>
      <c r="I39" s="74">
        <f>'MERCADO TUSD'!$U$36</f>
        <v>0</v>
      </c>
      <c r="J39" s="15"/>
      <c r="L39" s="53">
        <f>'TUSD BE'!$L$39*'TUSD BE'!$L$59</f>
        <v>-0.4232675743487378</v>
      </c>
      <c r="M39" s="53">
        <f>'TUSD BE'!$M$39*'TUSD BE'!$M$59</f>
        <v>-5.6107009911459463E-2</v>
      </c>
      <c r="N39" s="53">
        <f ca="1">'TUSD BE'!$N$39*'TUSD BE'!$N$59</f>
        <v>9.9836949778636463E-11</v>
      </c>
      <c r="O39" s="53">
        <f>'TUSD BE'!$O$39*'TUSD BE'!$O$59</f>
        <v>0</v>
      </c>
      <c r="P39" s="53">
        <f>'TUSD BE'!$P$39*'TUSD BE'!$P$59</f>
        <v>0</v>
      </c>
      <c r="Q39" s="53">
        <f>'TUSD BE'!$Q$39*'TUSD BE'!$Q$59</f>
        <v>1.3282946463723817</v>
      </c>
      <c r="R39" s="53">
        <f>'TUSD BE'!$R$39*'TUSD BE'!$R$59</f>
        <v>-1.3656761373948416</v>
      </c>
      <c r="S39" s="53">
        <f>'TUSD BE'!$R$39*'TUSD BE'!$S$59</f>
        <v>0</v>
      </c>
      <c r="T39" s="53">
        <f ca="1">SUM($L$39:$S$39)</f>
        <v>-0.51675607518282018</v>
      </c>
      <c r="U39" s="53">
        <f>'TUSD BE'!$U$39*'TUSD BE'!$U$59</f>
        <v>-6.7115689861911001</v>
      </c>
      <c r="V39" s="53">
        <f>'TUSD BE'!$V$39*'TUSD BE'!$V$59</f>
        <v>1.1756486551119913</v>
      </c>
      <c r="W39" s="53">
        <f>'TUSD BE'!$W$39*'TUSD BE'!$W$59</f>
        <v>-2.3868367157523558</v>
      </c>
      <c r="X39" s="53">
        <f>'TUSD BE'!$X$39*'TUSD BE'!$X$59</f>
        <v>0</v>
      </c>
      <c r="Y39" s="53">
        <f>'TUSD BE'!$Y$39*'TUSD BE'!$Y$59</f>
        <v>0</v>
      </c>
      <c r="Z39" s="53">
        <f>'TUSD BE'!$Z$39*'TUSD BE'!$Z$59</f>
        <v>0</v>
      </c>
      <c r="AA39" s="53">
        <f>'TUSD BE'!$AA$39*'TUSD BE'!$AA$59</f>
        <v>0</v>
      </c>
      <c r="AB39" s="53">
        <f>SUM($U$39:$AA$39)</f>
        <v>-7.9227570468314648</v>
      </c>
      <c r="AC39" s="53">
        <f>'TUSD BE'!$AC$39*'TUSD BE'!$AC$59</f>
        <v>-6.137957376201725</v>
      </c>
      <c r="AD39" s="53">
        <f>SUM($AC$39:$AC$39)</f>
        <v>-6.137957376201725</v>
      </c>
      <c r="AE39" s="53">
        <f ca="1">$AO$39*$AO$56</f>
        <v>-217.62833574472873</v>
      </c>
      <c r="AF39" s="53">
        <f ca="1">$AP$39*$AP$56</f>
        <v>0</v>
      </c>
      <c r="AG39" s="53">
        <f ca="1">SUM($AE$39:$AF$39)</f>
        <v>-217.62833574472873</v>
      </c>
      <c r="AH39" s="53">
        <f>'TUSD BE'!$AH$39*'TUSD BE'!$AH$59</f>
        <v>-0.44707847611599749</v>
      </c>
      <c r="AI39" s="53">
        <f>'TUSD BE'!$AI$39*'TUSD BE'!$AI$59</f>
        <v>-1.5333099014231768E-2</v>
      </c>
      <c r="AJ39" s="53">
        <f ca="1">'TUSD BE'!$AJ$39*'TUSD BE'!$AJ$59</f>
        <v>-6.5823007027000266E-2</v>
      </c>
      <c r="AK39" s="53">
        <f ca="1">'TUSD BE'!$AK$39*'TUSD BE'!$AK$59</f>
        <v>1.8843503031338697E-2</v>
      </c>
      <c r="AL39" s="53">
        <f ca="1">SUM($AH$39:$AK$39)</f>
        <v>-0.50939107912589077</v>
      </c>
      <c r="AM39" s="53">
        <f ca="1">SUMIF($L$4:$AL$4,"SUBTOTAL",$L$39:$AL$39)+AZ39</f>
        <v>-232.71519732207062</v>
      </c>
      <c r="AO39" s="76">
        <f ca="1">+'TUSD BE'!$T$39+'TUSD BE'!$AB$39+'TUSD BE'!$AD$39+'TUSD BE'!$AL$39</f>
        <v>1165.2782688432123</v>
      </c>
      <c r="AP39" s="76">
        <f ca="1">+'TUSD BE'!$T$39+'TUSD BE'!$AB$39+'TUSD BE'!$AD$39+'TUSD BE'!$AL$39</f>
        <v>1165.2782688432123</v>
      </c>
      <c r="AQ39" s="9" t="str">
        <f t="shared" si="0"/>
        <v>B2</v>
      </c>
      <c r="AR39" s="9" t="str">
        <f t="shared" si="1"/>
        <v>Branca</v>
      </c>
      <c r="AS39" s="9" t="str">
        <f t="shared" si="2"/>
        <v>Rural</v>
      </c>
      <c r="AT39" s="9" t="str">
        <f t="shared" si="3"/>
        <v>Serviço público de irrigação rural</v>
      </c>
      <c r="AU39" s="9" t="str">
        <f t="shared" si="4"/>
        <v>Não se aplica</v>
      </c>
      <c r="AV39" s="9">
        <f t="shared" si="5"/>
        <v>1</v>
      </c>
      <c r="AW39" s="9">
        <f ca="1">TarifaMedia!$G$20</f>
        <v>0</v>
      </c>
      <c r="AX39" s="15">
        <f ca="1">'TUSD BE'!$AM39+'TUSD BF'!$AM39+'TUSD CVA'!$AM39</f>
        <v>967.37463895203064</v>
      </c>
      <c r="AY39" s="9">
        <f>ROUND(845.96/(1-CUSTOS!$M$38),2)</f>
        <v>899.96</v>
      </c>
      <c r="AZ39" s="9">
        <f t="shared" ca="1" si="6"/>
        <v>0</v>
      </c>
      <c r="BC39" s="50" t="s">
        <v>1208</v>
      </c>
    </row>
    <row r="40" spans="1:55" ht="11.25" customHeight="1" x14ac:dyDescent="0.25">
      <c r="A40" s="131"/>
      <c r="B40" s="131"/>
      <c r="C40" s="131"/>
      <c r="D40" s="131"/>
      <c r="E40" s="131"/>
      <c r="F40" s="131"/>
      <c r="G40" s="74" t="s">
        <v>93</v>
      </c>
      <c r="H40" s="74" t="s">
        <v>82</v>
      </c>
      <c r="I40" s="74">
        <f>'MERCADO TUSD'!$U$37</f>
        <v>0</v>
      </c>
      <c r="J40" s="15"/>
      <c r="L40" s="53">
        <f>'TUSD BE'!$L$40*'TUSD BE'!$L$59</f>
        <v>-0.4232675743487378</v>
      </c>
      <c r="M40" s="53">
        <f>'TUSD BE'!$M$40*'TUSD BE'!$M$59</f>
        <v>-5.6107009911459463E-2</v>
      </c>
      <c r="N40" s="53">
        <f ca="1">'TUSD BE'!$N$40*'TUSD BE'!$N$59</f>
        <v>5.2489927008736741E-11</v>
      </c>
      <c r="O40" s="53">
        <f>'TUSD BE'!$O$40*'TUSD BE'!$O$59</f>
        <v>0</v>
      </c>
      <c r="P40" s="53">
        <f>'TUSD BE'!$P$40*'TUSD BE'!$P$59</f>
        <v>0</v>
      </c>
      <c r="Q40" s="53">
        <f>'TUSD BE'!$Q$40*'TUSD BE'!$Q$59</f>
        <v>1.3282946463723817</v>
      </c>
      <c r="R40" s="53">
        <f>'TUSD BE'!$R$40*'TUSD BE'!$R$59</f>
        <v>-1.3656761373948416</v>
      </c>
      <c r="S40" s="53">
        <f>'TUSD BE'!$R$40*'TUSD BE'!$S$59</f>
        <v>0</v>
      </c>
      <c r="T40" s="53">
        <f ca="1">SUM($L$40:$S$40)</f>
        <v>-0.5167560752301672</v>
      </c>
      <c r="U40" s="53">
        <f>'TUSD BE'!$U$40*'TUSD BE'!$U$59</f>
        <v>-3.3557867462540978</v>
      </c>
      <c r="V40" s="53">
        <f>'TUSD BE'!$V$40*'TUSD BE'!$V$59</f>
        <v>0.58782432755599567</v>
      </c>
      <c r="W40" s="53">
        <f>'TUSD BE'!$W$40*'TUSD BE'!$W$59</f>
        <v>-1.1934183578761779</v>
      </c>
      <c r="X40" s="53">
        <f>'TUSD BE'!$X$40*'TUSD BE'!$X$59</f>
        <v>0</v>
      </c>
      <c r="Y40" s="53">
        <f>'TUSD BE'!$Y$40*'TUSD BE'!$Y$59</f>
        <v>0</v>
      </c>
      <c r="Z40" s="53">
        <f>'TUSD BE'!$Z$40*'TUSD BE'!$Z$59</f>
        <v>0</v>
      </c>
      <c r="AA40" s="53">
        <f>'TUSD BE'!$AA$40*'TUSD BE'!$AA$59</f>
        <v>0</v>
      </c>
      <c r="AB40" s="53">
        <f>SUM($U$40:$AA$40)</f>
        <v>-3.9613807765742801</v>
      </c>
      <c r="AC40" s="53">
        <f>'TUSD BE'!$AC$40*'TUSD BE'!$AC$59</f>
        <v>-3.0689790747000614</v>
      </c>
      <c r="AD40" s="53">
        <f>SUM($AC$40:$AC$40)</f>
        <v>-3.0689790747000614</v>
      </c>
      <c r="AE40" s="53">
        <f ca="1">$AO$40*$AO$56</f>
        <v>-120.83647130785683</v>
      </c>
      <c r="AF40" s="53">
        <f ca="1">$AP$40*$AP$56</f>
        <v>0</v>
      </c>
      <c r="AG40" s="53">
        <f ca="1">SUM($AE$40:$AF$40)</f>
        <v>-120.83647130785683</v>
      </c>
      <c r="AH40" s="53">
        <f>'TUSD BE'!$AH$40*'TUSD BE'!$AH$59</f>
        <v>-0.44707847611599749</v>
      </c>
      <c r="AI40" s="53">
        <f>'TUSD BE'!$AI$40*'TUSD BE'!$AI$59</f>
        <v>-1.5333099014231768E-2</v>
      </c>
      <c r="AJ40" s="53">
        <f ca="1">'TUSD BE'!$AJ$40*'TUSD BE'!$AJ$59</f>
        <v>-6.5823007027000266E-2</v>
      </c>
      <c r="AK40" s="53">
        <f ca="1">'TUSD BE'!$AK$40*'TUSD BE'!$AK$59</f>
        <v>1.8843503031338697E-2</v>
      </c>
      <c r="AL40" s="53">
        <f ca="1">SUM($AH$40:$AK$40)</f>
        <v>-0.50939107912589077</v>
      </c>
      <c r="AM40" s="53">
        <f ca="1">SUMIF($L$4:$AL$4,"SUBTOTAL",$L$40:$AL$40)+AZ40</f>
        <v>-128.89297831348722</v>
      </c>
      <c r="AO40" s="76">
        <f ca="1">+'TUSD BE'!$T$40+'TUSD BE'!$AB$40+'TUSD BE'!$AD$40+'TUSD BE'!$AL$40</f>
        <v>647.01185908026901</v>
      </c>
      <c r="AP40" s="76">
        <f ca="1">+'TUSD BE'!$T$40+'TUSD BE'!$AB$40+'TUSD BE'!$AD$40+'TUSD BE'!$AL$40</f>
        <v>647.01185908026901</v>
      </c>
      <c r="AQ40" s="9" t="str">
        <f t="shared" si="0"/>
        <v>B2</v>
      </c>
      <c r="AR40" s="9" t="str">
        <f t="shared" si="1"/>
        <v>Branca</v>
      </c>
      <c r="AS40" s="9" t="str">
        <f t="shared" si="2"/>
        <v>Rural</v>
      </c>
      <c r="AT40" s="9" t="str">
        <f t="shared" si="3"/>
        <v>Serviço público de irrigação rural</v>
      </c>
      <c r="AU40" s="9" t="str">
        <f t="shared" si="4"/>
        <v>Não se aplica</v>
      </c>
      <c r="AV40" s="9">
        <f t="shared" si="5"/>
        <v>1</v>
      </c>
      <c r="AW40" s="9">
        <f ca="1">TarifaMedia!$G$20</f>
        <v>0</v>
      </c>
      <c r="AX40" s="15">
        <f ca="1">'TUSD BE'!$AM40+'TUSD BF'!$AM40+'TUSD CVA'!$AM40</f>
        <v>545.98831144410747</v>
      </c>
      <c r="AY40" s="9">
        <f>ROUND(563.42/(1-CUSTOS!$M$38),2)</f>
        <v>599.38</v>
      </c>
      <c r="AZ40" s="9">
        <f t="shared" ca="1" si="6"/>
        <v>0</v>
      </c>
      <c r="BC40" s="50" t="s">
        <v>1209</v>
      </c>
    </row>
    <row r="41" spans="1:55" ht="11.25" customHeight="1" x14ac:dyDescent="0.25">
      <c r="A41" s="131"/>
      <c r="B41" s="131"/>
      <c r="C41" s="131"/>
      <c r="D41" s="131"/>
      <c r="E41" s="131"/>
      <c r="F41" s="131"/>
      <c r="G41" s="74" t="s">
        <v>84</v>
      </c>
      <c r="H41" s="74" t="s">
        <v>82</v>
      </c>
      <c r="I41" s="74">
        <f>'MERCADO TUSD'!$U$38</f>
        <v>0</v>
      </c>
      <c r="J41" s="15"/>
      <c r="L41" s="53">
        <f>'TUSD BE'!$L$41*'TUSD BE'!$L$59</f>
        <v>-0.4232675743487378</v>
      </c>
      <c r="M41" s="53">
        <f>'TUSD BE'!$M$41*'TUSD BE'!$M$59</f>
        <v>-5.6107009911459463E-2</v>
      </c>
      <c r="N41" s="53">
        <f ca="1">'TUSD BE'!$N$41*'TUSD BE'!$N$59</f>
        <v>1.4612294669424424E-11</v>
      </c>
      <c r="O41" s="53">
        <f>'TUSD BE'!$O$41*'TUSD BE'!$O$59</f>
        <v>0</v>
      </c>
      <c r="P41" s="53">
        <f>'TUSD BE'!$P$41*'TUSD BE'!$P$59</f>
        <v>0</v>
      </c>
      <c r="Q41" s="53">
        <f>'TUSD BE'!$Q$41*'TUSD BE'!$Q$59</f>
        <v>1.3282946463723817</v>
      </c>
      <c r="R41" s="53">
        <f>'TUSD BE'!$R$41*'TUSD BE'!$R$59</f>
        <v>-1.3656761373948416</v>
      </c>
      <c r="S41" s="53">
        <f>'TUSD BE'!$R$41*'TUSD BE'!$S$59</f>
        <v>0</v>
      </c>
      <c r="T41" s="53">
        <f ca="1">SUM($L$41:$S$41)</f>
        <v>-0.5167560752680449</v>
      </c>
      <c r="U41" s="53">
        <f>'TUSD BE'!$U$41*'TUSD BE'!$U$59</f>
        <v>-0.6711573492508196</v>
      </c>
      <c r="V41" s="53">
        <f>'TUSD BE'!$V$41*'TUSD BE'!$V$59</f>
        <v>0.11756590773905527</v>
      </c>
      <c r="W41" s="53">
        <f>'TUSD BE'!$W$41*'TUSD BE'!$W$59</f>
        <v>-0.23868254657648896</v>
      </c>
      <c r="X41" s="53">
        <f>'TUSD BE'!$X$41*'TUSD BE'!$X$59</f>
        <v>0</v>
      </c>
      <c r="Y41" s="53">
        <f>'TUSD BE'!$Y$41*'TUSD BE'!$Y$59</f>
        <v>0</v>
      </c>
      <c r="Z41" s="53">
        <f>'TUSD BE'!$Z$41*'TUSD BE'!$Z$59</f>
        <v>0</v>
      </c>
      <c r="AA41" s="53">
        <f>'TUSD BE'!$AA$41*'TUSD BE'!$AA$59</f>
        <v>0</v>
      </c>
      <c r="AB41" s="53">
        <f>SUM($U$41:$AA$41)</f>
        <v>-0.79227398808825322</v>
      </c>
      <c r="AC41" s="53">
        <f>'TUSD BE'!$AC$41*'TUSD BE'!$AC$59</f>
        <v>-0.61379581494001223</v>
      </c>
      <c r="AD41" s="53">
        <f>SUM($AC$41:$AC$41)</f>
        <v>-0.61379581494001223</v>
      </c>
      <c r="AE41" s="53">
        <f ca="1">$AO$41*$AO$56</f>
        <v>-43.402951078492947</v>
      </c>
      <c r="AF41" s="53">
        <f ca="1">$AP$41*$AP$56</f>
        <v>0</v>
      </c>
      <c r="AG41" s="53">
        <f ca="1">SUM($AE$41:$AF$41)</f>
        <v>-43.402951078492947</v>
      </c>
      <c r="AH41" s="53">
        <f>'TUSD BE'!$AH$41*'TUSD BE'!$AH$59</f>
        <v>-0.44707847611599749</v>
      </c>
      <c r="AI41" s="53">
        <f>'TUSD BE'!$AI$41*'TUSD BE'!$AI$59</f>
        <v>-1.5333099014231768E-2</v>
      </c>
      <c r="AJ41" s="53">
        <f ca="1">'TUSD BE'!$AJ$41*'TUSD BE'!$AJ$59</f>
        <v>-6.5823007027000266E-2</v>
      </c>
      <c r="AK41" s="53">
        <f ca="1">'TUSD BE'!$AK$41*'TUSD BE'!$AK$59</f>
        <v>1.8843503031338697E-2</v>
      </c>
      <c r="AL41" s="53">
        <f ca="1">SUM($AH$41:$AK$41)</f>
        <v>-0.50939107912589077</v>
      </c>
      <c r="AM41" s="53">
        <f ca="1">SUMIF($L$4:$AL$4,"SUBTOTAL",$L$41:$AL$41)+AZ41</f>
        <v>-45.835168035915146</v>
      </c>
      <c r="AO41" s="76">
        <f ca="1">+'TUSD BE'!$T$41+'TUSD BE'!$AB$41+'TUSD BE'!$AD$41+'TUSD BE'!$AL$41</f>
        <v>232.39857770523767</v>
      </c>
      <c r="AP41" s="76">
        <f ca="1">+'TUSD BE'!$T$41+'TUSD BE'!$AB$41+'TUSD BE'!$AD$41+'TUSD BE'!$AL$41</f>
        <v>232.39857770523767</v>
      </c>
      <c r="AQ41" s="9" t="str">
        <f t="shared" si="0"/>
        <v>B2</v>
      </c>
      <c r="AR41" s="9" t="str">
        <f t="shared" si="1"/>
        <v>Branca</v>
      </c>
      <c r="AS41" s="9" t="str">
        <f t="shared" si="2"/>
        <v>Rural</v>
      </c>
      <c r="AT41" s="9" t="str">
        <f t="shared" si="3"/>
        <v>Serviço público de irrigação rural</v>
      </c>
      <c r="AU41" s="9" t="str">
        <f t="shared" si="4"/>
        <v>Não se aplica</v>
      </c>
      <c r="AV41" s="9">
        <f t="shared" si="5"/>
        <v>1</v>
      </c>
      <c r="AW41" s="9">
        <f ca="1">TarifaMedia!$G$20</f>
        <v>0</v>
      </c>
      <c r="AX41" s="15">
        <f ca="1">'TUSD BE'!$AM41+'TUSD BF'!$AM41+'TUSD CVA'!$AM41</f>
        <v>208.87912808333496</v>
      </c>
      <c r="AY41" s="9">
        <f>ROUND(280.89/(1-CUSTOS!$M$38),2)</f>
        <v>298.82</v>
      </c>
      <c r="AZ41" s="9">
        <f t="shared" ca="1" si="6"/>
        <v>0</v>
      </c>
      <c r="BC41" s="50" t="s">
        <v>1210</v>
      </c>
    </row>
    <row r="42" spans="1:55" ht="11.25" customHeight="1" x14ac:dyDescent="0.25">
      <c r="A42" s="131"/>
      <c r="B42" s="73" t="s">
        <v>23</v>
      </c>
      <c r="C42" s="73" t="s">
        <v>43</v>
      </c>
      <c r="D42" s="73" t="s">
        <v>97</v>
      </c>
      <c r="E42" s="73" t="s">
        <v>25</v>
      </c>
      <c r="F42" s="73" t="s">
        <v>25</v>
      </c>
      <c r="G42" s="74" t="s">
        <v>86</v>
      </c>
      <c r="H42" s="74" t="s">
        <v>82</v>
      </c>
      <c r="I42" s="74">
        <f>'MERCADO TUSD'!$U$39</f>
        <v>0</v>
      </c>
      <c r="J42" s="15"/>
      <c r="L42" s="53">
        <f>'TUSD BE'!$L$42*'TUSD BE'!$L$59</f>
        <v>-0.4232675743487378</v>
      </c>
      <c r="M42" s="53">
        <f>'TUSD BE'!$M$42*'TUSD BE'!$M$59</f>
        <v>-5.6107009911459463E-2</v>
      </c>
      <c r="N42" s="53">
        <f ca="1">'TUSD BE'!$N$42*'TUSD BE'!$N$59</f>
        <v>2.8239002788186737E-11</v>
      </c>
      <c r="O42" s="53">
        <f>'TUSD BE'!$O$42*'TUSD BE'!$O$59</f>
        <v>0</v>
      </c>
      <c r="P42" s="53">
        <f>'TUSD BE'!$P$42*'TUSD BE'!$P$59</f>
        <v>0</v>
      </c>
      <c r="Q42" s="53">
        <f>'TUSD BE'!$Q$42*'TUSD BE'!$Q$59</f>
        <v>1.3282946463723817</v>
      </c>
      <c r="R42" s="53">
        <f>'TUSD BE'!$R$42*'TUSD BE'!$R$59</f>
        <v>-1.3656761373948416</v>
      </c>
      <c r="S42" s="53">
        <f>'TUSD BE'!$R$42*'TUSD BE'!$S$59</f>
        <v>0</v>
      </c>
      <c r="T42" s="53">
        <f ca="1">SUM($L$42:$S$42)</f>
        <v>-0.51675607525441813</v>
      </c>
      <c r="U42" s="53">
        <f>'TUSD BE'!$U$42*'TUSD BE'!$U$59</f>
        <v>-1.6369692544243668</v>
      </c>
      <c r="V42" s="53">
        <f>'TUSD BE'!$V$42*'TUSD BE'!$V$59</f>
        <v>0.28674293891276859</v>
      </c>
      <c r="W42" s="53">
        <f>'TUSD BE'!$W$42*'TUSD BE'!$W$59</f>
        <v>-0.58215591390232568</v>
      </c>
      <c r="X42" s="53">
        <f>'TUSD BE'!$X$42*'TUSD BE'!$X$59</f>
        <v>0</v>
      </c>
      <c r="Y42" s="53">
        <f>'TUSD BE'!$Y$42*'TUSD BE'!$Y$59</f>
        <v>0</v>
      </c>
      <c r="Z42" s="53">
        <f>'TUSD BE'!$Z$42*'TUSD BE'!$Z$59</f>
        <v>0</v>
      </c>
      <c r="AA42" s="53">
        <f>'TUSD BE'!$AA$42*'TUSD BE'!$AA$59</f>
        <v>0</v>
      </c>
      <c r="AB42" s="53">
        <f>SUM($U$42:$AA$42)</f>
        <v>-1.9323822294139239</v>
      </c>
      <c r="AC42" s="53">
        <f>'TUSD BE'!$AC$42*'TUSD BE'!$AC$59</f>
        <v>-1.4970628689758352</v>
      </c>
      <c r="AD42" s="53">
        <f>SUM($AC$42:$AC$42)</f>
        <v>-1.4970628689758352</v>
      </c>
      <c r="AE42" s="53">
        <f ca="1">$AO$42*$AO$56</f>
        <v>-71.260129922992746</v>
      </c>
      <c r="AF42" s="53">
        <f ca="1">$AP$42*$AP$56</f>
        <v>0</v>
      </c>
      <c r="AG42" s="53">
        <f ca="1">SUM($AE$42:$AF$42)</f>
        <v>-71.260129922992746</v>
      </c>
      <c r="AH42" s="53">
        <f>'TUSD BE'!$AH$42*'TUSD BE'!$AH$59</f>
        <v>-0.44707847611599749</v>
      </c>
      <c r="AI42" s="53">
        <f>'TUSD BE'!$AI$42*'TUSD BE'!$AI$59</f>
        <v>-1.5333099014231768E-2</v>
      </c>
      <c r="AJ42" s="53">
        <f ca="1">'TUSD BE'!$AJ$42*'TUSD BE'!$AJ$59</f>
        <v>-6.5823007027000266E-2</v>
      </c>
      <c r="AK42" s="53">
        <f ca="1">'TUSD BE'!$AK$42*'TUSD BE'!$AK$59</f>
        <v>1.8843503031338697E-2</v>
      </c>
      <c r="AL42" s="53">
        <f ca="1">SUM($AH$42:$AK$42)</f>
        <v>-0.50939107912589077</v>
      </c>
      <c r="AM42" s="53">
        <f ca="1">SUMIF($L$4:$AL$4,"SUBTOTAL",$L$42:$AL$42)+AZ42</f>
        <v>-75.715722175762821</v>
      </c>
      <c r="AO42" s="76">
        <f ca="1">+'TUSD BE'!$T$42+'TUSD BE'!$AB$42+'TUSD BE'!$AD$42+'TUSD BE'!$AL$42</f>
        <v>381.55822195694333</v>
      </c>
      <c r="AP42" s="76">
        <f ca="1">+'TUSD BE'!$T$42+'TUSD BE'!$AB$42+'TUSD BE'!$AD$42+'TUSD BE'!$AL$42</f>
        <v>381.55822195694333</v>
      </c>
      <c r="AQ42" s="9" t="str">
        <f t="shared" si="0"/>
        <v>B2</v>
      </c>
      <c r="AR42" s="9" t="str">
        <f t="shared" si="1"/>
        <v>Convencional</v>
      </c>
      <c r="AS42" s="9" t="str">
        <f t="shared" si="2"/>
        <v>Rural</v>
      </c>
      <c r="AT42" s="9" t="str">
        <f t="shared" si="3"/>
        <v>Serviço público de irrigação rural</v>
      </c>
      <c r="AU42" s="9" t="str">
        <f t="shared" si="4"/>
        <v>Não se aplica</v>
      </c>
      <c r="AV42" s="9">
        <f t="shared" si="5"/>
        <v>1</v>
      </c>
      <c r="AW42" s="9">
        <f ca="1">TarifaMedia!$G$20</f>
        <v>0</v>
      </c>
      <c r="AX42" s="15">
        <f ca="1">'TUSD BE'!$AM42+'TUSD BF'!$AM42+'TUSD CVA'!$AM42</f>
        <v>330.1561966420345</v>
      </c>
      <c r="AY42" s="9">
        <v>437.54</v>
      </c>
      <c r="AZ42" s="9">
        <f t="shared" ca="1" si="6"/>
        <v>0</v>
      </c>
      <c r="BC42" s="50" t="s">
        <v>1204</v>
      </c>
    </row>
    <row r="43" spans="1:55" ht="11.25" customHeight="1" x14ac:dyDescent="0.25">
      <c r="A43" s="131"/>
      <c r="B43" s="131" t="s">
        <v>95</v>
      </c>
      <c r="C43" s="131" t="s">
        <v>43</v>
      </c>
      <c r="D43" s="73" t="s">
        <v>25</v>
      </c>
      <c r="E43" s="73" t="s">
        <v>25</v>
      </c>
      <c r="F43" s="73" t="s">
        <v>25</v>
      </c>
      <c r="G43" s="74" t="s">
        <v>86</v>
      </c>
      <c r="H43" s="74" t="s">
        <v>82</v>
      </c>
      <c r="I43" s="74">
        <f>'MERCADO TUSD'!$U$40</f>
        <v>0</v>
      </c>
      <c r="J43" s="15"/>
      <c r="L43" s="53">
        <f>'TUSD BE'!$L$43*'TUSD BE'!$L$59</f>
        <v>-0.4232675743487378</v>
      </c>
      <c r="M43" s="53">
        <f>'TUSD BE'!$M$43*'TUSD BE'!$M$59</f>
        <v>-5.6107009911459463E-2</v>
      </c>
      <c r="N43" s="53">
        <f ca="1">'TUSD BE'!$N$43*'TUSD BE'!$N$59</f>
        <v>2.8239002788186737E-11</v>
      </c>
      <c r="O43" s="53">
        <f>'TUSD BE'!$O$43*'TUSD BE'!$O$59</f>
        <v>0</v>
      </c>
      <c r="P43" s="53">
        <f>'TUSD BE'!$P$43*'TUSD BE'!$P$59</f>
        <v>0</v>
      </c>
      <c r="Q43" s="53">
        <f>'TUSD BE'!$Q$43*'TUSD BE'!$Q$59</f>
        <v>1.3282946463723817</v>
      </c>
      <c r="R43" s="53">
        <f>'TUSD BE'!$R$43*'TUSD BE'!$R$59</f>
        <v>-1.3656761373948416</v>
      </c>
      <c r="S43" s="53">
        <f>'TUSD BE'!$R$43*'TUSD BE'!$S$59</f>
        <v>0</v>
      </c>
      <c r="T43" s="53">
        <f ca="1">SUM($L$43:$S$43)</f>
        <v>-0.51675607525441813</v>
      </c>
      <c r="U43" s="53">
        <f>'TUSD BE'!$U$43*'TUSD BE'!$U$59</f>
        <v>-1.6369692544243668</v>
      </c>
      <c r="V43" s="53">
        <f>'TUSD BE'!$V$43*'TUSD BE'!$V$59</f>
        <v>0.28674293891276859</v>
      </c>
      <c r="W43" s="53">
        <f>'TUSD BE'!$W$43*'TUSD BE'!$W$59</f>
        <v>-0.58215591390232568</v>
      </c>
      <c r="X43" s="53">
        <f>'TUSD BE'!$X$43*'TUSD BE'!$X$59</f>
        <v>0</v>
      </c>
      <c r="Y43" s="53">
        <f>'TUSD BE'!$Y$43*'TUSD BE'!$Y$59</f>
        <v>0</v>
      </c>
      <c r="Z43" s="53">
        <f>'TUSD BE'!$Z$43*'TUSD BE'!$Z$59</f>
        <v>0</v>
      </c>
      <c r="AA43" s="53">
        <f>'TUSD BE'!$AA$43*'TUSD BE'!$AA$59</f>
        <v>0</v>
      </c>
      <c r="AB43" s="53">
        <f>SUM($U$43:$AA$43)</f>
        <v>-1.9323822294139239</v>
      </c>
      <c r="AC43" s="53">
        <f>'TUSD BE'!$AC$43*'TUSD BE'!$AC$59</f>
        <v>-1.4970628689758352</v>
      </c>
      <c r="AD43" s="53">
        <f>SUM($AC$43:$AC$43)</f>
        <v>-1.4970628689758352</v>
      </c>
      <c r="AE43" s="53">
        <f ca="1">$AO$43*$AO$56</f>
        <v>-71.260129922992746</v>
      </c>
      <c r="AF43" s="53">
        <f ca="1">$AP$43*$AP$56</f>
        <v>0</v>
      </c>
      <c r="AG43" s="53">
        <f ca="1">SUM($AE$43:$AF$43)</f>
        <v>-71.260129922992746</v>
      </c>
      <c r="AH43" s="53">
        <f>'TUSD BE'!$AH$43*'TUSD BE'!$AH$59</f>
        <v>-0.44707847611599749</v>
      </c>
      <c r="AI43" s="53">
        <f>'TUSD BE'!$AI$43*'TUSD BE'!$AI$59</f>
        <v>-1.5333099014231768E-2</v>
      </c>
      <c r="AJ43" s="53">
        <f ca="1">'TUSD BE'!$AJ$43*'TUSD BE'!$AJ$59</f>
        <v>-6.5823007027000266E-2</v>
      </c>
      <c r="AK43" s="53">
        <f ca="1">'TUSD BE'!$AK$43*'TUSD BE'!$AK$59</f>
        <v>1.8843503031338697E-2</v>
      </c>
      <c r="AL43" s="53">
        <f ca="1">SUM($AH$43:$AK$43)</f>
        <v>-0.50939107912589077</v>
      </c>
      <c r="AM43" s="53">
        <f ca="1">SUMIF($L$4:$AL$4,"SUBTOTAL",$L$43:$AL$43)+AZ43</f>
        <v>-75.715722175762821</v>
      </c>
      <c r="AO43" s="76">
        <f ca="1">+'TUSD BE'!$T$43+'TUSD BE'!$AB$43+'TUSD BE'!$AD$43+'TUSD BE'!$AL$43</f>
        <v>381.55822195694333</v>
      </c>
      <c r="AP43" s="76">
        <f ca="1">+'TUSD BE'!$T$43+'TUSD BE'!$AB$43+'TUSD BE'!$AD$43+'TUSD BE'!$AL$43</f>
        <v>381.55822195694333</v>
      </c>
      <c r="AQ43" s="9" t="str">
        <f t="shared" si="0"/>
        <v>B2</v>
      </c>
      <c r="AR43" s="9" t="str">
        <f t="shared" si="1"/>
        <v>Convencional pré-pagamento</v>
      </c>
      <c r="AS43" s="9" t="str">
        <f t="shared" si="2"/>
        <v>Rural</v>
      </c>
      <c r="AT43" s="9" t="str">
        <f t="shared" si="3"/>
        <v>Não se aplica</v>
      </c>
      <c r="AU43" s="9" t="str">
        <f t="shared" si="4"/>
        <v>Não se aplica</v>
      </c>
      <c r="AV43" s="9">
        <f t="shared" si="5"/>
        <v>1</v>
      </c>
      <c r="AW43" s="9">
        <f ca="1">TarifaMedia!$G$20</f>
        <v>0</v>
      </c>
      <c r="AX43" s="15">
        <f ca="1">'TUSD BE'!$AM43+'TUSD BF'!$AM43+'TUSD CVA'!$AM43</f>
        <v>330.1561966420345</v>
      </c>
      <c r="AY43" s="9">
        <v>437.54</v>
      </c>
      <c r="AZ43" s="9">
        <f t="shared" ca="1" si="6"/>
        <v>0</v>
      </c>
      <c r="BC43" s="50" t="s">
        <v>1204</v>
      </c>
    </row>
    <row r="44" spans="1:55" ht="11.25" customHeight="1" x14ac:dyDescent="0.25">
      <c r="A44" s="131"/>
      <c r="B44" s="131"/>
      <c r="C44" s="131"/>
      <c r="D44" s="73" t="s">
        <v>96</v>
      </c>
      <c r="E44" s="73" t="s">
        <v>25</v>
      </c>
      <c r="F44" s="73" t="s">
        <v>25</v>
      </c>
      <c r="G44" s="74" t="s">
        <v>86</v>
      </c>
      <c r="H44" s="74" t="s">
        <v>82</v>
      </c>
      <c r="I44" s="74">
        <f>'MERCADO TUSD'!$U$41</f>
        <v>0</v>
      </c>
      <c r="J44" s="15"/>
      <c r="L44" s="53">
        <f>'TUSD BE'!$L$44*'TUSD BE'!$L$59</f>
        <v>-0.4232675743487378</v>
      </c>
      <c r="M44" s="53">
        <f>'TUSD BE'!$M$44*'TUSD BE'!$M$59</f>
        <v>-5.6107009911459463E-2</v>
      </c>
      <c r="N44" s="53">
        <f ca="1">'TUSD BE'!$N$44*'TUSD BE'!$N$59</f>
        <v>2.8239002788186737E-11</v>
      </c>
      <c r="O44" s="53">
        <f>'TUSD BE'!$O$44*'TUSD BE'!$O$59</f>
        <v>0</v>
      </c>
      <c r="P44" s="53">
        <f>'TUSD BE'!$P$44*'TUSD BE'!$P$59</f>
        <v>0</v>
      </c>
      <c r="Q44" s="53">
        <f>'TUSD BE'!$Q$44*'TUSD BE'!$Q$59</f>
        <v>1.3282946463723817</v>
      </c>
      <c r="R44" s="53">
        <f>'TUSD BE'!$R$44*'TUSD BE'!$R$59</f>
        <v>-1.3656761373948416</v>
      </c>
      <c r="S44" s="53">
        <f>'TUSD BE'!$R$44*'TUSD BE'!$S$59</f>
        <v>0</v>
      </c>
      <c r="T44" s="53">
        <f ca="1">SUM($L$44:$S$44)</f>
        <v>-0.51675607525441813</v>
      </c>
      <c r="U44" s="53">
        <f>'TUSD BE'!$U$44*'TUSD BE'!$U$59</f>
        <v>-1.6369692544243668</v>
      </c>
      <c r="V44" s="53">
        <f>'TUSD BE'!$V$44*'TUSD BE'!$V$59</f>
        <v>0.28674293891276859</v>
      </c>
      <c r="W44" s="53">
        <f>'TUSD BE'!$W$44*'TUSD BE'!$W$59</f>
        <v>-0.58215591390232568</v>
      </c>
      <c r="X44" s="53">
        <f>'TUSD BE'!$X$44*'TUSD BE'!$X$59</f>
        <v>0</v>
      </c>
      <c r="Y44" s="53">
        <f>'TUSD BE'!$Y$44*'TUSD BE'!$Y$59</f>
        <v>0</v>
      </c>
      <c r="Z44" s="53">
        <f>'TUSD BE'!$Z$44*'TUSD BE'!$Z$59</f>
        <v>0</v>
      </c>
      <c r="AA44" s="53">
        <f>'TUSD BE'!$AA$44*'TUSD BE'!$AA$59</f>
        <v>0</v>
      </c>
      <c r="AB44" s="53">
        <f>SUM($U$44:$AA$44)</f>
        <v>-1.9323822294139239</v>
      </c>
      <c r="AC44" s="53">
        <f>'TUSD BE'!$AC$44*'TUSD BE'!$AC$59</f>
        <v>-1.4970628689758352</v>
      </c>
      <c r="AD44" s="53">
        <f>SUM($AC$44:$AC$44)</f>
        <v>-1.4970628689758352</v>
      </c>
      <c r="AE44" s="53">
        <f ca="1">$AO$44*$AO$56</f>
        <v>-71.260129922992746</v>
      </c>
      <c r="AF44" s="53">
        <f ca="1">$AP$44*$AP$56</f>
        <v>0</v>
      </c>
      <c r="AG44" s="53">
        <f ca="1">SUM($AE$44:$AF$44)</f>
        <v>-71.260129922992746</v>
      </c>
      <c r="AH44" s="53">
        <f>'TUSD BE'!$AH$44*'TUSD BE'!$AH$59</f>
        <v>-0.44707847611599749</v>
      </c>
      <c r="AI44" s="53">
        <f>'TUSD BE'!$AI$44*'TUSD BE'!$AI$59</f>
        <v>-1.5333099014231768E-2</v>
      </c>
      <c r="AJ44" s="53">
        <f ca="1">'TUSD BE'!$AJ$44*'TUSD BE'!$AJ$59</f>
        <v>-6.5823007027000266E-2</v>
      </c>
      <c r="AK44" s="53">
        <f ca="1">'TUSD BE'!$AK$44*'TUSD BE'!$AK$59</f>
        <v>1.8843503031338697E-2</v>
      </c>
      <c r="AL44" s="53">
        <f ca="1">SUM($AH$44:$AK$44)</f>
        <v>-0.50939107912589077</v>
      </c>
      <c r="AM44" s="53">
        <f ca="1">SUMIF($L$4:$AL$4,"SUBTOTAL",$L$44:$AL$44)+AZ44</f>
        <v>-75.715722175762821</v>
      </c>
      <c r="AO44" s="76">
        <f ca="1">+'TUSD BE'!$T$44+'TUSD BE'!$AB$44+'TUSD BE'!$AD$44+'TUSD BE'!$AL$44</f>
        <v>381.55822195694333</v>
      </c>
      <c r="AP44" s="76">
        <f ca="1">+'TUSD BE'!$T$44+'TUSD BE'!$AB$44+'TUSD BE'!$AD$44+'TUSD BE'!$AL$44</f>
        <v>381.55822195694333</v>
      </c>
      <c r="AQ44" s="9" t="str">
        <f t="shared" si="0"/>
        <v>B2</v>
      </c>
      <c r="AR44" s="9" t="str">
        <f t="shared" si="1"/>
        <v>Convencional pré-pagamento</v>
      </c>
      <c r="AS44" s="9" t="str">
        <f t="shared" si="2"/>
        <v>Rural</v>
      </c>
      <c r="AT44" s="9" t="str">
        <f t="shared" si="3"/>
        <v>Cooperativa de eletrificação rural</v>
      </c>
      <c r="AU44" s="9" t="str">
        <f t="shared" si="4"/>
        <v>Não se aplica</v>
      </c>
      <c r="AV44" s="9">
        <f t="shared" si="5"/>
        <v>1</v>
      </c>
      <c r="AW44" s="9">
        <f ca="1">TarifaMedia!$G$20</f>
        <v>0</v>
      </c>
      <c r="AX44" s="15">
        <f ca="1">'TUSD BE'!$AM44+'TUSD BF'!$AM44+'TUSD CVA'!$AM44</f>
        <v>330.1561966420345</v>
      </c>
      <c r="AY44" s="9">
        <v>437.54</v>
      </c>
      <c r="AZ44" s="9">
        <f t="shared" ca="1" si="6"/>
        <v>0</v>
      </c>
      <c r="BC44" s="50" t="s">
        <v>1204</v>
      </c>
    </row>
    <row r="45" spans="1:55" ht="11.25" customHeight="1" x14ac:dyDescent="0.25">
      <c r="A45" s="131"/>
      <c r="B45" s="131"/>
      <c r="C45" s="131"/>
      <c r="D45" s="73" t="s">
        <v>97</v>
      </c>
      <c r="E45" s="73" t="s">
        <v>25</v>
      </c>
      <c r="F45" s="73" t="s">
        <v>25</v>
      </c>
      <c r="G45" s="74" t="s">
        <v>86</v>
      </c>
      <c r="H45" s="74" t="s">
        <v>82</v>
      </c>
      <c r="I45" s="74">
        <f>'MERCADO TUSD'!$U$42</f>
        <v>0</v>
      </c>
      <c r="J45" s="15"/>
      <c r="L45" s="53">
        <f>'TUSD BE'!$L$45*'TUSD BE'!$L$59</f>
        <v>-0.4232675743487378</v>
      </c>
      <c r="M45" s="53">
        <f>'TUSD BE'!$M$45*'TUSD BE'!$M$59</f>
        <v>-5.6107009911459463E-2</v>
      </c>
      <c r="N45" s="53">
        <f ca="1">'TUSD BE'!$N$45*'TUSD BE'!$N$59</f>
        <v>2.8239002788186737E-11</v>
      </c>
      <c r="O45" s="53">
        <f>'TUSD BE'!$O$45*'TUSD BE'!$O$59</f>
        <v>0</v>
      </c>
      <c r="P45" s="53">
        <f>'TUSD BE'!$P$45*'TUSD BE'!$P$59</f>
        <v>0</v>
      </c>
      <c r="Q45" s="53">
        <f>'TUSD BE'!$Q$45*'TUSD BE'!$Q$59</f>
        <v>1.3282946463723817</v>
      </c>
      <c r="R45" s="53">
        <f>'TUSD BE'!$R$45*'TUSD BE'!$R$59</f>
        <v>-1.3656761373948416</v>
      </c>
      <c r="S45" s="53">
        <f>'TUSD BE'!$R$45*'TUSD BE'!$S$59</f>
        <v>0</v>
      </c>
      <c r="T45" s="53">
        <f ca="1">SUM($L$45:$S$45)</f>
        <v>-0.51675607525441813</v>
      </c>
      <c r="U45" s="53">
        <f>'TUSD BE'!$U$45*'TUSD BE'!$U$59</f>
        <v>-1.6369692544243668</v>
      </c>
      <c r="V45" s="53">
        <f>'TUSD BE'!$V$45*'TUSD BE'!$V$59</f>
        <v>0.28674293891276859</v>
      </c>
      <c r="W45" s="53">
        <f>'TUSD BE'!$W$45*'TUSD BE'!$W$59</f>
        <v>-0.58215591390232568</v>
      </c>
      <c r="X45" s="53">
        <f>'TUSD BE'!$X$45*'TUSD BE'!$X$59</f>
        <v>0</v>
      </c>
      <c r="Y45" s="53">
        <f>'TUSD BE'!$Y$45*'TUSD BE'!$Y$59</f>
        <v>0</v>
      </c>
      <c r="Z45" s="53">
        <f>'TUSD BE'!$Z$45*'TUSD BE'!$Z$59</f>
        <v>0</v>
      </c>
      <c r="AA45" s="53">
        <f>'TUSD BE'!$AA$45*'TUSD BE'!$AA$59</f>
        <v>0</v>
      </c>
      <c r="AB45" s="53">
        <f>SUM($U$45:$AA$45)</f>
        <v>-1.9323822294139239</v>
      </c>
      <c r="AC45" s="53">
        <f>'TUSD BE'!$AC$45*'TUSD BE'!$AC$59</f>
        <v>-1.4970628689758352</v>
      </c>
      <c r="AD45" s="53">
        <f>SUM($AC$45:$AC$45)</f>
        <v>-1.4970628689758352</v>
      </c>
      <c r="AE45" s="53">
        <f ca="1">$AO$45*$AO$56</f>
        <v>-71.260129922992746</v>
      </c>
      <c r="AF45" s="53">
        <f ca="1">$AP$45*$AP$56</f>
        <v>0</v>
      </c>
      <c r="AG45" s="53">
        <f ca="1">SUM($AE$45:$AF$45)</f>
        <v>-71.260129922992746</v>
      </c>
      <c r="AH45" s="53">
        <f>'TUSD BE'!$AH$45*'TUSD BE'!$AH$59</f>
        <v>-0.44707847611599749</v>
      </c>
      <c r="AI45" s="53">
        <f>'TUSD BE'!$AI$45*'TUSD BE'!$AI$59</f>
        <v>-1.5333099014231768E-2</v>
      </c>
      <c r="AJ45" s="53">
        <f ca="1">'TUSD BE'!$AJ$45*'TUSD BE'!$AJ$59</f>
        <v>-6.5823007027000266E-2</v>
      </c>
      <c r="AK45" s="53">
        <f ca="1">'TUSD BE'!$AK$45*'TUSD BE'!$AK$59</f>
        <v>1.8843503031338697E-2</v>
      </c>
      <c r="AL45" s="53">
        <f ca="1">SUM($AH$45:$AK$45)</f>
        <v>-0.50939107912589077</v>
      </c>
      <c r="AM45" s="53">
        <f ca="1">SUMIF($L$4:$AL$4,"SUBTOTAL",$L$45:$AL$45)+AZ45</f>
        <v>-75.715722175762821</v>
      </c>
      <c r="AO45" s="76">
        <f ca="1">+'TUSD BE'!$T$45+'TUSD BE'!$AB$45+'TUSD BE'!$AD$45+'TUSD BE'!$AL$45</f>
        <v>381.55822195694333</v>
      </c>
      <c r="AP45" s="76">
        <f ca="1">+'TUSD BE'!$T$45+'TUSD BE'!$AB$45+'TUSD BE'!$AD$45+'TUSD BE'!$AL$45</f>
        <v>381.55822195694333</v>
      </c>
      <c r="AQ45" s="9" t="str">
        <f t="shared" si="0"/>
        <v>B2</v>
      </c>
      <c r="AR45" s="9" t="str">
        <f t="shared" si="1"/>
        <v>Convencional pré-pagamento</v>
      </c>
      <c r="AS45" s="9" t="str">
        <f t="shared" si="2"/>
        <v>Rural</v>
      </c>
      <c r="AT45" s="9" t="str">
        <f t="shared" si="3"/>
        <v>Serviço público de irrigação rural</v>
      </c>
      <c r="AU45" s="9" t="str">
        <f t="shared" si="4"/>
        <v>Não se aplica</v>
      </c>
      <c r="AV45" s="9">
        <f t="shared" si="5"/>
        <v>1</v>
      </c>
      <c r="AW45" s="9">
        <f ca="1">TarifaMedia!$G$20</f>
        <v>0</v>
      </c>
      <c r="AX45" s="15">
        <f ca="1">'TUSD BE'!$AM45+'TUSD BF'!$AM45+'TUSD CVA'!$AM45</f>
        <v>330.1561966420345</v>
      </c>
      <c r="AY45" s="9">
        <v>437.54</v>
      </c>
      <c r="AZ45" s="9">
        <f t="shared" ca="1" si="6"/>
        <v>0</v>
      </c>
      <c r="BC45" s="50" t="s">
        <v>1204</v>
      </c>
    </row>
    <row r="46" spans="1:55" ht="11.25" customHeight="1" x14ac:dyDescent="0.25">
      <c r="A46" s="131" t="s">
        <v>36</v>
      </c>
      <c r="B46" s="131" t="s">
        <v>32</v>
      </c>
      <c r="C46" s="131" t="s">
        <v>25</v>
      </c>
      <c r="D46" s="131" t="s">
        <v>25</v>
      </c>
      <c r="E46" s="131" t="s">
        <v>25</v>
      </c>
      <c r="F46" s="131" t="s">
        <v>25</v>
      </c>
      <c r="G46" s="74" t="s">
        <v>83</v>
      </c>
      <c r="H46" s="74" t="s">
        <v>82</v>
      </c>
      <c r="I46" s="74">
        <f>'MERCADO TUSD'!$U$43</f>
        <v>20.471999999999998</v>
      </c>
      <c r="J46" s="15"/>
      <c r="L46" s="53">
        <f>'TUSD BE'!$L$46*'TUSD BE'!$L$59</f>
        <v>-0.4232675743487378</v>
      </c>
      <c r="M46" s="53">
        <f>'TUSD BE'!$M$46*'TUSD BE'!$M$59</f>
        <v>-5.6107009911459463E-2</v>
      </c>
      <c r="N46" s="53">
        <f ca="1">'TUSD BE'!$N$46*'TUSD BE'!$N$59</f>
        <v>1.1600423553470995E-10</v>
      </c>
      <c r="O46" s="53">
        <f>'TUSD BE'!$O$46*'TUSD BE'!$O$59</f>
        <v>0</v>
      </c>
      <c r="P46" s="53">
        <f>'TUSD BE'!$P$46*'TUSD BE'!$P$59</f>
        <v>0</v>
      </c>
      <c r="Q46" s="53">
        <f>'TUSD BE'!$Q$46*'TUSD BE'!$Q$59</f>
        <v>1.3282946463723817</v>
      </c>
      <c r="R46" s="53">
        <f>'TUSD BE'!$R$46*'TUSD BE'!$R$59</f>
        <v>-1.3656761373948416</v>
      </c>
      <c r="S46" s="53">
        <f>'TUSD BE'!$R$46*'TUSD BE'!$S$59</f>
        <v>0</v>
      </c>
      <c r="T46" s="53">
        <f ca="1">SUM($L$46:$S$46)</f>
        <v>-0.5167560751666529</v>
      </c>
      <c r="U46" s="53">
        <f>'TUSD BE'!$U$46*'TUSD BE'!$U$59</f>
        <v>-7.8574488161832843</v>
      </c>
      <c r="V46" s="53">
        <f>'TUSD BE'!$V$46*'TUSD BE'!$V$59</f>
        <v>1.3763687123509294</v>
      </c>
      <c r="W46" s="53">
        <f>'TUSD BE'!$W$46*'TUSD BE'!$W$59</f>
        <v>-2.7943450117349236</v>
      </c>
      <c r="X46" s="53">
        <f>'TUSD BE'!$X$46*'TUSD BE'!$X$59</f>
        <v>0</v>
      </c>
      <c r="Y46" s="53">
        <f>'TUSD BE'!$Y$46*'TUSD BE'!$Y$59</f>
        <v>0</v>
      </c>
      <c r="Z46" s="53">
        <f>'TUSD BE'!$Z$46*'TUSD BE'!$Z$59</f>
        <v>0</v>
      </c>
      <c r="AA46" s="53">
        <f>'TUSD BE'!$AA$46*'TUSD BE'!$AA$59</f>
        <v>0</v>
      </c>
      <c r="AB46" s="53">
        <f>SUM($U$46:$AA$46)</f>
        <v>-9.2754251155672787</v>
      </c>
      <c r="AC46" s="53">
        <f>'TUSD BE'!$AC$46*'TUSD BE'!$AC$59</f>
        <v>-7.1859017710840085</v>
      </c>
      <c r="AD46" s="53">
        <f>SUM($AC$46:$AC$46)</f>
        <v>-7.1859017710840085</v>
      </c>
      <c r="AE46" s="53">
        <f ca="1">$AO$46*$AO$56</f>
        <v>-250.67923605716982</v>
      </c>
      <c r="AF46" s="53">
        <f ca="1">$AP$46*$AP$56</f>
        <v>0</v>
      </c>
      <c r="AG46" s="53">
        <f ca="1">SUM($AE$46:$AF$46)</f>
        <v>-250.67923605716982</v>
      </c>
      <c r="AH46" s="53">
        <f>'TUSD BE'!$AH$46*'TUSD BE'!$AH$59</f>
        <v>-0.44707847611599749</v>
      </c>
      <c r="AI46" s="53">
        <f>'TUSD BE'!$AI$46*'TUSD BE'!$AI$59</f>
        <v>-1.5333099014231768E-2</v>
      </c>
      <c r="AJ46" s="53">
        <f ca="1">'TUSD BE'!$AJ$46*'TUSD BE'!$AJ$59</f>
        <v>-6.5823007027000266E-2</v>
      </c>
      <c r="AK46" s="53">
        <f ca="1">'TUSD BE'!$AK$46*'TUSD BE'!$AK$59</f>
        <v>1.8843503031338697E-2</v>
      </c>
      <c r="AL46" s="53">
        <f ca="1">SUM($AH$46:$AK$46)</f>
        <v>-0.50939107912589077</v>
      </c>
      <c r="AM46" s="53">
        <f ca="1">SUMIF($L$4:$AL$4,"SUBTOTAL",$L$46:$AL$46)+AZ46</f>
        <v>-268.1667100981137</v>
      </c>
      <c r="AO46" s="76">
        <f ca="1">+'TUSD BE'!$T$46+'TUSD BE'!$AB$46+'TUSD BE'!$AD$46+'TUSD BE'!$AL$46</f>
        <v>1342.24739268454</v>
      </c>
      <c r="AP46" s="76">
        <f ca="1">+'TUSD BE'!$T$46+'TUSD BE'!$AB$46+'TUSD BE'!$AD$46+'TUSD BE'!$AL$46</f>
        <v>1342.24739268454</v>
      </c>
      <c r="AQ46" s="9" t="str">
        <f t="shared" si="0"/>
        <v>B3</v>
      </c>
      <c r="AR46" s="9" t="str">
        <f t="shared" si="1"/>
        <v>Branca</v>
      </c>
      <c r="AS46" s="9" t="str">
        <f t="shared" si="2"/>
        <v>Não se aplica</v>
      </c>
      <c r="AT46" s="9" t="str">
        <f t="shared" si="3"/>
        <v>Não se aplica</v>
      </c>
      <c r="AU46" s="9" t="str">
        <f t="shared" si="4"/>
        <v>Não se aplica</v>
      </c>
      <c r="AV46" s="9">
        <f t="shared" si="5"/>
        <v>1</v>
      </c>
      <c r="AW46" s="9">
        <f ca="1">TarifaMedia!$G$20</f>
        <v>0</v>
      </c>
      <c r="AX46" s="15">
        <f ca="1">'TUSD BE'!$AM46+'TUSD BF'!$AM46+'TUSD CVA'!$AM46</f>
        <v>1111.2627392273312</v>
      </c>
      <c r="AY46" s="9">
        <v>1015.56</v>
      </c>
      <c r="AZ46" s="9">
        <f t="shared" ca="1" si="6"/>
        <v>0</v>
      </c>
      <c r="BC46" s="50" t="s">
        <v>1211</v>
      </c>
    </row>
    <row r="47" spans="1:55" ht="11.25" customHeight="1" x14ac:dyDescent="0.25">
      <c r="A47" s="131"/>
      <c r="B47" s="131"/>
      <c r="C47" s="131"/>
      <c r="D47" s="131"/>
      <c r="E47" s="131"/>
      <c r="F47" s="131"/>
      <c r="G47" s="74" t="s">
        <v>93</v>
      </c>
      <c r="H47" s="74" t="s">
        <v>82</v>
      </c>
      <c r="I47" s="74">
        <f>'MERCADO TUSD'!$U$44</f>
        <v>16.687999999999999</v>
      </c>
      <c r="J47" s="15"/>
      <c r="L47" s="53">
        <f>'TUSD BE'!$L$47*'TUSD BE'!$L$59</f>
        <v>-0.4232675743487378</v>
      </c>
      <c r="M47" s="53">
        <f>'TUSD BE'!$M$47*'TUSD BE'!$M$59</f>
        <v>-5.6107009911459463E-2</v>
      </c>
      <c r="N47" s="53">
        <f ca="1">'TUSD BE'!$N$47*'TUSD BE'!$N$59</f>
        <v>3.8401295683190584E-11</v>
      </c>
      <c r="O47" s="53">
        <f>'TUSD BE'!$O$47*'TUSD BE'!$O$59</f>
        <v>0</v>
      </c>
      <c r="P47" s="53">
        <f>'TUSD BE'!$P$47*'TUSD BE'!$P$59</f>
        <v>0</v>
      </c>
      <c r="Q47" s="53">
        <f>'TUSD BE'!$Q$47*'TUSD BE'!$Q$59</f>
        <v>1.3282946463723817</v>
      </c>
      <c r="R47" s="53">
        <f>'TUSD BE'!$R$47*'TUSD BE'!$R$59</f>
        <v>-1.3656761373948416</v>
      </c>
      <c r="S47" s="53">
        <f>'TUSD BE'!$R$47*'TUSD BE'!$S$59</f>
        <v>0</v>
      </c>
      <c r="T47" s="53">
        <f ca="1">SUM($L$47:$S$47)</f>
        <v>-0.51675607524425593</v>
      </c>
      <c r="U47" s="53">
        <f>'TUSD BE'!$U$47*'TUSD BE'!$U$59</f>
        <v>-2.3572364473818239</v>
      </c>
      <c r="V47" s="53">
        <f>'TUSD BE'!$V$47*'TUSD BE'!$V$59</f>
        <v>0.41290983203438669</v>
      </c>
      <c r="W47" s="53">
        <f>'TUSD BE'!$W$47*'TUSD BE'!$W$59</f>
        <v>-0.83830406601985041</v>
      </c>
      <c r="X47" s="53">
        <f>'TUSD BE'!$X$47*'TUSD BE'!$X$59</f>
        <v>0</v>
      </c>
      <c r="Y47" s="53">
        <f>'TUSD BE'!$Y$47*'TUSD BE'!$Y$59</f>
        <v>0</v>
      </c>
      <c r="Z47" s="53">
        <f>'TUSD BE'!$Z$47*'TUSD BE'!$Z$59</f>
        <v>0</v>
      </c>
      <c r="AA47" s="53">
        <f>'TUSD BE'!$AA$47*'TUSD BE'!$AA$59</f>
        <v>0</v>
      </c>
      <c r="AB47" s="53">
        <f>SUM($U$47:$AA$47)</f>
        <v>-2.7826306813672876</v>
      </c>
      <c r="AC47" s="53">
        <f>'TUSD BE'!$AC$47*'TUSD BE'!$AC$59</f>
        <v>-2.1557706859648817</v>
      </c>
      <c r="AD47" s="53">
        <f>SUM($AC$47:$AC$47)</f>
        <v>-2.1557706859648817</v>
      </c>
      <c r="AE47" s="53">
        <f ca="1">$AO$47*$AO$56</f>
        <v>-92.034979471229704</v>
      </c>
      <c r="AF47" s="53">
        <f ca="1">$AP$47*$AP$56</f>
        <v>0</v>
      </c>
      <c r="AG47" s="53">
        <f ca="1">SUM($AE$47:$AF$47)</f>
        <v>-92.034979471229704</v>
      </c>
      <c r="AH47" s="53">
        <f>'TUSD BE'!$AH$47*'TUSD BE'!$AH$59</f>
        <v>-0.44707847611599749</v>
      </c>
      <c r="AI47" s="53">
        <f>'TUSD BE'!$AI$47*'TUSD BE'!$AI$59</f>
        <v>-1.5333099014231768E-2</v>
      </c>
      <c r="AJ47" s="53">
        <f ca="1">'TUSD BE'!$AJ$47*'TUSD BE'!$AJ$59</f>
        <v>-6.5823007027000266E-2</v>
      </c>
      <c r="AK47" s="53">
        <f ca="1">'TUSD BE'!$AK$47*'TUSD BE'!$AK$59</f>
        <v>1.8843503031338697E-2</v>
      </c>
      <c r="AL47" s="53">
        <f ca="1">SUM($AH$47:$AK$47)</f>
        <v>-0.50939107912589077</v>
      </c>
      <c r="AM47" s="53">
        <f ca="1">SUMIF($L$4:$AL$4,"SUBTOTAL",$L$47:$AL$47)+AZ47</f>
        <v>-97.999527992932016</v>
      </c>
      <c r="AO47" s="76">
        <f ca="1">+'TUSD BE'!$T$47+'TUSD BE'!$AB$47+'TUSD BE'!$AD$47+'TUSD BE'!$AL$47</f>
        <v>492.79594582321204</v>
      </c>
      <c r="AP47" s="76">
        <f ca="1">+'TUSD BE'!$T$47+'TUSD BE'!$AB$47+'TUSD BE'!$AD$47+'TUSD BE'!$AL$47</f>
        <v>492.79594582321204</v>
      </c>
      <c r="AQ47" s="9" t="str">
        <f t="shared" si="0"/>
        <v>B3</v>
      </c>
      <c r="AR47" s="9" t="str">
        <f t="shared" si="1"/>
        <v>Branca</v>
      </c>
      <c r="AS47" s="9" t="str">
        <f t="shared" si="2"/>
        <v>Não se aplica</v>
      </c>
      <c r="AT47" s="9" t="str">
        <f t="shared" si="3"/>
        <v>Não se aplica</v>
      </c>
      <c r="AU47" s="9" t="str">
        <f t="shared" si="4"/>
        <v>Não se aplica</v>
      </c>
      <c r="AV47" s="9">
        <f t="shared" si="5"/>
        <v>1</v>
      </c>
      <c r="AW47" s="9">
        <f ca="1">TarifaMedia!$G$20</f>
        <v>0</v>
      </c>
      <c r="AX47" s="15">
        <f ca="1">'TUSD BE'!$AM47+'TUSD BF'!$AM47+'TUSD CVA'!$AM47</f>
        <v>420.60013627588546</v>
      </c>
      <c r="AY47" s="9">
        <v>668.75</v>
      </c>
      <c r="AZ47" s="9">
        <f t="shared" ca="1" si="6"/>
        <v>0</v>
      </c>
      <c r="BC47" s="50" t="s">
        <v>1212</v>
      </c>
    </row>
    <row r="48" spans="1:55" ht="11.25" customHeight="1" x14ac:dyDescent="0.25">
      <c r="A48" s="131"/>
      <c r="B48" s="131"/>
      <c r="C48" s="131"/>
      <c r="D48" s="131"/>
      <c r="E48" s="131"/>
      <c r="F48" s="131"/>
      <c r="G48" s="74" t="s">
        <v>84</v>
      </c>
      <c r="H48" s="74" t="s">
        <v>82</v>
      </c>
      <c r="I48" s="74">
        <f>'MERCADO TUSD'!$U$45</f>
        <v>216.36699999999999</v>
      </c>
      <c r="J48" s="15"/>
      <c r="L48" s="53">
        <f>'TUSD BE'!$L$48*'TUSD BE'!$L$59</f>
        <v>-0.4232675743487378</v>
      </c>
      <c r="M48" s="53">
        <f>'TUSD BE'!$M$48*'TUSD BE'!$M$59</f>
        <v>-5.6107009911459463E-2</v>
      </c>
      <c r="N48" s="53">
        <f ca="1">'TUSD BE'!$N$48*'TUSD BE'!$N$59</f>
        <v>1.6229025893167865E-11</v>
      </c>
      <c r="O48" s="53">
        <f>'TUSD BE'!$O$48*'TUSD BE'!$O$59</f>
        <v>0</v>
      </c>
      <c r="P48" s="53">
        <f>'TUSD BE'!$P$48*'TUSD BE'!$P$59</f>
        <v>0</v>
      </c>
      <c r="Q48" s="53">
        <f>'TUSD BE'!$Q$48*'TUSD BE'!$Q$59</f>
        <v>1.3282946463723817</v>
      </c>
      <c r="R48" s="53">
        <f>'TUSD BE'!$R$48*'TUSD BE'!$R$59</f>
        <v>-1.3656761373948416</v>
      </c>
      <c r="S48" s="53">
        <f>'TUSD BE'!$R$48*'TUSD BE'!$S$59</f>
        <v>0</v>
      </c>
      <c r="T48" s="53">
        <f ca="1">SUM($L$48:$S$48)</f>
        <v>-0.51675607526642819</v>
      </c>
      <c r="U48" s="53">
        <f>'TUSD BE'!$U$48*'TUSD BE'!$U$59</f>
        <v>-0.78574398035490944</v>
      </c>
      <c r="V48" s="53">
        <f>'TUSD BE'!$V$48*'TUSD BE'!$V$59</f>
        <v>0.13763661067812891</v>
      </c>
      <c r="W48" s="53">
        <f>'TUSD BE'!$W$48*'TUSD BE'!$W$59</f>
        <v>-0.27943562617223894</v>
      </c>
      <c r="X48" s="53">
        <f>'TUSD BE'!$X$48*'TUSD BE'!$X$59</f>
        <v>0</v>
      </c>
      <c r="Y48" s="53">
        <f>'TUSD BE'!$Y$48*'TUSD BE'!$Y$59</f>
        <v>0</v>
      </c>
      <c r="Z48" s="53">
        <f>'TUSD BE'!$Z$48*'TUSD BE'!$Z$59</f>
        <v>0</v>
      </c>
      <c r="AA48" s="53">
        <f>'TUSD BE'!$AA$48*'TUSD BE'!$AA$59</f>
        <v>0</v>
      </c>
      <c r="AB48" s="53">
        <f>SUM($U$48:$AA$48)</f>
        <v>-0.92754299584901945</v>
      </c>
      <c r="AC48" s="53">
        <f>'TUSD BE'!$AC$48*'TUSD BE'!$AC$59</f>
        <v>-0.71859048638775935</v>
      </c>
      <c r="AD48" s="53">
        <f>SUM($AC$48:$AC$48)</f>
        <v>-0.71859048638775935</v>
      </c>
      <c r="AE48" s="53">
        <f ca="1">$AO$48*$AO$56</f>
        <v>-46.708046569273499</v>
      </c>
      <c r="AF48" s="53">
        <f ca="1">$AP$48*$AP$56</f>
        <v>0</v>
      </c>
      <c r="AG48" s="53">
        <f ca="1">SUM($AE$48:$AF$48)</f>
        <v>-46.708046569273499</v>
      </c>
      <c r="AH48" s="53">
        <f>'TUSD BE'!$AH$48*'TUSD BE'!$AH$59</f>
        <v>-0.44707847611599749</v>
      </c>
      <c r="AI48" s="53">
        <f>'TUSD BE'!$AI$48*'TUSD BE'!$AI$59</f>
        <v>-1.5333099014231768E-2</v>
      </c>
      <c r="AJ48" s="53">
        <f ca="1">'TUSD BE'!$AJ$48*'TUSD BE'!$AJ$59</f>
        <v>-6.5823007027000266E-2</v>
      </c>
      <c r="AK48" s="53">
        <f ca="1">'TUSD BE'!$AK$48*'TUSD BE'!$AK$59</f>
        <v>1.8843503031338697E-2</v>
      </c>
      <c r="AL48" s="53">
        <f ca="1">SUM($AH$48:$AK$48)</f>
        <v>-0.50939107912589077</v>
      </c>
      <c r="AM48" s="53">
        <f ca="1">SUMIF($L$4:$AL$4,"SUBTOTAL",$L$48:$AL$48)+AZ48</f>
        <v>-49.380327205902596</v>
      </c>
      <c r="AO48" s="76">
        <f ca="1">+'TUSD BE'!$T$48+'TUSD BE'!$AB$48+'TUSD BE'!$AD$48+'TUSD BE'!$AL$48</f>
        <v>250.09551932214086</v>
      </c>
      <c r="AP48" s="76">
        <f ca="1">+'TUSD BE'!$T$48+'TUSD BE'!$AB$48+'TUSD BE'!$AD$48+'TUSD BE'!$AL$48</f>
        <v>250.09551932214086</v>
      </c>
      <c r="AQ48" s="9" t="str">
        <f t="shared" si="0"/>
        <v>B3</v>
      </c>
      <c r="AR48" s="9" t="str">
        <f t="shared" si="1"/>
        <v>Branca</v>
      </c>
      <c r="AS48" s="9" t="str">
        <f t="shared" si="2"/>
        <v>Não se aplica</v>
      </c>
      <c r="AT48" s="9" t="str">
        <f t="shared" si="3"/>
        <v>Não se aplica</v>
      </c>
      <c r="AU48" s="9" t="str">
        <f t="shared" si="4"/>
        <v>Não se aplica</v>
      </c>
      <c r="AV48" s="9">
        <f t="shared" si="5"/>
        <v>1</v>
      </c>
      <c r="AW48" s="9">
        <f ca="1">TarifaMedia!$G$20</f>
        <v>0</v>
      </c>
      <c r="AX48" s="15">
        <f ca="1">'TUSD BE'!$AM48+'TUSD BF'!$AM48+'TUSD CVA'!$AM48</f>
        <v>223.26795372656312</v>
      </c>
      <c r="AY48" s="9">
        <v>321.94</v>
      </c>
      <c r="AZ48" s="9">
        <f t="shared" ca="1" si="6"/>
        <v>0</v>
      </c>
      <c r="BC48" s="50" t="s">
        <v>1213</v>
      </c>
    </row>
    <row r="49" spans="1:55" ht="11.25" customHeight="1" x14ac:dyDescent="0.25">
      <c r="A49" s="131"/>
      <c r="B49" s="73" t="s">
        <v>23</v>
      </c>
      <c r="C49" s="73" t="s">
        <v>25</v>
      </c>
      <c r="D49" s="73" t="s">
        <v>25</v>
      </c>
      <c r="E49" s="73" t="s">
        <v>25</v>
      </c>
      <c r="F49" s="73" t="s">
        <v>25</v>
      </c>
      <c r="G49" s="74" t="s">
        <v>86</v>
      </c>
      <c r="H49" s="74" t="s">
        <v>82</v>
      </c>
      <c r="I49" s="74">
        <f>'MERCADO TUSD'!$U$46</f>
        <v>26125.533000000003</v>
      </c>
      <c r="J49" s="15"/>
      <c r="L49" s="53">
        <f>'TUSD BE'!$L$49*'TUSD BE'!$L$59</f>
        <v>-0.4232675743487378</v>
      </c>
      <c r="M49" s="53">
        <f>'TUSD BE'!$M$49*'TUSD BE'!$M$59</f>
        <v>-5.6107009911459463E-2</v>
      </c>
      <c r="N49" s="53">
        <f ca="1">'TUSD BE'!$N$49*'TUSD BE'!$N$59</f>
        <v>2.8239002788186737E-11</v>
      </c>
      <c r="O49" s="53">
        <f>'TUSD BE'!$O$49*'TUSD BE'!$O$59</f>
        <v>0</v>
      </c>
      <c r="P49" s="53">
        <f>'TUSD BE'!$P$49*'TUSD BE'!$P$59</f>
        <v>0</v>
      </c>
      <c r="Q49" s="53">
        <f>'TUSD BE'!$Q$49*'TUSD BE'!$Q$59</f>
        <v>1.3282946463723817</v>
      </c>
      <c r="R49" s="53">
        <f>'TUSD BE'!$R$49*'TUSD BE'!$R$59</f>
        <v>-1.3656761373948416</v>
      </c>
      <c r="S49" s="53">
        <f>'TUSD BE'!$R$49*'TUSD BE'!$S$59</f>
        <v>0</v>
      </c>
      <c r="T49" s="53">
        <f ca="1">SUM($L$49:$S$49)</f>
        <v>-0.51675607525441813</v>
      </c>
      <c r="U49" s="53">
        <f>'TUSD BE'!$U$49*'TUSD BE'!$U$59</f>
        <v>-1.6369692544243668</v>
      </c>
      <c r="V49" s="53">
        <f>'TUSD BE'!$V$49*'TUSD BE'!$V$59</f>
        <v>0.28674293891276859</v>
      </c>
      <c r="W49" s="53">
        <f>'TUSD BE'!$W$49*'TUSD BE'!$W$59</f>
        <v>-0.58215591390232568</v>
      </c>
      <c r="X49" s="53">
        <f>'TUSD BE'!$X$49*'TUSD BE'!$X$59</f>
        <v>0</v>
      </c>
      <c r="Y49" s="53">
        <f>'TUSD BE'!$Y$49*'TUSD BE'!$Y$59</f>
        <v>0</v>
      </c>
      <c r="Z49" s="53">
        <f>'TUSD BE'!$Z$49*'TUSD BE'!$Z$59</f>
        <v>0</v>
      </c>
      <c r="AA49" s="53">
        <f>'TUSD BE'!$AA$49*'TUSD BE'!$AA$59</f>
        <v>0</v>
      </c>
      <c r="AB49" s="53">
        <f>SUM($U$49:$AA$49)</f>
        <v>-1.9323822294139239</v>
      </c>
      <c r="AC49" s="53">
        <f>'TUSD BE'!$AC$49*'TUSD BE'!$AC$59</f>
        <v>-1.4970628689758352</v>
      </c>
      <c r="AD49" s="53">
        <f>SUM($AC$49:$AC$49)</f>
        <v>-1.4970628689758352</v>
      </c>
      <c r="AE49" s="53">
        <f ca="1">$AO$49*$AO$56</f>
        <v>-71.260129922992746</v>
      </c>
      <c r="AF49" s="53">
        <f ca="1">$AP$49*$AP$56</f>
        <v>0</v>
      </c>
      <c r="AG49" s="53">
        <f ca="1">SUM($AE$49:$AF$49)</f>
        <v>-71.260129922992746</v>
      </c>
      <c r="AH49" s="53">
        <f>'TUSD BE'!$AH$49*'TUSD BE'!$AH$59</f>
        <v>-0.44707847611599749</v>
      </c>
      <c r="AI49" s="53">
        <f>'TUSD BE'!$AI$49*'TUSD BE'!$AI$59</f>
        <v>-1.5333099014231768E-2</v>
      </c>
      <c r="AJ49" s="53">
        <f ca="1">'TUSD BE'!$AJ$49*'TUSD BE'!$AJ$59</f>
        <v>-6.5823007027000266E-2</v>
      </c>
      <c r="AK49" s="53">
        <f ca="1">'TUSD BE'!$AK$49*'TUSD BE'!$AK$59</f>
        <v>1.8843503031338697E-2</v>
      </c>
      <c r="AL49" s="53">
        <f ca="1">SUM($AH$49:$AK$49)</f>
        <v>-0.50939107912589077</v>
      </c>
      <c r="AM49" s="53">
        <f ca="1">SUMIF($L$4:$AL$4,"SUBTOTAL",$L$49:$AL$49)+AZ49</f>
        <v>-75.715722175762821</v>
      </c>
      <c r="AO49" s="76">
        <f ca="1">+'TUSD BE'!$T$49+'TUSD BE'!$AB$49+'TUSD BE'!$AD$49+'TUSD BE'!$AL$49</f>
        <v>381.55822195694333</v>
      </c>
      <c r="AP49" s="76">
        <f ca="1">+'TUSD BE'!$T$49+'TUSD BE'!$AB$49+'TUSD BE'!$AD$49+'TUSD BE'!$AL$49</f>
        <v>381.55822195694333</v>
      </c>
      <c r="AQ49" s="9" t="str">
        <f t="shared" si="0"/>
        <v>B3</v>
      </c>
      <c r="AR49" s="9" t="str">
        <f t="shared" si="1"/>
        <v>Convencional</v>
      </c>
      <c r="AS49" s="9" t="str">
        <f t="shared" si="2"/>
        <v>Não se aplica</v>
      </c>
      <c r="AT49" s="9" t="str">
        <f t="shared" si="3"/>
        <v>Não se aplica</v>
      </c>
      <c r="AU49" s="9" t="str">
        <f t="shared" si="4"/>
        <v>Não se aplica</v>
      </c>
      <c r="AV49" s="9">
        <f t="shared" si="5"/>
        <v>1</v>
      </c>
      <c r="AW49" s="9">
        <f ca="1">TarifaMedia!$G$20</f>
        <v>0</v>
      </c>
      <c r="AX49" s="15">
        <f ca="1">'TUSD BE'!$AM49+'TUSD BF'!$AM49+'TUSD CVA'!$AM49</f>
        <v>330.1561966420345</v>
      </c>
      <c r="AY49" s="9">
        <v>437.54</v>
      </c>
      <c r="AZ49" s="9">
        <f t="shared" ca="1" si="6"/>
        <v>0</v>
      </c>
      <c r="BC49" s="50" t="s">
        <v>1214</v>
      </c>
    </row>
    <row r="50" spans="1:55" ht="11.25" customHeight="1" x14ac:dyDescent="0.25">
      <c r="A50" s="131"/>
      <c r="B50" s="73" t="s">
        <v>95</v>
      </c>
      <c r="C50" s="73" t="s">
        <v>25</v>
      </c>
      <c r="D50" s="73" t="s">
        <v>25</v>
      </c>
      <c r="E50" s="73" t="s">
        <v>25</v>
      </c>
      <c r="F50" s="73" t="s">
        <v>25</v>
      </c>
      <c r="G50" s="74" t="s">
        <v>86</v>
      </c>
      <c r="H50" s="74" t="s">
        <v>82</v>
      </c>
      <c r="I50" s="74">
        <f>'MERCADO TUSD'!$U$47</f>
        <v>0</v>
      </c>
      <c r="J50" s="15"/>
      <c r="L50" s="53">
        <f>'TUSD BE'!$L$50*'TUSD BE'!$L$59</f>
        <v>-0.4232675743487378</v>
      </c>
      <c r="M50" s="53">
        <f>'TUSD BE'!$M$50*'TUSD BE'!$M$59</f>
        <v>-5.6107009911459463E-2</v>
      </c>
      <c r="N50" s="53">
        <f ca="1">'TUSD BE'!$N$50*'TUSD BE'!$N$59</f>
        <v>2.8239002788186737E-11</v>
      </c>
      <c r="O50" s="53">
        <f>'TUSD BE'!$O$50*'TUSD BE'!$O$59</f>
        <v>0</v>
      </c>
      <c r="P50" s="53">
        <f>'TUSD BE'!$P$50*'TUSD BE'!$P$59</f>
        <v>0</v>
      </c>
      <c r="Q50" s="53">
        <f>'TUSD BE'!$Q$50*'TUSD BE'!$Q$59</f>
        <v>1.3282946463723817</v>
      </c>
      <c r="R50" s="53">
        <f>'TUSD BE'!$R$50*'TUSD BE'!$R$59</f>
        <v>-1.3656761373948416</v>
      </c>
      <c r="S50" s="53">
        <f>'TUSD BE'!$R$50*'TUSD BE'!$S$59</f>
        <v>0</v>
      </c>
      <c r="T50" s="53">
        <f ca="1">SUM($L$50:$S$50)</f>
        <v>-0.51675607525441813</v>
      </c>
      <c r="U50" s="53">
        <f>'TUSD BE'!$U$50*'TUSD BE'!$U$59</f>
        <v>-1.6369692544243668</v>
      </c>
      <c r="V50" s="53">
        <f>'TUSD BE'!$V$50*'TUSD BE'!$V$59</f>
        <v>0.28674293891276859</v>
      </c>
      <c r="W50" s="53">
        <f>'TUSD BE'!$W$50*'TUSD BE'!$W$59</f>
        <v>-0.58215591390232568</v>
      </c>
      <c r="X50" s="53">
        <f>'TUSD BE'!$X$50*'TUSD BE'!$X$59</f>
        <v>0</v>
      </c>
      <c r="Y50" s="53">
        <f>'TUSD BE'!$Y$50*'TUSD BE'!$Y$59</f>
        <v>0</v>
      </c>
      <c r="Z50" s="53">
        <f>'TUSD BE'!$Z$50*'TUSD BE'!$Z$59</f>
        <v>0</v>
      </c>
      <c r="AA50" s="53">
        <f>'TUSD BE'!$AA$50*'TUSD BE'!$AA$59</f>
        <v>0</v>
      </c>
      <c r="AB50" s="53">
        <f>SUM($U$50:$AA$50)</f>
        <v>-1.9323822294139239</v>
      </c>
      <c r="AC50" s="53">
        <f>'TUSD BE'!$AC$50*'TUSD BE'!$AC$59</f>
        <v>-1.4970628689758352</v>
      </c>
      <c r="AD50" s="53">
        <f>SUM($AC$50:$AC$50)</f>
        <v>-1.4970628689758352</v>
      </c>
      <c r="AE50" s="53">
        <f ca="1">$AO$50*$AO$56</f>
        <v>-71.260129922992746</v>
      </c>
      <c r="AF50" s="53">
        <f ca="1">$AP$50*$AP$56</f>
        <v>0</v>
      </c>
      <c r="AG50" s="53">
        <f ca="1">SUM($AE$50:$AF$50)</f>
        <v>-71.260129922992746</v>
      </c>
      <c r="AH50" s="53">
        <f>'TUSD BE'!$AH$50*'TUSD BE'!$AH$59</f>
        <v>-0.44707847611599749</v>
      </c>
      <c r="AI50" s="53">
        <f>'TUSD BE'!$AI$50*'TUSD BE'!$AI$59</f>
        <v>-1.5333099014231768E-2</v>
      </c>
      <c r="AJ50" s="53">
        <f ca="1">'TUSD BE'!$AJ$50*'TUSD BE'!$AJ$59</f>
        <v>-6.5823007027000266E-2</v>
      </c>
      <c r="AK50" s="53">
        <f ca="1">'TUSD BE'!$AK$50*'TUSD BE'!$AK$59</f>
        <v>1.8843503031338697E-2</v>
      </c>
      <c r="AL50" s="53">
        <f ca="1">SUM($AH$50:$AK$50)</f>
        <v>-0.50939107912589077</v>
      </c>
      <c r="AM50" s="53">
        <f ca="1">SUMIF($L$4:$AL$4,"SUBTOTAL",$L$50:$AL$50)+AZ50</f>
        <v>-75.715722175762821</v>
      </c>
      <c r="AO50" s="76">
        <f ca="1">+'TUSD BE'!$T$50+'TUSD BE'!$AB$50+'TUSD BE'!$AD$50+'TUSD BE'!$AL$50</f>
        <v>381.55822195694333</v>
      </c>
      <c r="AP50" s="76">
        <f ca="1">+'TUSD BE'!$T$50+'TUSD BE'!$AB$50+'TUSD BE'!$AD$50+'TUSD BE'!$AL$50</f>
        <v>381.55822195694333</v>
      </c>
      <c r="AQ50" s="9" t="str">
        <f t="shared" si="0"/>
        <v>B3</v>
      </c>
      <c r="AR50" s="9" t="str">
        <f t="shared" si="1"/>
        <v>Convencional pré-pagamento</v>
      </c>
      <c r="AS50" s="9" t="str">
        <f t="shared" si="2"/>
        <v>Não se aplica</v>
      </c>
      <c r="AT50" s="9" t="str">
        <f t="shared" si="3"/>
        <v>Não se aplica</v>
      </c>
      <c r="AU50" s="9" t="str">
        <f t="shared" si="4"/>
        <v>Não se aplica</v>
      </c>
      <c r="AV50" s="9">
        <f t="shared" si="5"/>
        <v>1</v>
      </c>
      <c r="AW50" s="9">
        <f ca="1">TarifaMedia!$G$20</f>
        <v>0</v>
      </c>
      <c r="AX50" s="15">
        <f ca="1">'TUSD BE'!$AM50+'TUSD BF'!$AM50+'TUSD CVA'!$AM50</f>
        <v>330.1561966420345</v>
      </c>
      <c r="AY50" s="9">
        <v>437.54</v>
      </c>
      <c r="AZ50" s="9">
        <f t="shared" ca="1" si="6"/>
        <v>0</v>
      </c>
      <c r="BC50" s="50" t="s">
        <v>1215</v>
      </c>
    </row>
    <row r="51" spans="1:55" ht="11.25" customHeight="1" x14ac:dyDescent="0.25">
      <c r="A51" s="131" t="s">
        <v>45</v>
      </c>
      <c r="B51" s="131" t="s">
        <v>23</v>
      </c>
      <c r="C51" s="131" t="s">
        <v>46</v>
      </c>
      <c r="D51" s="73" t="s">
        <v>47</v>
      </c>
      <c r="E51" s="73" t="s">
        <v>25</v>
      </c>
      <c r="F51" s="73" t="s">
        <v>25</v>
      </c>
      <c r="G51" s="74" t="s">
        <v>86</v>
      </c>
      <c r="H51" s="74" t="s">
        <v>82</v>
      </c>
      <c r="I51" s="74">
        <f>'MERCADO TUSD'!$U$48</f>
        <v>5474.732</v>
      </c>
      <c r="J51" s="15"/>
      <c r="L51" s="53">
        <f>'TUSD BE'!$L$51*'TUSD BE'!$L$59</f>
        <v>-0.2327971658918058</v>
      </c>
      <c r="M51" s="53">
        <f>'TUSD BE'!$M$51*'TUSD BE'!$M$59</f>
        <v>-3.0858855451302708E-2</v>
      </c>
      <c r="N51" s="53">
        <f ca="1">'TUSD BE'!$N$51*'TUSD BE'!$N$59</f>
        <v>1.5531451533502703E-11</v>
      </c>
      <c r="O51" s="53">
        <f>'TUSD BE'!$O$51*'TUSD BE'!$O$59</f>
        <v>0</v>
      </c>
      <c r="P51" s="53">
        <f>'TUSD BE'!$P$51*'TUSD BE'!$P$59</f>
        <v>0</v>
      </c>
      <c r="Q51" s="53">
        <f>'TUSD BE'!$Q$51*'TUSD BE'!$Q$59</f>
        <v>0.73056205550481002</v>
      </c>
      <c r="R51" s="53">
        <f>'TUSD BE'!$R$51*'TUSD BE'!$R$59</f>
        <v>-0.75112187556716303</v>
      </c>
      <c r="S51" s="53">
        <f>'TUSD BE'!$R$51*'TUSD BE'!$S$59</f>
        <v>0</v>
      </c>
      <c r="T51" s="53">
        <f ca="1">SUM($L$51:$S$51)</f>
        <v>-0.28421584138993006</v>
      </c>
      <c r="U51" s="53">
        <f>'TUSD BE'!$U$51*'TUSD BE'!$U$59</f>
        <v>-0.90033308993340189</v>
      </c>
      <c r="V51" s="53">
        <f>'TUSD BE'!$V$51*'TUSD BE'!$V$59</f>
        <v>0.15770861640202272</v>
      </c>
      <c r="W51" s="53">
        <f>'TUSD BE'!$W$51*'TUSD BE'!$W$59</f>
        <v>-0.32018575264627913</v>
      </c>
      <c r="X51" s="53">
        <f>'TUSD BE'!$X$51*'TUSD BE'!$X$59</f>
        <v>0</v>
      </c>
      <c r="Y51" s="53">
        <f>'TUSD BE'!$Y$51*'TUSD BE'!$Y$59</f>
        <v>0</v>
      </c>
      <c r="Z51" s="53">
        <f>'TUSD BE'!$Z$51*'TUSD BE'!$Z$59</f>
        <v>0</v>
      </c>
      <c r="AA51" s="53">
        <f>'TUSD BE'!$AA$51*'TUSD BE'!$AA$59</f>
        <v>0</v>
      </c>
      <c r="AB51" s="53">
        <f>SUM($U$51:$AA$51)</f>
        <v>-1.0628102261776582</v>
      </c>
      <c r="AC51" s="53">
        <f>'TUSD BE'!$AC$51*'TUSD BE'!$AC$59</f>
        <v>-0.82338457793670949</v>
      </c>
      <c r="AD51" s="53">
        <f>SUM($AC$51:$AC$51)</f>
        <v>-0.82338457793670949</v>
      </c>
      <c r="AE51" s="53">
        <f ca="1">$AO$51*$AO$56</f>
        <v>-39.193071457646013</v>
      </c>
      <c r="AF51" s="53">
        <f ca="1">$AP$51*$AP$56</f>
        <v>0</v>
      </c>
      <c r="AG51" s="53">
        <f ca="1">SUM($AE$51:$AF$51)</f>
        <v>-39.193071457646013</v>
      </c>
      <c r="AH51" s="53">
        <f>'TUSD BE'!$AH$51*'TUSD BE'!$AH$59</f>
        <v>-0.24589316186379864</v>
      </c>
      <c r="AI51" s="53">
        <f>'TUSD BE'!$AI$51*'TUSD BE'!$AI$59</f>
        <v>-8.4332044578274735E-3</v>
      </c>
      <c r="AJ51" s="53">
        <f ca="1">'TUSD BE'!$AJ$51*'TUSD BE'!$AJ$59</f>
        <v>-3.6202653864850151E-2</v>
      </c>
      <c r="AK51" s="53">
        <f ca="1">'TUSD BE'!$AK$51*'TUSD BE'!$AK$59</f>
        <v>1.0363926667236284E-2</v>
      </c>
      <c r="AL51" s="53">
        <f ca="1">SUM($AH$51:$AK$51)</f>
        <v>-0.28016509351924002</v>
      </c>
      <c r="AM51" s="53">
        <f ca="1">SUMIF($L$4:$AL$4,"SUBTOTAL",$L$51:$AL$51)+AZ51</f>
        <v>-41.643647196669548</v>
      </c>
      <c r="AO51" s="76">
        <f ca="1">+'TUSD BE'!$T$51+'TUSD BE'!$AB$51+'TUSD BE'!$AD$51+'TUSD BE'!$AL$51</f>
        <v>209.85702207631883</v>
      </c>
      <c r="AP51" s="76">
        <f ca="1">+'TUSD BE'!$T$51+'TUSD BE'!$AB$51+'TUSD BE'!$AD$51+'TUSD BE'!$AL$51</f>
        <v>209.85702207631883</v>
      </c>
      <c r="AQ51" s="9" t="str">
        <f t="shared" si="0"/>
        <v>B4</v>
      </c>
      <c r="AR51" s="9" t="str">
        <f t="shared" si="1"/>
        <v>Convencional</v>
      </c>
      <c r="AS51" s="9" t="str">
        <f t="shared" si="2"/>
        <v>Iluminação pública</v>
      </c>
      <c r="AT51" s="9" t="str">
        <f t="shared" si="3"/>
        <v>Iluminação pública – B4a</v>
      </c>
      <c r="AU51" s="9" t="str">
        <f t="shared" si="4"/>
        <v>Não se aplica</v>
      </c>
      <c r="AV51" s="9">
        <f t="shared" si="5"/>
        <v>1</v>
      </c>
      <c r="AW51" s="9">
        <f ca="1">TarifaMedia!$G$20</f>
        <v>0</v>
      </c>
      <c r="AX51" s="15">
        <f ca="1">'TUSD BE'!$AM51+'TUSD BF'!$AM51+'TUSD CVA'!$AM51</f>
        <v>181.58590815311899</v>
      </c>
      <c r="AY51" s="9">
        <v>240.65</v>
      </c>
      <c r="AZ51" s="9">
        <f t="shared" ca="1" si="6"/>
        <v>0</v>
      </c>
      <c r="BC51" s="50" t="s">
        <v>1216</v>
      </c>
    </row>
    <row r="52" spans="1:55" ht="11.25" customHeight="1" x14ac:dyDescent="0.25">
      <c r="A52" s="131"/>
      <c r="B52" s="131"/>
      <c r="C52" s="131"/>
      <c r="D52" s="74" t="s">
        <v>98</v>
      </c>
      <c r="E52" s="74" t="s">
        <v>25</v>
      </c>
      <c r="F52" s="74" t="s">
        <v>25</v>
      </c>
      <c r="G52" s="74" t="s">
        <v>86</v>
      </c>
      <c r="H52" s="74" t="s">
        <v>82</v>
      </c>
      <c r="I52" s="74">
        <f>'MERCADO TUSD'!$U$49</f>
        <v>0</v>
      </c>
      <c r="J52" s="15"/>
      <c r="L52" s="53">
        <f>'TUSD BE'!$L$52*'TUSD BE'!$L$59</f>
        <v>-0.25396054460924267</v>
      </c>
      <c r="M52" s="53">
        <f>'TUSD BE'!$M$52*'TUSD BE'!$M$59</f>
        <v>-3.3664205946875678E-2</v>
      </c>
      <c r="N52" s="53">
        <f ca="1">'TUSD BE'!$N$52*'TUSD BE'!$N$59</f>
        <v>1.6943401672912043E-11</v>
      </c>
      <c r="O52" s="53">
        <f>'TUSD BE'!$O$52*'TUSD BE'!$O$59</f>
        <v>0</v>
      </c>
      <c r="P52" s="53">
        <f>'TUSD BE'!$P$52*'TUSD BE'!$P$59</f>
        <v>0</v>
      </c>
      <c r="Q52" s="53">
        <f>'TUSD BE'!$Q$52*'TUSD BE'!$Q$59</f>
        <v>0.79697678782342896</v>
      </c>
      <c r="R52" s="53">
        <f>'TUSD BE'!$R$52*'TUSD BE'!$R$59</f>
        <v>-0.81940568243690493</v>
      </c>
      <c r="S52" s="53">
        <f>'TUSD BE'!$R$52*'TUSD BE'!$S$59</f>
        <v>0</v>
      </c>
      <c r="T52" s="53">
        <f ca="1">SUM($L$52:$S$52)</f>
        <v>-0.31005364515265099</v>
      </c>
      <c r="U52" s="53">
        <f>'TUSD BE'!$U$52*'TUSD BE'!$U$59</f>
        <v>-0.98218155265461993</v>
      </c>
      <c r="V52" s="53">
        <f>'TUSD BE'!$V$52*'TUSD BE'!$V$59</f>
        <v>0.17204576334766117</v>
      </c>
      <c r="W52" s="53">
        <f>'TUSD BE'!$W$52*'TUSD BE'!$W$59</f>
        <v>-0.34929354834139537</v>
      </c>
      <c r="X52" s="53">
        <f>'TUSD BE'!$X$52*'TUSD BE'!$X$59</f>
        <v>0</v>
      </c>
      <c r="Y52" s="53">
        <f>'TUSD BE'!$Y$52*'TUSD BE'!$Y$59</f>
        <v>0</v>
      </c>
      <c r="Z52" s="53">
        <f>'TUSD BE'!$Z$52*'TUSD BE'!$Z$59</f>
        <v>0</v>
      </c>
      <c r="AA52" s="53">
        <f>'TUSD BE'!$AA$52*'TUSD BE'!$AA$59</f>
        <v>0</v>
      </c>
      <c r="AB52" s="53">
        <f>SUM($U$52:$AA$52)</f>
        <v>-1.159429337648354</v>
      </c>
      <c r="AC52" s="53">
        <f>'TUSD BE'!$AC$52*'TUSD BE'!$AC$59</f>
        <v>-0.89823772138550106</v>
      </c>
      <c r="AD52" s="53">
        <f>SUM($AC$52:$AC$52)</f>
        <v>-0.89823772138550106</v>
      </c>
      <c r="AE52" s="53">
        <f ca="1">$AO$52*$AO$56</f>
        <v>-42.756077953795639</v>
      </c>
      <c r="AF52" s="53">
        <f ca="1">$AP$52*$AP$56</f>
        <v>0</v>
      </c>
      <c r="AG52" s="53">
        <f ca="1">SUM($AE$52:$AF$52)</f>
        <v>-42.756077953795639</v>
      </c>
      <c r="AH52" s="53">
        <f>'TUSD BE'!$AH$52*'TUSD BE'!$AH$59</f>
        <v>-0.26824708566959848</v>
      </c>
      <c r="AI52" s="53">
        <f>'TUSD BE'!$AI$52*'TUSD BE'!$AI$59</f>
        <v>-9.1998594085390597E-3</v>
      </c>
      <c r="AJ52" s="53">
        <f ca="1">'TUSD BE'!$AJ$52*'TUSD BE'!$AJ$59</f>
        <v>-3.9493804216200155E-2</v>
      </c>
      <c r="AK52" s="53">
        <f ca="1">'TUSD BE'!$AK$52*'TUSD BE'!$AK$59</f>
        <v>1.1306101818803219E-2</v>
      </c>
      <c r="AL52" s="53">
        <f ca="1">SUM($AH$52:$AK$52)</f>
        <v>-0.30563464747553448</v>
      </c>
      <c r="AM52" s="53">
        <f ca="1">SUMIF($L$4:$AL$4,"SUBTOTAL",$L$52:$AL$52)+AZ52</f>
        <v>-45.429433305457678</v>
      </c>
      <c r="AO52" s="76">
        <f ca="1">+'TUSD BE'!$T$52+'TUSD BE'!$AB$52+'TUSD BE'!$AD$52+'TUSD BE'!$AL$52</f>
        <v>228.93493317416593</v>
      </c>
      <c r="AP52" s="76">
        <f ca="1">+'TUSD BE'!$T$52+'TUSD BE'!$AB$52+'TUSD BE'!$AD$52+'TUSD BE'!$AL$52</f>
        <v>228.93493317416593</v>
      </c>
      <c r="AQ52" s="9" t="str">
        <f t="shared" si="0"/>
        <v>B4</v>
      </c>
      <c r="AR52" s="9" t="str">
        <f t="shared" si="1"/>
        <v>Convencional</v>
      </c>
      <c r="AS52" s="9" t="str">
        <f t="shared" si="2"/>
        <v>Iluminação pública</v>
      </c>
      <c r="AT52" s="9" t="str">
        <f t="shared" si="3"/>
        <v>Iluminação pública – B4b</v>
      </c>
      <c r="AU52" s="9" t="str">
        <f t="shared" si="4"/>
        <v>Não se aplica</v>
      </c>
      <c r="AV52" s="9">
        <f t="shared" si="5"/>
        <v>1</v>
      </c>
      <c r="AW52" s="9">
        <f ca="1">TarifaMedia!$G$20</f>
        <v>0</v>
      </c>
      <c r="AX52" s="15">
        <f ca="1">'TUSD BE'!$AM52+'TUSD BF'!$AM52+'TUSD CVA'!$AM52</f>
        <v>198.09371798522065</v>
      </c>
      <c r="AY52" s="9">
        <v>262.52</v>
      </c>
      <c r="AZ52" s="9">
        <f t="shared" ca="1" si="6"/>
        <v>0</v>
      </c>
      <c r="BC52" s="50" t="s">
        <v>1217</v>
      </c>
    </row>
    <row r="54" spans="1:55" ht="11.25" customHeight="1" x14ac:dyDescent="0.25">
      <c r="K54" s="68" t="s">
        <v>661</v>
      </c>
      <c r="L54" s="53">
        <f>SUMPRODUCT($I$5:$I52,$L$5:$L52)</f>
        <v>-78044.863489655312</v>
      </c>
      <c r="M54" s="53">
        <f>SUMPRODUCT($I$5:$I52,$M$5:$M52)</f>
        <v>-9076.818331699491</v>
      </c>
      <c r="N54" s="53">
        <f ca="1">SUMPRODUCT($I$5:$I52,$N$5:$N52)</f>
        <v>3.9082317569640104E-6</v>
      </c>
      <c r="O54" s="53">
        <f>SUMPRODUCT($I$5:$I52,$O$5:$O52)</f>
        <v>0</v>
      </c>
      <c r="P54" s="53">
        <f>SUMPRODUCT($I$5:$I52,$P$5:$P52)</f>
        <v>0</v>
      </c>
      <c r="Q54" s="53">
        <f>SUMPRODUCT($I$5:$I52,$Q$5:$Q52)</f>
        <v>244919.71658750251</v>
      </c>
      <c r="R54" s="53">
        <f>SUMPRODUCT($I$5:$I52,$R$5:$R52)</f>
        <v>-270812.93972837046</v>
      </c>
      <c r="S54" s="53">
        <f>SUMPRODUCT($I$5:$I52,$S$5:$S52)</f>
        <v>0</v>
      </c>
      <c r="T54" s="53">
        <f ca="1">SUMPRODUCT($I$5:$I52,$T$5:$T52)</f>
        <v>-113014.90495831451</v>
      </c>
      <c r="U54" s="53">
        <f>SUMPRODUCT($I$5:$I52,$U$5:$U52)</f>
        <v>-353985.26375235582</v>
      </c>
      <c r="V54" s="53">
        <f>SUMPRODUCT($I$5:$I52,$V$5:$V52)</f>
        <v>61742.455691510128</v>
      </c>
      <c r="W54" s="53">
        <f>SUMPRODUCT($I$5:$I52,$W$5:$W52)</f>
        <v>-124873.73627653578</v>
      </c>
      <c r="X54" s="53">
        <f>SUMPRODUCT($I$5:$I52,$X$5:$X52)</f>
        <v>0</v>
      </c>
      <c r="Y54" s="53">
        <f>SUMPRODUCT($I$5:$I52,$Y$5:$Y52)</f>
        <v>0</v>
      </c>
      <c r="Z54" s="53">
        <f>SUMPRODUCT($I$5:$I52,$Z$5:$Z52)</f>
        <v>0</v>
      </c>
      <c r="AA54" s="53">
        <f>SUMPRODUCT($I$5:$I52,$AA$5:$AA52)</f>
        <v>0</v>
      </c>
      <c r="AB54" s="53">
        <f>SUMPRODUCT($I$5:$I52,$AB$5:$AB52)</f>
        <v>-417116.54433738143</v>
      </c>
      <c r="AC54" s="53">
        <f>SUMPRODUCT($I$5:$I52,$AC$5:$AC52)</f>
        <v>-242826.43374005138</v>
      </c>
      <c r="AD54" s="53">
        <f>SUMPRODUCT($I$5:$I52,$AD$5:$AD52)</f>
        <v>-242826.43374005138</v>
      </c>
      <c r="AE54" s="53">
        <f ca="1">SUMPRODUCT($I$5:$I52,$AE$5:$AE52)</f>
        <v>-12641722.925023131</v>
      </c>
      <c r="AF54" s="53">
        <f ca="1">SUMPRODUCT($I$5:$I52,$AF$5:$AF52)</f>
        <v>0</v>
      </c>
      <c r="AG54" s="53">
        <f ca="1">SUMPRODUCT($I$5:$I52,$AG$5:$AG52)</f>
        <v>-12641722.925023131</v>
      </c>
      <c r="AH54" s="53">
        <f>SUMPRODUCT($I$5:$I52,$AH$5:$AH52)</f>
        <v>-67538.024107355493</v>
      </c>
      <c r="AI54" s="53">
        <f>SUMPRODUCT($I$5:$I52,$AI$5:$AI52)</f>
        <v>-2316.2895476737176</v>
      </c>
      <c r="AJ54" s="53">
        <f ca="1">SUMPRODUCT($I$5:$I52,$AJ$5:$AJ52)</f>
        <v>-11727.634808019715</v>
      </c>
      <c r="AK54" s="53">
        <f ca="1">SUMPRODUCT($I$5:$I52,$AK$5:$AK52)</f>
        <v>3357.332519991131</v>
      </c>
      <c r="AL54" s="53">
        <f ca="1">SUMPRODUCT($I$5:$I52,$AL$5:$AL52)</f>
        <v>-78224.615943057783</v>
      </c>
      <c r="AM54" s="53">
        <f ca="1">SUMPRODUCT($I$5:$I52,$AM$5:$AM52)</f>
        <v>-13492905.424001936</v>
      </c>
      <c r="AO54" s="74">
        <f ca="1">SUMPRODUCT($I$5:$I52,$AO$5:$AO52)</f>
        <v>67689370.296640322</v>
      </c>
      <c r="AP54" s="74">
        <f ca="1">SUMPRODUCT($I$5:$I52,$AP$5:$AP52)</f>
        <v>67689370.296640322</v>
      </c>
    </row>
    <row r="55" spans="1:55" ht="11.25" customHeight="1" x14ac:dyDescent="0.25">
      <c r="K55" s="68" t="s">
        <v>604</v>
      </c>
      <c r="L55" s="53">
        <f>'TR TUSD'!$L$57</f>
        <v>1142573.8820889951</v>
      </c>
      <c r="M55" s="53">
        <f>'TR TUSD'!$M$57</f>
        <v>135866.19550768039</v>
      </c>
      <c r="N55" s="53">
        <f>'TR TUSD'!$N$57</f>
        <v>339394.07104977674</v>
      </c>
      <c r="O55" s="53">
        <f>'TR TUSD'!$O$57</f>
        <v>0</v>
      </c>
      <c r="P55" s="53">
        <f>'TR TUSD'!$P$57</f>
        <v>0</v>
      </c>
      <c r="Q55" s="53">
        <f>'TR TUSD'!$Q$57</f>
        <v>16244058.449907003</v>
      </c>
      <c r="R55" s="53">
        <f>'TR TUSD'!$R$57</f>
        <v>2752849.9760466153</v>
      </c>
      <c r="S55" s="53">
        <f>'TR TUSD'!$S$57</f>
        <v>0</v>
      </c>
      <c r="T55" s="53">
        <f>'TR TUSD'!$T$57</f>
        <v>20614742.574600071</v>
      </c>
      <c r="U55" s="53">
        <f>'TR TUSD'!$U$57</f>
        <v>7372778.8000000007</v>
      </c>
      <c r="V55" s="53">
        <f>'TR TUSD'!$V$57</f>
        <v>2224972.7999999998</v>
      </c>
      <c r="W55" s="53">
        <f>'TR TUSD'!$W$57</f>
        <v>4170396.62053457</v>
      </c>
      <c r="X55" s="53">
        <f>'TR TUSD'!$X$57</f>
        <v>0</v>
      </c>
      <c r="Y55" s="53">
        <f>'TR TUSD'!$Y$57</f>
        <v>0</v>
      </c>
      <c r="Z55" s="53">
        <f>'TR TUSD'!$Z$57</f>
        <v>0</v>
      </c>
      <c r="AA55" s="53">
        <f>'TR TUSD'!$AA$57</f>
        <v>0</v>
      </c>
      <c r="AB55" s="53">
        <f>'TR TUSD'!$AB$57</f>
        <v>13768148.220534571</v>
      </c>
      <c r="AC55" s="53">
        <f>'TR TUSD'!$AC$57</f>
        <v>30321572.604258131</v>
      </c>
      <c r="AD55" s="53">
        <f>'TR TUSD'!$AD$57</f>
        <v>30321572.604258131</v>
      </c>
      <c r="AE55" s="53">
        <f>'TR TUSD'!$AE$57</f>
        <v>0</v>
      </c>
      <c r="AF55" s="53">
        <f>'TR TUSD'!$AF$57</f>
        <v>0</v>
      </c>
      <c r="AG55" s="53">
        <f>'TR TUSD'!$AG$57</f>
        <v>0</v>
      </c>
      <c r="AH55" s="53">
        <f>'TR TUSD'!$AH$57</f>
        <v>2427974.5024546832</v>
      </c>
      <c r="AI55" s="53">
        <f>'TR TUSD'!$AI$57</f>
        <v>83270.010285088894</v>
      </c>
      <c r="AJ55" s="53">
        <f>'TR TUSD'!$AJ$57</f>
        <v>421605.43877786858</v>
      </c>
      <c r="AK55" s="53">
        <f>'TR TUSD'!$AK$57</f>
        <v>52056.945729899133</v>
      </c>
      <c r="AL55" s="53">
        <f>'TR TUSD'!$AL$57</f>
        <v>2984906.8972475398</v>
      </c>
      <c r="AM55" s="53">
        <f>'TUSD BE'!$AM$55</f>
        <v>67689370.296640307</v>
      </c>
      <c r="AO55" s="74">
        <f>$AE$56</f>
        <v>-12641722.925023135</v>
      </c>
      <c r="AP55" s="74">
        <f>$AF$56</f>
        <v>0</v>
      </c>
    </row>
    <row r="56" spans="1:55" ht="11.25" customHeight="1" x14ac:dyDescent="0.25">
      <c r="K56" s="68" t="s">
        <v>605</v>
      </c>
      <c r="L56" s="53">
        <f>CUSTOS!$E$2</f>
        <v>-78044.863489655312</v>
      </c>
      <c r="M56" s="53">
        <f>CUSTOS!$E$3</f>
        <v>-9076.8183316994891</v>
      </c>
      <c r="N56" s="53">
        <f>CUSTOS!$E$4</f>
        <v>3.9082317569640096E-6</v>
      </c>
      <c r="O56" s="53">
        <f>CUSTOS!$E$5</f>
        <v>0</v>
      </c>
      <c r="P56" s="53">
        <f>CUSTOS!$E$6</f>
        <v>0</v>
      </c>
      <c r="Q56" s="53">
        <f>CUSTOS!$E$7</f>
        <v>244919.71658750251</v>
      </c>
      <c r="R56" s="53">
        <f>CUSTOS!$E$8</f>
        <v>-270812.93972837052</v>
      </c>
      <c r="S56" s="53">
        <f>CUSTOS!$E$9</f>
        <v>0</v>
      </c>
      <c r="T56" s="53">
        <f>CUSTOS!$E$10</f>
        <v>-113014.90495831455</v>
      </c>
      <c r="U56" s="53">
        <f>CUSTOS!$E$11</f>
        <v>-353985.26375235571</v>
      </c>
      <c r="V56" s="53">
        <f>CUSTOS!$E$12</f>
        <v>61742.455691510098</v>
      </c>
      <c r="W56" s="53">
        <f>CUSTOS!$E$13</f>
        <v>-124873.73627653578</v>
      </c>
      <c r="X56" s="53">
        <f>CUSTOS!$E$14</f>
        <v>0</v>
      </c>
      <c r="Y56" s="53">
        <f>CUSTOS!$E$15</f>
        <v>0</v>
      </c>
      <c r="Z56" s="53">
        <f>CUSTOS!$E$16</f>
        <v>0</v>
      </c>
      <c r="AA56" s="53">
        <f>CUSTOS!$E$17</f>
        <v>0</v>
      </c>
      <c r="AB56" s="53">
        <f>CUSTOS!$E$18</f>
        <v>-417116.54433738138</v>
      </c>
      <c r="AC56" s="53">
        <f>CUSTOS!$E$19</f>
        <v>-242826.43374005141</v>
      </c>
      <c r="AD56" s="53">
        <f>CUSTOS!$E$20</f>
        <v>-242826.43374005141</v>
      </c>
      <c r="AE56" s="53">
        <f>CUSTOS!$E$21</f>
        <v>-12641722.925023135</v>
      </c>
      <c r="AF56" s="53">
        <f>CUSTOS!$E$22</f>
        <v>0</v>
      </c>
      <c r="AG56" s="53">
        <f>CUSTOS!$E$23</f>
        <v>-12641722.925023135</v>
      </c>
      <c r="AH56" s="53">
        <f>CUSTOS!$E$24</f>
        <v>-67538.024107355508</v>
      </c>
      <c r="AI56" s="53">
        <f>CUSTOS!$E$25</f>
        <v>-2316.2895476737172</v>
      </c>
      <c r="AJ56" s="53">
        <f>CUSTOS!$E$26</f>
        <v>-11727.634808019713</v>
      </c>
      <c r="AK56" s="53">
        <f>CUSTOS!$E$27</f>
        <v>3357.3325199911305</v>
      </c>
      <c r="AL56" s="53">
        <f>CUSTOS!$E$28</f>
        <v>-78224.615943057797</v>
      </c>
      <c r="AM56" s="53">
        <f>CUSTOS!$E$29</f>
        <v>-13492905.42400194</v>
      </c>
      <c r="AO56" s="74">
        <f ca="1">IF(AO54&lt;&gt;0,AO55/AO54,0)</f>
        <v>-0.18676082920586115</v>
      </c>
      <c r="AP56" s="74">
        <f ca="1">IF(AP54&lt;&gt;0,AP55/AP54,0)</f>
        <v>0</v>
      </c>
    </row>
    <row r="57" spans="1:55" ht="11.25" customHeight="1" x14ac:dyDescent="0.25">
      <c r="K57" s="68" t="s">
        <v>606</v>
      </c>
      <c r="L57" s="53">
        <f>CUSTOS!$F$2</f>
        <v>74952.677252192239</v>
      </c>
      <c r="M57" s="53">
        <f>CUSTOS!$F$3</f>
        <v>0</v>
      </c>
      <c r="N57" s="53">
        <f>CUSTOS!$F$4</f>
        <v>0</v>
      </c>
      <c r="O57" s="53">
        <f>CUSTOS!$F$5</f>
        <v>0</v>
      </c>
      <c r="P57" s="53">
        <f>CUSTOS!$F$6</f>
        <v>0</v>
      </c>
      <c r="Q57" s="53">
        <f>CUSTOS!$F$7</f>
        <v>2778434.2493877113</v>
      </c>
      <c r="R57" s="53">
        <f>CUSTOS!$F$8</f>
        <v>643424.43138696544</v>
      </c>
      <c r="S57" s="53">
        <f>CUSTOS!$F$9</f>
        <v>0</v>
      </c>
      <c r="T57" s="53">
        <f>CUSTOS!$F$10</f>
        <v>3496811.3580268687</v>
      </c>
      <c r="U57" s="53">
        <f>CUSTOS!$F$11</f>
        <v>561973.09326562204</v>
      </c>
      <c r="V57" s="53">
        <f>CUSTOS!$F$12</f>
        <v>169593.43020678608</v>
      </c>
      <c r="W57" s="53">
        <f>CUSTOS!$F$13</f>
        <v>0</v>
      </c>
      <c r="X57" s="53">
        <f>CUSTOS!$F$14</f>
        <v>0</v>
      </c>
      <c r="Y57" s="53">
        <f>CUSTOS!$F$15</f>
        <v>0</v>
      </c>
      <c r="Z57" s="53">
        <f>CUSTOS!$F$16</f>
        <v>0</v>
      </c>
      <c r="AA57" s="53">
        <f>CUSTOS!$F$17</f>
        <v>0</v>
      </c>
      <c r="AB57" s="53">
        <f>CUSTOS!$F$18</f>
        <v>731566.52347240807</v>
      </c>
      <c r="AC57" s="53">
        <f>CUSTOS!$F$19</f>
        <v>0</v>
      </c>
      <c r="AD57" s="53">
        <f>CUSTOS!$F$20</f>
        <v>0</v>
      </c>
      <c r="AE57" s="53">
        <f>CUSTOS!$F$21</f>
        <v>0</v>
      </c>
      <c r="AF57" s="53">
        <f>CUSTOS!$F$22</f>
        <v>0</v>
      </c>
      <c r="AG57" s="53">
        <f>CUSTOS!$F$23</f>
        <v>0</v>
      </c>
      <c r="AH57" s="53">
        <f>CUSTOS!$F$24</f>
        <v>282249.11568224744</v>
      </c>
      <c r="AI57" s="53">
        <f>CUSTOS!$F$25</f>
        <v>9680.0385432617059</v>
      </c>
      <c r="AJ57" s="53">
        <f>CUSTOS!$F$26</f>
        <v>49011.125175150133</v>
      </c>
      <c r="AK57" s="53">
        <f>CUSTOS!$F$27</f>
        <v>0</v>
      </c>
      <c r="AL57" s="53">
        <f>CUSTOS!$F$28</f>
        <v>340940.27940065926</v>
      </c>
      <c r="AM57" s="53">
        <f>CUSTOS!$F$29</f>
        <v>4569318.1608999353</v>
      </c>
    </row>
    <row r="58" spans="1:55" ht="11.25" customHeight="1" x14ac:dyDescent="0.25">
      <c r="K58" s="68" t="s">
        <v>658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f>SUM($L$58:$S$58)</f>
        <v>0</v>
      </c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f>SUM($U$58:$AA$58)</f>
        <v>0</v>
      </c>
      <c r="AC58" s="53">
        <v>0</v>
      </c>
      <c r="AD58" s="53">
        <f>SUM($AC$58:$AC$58)</f>
        <v>0</v>
      </c>
      <c r="AE58" s="53">
        <v>0</v>
      </c>
      <c r="AF58" s="53">
        <v>0</v>
      </c>
      <c r="AG58" s="53">
        <f>SUM($AE$58:$AF$58)</f>
        <v>0</v>
      </c>
      <c r="AH58" s="53">
        <v>0</v>
      </c>
      <c r="AI58" s="53">
        <v>0</v>
      </c>
      <c r="AJ58" s="53">
        <v>0</v>
      </c>
      <c r="AK58" s="53">
        <v>0</v>
      </c>
      <c r="AL58" s="53">
        <f>SUM($AH$58:$AK$58)</f>
        <v>0</v>
      </c>
      <c r="AM58" s="53"/>
    </row>
    <row r="59" spans="1:55" ht="11.25" customHeight="1" x14ac:dyDescent="0.25">
      <c r="K59" s="68" t="s">
        <v>664</v>
      </c>
      <c r="L59" s="53">
        <f t="shared" ref="L59:R59" si="7">IF((L55-(0))&lt;&gt;0,(L57)/(L55-(0)),0)</f>
        <v>6.5599851727009967E-2</v>
      </c>
      <c r="M59" s="53">
        <f t="shared" si="7"/>
        <v>0</v>
      </c>
      <c r="N59" s="53">
        <f t="shared" si="7"/>
        <v>0</v>
      </c>
      <c r="O59" s="53">
        <f t="shared" si="7"/>
        <v>0</v>
      </c>
      <c r="P59" s="53">
        <f t="shared" si="7"/>
        <v>0</v>
      </c>
      <c r="Q59" s="53">
        <f t="shared" si="7"/>
        <v>0.17104310834363057</v>
      </c>
      <c r="R59" s="53">
        <f t="shared" si="7"/>
        <v>0.23373029296387274</v>
      </c>
      <c r="S59" s="53">
        <f>IF((R54-(0)&lt;&gt;0),(S56)/(R54-(0)),0)</f>
        <v>0</v>
      </c>
      <c r="T59" s="53"/>
      <c r="U59" s="53">
        <f t="shared" ref="U59:AA59" si="8">IF((U55-(0))&lt;&gt;0,(U57)/(U55-(0)),0)</f>
        <v>7.6222698186146853E-2</v>
      </c>
      <c r="V59" s="53">
        <f t="shared" si="8"/>
        <v>7.6222698186146853E-2</v>
      </c>
      <c r="W59" s="53">
        <f t="shared" si="8"/>
        <v>0</v>
      </c>
      <c r="X59" s="53">
        <f t="shared" si="8"/>
        <v>0</v>
      </c>
      <c r="Y59" s="53">
        <f t="shared" si="8"/>
        <v>0</v>
      </c>
      <c r="Z59" s="53">
        <f t="shared" si="8"/>
        <v>0</v>
      </c>
      <c r="AA59" s="53">
        <f t="shared" si="8"/>
        <v>0</v>
      </c>
      <c r="AB59" s="53"/>
      <c r="AC59" s="53">
        <f>IF((AC55-(0))&lt;&gt;0,(AC57)/(AC55-(0)),0)</f>
        <v>0</v>
      </c>
      <c r="AD59" s="53"/>
      <c r="AE59" s="53">
        <f ca="1">IF(($AM54-(0))&lt;&gt;0,(AE56)/($AM54-(0)),0)</f>
        <v>0.93691629250845632</v>
      </c>
      <c r="AF59" s="53">
        <f ca="1">IF(($AM54-(0))&lt;&gt;0,(AF56)/($AM54-(0)),0)</f>
        <v>0</v>
      </c>
      <c r="AG59" s="53"/>
      <c r="AH59" s="53">
        <f>IF((AH55-(0))&lt;&gt;0,(AH57)/(AH55-(0)),0)</f>
        <v>0.11624879725750557</v>
      </c>
      <c r="AI59" s="53">
        <f>IF((AI55-(0))&lt;&gt;0,(AI57)/(AI55-(0)),0)</f>
        <v>0.11624879725750561</v>
      </c>
      <c r="AJ59" s="53">
        <f>IF((AJ55-(0))&lt;&gt;0,(AJ57)/(AJ55-(0)),0)</f>
        <v>0.1162487972575056</v>
      </c>
      <c r="AK59" s="53">
        <f>IF((AK55-(0))&lt;&gt;0,(AK57)/(AK55-(0)),0)</f>
        <v>0</v>
      </c>
      <c r="AL59" s="53"/>
      <c r="AM59" s="53"/>
    </row>
  </sheetData>
  <mergeCells count="84"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  <mergeCell ref="E46:E48"/>
    <mergeCell ref="F46:F48"/>
    <mergeCell ref="A51:A52"/>
    <mergeCell ref="B51:B52"/>
    <mergeCell ref="C51:C52"/>
    <mergeCell ref="AQ1:AQ4"/>
    <mergeCell ref="B43:B45"/>
    <mergeCell ref="C43:C45"/>
    <mergeCell ref="A46:A50"/>
    <mergeCell ref="B46:B48"/>
    <mergeCell ref="C46:C48"/>
    <mergeCell ref="D46:D48"/>
    <mergeCell ref="F35:F37"/>
    <mergeCell ref="B39:B41"/>
    <mergeCell ref="C39:C41"/>
    <mergeCell ref="D39:D41"/>
    <mergeCell ref="E39:E41"/>
    <mergeCell ref="F39:F41"/>
    <mergeCell ref="A31:A45"/>
    <mergeCell ref="B31:B33"/>
    <mergeCell ref="C31:C33"/>
    <mergeCell ref="D31:D33"/>
    <mergeCell ref="E31:E33"/>
    <mergeCell ref="F31:F33"/>
    <mergeCell ref="B35:B37"/>
    <mergeCell ref="C35:C37"/>
    <mergeCell ref="D35:D37"/>
    <mergeCell ref="E35:E37"/>
    <mergeCell ref="E18:E20"/>
    <mergeCell ref="F18:F20"/>
    <mergeCell ref="B21:B25"/>
    <mergeCell ref="C21:C25"/>
    <mergeCell ref="B26:B30"/>
    <mergeCell ref="C26:C30"/>
    <mergeCell ref="A16:A17"/>
    <mergeCell ref="B16:B17"/>
    <mergeCell ref="C16:C17"/>
    <mergeCell ref="D16:D17"/>
    <mergeCell ref="A18:A30"/>
    <mergeCell ref="B18:B20"/>
    <mergeCell ref="C18:C20"/>
    <mergeCell ref="D18:D20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4">
    <cfRule type="cellIs" dxfId="268" priority="55" operator="notEqual">
      <formula>$L$56</formula>
    </cfRule>
    <cfRule type="cellIs" dxfId="267" priority="56" operator="equal">
      <formula>$L$56</formula>
    </cfRule>
  </conditionalFormatting>
  <conditionalFormatting sqref="M54">
    <cfRule type="cellIs" dxfId="266" priority="53" operator="notEqual">
      <formula>$M$56</formula>
    </cfRule>
    <cfRule type="cellIs" dxfId="265" priority="54" operator="equal">
      <formula>$M$56</formula>
    </cfRule>
  </conditionalFormatting>
  <conditionalFormatting sqref="N54">
    <cfRule type="cellIs" dxfId="264" priority="51" operator="notEqual">
      <formula>$N$56</formula>
    </cfRule>
    <cfRule type="cellIs" dxfId="263" priority="52" operator="equal">
      <formula>$N$56</formula>
    </cfRule>
  </conditionalFormatting>
  <conditionalFormatting sqref="O54">
    <cfRule type="cellIs" dxfId="262" priority="49" operator="notEqual">
      <formula>$O$56</formula>
    </cfRule>
    <cfRule type="cellIs" dxfId="261" priority="50" operator="equal">
      <formula>$O$56</formula>
    </cfRule>
  </conditionalFormatting>
  <conditionalFormatting sqref="P54">
    <cfRule type="cellIs" dxfId="260" priority="47" operator="notEqual">
      <formula>$P$56</formula>
    </cfRule>
    <cfRule type="cellIs" dxfId="259" priority="48" operator="equal">
      <formula>$P$56</formula>
    </cfRule>
  </conditionalFormatting>
  <conditionalFormatting sqref="Q54">
    <cfRule type="cellIs" dxfId="258" priority="45" operator="notEqual">
      <formula>$Q$56</formula>
    </cfRule>
    <cfRule type="cellIs" dxfId="257" priority="46" operator="equal">
      <formula>$Q$56</formula>
    </cfRule>
  </conditionalFormatting>
  <conditionalFormatting sqref="R54">
    <cfRule type="cellIs" dxfId="256" priority="43" operator="notEqual">
      <formula>$R$56</formula>
    </cfRule>
    <cfRule type="cellIs" dxfId="255" priority="44" operator="equal">
      <formula>$R$56</formula>
    </cfRule>
  </conditionalFormatting>
  <conditionalFormatting sqref="S54">
    <cfRule type="cellIs" dxfId="254" priority="41" operator="notEqual">
      <formula>$S$56</formula>
    </cfRule>
    <cfRule type="cellIs" dxfId="253" priority="42" operator="equal">
      <formula>$S$56</formula>
    </cfRule>
  </conditionalFormatting>
  <conditionalFormatting sqref="T54">
    <cfRule type="cellIs" dxfId="252" priority="39" operator="notEqual">
      <formula>$T$56</formula>
    </cfRule>
    <cfRule type="cellIs" dxfId="251" priority="40" operator="equal">
      <formula>$T$56</formula>
    </cfRule>
  </conditionalFormatting>
  <conditionalFormatting sqref="U54">
    <cfRule type="cellIs" dxfId="250" priority="37" operator="notEqual">
      <formula>$U$56</formula>
    </cfRule>
    <cfRule type="cellIs" dxfId="249" priority="38" operator="equal">
      <formula>$U$56</formula>
    </cfRule>
  </conditionalFormatting>
  <conditionalFormatting sqref="V54">
    <cfRule type="cellIs" dxfId="248" priority="35" operator="notEqual">
      <formula>$V$56</formula>
    </cfRule>
    <cfRule type="cellIs" dxfId="247" priority="36" operator="equal">
      <formula>$V$56</formula>
    </cfRule>
  </conditionalFormatting>
  <conditionalFormatting sqref="W54">
    <cfRule type="cellIs" dxfId="246" priority="33" operator="notEqual">
      <formula>$W$56</formula>
    </cfRule>
    <cfRule type="cellIs" dxfId="245" priority="34" operator="equal">
      <formula>$W$56</formula>
    </cfRule>
  </conditionalFormatting>
  <conditionalFormatting sqref="X54">
    <cfRule type="cellIs" dxfId="244" priority="31" operator="notEqual">
      <formula>$X$56</formula>
    </cfRule>
    <cfRule type="cellIs" dxfId="243" priority="32" operator="equal">
      <formula>$X$56</formula>
    </cfRule>
  </conditionalFormatting>
  <conditionalFormatting sqref="Y54">
    <cfRule type="cellIs" dxfId="242" priority="29" operator="notEqual">
      <formula>$Y$56</formula>
    </cfRule>
    <cfRule type="cellIs" dxfId="241" priority="30" operator="equal">
      <formula>$Y$56</formula>
    </cfRule>
  </conditionalFormatting>
  <conditionalFormatting sqref="Z54">
    <cfRule type="cellIs" dxfId="240" priority="27" operator="notEqual">
      <formula>$Z$56</formula>
    </cfRule>
    <cfRule type="cellIs" dxfId="239" priority="28" operator="equal">
      <formula>$Z$56</formula>
    </cfRule>
  </conditionalFormatting>
  <conditionalFormatting sqref="AA54">
    <cfRule type="cellIs" dxfId="238" priority="25" operator="notEqual">
      <formula>$AA$56</formula>
    </cfRule>
    <cfRule type="cellIs" dxfId="237" priority="26" operator="equal">
      <formula>$AA$56</formula>
    </cfRule>
  </conditionalFormatting>
  <conditionalFormatting sqref="AB54">
    <cfRule type="cellIs" dxfId="236" priority="23" operator="notEqual">
      <formula>$AB$56</formula>
    </cfRule>
    <cfRule type="cellIs" dxfId="235" priority="24" operator="equal">
      <formula>$AB$56</formula>
    </cfRule>
  </conditionalFormatting>
  <conditionalFormatting sqref="AC54">
    <cfRule type="cellIs" dxfId="234" priority="21" operator="notEqual">
      <formula>$AC$56</formula>
    </cfRule>
    <cfRule type="cellIs" dxfId="233" priority="22" operator="equal">
      <formula>$AC$56</formula>
    </cfRule>
  </conditionalFormatting>
  <conditionalFormatting sqref="AD54">
    <cfRule type="cellIs" dxfId="232" priority="19" operator="notEqual">
      <formula>$AD$56</formula>
    </cfRule>
    <cfRule type="cellIs" dxfId="231" priority="20" operator="equal">
      <formula>$AD$56</formula>
    </cfRule>
  </conditionalFormatting>
  <conditionalFormatting sqref="AE54">
    <cfRule type="cellIs" dxfId="230" priority="17" operator="notEqual">
      <formula>$AE$56</formula>
    </cfRule>
    <cfRule type="cellIs" dxfId="229" priority="18" operator="equal">
      <formula>$AE$56</formula>
    </cfRule>
  </conditionalFormatting>
  <conditionalFormatting sqref="AF54">
    <cfRule type="cellIs" dxfId="228" priority="16" operator="equal">
      <formula>$AF$56</formula>
    </cfRule>
  </conditionalFormatting>
  <conditionalFormatting sqref="AF54">
    <cfRule type="cellIs" dxfId="227" priority="15" operator="notEqual">
      <formula>$AF$56</formula>
    </cfRule>
  </conditionalFormatting>
  <conditionalFormatting sqref="AG54">
    <cfRule type="cellIs" dxfId="226" priority="14" operator="equal">
      <formula>$AG$56</formula>
    </cfRule>
  </conditionalFormatting>
  <conditionalFormatting sqref="AG54">
    <cfRule type="cellIs" dxfId="225" priority="13" operator="notEqual">
      <formula>$AG$56</formula>
    </cfRule>
  </conditionalFormatting>
  <conditionalFormatting sqref="AH54">
    <cfRule type="cellIs" dxfId="224" priority="12" operator="equal">
      <formula>$AH$56</formula>
    </cfRule>
  </conditionalFormatting>
  <conditionalFormatting sqref="AH54">
    <cfRule type="cellIs" dxfId="223" priority="11" operator="notEqual">
      <formula>$AH$56</formula>
    </cfRule>
  </conditionalFormatting>
  <conditionalFormatting sqref="AI54">
    <cfRule type="cellIs" dxfId="222" priority="10" operator="equal">
      <formula>$AI$56</formula>
    </cfRule>
  </conditionalFormatting>
  <conditionalFormatting sqref="AI54">
    <cfRule type="cellIs" dxfId="221" priority="9" operator="notEqual">
      <formula>$AI$56</formula>
    </cfRule>
  </conditionalFormatting>
  <conditionalFormatting sqref="AJ54">
    <cfRule type="cellIs" dxfId="220" priority="8" operator="equal">
      <formula>$AJ$56</formula>
    </cfRule>
  </conditionalFormatting>
  <conditionalFormatting sqref="AJ54">
    <cfRule type="cellIs" dxfId="219" priority="7" operator="notEqual">
      <formula>$AJ$56</formula>
    </cfRule>
  </conditionalFormatting>
  <conditionalFormatting sqref="AK54">
    <cfRule type="cellIs" dxfId="218" priority="6" operator="equal">
      <formula>$AK$56</formula>
    </cfRule>
  </conditionalFormatting>
  <conditionalFormatting sqref="AK54">
    <cfRule type="cellIs" dxfId="217" priority="5" operator="notEqual">
      <formula>$AK$56</formula>
    </cfRule>
  </conditionalFormatting>
  <conditionalFormatting sqref="AL54">
    <cfRule type="cellIs" dxfId="216" priority="4" operator="equal">
      <formula>$AL$56</formula>
    </cfRule>
  </conditionalFormatting>
  <conditionalFormatting sqref="AL54">
    <cfRule type="cellIs" dxfId="215" priority="3" operator="notEqual">
      <formula>$AL$56</formula>
    </cfRule>
  </conditionalFormatting>
  <conditionalFormatting sqref="AM54">
    <cfRule type="cellIs" dxfId="214" priority="2" operator="equal">
      <formula>$AM$56</formula>
    </cfRule>
  </conditionalFormatting>
  <conditionalFormatting sqref="AM54">
    <cfRule type="cellIs" dxfId="213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070C-FA3B-4961-9C09-9B93D0A42D1E}">
  <sheetPr>
    <tabColor indexed="12" tint="-0.249977111117893"/>
  </sheetPr>
  <dimension ref="A1:AO50"/>
  <sheetViews>
    <sheetView showGridLines="0" topLeftCell="L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41" ht="11.25" customHeight="1" x14ac:dyDescent="0.25">
      <c r="A1" s="141" t="s">
        <v>71</v>
      </c>
      <c r="B1" s="141" t="s">
        <v>72</v>
      </c>
      <c r="C1" s="141" t="s">
        <v>73</v>
      </c>
      <c r="D1" s="141" t="s">
        <v>74</v>
      </c>
      <c r="E1" s="141" t="s">
        <v>75</v>
      </c>
      <c r="F1" s="141" t="s">
        <v>15</v>
      </c>
      <c r="G1" s="141" t="s">
        <v>77</v>
      </c>
      <c r="H1" s="141" t="s">
        <v>78</v>
      </c>
      <c r="I1" s="141" t="s">
        <v>652</v>
      </c>
      <c r="J1" s="125"/>
      <c r="L1" s="139" t="s">
        <v>673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50" t="s">
        <v>1</v>
      </c>
      <c r="AD1" s="152" t="s">
        <v>2</v>
      </c>
      <c r="AE1" s="152" t="s">
        <v>3</v>
      </c>
      <c r="AF1" s="152" t="s">
        <v>4</v>
      </c>
      <c r="AG1" s="152" t="s">
        <v>5</v>
      </c>
      <c r="AH1" s="152" t="s">
        <v>1182</v>
      </c>
      <c r="AI1" s="152" t="s">
        <v>1218</v>
      </c>
      <c r="AJ1" s="152" t="s">
        <v>1184</v>
      </c>
      <c r="AK1" s="152" t="s">
        <v>1185</v>
      </c>
      <c r="AL1" s="152" t="s">
        <v>1186</v>
      </c>
      <c r="AO1" s="152" t="s">
        <v>1187</v>
      </c>
    </row>
    <row r="2" spans="1:41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5"/>
      <c r="L2" s="139" t="s">
        <v>590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51"/>
      <c r="AD2" s="153"/>
      <c r="AE2" s="153"/>
      <c r="AF2" s="153"/>
      <c r="AG2" s="153"/>
      <c r="AH2" s="153"/>
      <c r="AI2" s="153"/>
      <c r="AJ2" s="153"/>
      <c r="AK2" s="153"/>
      <c r="AL2" s="153"/>
      <c r="AO2" s="153"/>
    </row>
    <row r="3" spans="1:41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5"/>
      <c r="L3" s="139" t="s">
        <v>563</v>
      </c>
      <c r="M3" s="139"/>
      <c r="N3" s="139"/>
      <c r="O3" s="139"/>
      <c r="P3" s="139"/>
      <c r="Q3" s="139"/>
      <c r="R3" s="139" t="s">
        <v>594</v>
      </c>
      <c r="S3" s="139"/>
      <c r="T3" s="139" t="s">
        <v>572</v>
      </c>
      <c r="U3" s="139"/>
      <c r="V3" s="139"/>
      <c r="W3" s="139"/>
      <c r="X3" s="139" t="s">
        <v>582</v>
      </c>
      <c r="Y3" s="139"/>
      <c r="Z3" s="139" t="s">
        <v>585</v>
      </c>
      <c r="AA3" s="139"/>
      <c r="AB3" s="139" t="s">
        <v>571</v>
      </c>
      <c r="AC3" s="151"/>
      <c r="AD3" s="153"/>
      <c r="AE3" s="153"/>
      <c r="AF3" s="153"/>
      <c r="AG3" s="153"/>
      <c r="AH3" s="153"/>
      <c r="AI3" s="153"/>
      <c r="AJ3" s="153"/>
      <c r="AK3" s="153"/>
      <c r="AL3" s="153"/>
      <c r="AO3" s="153"/>
    </row>
    <row r="4" spans="1:41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5"/>
      <c r="L4" s="80" t="s">
        <v>565</v>
      </c>
      <c r="M4" s="80" t="s">
        <v>591</v>
      </c>
      <c r="N4" s="80" t="s">
        <v>592</v>
      </c>
      <c r="O4" s="80" t="s">
        <v>651</v>
      </c>
      <c r="P4" s="80" t="s">
        <v>593</v>
      </c>
      <c r="Q4" s="80" t="s">
        <v>571</v>
      </c>
      <c r="R4" s="80" t="s">
        <v>595</v>
      </c>
      <c r="S4" s="80" t="s">
        <v>571</v>
      </c>
      <c r="T4" s="80" t="s">
        <v>596</v>
      </c>
      <c r="U4" s="80" t="s">
        <v>597</v>
      </c>
      <c r="V4" s="80" t="s">
        <v>598</v>
      </c>
      <c r="W4" s="80" t="s">
        <v>571</v>
      </c>
      <c r="X4" s="80" t="s">
        <v>583</v>
      </c>
      <c r="Y4" s="80" t="s">
        <v>571</v>
      </c>
      <c r="Z4" s="80" t="s">
        <v>599</v>
      </c>
      <c r="AA4" s="80" t="s">
        <v>571</v>
      </c>
      <c r="AB4" s="140"/>
      <c r="AC4" s="151"/>
      <c r="AD4" s="153"/>
      <c r="AE4" s="153"/>
      <c r="AF4" s="153"/>
      <c r="AG4" s="153"/>
      <c r="AH4" s="153"/>
      <c r="AI4" s="153"/>
      <c r="AJ4" s="153"/>
      <c r="AK4" s="153"/>
      <c r="AL4" s="153"/>
      <c r="AO4" s="153"/>
    </row>
    <row r="5" spans="1:41" ht="11.25" customHeight="1" x14ac:dyDescent="0.25">
      <c r="A5" s="142" t="s">
        <v>38</v>
      </c>
      <c r="B5" s="142" t="s">
        <v>81</v>
      </c>
      <c r="C5" s="142" t="s">
        <v>25</v>
      </c>
      <c r="D5" s="142" t="s">
        <v>25</v>
      </c>
      <c r="E5" s="142" t="s">
        <v>25</v>
      </c>
      <c r="F5" s="142" t="s">
        <v>25</v>
      </c>
      <c r="G5" s="78" t="s">
        <v>83</v>
      </c>
      <c r="H5" s="78" t="s">
        <v>82</v>
      </c>
      <c r="I5" s="78">
        <f>'MERCADO TE'!$U$2</f>
        <v>2005.008</v>
      </c>
      <c r="J5" s="15"/>
      <c r="L5" s="76">
        <f>'TE BE'!$L$5*'TE BE'!$L$49</f>
        <v>3.0536234367108361E-11</v>
      </c>
      <c r="M5" s="76">
        <f>'TE BE'!$M$5*'TE BE'!$M$49</f>
        <v>-14.200076145671</v>
      </c>
      <c r="N5" s="76">
        <f>'TE BE'!$N$5*'TE BE'!$N$49</f>
        <v>0</v>
      </c>
      <c r="O5" s="76">
        <f>'TE BE'!$O$5*'TE BE'!$O$49</f>
        <v>0.18736530626772324</v>
      </c>
      <c r="P5" s="76">
        <f>'TE BE'!$P$5*'TE BE'!$P$49</f>
        <v>0</v>
      </c>
      <c r="Q5" s="76">
        <f>SUM($L$5:$P$5)</f>
        <v>-14.01271083937274</v>
      </c>
      <c r="R5" s="76">
        <f>'TE BE'!$R$5*'TE BE'!$R$49</f>
        <v>-9.8863053528844809</v>
      </c>
      <c r="S5" s="76">
        <f>SUM($R$5:$R$5)</f>
        <v>-9.8863053528844809</v>
      </c>
      <c r="T5" s="76">
        <f>'TE BE'!$T$5*'TE BE'!$T$49</f>
        <v>0.58989528769629773</v>
      </c>
      <c r="U5" s="76">
        <f>'TE BE'!$U$5*'TE BE'!$U$49</f>
        <v>0.63084146016067089</v>
      </c>
      <c r="V5" s="76">
        <f>'TE BE'!$V$5*'TE BE'!$V$49</f>
        <v>0</v>
      </c>
      <c r="W5" s="76">
        <f>SUM($T$5:$V$5)</f>
        <v>1.2207367478569686</v>
      </c>
      <c r="X5" s="76">
        <f>'TE BE'!$AB$5*'TE BE'!$X$49</f>
        <v>-72.904527404294441</v>
      </c>
      <c r="Y5" s="76">
        <f>SUM($X$5:$X$5)</f>
        <v>-72.904527404294441</v>
      </c>
      <c r="Z5" s="76">
        <f>'TE BE'!$Z$5*'TE BE'!$Z$49</f>
        <v>-0.17758699964664251</v>
      </c>
      <c r="AA5" s="76">
        <f>SUM($Z$5:$Z$5)</f>
        <v>-0.17758699964664251</v>
      </c>
      <c r="AB5" s="76">
        <f ca="1">SUMIF($L$4:$AA$4,"SUBTOTAL",$L$5:$AA$5)+AL5</f>
        <v>-95.760393848341337</v>
      </c>
      <c r="AC5" s="9" t="str">
        <f t="shared" ref="AC5:AC42" si="0">IF($A5="",AC4,$A5)</f>
        <v>A4</v>
      </c>
      <c r="AD5" s="9" t="str">
        <f t="shared" ref="AD5:AD42" si="1">IF($B5="",AD4,$B5)</f>
        <v>Energia horária</v>
      </c>
      <c r="AE5" s="9" t="str">
        <f t="shared" ref="AE5:AE42" si="2">IF($C5="",AE4,$C5)</f>
        <v>Não se aplica</v>
      </c>
      <c r="AF5" s="9" t="str">
        <f t="shared" ref="AF5:AF42" si="3">IF($D5="",AF4,$D5)</f>
        <v>Não se aplica</v>
      </c>
      <c r="AG5" s="9" t="str">
        <f t="shared" ref="AG5:AG42" si="4">IF($E5="",AG4,$E5)</f>
        <v>Não se aplica</v>
      </c>
      <c r="AH5" s="9">
        <v>1</v>
      </c>
      <c r="AI5" s="9">
        <f ca="1">IFERROR(VLOOKUP(AC5,TarifaMedia!$C$18:$G$18,5,0),0)</f>
        <v>0</v>
      </c>
      <c r="AJ5" s="15">
        <f>'TE BE'!$AB5+'TE BF'!$AB5+'TE CVA'!$AB5</f>
        <v>353.55100010229148</v>
      </c>
      <c r="AK5" s="9">
        <v>393.63</v>
      </c>
      <c r="AL5" s="9">
        <f t="shared" ref="AL5:AL42" ca="1" si="5">(AK5-AJ5)*AI5*AH5</f>
        <v>0</v>
      </c>
      <c r="AO5" s="50" t="s">
        <v>1219</v>
      </c>
    </row>
    <row r="6" spans="1:41" ht="11.25" customHeight="1" x14ac:dyDescent="0.25">
      <c r="A6" s="142"/>
      <c r="B6" s="142"/>
      <c r="C6" s="142"/>
      <c r="D6" s="142"/>
      <c r="E6" s="142"/>
      <c r="F6" s="142"/>
      <c r="G6" s="78" t="s">
        <v>84</v>
      </c>
      <c r="H6" s="78" t="s">
        <v>82</v>
      </c>
      <c r="I6" s="78">
        <f>'MERCADO TE'!$U$3</f>
        <v>28500.967999999997</v>
      </c>
      <c r="J6" s="15"/>
      <c r="L6" s="76">
        <f>'TE BE'!$L$6*'TE BE'!$L$49</f>
        <v>3.0536234367108361E-11</v>
      </c>
      <c r="M6" s="76">
        <f>'TE BE'!$M$6*'TE BE'!$M$49</f>
        <v>-14.200076145671</v>
      </c>
      <c r="N6" s="76">
        <f>'TE BE'!$N$6*'TE BE'!$N$49</f>
        <v>0</v>
      </c>
      <c r="O6" s="76">
        <f>'TE BE'!$O$6*'TE BE'!$O$49</f>
        <v>0.18736530626772324</v>
      </c>
      <c r="P6" s="76">
        <f>'TE BE'!$P$6*'TE BE'!$P$49</f>
        <v>0</v>
      </c>
      <c r="Q6" s="76">
        <f>SUM($L$6:$P$6)</f>
        <v>-14.01271083937274</v>
      </c>
      <c r="R6" s="76">
        <f>'TE BE'!$R$6*'TE BE'!$R$49</f>
        <v>-5.7478519493514417</v>
      </c>
      <c r="S6" s="76">
        <f>SUM($R$6:$R$6)</f>
        <v>-5.7478519493514417</v>
      </c>
      <c r="T6" s="76">
        <f>'TE BE'!$T$6*'TE BE'!$T$49</f>
        <v>0.58989528769629773</v>
      </c>
      <c r="U6" s="76">
        <f>'TE BE'!$U$6*'TE BE'!$U$49</f>
        <v>0.63084146016067089</v>
      </c>
      <c r="V6" s="76">
        <f>'TE BE'!$V$6*'TE BE'!$V$49</f>
        <v>0</v>
      </c>
      <c r="W6" s="76">
        <f>SUM($T$6:$V$6)</f>
        <v>1.2207367478569686</v>
      </c>
      <c r="X6" s="76">
        <f>'TE BE'!$AB$6*'TE BE'!$X$49</f>
        <v>-45.118936699190549</v>
      </c>
      <c r="Y6" s="76">
        <f>SUM($X$6:$X$6)</f>
        <v>-45.118936699190549</v>
      </c>
      <c r="Z6" s="76">
        <f>'TE BE'!$Z$6*'TE BE'!$Z$49</f>
        <v>-0.17758699964664251</v>
      </c>
      <c r="AA6" s="76">
        <f>SUM($Z$6:$Z$6)</f>
        <v>-0.17758699964664251</v>
      </c>
      <c r="AB6" s="76">
        <f ca="1">SUMIF($L$4:$AA$4,"SUBTOTAL",$L$6:$AA$6)+AL6</f>
        <v>-63.83634973970441</v>
      </c>
      <c r="AC6" s="9" t="str">
        <f t="shared" si="0"/>
        <v>A4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IFERROR(VLOOKUP(AC6,TarifaMedia!$C$18:$G$18,5,0),0)</f>
        <v>0</v>
      </c>
      <c r="AJ6" s="15">
        <f>'TE BE'!$AB6+'TE BF'!$AB6+'TE CVA'!$AB6</f>
        <v>219.40364509824883</v>
      </c>
      <c r="AK6" s="9">
        <v>249.61</v>
      </c>
      <c r="AL6" s="9">
        <f t="shared" ca="1" si="5"/>
        <v>0</v>
      </c>
      <c r="AO6" s="50" t="s">
        <v>1220</v>
      </c>
    </row>
    <row r="7" spans="1:41" ht="11.25" customHeight="1" x14ac:dyDescent="0.25">
      <c r="A7" s="142"/>
      <c r="B7" s="79" t="s">
        <v>85</v>
      </c>
      <c r="C7" s="79" t="s">
        <v>25</v>
      </c>
      <c r="D7" s="79" t="s">
        <v>25</v>
      </c>
      <c r="E7" s="79" t="s">
        <v>25</v>
      </c>
      <c r="F7" s="79" t="s">
        <v>25</v>
      </c>
      <c r="G7" s="78" t="s">
        <v>86</v>
      </c>
      <c r="H7" s="78" t="s">
        <v>82</v>
      </c>
      <c r="I7" s="78">
        <f>'MERCADO TE'!$U$4</f>
        <v>0</v>
      </c>
      <c r="J7" s="15"/>
      <c r="L7" s="76">
        <f>'TE BE'!$L$7*'TE BE'!$L$49</f>
        <v>3.0536234367108361E-11</v>
      </c>
      <c r="M7" s="76">
        <f>'TE BE'!$M$7*'TE BE'!$M$49</f>
        <v>-14.200076145671</v>
      </c>
      <c r="N7" s="76">
        <f>'TE BE'!$N$7*'TE BE'!$N$49</f>
        <v>0</v>
      </c>
      <c r="O7" s="76">
        <f>'TE BE'!$O$7*'TE BE'!$O$49</f>
        <v>0.18736530626772324</v>
      </c>
      <c r="P7" s="76">
        <f>'TE BE'!$P$7*'TE BE'!$P$49</f>
        <v>0</v>
      </c>
      <c r="Q7" s="76">
        <f>SUM($L$7:$P$7)</f>
        <v>-14.01271083937274</v>
      </c>
      <c r="R7" s="76">
        <f>'TE BE'!$R$7*'TE BE'!$R$49</f>
        <v>-6.0927230663125291</v>
      </c>
      <c r="S7" s="76">
        <f>SUM($R$7:$R$7)</f>
        <v>-6.0927230663125291</v>
      </c>
      <c r="T7" s="76">
        <f>'TE BE'!$T$7*'TE BE'!$T$49</f>
        <v>0.58989528769629773</v>
      </c>
      <c r="U7" s="76">
        <f>'TE BE'!$U$7*'TE BE'!$U$49</f>
        <v>0.63084146016067089</v>
      </c>
      <c r="V7" s="76">
        <f>'TE BE'!$V$7*'TE BE'!$V$49</f>
        <v>0</v>
      </c>
      <c r="W7" s="76">
        <f>SUM($T$7:$V$7)</f>
        <v>1.2207367478569686</v>
      </c>
      <c r="X7" s="76">
        <f>'TE BE'!$AB$7*'TE BE'!$X$49</f>
        <v>-47.434402591282549</v>
      </c>
      <c r="Y7" s="76">
        <f>SUM($X$7:$X$7)</f>
        <v>-47.434402591282549</v>
      </c>
      <c r="Z7" s="76">
        <f>'TE BE'!$Z$7*'TE BE'!$Z$49</f>
        <v>-0.17758699964664251</v>
      </c>
      <c r="AA7" s="76">
        <f>SUM($Z$7:$Z$7)</f>
        <v>-0.17758699964664251</v>
      </c>
      <c r="AB7" s="76">
        <f ca="1">SUMIF($L$4:$AA$4,"SUBTOTAL",$L$7:$AA$7)+AL7</f>
        <v>-66.496686748757483</v>
      </c>
      <c r="AC7" s="9" t="str">
        <f t="shared" si="0"/>
        <v>A4</v>
      </c>
      <c r="AD7" s="9" t="str">
        <f t="shared" si="1"/>
        <v>Energia convencional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9">
        <v>1</v>
      </c>
      <c r="AI7" s="9">
        <f ca="1">IFERROR(VLOOKUP(AC7,TarifaMedia!$C$18:$G$18,5,0),0)</f>
        <v>0</v>
      </c>
      <c r="AJ7" s="15">
        <f>'TE BE'!$AB7+'TE BF'!$AB7+'TE CVA'!$AB7</f>
        <v>230.58259134858577</v>
      </c>
      <c r="AK7" s="9">
        <v>0</v>
      </c>
      <c r="AL7" s="9">
        <f t="shared" ca="1" si="5"/>
        <v>0</v>
      </c>
      <c r="AO7" s="50" t="s">
        <v>1221</v>
      </c>
    </row>
    <row r="8" spans="1:41" ht="11.25" customHeight="1" x14ac:dyDescent="0.25">
      <c r="A8" s="142" t="s">
        <v>22</v>
      </c>
      <c r="B8" s="142" t="s">
        <v>81</v>
      </c>
      <c r="C8" s="142" t="s">
        <v>24</v>
      </c>
      <c r="D8" s="142" t="s">
        <v>24</v>
      </c>
      <c r="E8" s="142" t="s">
        <v>25</v>
      </c>
      <c r="F8" s="142" t="s">
        <v>25</v>
      </c>
      <c r="G8" s="78" t="s">
        <v>83</v>
      </c>
      <c r="H8" s="78" t="s">
        <v>82</v>
      </c>
      <c r="I8" s="78">
        <f>'MERCADO TE'!$U$5</f>
        <v>1.103</v>
      </c>
      <c r="J8" s="15"/>
      <c r="L8" s="76">
        <f>'TE BE'!$L$8*'TE BE'!$L$49</f>
        <v>3.0536234367108361E-11</v>
      </c>
      <c r="M8" s="76">
        <f>'TE BE'!$M$8*'TE BE'!$M$49</f>
        <v>-14.200076145671</v>
      </c>
      <c r="N8" s="76">
        <f>'TE BE'!$N$8*'TE BE'!$N$49</f>
        <v>0</v>
      </c>
      <c r="O8" s="76">
        <f>'TE BE'!$O$8*'TE BE'!$O$49</f>
        <v>0.18736530626772324</v>
      </c>
      <c r="P8" s="76">
        <f>'TE BE'!$P$8*'TE BE'!$P$49</f>
        <v>0</v>
      </c>
      <c r="Q8" s="76">
        <f>SUM($L$8:$P$8)</f>
        <v>-14.01271083937274</v>
      </c>
      <c r="R8" s="76">
        <f>'TE BE'!$R$8*'TE BE'!$R$49</f>
        <v>-9.8863053528844809</v>
      </c>
      <c r="S8" s="76">
        <f>SUM($R$8:$R$8)</f>
        <v>-9.8863053528844809</v>
      </c>
      <c r="T8" s="76">
        <f>'TE BE'!$T$8*'TE BE'!$T$49</f>
        <v>0.58989528769629773</v>
      </c>
      <c r="U8" s="76">
        <f>'TE BE'!$U$8*'TE BE'!$U$49</f>
        <v>0.63084146016067089</v>
      </c>
      <c r="V8" s="76">
        <f>'TE BE'!$V$8*'TE BE'!$V$49</f>
        <v>0</v>
      </c>
      <c r="W8" s="76">
        <f>SUM($T$8:$V$8)</f>
        <v>1.2207367478569686</v>
      </c>
      <c r="X8" s="76">
        <f>'TE BE'!$AB$8*'TE BE'!$X$49</f>
        <v>-72.904527404294441</v>
      </c>
      <c r="Y8" s="76">
        <f>SUM($X$8:$X$8)</f>
        <v>-72.904527404294441</v>
      </c>
      <c r="Z8" s="76">
        <f>'TE BE'!$Z$8*'TE BE'!$Z$49</f>
        <v>-0.17758699964664251</v>
      </c>
      <c r="AA8" s="76">
        <f>SUM($Z$8:$Z$8)</f>
        <v>-0.17758699964664251</v>
      </c>
      <c r="AB8" s="76">
        <f ca="1">SUMIF($L$4:$AA$4,"SUBTOTAL",$L$8:$AA$8)+AL8</f>
        <v>-95.760393848341337</v>
      </c>
      <c r="AC8" s="9" t="str">
        <f t="shared" si="0"/>
        <v>B1</v>
      </c>
      <c r="AD8" s="9" t="str">
        <f t="shared" si="1"/>
        <v>Energia horária</v>
      </c>
      <c r="AE8" s="9" t="str">
        <f t="shared" si="2"/>
        <v>Residencial</v>
      </c>
      <c r="AF8" s="9" t="str">
        <f t="shared" si="3"/>
        <v>Residencial</v>
      </c>
      <c r="AG8" s="9" t="str">
        <f t="shared" si="4"/>
        <v>Não se aplica</v>
      </c>
      <c r="AH8" s="9">
        <v>1</v>
      </c>
      <c r="AI8" s="9">
        <f ca="1">TarifaMedia!$G$20</f>
        <v>0</v>
      </c>
      <c r="AJ8" s="15">
        <f>'TE BE'!$AB8+'TE BF'!$AB8+'TE CVA'!$AB8</f>
        <v>353.55100010229148</v>
      </c>
      <c r="AK8" s="9">
        <v>393.63</v>
      </c>
      <c r="AL8" s="9">
        <f t="shared" ca="1" si="5"/>
        <v>0</v>
      </c>
      <c r="AO8" s="50" t="s">
        <v>1222</v>
      </c>
    </row>
    <row r="9" spans="1:41" ht="11.25" customHeight="1" x14ac:dyDescent="0.25">
      <c r="A9" s="142"/>
      <c r="B9" s="142"/>
      <c r="C9" s="142"/>
      <c r="D9" s="142"/>
      <c r="E9" s="142"/>
      <c r="F9" s="142"/>
      <c r="G9" s="78" t="s">
        <v>93</v>
      </c>
      <c r="H9" s="78" t="s">
        <v>82</v>
      </c>
      <c r="I9" s="78">
        <f>'MERCADO TE'!$U$6</f>
        <v>0.64800000000000013</v>
      </c>
      <c r="J9" s="15"/>
      <c r="L9" s="76">
        <f>'TE BE'!$L$9*'TE BE'!$L$49</f>
        <v>3.0536234367108361E-11</v>
      </c>
      <c r="M9" s="76">
        <f>'TE BE'!$M$9*'TE BE'!$M$49</f>
        <v>-14.200076145671</v>
      </c>
      <c r="N9" s="76">
        <f>'TE BE'!$N$9*'TE BE'!$N$49</f>
        <v>0</v>
      </c>
      <c r="O9" s="76">
        <f>'TE BE'!$O$9*'TE BE'!$O$49</f>
        <v>0.18736530626772324</v>
      </c>
      <c r="P9" s="76">
        <f>'TE BE'!$P$9*'TE BE'!$P$49</f>
        <v>0</v>
      </c>
      <c r="Q9" s="76">
        <f>SUM($L$9:$P$9)</f>
        <v>-14.01271083937274</v>
      </c>
      <c r="R9" s="76">
        <f>'TE BE'!$R$9*'TE BE'!$R$49</f>
        <v>-5.7478519493514417</v>
      </c>
      <c r="S9" s="76">
        <f>SUM($R$9:$R$9)</f>
        <v>-5.7478519493514417</v>
      </c>
      <c r="T9" s="76">
        <f>'TE BE'!$T$9*'TE BE'!$T$49</f>
        <v>0.58989528769629773</v>
      </c>
      <c r="U9" s="76">
        <f>'TE BE'!$U$9*'TE BE'!$U$49</f>
        <v>0.63084146016067089</v>
      </c>
      <c r="V9" s="76">
        <f>'TE BE'!$V$9*'TE BE'!$V$49</f>
        <v>0</v>
      </c>
      <c r="W9" s="76">
        <f>SUM($T$9:$V$9)</f>
        <v>1.2207367478569686</v>
      </c>
      <c r="X9" s="76">
        <f>'TE BE'!$AB$9*'TE BE'!$X$49</f>
        <v>-45.118936699190549</v>
      </c>
      <c r="Y9" s="76">
        <f>SUM($X$9:$X$9)</f>
        <v>-45.118936699190549</v>
      </c>
      <c r="Z9" s="76">
        <f>'TE BE'!$Z$9*'TE BE'!$Z$49</f>
        <v>-0.17758699964664251</v>
      </c>
      <c r="AA9" s="76">
        <f>SUM($Z$9:$Z$9)</f>
        <v>-0.17758699964664251</v>
      </c>
      <c r="AB9" s="76">
        <f ca="1">SUMIF($L$4:$AA$4,"SUBTOTAL",$L$9:$AA$9)+AL9</f>
        <v>-63.83634973970441</v>
      </c>
      <c r="AC9" s="9" t="str">
        <f t="shared" si="0"/>
        <v>B1</v>
      </c>
      <c r="AD9" s="9" t="str">
        <f t="shared" si="1"/>
        <v>Energia horária</v>
      </c>
      <c r="AE9" s="9" t="str">
        <f t="shared" si="2"/>
        <v>Residencial</v>
      </c>
      <c r="AF9" s="9" t="str">
        <f t="shared" si="3"/>
        <v>Residencial</v>
      </c>
      <c r="AG9" s="9" t="str">
        <f t="shared" si="4"/>
        <v>Não se aplica</v>
      </c>
      <c r="AH9" s="9">
        <v>1</v>
      </c>
      <c r="AI9" s="9">
        <f ca="1">TarifaMedia!$G$20</f>
        <v>0</v>
      </c>
      <c r="AJ9" s="15">
        <f>'TE BE'!$AB9+'TE BF'!$AB9+'TE CVA'!$AB9</f>
        <v>219.40364509824883</v>
      </c>
      <c r="AK9" s="9">
        <v>249.61</v>
      </c>
      <c r="AL9" s="9">
        <f t="shared" ca="1" si="5"/>
        <v>0</v>
      </c>
      <c r="AO9" s="50" t="s">
        <v>1223</v>
      </c>
    </row>
    <row r="10" spans="1:41" ht="11.25" customHeight="1" x14ac:dyDescent="0.25">
      <c r="A10" s="142"/>
      <c r="B10" s="142"/>
      <c r="C10" s="142"/>
      <c r="D10" s="142"/>
      <c r="E10" s="142"/>
      <c r="F10" s="142"/>
      <c r="G10" s="78" t="s">
        <v>84</v>
      </c>
      <c r="H10" s="78" t="s">
        <v>82</v>
      </c>
      <c r="I10" s="78">
        <f>'MERCADO TE'!$U$7</f>
        <v>11.868000000000002</v>
      </c>
      <c r="J10" s="15"/>
      <c r="L10" s="76">
        <f>'TE BE'!$L$10*'TE BE'!$L$49</f>
        <v>3.0536234367108361E-11</v>
      </c>
      <c r="M10" s="76">
        <f>'TE BE'!$M$10*'TE BE'!$M$49</f>
        <v>-14.200076145671</v>
      </c>
      <c r="N10" s="76">
        <f>'TE BE'!$N$10*'TE BE'!$N$49</f>
        <v>0</v>
      </c>
      <c r="O10" s="76">
        <f>'TE BE'!$O$10*'TE BE'!$O$49</f>
        <v>0.18736530626772324</v>
      </c>
      <c r="P10" s="76">
        <f>'TE BE'!$P$10*'TE BE'!$P$49</f>
        <v>0</v>
      </c>
      <c r="Q10" s="76">
        <f>SUM($L$10:$P$10)</f>
        <v>-14.01271083937274</v>
      </c>
      <c r="R10" s="76">
        <f>'TE BE'!$R$10*'TE BE'!$R$49</f>
        <v>-5.7478519493514417</v>
      </c>
      <c r="S10" s="76">
        <f>SUM($R$10:$R$10)</f>
        <v>-5.7478519493514417</v>
      </c>
      <c r="T10" s="76">
        <f>'TE BE'!$T$10*'TE BE'!$T$49</f>
        <v>0.58989528769629773</v>
      </c>
      <c r="U10" s="76">
        <f>'TE BE'!$U$10*'TE BE'!$U$49</f>
        <v>0.63084146016067089</v>
      </c>
      <c r="V10" s="76">
        <f>'TE BE'!$V$10*'TE BE'!$V$49</f>
        <v>0</v>
      </c>
      <c r="W10" s="76">
        <f>SUM($T$10:$V$10)</f>
        <v>1.2207367478569686</v>
      </c>
      <c r="X10" s="76">
        <f>'TE BE'!$AB$10*'TE BE'!$X$49</f>
        <v>-45.118936699190549</v>
      </c>
      <c r="Y10" s="76">
        <f>SUM($X$10:$X$10)</f>
        <v>-45.118936699190549</v>
      </c>
      <c r="Z10" s="76">
        <f>'TE BE'!$Z$10*'TE BE'!$Z$49</f>
        <v>-0.17758699964664251</v>
      </c>
      <c r="AA10" s="76">
        <f>SUM($Z$10:$Z$10)</f>
        <v>-0.17758699964664251</v>
      </c>
      <c r="AB10" s="76">
        <f ca="1">SUMIF($L$4:$AA$4,"SUBTOTAL",$L$10:$AA$10)+AL10</f>
        <v>-63.83634973970441</v>
      </c>
      <c r="AC10" s="9" t="str">
        <f t="shared" si="0"/>
        <v>B1</v>
      </c>
      <c r="AD10" s="9" t="str">
        <f t="shared" si="1"/>
        <v>Energia horária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TarifaMedia!$G$20</f>
        <v>0</v>
      </c>
      <c r="AJ10" s="15">
        <f>'TE BE'!$AB10+'TE BF'!$AB10+'TE CVA'!$AB10</f>
        <v>219.40364509824883</v>
      </c>
      <c r="AK10" s="9">
        <v>249.61</v>
      </c>
      <c r="AL10" s="9">
        <f t="shared" ca="1" si="5"/>
        <v>0</v>
      </c>
      <c r="AO10" s="50" t="s">
        <v>1224</v>
      </c>
    </row>
    <row r="11" spans="1:41" ht="11.25" customHeight="1" x14ac:dyDescent="0.25">
      <c r="A11" s="142"/>
      <c r="B11" s="142" t="s">
        <v>85</v>
      </c>
      <c r="C11" s="142" t="s">
        <v>24</v>
      </c>
      <c r="D11" s="79" t="s">
        <v>24</v>
      </c>
      <c r="E11" s="79" t="s">
        <v>25</v>
      </c>
      <c r="F11" s="79" t="s">
        <v>25</v>
      </c>
      <c r="G11" s="78" t="s">
        <v>86</v>
      </c>
      <c r="H11" s="78" t="s">
        <v>82</v>
      </c>
      <c r="I11" s="78">
        <f>'MERCADO TE'!$U$8</f>
        <v>63212.388999999996</v>
      </c>
      <c r="J11" s="15"/>
      <c r="L11" s="76">
        <f>'TE BE'!$L$11*'TE BE'!$L$49</f>
        <v>3.0536234367108361E-11</v>
      </c>
      <c r="M11" s="76">
        <f>'TE BE'!$M$11*'TE BE'!$M$49</f>
        <v>-14.200076145671</v>
      </c>
      <c r="N11" s="76">
        <f>'TE BE'!$N$11*'TE BE'!$N$49</f>
        <v>0</v>
      </c>
      <c r="O11" s="76">
        <f>'TE BE'!$O$11*'TE BE'!$O$49</f>
        <v>0.18736530626772324</v>
      </c>
      <c r="P11" s="76">
        <f>'TE BE'!$P$11*'TE BE'!$P$49</f>
        <v>0</v>
      </c>
      <c r="Q11" s="76">
        <f>SUM($L$11:$P$11)</f>
        <v>-14.01271083937274</v>
      </c>
      <c r="R11" s="76">
        <f>'TE BE'!$R$11*'TE BE'!$R$49</f>
        <v>-6.0927230663125291</v>
      </c>
      <c r="S11" s="76">
        <f>SUM($R$11:$R$11)</f>
        <v>-6.0927230663125291</v>
      </c>
      <c r="T11" s="76">
        <f>'TE BE'!$T$11*'TE BE'!$T$49</f>
        <v>0.58989528769629773</v>
      </c>
      <c r="U11" s="76">
        <f>'TE BE'!$U$11*'TE BE'!$U$49</f>
        <v>0.63084146016067089</v>
      </c>
      <c r="V11" s="76">
        <f>'TE BE'!$V$11*'TE BE'!$V$49</f>
        <v>0</v>
      </c>
      <c r="W11" s="76">
        <f>SUM($T$11:$V$11)</f>
        <v>1.2207367478569686</v>
      </c>
      <c r="X11" s="76">
        <f>'TE BE'!$AB$11*'TE BE'!$X$49</f>
        <v>-47.434402591282549</v>
      </c>
      <c r="Y11" s="76">
        <f>SUM($X$11:$X$11)</f>
        <v>-47.434402591282549</v>
      </c>
      <c r="Z11" s="76">
        <f>'TE BE'!$Z$11*'TE BE'!$Z$49</f>
        <v>-0.17758699964664251</v>
      </c>
      <c r="AA11" s="76">
        <f>SUM($Z$11:$Z$11)</f>
        <v>-0.17758699964664251</v>
      </c>
      <c r="AB11" s="76">
        <f ca="1">SUMIF($L$4:$AA$4,"SUBTOTAL",$L$11:$AA$11)+AL11</f>
        <v>-66.496686748757483</v>
      </c>
      <c r="AC11" s="9" t="str">
        <f t="shared" si="0"/>
        <v>B1</v>
      </c>
      <c r="AD11" s="9" t="str">
        <f t="shared" si="1"/>
        <v>Energia convencional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TarifaMedia!$G$20</f>
        <v>0</v>
      </c>
      <c r="AJ11" s="15">
        <f>'TE BE'!$AB11+'TE BF'!$AB11+'TE CVA'!$AB11</f>
        <v>230.58259134858577</v>
      </c>
      <c r="AK11" s="9">
        <v>261.62</v>
      </c>
      <c r="AL11" s="9">
        <f t="shared" ca="1" si="5"/>
        <v>0</v>
      </c>
      <c r="AO11" s="50" t="s">
        <v>1225</v>
      </c>
    </row>
    <row r="12" spans="1:41" ht="11.25" customHeight="1" x14ac:dyDescent="0.25">
      <c r="A12" s="142"/>
      <c r="B12" s="142"/>
      <c r="C12" s="142"/>
      <c r="D12" s="79" t="s">
        <v>28</v>
      </c>
      <c r="E12" s="79" t="s">
        <v>25</v>
      </c>
      <c r="F12" s="79" t="s">
        <v>25</v>
      </c>
      <c r="G12" s="78" t="s">
        <v>86</v>
      </c>
      <c r="H12" s="78" t="s">
        <v>82</v>
      </c>
      <c r="I12" s="78">
        <f>'MERCADO TE'!$U$9</f>
        <v>258.12700000000001</v>
      </c>
      <c r="J12" s="15"/>
      <c r="L12" s="76">
        <f>'TE BE'!$L$12*'TE BE'!$L$49</f>
        <v>3.0536234367108361E-11</v>
      </c>
      <c r="M12" s="76">
        <f>'TE BE'!$M$12*'TE BE'!$M$49</f>
        <v>-14.200076145671</v>
      </c>
      <c r="N12" s="76">
        <f>'TE BE'!$N$12*'TE BE'!$N$49</f>
        <v>0</v>
      </c>
      <c r="O12" s="76">
        <f>'TE BE'!$O$12*'TE BE'!$O$49</f>
        <v>0.18736530626772324</v>
      </c>
      <c r="P12" s="76">
        <f>'TE BE'!$P$12*'TE BE'!$P$49</f>
        <v>0</v>
      </c>
      <c r="Q12" s="76">
        <f>SUM($L$12:$P$12)</f>
        <v>-14.01271083937274</v>
      </c>
      <c r="R12" s="76">
        <f>'TE BE'!$R$12*'TE BE'!$R$49</f>
        <v>-6.0927230663125291</v>
      </c>
      <c r="S12" s="76">
        <f>SUM($R$12:$R$12)</f>
        <v>-6.0927230663125291</v>
      </c>
      <c r="T12" s="76">
        <f>'TE BE'!$T$12*'TE BE'!$T$49</f>
        <v>0.58989528769629773</v>
      </c>
      <c r="U12" s="76">
        <f>'TE BE'!$U$12*'TE BE'!$U$49</f>
        <v>0.63084146016067089</v>
      </c>
      <c r="V12" s="76">
        <f>'TE BE'!$V$12*'TE BE'!$V$49</f>
        <v>0</v>
      </c>
      <c r="W12" s="76">
        <f>SUM($T$12:$V$12)</f>
        <v>1.2207367478569686</v>
      </c>
      <c r="X12" s="76">
        <f>'TE BE'!$AB$12*'TE BE'!$X$49</f>
        <v>-47.434402591282549</v>
      </c>
      <c r="Y12" s="76">
        <f>SUM($X$12:$X$12)</f>
        <v>-47.434402591282549</v>
      </c>
      <c r="Z12" s="76">
        <f>'TE BE'!$Z$12*'TE BE'!$Z$49</f>
        <v>-0.17758699964664251</v>
      </c>
      <c r="AA12" s="76">
        <f>SUM($Z$12:$Z$12)</f>
        <v>-0.17758699964664251</v>
      </c>
      <c r="AB12" s="76">
        <f ca="1">SUMIF($L$4:$AA$4,"SUBTOTAL",$L$12:$AA$12)+AL12</f>
        <v>-66.496686748757483</v>
      </c>
      <c r="AC12" s="9" t="str">
        <f t="shared" si="0"/>
        <v>B1</v>
      </c>
      <c r="AD12" s="9" t="str">
        <f t="shared" si="1"/>
        <v>Energia convencional</v>
      </c>
      <c r="AE12" s="9" t="str">
        <f t="shared" si="2"/>
        <v>Residencial</v>
      </c>
      <c r="AF12" s="9" t="str">
        <f t="shared" si="3"/>
        <v>Residencial baixa renda – faixa 01</v>
      </c>
      <c r="AG12" s="9" t="str">
        <f t="shared" si="4"/>
        <v>Não se aplica</v>
      </c>
      <c r="AH12" s="9">
        <v>1</v>
      </c>
      <c r="AI12" s="9">
        <f ca="1">TarifaMedia!$G$20</f>
        <v>0</v>
      </c>
      <c r="AJ12" s="15">
        <f>'TE BE'!$AB12+'TE BF'!$AB12+'TE CVA'!$AB12</f>
        <v>230.58259134858577</v>
      </c>
      <c r="AK12" s="9">
        <v>261.62</v>
      </c>
      <c r="AL12" s="9">
        <f t="shared" ca="1" si="5"/>
        <v>0</v>
      </c>
      <c r="AO12" s="50" t="s">
        <v>1226</v>
      </c>
    </row>
    <row r="13" spans="1:41" ht="11.25" customHeight="1" x14ac:dyDescent="0.25">
      <c r="A13" s="142"/>
      <c r="B13" s="142"/>
      <c r="C13" s="142"/>
      <c r="D13" s="79" t="s">
        <v>29</v>
      </c>
      <c r="E13" s="79" t="s">
        <v>25</v>
      </c>
      <c r="F13" s="79" t="s">
        <v>25</v>
      </c>
      <c r="G13" s="78" t="s">
        <v>86</v>
      </c>
      <c r="H13" s="78" t="s">
        <v>82</v>
      </c>
      <c r="I13" s="78">
        <f>'MERCADO TE'!$U$10</f>
        <v>546.58100000000002</v>
      </c>
      <c r="J13" s="15"/>
      <c r="L13" s="76">
        <f>'TE BE'!$L$13*'TE BE'!$L$49</f>
        <v>3.0536234367108361E-11</v>
      </c>
      <c r="M13" s="76">
        <f>'TE BE'!$M$13*'TE BE'!$M$49</f>
        <v>-14.200076145671</v>
      </c>
      <c r="N13" s="76">
        <f>'TE BE'!$N$13*'TE BE'!$N$49</f>
        <v>0</v>
      </c>
      <c r="O13" s="76">
        <f>'TE BE'!$O$13*'TE BE'!$O$49</f>
        <v>0.18736530626772324</v>
      </c>
      <c r="P13" s="76">
        <f>'TE BE'!$P$13*'TE BE'!$P$49</f>
        <v>0</v>
      </c>
      <c r="Q13" s="76">
        <f>SUM($L$13:$P$13)</f>
        <v>-14.01271083937274</v>
      </c>
      <c r="R13" s="76">
        <f>'TE BE'!$R$13*'TE BE'!$R$49</f>
        <v>-6.0927230663125291</v>
      </c>
      <c r="S13" s="76">
        <f>SUM($R$13:$R$13)</f>
        <v>-6.0927230663125291</v>
      </c>
      <c r="T13" s="76">
        <f>'TE BE'!$T$13*'TE BE'!$T$49</f>
        <v>0.58989528769629773</v>
      </c>
      <c r="U13" s="76">
        <f>'TE BE'!$U$13*'TE BE'!$U$49</f>
        <v>0.63084146016067089</v>
      </c>
      <c r="V13" s="76">
        <f>'TE BE'!$V$13*'TE BE'!$V$49</f>
        <v>0</v>
      </c>
      <c r="W13" s="76">
        <f>SUM($T$13:$V$13)</f>
        <v>1.2207367478569686</v>
      </c>
      <c r="X13" s="76">
        <f>'TE BE'!$AB$13*'TE BE'!$X$49</f>
        <v>-47.434402591282549</v>
      </c>
      <c r="Y13" s="76">
        <f>SUM($X$13:$X$13)</f>
        <v>-47.434402591282549</v>
      </c>
      <c r="Z13" s="76">
        <f>'TE BE'!$Z$13*'TE BE'!$Z$49</f>
        <v>-0.17758699964664251</v>
      </c>
      <c r="AA13" s="76">
        <f>SUM($Z$13:$Z$13)</f>
        <v>-0.17758699964664251</v>
      </c>
      <c r="AB13" s="76">
        <f ca="1">SUMIF($L$4:$AA$4,"SUBTOTAL",$L$13:$AA$13)+AL13</f>
        <v>-66.496686748757483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 baixa renda – faixa 02</v>
      </c>
      <c r="AG13" s="9" t="str">
        <f t="shared" si="4"/>
        <v>Não se aplica</v>
      </c>
      <c r="AH13" s="9">
        <v>1</v>
      </c>
      <c r="AI13" s="9">
        <f ca="1">TarifaMedia!$G$20</f>
        <v>0</v>
      </c>
      <c r="AJ13" s="15">
        <f>'TE BE'!$AB13+'TE BF'!$AB13+'TE CVA'!$AB13</f>
        <v>230.58259134858577</v>
      </c>
      <c r="AK13" s="9">
        <v>261.62</v>
      </c>
      <c r="AL13" s="9">
        <f t="shared" ca="1" si="5"/>
        <v>0</v>
      </c>
      <c r="AO13" s="50" t="s">
        <v>1226</v>
      </c>
    </row>
    <row r="14" spans="1:41" ht="11.25" customHeight="1" x14ac:dyDescent="0.25">
      <c r="A14" s="142"/>
      <c r="B14" s="142"/>
      <c r="C14" s="142"/>
      <c r="D14" s="79" t="s">
        <v>30</v>
      </c>
      <c r="E14" s="79" t="s">
        <v>25</v>
      </c>
      <c r="F14" s="79" t="s">
        <v>25</v>
      </c>
      <c r="G14" s="78" t="s">
        <v>86</v>
      </c>
      <c r="H14" s="78" t="s">
        <v>82</v>
      </c>
      <c r="I14" s="78">
        <f>'MERCADO TE'!$U$11</f>
        <v>537.75300000000004</v>
      </c>
      <c r="J14" s="15"/>
      <c r="L14" s="76">
        <f>'TE BE'!$L$14*'TE BE'!$L$49</f>
        <v>3.0536234367108361E-11</v>
      </c>
      <c r="M14" s="76">
        <f>'TE BE'!$M$14*'TE BE'!$M$49</f>
        <v>-14.200076145671</v>
      </c>
      <c r="N14" s="76">
        <f>'TE BE'!$N$14*'TE BE'!$N$49</f>
        <v>0</v>
      </c>
      <c r="O14" s="76">
        <f>'TE BE'!$O$14*'TE BE'!$O$49</f>
        <v>0.18736530626772324</v>
      </c>
      <c r="P14" s="76">
        <f>'TE BE'!$P$14*'TE BE'!$P$49</f>
        <v>0</v>
      </c>
      <c r="Q14" s="76">
        <f>SUM($L$14:$P$14)</f>
        <v>-14.01271083937274</v>
      </c>
      <c r="R14" s="76">
        <f>'TE BE'!$R$14*'TE BE'!$R$49</f>
        <v>-6.0927230663125291</v>
      </c>
      <c r="S14" s="76">
        <f>SUM($R$14:$R$14)</f>
        <v>-6.0927230663125291</v>
      </c>
      <c r="T14" s="76">
        <f>'TE BE'!$T$14*'TE BE'!$T$49</f>
        <v>0.58989528769629773</v>
      </c>
      <c r="U14" s="76">
        <f>'TE BE'!$U$14*'TE BE'!$U$49</f>
        <v>0.63084146016067089</v>
      </c>
      <c r="V14" s="76">
        <f>'TE BE'!$V$14*'TE BE'!$V$49</f>
        <v>0</v>
      </c>
      <c r="W14" s="76">
        <f>SUM($T$14:$V$14)</f>
        <v>1.2207367478569686</v>
      </c>
      <c r="X14" s="76">
        <f>'TE BE'!$AB$14*'TE BE'!$X$49</f>
        <v>-47.434402591282549</v>
      </c>
      <c r="Y14" s="76">
        <f>SUM($X$14:$X$14)</f>
        <v>-47.434402591282549</v>
      </c>
      <c r="Z14" s="76">
        <f>'TE BE'!$Z$14*'TE BE'!$Z$49</f>
        <v>-0.17758699964664251</v>
      </c>
      <c r="AA14" s="76">
        <f>SUM($Z$14:$Z$14)</f>
        <v>-0.17758699964664251</v>
      </c>
      <c r="AB14" s="76">
        <f ca="1">SUMIF($L$4:$AA$4,"SUBTOTAL",$L$14:$AA$14)+AL14</f>
        <v>-66.496686748757483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03</v>
      </c>
      <c r="AG14" s="9" t="str">
        <f t="shared" si="4"/>
        <v>Não se aplica</v>
      </c>
      <c r="AH14" s="9">
        <v>1</v>
      </c>
      <c r="AI14" s="9">
        <f ca="1">TarifaMedia!$G$20</f>
        <v>0</v>
      </c>
      <c r="AJ14" s="15">
        <f>'TE BE'!$AB14+'TE BF'!$AB14+'TE CVA'!$AB14</f>
        <v>230.58259134858577</v>
      </c>
      <c r="AK14" s="9">
        <v>261.62</v>
      </c>
      <c r="AL14" s="9">
        <f t="shared" ca="1" si="5"/>
        <v>0</v>
      </c>
      <c r="AO14" s="50" t="s">
        <v>1226</v>
      </c>
    </row>
    <row r="15" spans="1:41" ht="11.25" customHeight="1" x14ac:dyDescent="0.25">
      <c r="A15" s="142"/>
      <c r="B15" s="142"/>
      <c r="C15" s="142"/>
      <c r="D15" s="79" t="s">
        <v>31</v>
      </c>
      <c r="E15" s="79" t="s">
        <v>25</v>
      </c>
      <c r="F15" s="79" t="s">
        <v>25</v>
      </c>
      <c r="G15" s="78" t="s">
        <v>86</v>
      </c>
      <c r="H15" s="78" t="s">
        <v>82</v>
      </c>
      <c r="I15" s="78">
        <f>'MERCADO TE'!$U$12</f>
        <v>180.10599999999999</v>
      </c>
      <c r="J15" s="15"/>
      <c r="L15" s="76">
        <f>'TE BE'!$L$15*'TE BE'!$L$49</f>
        <v>3.0536234367108361E-11</v>
      </c>
      <c r="M15" s="76">
        <f>'TE BE'!$M$15*'TE BE'!$M$49</f>
        <v>-14.200076145671</v>
      </c>
      <c r="N15" s="76">
        <f>'TE BE'!$N$15*'TE BE'!$N$49</f>
        <v>0</v>
      </c>
      <c r="O15" s="76">
        <f>'TE BE'!$O$15*'TE BE'!$O$49</f>
        <v>0.18736530626772324</v>
      </c>
      <c r="P15" s="76">
        <f>'TE BE'!$P$15*'TE BE'!$P$49</f>
        <v>0</v>
      </c>
      <c r="Q15" s="76">
        <f>SUM($L$15:$P$15)</f>
        <v>-14.01271083937274</v>
      </c>
      <c r="R15" s="76">
        <f>'TE BE'!$R$15*'TE BE'!$R$49</f>
        <v>-6.0927230663125291</v>
      </c>
      <c r="S15" s="76">
        <f>SUM($R$15:$R$15)</f>
        <v>-6.0927230663125291</v>
      </c>
      <c r="T15" s="76">
        <f>'TE BE'!$T$15*'TE BE'!$T$49</f>
        <v>0.58989528769629773</v>
      </c>
      <c r="U15" s="76">
        <f>'TE BE'!$U$15*'TE BE'!$U$49</f>
        <v>0.63084146016067089</v>
      </c>
      <c r="V15" s="76">
        <f>'TE BE'!$V$15*'TE BE'!$V$49</f>
        <v>0</v>
      </c>
      <c r="W15" s="76">
        <f>SUM($T$15:$V$15)</f>
        <v>1.2207367478569686</v>
      </c>
      <c r="X15" s="76">
        <f>'TE BE'!$AB$15*'TE BE'!$X$49</f>
        <v>-47.434402591282549</v>
      </c>
      <c r="Y15" s="76">
        <f>SUM($X$15:$X$15)</f>
        <v>-47.434402591282549</v>
      </c>
      <c r="Z15" s="76">
        <f>'TE BE'!$Z$15*'TE BE'!$Z$49</f>
        <v>-0.17758699964664251</v>
      </c>
      <c r="AA15" s="76">
        <f>SUM($Z$15:$Z$15)</f>
        <v>-0.17758699964664251</v>
      </c>
      <c r="AB15" s="76">
        <f ca="1">SUMIF($L$4:$AA$4,"SUBTOTAL",$L$15:$AA$15)+AL15</f>
        <v>-66.496686748757483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04</v>
      </c>
      <c r="AG15" s="9" t="str">
        <f t="shared" si="4"/>
        <v>Não se aplica</v>
      </c>
      <c r="AH15" s="9">
        <v>1</v>
      </c>
      <c r="AI15" s="9">
        <f ca="1">TarifaMedia!$G$20</f>
        <v>0</v>
      </c>
      <c r="AJ15" s="15">
        <f>'TE BE'!$AB15+'TE BF'!$AB15+'TE CVA'!$AB15</f>
        <v>230.58259134858577</v>
      </c>
      <c r="AK15" s="9">
        <v>261.62</v>
      </c>
      <c r="AL15" s="9">
        <f t="shared" ca="1" si="5"/>
        <v>0</v>
      </c>
      <c r="AO15" s="50" t="s">
        <v>1226</v>
      </c>
    </row>
    <row r="16" spans="1:41" ht="11.25" customHeight="1" x14ac:dyDescent="0.25">
      <c r="A16" s="142"/>
      <c r="B16" s="142" t="s">
        <v>94</v>
      </c>
      <c r="C16" s="142" t="s">
        <v>24</v>
      </c>
      <c r="D16" s="79" t="s">
        <v>24</v>
      </c>
      <c r="E16" s="79" t="s">
        <v>25</v>
      </c>
      <c r="F16" s="79" t="s">
        <v>25</v>
      </c>
      <c r="G16" s="78" t="s">
        <v>86</v>
      </c>
      <c r="H16" s="78" t="s">
        <v>82</v>
      </c>
      <c r="I16" s="78">
        <f>'MERCADO TE'!$U$13</f>
        <v>0</v>
      </c>
      <c r="J16" s="15"/>
      <c r="L16" s="76">
        <f>'TE BE'!$L$16*'TE BE'!$L$49</f>
        <v>3.0536234367108361E-11</v>
      </c>
      <c r="M16" s="76">
        <f>'TE BE'!$M$16*'TE BE'!$M$49</f>
        <v>-14.200076145671</v>
      </c>
      <c r="N16" s="76">
        <f>'TE BE'!$N$16*'TE BE'!$N$49</f>
        <v>0</v>
      </c>
      <c r="O16" s="76">
        <f>'TE BE'!$O$16*'TE BE'!$O$49</f>
        <v>0.18736530626772324</v>
      </c>
      <c r="P16" s="76">
        <f>'TE BE'!$P$16*'TE BE'!$P$49</f>
        <v>0</v>
      </c>
      <c r="Q16" s="76">
        <f>SUM($L$16:$P$16)</f>
        <v>-14.01271083937274</v>
      </c>
      <c r="R16" s="76">
        <f>'TE BE'!$R$16*'TE BE'!$R$49</f>
        <v>-6.0927230663125291</v>
      </c>
      <c r="S16" s="76">
        <f>SUM($R$16:$R$16)</f>
        <v>-6.0927230663125291</v>
      </c>
      <c r="T16" s="76">
        <f>'TE BE'!$T$16*'TE BE'!$T$49</f>
        <v>0.58989528769629773</v>
      </c>
      <c r="U16" s="76">
        <f>'TE BE'!$U$16*'TE BE'!$U$49</f>
        <v>0.63084146016067089</v>
      </c>
      <c r="V16" s="76">
        <f>'TE BE'!$V$16*'TE BE'!$V$49</f>
        <v>0</v>
      </c>
      <c r="W16" s="76">
        <f>SUM($T$16:$V$16)</f>
        <v>1.2207367478569686</v>
      </c>
      <c r="X16" s="76">
        <f>'TE BE'!$AB$16*'TE BE'!$X$49</f>
        <v>-47.434402591282549</v>
      </c>
      <c r="Y16" s="76">
        <f>SUM($X$16:$X$16)</f>
        <v>-47.434402591282549</v>
      </c>
      <c r="Z16" s="76">
        <f>'TE BE'!$Z$16*'TE BE'!$Z$49</f>
        <v>-0.17758699964664251</v>
      </c>
      <c r="AA16" s="76">
        <f>SUM($Z$16:$Z$16)</f>
        <v>-0.17758699964664251</v>
      </c>
      <c r="AB16" s="76">
        <f ca="1">SUMIF($L$4:$AA$4,"SUBTOTAL",$L$16:$AA$16)+AL16</f>
        <v>-66.496686748757483</v>
      </c>
      <c r="AC16" s="9" t="str">
        <f t="shared" si="0"/>
        <v>B1</v>
      </c>
      <c r="AD16" s="9" t="str">
        <f t="shared" si="1"/>
        <v>Energia convencional pré-pagamento</v>
      </c>
      <c r="AE16" s="9" t="str">
        <f t="shared" si="2"/>
        <v>Residencial</v>
      </c>
      <c r="AF16" s="9" t="str">
        <f t="shared" si="3"/>
        <v>Residencial</v>
      </c>
      <c r="AG16" s="9" t="str">
        <f t="shared" si="4"/>
        <v>Não se aplica</v>
      </c>
      <c r="AH16" s="9">
        <v>1</v>
      </c>
      <c r="AI16" s="9">
        <f ca="1">TarifaMedia!$G$20</f>
        <v>0</v>
      </c>
      <c r="AJ16" s="15">
        <f>'TE BE'!$AB16+'TE BF'!$AB16+'TE CVA'!$AB16</f>
        <v>230.58259134858577</v>
      </c>
      <c r="AK16" s="9">
        <v>261.62</v>
      </c>
      <c r="AL16" s="9">
        <f t="shared" ca="1" si="5"/>
        <v>0</v>
      </c>
      <c r="AO16" s="50" t="s">
        <v>1227</v>
      </c>
    </row>
    <row r="17" spans="1:41" ht="11.25" customHeight="1" x14ac:dyDescent="0.25">
      <c r="A17" s="142"/>
      <c r="B17" s="142"/>
      <c r="C17" s="142"/>
      <c r="D17" s="79" t="s">
        <v>28</v>
      </c>
      <c r="E17" s="79" t="s">
        <v>25</v>
      </c>
      <c r="F17" s="79" t="s">
        <v>25</v>
      </c>
      <c r="G17" s="78" t="s">
        <v>86</v>
      </c>
      <c r="H17" s="78" t="s">
        <v>82</v>
      </c>
      <c r="I17" s="78">
        <f>'MERCADO TE'!$U$14</f>
        <v>0</v>
      </c>
      <c r="J17" s="15"/>
      <c r="L17" s="76">
        <f>'TE BE'!$L$17*'TE BE'!$L$49</f>
        <v>3.0536234367108361E-11</v>
      </c>
      <c r="M17" s="76">
        <f>'TE BE'!$M$17*'TE BE'!$M$49</f>
        <v>-14.200076145671</v>
      </c>
      <c r="N17" s="76">
        <f>'TE BE'!$N$17*'TE BE'!$N$49</f>
        <v>0</v>
      </c>
      <c r="O17" s="76">
        <f>'TE BE'!$O$17*'TE BE'!$O$49</f>
        <v>0.18736530626772324</v>
      </c>
      <c r="P17" s="76">
        <f>'TE BE'!$P$17*'TE BE'!$P$49</f>
        <v>0</v>
      </c>
      <c r="Q17" s="76">
        <f>SUM($L$17:$P$17)</f>
        <v>-14.01271083937274</v>
      </c>
      <c r="R17" s="76">
        <f>'TE BE'!$R$17*'TE BE'!$R$49</f>
        <v>-6.0927230663125291</v>
      </c>
      <c r="S17" s="76">
        <f>SUM($R$17:$R$17)</f>
        <v>-6.0927230663125291</v>
      </c>
      <c r="T17" s="76">
        <f>'TE BE'!$T$17*'TE BE'!$T$49</f>
        <v>0.58989528769629773</v>
      </c>
      <c r="U17" s="76">
        <f>'TE BE'!$U$17*'TE BE'!$U$49</f>
        <v>0.63084146016067089</v>
      </c>
      <c r="V17" s="76">
        <f>'TE BE'!$V$17*'TE BE'!$V$49</f>
        <v>0</v>
      </c>
      <c r="W17" s="76">
        <f>SUM($T$17:$V$17)</f>
        <v>1.2207367478569686</v>
      </c>
      <c r="X17" s="76">
        <f>'TE BE'!$AB$17*'TE BE'!$X$49</f>
        <v>-47.434402591282549</v>
      </c>
      <c r="Y17" s="76">
        <f>SUM($X$17:$X$17)</f>
        <v>-47.434402591282549</v>
      </c>
      <c r="Z17" s="76">
        <f>'TE BE'!$Z$17*'TE BE'!$Z$49</f>
        <v>-0.17758699964664251</v>
      </c>
      <c r="AA17" s="76">
        <f>SUM($Z$17:$Z$17)</f>
        <v>-0.17758699964664251</v>
      </c>
      <c r="AB17" s="76">
        <f ca="1">SUMIF($L$4:$AA$4,"SUBTOTAL",$L$17:$AA$17)+AL17</f>
        <v>-66.496686748757483</v>
      </c>
      <c r="AC17" s="9" t="str">
        <f t="shared" si="0"/>
        <v>B1</v>
      </c>
      <c r="AD17" s="9" t="str">
        <f t="shared" si="1"/>
        <v>Energia convencional pré-pagamento</v>
      </c>
      <c r="AE17" s="9" t="str">
        <f t="shared" si="2"/>
        <v>Residencial</v>
      </c>
      <c r="AF17" s="9" t="str">
        <f t="shared" si="3"/>
        <v>Residencial baixa renda – faixa 01</v>
      </c>
      <c r="AG17" s="9" t="str">
        <f t="shared" si="4"/>
        <v>Não se aplica</v>
      </c>
      <c r="AH17" s="9">
        <v>1</v>
      </c>
      <c r="AI17" s="9">
        <f ca="1">TarifaMedia!$G$20</f>
        <v>0</v>
      </c>
      <c r="AJ17" s="15">
        <f>'TE BE'!$AB17+'TE BF'!$AB17+'TE CVA'!$AB17</f>
        <v>230.58259134858577</v>
      </c>
      <c r="AK17" s="9">
        <v>261.62</v>
      </c>
      <c r="AL17" s="9">
        <f t="shared" ca="1" si="5"/>
        <v>0</v>
      </c>
      <c r="AO17" s="50" t="s">
        <v>1228</v>
      </c>
    </row>
    <row r="18" spans="1:41" ht="11.25" customHeight="1" x14ac:dyDescent="0.25">
      <c r="A18" s="142"/>
      <c r="B18" s="142"/>
      <c r="C18" s="142"/>
      <c r="D18" s="79" t="s">
        <v>29</v>
      </c>
      <c r="E18" s="79" t="s">
        <v>25</v>
      </c>
      <c r="F18" s="79" t="s">
        <v>25</v>
      </c>
      <c r="G18" s="78" t="s">
        <v>86</v>
      </c>
      <c r="H18" s="78" t="s">
        <v>82</v>
      </c>
      <c r="I18" s="78">
        <f>'MERCADO TE'!$U$15</f>
        <v>0</v>
      </c>
      <c r="J18" s="15"/>
      <c r="L18" s="76">
        <f>'TE BE'!$L$18*'TE BE'!$L$49</f>
        <v>3.0536234367108361E-11</v>
      </c>
      <c r="M18" s="76">
        <f>'TE BE'!$M$18*'TE BE'!$M$49</f>
        <v>-14.200076145671</v>
      </c>
      <c r="N18" s="76">
        <f>'TE BE'!$N$18*'TE BE'!$N$49</f>
        <v>0</v>
      </c>
      <c r="O18" s="76">
        <f>'TE BE'!$O$18*'TE BE'!$O$49</f>
        <v>0.18736530626772324</v>
      </c>
      <c r="P18" s="76">
        <f>'TE BE'!$P$18*'TE BE'!$P$49</f>
        <v>0</v>
      </c>
      <c r="Q18" s="76">
        <f>SUM($L$18:$P$18)</f>
        <v>-14.01271083937274</v>
      </c>
      <c r="R18" s="76">
        <f>'TE BE'!$R$18*'TE BE'!$R$49</f>
        <v>-6.0927230663125291</v>
      </c>
      <c r="S18" s="76">
        <f>SUM($R$18:$R$18)</f>
        <v>-6.0927230663125291</v>
      </c>
      <c r="T18" s="76">
        <f>'TE BE'!$T$18*'TE BE'!$T$49</f>
        <v>0.58989528769629773</v>
      </c>
      <c r="U18" s="76">
        <f>'TE BE'!$U$18*'TE BE'!$U$49</f>
        <v>0.63084146016067089</v>
      </c>
      <c r="V18" s="76">
        <f>'TE BE'!$V$18*'TE BE'!$V$49</f>
        <v>0</v>
      </c>
      <c r="W18" s="76">
        <f>SUM($T$18:$V$18)</f>
        <v>1.2207367478569686</v>
      </c>
      <c r="X18" s="76">
        <f>'TE BE'!$AB$18*'TE BE'!$X$49</f>
        <v>-47.434402591282549</v>
      </c>
      <c r="Y18" s="76">
        <f>SUM($X$18:$X$18)</f>
        <v>-47.434402591282549</v>
      </c>
      <c r="Z18" s="76">
        <f>'TE BE'!$Z$18*'TE BE'!$Z$49</f>
        <v>-0.17758699964664251</v>
      </c>
      <c r="AA18" s="76">
        <f>SUM($Z$18:$Z$18)</f>
        <v>-0.17758699964664251</v>
      </c>
      <c r="AB18" s="76">
        <f ca="1">SUMIF($L$4:$AA$4,"SUBTOTAL",$L$18:$AA$18)+AL18</f>
        <v>-66.496686748757483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 baixa renda – faixa 02</v>
      </c>
      <c r="AG18" s="9" t="str">
        <f t="shared" si="4"/>
        <v>Não se aplica</v>
      </c>
      <c r="AH18" s="9">
        <v>1</v>
      </c>
      <c r="AI18" s="9">
        <f ca="1">TarifaMedia!$G$20</f>
        <v>0</v>
      </c>
      <c r="AJ18" s="15">
        <f>'TE BE'!$AB18+'TE BF'!$AB18+'TE CVA'!$AB18</f>
        <v>230.58259134858577</v>
      </c>
      <c r="AK18" s="9">
        <v>261.62</v>
      </c>
      <c r="AL18" s="9">
        <f t="shared" ca="1" si="5"/>
        <v>0</v>
      </c>
      <c r="AO18" s="50" t="s">
        <v>1228</v>
      </c>
    </row>
    <row r="19" spans="1:41" ht="11.25" customHeight="1" x14ac:dyDescent="0.25">
      <c r="A19" s="142"/>
      <c r="B19" s="142"/>
      <c r="C19" s="142"/>
      <c r="D19" s="79" t="s">
        <v>30</v>
      </c>
      <c r="E19" s="79" t="s">
        <v>25</v>
      </c>
      <c r="F19" s="79" t="s">
        <v>25</v>
      </c>
      <c r="G19" s="78" t="s">
        <v>86</v>
      </c>
      <c r="H19" s="78" t="s">
        <v>82</v>
      </c>
      <c r="I19" s="78">
        <f>'MERCADO TE'!$U$16</f>
        <v>0</v>
      </c>
      <c r="J19" s="15"/>
      <c r="L19" s="76">
        <f>'TE BE'!$L$19*'TE BE'!$L$49</f>
        <v>3.0536234367108361E-11</v>
      </c>
      <c r="M19" s="76">
        <f>'TE BE'!$M$19*'TE BE'!$M$49</f>
        <v>-14.200076145671</v>
      </c>
      <c r="N19" s="76">
        <f>'TE BE'!$N$19*'TE BE'!$N$49</f>
        <v>0</v>
      </c>
      <c r="O19" s="76">
        <f>'TE BE'!$O$19*'TE BE'!$O$49</f>
        <v>0.18736530626772324</v>
      </c>
      <c r="P19" s="76">
        <f>'TE BE'!$P$19*'TE BE'!$P$49</f>
        <v>0</v>
      </c>
      <c r="Q19" s="76">
        <f>SUM($L$19:$P$19)</f>
        <v>-14.01271083937274</v>
      </c>
      <c r="R19" s="76">
        <f>'TE BE'!$R$19*'TE BE'!$R$49</f>
        <v>-6.0927230663125291</v>
      </c>
      <c r="S19" s="76">
        <f>SUM($R$19:$R$19)</f>
        <v>-6.0927230663125291</v>
      </c>
      <c r="T19" s="76">
        <f>'TE BE'!$T$19*'TE BE'!$T$49</f>
        <v>0.58989528769629773</v>
      </c>
      <c r="U19" s="76">
        <f>'TE BE'!$U$19*'TE BE'!$U$49</f>
        <v>0.63084146016067089</v>
      </c>
      <c r="V19" s="76">
        <f>'TE BE'!$V$19*'TE BE'!$V$49</f>
        <v>0</v>
      </c>
      <c r="W19" s="76">
        <f>SUM($T$19:$V$19)</f>
        <v>1.2207367478569686</v>
      </c>
      <c r="X19" s="76">
        <f>'TE BE'!$AB$19*'TE BE'!$X$49</f>
        <v>-47.434402591282549</v>
      </c>
      <c r="Y19" s="76">
        <f>SUM($X$19:$X$19)</f>
        <v>-47.434402591282549</v>
      </c>
      <c r="Z19" s="76">
        <f>'TE BE'!$Z$19*'TE BE'!$Z$49</f>
        <v>-0.17758699964664251</v>
      </c>
      <c r="AA19" s="76">
        <f>SUM($Z$19:$Z$19)</f>
        <v>-0.17758699964664251</v>
      </c>
      <c r="AB19" s="76">
        <f ca="1">SUMIF($L$4:$AA$4,"SUBTOTAL",$L$19:$AA$19)+AL19</f>
        <v>-66.496686748757483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03</v>
      </c>
      <c r="AG19" s="9" t="str">
        <f t="shared" si="4"/>
        <v>Não se aplica</v>
      </c>
      <c r="AH19" s="9">
        <v>1</v>
      </c>
      <c r="AI19" s="9">
        <f ca="1">TarifaMedia!$G$20</f>
        <v>0</v>
      </c>
      <c r="AJ19" s="15">
        <f>'TE BE'!$AB19+'TE BF'!$AB19+'TE CVA'!$AB19</f>
        <v>230.58259134858577</v>
      </c>
      <c r="AK19" s="9">
        <v>261.62</v>
      </c>
      <c r="AL19" s="9">
        <f t="shared" ca="1" si="5"/>
        <v>0</v>
      </c>
      <c r="AO19" s="50" t="s">
        <v>1228</v>
      </c>
    </row>
    <row r="20" spans="1:41" ht="11.25" customHeight="1" x14ac:dyDescent="0.25">
      <c r="A20" s="142"/>
      <c r="B20" s="142"/>
      <c r="C20" s="142"/>
      <c r="D20" s="79" t="s">
        <v>31</v>
      </c>
      <c r="E20" s="79" t="s">
        <v>25</v>
      </c>
      <c r="F20" s="79" t="s">
        <v>25</v>
      </c>
      <c r="G20" s="78" t="s">
        <v>86</v>
      </c>
      <c r="H20" s="78" t="s">
        <v>82</v>
      </c>
      <c r="I20" s="78">
        <f>'MERCADO TE'!$U$17</f>
        <v>0</v>
      </c>
      <c r="J20" s="15"/>
      <c r="L20" s="76">
        <f>'TE BE'!$L$20*'TE BE'!$L$49</f>
        <v>3.0536234367108361E-11</v>
      </c>
      <c r="M20" s="76">
        <f>'TE BE'!$M$20*'TE BE'!$M$49</f>
        <v>-14.200076145671</v>
      </c>
      <c r="N20" s="76">
        <f>'TE BE'!$N$20*'TE BE'!$N$49</f>
        <v>0</v>
      </c>
      <c r="O20" s="76">
        <f>'TE BE'!$O$20*'TE BE'!$O$49</f>
        <v>0.18736530626772324</v>
      </c>
      <c r="P20" s="76">
        <f>'TE BE'!$P$20*'TE BE'!$P$49</f>
        <v>0</v>
      </c>
      <c r="Q20" s="76">
        <f>SUM($L$20:$P$20)</f>
        <v>-14.01271083937274</v>
      </c>
      <c r="R20" s="76">
        <f>'TE BE'!$R$20*'TE BE'!$R$49</f>
        <v>-6.0927230663125291</v>
      </c>
      <c r="S20" s="76">
        <f>SUM($R$20:$R$20)</f>
        <v>-6.0927230663125291</v>
      </c>
      <c r="T20" s="76">
        <f>'TE BE'!$T$20*'TE BE'!$T$49</f>
        <v>0.58989528769629773</v>
      </c>
      <c r="U20" s="76">
        <f>'TE BE'!$U$20*'TE BE'!$U$49</f>
        <v>0.63084146016067089</v>
      </c>
      <c r="V20" s="76">
        <f>'TE BE'!$V$20*'TE BE'!$V$49</f>
        <v>0</v>
      </c>
      <c r="W20" s="76">
        <f>SUM($T$20:$V$20)</f>
        <v>1.2207367478569686</v>
      </c>
      <c r="X20" s="76">
        <f>'TE BE'!$AB$20*'TE BE'!$X$49</f>
        <v>-47.434402591282549</v>
      </c>
      <c r="Y20" s="76">
        <f>SUM($X$20:$X$20)</f>
        <v>-47.434402591282549</v>
      </c>
      <c r="Z20" s="76">
        <f>'TE BE'!$Z$20*'TE BE'!$Z$49</f>
        <v>-0.17758699964664251</v>
      </c>
      <c r="AA20" s="76">
        <f>SUM($Z$20:$Z$20)</f>
        <v>-0.17758699964664251</v>
      </c>
      <c r="AB20" s="76">
        <f ca="1">SUMIF($L$4:$AA$4,"SUBTOTAL",$L$20:$AA$20)+AL20</f>
        <v>-66.496686748757483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04</v>
      </c>
      <c r="AG20" s="9" t="str">
        <f t="shared" si="4"/>
        <v>Não se aplica</v>
      </c>
      <c r="AH20" s="9">
        <v>1</v>
      </c>
      <c r="AI20" s="9">
        <f ca="1">TarifaMedia!$G$20</f>
        <v>0</v>
      </c>
      <c r="AJ20" s="15">
        <f>'TE BE'!$AB20+'TE BF'!$AB20+'TE CVA'!$AB20</f>
        <v>230.58259134858577</v>
      </c>
      <c r="AK20" s="9">
        <v>261.62</v>
      </c>
      <c r="AL20" s="9">
        <f t="shared" ca="1" si="5"/>
        <v>0</v>
      </c>
      <c r="AO20" s="50" t="s">
        <v>1228</v>
      </c>
    </row>
    <row r="21" spans="1:41" ht="11.25" customHeight="1" x14ac:dyDescent="0.25">
      <c r="A21" s="142" t="s">
        <v>42</v>
      </c>
      <c r="B21" s="142" t="s">
        <v>81</v>
      </c>
      <c r="C21" s="142" t="s">
        <v>43</v>
      </c>
      <c r="D21" s="142" t="s">
        <v>25</v>
      </c>
      <c r="E21" s="142" t="s">
        <v>25</v>
      </c>
      <c r="F21" s="142" t="s">
        <v>25</v>
      </c>
      <c r="G21" s="78" t="s">
        <v>83</v>
      </c>
      <c r="H21" s="78" t="s">
        <v>82</v>
      </c>
      <c r="I21" s="78">
        <f>'MERCADO TE'!$U$18</f>
        <v>0</v>
      </c>
      <c r="J21" s="15"/>
      <c r="L21" s="76">
        <f>'TE BE'!$L$21*'TE BE'!$L$49</f>
        <v>3.0536234367108361E-11</v>
      </c>
      <c r="M21" s="76">
        <f>'TE BE'!$M$21*'TE BE'!$M$49</f>
        <v>-14.200076145671</v>
      </c>
      <c r="N21" s="76">
        <f>'TE BE'!$N$21*'TE BE'!$N$49</f>
        <v>0</v>
      </c>
      <c r="O21" s="76">
        <f>'TE BE'!$O$21*'TE BE'!$O$49</f>
        <v>0.18736530626772324</v>
      </c>
      <c r="P21" s="76">
        <f>'TE BE'!$P$21*'TE BE'!$P$49</f>
        <v>0</v>
      </c>
      <c r="Q21" s="76">
        <f>SUM($L$21:$P$21)</f>
        <v>-14.01271083937274</v>
      </c>
      <c r="R21" s="76">
        <f>'TE BE'!$R$21*'TE BE'!$R$49</f>
        <v>-9.8863053528844809</v>
      </c>
      <c r="S21" s="76">
        <f>SUM($R$21:$R$21)</f>
        <v>-9.8863053528844809</v>
      </c>
      <c r="T21" s="76">
        <f>'TE BE'!$T$21*'TE BE'!$T$49</f>
        <v>0.58989528769629773</v>
      </c>
      <c r="U21" s="76">
        <f>'TE BE'!$U$21*'TE BE'!$U$49</f>
        <v>0.63084146016067089</v>
      </c>
      <c r="V21" s="76">
        <f>'TE BE'!$V$21*'TE BE'!$V$49</f>
        <v>0</v>
      </c>
      <c r="W21" s="76">
        <f>SUM($T$21:$V$21)</f>
        <v>1.2207367478569686</v>
      </c>
      <c r="X21" s="76">
        <f>'TE BE'!$AB$21*'TE BE'!$X$49</f>
        <v>-72.904527404294441</v>
      </c>
      <c r="Y21" s="76">
        <f>SUM($X$21:$X$21)</f>
        <v>-72.904527404294441</v>
      </c>
      <c r="Z21" s="76">
        <f>'TE BE'!$Z$21*'TE BE'!$Z$49</f>
        <v>-0.17758699964664251</v>
      </c>
      <c r="AA21" s="76">
        <f>SUM($Z$21:$Z$21)</f>
        <v>-0.17758699964664251</v>
      </c>
      <c r="AB21" s="76">
        <f ca="1">SUMIF($L$4:$AA$4,"SUBTOTAL",$L$21:$AA$21)+AL21</f>
        <v>-95.760393848341337</v>
      </c>
      <c r="AC21" s="9" t="str">
        <f t="shared" si="0"/>
        <v>B2</v>
      </c>
      <c r="AD21" s="9" t="str">
        <f t="shared" si="1"/>
        <v>Energia horária</v>
      </c>
      <c r="AE21" s="9" t="str">
        <f t="shared" si="2"/>
        <v>Rural</v>
      </c>
      <c r="AF21" s="9" t="str">
        <f t="shared" si="3"/>
        <v>Não se aplica</v>
      </c>
      <c r="AG21" s="9" t="str">
        <f t="shared" si="4"/>
        <v>Não se aplica</v>
      </c>
      <c r="AH21" s="9">
        <v>1</v>
      </c>
      <c r="AI21" s="9">
        <f ca="1">TarifaMedia!$G$20</f>
        <v>0</v>
      </c>
      <c r="AJ21" s="15">
        <f>'TE BE'!$AB21+'TE BF'!$AB21+'TE CVA'!$AB21</f>
        <v>353.55100010229148</v>
      </c>
      <c r="AK21" s="9">
        <f>ROUND(370.01/(1-CUSTOS!$M$38),2)</f>
        <v>393.63</v>
      </c>
      <c r="AL21" s="9">
        <f t="shared" ca="1" si="5"/>
        <v>0</v>
      </c>
      <c r="AO21" s="50" t="s">
        <v>1229</v>
      </c>
    </row>
    <row r="22" spans="1:41" ht="11.25" customHeight="1" x14ac:dyDescent="0.25">
      <c r="A22" s="142"/>
      <c r="B22" s="142"/>
      <c r="C22" s="142"/>
      <c r="D22" s="142"/>
      <c r="E22" s="142"/>
      <c r="F22" s="142"/>
      <c r="G22" s="78" t="s">
        <v>93</v>
      </c>
      <c r="H22" s="78" t="s">
        <v>82</v>
      </c>
      <c r="I22" s="78">
        <f>'MERCADO TE'!$U$19</f>
        <v>0</v>
      </c>
      <c r="J22" s="15"/>
      <c r="L22" s="76">
        <f>'TE BE'!$L$22*'TE BE'!$L$49</f>
        <v>3.0536234367108361E-11</v>
      </c>
      <c r="M22" s="76">
        <f>'TE BE'!$M$22*'TE BE'!$M$49</f>
        <v>-14.200076145671</v>
      </c>
      <c r="N22" s="76">
        <f>'TE BE'!$N$22*'TE BE'!$N$49</f>
        <v>0</v>
      </c>
      <c r="O22" s="76">
        <f>'TE BE'!$O$22*'TE BE'!$O$49</f>
        <v>0.18736530626772324</v>
      </c>
      <c r="P22" s="76">
        <f>'TE BE'!$P$22*'TE BE'!$P$49</f>
        <v>0</v>
      </c>
      <c r="Q22" s="76">
        <f>SUM($L$22:$P$22)</f>
        <v>-14.01271083937274</v>
      </c>
      <c r="R22" s="76">
        <f>'TE BE'!$R$22*'TE BE'!$R$49</f>
        <v>-5.7478519493514417</v>
      </c>
      <c r="S22" s="76">
        <f>SUM($R$22:$R$22)</f>
        <v>-5.7478519493514417</v>
      </c>
      <c r="T22" s="76">
        <f>'TE BE'!$T$22*'TE BE'!$T$49</f>
        <v>0.58989528769629773</v>
      </c>
      <c r="U22" s="76">
        <f>'TE BE'!$U$22*'TE BE'!$U$49</f>
        <v>0.63084146016067089</v>
      </c>
      <c r="V22" s="76">
        <f>'TE BE'!$V$22*'TE BE'!$V$49</f>
        <v>0</v>
      </c>
      <c r="W22" s="76">
        <f>SUM($T$22:$V$22)</f>
        <v>1.2207367478569686</v>
      </c>
      <c r="X22" s="76">
        <f>'TE BE'!$AB$22*'TE BE'!$X$49</f>
        <v>-45.118936699190549</v>
      </c>
      <c r="Y22" s="76">
        <f>SUM($X$22:$X$22)</f>
        <v>-45.118936699190549</v>
      </c>
      <c r="Z22" s="76">
        <f>'TE BE'!$Z$22*'TE BE'!$Z$49</f>
        <v>-0.17758699964664251</v>
      </c>
      <c r="AA22" s="76">
        <f>SUM($Z$22:$Z$22)</f>
        <v>-0.17758699964664251</v>
      </c>
      <c r="AB22" s="76">
        <f ca="1">SUMIF($L$4:$AA$4,"SUBTOTAL",$L$22:$AA$22)+AL22</f>
        <v>-63.83634973970441</v>
      </c>
      <c r="AC22" s="9" t="str">
        <f t="shared" si="0"/>
        <v>B2</v>
      </c>
      <c r="AD22" s="9" t="str">
        <f t="shared" si="1"/>
        <v>Energia horária</v>
      </c>
      <c r="AE22" s="9" t="str">
        <f t="shared" si="2"/>
        <v>Rural</v>
      </c>
      <c r="AF22" s="9" t="str">
        <f t="shared" si="3"/>
        <v>Não se aplica</v>
      </c>
      <c r="AG22" s="9" t="str">
        <f t="shared" si="4"/>
        <v>Não se aplica</v>
      </c>
      <c r="AH22" s="9">
        <v>1</v>
      </c>
      <c r="AI22" s="9">
        <f ca="1">TarifaMedia!$G$20</f>
        <v>0</v>
      </c>
      <c r="AJ22" s="15">
        <f>'TE BE'!$AB22+'TE BF'!$AB22+'TE CVA'!$AB22</f>
        <v>219.40364509824883</v>
      </c>
      <c r="AK22" s="9">
        <f>ROUND(234.64/(1-CUSTOS!$M$38),2)</f>
        <v>249.62</v>
      </c>
      <c r="AL22" s="9">
        <f t="shared" ca="1" si="5"/>
        <v>0</v>
      </c>
      <c r="AO22" s="50" t="s">
        <v>1230</v>
      </c>
    </row>
    <row r="23" spans="1:41" ht="11.25" customHeight="1" x14ac:dyDescent="0.25">
      <c r="A23" s="142"/>
      <c r="B23" s="142"/>
      <c r="C23" s="142"/>
      <c r="D23" s="142"/>
      <c r="E23" s="142"/>
      <c r="F23" s="142"/>
      <c r="G23" s="78" t="s">
        <v>84</v>
      </c>
      <c r="H23" s="78" t="s">
        <v>82</v>
      </c>
      <c r="I23" s="78">
        <f>'MERCADO TE'!$U$20</f>
        <v>0</v>
      </c>
      <c r="J23" s="15"/>
      <c r="L23" s="76">
        <f>'TE BE'!$L$23*'TE BE'!$L$49</f>
        <v>3.0536234367108361E-11</v>
      </c>
      <c r="M23" s="76">
        <f>'TE BE'!$M$23*'TE BE'!$M$49</f>
        <v>-14.200076145671</v>
      </c>
      <c r="N23" s="76">
        <f>'TE BE'!$N$23*'TE BE'!$N$49</f>
        <v>0</v>
      </c>
      <c r="O23" s="76">
        <f>'TE BE'!$O$23*'TE BE'!$O$49</f>
        <v>0.18736530626772324</v>
      </c>
      <c r="P23" s="76">
        <f>'TE BE'!$P$23*'TE BE'!$P$49</f>
        <v>0</v>
      </c>
      <c r="Q23" s="76">
        <f>SUM($L$23:$P$23)</f>
        <v>-14.01271083937274</v>
      </c>
      <c r="R23" s="76">
        <f>'TE BE'!$R$23*'TE BE'!$R$49</f>
        <v>-5.7478519493514417</v>
      </c>
      <c r="S23" s="76">
        <f>SUM($R$23:$R$23)</f>
        <v>-5.7478519493514417</v>
      </c>
      <c r="T23" s="76">
        <f>'TE BE'!$T$23*'TE BE'!$T$49</f>
        <v>0.58989528769629773</v>
      </c>
      <c r="U23" s="76">
        <f>'TE BE'!$U$23*'TE BE'!$U$49</f>
        <v>0.63084146016067089</v>
      </c>
      <c r="V23" s="76">
        <f>'TE BE'!$V$23*'TE BE'!$V$49</f>
        <v>0</v>
      </c>
      <c r="W23" s="76">
        <f>SUM($T$23:$V$23)</f>
        <v>1.2207367478569686</v>
      </c>
      <c r="X23" s="76">
        <f>'TE BE'!$AB$23*'TE BE'!$X$49</f>
        <v>-45.118936699190549</v>
      </c>
      <c r="Y23" s="76">
        <f>SUM($X$23:$X$23)</f>
        <v>-45.118936699190549</v>
      </c>
      <c r="Z23" s="76">
        <f>'TE BE'!$Z$23*'TE BE'!$Z$49</f>
        <v>-0.17758699964664251</v>
      </c>
      <c r="AA23" s="76">
        <f>SUM($Z$23:$Z$23)</f>
        <v>-0.17758699964664251</v>
      </c>
      <c r="AB23" s="76">
        <f ca="1">SUMIF($L$4:$AA$4,"SUBTOTAL",$L$23:$AA$23)+AL23</f>
        <v>-63.83634973970441</v>
      </c>
      <c r="AC23" s="9" t="str">
        <f t="shared" si="0"/>
        <v>B2</v>
      </c>
      <c r="AD23" s="9" t="str">
        <f t="shared" si="1"/>
        <v>Energia horária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TarifaMedia!$G$20</f>
        <v>0</v>
      </c>
      <c r="AJ23" s="15">
        <f>'TE BE'!$AB23+'TE BF'!$AB23+'TE CVA'!$AB23</f>
        <v>219.40364509824883</v>
      </c>
      <c r="AK23" s="9">
        <f>ROUND(234.64/(1-CUSTOS!$M$38),2)</f>
        <v>249.62</v>
      </c>
      <c r="AL23" s="9">
        <f t="shared" ca="1" si="5"/>
        <v>0</v>
      </c>
      <c r="AO23" s="50" t="s">
        <v>1231</v>
      </c>
    </row>
    <row r="24" spans="1:41" ht="11.25" customHeight="1" x14ac:dyDescent="0.25">
      <c r="A24" s="142"/>
      <c r="B24" s="79" t="s">
        <v>85</v>
      </c>
      <c r="C24" s="79" t="s">
        <v>43</v>
      </c>
      <c r="D24" s="79" t="s">
        <v>25</v>
      </c>
      <c r="E24" s="79" t="s">
        <v>25</v>
      </c>
      <c r="F24" s="79" t="s">
        <v>25</v>
      </c>
      <c r="G24" s="78" t="s">
        <v>86</v>
      </c>
      <c r="H24" s="78" t="s">
        <v>82</v>
      </c>
      <c r="I24" s="78">
        <f>'MERCADO TE'!$U$21</f>
        <v>18727.453000000001</v>
      </c>
      <c r="J24" s="15"/>
      <c r="L24" s="76">
        <f>'TE BE'!$L$24*'TE BE'!$L$49</f>
        <v>3.0536234367108361E-11</v>
      </c>
      <c r="M24" s="76">
        <f>'TE BE'!$M$24*'TE BE'!$M$49</f>
        <v>-14.200076145671</v>
      </c>
      <c r="N24" s="76">
        <f>'TE BE'!$N$24*'TE BE'!$N$49</f>
        <v>0</v>
      </c>
      <c r="O24" s="76">
        <f>'TE BE'!$O$24*'TE BE'!$O$49</f>
        <v>0.18736530626772324</v>
      </c>
      <c r="P24" s="76">
        <f>'TE BE'!$P$24*'TE BE'!$P$49</f>
        <v>0</v>
      </c>
      <c r="Q24" s="76">
        <f>SUM($L$24:$P$24)</f>
        <v>-14.01271083937274</v>
      </c>
      <c r="R24" s="76">
        <f>'TE BE'!$R$24*'TE BE'!$R$49</f>
        <v>-6.0927230663125291</v>
      </c>
      <c r="S24" s="76">
        <f>SUM($R$24:$R$24)</f>
        <v>-6.0927230663125291</v>
      </c>
      <c r="T24" s="76">
        <f>'TE BE'!$T$24*'TE BE'!$T$49</f>
        <v>0.58989528769629773</v>
      </c>
      <c r="U24" s="76">
        <f>'TE BE'!$U$24*'TE BE'!$U$49</f>
        <v>0.63084146016067089</v>
      </c>
      <c r="V24" s="76">
        <f>'TE BE'!$V$24*'TE BE'!$V$49</f>
        <v>0</v>
      </c>
      <c r="W24" s="76">
        <f>SUM($T$24:$V$24)</f>
        <v>1.2207367478569686</v>
      </c>
      <c r="X24" s="76">
        <f>'TE BE'!$AB$24*'TE BE'!$X$49</f>
        <v>-47.434402591282549</v>
      </c>
      <c r="Y24" s="76">
        <f>SUM($X$24:$X$24)</f>
        <v>-47.434402591282549</v>
      </c>
      <c r="Z24" s="76">
        <f>'TE BE'!$Z$24*'TE BE'!$Z$49</f>
        <v>-0.17758699964664251</v>
      </c>
      <c r="AA24" s="76">
        <f>SUM($Z$24:$Z$24)</f>
        <v>-0.17758699964664251</v>
      </c>
      <c r="AB24" s="76">
        <f ca="1">SUMIF($L$4:$AA$4,"SUBTOTAL",$L$24:$AA$24)+AL24</f>
        <v>-66.496686748757483</v>
      </c>
      <c r="AC24" s="9" t="str">
        <f t="shared" si="0"/>
        <v>B2</v>
      </c>
      <c r="AD24" s="9" t="str">
        <f t="shared" si="1"/>
        <v>Energia convencional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TarifaMedia!$G$20</f>
        <v>0</v>
      </c>
      <c r="AJ24" s="15">
        <f>'TE BE'!$AB24+'TE BF'!$AB24+'TE CVA'!$AB24</f>
        <v>230.58259134858577</v>
      </c>
      <c r="AK24" s="9">
        <v>261.62</v>
      </c>
      <c r="AL24" s="9">
        <f t="shared" ca="1" si="5"/>
        <v>0</v>
      </c>
      <c r="AO24" s="50" t="s">
        <v>1225</v>
      </c>
    </row>
    <row r="25" spans="1:41" ht="11.25" customHeight="1" x14ac:dyDescent="0.25">
      <c r="A25" s="142"/>
      <c r="B25" s="142" t="s">
        <v>81</v>
      </c>
      <c r="C25" s="142" t="s">
        <v>43</v>
      </c>
      <c r="D25" s="142" t="s">
        <v>96</v>
      </c>
      <c r="E25" s="142" t="s">
        <v>25</v>
      </c>
      <c r="F25" s="142" t="s">
        <v>25</v>
      </c>
      <c r="G25" s="78" t="s">
        <v>83</v>
      </c>
      <c r="H25" s="78" t="s">
        <v>82</v>
      </c>
      <c r="I25" s="78">
        <f>'MERCADO TE'!$U$22</f>
        <v>0</v>
      </c>
      <c r="J25" s="15"/>
      <c r="L25" s="76">
        <f>'TE BE'!$L$25*'TE BE'!$L$49</f>
        <v>3.0536234367108361E-11</v>
      </c>
      <c r="M25" s="76">
        <f>'TE BE'!$M$25*'TE BE'!$M$49</f>
        <v>-14.200076145671</v>
      </c>
      <c r="N25" s="76">
        <f>'TE BE'!$N$25*'TE BE'!$N$49</f>
        <v>0</v>
      </c>
      <c r="O25" s="76">
        <f>'TE BE'!$O$25*'TE BE'!$O$49</f>
        <v>0.18736530626772324</v>
      </c>
      <c r="P25" s="76">
        <f>'TE BE'!$P$25*'TE BE'!$P$49</f>
        <v>0</v>
      </c>
      <c r="Q25" s="76">
        <f>SUM($L$25:$P$25)</f>
        <v>-14.01271083937274</v>
      </c>
      <c r="R25" s="76">
        <f>'TE BE'!$R$25*'TE BE'!$R$49</f>
        <v>-9.8863053528844809</v>
      </c>
      <c r="S25" s="76">
        <f>SUM($R$25:$R$25)</f>
        <v>-9.8863053528844809</v>
      </c>
      <c r="T25" s="76">
        <f>'TE BE'!$T$25*'TE BE'!$T$49</f>
        <v>0.58989528769629773</v>
      </c>
      <c r="U25" s="76">
        <f>'TE BE'!$U$25*'TE BE'!$U$49</f>
        <v>0.63084146016067089</v>
      </c>
      <c r="V25" s="76">
        <f>'TE BE'!$V$25*'TE BE'!$V$49</f>
        <v>0</v>
      </c>
      <c r="W25" s="76">
        <f>SUM($T$25:$V$25)</f>
        <v>1.2207367478569686</v>
      </c>
      <c r="X25" s="76">
        <f>'TE BE'!$AB$25*'TE BE'!$X$49</f>
        <v>-72.904527404294441</v>
      </c>
      <c r="Y25" s="76">
        <f>SUM($X$25:$X$25)</f>
        <v>-72.904527404294441</v>
      </c>
      <c r="Z25" s="76">
        <f>'TE BE'!$Z$25*'TE BE'!$Z$49</f>
        <v>-0.17758699964664251</v>
      </c>
      <c r="AA25" s="76">
        <f>SUM($Z$25:$Z$25)</f>
        <v>-0.17758699964664251</v>
      </c>
      <c r="AB25" s="76">
        <f ca="1">SUMIF($L$4:$AA$4,"SUBTOTAL",$L$25:$AA$25)+AL25</f>
        <v>-95.760393848341337</v>
      </c>
      <c r="AC25" s="9" t="str">
        <f t="shared" si="0"/>
        <v>B2</v>
      </c>
      <c r="AD25" s="9" t="str">
        <f t="shared" si="1"/>
        <v>Energia horária</v>
      </c>
      <c r="AE25" s="9" t="str">
        <f t="shared" si="2"/>
        <v>Rural</v>
      </c>
      <c r="AF25" s="9" t="str">
        <f t="shared" si="3"/>
        <v>Cooperativa de eletrificação rural</v>
      </c>
      <c r="AG25" s="9" t="str">
        <f t="shared" si="4"/>
        <v>Não se aplica</v>
      </c>
      <c r="AH25" s="9">
        <v>1</v>
      </c>
      <c r="AI25" s="9">
        <f ca="1">TarifaMedia!$G$20</f>
        <v>0</v>
      </c>
      <c r="AJ25" s="15">
        <f>'TE BE'!$AB25+'TE BF'!$AB25+'TE CVA'!$AB25</f>
        <v>353.55100010229148</v>
      </c>
      <c r="AK25" s="9">
        <f>ROUND(370.01/(1-CUSTOS!$M$38),2)</f>
        <v>393.63</v>
      </c>
      <c r="AL25" s="9">
        <f t="shared" ca="1" si="5"/>
        <v>0</v>
      </c>
      <c r="AO25" s="50" t="s">
        <v>1229</v>
      </c>
    </row>
    <row r="26" spans="1:41" ht="11.25" customHeight="1" x14ac:dyDescent="0.25">
      <c r="A26" s="142"/>
      <c r="B26" s="142"/>
      <c r="C26" s="142"/>
      <c r="D26" s="142"/>
      <c r="E26" s="142"/>
      <c r="F26" s="142"/>
      <c r="G26" s="78" t="s">
        <v>93</v>
      </c>
      <c r="H26" s="78" t="s">
        <v>82</v>
      </c>
      <c r="I26" s="78">
        <f>'MERCADO TE'!$U$23</f>
        <v>0</v>
      </c>
      <c r="J26" s="15"/>
      <c r="L26" s="76">
        <f>'TE BE'!$L$26*'TE BE'!$L$49</f>
        <v>3.0536234367108361E-11</v>
      </c>
      <c r="M26" s="76">
        <f>'TE BE'!$M$26*'TE BE'!$M$49</f>
        <v>-14.200076145671</v>
      </c>
      <c r="N26" s="76">
        <f>'TE BE'!$N$26*'TE BE'!$N$49</f>
        <v>0</v>
      </c>
      <c r="O26" s="76">
        <f>'TE BE'!$O$26*'TE BE'!$O$49</f>
        <v>0.18736530626772324</v>
      </c>
      <c r="P26" s="76">
        <f>'TE BE'!$P$26*'TE BE'!$P$49</f>
        <v>0</v>
      </c>
      <c r="Q26" s="76">
        <f>SUM($L$26:$P$26)</f>
        <v>-14.01271083937274</v>
      </c>
      <c r="R26" s="76">
        <f>'TE BE'!$R$26*'TE BE'!$R$49</f>
        <v>-5.7478519493514417</v>
      </c>
      <c r="S26" s="76">
        <f>SUM($R$26:$R$26)</f>
        <v>-5.7478519493514417</v>
      </c>
      <c r="T26" s="76">
        <f>'TE BE'!$T$26*'TE BE'!$T$49</f>
        <v>0.58989528769629773</v>
      </c>
      <c r="U26" s="76">
        <f>'TE BE'!$U$26*'TE BE'!$U$49</f>
        <v>0.63084146016067089</v>
      </c>
      <c r="V26" s="76">
        <f>'TE BE'!$V$26*'TE BE'!$V$49</f>
        <v>0</v>
      </c>
      <c r="W26" s="76">
        <f>SUM($T$26:$V$26)</f>
        <v>1.2207367478569686</v>
      </c>
      <c r="X26" s="76">
        <f>'TE BE'!$AB$26*'TE BE'!$X$49</f>
        <v>-45.118936699190549</v>
      </c>
      <c r="Y26" s="76">
        <f>SUM($X$26:$X$26)</f>
        <v>-45.118936699190549</v>
      </c>
      <c r="Z26" s="76">
        <f>'TE BE'!$Z$26*'TE BE'!$Z$49</f>
        <v>-0.17758699964664251</v>
      </c>
      <c r="AA26" s="76">
        <f>SUM($Z$26:$Z$26)</f>
        <v>-0.17758699964664251</v>
      </c>
      <c r="AB26" s="76">
        <f ca="1">SUMIF($L$4:$AA$4,"SUBTOTAL",$L$26:$AA$26)+AL26</f>
        <v>-63.83634973970441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Cooperativa de eletrificação rural</v>
      </c>
      <c r="AG26" s="9" t="str">
        <f t="shared" si="4"/>
        <v>Não se aplica</v>
      </c>
      <c r="AH26" s="9">
        <v>1</v>
      </c>
      <c r="AI26" s="9">
        <f ca="1">TarifaMedia!$G$20</f>
        <v>0</v>
      </c>
      <c r="AJ26" s="15">
        <f>'TE BE'!$AB26+'TE BF'!$AB26+'TE CVA'!$AB26</f>
        <v>219.40364509824883</v>
      </c>
      <c r="AK26" s="9">
        <f>ROUND(234.64/(1-CUSTOS!$M$38),2)</f>
        <v>249.62</v>
      </c>
      <c r="AL26" s="9">
        <f t="shared" ca="1" si="5"/>
        <v>0</v>
      </c>
      <c r="AO26" s="50" t="s">
        <v>1230</v>
      </c>
    </row>
    <row r="27" spans="1:41" ht="11.25" customHeight="1" x14ac:dyDescent="0.25">
      <c r="A27" s="142"/>
      <c r="B27" s="142"/>
      <c r="C27" s="142"/>
      <c r="D27" s="142"/>
      <c r="E27" s="142"/>
      <c r="F27" s="142"/>
      <c r="G27" s="78" t="s">
        <v>84</v>
      </c>
      <c r="H27" s="78" t="s">
        <v>82</v>
      </c>
      <c r="I27" s="78">
        <f>'MERCADO TE'!$U$24</f>
        <v>0</v>
      </c>
      <c r="J27" s="15"/>
      <c r="L27" s="76">
        <f>'TE BE'!$L$27*'TE BE'!$L$49</f>
        <v>3.0536234367108361E-11</v>
      </c>
      <c r="M27" s="76">
        <f>'TE BE'!$M$27*'TE BE'!$M$49</f>
        <v>-14.200076145671</v>
      </c>
      <c r="N27" s="76">
        <f>'TE BE'!$N$27*'TE BE'!$N$49</f>
        <v>0</v>
      </c>
      <c r="O27" s="76">
        <f>'TE BE'!$O$27*'TE BE'!$O$49</f>
        <v>0.18736530626772324</v>
      </c>
      <c r="P27" s="76">
        <f>'TE BE'!$P$27*'TE BE'!$P$49</f>
        <v>0</v>
      </c>
      <c r="Q27" s="76">
        <f>SUM($L$27:$P$27)</f>
        <v>-14.01271083937274</v>
      </c>
      <c r="R27" s="76">
        <f>'TE BE'!$R$27*'TE BE'!$R$49</f>
        <v>-5.7478519493514417</v>
      </c>
      <c r="S27" s="76">
        <f>SUM($R$27:$R$27)</f>
        <v>-5.7478519493514417</v>
      </c>
      <c r="T27" s="76">
        <f>'TE BE'!$T$27*'TE BE'!$T$49</f>
        <v>0.58989528769629773</v>
      </c>
      <c r="U27" s="76">
        <f>'TE BE'!$U$27*'TE BE'!$U$49</f>
        <v>0.63084146016067089</v>
      </c>
      <c r="V27" s="76">
        <f>'TE BE'!$V$27*'TE BE'!$V$49</f>
        <v>0</v>
      </c>
      <c r="W27" s="76">
        <f>SUM($T$27:$V$27)</f>
        <v>1.2207367478569686</v>
      </c>
      <c r="X27" s="76">
        <f>'TE BE'!$AB$27*'TE BE'!$X$49</f>
        <v>-45.118936699190549</v>
      </c>
      <c r="Y27" s="76">
        <f>SUM($X$27:$X$27)</f>
        <v>-45.118936699190549</v>
      </c>
      <c r="Z27" s="76">
        <f>'TE BE'!$Z$27*'TE BE'!$Z$49</f>
        <v>-0.17758699964664251</v>
      </c>
      <c r="AA27" s="76">
        <f>SUM($Z$27:$Z$27)</f>
        <v>-0.17758699964664251</v>
      </c>
      <c r="AB27" s="76">
        <f ca="1">SUMIF($L$4:$AA$4,"SUBTOTAL",$L$27:$AA$27)+AL27</f>
        <v>-63.83634973970441</v>
      </c>
      <c r="AC27" s="9" t="str">
        <f t="shared" si="0"/>
        <v>B2</v>
      </c>
      <c r="AD27" s="9" t="str">
        <f t="shared" si="1"/>
        <v>Energia horária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TarifaMedia!$G$20</f>
        <v>0</v>
      </c>
      <c r="AJ27" s="15">
        <f>'TE BE'!$AB27+'TE BF'!$AB27+'TE CVA'!$AB27</f>
        <v>219.40364509824883</v>
      </c>
      <c r="AK27" s="9">
        <f>ROUND(234.64/(1-CUSTOS!$M$38),2)</f>
        <v>249.62</v>
      </c>
      <c r="AL27" s="9">
        <f t="shared" ca="1" si="5"/>
        <v>0</v>
      </c>
      <c r="AO27" s="50" t="s">
        <v>1231</v>
      </c>
    </row>
    <row r="28" spans="1:41" ht="11.25" customHeight="1" x14ac:dyDescent="0.25">
      <c r="A28" s="142"/>
      <c r="B28" s="79" t="s">
        <v>85</v>
      </c>
      <c r="C28" s="79" t="s">
        <v>43</v>
      </c>
      <c r="D28" s="79" t="s">
        <v>96</v>
      </c>
      <c r="E28" s="79" t="s">
        <v>25</v>
      </c>
      <c r="F28" s="79" t="s">
        <v>25</v>
      </c>
      <c r="G28" s="78" t="s">
        <v>86</v>
      </c>
      <c r="H28" s="78" t="s">
        <v>82</v>
      </c>
      <c r="I28" s="78">
        <f>'MERCADO TE'!$U$25</f>
        <v>0</v>
      </c>
      <c r="J28" s="15"/>
      <c r="L28" s="76">
        <f>'TE BE'!$L$28*'TE BE'!$L$49</f>
        <v>3.0536234367108361E-11</v>
      </c>
      <c r="M28" s="76">
        <f>'TE BE'!$M$28*'TE BE'!$M$49</f>
        <v>-14.200076145671</v>
      </c>
      <c r="N28" s="76">
        <f>'TE BE'!$N$28*'TE BE'!$N$49</f>
        <v>0</v>
      </c>
      <c r="O28" s="76">
        <f>'TE BE'!$O$28*'TE BE'!$O$49</f>
        <v>0.18736530626772324</v>
      </c>
      <c r="P28" s="76">
        <f>'TE BE'!$P$28*'TE BE'!$P$49</f>
        <v>0</v>
      </c>
      <c r="Q28" s="76">
        <f>SUM($L$28:$P$28)</f>
        <v>-14.01271083937274</v>
      </c>
      <c r="R28" s="76">
        <f>'TE BE'!$R$28*'TE BE'!$R$49</f>
        <v>-6.0927230663125291</v>
      </c>
      <c r="S28" s="76">
        <f>SUM($R$28:$R$28)</f>
        <v>-6.0927230663125291</v>
      </c>
      <c r="T28" s="76">
        <f>'TE BE'!$T$28*'TE BE'!$T$49</f>
        <v>0.58989528769629773</v>
      </c>
      <c r="U28" s="76">
        <f>'TE BE'!$U$28*'TE BE'!$U$49</f>
        <v>0.63084146016067089</v>
      </c>
      <c r="V28" s="76">
        <f>'TE BE'!$V$28*'TE BE'!$V$49</f>
        <v>0</v>
      </c>
      <c r="W28" s="76">
        <f>SUM($T$28:$V$28)</f>
        <v>1.2207367478569686</v>
      </c>
      <c r="X28" s="76">
        <f>'TE BE'!$AB$28*'TE BE'!$X$49</f>
        <v>-47.434402591282549</v>
      </c>
      <c r="Y28" s="76">
        <f>SUM($X$28:$X$28)</f>
        <v>-47.434402591282549</v>
      </c>
      <c r="Z28" s="76">
        <f>'TE BE'!$Z$28*'TE BE'!$Z$49</f>
        <v>-0.17758699964664251</v>
      </c>
      <c r="AA28" s="76">
        <f>SUM($Z$28:$Z$28)</f>
        <v>-0.17758699964664251</v>
      </c>
      <c r="AB28" s="76">
        <f ca="1">SUMIF($L$4:$AA$4,"SUBTOTAL",$L$28:$AA$28)+AL28</f>
        <v>-66.496686748757483</v>
      </c>
      <c r="AC28" s="9" t="str">
        <f t="shared" si="0"/>
        <v>B2</v>
      </c>
      <c r="AD28" s="9" t="str">
        <f t="shared" si="1"/>
        <v>Energia convencional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TarifaMedia!$G$20</f>
        <v>0</v>
      </c>
      <c r="AJ28" s="15">
        <f>'TE BE'!$AB28+'TE BF'!$AB28+'TE CVA'!$AB28</f>
        <v>230.58259134858577</v>
      </c>
      <c r="AK28" s="9">
        <v>261.62</v>
      </c>
      <c r="AL28" s="9">
        <f t="shared" ca="1" si="5"/>
        <v>0</v>
      </c>
      <c r="AO28" s="50" t="s">
        <v>1225</v>
      </c>
    </row>
    <row r="29" spans="1:41" ht="11.25" customHeight="1" x14ac:dyDescent="0.25">
      <c r="A29" s="142"/>
      <c r="B29" s="142" t="s">
        <v>81</v>
      </c>
      <c r="C29" s="142" t="s">
        <v>43</v>
      </c>
      <c r="D29" s="142" t="s">
        <v>97</v>
      </c>
      <c r="E29" s="142" t="s">
        <v>25</v>
      </c>
      <c r="F29" s="142" t="s">
        <v>25</v>
      </c>
      <c r="G29" s="78" t="s">
        <v>83</v>
      </c>
      <c r="H29" s="78" t="s">
        <v>82</v>
      </c>
      <c r="I29" s="78">
        <f>'MERCADO TE'!$U$26</f>
        <v>0</v>
      </c>
      <c r="J29" s="15"/>
      <c r="L29" s="76">
        <f>'TE BE'!$L$29*'TE BE'!$L$49</f>
        <v>3.0536234367108361E-11</v>
      </c>
      <c r="M29" s="76">
        <f>'TE BE'!$M$29*'TE BE'!$M$49</f>
        <v>-14.200076145671</v>
      </c>
      <c r="N29" s="76">
        <f>'TE BE'!$N$29*'TE BE'!$N$49</f>
        <v>0</v>
      </c>
      <c r="O29" s="76">
        <f>'TE BE'!$O$29*'TE BE'!$O$49</f>
        <v>0.18736530626772324</v>
      </c>
      <c r="P29" s="76">
        <f>'TE BE'!$P$29*'TE BE'!$P$49</f>
        <v>0</v>
      </c>
      <c r="Q29" s="76">
        <f>SUM($L$29:$P$29)</f>
        <v>-14.01271083937274</v>
      </c>
      <c r="R29" s="76">
        <f>'TE BE'!$R$29*'TE BE'!$R$49</f>
        <v>-9.8863053528844809</v>
      </c>
      <c r="S29" s="76">
        <f>SUM($R$29:$R$29)</f>
        <v>-9.8863053528844809</v>
      </c>
      <c r="T29" s="76">
        <f>'TE BE'!$T$29*'TE BE'!$T$49</f>
        <v>0.58989528769629773</v>
      </c>
      <c r="U29" s="76">
        <f>'TE BE'!$U$29*'TE BE'!$U$49</f>
        <v>0.63084146016067089</v>
      </c>
      <c r="V29" s="76">
        <f>'TE BE'!$V$29*'TE BE'!$V$49</f>
        <v>0</v>
      </c>
      <c r="W29" s="76">
        <f>SUM($T$29:$V$29)</f>
        <v>1.2207367478569686</v>
      </c>
      <c r="X29" s="76">
        <f>'TE BE'!$AB$29*'TE BE'!$X$49</f>
        <v>-72.904527404294441</v>
      </c>
      <c r="Y29" s="76">
        <f>SUM($X$29:$X$29)</f>
        <v>-72.904527404294441</v>
      </c>
      <c r="Z29" s="76">
        <f>'TE BE'!$Z$29*'TE BE'!$Z$49</f>
        <v>-0.17758699964664251</v>
      </c>
      <c r="AA29" s="76">
        <f>SUM($Z$29:$Z$29)</f>
        <v>-0.17758699964664251</v>
      </c>
      <c r="AB29" s="76">
        <f ca="1">SUMIF($L$4:$AA$4,"SUBTOTAL",$L$29:$AA$29)+AL29</f>
        <v>-95.760393848341337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Serviço público de irrigação rural</v>
      </c>
      <c r="AG29" s="9" t="str">
        <f t="shared" si="4"/>
        <v>Não se aplica</v>
      </c>
      <c r="AH29" s="9">
        <v>1</v>
      </c>
      <c r="AI29" s="9">
        <f ca="1">TarifaMedia!$G$20</f>
        <v>0</v>
      </c>
      <c r="AJ29" s="15">
        <f>'TE BE'!$AB29+'TE BF'!$AB29+'TE CVA'!$AB29</f>
        <v>353.55100010229148</v>
      </c>
      <c r="AK29" s="9">
        <f>ROUND(370.01/(1-CUSTOS!$M$38),2)</f>
        <v>393.63</v>
      </c>
      <c r="AL29" s="9">
        <f t="shared" ca="1" si="5"/>
        <v>0</v>
      </c>
      <c r="AO29" s="50" t="s">
        <v>1229</v>
      </c>
    </row>
    <row r="30" spans="1:41" ht="11.25" customHeight="1" x14ac:dyDescent="0.25">
      <c r="A30" s="142"/>
      <c r="B30" s="142"/>
      <c r="C30" s="142"/>
      <c r="D30" s="142"/>
      <c r="E30" s="142"/>
      <c r="F30" s="142"/>
      <c r="G30" s="78" t="s">
        <v>93</v>
      </c>
      <c r="H30" s="78" t="s">
        <v>82</v>
      </c>
      <c r="I30" s="78">
        <f>'MERCADO TE'!$U$27</f>
        <v>0</v>
      </c>
      <c r="J30" s="15"/>
      <c r="L30" s="76">
        <f>'TE BE'!$L$30*'TE BE'!$L$49</f>
        <v>3.0536234367108361E-11</v>
      </c>
      <c r="M30" s="76">
        <f>'TE BE'!$M$30*'TE BE'!$M$49</f>
        <v>-14.200076145671</v>
      </c>
      <c r="N30" s="76">
        <f>'TE BE'!$N$30*'TE BE'!$N$49</f>
        <v>0</v>
      </c>
      <c r="O30" s="76">
        <f>'TE BE'!$O$30*'TE BE'!$O$49</f>
        <v>0.18736530626772324</v>
      </c>
      <c r="P30" s="76">
        <f>'TE BE'!$P$30*'TE BE'!$P$49</f>
        <v>0</v>
      </c>
      <c r="Q30" s="76">
        <f>SUM($L$30:$P$30)</f>
        <v>-14.01271083937274</v>
      </c>
      <c r="R30" s="76">
        <f>'TE BE'!$R$30*'TE BE'!$R$49</f>
        <v>-5.7478519493514417</v>
      </c>
      <c r="S30" s="76">
        <f>SUM($R$30:$R$30)</f>
        <v>-5.7478519493514417</v>
      </c>
      <c r="T30" s="76">
        <f>'TE BE'!$T$30*'TE BE'!$T$49</f>
        <v>0.58989528769629773</v>
      </c>
      <c r="U30" s="76">
        <f>'TE BE'!$U$30*'TE BE'!$U$49</f>
        <v>0.63084146016067089</v>
      </c>
      <c r="V30" s="76">
        <f>'TE BE'!$V$30*'TE BE'!$V$49</f>
        <v>0</v>
      </c>
      <c r="W30" s="76">
        <f>SUM($T$30:$V$30)</f>
        <v>1.2207367478569686</v>
      </c>
      <c r="X30" s="76">
        <f>'TE BE'!$AB$30*'TE BE'!$X$49</f>
        <v>-45.118936699190549</v>
      </c>
      <c r="Y30" s="76">
        <f>SUM($X$30:$X$30)</f>
        <v>-45.118936699190549</v>
      </c>
      <c r="Z30" s="76">
        <f>'TE BE'!$Z$30*'TE BE'!$Z$49</f>
        <v>-0.17758699964664251</v>
      </c>
      <c r="AA30" s="76">
        <f>SUM($Z$30:$Z$30)</f>
        <v>-0.17758699964664251</v>
      </c>
      <c r="AB30" s="76">
        <f ca="1">SUMIF($L$4:$AA$4,"SUBTOTAL",$L$30:$AA$30)+AL30</f>
        <v>-63.83634973970441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Serviço público de irrigação rural</v>
      </c>
      <c r="AG30" s="9" t="str">
        <f t="shared" si="4"/>
        <v>Não se aplica</v>
      </c>
      <c r="AH30" s="9">
        <v>1</v>
      </c>
      <c r="AI30" s="9">
        <f ca="1">TarifaMedia!$G$20</f>
        <v>0</v>
      </c>
      <c r="AJ30" s="15">
        <f>'TE BE'!$AB30+'TE BF'!$AB30+'TE CVA'!$AB30</f>
        <v>219.40364509824883</v>
      </c>
      <c r="AK30" s="9">
        <f>ROUND(234.64/(1-CUSTOS!$M$38),2)</f>
        <v>249.62</v>
      </c>
      <c r="AL30" s="9">
        <f t="shared" ca="1" si="5"/>
        <v>0</v>
      </c>
      <c r="AO30" s="50" t="s">
        <v>1230</v>
      </c>
    </row>
    <row r="31" spans="1:41" ht="11.25" customHeight="1" x14ac:dyDescent="0.25">
      <c r="A31" s="142"/>
      <c r="B31" s="142"/>
      <c r="C31" s="142"/>
      <c r="D31" s="142"/>
      <c r="E31" s="142"/>
      <c r="F31" s="142"/>
      <c r="G31" s="78" t="s">
        <v>84</v>
      </c>
      <c r="H31" s="78" t="s">
        <v>82</v>
      </c>
      <c r="I31" s="78">
        <f>'MERCADO TE'!$U$28</f>
        <v>0</v>
      </c>
      <c r="J31" s="15"/>
      <c r="L31" s="76">
        <f>'TE BE'!$L$31*'TE BE'!$L$49</f>
        <v>3.0536234367108361E-11</v>
      </c>
      <c r="M31" s="76">
        <f>'TE BE'!$M$31*'TE BE'!$M$49</f>
        <v>-14.200076145671</v>
      </c>
      <c r="N31" s="76">
        <f>'TE BE'!$N$31*'TE BE'!$N$49</f>
        <v>0</v>
      </c>
      <c r="O31" s="76">
        <f>'TE BE'!$O$31*'TE BE'!$O$49</f>
        <v>0.18736530626772324</v>
      </c>
      <c r="P31" s="76">
        <f>'TE BE'!$P$31*'TE BE'!$P$49</f>
        <v>0</v>
      </c>
      <c r="Q31" s="76">
        <f>SUM($L$31:$P$31)</f>
        <v>-14.01271083937274</v>
      </c>
      <c r="R31" s="76">
        <f>'TE BE'!$R$31*'TE BE'!$R$49</f>
        <v>-5.7478519493514417</v>
      </c>
      <c r="S31" s="76">
        <f>SUM($R$31:$R$31)</f>
        <v>-5.7478519493514417</v>
      </c>
      <c r="T31" s="76">
        <f>'TE BE'!$T$31*'TE BE'!$T$49</f>
        <v>0.58989528769629773</v>
      </c>
      <c r="U31" s="76">
        <f>'TE BE'!$U$31*'TE BE'!$U$49</f>
        <v>0.63084146016067089</v>
      </c>
      <c r="V31" s="76">
        <f>'TE BE'!$V$31*'TE BE'!$V$49</f>
        <v>0</v>
      </c>
      <c r="W31" s="76">
        <f>SUM($T$31:$V$31)</f>
        <v>1.2207367478569686</v>
      </c>
      <c r="X31" s="76">
        <f>'TE BE'!$AB$31*'TE BE'!$X$49</f>
        <v>-45.118936699190549</v>
      </c>
      <c r="Y31" s="76">
        <f>SUM($X$31:$X$31)</f>
        <v>-45.118936699190549</v>
      </c>
      <c r="Z31" s="76">
        <f>'TE BE'!$Z$31*'TE BE'!$Z$49</f>
        <v>-0.17758699964664251</v>
      </c>
      <c r="AA31" s="76">
        <f>SUM($Z$31:$Z$31)</f>
        <v>-0.17758699964664251</v>
      </c>
      <c r="AB31" s="76">
        <f ca="1">SUMIF($L$4:$AA$4,"SUBTOTAL",$L$31:$AA$31)+AL31</f>
        <v>-63.83634973970441</v>
      </c>
      <c r="AC31" s="9" t="str">
        <f t="shared" si="0"/>
        <v>B2</v>
      </c>
      <c r="AD31" s="9" t="str">
        <f t="shared" si="1"/>
        <v>Energia horária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TarifaMedia!$G$20</f>
        <v>0</v>
      </c>
      <c r="AJ31" s="15">
        <f>'TE BE'!$AB31+'TE BF'!$AB31+'TE CVA'!$AB31</f>
        <v>219.40364509824883</v>
      </c>
      <c r="AK31" s="9">
        <f>ROUND(234.64/(1-CUSTOS!$M$38),2)</f>
        <v>249.62</v>
      </c>
      <c r="AL31" s="9">
        <f t="shared" ca="1" si="5"/>
        <v>0</v>
      </c>
      <c r="AO31" s="50" t="s">
        <v>1231</v>
      </c>
    </row>
    <row r="32" spans="1:41" ht="11.25" customHeight="1" x14ac:dyDescent="0.25">
      <c r="A32" s="142"/>
      <c r="B32" s="79" t="s">
        <v>85</v>
      </c>
      <c r="C32" s="79" t="s">
        <v>43</v>
      </c>
      <c r="D32" s="79" t="s">
        <v>97</v>
      </c>
      <c r="E32" s="79" t="s">
        <v>25</v>
      </c>
      <c r="F32" s="79" t="s">
        <v>25</v>
      </c>
      <c r="G32" s="78" t="s">
        <v>86</v>
      </c>
      <c r="H32" s="78" t="s">
        <v>82</v>
      </c>
      <c r="I32" s="78">
        <f>'MERCADO TE'!$U$29</f>
        <v>0</v>
      </c>
      <c r="J32" s="15"/>
      <c r="L32" s="76">
        <f>'TE BE'!$L$32*'TE BE'!$L$49</f>
        <v>3.0536234367108361E-11</v>
      </c>
      <c r="M32" s="76">
        <f>'TE BE'!$M$32*'TE BE'!$M$49</f>
        <v>-14.200076145671</v>
      </c>
      <c r="N32" s="76">
        <f>'TE BE'!$N$32*'TE BE'!$N$49</f>
        <v>0</v>
      </c>
      <c r="O32" s="76">
        <f>'TE BE'!$O$32*'TE BE'!$O$49</f>
        <v>0.18736530626772324</v>
      </c>
      <c r="P32" s="76">
        <f>'TE BE'!$P$32*'TE BE'!$P$49</f>
        <v>0</v>
      </c>
      <c r="Q32" s="76">
        <f>SUM($L$32:$P$32)</f>
        <v>-14.01271083937274</v>
      </c>
      <c r="R32" s="76">
        <f>'TE BE'!$R$32*'TE BE'!$R$49</f>
        <v>-6.0927230663125291</v>
      </c>
      <c r="S32" s="76">
        <f>SUM($R$32:$R$32)</f>
        <v>-6.0927230663125291</v>
      </c>
      <c r="T32" s="76">
        <f>'TE BE'!$T$32*'TE BE'!$T$49</f>
        <v>0.58989528769629773</v>
      </c>
      <c r="U32" s="76">
        <f>'TE BE'!$U$32*'TE BE'!$U$49</f>
        <v>0.63084146016067089</v>
      </c>
      <c r="V32" s="76">
        <f>'TE BE'!$V$32*'TE BE'!$V$49</f>
        <v>0</v>
      </c>
      <c r="W32" s="76">
        <f>SUM($T$32:$V$32)</f>
        <v>1.2207367478569686</v>
      </c>
      <c r="X32" s="76">
        <f>'TE BE'!$AB$32*'TE BE'!$X$49</f>
        <v>-47.434402591282549</v>
      </c>
      <c r="Y32" s="76">
        <f>SUM($X$32:$X$32)</f>
        <v>-47.434402591282549</v>
      </c>
      <c r="Z32" s="76">
        <f>'TE BE'!$Z$32*'TE BE'!$Z$49</f>
        <v>-0.17758699964664251</v>
      </c>
      <c r="AA32" s="76">
        <f>SUM($Z$32:$Z$32)</f>
        <v>-0.17758699964664251</v>
      </c>
      <c r="AB32" s="76">
        <f ca="1">SUMIF($L$4:$AA$4,"SUBTOTAL",$L$32:$AA$32)+AL32</f>
        <v>-66.496686748757483</v>
      </c>
      <c r="AC32" s="9" t="str">
        <f t="shared" si="0"/>
        <v>B2</v>
      </c>
      <c r="AD32" s="9" t="str">
        <f t="shared" si="1"/>
        <v>Energia convencional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TarifaMedia!$G$20</f>
        <v>0</v>
      </c>
      <c r="AJ32" s="15">
        <f>'TE BE'!$AB32+'TE BF'!$AB32+'TE CVA'!$AB32</f>
        <v>230.58259134858577</v>
      </c>
      <c r="AK32" s="9">
        <v>261.62</v>
      </c>
      <c r="AL32" s="9">
        <f t="shared" ca="1" si="5"/>
        <v>0</v>
      </c>
      <c r="AO32" s="50" t="s">
        <v>1225</v>
      </c>
    </row>
    <row r="33" spans="1:41" ht="11.25" customHeight="1" x14ac:dyDescent="0.25">
      <c r="A33" s="142"/>
      <c r="B33" s="142" t="s">
        <v>94</v>
      </c>
      <c r="C33" s="142" t="s">
        <v>43</v>
      </c>
      <c r="D33" s="79" t="s">
        <v>25</v>
      </c>
      <c r="E33" s="79" t="s">
        <v>25</v>
      </c>
      <c r="F33" s="79" t="s">
        <v>25</v>
      </c>
      <c r="G33" s="78" t="s">
        <v>86</v>
      </c>
      <c r="H33" s="78" t="s">
        <v>82</v>
      </c>
      <c r="I33" s="78">
        <f>'MERCADO TE'!$U$30</f>
        <v>0</v>
      </c>
      <c r="J33" s="15"/>
      <c r="L33" s="76">
        <f>'TE BE'!$L$33*'TE BE'!$L$49</f>
        <v>3.0536234367108361E-11</v>
      </c>
      <c r="M33" s="76">
        <f>'TE BE'!$M$33*'TE BE'!$M$49</f>
        <v>-14.200076145671</v>
      </c>
      <c r="N33" s="76">
        <f>'TE BE'!$N$33*'TE BE'!$N$49</f>
        <v>0</v>
      </c>
      <c r="O33" s="76">
        <f>'TE BE'!$O$33*'TE BE'!$O$49</f>
        <v>0.18736530626772324</v>
      </c>
      <c r="P33" s="76">
        <f>'TE BE'!$P$33*'TE BE'!$P$49</f>
        <v>0</v>
      </c>
      <c r="Q33" s="76">
        <f>SUM($L$33:$P$33)</f>
        <v>-14.01271083937274</v>
      </c>
      <c r="R33" s="76">
        <f>'TE BE'!$R$33*'TE BE'!$R$49</f>
        <v>-6.0927230663125291</v>
      </c>
      <c r="S33" s="76">
        <f>SUM($R$33:$R$33)</f>
        <v>-6.0927230663125291</v>
      </c>
      <c r="T33" s="76">
        <f>'TE BE'!$T$33*'TE BE'!$T$49</f>
        <v>0.58989528769629773</v>
      </c>
      <c r="U33" s="76">
        <f>'TE BE'!$U$33*'TE BE'!$U$49</f>
        <v>0.63084146016067089</v>
      </c>
      <c r="V33" s="76">
        <f>'TE BE'!$V$33*'TE BE'!$V$49</f>
        <v>0</v>
      </c>
      <c r="W33" s="76">
        <f>SUM($T$33:$V$33)</f>
        <v>1.2207367478569686</v>
      </c>
      <c r="X33" s="76">
        <f>'TE BE'!$AB$33*'TE BE'!$X$49</f>
        <v>-47.434402591282549</v>
      </c>
      <c r="Y33" s="76">
        <f>SUM($X$33:$X$33)</f>
        <v>-47.434402591282549</v>
      </c>
      <c r="Z33" s="76">
        <f>'TE BE'!$Z$33*'TE BE'!$Z$49</f>
        <v>-0.17758699964664251</v>
      </c>
      <c r="AA33" s="76">
        <f>SUM($Z$33:$Z$33)</f>
        <v>-0.17758699964664251</v>
      </c>
      <c r="AB33" s="76">
        <f ca="1">SUMIF($L$4:$AA$4,"SUBTOTAL",$L$33:$AA$33)+AL33</f>
        <v>-66.496686748757483</v>
      </c>
      <c r="AC33" s="9" t="str">
        <f t="shared" si="0"/>
        <v>B2</v>
      </c>
      <c r="AD33" s="9" t="str">
        <f t="shared" si="1"/>
        <v>Energia convencional pré-pagamento</v>
      </c>
      <c r="AE33" s="9" t="str">
        <f t="shared" si="2"/>
        <v>Rural</v>
      </c>
      <c r="AF33" s="9" t="str">
        <f t="shared" si="3"/>
        <v>Não se aplica</v>
      </c>
      <c r="AG33" s="9" t="str">
        <f t="shared" si="4"/>
        <v>Não se aplica</v>
      </c>
      <c r="AH33" s="9">
        <v>1</v>
      </c>
      <c r="AI33" s="9">
        <f ca="1">TarifaMedia!$G$20</f>
        <v>0</v>
      </c>
      <c r="AJ33" s="15">
        <f>'TE BE'!$AB33+'TE BF'!$AB33+'TE CVA'!$AB33</f>
        <v>230.58259134858577</v>
      </c>
      <c r="AK33" s="9">
        <v>261.62</v>
      </c>
      <c r="AL33" s="9">
        <f t="shared" ca="1" si="5"/>
        <v>0</v>
      </c>
      <c r="AO33" s="50" t="s">
        <v>1225</v>
      </c>
    </row>
    <row r="34" spans="1:41" ht="11.25" customHeight="1" x14ac:dyDescent="0.25">
      <c r="A34" s="142"/>
      <c r="B34" s="142"/>
      <c r="C34" s="142"/>
      <c r="D34" s="79" t="s">
        <v>96</v>
      </c>
      <c r="E34" s="79" t="s">
        <v>25</v>
      </c>
      <c r="F34" s="79" t="s">
        <v>25</v>
      </c>
      <c r="G34" s="78" t="s">
        <v>86</v>
      </c>
      <c r="H34" s="78" t="s">
        <v>82</v>
      </c>
      <c r="I34" s="78">
        <f>'MERCADO TE'!$U$31</f>
        <v>0</v>
      </c>
      <c r="J34" s="15"/>
      <c r="L34" s="76">
        <f>'TE BE'!$L$34*'TE BE'!$L$49</f>
        <v>3.0536234367108361E-11</v>
      </c>
      <c r="M34" s="76">
        <f>'TE BE'!$M$34*'TE BE'!$M$49</f>
        <v>-14.200076145671</v>
      </c>
      <c r="N34" s="76">
        <f>'TE BE'!$N$34*'TE BE'!$N$49</f>
        <v>0</v>
      </c>
      <c r="O34" s="76">
        <f>'TE BE'!$O$34*'TE BE'!$O$49</f>
        <v>0.18736530626772324</v>
      </c>
      <c r="P34" s="76">
        <f>'TE BE'!$P$34*'TE BE'!$P$49</f>
        <v>0</v>
      </c>
      <c r="Q34" s="76">
        <f>SUM($L$34:$P$34)</f>
        <v>-14.01271083937274</v>
      </c>
      <c r="R34" s="76">
        <f>'TE BE'!$R$34*'TE BE'!$R$49</f>
        <v>-6.0927230663125291</v>
      </c>
      <c r="S34" s="76">
        <f>SUM($R$34:$R$34)</f>
        <v>-6.0927230663125291</v>
      </c>
      <c r="T34" s="76">
        <f>'TE BE'!$T$34*'TE BE'!$T$49</f>
        <v>0.58989528769629773</v>
      </c>
      <c r="U34" s="76">
        <f>'TE BE'!$U$34*'TE BE'!$U$49</f>
        <v>0.63084146016067089</v>
      </c>
      <c r="V34" s="76">
        <f>'TE BE'!$V$34*'TE BE'!$V$49</f>
        <v>0</v>
      </c>
      <c r="W34" s="76">
        <f>SUM($T$34:$V$34)</f>
        <v>1.2207367478569686</v>
      </c>
      <c r="X34" s="76">
        <f>'TE BE'!$AB$34*'TE BE'!$X$49</f>
        <v>-47.434402591282549</v>
      </c>
      <c r="Y34" s="76">
        <f>SUM($X$34:$X$34)</f>
        <v>-47.434402591282549</v>
      </c>
      <c r="Z34" s="76">
        <f>'TE BE'!$Z$34*'TE BE'!$Z$49</f>
        <v>-0.17758699964664251</v>
      </c>
      <c r="AA34" s="76">
        <f>SUM($Z$34:$Z$34)</f>
        <v>-0.17758699964664251</v>
      </c>
      <c r="AB34" s="76">
        <f ca="1">SUMIF($L$4:$AA$4,"SUBTOTAL",$L$34:$AA$34)+AL34</f>
        <v>-66.496686748757483</v>
      </c>
      <c r="AC34" s="9" t="str">
        <f t="shared" si="0"/>
        <v>B2</v>
      </c>
      <c r="AD34" s="9" t="str">
        <f t="shared" si="1"/>
        <v>Energia convencional pré-pagamento</v>
      </c>
      <c r="AE34" s="9" t="str">
        <f t="shared" si="2"/>
        <v>Rural</v>
      </c>
      <c r="AF34" s="9" t="str">
        <f t="shared" si="3"/>
        <v>Cooperativa de eletrificação rural</v>
      </c>
      <c r="AG34" s="9" t="str">
        <f t="shared" si="4"/>
        <v>Não se aplica</v>
      </c>
      <c r="AH34" s="9">
        <v>1</v>
      </c>
      <c r="AI34" s="9">
        <f ca="1">TarifaMedia!$G$20</f>
        <v>0</v>
      </c>
      <c r="AJ34" s="15">
        <f>'TE BE'!$AB34+'TE BF'!$AB34+'TE CVA'!$AB34</f>
        <v>230.58259134858577</v>
      </c>
      <c r="AK34" s="9">
        <v>261.62</v>
      </c>
      <c r="AL34" s="9">
        <f t="shared" ca="1" si="5"/>
        <v>0</v>
      </c>
      <c r="AO34" s="50" t="s">
        <v>1225</v>
      </c>
    </row>
    <row r="35" spans="1:41" ht="11.25" customHeight="1" x14ac:dyDescent="0.25">
      <c r="A35" s="142"/>
      <c r="B35" s="142"/>
      <c r="C35" s="142"/>
      <c r="D35" s="79" t="s">
        <v>97</v>
      </c>
      <c r="E35" s="79" t="s">
        <v>25</v>
      </c>
      <c r="F35" s="79" t="s">
        <v>25</v>
      </c>
      <c r="G35" s="78" t="s">
        <v>86</v>
      </c>
      <c r="H35" s="78" t="s">
        <v>82</v>
      </c>
      <c r="I35" s="78">
        <f>'MERCADO TE'!$U$32</f>
        <v>0</v>
      </c>
      <c r="J35" s="15"/>
      <c r="L35" s="76">
        <f>'TE BE'!$L$35*'TE BE'!$L$49</f>
        <v>3.0536234367108361E-11</v>
      </c>
      <c r="M35" s="76">
        <f>'TE BE'!$M$35*'TE BE'!$M$49</f>
        <v>-14.200076145671</v>
      </c>
      <c r="N35" s="76">
        <f>'TE BE'!$N$35*'TE BE'!$N$49</f>
        <v>0</v>
      </c>
      <c r="O35" s="76">
        <f>'TE BE'!$O$35*'TE BE'!$O$49</f>
        <v>0.18736530626772324</v>
      </c>
      <c r="P35" s="76">
        <f>'TE BE'!$P$35*'TE BE'!$P$49</f>
        <v>0</v>
      </c>
      <c r="Q35" s="76">
        <f>SUM($L$35:$P$35)</f>
        <v>-14.01271083937274</v>
      </c>
      <c r="R35" s="76">
        <f>'TE BE'!$R$35*'TE BE'!$R$49</f>
        <v>-6.0927230663125291</v>
      </c>
      <c r="S35" s="76">
        <f>SUM($R$35:$R$35)</f>
        <v>-6.0927230663125291</v>
      </c>
      <c r="T35" s="76">
        <f>'TE BE'!$T$35*'TE BE'!$T$49</f>
        <v>0.58989528769629773</v>
      </c>
      <c r="U35" s="76">
        <f>'TE BE'!$U$35*'TE BE'!$U$49</f>
        <v>0.63084146016067089</v>
      </c>
      <c r="V35" s="76">
        <f>'TE BE'!$V$35*'TE BE'!$V$49</f>
        <v>0</v>
      </c>
      <c r="W35" s="76">
        <f>SUM($T$35:$V$35)</f>
        <v>1.2207367478569686</v>
      </c>
      <c r="X35" s="76">
        <f>'TE BE'!$AB$35*'TE BE'!$X$49</f>
        <v>-47.434402591282549</v>
      </c>
      <c r="Y35" s="76">
        <f>SUM($X$35:$X$35)</f>
        <v>-47.434402591282549</v>
      </c>
      <c r="Z35" s="76">
        <f>'TE BE'!$Z$35*'TE BE'!$Z$49</f>
        <v>-0.17758699964664251</v>
      </c>
      <c r="AA35" s="76">
        <f>SUM($Z$35:$Z$35)</f>
        <v>-0.17758699964664251</v>
      </c>
      <c r="AB35" s="76">
        <f ca="1">SUMIF($L$4:$AA$4,"SUBTOTAL",$L$35:$AA$35)+AL35</f>
        <v>-66.496686748757483</v>
      </c>
      <c r="AC35" s="9" t="str">
        <f t="shared" si="0"/>
        <v>B2</v>
      </c>
      <c r="AD35" s="9" t="str">
        <f t="shared" si="1"/>
        <v>Energia convencional pré-pagamento</v>
      </c>
      <c r="AE35" s="9" t="str">
        <f t="shared" si="2"/>
        <v>Rural</v>
      </c>
      <c r="AF35" s="9" t="str">
        <f t="shared" si="3"/>
        <v>Serviço público de irrigação rural</v>
      </c>
      <c r="AG35" s="9" t="str">
        <f t="shared" si="4"/>
        <v>Não se aplica</v>
      </c>
      <c r="AH35" s="9">
        <v>1</v>
      </c>
      <c r="AI35" s="9">
        <f ca="1">TarifaMedia!$G$20</f>
        <v>0</v>
      </c>
      <c r="AJ35" s="15">
        <f>'TE BE'!$AB35+'TE BF'!$AB35+'TE CVA'!$AB35</f>
        <v>230.58259134858577</v>
      </c>
      <c r="AK35" s="9">
        <v>261.62</v>
      </c>
      <c r="AL35" s="9">
        <f t="shared" ca="1" si="5"/>
        <v>0</v>
      </c>
      <c r="AO35" s="50" t="s">
        <v>1225</v>
      </c>
    </row>
    <row r="36" spans="1:41" ht="11.25" customHeight="1" x14ac:dyDescent="0.25">
      <c r="A36" s="142" t="s">
        <v>36</v>
      </c>
      <c r="B36" s="142" t="s">
        <v>81</v>
      </c>
      <c r="C36" s="142" t="s">
        <v>25</v>
      </c>
      <c r="D36" s="142" t="s">
        <v>25</v>
      </c>
      <c r="E36" s="142" t="s">
        <v>25</v>
      </c>
      <c r="F36" s="142" t="s">
        <v>25</v>
      </c>
      <c r="G36" s="78" t="s">
        <v>83</v>
      </c>
      <c r="H36" s="78" t="s">
        <v>82</v>
      </c>
      <c r="I36" s="78">
        <f>'MERCADO TE'!$U$33</f>
        <v>20.471999999999998</v>
      </c>
      <c r="J36" s="15"/>
      <c r="L36" s="76">
        <f>'TE BE'!$L$36*'TE BE'!$L$49</f>
        <v>3.0536234367108361E-11</v>
      </c>
      <c r="M36" s="76">
        <f>'TE BE'!$M$36*'TE BE'!$M$49</f>
        <v>-14.200076145671</v>
      </c>
      <c r="N36" s="76">
        <f>'TE BE'!$N$36*'TE BE'!$N$49</f>
        <v>0</v>
      </c>
      <c r="O36" s="76">
        <f>'TE BE'!$O$36*'TE BE'!$O$49</f>
        <v>0.18736530626772324</v>
      </c>
      <c r="P36" s="76">
        <f>'TE BE'!$P$36*'TE BE'!$P$49</f>
        <v>0</v>
      </c>
      <c r="Q36" s="76">
        <f>SUM($L$36:$P$36)</f>
        <v>-14.01271083937274</v>
      </c>
      <c r="R36" s="76">
        <f>'TE BE'!$R$36*'TE BE'!$R$49</f>
        <v>-9.8863053528844809</v>
      </c>
      <c r="S36" s="76">
        <f>SUM($R$36:$R$36)</f>
        <v>-9.8863053528844809</v>
      </c>
      <c r="T36" s="76">
        <f>'TE BE'!$T$36*'TE BE'!$T$49</f>
        <v>0.58989528769629773</v>
      </c>
      <c r="U36" s="76">
        <f>'TE BE'!$U$36*'TE BE'!$U$49</f>
        <v>0.63084146016067089</v>
      </c>
      <c r="V36" s="76">
        <f>'TE BE'!$V$36*'TE BE'!$V$49</f>
        <v>0</v>
      </c>
      <c r="W36" s="76">
        <f>SUM($T$36:$V$36)</f>
        <v>1.2207367478569686</v>
      </c>
      <c r="X36" s="76">
        <f>'TE BE'!$AB$36*'TE BE'!$X$49</f>
        <v>-72.904527404294441</v>
      </c>
      <c r="Y36" s="76">
        <f>SUM($X$36:$X$36)</f>
        <v>-72.904527404294441</v>
      </c>
      <c r="Z36" s="76">
        <f>'TE BE'!$Z$36*'TE BE'!$Z$49</f>
        <v>-0.17758699964664251</v>
      </c>
      <c r="AA36" s="76">
        <f>SUM($Z$36:$Z$36)</f>
        <v>-0.17758699964664251</v>
      </c>
      <c r="AB36" s="76">
        <f ca="1">SUMIF($L$4:$AA$4,"SUBTOTAL",$L$36:$AA$36)+AL36</f>
        <v>-95.760393848341337</v>
      </c>
      <c r="AC36" s="9" t="str">
        <f t="shared" si="0"/>
        <v>B3</v>
      </c>
      <c r="AD36" s="9" t="str">
        <f t="shared" si="1"/>
        <v>Energia horária</v>
      </c>
      <c r="AE36" s="9" t="str">
        <f t="shared" si="2"/>
        <v>Não se aplica</v>
      </c>
      <c r="AF36" s="9" t="str">
        <f t="shared" si="3"/>
        <v>Não se aplica</v>
      </c>
      <c r="AG36" s="9" t="str">
        <f t="shared" si="4"/>
        <v>Não se aplica</v>
      </c>
      <c r="AH36" s="9">
        <v>1</v>
      </c>
      <c r="AI36" s="9">
        <f ca="1">TarifaMedia!$G$20</f>
        <v>0</v>
      </c>
      <c r="AJ36" s="15">
        <f>'TE BE'!$AB36+'TE BF'!$AB36+'TE CVA'!$AB36</f>
        <v>353.55100010229148</v>
      </c>
      <c r="AK36" s="9">
        <v>393.63</v>
      </c>
      <c r="AL36" s="9">
        <f t="shared" ca="1" si="5"/>
        <v>0</v>
      </c>
      <c r="AO36" s="50" t="s">
        <v>1232</v>
      </c>
    </row>
    <row r="37" spans="1:41" ht="11.25" customHeight="1" x14ac:dyDescent="0.25">
      <c r="A37" s="142"/>
      <c r="B37" s="142"/>
      <c r="C37" s="142"/>
      <c r="D37" s="142"/>
      <c r="E37" s="142"/>
      <c r="F37" s="142"/>
      <c r="G37" s="78" t="s">
        <v>93</v>
      </c>
      <c r="H37" s="78" t="s">
        <v>82</v>
      </c>
      <c r="I37" s="78">
        <f>'MERCADO TE'!$U$34</f>
        <v>16.687999999999999</v>
      </c>
      <c r="J37" s="15"/>
      <c r="L37" s="76">
        <f>'TE BE'!$L$37*'TE BE'!$L$49</f>
        <v>3.0536234367108361E-11</v>
      </c>
      <c r="M37" s="76">
        <f>'TE BE'!$M$37*'TE BE'!$M$49</f>
        <v>-14.200076145671</v>
      </c>
      <c r="N37" s="76">
        <f>'TE BE'!$N$37*'TE BE'!$N$49</f>
        <v>0</v>
      </c>
      <c r="O37" s="76">
        <f>'TE BE'!$O$37*'TE BE'!$O$49</f>
        <v>0.18736530626772324</v>
      </c>
      <c r="P37" s="76">
        <f>'TE BE'!$P$37*'TE BE'!$P$49</f>
        <v>0</v>
      </c>
      <c r="Q37" s="76">
        <f>SUM($L$37:$P$37)</f>
        <v>-14.01271083937274</v>
      </c>
      <c r="R37" s="76">
        <f>'TE BE'!$R$37*'TE BE'!$R$49</f>
        <v>-5.7478519493514417</v>
      </c>
      <c r="S37" s="76">
        <f>SUM($R$37:$R$37)</f>
        <v>-5.7478519493514417</v>
      </c>
      <c r="T37" s="76">
        <f>'TE BE'!$T$37*'TE BE'!$T$49</f>
        <v>0.58989528769629773</v>
      </c>
      <c r="U37" s="76">
        <f>'TE BE'!$U$37*'TE BE'!$U$49</f>
        <v>0.63084146016067089</v>
      </c>
      <c r="V37" s="76">
        <f>'TE BE'!$V$37*'TE BE'!$V$49</f>
        <v>0</v>
      </c>
      <c r="W37" s="76">
        <f>SUM($T$37:$V$37)</f>
        <v>1.2207367478569686</v>
      </c>
      <c r="X37" s="76">
        <f>'TE BE'!$AB$37*'TE BE'!$X$49</f>
        <v>-45.118936699190549</v>
      </c>
      <c r="Y37" s="76">
        <f>SUM($X$37:$X$37)</f>
        <v>-45.118936699190549</v>
      </c>
      <c r="Z37" s="76">
        <f>'TE BE'!$Z$37*'TE BE'!$Z$49</f>
        <v>-0.17758699964664251</v>
      </c>
      <c r="AA37" s="76">
        <f>SUM($Z$37:$Z$37)</f>
        <v>-0.17758699964664251</v>
      </c>
      <c r="AB37" s="76">
        <f ca="1">SUMIF($L$4:$AA$4,"SUBTOTAL",$L$37:$AA$37)+AL37</f>
        <v>-63.83634973970441</v>
      </c>
      <c r="AC37" s="9" t="str">
        <f t="shared" si="0"/>
        <v>B3</v>
      </c>
      <c r="AD37" s="9" t="str">
        <f t="shared" si="1"/>
        <v>Energia horária</v>
      </c>
      <c r="AE37" s="9" t="str">
        <f t="shared" si="2"/>
        <v>Não se aplica</v>
      </c>
      <c r="AF37" s="9" t="str">
        <f t="shared" si="3"/>
        <v>Não se aplica</v>
      </c>
      <c r="AG37" s="9" t="str">
        <f t="shared" si="4"/>
        <v>Não se aplica</v>
      </c>
      <c r="AH37" s="9">
        <v>1</v>
      </c>
      <c r="AI37" s="9">
        <f ca="1">TarifaMedia!$G$20</f>
        <v>0</v>
      </c>
      <c r="AJ37" s="15">
        <f>'TE BE'!$AB37+'TE BF'!$AB37+'TE CVA'!$AB37</f>
        <v>219.40364509824883</v>
      </c>
      <c r="AK37" s="9">
        <v>249.61</v>
      </c>
      <c r="AL37" s="9">
        <f t="shared" ca="1" si="5"/>
        <v>0</v>
      </c>
      <c r="AO37" s="50" t="s">
        <v>1233</v>
      </c>
    </row>
    <row r="38" spans="1:41" ht="11.25" customHeight="1" x14ac:dyDescent="0.25">
      <c r="A38" s="142"/>
      <c r="B38" s="142"/>
      <c r="C38" s="142"/>
      <c r="D38" s="142"/>
      <c r="E38" s="142"/>
      <c r="F38" s="142"/>
      <c r="G38" s="78" t="s">
        <v>84</v>
      </c>
      <c r="H38" s="78" t="s">
        <v>82</v>
      </c>
      <c r="I38" s="78">
        <f>'MERCADO TE'!$U$35</f>
        <v>216.36699999999999</v>
      </c>
      <c r="J38" s="15"/>
      <c r="L38" s="76">
        <f>'TE BE'!$L$38*'TE BE'!$L$49</f>
        <v>3.0536234367108361E-11</v>
      </c>
      <c r="M38" s="76">
        <f>'TE BE'!$M$38*'TE BE'!$M$49</f>
        <v>-14.200076145671</v>
      </c>
      <c r="N38" s="76">
        <f>'TE BE'!$N$38*'TE BE'!$N$49</f>
        <v>0</v>
      </c>
      <c r="O38" s="76">
        <f>'TE BE'!$O$38*'TE BE'!$O$49</f>
        <v>0.18736530626772324</v>
      </c>
      <c r="P38" s="76">
        <f>'TE BE'!$P$38*'TE BE'!$P$49</f>
        <v>0</v>
      </c>
      <c r="Q38" s="76">
        <f>SUM($L$38:$P$38)</f>
        <v>-14.01271083937274</v>
      </c>
      <c r="R38" s="76">
        <f>'TE BE'!$R$38*'TE BE'!$R$49</f>
        <v>-5.7478519493514417</v>
      </c>
      <c r="S38" s="76">
        <f>SUM($R$38:$R$38)</f>
        <v>-5.7478519493514417</v>
      </c>
      <c r="T38" s="76">
        <f>'TE BE'!$T$38*'TE BE'!$T$49</f>
        <v>0.58989528769629773</v>
      </c>
      <c r="U38" s="76">
        <f>'TE BE'!$U$38*'TE BE'!$U$49</f>
        <v>0.63084146016067089</v>
      </c>
      <c r="V38" s="76">
        <f>'TE BE'!$V$38*'TE BE'!$V$49</f>
        <v>0</v>
      </c>
      <c r="W38" s="76">
        <f>SUM($T$38:$V$38)</f>
        <v>1.2207367478569686</v>
      </c>
      <c r="X38" s="76">
        <f>'TE BE'!$AB$38*'TE BE'!$X$49</f>
        <v>-45.118936699190549</v>
      </c>
      <c r="Y38" s="76">
        <f>SUM($X$38:$X$38)</f>
        <v>-45.118936699190549</v>
      </c>
      <c r="Z38" s="76">
        <f>'TE BE'!$Z$38*'TE BE'!$Z$49</f>
        <v>-0.17758699964664251</v>
      </c>
      <c r="AA38" s="76">
        <f>SUM($Z$38:$Z$38)</f>
        <v>-0.17758699964664251</v>
      </c>
      <c r="AB38" s="76">
        <f ca="1">SUMIF($L$4:$AA$4,"SUBTOTAL",$L$38:$AA$38)+AL38</f>
        <v>-63.83634973970441</v>
      </c>
      <c r="AC38" s="9" t="str">
        <f t="shared" si="0"/>
        <v>B3</v>
      </c>
      <c r="AD38" s="9" t="str">
        <f t="shared" si="1"/>
        <v>Energia horária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TarifaMedia!$G$20</f>
        <v>0</v>
      </c>
      <c r="AJ38" s="15">
        <f>'TE BE'!$AB38+'TE BF'!$AB38+'TE CVA'!$AB38</f>
        <v>219.40364509824883</v>
      </c>
      <c r="AK38" s="9">
        <v>249.61</v>
      </c>
      <c r="AL38" s="9">
        <f t="shared" ca="1" si="5"/>
        <v>0</v>
      </c>
      <c r="AO38" s="50" t="s">
        <v>1234</v>
      </c>
    </row>
    <row r="39" spans="1:41" ht="11.25" customHeight="1" x14ac:dyDescent="0.25">
      <c r="A39" s="142"/>
      <c r="B39" s="79" t="s">
        <v>85</v>
      </c>
      <c r="C39" s="79" t="s">
        <v>25</v>
      </c>
      <c r="D39" s="79" t="s">
        <v>25</v>
      </c>
      <c r="E39" s="79" t="s">
        <v>25</v>
      </c>
      <c r="F39" s="79" t="s">
        <v>25</v>
      </c>
      <c r="G39" s="78" t="s">
        <v>86</v>
      </c>
      <c r="H39" s="78" t="s">
        <v>82</v>
      </c>
      <c r="I39" s="78">
        <f>'MERCADO TE'!$U$36</f>
        <v>26125.533000000003</v>
      </c>
      <c r="J39" s="15"/>
      <c r="L39" s="76">
        <f>'TE BE'!$L$39*'TE BE'!$L$49</f>
        <v>3.0536234367108361E-11</v>
      </c>
      <c r="M39" s="76">
        <f>'TE BE'!$M$39*'TE BE'!$M$49</f>
        <v>-14.200076145671</v>
      </c>
      <c r="N39" s="76">
        <f>'TE BE'!$N$39*'TE BE'!$N$49</f>
        <v>0</v>
      </c>
      <c r="O39" s="76">
        <f>'TE BE'!$O$39*'TE BE'!$O$49</f>
        <v>0.18736530626772324</v>
      </c>
      <c r="P39" s="76">
        <f>'TE BE'!$P$39*'TE BE'!$P$49</f>
        <v>0</v>
      </c>
      <c r="Q39" s="76">
        <f>SUM($L$39:$P$39)</f>
        <v>-14.01271083937274</v>
      </c>
      <c r="R39" s="76">
        <f>'TE BE'!$R$39*'TE BE'!$R$49</f>
        <v>-6.0927230663125291</v>
      </c>
      <c r="S39" s="76">
        <f>SUM($R$39:$R$39)</f>
        <v>-6.0927230663125291</v>
      </c>
      <c r="T39" s="76">
        <f>'TE BE'!$T$39*'TE BE'!$T$49</f>
        <v>0.58989528769629773</v>
      </c>
      <c r="U39" s="76">
        <f>'TE BE'!$U$39*'TE BE'!$U$49</f>
        <v>0.63084146016067089</v>
      </c>
      <c r="V39" s="76">
        <f>'TE BE'!$V$39*'TE BE'!$V$49</f>
        <v>0</v>
      </c>
      <c r="W39" s="76">
        <f>SUM($T$39:$V$39)</f>
        <v>1.2207367478569686</v>
      </c>
      <c r="X39" s="76">
        <f>'TE BE'!$AB$39*'TE BE'!$X$49</f>
        <v>-47.434402591282549</v>
      </c>
      <c r="Y39" s="76">
        <f>SUM($X$39:$X$39)</f>
        <v>-47.434402591282549</v>
      </c>
      <c r="Z39" s="76">
        <f>'TE BE'!$Z$39*'TE BE'!$Z$49</f>
        <v>-0.17758699964664251</v>
      </c>
      <c r="AA39" s="76">
        <f>SUM($Z$39:$Z$39)</f>
        <v>-0.17758699964664251</v>
      </c>
      <c r="AB39" s="76">
        <f ca="1">SUMIF($L$4:$AA$4,"SUBTOTAL",$L$39:$AA$39)+AL39</f>
        <v>-66.496686748757483</v>
      </c>
      <c r="AC39" s="9" t="str">
        <f t="shared" si="0"/>
        <v>B3</v>
      </c>
      <c r="AD39" s="9" t="str">
        <f t="shared" si="1"/>
        <v>Energia convencional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TarifaMedia!$G$20</f>
        <v>0</v>
      </c>
      <c r="AJ39" s="15">
        <f>'TE BE'!$AB39+'TE BF'!$AB39+'TE CVA'!$AB39</f>
        <v>230.58259134858577</v>
      </c>
      <c r="AK39" s="9">
        <v>261.62</v>
      </c>
      <c r="AL39" s="9">
        <f t="shared" ca="1" si="5"/>
        <v>0</v>
      </c>
      <c r="AO39" s="50" t="s">
        <v>1235</v>
      </c>
    </row>
    <row r="40" spans="1:41" ht="11.25" customHeight="1" x14ac:dyDescent="0.25">
      <c r="A40" s="142"/>
      <c r="B40" s="79" t="s">
        <v>94</v>
      </c>
      <c r="C40" s="79" t="s">
        <v>25</v>
      </c>
      <c r="D40" s="79" t="s">
        <v>25</v>
      </c>
      <c r="E40" s="79" t="s">
        <v>25</v>
      </c>
      <c r="F40" s="79" t="s">
        <v>25</v>
      </c>
      <c r="G40" s="78" t="s">
        <v>86</v>
      </c>
      <c r="H40" s="78" t="s">
        <v>82</v>
      </c>
      <c r="I40" s="78">
        <f>'MERCADO TE'!$U$37</f>
        <v>0</v>
      </c>
      <c r="J40" s="15"/>
      <c r="L40" s="76">
        <f>'TE BE'!$L$40*'TE BE'!$L$49</f>
        <v>3.0536234367108361E-11</v>
      </c>
      <c r="M40" s="76">
        <f>'TE BE'!$M$40*'TE BE'!$M$49</f>
        <v>-14.200076145671</v>
      </c>
      <c r="N40" s="76">
        <f>'TE BE'!$N$40*'TE BE'!$N$49</f>
        <v>0</v>
      </c>
      <c r="O40" s="76">
        <f>'TE BE'!$O$40*'TE BE'!$O$49</f>
        <v>0.18736530626772324</v>
      </c>
      <c r="P40" s="76">
        <f>'TE BE'!$P$40*'TE BE'!$P$49</f>
        <v>0</v>
      </c>
      <c r="Q40" s="76">
        <f>SUM($L$40:$P$40)</f>
        <v>-14.01271083937274</v>
      </c>
      <c r="R40" s="76">
        <f>'TE BE'!$R$40*'TE BE'!$R$49</f>
        <v>-6.0927230663125291</v>
      </c>
      <c r="S40" s="76">
        <f>SUM($R$40:$R$40)</f>
        <v>-6.0927230663125291</v>
      </c>
      <c r="T40" s="76">
        <f>'TE BE'!$T$40*'TE BE'!$T$49</f>
        <v>0.58989528769629773</v>
      </c>
      <c r="U40" s="76">
        <f>'TE BE'!$U$40*'TE BE'!$U$49</f>
        <v>0.63084146016067089</v>
      </c>
      <c r="V40" s="76">
        <f>'TE BE'!$V$40*'TE BE'!$V$49</f>
        <v>0</v>
      </c>
      <c r="W40" s="76">
        <f>SUM($T$40:$V$40)</f>
        <v>1.2207367478569686</v>
      </c>
      <c r="X40" s="76">
        <f>'TE BE'!$AB$40*'TE BE'!$X$49</f>
        <v>-47.434402591282549</v>
      </c>
      <c r="Y40" s="76">
        <f>SUM($X$40:$X$40)</f>
        <v>-47.434402591282549</v>
      </c>
      <c r="Z40" s="76">
        <f>'TE BE'!$Z$40*'TE BE'!$Z$49</f>
        <v>-0.17758699964664251</v>
      </c>
      <c r="AA40" s="76">
        <f>SUM($Z$40:$Z$40)</f>
        <v>-0.17758699964664251</v>
      </c>
      <c r="AB40" s="76">
        <f ca="1">SUMIF($L$4:$AA$4,"SUBTOTAL",$L$40:$AA$40)+AL40</f>
        <v>-66.496686748757483</v>
      </c>
      <c r="AC40" s="9" t="str">
        <f t="shared" si="0"/>
        <v>B3</v>
      </c>
      <c r="AD40" s="9" t="str">
        <f t="shared" si="1"/>
        <v>Energia convencional pré-pagamento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TarifaMedia!$G$20</f>
        <v>0</v>
      </c>
      <c r="AJ40" s="15">
        <f>'TE BE'!$AB40+'TE BF'!$AB40+'TE CVA'!$AB40</f>
        <v>230.58259134858577</v>
      </c>
      <c r="AK40" s="9">
        <v>261.62</v>
      </c>
      <c r="AL40" s="9">
        <f t="shared" ca="1" si="5"/>
        <v>0</v>
      </c>
      <c r="AO40" s="50" t="s">
        <v>1236</v>
      </c>
    </row>
    <row r="41" spans="1:41" ht="11.25" customHeight="1" x14ac:dyDescent="0.25">
      <c r="A41" s="142" t="s">
        <v>45</v>
      </c>
      <c r="B41" s="142" t="s">
        <v>85</v>
      </c>
      <c r="C41" s="142" t="s">
        <v>46</v>
      </c>
      <c r="D41" s="79" t="s">
        <v>47</v>
      </c>
      <c r="E41" s="79" t="s">
        <v>25</v>
      </c>
      <c r="F41" s="79" t="s">
        <v>25</v>
      </c>
      <c r="G41" s="78" t="s">
        <v>86</v>
      </c>
      <c r="H41" s="78" t="s">
        <v>82</v>
      </c>
      <c r="I41" s="78">
        <f>'MERCADO TE'!$U$38</f>
        <v>5474.732</v>
      </c>
      <c r="J41" s="15"/>
      <c r="L41" s="76">
        <f>'TE BE'!$L$41*'TE BE'!$L$49</f>
        <v>1.6794928901909601E-11</v>
      </c>
      <c r="M41" s="76">
        <f>'TE BE'!$M$41*'TE BE'!$M$49</f>
        <v>-7.8100418801190505</v>
      </c>
      <c r="N41" s="76">
        <f>'TE BE'!$N$41*'TE BE'!$N$49</f>
        <v>0</v>
      </c>
      <c r="O41" s="76">
        <f>'TE BE'!$O$41*'TE BE'!$O$49</f>
        <v>0.1030509184472478</v>
      </c>
      <c r="P41" s="76">
        <f>'TE BE'!$P$41*'TE BE'!$P$49</f>
        <v>0</v>
      </c>
      <c r="Q41" s="76">
        <f>SUM($L$41:$P$41)</f>
        <v>-7.7069909616550083</v>
      </c>
      <c r="R41" s="76">
        <f>'TE BE'!$R$41*'TE BE'!$R$49</f>
        <v>-3.3509976864718909</v>
      </c>
      <c r="S41" s="76">
        <f>SUM($R$41:$R$41)</f>
        <v>-3.3509976864718909</v>
      </c>
      <c r="T41" s="76">
        <f>'TE BE'!$T$41*'TE BE'!$T$49</f>
        <v>0.32444240823296377</v>
      </c>
      <c r="U41" s="76">
        <f>'TE BE'!$U$41*'TE BE'!$U$49</f>
        <v>0.34696280308836902</v>
      </c>
      <c r="V41" s="76">
        <f>'TE BE'!$V$41*'TE BE'!$V$49</f>
        <v>0</v>
      </c>
      <c r="W41" s="76">
        <f>SUM($T$41:$V$41)</f>
        <v>0.6714052113213328</v>
      </c>
      <c r="X41" s="76">
        <f>'TE BE'!$AB$41*'TE BE'!$X$49</f>
        <v>-26.088921425205402</v>
      </c>
      <c r="Y41" s="76">
        <f>SUM($X$41:$X$41)</f>
        <v>-26.088921425205402</v>
      </c>
      <c r="Z41" s="76">
        <f>'TE BE'!$Z$41*'TE BE'!$Z$49</f>
        <v>-9.7672849805653383E-2</v>
      </c>
      <c r="AA41" s="76">
        <f>SUM($Z$41:$Z$41)</f>
        <v>-9.7672849805653383E-2</v>
      </c>
      <c r="AB41" s="76">
        <f ca="1">SUMIF($L$4:$AA$4,"SUBTOTAL",$L$41:$AA$41)+AL41</f>
        <v>-36.573177711816626</v>
      </c>
      <c r="AC41" s="9" t="str">
        <f t="shared" si="0"/>
        <v>B4</v>
      </c>
      <c r="AD41" s="9" t="str">
        <f t="shared" si="1"/>
        <v>Energia convencional</v>
      </c>
      <c r="AE41" s="9" t="str">
        <f t="shared" si="2"/>
        <v>Iluminação pública</v>
      </c>
      <c r="AF41" s="9" t="str">
        <f t="shared" si="3"/>
        <v>Iluminação pública – B4a</v>
      </c>
      <c r="AG41" s="9" t="str">
        <f t="shared" si="4"/>
        <v>Não se aplica</v>
      </c>
      <c r="AH41" s="9">
        <v>1</v>
      </c>
      <c r="AI41" s="9">
        <f ca="1">TarifaMedia!$G$20</f>
        <v>0</v>
      </c>
      <c r="AJ41" s="15">
        <f>'TE BE'!$AB41+'TE BF'!$AB41+'TE CVA'!$AB41</f>
        <v>126.82042524172216</v>
      </c>
      <c r="AK41" s="9">
        <v>143.88999999999999</v>
      </c>
      <c r="AL41" s="9">
        <f t="shared" ca="1" si="5"/>
        <v>0</v>
      </c>
      <c r="AO41" s="50" t="s">
        <v>1237</v>
      </c>
    </row>
    <row r="42" spans="1:41" ht="11.25" customHeight="1" x14ac:dyDescent="0.25">
      <c r="A42" s="142"/>
      <c r="B42" s="142"/>
      <c r="C42" s="142"/>
      <c r="D42" s="78" t="s">
        <v>98</v>
      </c>
      <c r="E42" s="78" t="s">
        <v>25</v>
      </c>
      <c r="F42" s="78" t="s">
        <v>25</v>
      </c>
      <c r="G42" s="78" t="s">
        <v>86</v>
      </c>
      <c r="H42" s="78" t="s">
        <v>82</v>
      </c>
      <c r="I42" s="78">
        <f>'MERCADO TE'!$U$39</f>
        <v>0</v>
      </c>
      <c r="J42" s="15"/>
      <c r="L42" s="76">
        <f>'TE BE'!$L$42*'TE BE'!$L$49</f>
        <v>1.8321740620265018E-11</v>
      </c>
      <c r="M42" s="76">
        <f>'TE BE'!$M$42*'TE BE'!$M$49</f>
        <v>-8.5200456874026003</v>
      </c>
      <c r="N42" s="76">
        <f>'TE BE'!$N$42*'TE BE'!$N$49</f>
        <v>0</v>
      </c>
      <c r="O42" s="76">
        <f>'TE BE'!$O$42*'TE BE'!$O$49</f>
        <v>0.11241918376063394</v>
      </c>
      <c r="P42" s="76">
        <f>'TE BE'!$P$42*'TE BE'!$P$49</f>
        <v>0</v>
      </c>
      <c r="Q42" s="76">
        <f>SUM($L$42:$P$42)</f>
        <v>-8.4076265036236446</v>
      </c>
      <c r="R42" s="76">
        <f>'TE BE'!$R$42*'TE BE'!$R$49</f>
        <v>-3.6556338397875168</v>
      </c>
      <c r="S42" s="76">
        <f>SUM($R$42:$R$42)</f>
        <v>-3.6556338397875168</v>
      </c>
      <c r="T42" s="76">
        <f>'TE BE'!$T$42*'TE BE'!$T$49</f>
        <v>0.35393717261777863</v>
      </c>
      <c r="U42" s="76">
        <f>'TE BE'!$U$42*'TE BE'!$U$49</f>
        <v>0.37850487609640254</v>
      </c>
      <c r="V42" s="76">
        <f>'TE BE'!$V$42*'TE BE'!$V$49</f>
        <v>0</v>
      </c>
      <c r="W42" s="76">
        <f>SUM($T$42:$V$42)</f>
        <v>0.73244204871418117</v>
      </c>
      <c r="X42" s="76">
        <f>'TE BE'!$AB$42*'TE BE'!$X$49</f>
        <v>-28.460641554769527</v>
      </c>
      <c r="Y42" s="76">
        <f>SUM($X$42:$X$42)</f>
        <v>-28.460641554769527</v>
      </c>
      <c r="Z42" s="76">
        <f>'TE BE'!$Z$42*'TE BE'!$Z$49</f>
        <v>-0.1065521997879855</v>
      </c>
      <c r="AA42" s="76">
        <f>SUM($Z$42:$Z$42)</f>
        <v>-0.1065521997879855</v>
      </c>
      <c r="AB42" s="76">
        <f ca="1">SUMIF($L$4:$AA$4,"SUBTOTAL",$L$42:$AA$42)+AL42</f>
        <v>-39.89801204925449</v>
      </c>
      <c r="AC42" s="9" t="str">
        <f t="shared" si="0"/>
        <v>B4</v>
      </c>
      <c r="AD42" s="9" t="str">
        <f t="shared" si="1"/>
        <v>Energia convencional</v>
      </c>
      <c r="AE42" s="9" t="str">
        <f t="shared" si="2"/>
        <v>Iluminação pública</v>
      </c>
      <c r="AF42" s="9" t="str">
        <f t="shared" si="3"/>
        <v>Iluminação pública – B4b</v>
      </c>
      <c r="AG42" s="9" t="str">
        <f t="shared" si="4"/>
        <v>Não se aplica</v>
      </c>
      <c r="AH42" s="9">
        <v>1</v>
      </c>
      <c r="AI42" s="9">
        <f ca="1">TarifaMedia!$G$20</f>
        <v>0</v>
      </c>
      <c r="AJ42" s="15">
        <f>'TE BE'!$AB42+'TE BF'!$AB42+'TE CVA'!$AB42</f>
        <v>138.34955480915144</v>
      </c>
      <c r="AK42" s="9">
        <v>156.97</v>
      </c>
      <c r="AL42" s="9">
        <f t="shared" ca="1" si="5"/>
        <v>0</v>
      </c>
      <c r="AO42" s="50" t="s">
        <v>1238</v>
      </c>
    </row>
    <row r="44" spans="1:41" ht="11.25" customHeight="1" x14ac:dyDescent="0.25">
      <c r="K44" s="81" t="s">
        <v>668</v>
      </c>
      <c r="L44" s="76">
        <f t="shared" ref="L44:AB44" si="6">SUMPRODUCT($I$5:$I$42,L$5:L$42)</f>
        <v>4.3780460810177047E-6</v>
      </c>
      <c r="M44" s="76">
        <f t="shared" si="6"/>
        <v>-2035895.6828898287</v>
      </c>
      <c r="N44" s="76">
        <f t="shared" si="6"/>
        <v>0</v>
      </c>
      <c r="O44" s="76">
        <f t="shared" si="6"/>
        <v>26862.969905276037</v>
      </c>
      <c r="P44" s="76">
        <f t="shared" si="6"/>
        <v>0</v>
      </c>
      <c r="Q44" s="76">
        <f t="shared" si="6"/>
        <v>-2009032.712980174</v>
      </c>
      <c r="R44" s="76">
        <f t="shared" si="6"/>
        <v>-871301.0648683951</v>
      </c>
      <c r="S44" s="76">
        <f t="shared" si="6"/>
        <v>-871301.0648683951</v>
      </c>
      <c r="T44" s="76">
        <f t="shared" si="6"/>
        <v>84574.565464148516</v>
      </c>
      <c r="U44" s="76">
        <f t="shared" si="6"/>
        <v>90445.106924342967</v>
      </c>
      <c r="V44" s="76">
        <f t="shared" si="6"/>
        <v>0</v>
      </c>
      <c r="W44" s="76">
        <f t="shared" si="6"/>
        <v>175019.67238849151</v>
      </c>
      <c r="X44" s="76">
        <f t="shared" si="6"/>
        <v>-6785828.7622725684</v>
      </c>
      <c r="Y44" s="76">
        <f t="shared" si="6"/>
        <v>-6785828.7622725684</v>
      </c>
      <c r="Z44" s="76">
        <f t="shared" si="6"/>
        <v>-25461.032899332571</v>
      </c>
      <c r="AA44" s="76">
        <f t="shared" si="6"/>
        <v>-25461.032899332571</v>
      </c>
      <c r="AB44" s="76">
        <f t="shared" ca="1" si="6"/>
        <v>-9516603.9006319791</v>
      </c>
    </row>
    <row r="45" spans="1:41" ht="11.25" customHeight="1" x14ac:dyDescent="0.25">
      <c r="K45" s="81" t="s">
        <v>604</v>
      </c>
      <c r="L45" s="76">
        <f>CUSTOS!$D$30</f>
        <v>380193.13466568384</v>
      </c>
      <c r="M45" s="76">
        <f>CUSTOS!$D$31</f>
        <v>3540154.7326409174</v>
      </c>
      <c r="N45" s="76">
        <f>CUSTOS!$D$32</f>
        <v>0</v>
      </c>
      <c r="O45" s="76">
        <f>CUSTOS!$D$33</f>
        <v>1286311.6925648036</v>
      </c>
      <c r="P45" s="76">
        <f>CUSTOS!$D$34</f>
        <v>-2730000</v>
      </c>
      <c r="Q45" s="76">
        <f>CUSTOS!$D$35</f>
        <v>2476659.5598714054</v>
      </c>
      <c r="R45" s="76">
        <f>CUSTOS!$D$36</f>
        <v>31323047.97811934</v>
      </c>
      <c r="S45" s="76">
        <f>CUSTOS!$D$37</f>
        <v>31323047.97811934</v>
      </c>
      <c r="T45" s="76">
        <f>CUSTOS!$D$38</f>
        <v>952522.70574198291</v>
      </c>
      <c r="U45" s="76">
        <f>CUSTOS!$D$39</f>
        <v>666777.72477291885</v>
      </c>
      <c r="V45" s="76">
        <f>CUSTOS!$D$40</f>
        <v>0</v>
      </c>
      <c r="W45" s="76">
        <f>CUSTOS!$D$41</f>
        <v>1619300.4305149019</v>
      </c>
      <c r="X45" s="76">
        <f>CUSTOS!$D$42</f>
        <v>0</v>
      </c>
      <c r="Y45" s="76">
        <f>CUSTOS!$D$43</f>
        <v>0</v>
      </c>
      <c r="Z45" s="76">
        <f>CUSTOS!$D$44</f>
        <v>915317.54893324873</v>
      </c>
      <c r="AA45" s="76">
        <f>CUSTOS!$D$45</f>
        <v>915317.54893324873</v>
      </c>
      <c r="AB45" s="76">
        <f>CUSTOS!$D$46</f>
        <v>36334325.517438896</v>
      </c>
    </row>
    <row r="46" spans="1:41" ht="11.25" customHeight="1" x14ac:dyDescent="0.25">
      <c r="K46" s="81" t="s">
        <v>605</v>
      </c>
      <c r="L46" s="76">
        <f>CUSTOS!$E$30</f>
        <v>4.3780460810177056E-6</v>
      </c>
      <c r="M46" s="76">
        <f>CUSTOS!$E$31</f>
        <v>-2035895.6828898285</v>
      </c>
      <c r="N46" s="76">
        <f>CUSTOS!$E$32</f>
        <v>0</v>
      </c>
      <c r="O46" s="76">
        <f>CUSTOS!$E$33</f>
        <v>26862.969905276041</v>
      </c>
      <c r="P46" s="76">
        <f>CUSTOS!$E$34</f>
        <v>0</v>
      </c>
      <c r="Q46" s="76">
        <f>CUSTOS!$E$35</f>
        <v>-2009032.7129801742</v>
      </c>
      <c r="R46" s="76">
        <f>CUSTOS!$E$36</f>
        <v>-871301.0648683951</v>
      </c>
      <c r="S46" s="76">
        <f>CUSTOS!$E$37</f>
        <v>-871301.0648683951</v>
      </c>
      <c r="T46" s="76">
        <f>CUSTOS!$E$38</f>
        <v>84574.565464148531</v>
      </c>
      <c r="U46" s="76">
        <f>CUSTOS!$E$39</f>
        <v>90445.106924342981</v>
      </c>
      <c r="V46" s="76">
        <f>CUSTOS!$E$40</f>
        <v>0</v>
      </c>
      <c r="W46" s="76">
        <f>CUSTOS!$E$41</f>
        <v>175019.67238849151</v>
      </c>
      <c r="X46" s="76">
        <f>CUSTOS!$E$42</f>
        <v>-6785828.7622725684</v>
      </c>
      <c r="Y46" s="76">
        <f>CUSTOS!$E$43</f>
        <v>-6785828.7622725684</v>
      </c>
      <c r="Z46" s="76">
        <f>CUSTOS!$E$44</f>
        <v>-25461.032899332571</v>
      </c>
      <c r="AA46" s="76">
        <f>CUSTOS!$E$45</f>
        <v>-25461.032899332571</v>
      </c>
      <c r="AB46" s="76">
        <f>CUSTOS!$E$46</f>
        <v>-9516603.9006319791</v>
      </c>
    </row>
    <row r="47" spans="1:41" ht="11.25" customHeight="1" x14ac:dyDescent="0.25">
      <c r="K47" s="81" t="s">
        <v>606</v>
      </c>
      <c r="L47" s="76">
        <f>CUSTOS!$F$30</f>
        <v>0</v>
      </c>
      <c r="M47" s="76">
        <f>CUSTOS!$F$31</f>
        <v>2049587.6786991188</v>
      </c>
      <c r="N47" s="76">
        <f>CUSTOS!$F$32</f>
        <v>0</v>
      </c>
      <c r="O47" s="76">
        <f>CUSTOS!$F$33</f>
        <v>84381.856306970352</v>
      </c>
      <c r="P47" s="76">
        <f>CUSTOS!$F$34</f>
        <v>0</v>
      </c>
      <c r="Q47" s="76">
        <f>CUSTOS!$F$35</f>
        <v>2133969.5350060891</v>
      </c>
      <c r="R47" s="76">
        <f>CUSTOS!$F$36</f>
        <v>3641266.6538955159</v>
      </c>
      <c r="S47" s="76">
        <f>CUSTOS!$F$37</f>
        <v>3641266.6538955159</v>
      </c>
      <c r="T47" s="76">
        <f>CUSTOS!$F$38</f>
        <v>236789.4070889373</v>
      </c>
      <c r="U47" s="76">
        <f>CUSTOS!$F$39</f>
        <v>50823.597272611893</v>
      </c>
      <c r="V47" s="76">
        <f>CUSTOS!$F$40</f>
        <v>0</v>
      </c>
      <c r="W47" s="76">
        <f>CUSTOS!$F$41</f>
        <v>287613.00436154916</v>
      </c>
      <c r="X47" s="76">
        <f>CUSTOS!$F$42</f>
        <v>0</v>
      </c>
      <c r="Y47" s="76">
        <f>CUSTOS!$F$43</f>
        <v>0</v>
      </c>
      <c r="Z47" s="76">
        <f>CUSTOS!$F$44</f>
        <v>106404.56417217819</v>
      </c>
      <c r="AA47" s="76">
        <f>CUSTOS!$F$45</f>
        <v>106404.56417217819</v>
      </c>
      <c r="AB47" s="76">
        <f>CUSTOS!$F$46</f>
        <v>6169253.757435333</v>
      </c>
    </row>
    <row r="48" spans="1:41" ht="11.25" customHeight="1" x14ac:dyDescent="0.25">
      <c r="K48" s="81" t="s">
        <v>669</v>
      </c>
      <c r="L48" s="76">
        <f>'TR TE'!$L$48*L49</f>
        <v>0</v>
      </c>
      <c r="M48" s="76">
        <f>'TR TE'!$M$48*M49</f>
        <v>14.295575824123166</v>
      </c>
      <c r="N48" s="76">
        <f>'TR TE'!$N$48*N49</f>
        <v>0</v>
      </c>
      <c r="O48" s="76">
        <f>'TR TE'!$O$48*O49</f>
        <v>0.58855116936602359</v>
      </c>
      <c r="P48" s="76">
        <f>'TR TE'!$P$48*P49</f>
        <v>0</v>
      </c>
      <c r="Q48" s="76"/>
      <c r="R48" s="76">
        <f>'TR TE'!$R$48*R49</f>
        <v>25.505333240268758</v>
      </c>
      <c r="S48" s="76"/>
      <c r="T48" s="76">
        <f>'TR TE'!$T$48*T49</f>
        <v>1.6515716592995764</v>
      </c>
      <c r="U48" s="76">
        <f>'TR TE'!$U$48*U49</f>
        <v>0.35448719565218523</v>
      </c>
      <c r="V48" s="76">
        <f>'TR TE'!$V$48*V49</f>
        <v>0</v>
      </c>
      <c r="W48" s="76"/>
      <c r="X48" s="76"/>
      <c r="Y48" s="76"/>
      <c r="Z48" s="76">
        <f>'TR TE'!$Z$48*Z49</f>
        <v>0.74215635220914755</v>
      </c>
      <c r="AA48" s="76"/>
      <c r="AB48" s="76"/>
    </row>
    <row r="49" spans="11:28" ht="11.25" customHeight="1" x14ac:dyDescent="0.25">
      <c r="K49" s="81" t="s">
        <v>664</v>
      </c>
      <c r="L49" s="76">
        <f>IF(L45&lt;&gt;0,L47/L45,0)</f>
        <v>0</v>
      </c>
      <c r="M49" s="76">
        <f>IF(M45&lt;&gt;0,M47/M45,0)</f>
        <v>0.57895426428724162</v>
      </c>
      <c r="N49" s="76">
        <f>IF(N45&lt;&gt;0,N47/N45,0)</f>
        <v>0</v>
      </c>
      <c r="O49" s="76">
        <f>IF(O45&lt;&gt;0,O47/O45,0)</f>
        <v>6.5599851727009967E-2</v>
      </c>
      <c r="P49" s="76">
        <f>IF(P45&lt;&gt;0,P47/P45,0)</f>
        <v>0</v>
      </c>
      <c r="Q49" s="76"/>
      <c r="R49" s="76">
        <f>IF(R45&lt;&gt;0,R47/R45,0)</f>
        <v>0.1162487972575056</v>
      </c>
      <c r="S49" s="76"/>
      <c r="T49" s="76">
        <f>IF(T45&lt;&gt;0,T47/T45,0)</f>
        <v>0.24859187677262387</v>
      </c>
      <c r="U49" s="76">
        <f>IF(U45&lt;&gt;0,U47/U45,0)</f>
        <v>7.6222698186146867E-2</v>
      </c>
      <c r="V49" s="76">
        <f>IF(V45&lt;&gt;0,V47/V45,0)</f>
        <v>0</v>
      </c>
      <c r="W49" s="76"/>
      <c r="X49" s="76">
        <f>IF($AB45&lt;&gt;0,X47/($AB45-SUM('TR TE'!$L48:'TR TE'!$AA48)*0),0)</f>
        <v>0</v>
      </c>
      <c r="Y49" s="76"/>
      <c r="Z49" s="76">
        <f>IF(Z45&lt;&gt;0,Z47/Z45,0)</f>
        <v>0.11624879725750559</v>
      </c>
      <c r="AA49" s="76"/>
      <c r="AB49" s="76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72"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  <mergeCell ref="E36:E38"/>
    <mergeCell ref="F36:F38"/>
    <mergeCell ref="A41:A42"/>
    <mergeCell ref="B41:B42"/>
    <mergeCell ref="C41:C42"/>
    <mergeCell ref="AC1:AC4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212" priority="33" operator="notEqual">
      <formula>$L$46</formula>
    </cfRule>
    <cfRule type="cellIs" dxfId="211" priority="34" operator="equal">
      <formula>$L$46</formula>
    </cfRule>
  </conditionalFormatting>
  <conditionalFormatting sqref="M44">
    <cfRule type="cellIs" dxfId="210" priority="31" operator="notEqual">
      <formula>$M$46</formula>
    </cfRule>
    <cfRule type="cellIs" dxfId="209" priority="32" operator="equal">
      <formula>$M$46</formula>
    </cfRule>
  </conditionalFormatting>
  <conditionalFormatting sqref="N44">
    <cfRule type="cellIs" dxfId="208" priority="29" operator="notEqual">
      <formula>$N$46</formula>
    </cfRule>
    <cfRule type="cellIs" dxfId="207" priority="30" operator="equal">
      <formula>$N$46</formula>
    </cfRule>
  </conditionalFormatting>
  <conditionalFormatting sqref="O44">
    <cfRule type="cellIs" dxfId="206" priority="27" operator="notEqual">
      <formula>$O$46</formula>
    </cfRule>
    <cfRule type="cellIs" dxfId="205" priority="28" operator="equal">
      <formula>$O$46</formula>
    </cfRule>
  </conditionalFormatting>
  <conditionalFormatting sqref="P44">
    <cfRule type="cellIs" dxfId="204" priority="25" operator="notEqual">
      <formula>$P$46</formula>
    </cfRule>
    <cfRule type="cellIs" dxfId="203" priority="26" operator="equal">
      <formula>$P$46</formula>
    </cfRule>
  </conditionalFormatting>
  <conditionalFormatting sqref="Q44">
    <cfRule type="cellIs" dxfId="202" priority="23" operator="notEqual">
      <formula>$Q$46</formula>
    </cfRule>
    <cfRule type="cellIs" dxfId="201" priority="24" operator="equal">
      <formula>$Q$46</formula>
    </cfRule>
  </conditionalFormatting>
  <conditionalFormatting sqref="R44">
    <cfRule type="cellIs" dxfId="200" priority="21" operator="notEqual">
      <formula>$R$46</formula>
    </cfRule>
    <cfRule type="cellIs" dxfId="199" priority="22" operator="equal">
      <formula>$R$46</formula>
    </cfRule>
  </conditionalFormatting>
  <conditionalFormatting sqref="S44">
    <cfRule type="cellIs" dxfId="198" priority="19" operator="notEqual">
      <formula>$S$46</formula>
    </cfRule>
    <cfRule type="cellIs" dxfId="197" priority="20" operator="equal">
      <formula>$S$46</formula>
    </cfRule>
  </conditionalFormatting>
  <conditionalFormatting sqref="T44">
    <cfRule type="cellIs" dxfId="196" priority="17" operator="notEqual">
      <formula>$T$46</formula>
    </cfRule>
    <cfRule type="cellIs" dxfId="195" priority="18" operator="equal">
      <formula>$T$46</formula>
    </cfRule>
  </conditionalFormatting>
  <conditionalFormatting sqref="U44">
    <cfRule type="cellIs" dxfId="194" priority="15" operator="notEqual">
      <formula>$U$46</formula>
    </cfRule>
    <cfRule type="cellIs" dxfId="193" priority="16" operator="equal">
      <formula>$U$46</formula>
    </cfRule>
  </conditionalFormatting>
  <conditionalFormatting sqref="V44">
    <cfRule type="cellIs" dxfId="192" priority="13" operator="notEqual">
      <formula>$V$46</formula>
    </cfRule>
    <cfRule type="cellIs" dxfId="191" priority="14" operator="equal">
      <formula>$V$46</formula>
    </cfRule>
  </conditionalFormatting>
  <conditionalFormatting sqref="W44">
    <cfRule type="cellIs" dxfId="190" priority="11" operator="notEqual">
      <formula>$W$46</formula>
    </cfRule>
    <cfRule type="cellIs" dxfId="189" priority="12" operator="equal">
      <formula>$W$46</formula>
    </cfRule>
  </conditionalFormatting>
  <conditionalFormatting sqref="X44">
    <cfRule type="cellIs" dxfId="188" priority="9" operator="notEqual">
      <formula>$X$46</formula>
    </cfRule>
    <cfRule type="cellIs" dxfId="187" priority="10" operator="equal">
      <formula>$X$46</formula>
    </cfRule>
  </conditionalFormatting>
  <conditionalFormatting sqref="Y44">
    <cfRule type="cellIs" dxfId="186" priority="7" operator="notEqual">
      <formula>$Y$46</formula>
    </cfRule>
    <cfRule type="cellIs" dxfId="185" priority="8" operator="equal">
      <formula>$Y$46</formula>
    </cfRule>
  </conditionalFormatting>
  <conditionalFormatting sqref="Z44">
    <cfRule type="cellIs" dxfId="184" priority="5" operator="notEqual">
      <formula>$Z$46</formula>
    </cfRule>
    <cfRule type="cellIs" dxfId="183" priority="6" operator="equal">
      <formula>$Z$46</formula>
    </cfRule>
  </conditionalFormatting>
  <conditionalFormatting sqref="AA44">
    <cfRule type="cellIs" dxfId="182" priority="3" operator="notEqual">
      <formula>$AA$46</formula>
    </cfRule>
    <cfRule type="cellIs" dxfId="181" priority="4" operator="equal">
      <formula>$AA$46</formula>
    </cfRule>
  </conditionalFormatting>
  <conditionalFormatting sqref="AB44">
    <cfRule type="cellIs" dxfId="180" priority="1" operator="notEqual">
      <formula>$AB$46</formula>
    </cfRule>
    <cfRule type="cellIs" dxfId="179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8BAB5-9E66-4605-A250-47353956558D}">
  <sheetPr>
    <tabColor indexed="12" tint="-0.249977111117893"/>
  </sheetPr>
  <dimension ref="A1:AV921"/>
  <sheetViews>
    <sheetView showGridLines="0" workbookViewId="0">
      <selection sqref="A1:AG921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8.710937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688</v>
      </c>
      <c r="W1" s="1" t="s">
        <v>689</v>
      </c>
      <c r="X1" s="1" t="s">
        <v>690</v>
      </c>
      <c r="Y1" s="1" t="s">
        <v>691</v>
      </c>
      <c r="Z1" s="1" t="s">
        <v>692</v>
      </c>
      <c r="AA1" s="1" t="s">
        <v>693</v>
      </c>
      <c r="AB1" s="1" t="s">
        <v>694</v>
      </c>
      <c r="AC1" s="1" t="s">
        <v>695</v>
      </c>
      <c r="AD1" s="1" t="s">
        <v>696</v>
      </c>
      <c r="AE1" s="1" t="s">
        <v>697</v>
      </c>
      <c r="AF1" s="1" t="s">
        <v>698</v>
      </c>
      <c r="AG1" s="1" t="s">
        <v>699</v>
      </c>
      <c r="AI1" s="90" t="s">
        <v>71</v>
      </c>
      <c r="AJ1" s="90" t="s">
        <v>700</v>
      </c>
      <c r="AK1" s="90" t="s">
        <v>701</v>
      </c>
      <c r="AL1" s="90" t="s">
        <v>702</v>
      </c>
      <c r="AN1" s="90" t="s">
        <v>71</v>
      </c>
      <c r="AO1" s="90" t="s">
        <v>703</v>
      </c>
      <c r="AP1" s="90" t="s">
        <v>704</v>
      </c>
      <c r="AQ1" s="90" t="s">
        <v>702</v>
      </c>
      <c r="AS1" s="90" t="s">
        <v>71</v>
      </c>
      <c r="AT1" s="90" t="s">
        <v>705</v>
      </c>
      <c r="AU1" s="90" t="s">
        <v>706</v>
      </c>
      <c r="AV1" s="90" t="s">
        <v>702</v>
      </c>
    </row>
    <row r="2" spans="1:48" ht="11.25" customHeight="1" x14ac:dyDescent="0.25">
      <c r="A2" s="4" t="s">
        <v>21</v>
      </c>
      <c r="B2" s="4" t="s">
        <v>62</v>
      </c>
      <c r="C2" s="4" t="s">
        <v>59</v>
      </c>
      <c r="D2" s="4" t="s">
        <v>25</v>
      </c>
      <c r="E2" s="4" t="s">
        <v>25</v>
      </c>
      <c r="F2" s="4" t="s">
        <v>25</v>
      </c>
      <c r="G2" s="4" t="s">
        <v>63</v>
      </c>
      <c r="H2" s="4" t="s">
        <v>25</v>
      </c>
      <c r="I2" s="5">
        <v>44378</v>
      </c>
      <c r="J2" s="6">
        <v>2300</v>
      </c>
      <c r="K2" s="6">
        <v>1150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61</v>
      </c>
      <c r="R2" s="4">
        <v>1433</v>
      </c>
      <c r="S2" s="6">
        <v>29</v>
      </c>
      <c r="T2" s="6">
        <v>0</v>
      </c>
      <c r="U2" s="6">
        <v>0</v>
      </c>
      <c r="V2" s="6">
        <f>IF(ISERROR(VLOOKUP($S$2,'TAR FIN'!$A$1:$O$86,15,0)),0,VLOOKUP($S$2,'TAR FIN'!$A$1:$O$86,15,0))</f>
        <v>13.17</v>
      </c>
      <c r="W2" s="6">
        <f>IF(ISERROR(VLOOKUP($T$2,'TAR FIN'!$A$1:$O$86,15,0)),0,VLOOKUP($T$2,'TAR FIN'!$A$1:$O$86,15,0))</f>
        <v>0</v>
      </c>
      <c r="X2" s="6">
        <f>IF(ISERROR(VLOOKUP($U$2,'TAR FIN'!$A$1:$O$86,15,0)),0,VLOOKUP($U$2,'TAR FIN'!$A$1:$O$86,15,0))</f>
        <v>0</v>
      </c>
      <c r="Y2" s="6">
        <f ca="1">('TUSD BE'!$AM$5+'TUSD BF_350'!$AM$5+'TUSD CVA'!$AM$5)*1</f>
        <v>11.740652626592427</v>
      </c>
      <c r="Z2" s="6"/>
      <c r="AA2" s="6"/>
      <c r="AB2" s="6">
        <f>$K$2*$V$2</f>
        <v>15145.5</v>
      </c>
      <c r="AC2" s="6">
        <f>$M$2*$W$2</f>
        <v>0</v>
      </c>
      <c r="AD2" s="6">
        <f>$O$2*$X$2</f>
        <v>0</v>
      </c>
      <c r="AE2" s="6">
        <f ca="1">$K$2*$Y$2</f>
        <v>13501.75052058129</v>
      </c>
      <c r="AF2" s="6">
        <f>$M$2*$Z$2</f>
        <v>0</v>
      </c>
      <c r="AG2" s="6">
        <f>$O$2*$AA$2</f>
        <v>0</v>
      </c>
      <c r="AI2" s="91" t="s">
        <v>62</v>
      </c>
      <c r="AJ2" s="92">
        <f t="shared" ref="AJ2:AJ7" si="0">SUMIF($B$2:$B$921,AI2,$AB$2:$AB$921)+SUMIF($B$2:$B$921,AI2,$AC$2:$AC$921)</f>
        <v>181746</v>
      </c>
      <c r="AK2" s="92">
        <f t="shared" ref="AK2:AK7" ca="1" si="1">SUMIF($B$2:$B$921,AI2,$AE$2:$AE$921)+SUMIF($B$2:$B$921,AI2,$AF$2:$AF$921)</f>
        <v>162021.00624697548</v>
      </c>
      <c r="AL2" s="93">
        <f t="shared" ref="AL2:AL10" ca="1" si="2">IF(AJ2&lt;&gt;0,AK2/AJ2-1,0)</f>
        <v>-0.10853055227088637</v>
      </c>
      <c r="AN2" s="91" t="s">
        <v>62</v>
      </c>
      <c r="AO2" s="92">
        <f t="shared" ref="AO2:AO7" si="3">SUMIF($B$2:$B$921,AN2,$AD$2:$AD$921)</f>
        <v>0</v>
      </c>
      <c r="AP2" s="92">
        <f t="shared" ref="AP2:AP7" si="4">SUMIF($B$2:$B$921,AN2,$AG$2:$AG$921)</f>
        <v>0</v>
      </c>
      <c r="AQ2" s="93">
        <f t="shared" ref="AQ2:AQ10" si="5">IF(AO2&lt;&gt;0,AP2/AO2-1,0)</f>
        <v>0</v>
      </c>
      <c r="AS2" s="91" t="s">
        <v>62</v>
      </c>
      <c r="AT2" s="92">
        <f t="shared" ref="AT2:AT7" si="6">SUMIF($B$2:$B$921,AS2,$AB$2:$AB$921)+SUMIF($B$2:$B$921,AS2,$AC$2:$AC$921)+SUMIF($B$2:$B$921,AS2,$AD$2:$AD$921)</f>
        <v>181746</v>
      </c>
      <c r="AU2" s="92">
        <f t="shared" ref="AU2:AU7" ca="1" si="7">SUMIF($B$2:$B$921,AS2,$AE$2:$AE$921)+SUMIF($B$2:$B$921,AS2,$AF$2:$AF$921)+SUMIF($B$2:$B$921,AS2,$AG$2:$AG$921)</f>
        <v>162021.00624697548</v>
      </c>
      <c r="AV2" s="93">
        <f t="shared" ref="AV2:AV10" ca="1" si="8">IF(AT2&lt;&gt;0,AU2/AT2-1,0)</f>
        <v>-0.10853055227088637</v>
      </c>
    </row>
    <row r="3" spans="1:48" ht="11.25" customHeight="1" x14ac:dyDescent="0.25">
      <c r="A3" s="4" t="s">
        <v>21</v>
      </c>
      <c r="B3" s="4" t="s">
        <v>62</v>
      </c>
      <c r="C3" s="4" t="s">
        <v>59</v>
      </c>
      <c r="D3" s="4" t="s">
        <v>25</v>
      </c>
      <c r="E3" s="4" t="s">
        <v>25</v>
      </c>
      <c r="F3" s="4" t="s">
        <v>25</v>
      </c>
      <c r="G3" s="4" t="s">
        <v>63</v>
      </c>
      <c r="H3" s="4" t="s">
        <v>25</v>
      </c>
      <c r="I3" s="5">
        <v>44409</v>
      </c>
      <c r="J3" s="6">
        <v>2300</v>
      </c>
      <c r="K3" s="6">
        <v>1150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61</v>
      </c>
      <c r="R3" s="4">
        <v>1433</v>
      </c>
      <c r="S3" s="6">
        <v>29</v>
      </c>
      <c r="T3" s="6">
        <v>0</v>
      </c>
      <c r="U3" s="6">
        <v>0</v>
      </c>
      <c r="V3" s="6">
        <f>IF(ISERROR(VLOOKUP($S$3,'TAR FIN'!$A$1:$O$86,15,0)),0,VLOOKUP($S$3,'TAR FIN'!$A$1:$O$86,15,0))</f>
        <v>13.17</v>
      </c>
      <c r="W3" s="6">
        <f>IF(ISERROR(VLOOKUP($T$3,'TAR FIN'!$A$1:$O$86,15,0)),0,VLOOKUP($T$3,'TAR FIN'!$A$1:$O$86,15,0))</f>
        <v>0</v>
      </c>
      <c r="X3" s="6">
        <f>IF(ISERROR(VLOOKUP($U$3,'TAR FIN'!$A$1:$O$86,15,0)),0,VLOOKUP($U$3,'TAR FIN'!$A$1:$O$86,15,0))</f>
        <v>0</v>
      </c>
      <c r="Y3" s="6">
        <f ca="1">('TUSD BE'!$AM$5+'TUSD BF_350'!$AM$5+'TUSD CVA'!$AM$5)*1</f>
        <v>11.740652626592427</v>
      </c>
      <c r="Z3" s="6"/>
      <c r="AA3" s="6"/>
      <c r="AB3" s="6">
        <f>$K$3*$V$3</f>
        <v>15145.5</v>
      </c>
      <c r="AC3" s="6">
        <f>$M$3*$W$3</f>
        <v>0</v>
      </c>
      <c r="AD3" s="6">
        <f>$O$3*$X$3</f>
        <v>0</v>
      </c>
      <c r="AE3" s="6">
        <f ca="1">$K$3*$Y$3</f>
        <v>13501.75052058129</v>
      </c>
      <c r="AF3" s="6">
        <f>$M$3*$Z$3</f>
        <v>0</v>
      </c>
      <c r="AG3" s="6">
        <f>$O$3*$AA$3</f>
        <v>0</v>
      </c>
      <c r="AI3" s="91" t="s">
        <v>38</v>
      </c>
      <c r="AJ3" s="92">
        <f t="shared" si="0"/>
        <v>15134560.055040145</v>
      </c>
      <c r="AK3" s="92">
        <f t="shared" ca="1" si="1"/>
        <v>14041359.251833672</v>
      </c>
      <c r="AL3" s="93">
        <f t="shared" ca="1" si="2"/>
        <v>-7.2232083339773934E-2</v>
      </c>
      <c r="AN3" s="91" t="s">
        <v>38</v>
      </c>
      <c r="AO3" s="92">
        <f t="shared" si="3"/>
        <v>7482968.7324642017</v>
      </c>
      <c r="AP3" s="92">
        <f t="shared" ca="1" si="4"/>
        <v>6724441.9122319408</v>
      </c>
      <c r="AQ3" s="93">
        <f t="shared" ca="1" si="5"/>
        <v>-0.10136709738495353</v>
      </c>
      <c r="AS3" s="91" t="s">
        <v>38</v>
      </c>
      <c r="AT3" s="92">
        <f t="shared" si="6"/>
        <v>22617528.787504345</v>
      </c>
      <c r="AU3" s="92">
        <f t="shared" ca="1" si="7"/>
        <v>20765801.164065614</v>
      </c>
      <c r="AV3" s="93">
        <f t="shared" ca="1" si="8"/>
        <v>-8.1871350351138572E-2</v>
      </c>
    </row>
    <row r="4" spans="1:48" ht="11.25" customHeight="1" x14ac:dyDescent="0.25">
      <c r="A4" s="4" t="s">
        <v>21</v>
      </c>
      <c r="B4" s="4" t="s">
        <v>62</v>
      </c>
      <c r="C4" s="4" t="s">
        <v>59</v>
      </c>
      <c r="D4" s="4" t="s">
        <v>25</v>
      </c>
      <c r="E4" s="4" t="s">
        <v>25</v>
      </c>
      <c r="F4" s="4" t="s">
        <v>25</v>
      </c>
      <c r="G4" s="4" t="s">
        <v>63</v>
      </c>
      <c r="H4" s="4" t="s">
        <v>25</v>
      </c>
      <c r="I4" s="5">
        <v>44440</v>
      </c>
      <c r="J4" s="6">
        <v>2300</v>
      </c>
      <c r="K4" s="6">
        <v>1150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61</v>
      </c>
      <c r="R4" s="4">
        <v>1433</v>
      </c>
      <c r="S4" s="6">
        <v>29</v>
      </c>
      <c r="T4" s="6">
        <v>0</v>
      </c>
      <c r="U4" s="6">
        <v>0</v>
      </c>
      <c r="V4" s="6">
        <f>IF(ISERROR(VLOOKUP($S$4,'TAR FIN'!$A$1:$O$86,15,0)),0,VLOOKUP($S$4,'TAR FIN'!$A$1:$O$86,15,0))</f>
        <v>13.17</v>
      </c>
      <c r="W4" s="6">
        <f>IF(ISERROR(VLOOKUP($T$4,'TAR FIN'!$A$1:$O$86,15,0)),0,VLOOKUP($T$4,'TAR FIN'!$A$1:$O$86,15,0))</f>
        <v>0</v>
      </c>
      <c r="X4" s="6">
        <f>IF(ISERROR(VLOOKUP($U$4,'TAR FIN'!$A$1:$O$86,15,0)),0,VLOOKUP($U$4,'TAR FIN'!$A$1:$O$86,15,0))</f>
        <v>0</v>
      </c>
      <c r="Y4" s="6">
        <f ca="1">('TUSD BE'!$AM$5+'TUSD BF_350'!$AM$5+'TUSD CVA'!$AM$5)*1</f>
        <v>11.740652626592427</v>
      </c>
      <c r="Z4" s="6"/>
      <c r="AA4" s="6"/>
      <c r="AB4" s="6">
        <f>$K$4*$V$4</f>
        <v>15145.5</v>
      </c>
      <c r="AC4" s="6">
        <f>$M$4*$W$4</f>
        <v>0</v>
      </c>
      <c r="AD4" s="6">
        <f>$O$4*$X$4</f>
        <v>0</v>
      </c>
      <c r="AE4" s="6">
        <f ca="1">$K$4*$Y$4</f>
        <v>13501.75052058129</v>
      </c>
      <c r="AF4" s="6">
        <f>$M$4*$Z$4</f>
        <v>0</v>
      </c>
      <c r="AG4" s="6">
        <f>$O$4*$AA$4</f>
        <v>0</v>
      </c>
      <c r="AI4" s="91" t="s">
        <v>22</v>
      </c>
      <c r="AJ4" s="92">
        <f t="shared" si="0"/>
        <v>20785708.223939992</v>
      </c>
      <c r="AK4" s="92">
        <f t="shared" ca="1" si="1"/>
        <v>21115942.060696643</v>
      </c>
      <c r="AL4" s="93">
        <f t="shared" ca="1" si="2"/>
        <v>1.5887543171432705E-2</v>
      </c>
      <c r="AN4" s="91" t="s">
        <v>22</v>
      </c>
      <c r="AO4" s="92">
        <f t="shared" si="3"/>
        <v>16605050.589244995</v>
      </c>
      <c r="AP4" s="92">
        <f t="shared" ca="1" si="4"/>
        <v>14828376.605175575</v>
      </c>
      <c r="AQ4" s="93">
        <f t="shared" ca="1" si="5"/>
        <v>-0.10699599947139948</v>
      </c>
      <c r="AS4" s="91" t="s">
        <v>22</v>
      </c>
      <c r="AT4" s="92">
        <f t="shared" si="6"/>
        <v>37390758.813184991</v>
      </c>
      <c r="AU4" s="92">
        <f t="shared" ca="1" si="7"/>
        <v>35944318.665872216</v>
      </c>
      <c r="AV4" s="93">
        <f t="shared" ca="1" si="8"/>
        <v>-3.8684428806048277E-2</v>
      </c>
    </row>
    <row r="5" spans="1:48" ht="11.25" customHeight="1" x14ac:dyDescent="0.25">
      <c r="A5" s="4" t="s">
        <v>21</v>
      </c>
      <c r="B5" s="4" t="s">
        <v>62</v>
      </c>
      <c r="C5" s="4" t="s">
        <v>59</v>
      </c>
      <c r="D5" s="4" t="s">
        <v>25</v>
      </c>
      <c r="E5" s="4" t="s">
        <v>25</v>
      </c>
      <c r="F5" s="4" t="s">
        <v>25</v>
      </c>
      <c r="G5" s="4" t="s">
        <v>63</v>
      </c>
      <c r="H5" s="4" t="s">
        <v>25</v>
      </c>
      <c r="I5" s="5">
        <v>44470</v>
      </c>
      <c r="J5" s="6">
        <v>2300</v>
      </c>
      <c r="K5" s="6">
        <v>1150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61</v>
      </c>
      <c r="R5" s="4">
        <v>1433</v>
      </c>
      <c r="S5" s="6">
        <v>29</v>
      </c>
      <c r="T5" s="6">
        <v>0</v>
      </c>
      <c r="U5" s="6">
        <v>0</v>
      </c>
      <c r="V5" s="6">
        <f>IF(ISERROR(VLOOKUP($S$5,'TAR FIN'!$A$1:$O$86,15,0)),0,VLOOKUP($S$5,'TAR FIN'!$A$1:$O$86,15,0))</f>
        <v>13.17</v>
      </c>
      <c r="W5" s="6">
        <f>IF(ISERROR(VLOOKUP($T$5,'TAR FIN'!$A$1:$O$86,15,0)),0,VLOOKUP($T$5,'TAR FIN'!$A$1:$O$86,15,0))</f>
        <v>0</v>
      </c>
      <c r="X5" s="6">
        <f>IF(ISERROR(VLOOKUP($U$5,'TAR FIN'!$A$1:$O$86,15,0)),0,VLOOKUP($U$5,'TAR FIN'!$A$1:$O$86,15,0))</f>
        <v>0</v>
      </c>
      <c r="Y5" s="6">
        <f ca="1">('TUSD BE'!$AM$5+'TUSD BF_350'!$AM$5+'TUSD CVA'!$AM$5)*1</f>
        <v>11.740652626592427</v>
      </c>
      <c r="Z5" s="6"/>
      <c r="AA5" s="6"/>
      <c r="AB5" s="6">
        <f>$K$5*$V$5</f>
        <v>15145.5</v>
      </c>
      <c r="AC5" s="6">
        <f>$M$5*$W$5</f>
        <v>0</v>
      </c>
      <c r="AD5" s="6">
        <f>$O$5*$X$5</f>
        <v>0</v>
      </c>
      <c r="AE5" s="6">
        <f ca="1">$K$5*$Y$5</f>
        <v>13501.75052058129</v>
      </c>
      <c r="AF5" s="6">
        <f>$M$5*$Z$5</f>
        <v>0</v>
      </c>
      <c r="AG5" s="6">
        <f>$O$5*$AA$5</f>
        <v>0</v>
      </c>
      <c r="AI5" s="91" t="s">
        <v>42</v>
      </c>
      <c r="AJ5" s="92">
        <f t="shared" si="0"/>
        <v>5306462.1051200004</v>
      </c>
      <c r="AK5" s="92">
        <f t="shared" ca="1" si="1"/>
        <v>5767067.0453719422</v>
      </c>
      <c r="AL5" s="93">
        <f t="shared" ca="1" si="2"/>
        <v>8.6800759362348323E-2</v>
      </c>
      <c r="AN5" s="91" t="s">
        <v>42</v>
      </c>
      <c r="AO5" s="92">
        <f t="shared" si="3"/>
        <v>4222536.0139599992</v>
      </c>
      <c r="AP5" s="92">
        <f t="shared" ca="1" si="4"/>
        <v>4027745.8891516407</v>
      </c>
      <c r="AQ5" s="93">
        <f t="shared" ca="1" si="5"/>
        <v>-4.6131074824316221E-2</v>
      </c>
      <c r="AS5" s="91" t="s">
        <v>42</v>
      </c>
      <c r="AT5" s="92">
        <f t="shared" si="6"/>
        <v>9528998.1190799996</v>
      </c>
      <c r="AU5" s="92">
        <f t="shared" ca="1" si="7"/>
        <v>9794812.9345235825</v>
      </c>
      <c r="AV5" s="93">
        <f t="shared" ca="1" si="8"/>
        <v>2.7895358160616945E-2</v>
      </c>
    </row>
    <row r="6" spans="1:48" ht="11.25" customHeight="1" x14ac:dyDescent="0.25">
      <c r="A6" s="4" t="s">
        <v>21</v>
      </c>
      <c r="B6" s="4" t="s">
        <v>62</v>
      </c>
      <c r="C6" s="4" t="s">
        <v>59</v>
      </c>
      <c r="D6" s="4" t="s">
        <v>25</v>
      </c>
      <c r="E6" s="4" t="s">
        <v>25</v>
      </c>
      <c r="F6" s="4" t="s">
        <v>25</v>
      </c>
      <c r="G6" s="4" t="s">
        <v>63</v>
      </c>
      <c r="H6" s="4" t="s">
        <v>25</v>
      </c>
      <c r="I6" s="5">
        <v>44501</v>
      </c>
      <c r="J6" s="6">
        <v>2300</v>
      </c>
      <c r="K6" s="6">
        <v>1150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61</v>
      </c>
      <c r="R6" s="4">
        <v>1433</v>
      </c>
      <c r="S6" s="6">
        <v>29</v>
      </c>
      <c r="T6" s="6">
        <v>0</v>
      </c>
      <c r="U6" s="6">
        <v>0</v>
      </c>
      <c r="V6" s="6">
        <f>IF(ISERROR(VLOOKUP($S$6,'TAR FIN'!$A$1:$O$86,15,0)),0,VLOOKUP($S$6,'TAR FIN'!$A$1:$O$86,15,0))</f>
        <v>13.17</v>
      </c>
      <c r="W6" s="6">
        <f>IF(ISERROR(VLOOKUP($T$6,'TAR FIN'!$A$1:$O$86,15,0)),0,VLOOKUP($T$6,'TAR FIN'!$A$1:$O$86,15,0))</f>
        <v>0</v>
      </c>
      <c r="X6" s="6">
        <f>IF(ISERROR(VLOOKUP($U$6,'TAR FIN'!$A$1:$O$86,15,0)),0,VLOOKUP($U$6,'TAR FIN'!$A$1:$O$86,15,0))</f>
        <v>0</v>
      </c>
      <c r="Y6" s="6">
        <f ca="1">('TUSD BE'!$AM$5+'TUSD BF_350'!$AM$5+'TUSD CVA'!$AM$5)*1</f>
        <v>11.740652626592427</v>
      </c>
      <c r="Z6" s="6"/>
      <c r="AA6" s="6"/>
      <c r="AB6" s="6">
        <f>$K$6*$V$6</f>
        <v>15145.5</v>
      </c>
      <c r="AC6" s="6">
        <f>$M$6*$W$6</f>
        <v>0</v>
      </c>
      <c r="AD6" s="6">
        <f>$O$6*$X$6</f>
        <v>0</v>
      </c>
      <c r="AE6" s="6">
        <f ca="1">$K$6*$Y$6</f>
        <v>13501.75052058129</v>
      </c>
      <c r="AF6" s="6">
        <f>$M$6*$Z$6</f>
        <v>0</v>
      </c>
      <c r="AG6" s="6">
        <f>$O$6*$AA$6</f>
        <v>0</v>
      </c>
      <c r="AI6" s="91" t="s">
        <v>36</v>
      </c>
      <c r="AJ6" s="92">
        <f t="shared" si="0"/>
        <v>8534287.372360006</v>
      </c>
      <c r="AK6" s="92">
        <f t="shared" ca="1" si="1"/>
        <v>8692295.38759863</v>
      </c>
      <c r="AL6" s="93">
        <f t="shared" ca="1" si="2"/>
        <v>1.851449433849206E-2</v>
      </c>
      <c r="AN6" s="91" t="s">
        <v>36</v>
      </c>
      <c r="AO6" s="92">
        <f t="shared" si="3"/>
        <v>6793587.2273933999</v>
      </c>
      <c r="AP6" s="92">
        <f t="shared" ca="1" si="4"/>
        <v>6074580.6708358424</v>
      </c>
      <c r="AQ6" s="93">
        <f t="shared" ca="1" si="5"/>
        <v>-0.10583606752826369</v>
      </c>
      <c r="AS6" s="91" t="s">
        <v>36</v>
      </c>
      <c r="AT6" s="92">
        <f t="shared" si="6"/>
        <v>15327874.599753406</v>
      </c>
      <c r="AU6" s="92">
        <f t="shared" ca="1" si="7"/>
        <v>14766876.058434471</v>
      </c>
      <c r="AV6" s="93">
        <f t="shared" ca="1" si="8"/>
        <v>-3.6599891111319449E-2</v>
      </c>
    </row>
    <row r="7" spans="1:48" ht="11.25" customHeight="1" x14ac:dyDescent="0.25">
      <c r="A7" s="4" t="s">
        <v>21</v>
      </c>
      <c r="B7" s="4" t="s">
        <v>62</v>
      </c>
      <c r="C7" s="4" t="s">
        <v>59</v>
      </c>
      <c r="D7" s="4" t="s">
        <v>25</v>
      </c>
      <c r="E7" s="4" t="s">
        <v>25</v>
      </c>
      <c r="F7" s="4" t="s">
        <v>25</v>
      </c>
      <c r="G7" s="4" t="s">
        <v>63</v>
      </c>
      <c r="H7" s="4" t="s">
        <v>25</v>
      </c>
      <c r="I7" s="5">
        <v>44531</v>
      </c>
      <c r="J7" s="6">
        <v>2300</v>
      </c>
      <c r="K7" s="6">
        <v>1150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61</v>
      </c>
      <c r="R7" s="4">
        <v>1433</v>
      </c>
      <c r="S7" s="6">
        <v>29</v>
      </c>
      <c r="T7" s="6">
        <v>0</v>
      </c>
      <c r="U7" s="6">
        <v>0</v>
      </c>
      <c r="V7" s="6">
        <f>IF(ISERROR(VLOOKUP($S$7,'TAR FIN'!$A$1:$O$86,15,0)),0,VLOOKUP($S$7,'TAR FIN'!$A$1:$O$86,15,0))</f>
        <v>13.17</v>
      </c>
      <c r="W7" s="6">
        <f>IF(ISERROR(VLOOKUP($T$7,'TAR FIN'!$A$1:$O$86,15,0)),0,VLOOKUP($T$7,'TAR FIN'!$A$1:$O$86,15,0))</f>
        <v>0</v>
      </c>
      <c r="X7" s="6">
        <f>IF(ISERROR(VLOOKUP($U$7,'TAR FIN'!$A$1:$O$86,15,0)),0,VLOOKUP($U$7,'TAR FIN'!$A$1:$O$86,15,0))</f>
        <v>0</v>
      </c>
      <c r="Y7" s="6">
        <f ca="1">('TUSD BE'!$AM$5+'TUSD BF_350'!$AM$5+'TUSD CVA'!$AM$5)*1</f>
        <v>11.740652626592427</v>
      </c>
      <c r="Z7" s="6"/>
      <c r="AA7" s="6"/>
      <c r="AB7" s="6">
        <f>$K$7*$V$7</f>
        <v>15145.5</v>
      </c>
      <c r="AC7" s="6">
        <f>$M$7*$W$7</f>
        <v>0</v>
      </c>
      <c r="AD7" s="6">
        <f>$O$7*$X$7</f>
        <v>0</v>
      </c>
      <c r="AE7" s="6">
        <f ca="1">$K$7*$Y$7</f>
        <v>13501.75052058129</v>
      </c>
      <c r="AF7" s="6">
        <f>$M$7*$Z$7</f>
        <v>0</v>
      </c>
      <c r="AG7" s="6">
        <f>$O$7*$AA$7</f>
        <v>0</v>
      </c>
      <c r="AI7" s="91" t="s">
        <v>45</v>
      </c>
      <c r="AJ7" s="92">
        <f t="shared" si="0"/>
        <v>977075.42004000011</v>
      </c>
      <c r="AK7" s="92">
        <f t="shared" ca="1" si="1"/>
        <v>994134.18211494153</v>
      </c>
      <c r="AL7" s="93">
        <f t="shared" ca="1" si="2"/>
        <v>1.7459002370812993E-2</v>
      </c>
      <c r="AN7" s="91" t="s">
        <v>45</v>
      </c>
      <c r="AO7" s="92">
        <f t="shared" si="3"/>
        <v>777521.43864000007</v>
      </c>
      <c r="AP7" s="92">
        <f t="shared" ca="1" si="4"/>
        <v>694307.84032446414</v>
      </c>
      <c r="AQ7" s="93">
        <f t="shared" ca="1" si="5"/>
        <v>-0.10702418503223377</v>
      </c>
      <c r="AS7" s="91" t="s">
        <v>45</v>
      </c>
      <c r="AT7" s="92">
        <f t="shared" si="6"/>
        <v>1754596.8586800001</v>
      </c>
      <c r="AU7" s="92">
        <f t="shared" ca="1" si="7"/>
        <v>1688442.0224394058</v>
      </c>
      <c r="AV7" s="93">
        <f t="shared" ca="1" si="8"/>
        <v>-3.7703724313266629E-2</v>
      </c>
    </row>
    <row r="8" spans="1:48" ht="11.25" customHeight="1" x14ac:dyDescent="0.25">
      <c r="A8" s="4" t="s">
        <v>21</v>
      </c>
      <c r="B8" s="4" t="s">
        <v>62</v>
      </c>
      <c r="C8" s="4" t="s">
        <v>59</v>
      </c>
      <c r="D8" s="4" t="s">
        <v>25</v>
      </c>
      <c r="E8" s="4" t="s">
        <v>25</v>
      </c>
      <c r="F8" s="4" t="s">
        <v>25</v>
      </c>
      <c r="G8" s="4" t="s">
        <v>63</v>
      </c>
      <c r="H8" s="4" t="s">
        <v>25</v>
      </c>
      <c r="I8" s="5">
        <v>44562</v>
      </c>
      <c r="J8" s="6">
        <v>2300</v>
      </c>
      <c r="K8" s="6">
        <v>1150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61</v>
      </c>
      <c r="R8" s="4">
        <v>1433</v>
      </c>
      <c r="S8" s="6">
        <v>29</v>
      </c>
      <c r="T8" s="6">
        <v>0</v>
      </c>
      <c r="U8" s="6">
        <v>0</v>
      </c>
      <c r="V8" s="6">
        <f>IF(ISERROR(VLOOKUP($S$8,'TAR FIN'!$A$1:$O$86,15,0)),0,VLOOKUP($S$8,'TAR FIN'!$A$1:$O$86,15,0))</f>
        <v>13.17</v>
      </c>
      <c r="W8" s="6">
        <f>IF(ISERROR(VLOOKUP($T$8,'TAR FIN'!$A$1:$O$86,15,0)),0,VLOOKUP($T$8,'TAR FIN'!$A$1:$O$86,15,0))</f>
        <v>0</v>
      </c>
      <c r="X8" s="6">
        <f>IF(ISERROR(VLOOKUP($U$8,'TAR FIN'!$A$1:$O$86,15,0)),0,VLOOKUP($U$8,'TAR FIN'!$A$1:$O$86,15,0))</f>
        <v>0</v>
      </c>
      <c r="Y8" s="6">
        <f ca="1">('TUSD BE'!$AM$5+'TUSD BF_350'!$AM$5+'TUSD CVA'!$AM$5)*1</f>
        <v>11.740652626592427</v>
      </c>
      <c r="Z8" s="6"/>
      <c r="AA8" s="6"/>
      <c r="AB8" s="6">
        <f>$K$8*$V$8</f>
        <v>15145.5</v>
      </c>
      <c r="AC8" s="6">
        <f>$M$8*$W$8</f>
        <v>0</v>
      </c>
      <c r="AD8" s="6">
        <f>$O$8*$X$8</f>
        <v>0</v>
      </c>
      <c r="AE8" s="6">
        <f ca="1">$K$8*$Y$8</f>
        <v>13501.75052058129</v>
      </c>
      <c r="AF8" s="6">
        <f>$M$8*$Z$8</f>
        <v>0</v>
      </c>
      <c r="AG8" s="6">
        <f>$O$8*$AA$8</f>
        <v>0</v>
      </c>
      <c r="AI8" s="91" t="s">
        <v>707</v>
      </c>
      <c r="AJ8" s="92">
        <f>+$AJ$2+$AJ$3</f>
        <v>15316306.055040145</v>
      </c>
      <c r="AK8" s="92">
        <f ca="1">+$AK$2+$AK$3</f>
        <v>14203380.258080646</v>
      </c>
      <c r="AL8" s="93">
        <f t="shared" ca="1" si="2"/>
        <v>-7.2662807400173834E-2</v>
      </c>
      <c r="AN8" s="91" t="s">
        <v>707</v>
      </c>
      <c r="AO8" s="92">
        <f>+$AO$2+$AO$3</f>
        <v>7482968.7324642017</v>
      </c>
      <c r="AP8" s="92">
        <f ca="1">+$AP$2+$AP$3</f>
        <v>6724441.9122319408</v>
      </c>
      <c r="AQ8" s="93">
        <f t="shared" ca="1" si="5"/>
        <v>-0.10136709738495353</v>
      </c>
      <c r="AS8" s="91" t="s">
        <v>707</v>
      </c>
      <c r="AT8" s="92">
        <f>+$AT$2+$AT$3</f>
        <v>22799274.787504345</v>
      </c>
      <c r="AU8" s="92">
        <f ca="1">+$AU$2+$AU$3</f>
        <v>20927822.170312591</v>
      </c>
      <c r="AV8" s="93">
        <f t="shared" ca="1" si="8"/>
        <v>-8.2083866027942487E-2</v>
      </c>
    </row>
    <row r="9" spans="1:48" ht="11.25" customHeight="1" x14ac:dyDescent="0.25">
      <c r="A9" s="4" t="s">
        <v>21</v>
      </c>
      <c r="B9" s="4" t="s">
        <v>62</v>
      </c>
      <c r="C9" s="4" t="s">
        <v>59</v>
      </c>
      <c r="D9" s="4" t="s">
        <v>25</v>
      </c>
      <c r="E9" s="4" t="s">
        <v>25</v>
      </c>
      <c r="F9" s="4" t="s">
        <v>25</v>
      </c>
      <c r="G9" s="4" t="s">
        <v>63</v>
      </c>
      <c r="H9" s="4" t="s">
        <v>25</v>
      </c>
      <c r="I9" s="5">
        <v>44593</v>
      </c>
      <c r="J9" s="6">
        <v>2300</v>
      </c>
      <c r="K9" s="6">
        <v>1150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61</v>
      </c>
      <c r="R9" s="4">
        <v>1433</v>
      </c>
      <c r="S9" s="6">
        <v>29</v>
      </c>
      <c r="T9" s="6">
        <v>0</v>
      </c>
      <c r="U9" s="6">
        <v>0</v>
      </c>
      <c r="V9" s="6">
        <f>IF(ISERROR(VLOOKUP($S$9,'TAR FIN'!$A$1:$O$86,15,0)),0,VLOOKUP($S$9,'TAR FIN'!$A$1:$O$86,15,0))</f>
        <v>13.17</v>
      </c>
      <c r="W9" s="6">
        <f>IF(ISERROR(VLOOKUP($T$9,'TAR FIN'!$A$1:$O$86,15,0)),0,VLOOKUP($T$9,'TAR FIN'!$A$1:$O$86,15,0))</f>
        <v>0</v>
      </c>
      <c r="X9" s="6">
        <f>IF(ISERROR(VLOOKUP($U$9,'TAR FIN'!$A$1:$O$86,15,0)),0,VLOOKUP($U$9,'TAR FIN'!$A$1:$O$86,15,0))</f>
        <v>0</v>
      </c>
      <c r="Y9" s="6">
        <f ca="1">('TUSD BE'!$AM$5+'TUSD BF_350'!$AM$5+'TUSD CVA'!$AM$5)*1</f>
        <v>11.740652626592427</v>
      </c>
      <c r="Z9" s="6"/>
      <c r="AA9" s="6"/>
      <c r="AB9" s="6">
        <f>$K$9*$V$9</f>
        <v>15145.5</v>
      </c>
      <c r="AC9" s="6">
        <f>$M$9*$W$9</f>
        <v>0</v>
      </c>
      <c r="AD9" s="6">
        <f>$O$9*$X$9</f>
        <v>0</v>
      </c>
      <c r="AE9" s="6">
        <f ca="1">$K$9*$Y$9</f>
        <v>13501.75052058129</v>
      </c>
      <c r="AF9" s="6">
        <f>$M$9*$Z$9</f>
        <v>0</v>
      </c>
      <c r="AG9" s="6">
        <f>$O$9*$AA$9</f>
        <v>0</v>
      </c>
      <c r="AI9" s="91" t="s">
        <v>90</v>
      </c>
      <c r="AJ9" s="92">
        <f>+$AJ$4+$AJ$5+$AJ$6+$AJ$7</f>
        <v>35603533.121459991</v>
      </c>
      <c r="AK9" s="92">
        <f ca="1">+$AK$4+$AK$5+$AK$6+$AK$7</f>
        <v>36569438.675782159</v>
      </c>
      <c r="AL9" s="93">
        <f t="shared" ca="1" si="2"/>
        <v>2.7129486026766569E-2</v>
      </c>
      <c r="AN9" s="91" t="s">
        <v>90</v>
      </c>
      <c r="AO9" s="92">
        <f>+$AO$4+$AO$5+$AO$6+$AO$7</f>
        <v>28398695.269238394</v>
      </c>
      <c r="AP9" s="92">
        <f ca="1">+$AP$4+$AP$5+$AP$6+$AP$7</f>
        <v>25625011.005487524</v>
      </c>
      <c r="AQ9" s="93">
        <f t="shared" ca="1" si="5"/>
        <v>-9.7669425917441322E-2</v>
      </c>
      <c r="AS9" s="91" t="s">
        <v>90</v>
      </c>
      <c r="AT9" s="92">
        <f>+$AT$4+$AT$5+$AT$6+$AT$7</f>
        <v>64002228.390698396</v>
      </c>
      <c r="AU9" s="92">
        <f ca="1">+$AU$4+$AU$5+$AU$6+$AU$7</f>
        <v>62194449.681269675</v>
      </c>
      <c r="AV9" s="93">
        <f t="shared" ca="1" si="8"/>
        <v>-2.8245558863876252E-2</v>
      </c>
    </row>
    <row r="10" spans="1:48" ht="11.25" customHeight="1" x14ac:dyDescent="0.25">
      <c r="A10" s="4" t="s">
        <v>21</v>
      </c>
      <c r="B10" s="4" t="s">
        <v>62</v>
      </c>
      <c r="C10" s="4" t="s">
        <v>59</v>
      </c>
      <c r="D10" s="4" t="s">
        <v>25</v>
      </c>
      <c r="E10" s="4" t="s">
        <v>25</v>
      </c>
      <c r="F10" s="4" t="s">
        <v>25</v>
      </c>
      <c r="G10" s="4" t="s">
        <v>63</v>
      </c>
      <c r="H10" s="4" t="s">
        <v>25</v>
      </c>
      <c r="I10" s="5">
        <v>44621</v>
      </c>
      <c r="J10" s="6">
        <v>2300</v>
      </c>
      <c r="K10" s="6">
        <v>1150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61</v>
      </c>
      <c r="R10" s="4">
        <v>1433</v>
      </c>
      <c r="S10" s="6">
        <v>29</v>
      </c>
      <c r="T10" s="6">
        <v>0</v>
      </c>
      <c r="U10" s="6">
        <v>0</v>
      </c>
      <c r="V10" s="6">
        <f>IF(ISERROR(VLOOKUP($S$10,'TAR FIN'!$A$1:$O$86,15,0)),0,VLOOKUP($S$10,'TAR FIN'!$A$1:$O$86,15,0))</f>
        <v>13.17</v>
      </c>
      <c r="W10" s="6">
        <f>IF(ISERROR(VLOOKUP($T$10,'TAR FIN'!$A$1:$O$86,15,0)),0,VLOOKUP($T$10,'TAR FIN'!$A$1:$O$86,15,0))</f>
        <v>0</v>
      </c>
      <c r="X10" s="6">
        <f>IF(ISERROR(VLOOKUP($U$10,'TAR FIN'!$A$1:$O$86,15,0)),0,VLOOKUP($U$10,'TAR FIN'!$A$1:$O$86,15,0))</f>
        <v>0</v>
      </c>
      <c r="Y10" s="6">
        <f ca="1">('TUSD BE'!$AM$5+'TUSD BF_350'!$AM$5+'TUSD CVA'!$AM$5)*1</f>
        <v>11.740652626592427</v>
      </c>
      <c r="Z10" s="6"/>
      <c r="AA10" s="6"/>
      <c r="AB10" s="6">
        <f>$K$10*$V$10</f>
        <v>15145.5</v>
      </c>
      <c r="AC10" s="6">
        <f>$M$10*$W$10</f>
        <v>0</v>
      </c>
      <c r="AD10" s="6">
        <f>$O$10*$X$10</f>
        <v>0</v>
      </c>
      <c r="AE10" s="6">
        <f ca="1">$K$10*$Y$10</f>
        <v>13501.75052058129</v>
      </c>
      <c r="AF10" s="6">
        <f>$M$10*$Z$10</f>
        <v>0</v>
      </c>
      <c r="AG10" s="6">
        <f>$O$10*$AA$10</f>
        <v>0</v>
      </c>
      <c r="AI10" s="91" t="s">
        <v>708</v>
      </c>
      <c r="AJ10" s="92">
        <f>AJ9+AJ8</f>
        <v>50919839.176500134</v>
      </c>
      <c r="AK10" s="92">
        <f ca="1">AK9+AK8</f>
        <v>50772818.933862805</v>
      </c>
      <c r="AL10" s="93">
        <f t="shared" ca="1" si="2"/>
        <v>-2.8872880396916267E-3</v>
      </c>
      <c r="AN10" s="91" t="s">
        <v>708</v>
      </c>
      <c r="AO10" s="92">
        <f>AO9+AO8</f>
        <v>35881664.001702592</v>
      </c>
      <c r="AP10" s="92">
        <f ca="1">AP9+AP8</f>
        <v>32349452.917719465</v>
      </c>
      <c r="AQ10" s="93">
        <f t="shared" ca="1" si="5"/>
        <v>-9.8440559607701705E-2</v>
      </c>
      <c r="AS10" s="91" t="s">
        <v>708</v>
      </c>
      <c r="AT10" s="92">
        <f>AT9+AT8</f>
        <v>86801503.178202748</v>
      </c>
      <c r="AU10" s="92">
        <f ca="1">AU9+AU8</f>
        <v>83122271.851582259</v>
      </c>
      <c r="AV10" s="93">
        <f t="shared" ca="1" si="8"/>
        <v>-4.2386723638495716E-2</v>
      </c>
    </row>
    <row r="11" spans="1:48" ht="11.25" customHeight="1" x14ac:dyDescent="0.25">
      <c r="A11" s="4" t="s">
        <v>21</v>
      </c>
      <c r="B11" s="4" t="s">
        <v>62</v>
      </c>
      <c r="C11" s="4" t="s">
        <v>59</v>
      </c>
      <c r="D11" s="4" t="s">
        <v>25</v>
      </c>
      <c r="E11" s="4" t="s">
        <v>25</v>
      </c>
      <c r="F11" s="4" t="s">
        <v>25</v>
      </c>
      <c r="G11" s="4" t="s">
        <v>63</v>
      </c>
      <c r="H11" s="4" t="s">
        <v>25</v>
      </c>
      <c r="I11" s="5">
        <v>44652</v>
      </c>
      <c r="J11" s="6">
        <v>2300</v>
      </c>
      <c r="K11" s="6">
        <v>1150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61</v>
      </c>
      <c r="R11" s="4">
        <v>1433</v>
      </c>
      <c r="S11" s="6">
        <v>29</v>
      </c>
      <c r="T11" s="6">
        <v>0</v>
      </c>
      <c r="U11" s="6">
        <v>0</v>
      </c>
      <c r="V11" s="6">
        <f>IF(ISERROR(VLOOKUP($S$11,'TAR FIN'!$A$1:$O$86,15,0)),0,VLOOKUP($S$11,'TAR FIN'!$A$1:$O$86,15,0))</f>
        <v>13.17</v>
      </c>
      <c r="W11" s="6">
        <f>IF(ISERROR(VLOOKUP($T$11,'TAR FIN'!$A$1:$O$86,15,0)),0,VLOOKUP($T$11,'TAR FIN'!$A$1:$O$86,15,0))</f>
        <v>0</v>
      </c>
      <c r="X11" s="6">
        <f>IF(ISERROR(VLOOKUP($U$11,'TAR FIN'!$A$1:$O$86,15,0)),0,VLOOKUP($U$11,'TAR FIN'!$A$1:$O$86,15,0))</f>
        <v>0</v>
      </c>
      <c r="Y11" s="6">
        <f ca="1">('TUSD BE'!$AM$5+'TUSD BF_350'!$AM$5+'TUSD CVA'!$AM$5)*1</f>
        <v>11.740652626592427</v>
      </c>
      <c r="Z11" s="6"/>
      <c r="AA11" s="6"/>
      <c r="AB11" s="6">
        <f>$K$11*$V$11</f>
        <v>15145.5</v>
      </c>
      <c r="AC11" s="6">
        <f>$M$11*$W$11</f>
        <v>0</v>
      </c>
      <c r="AD11" s="6">
        <f>$O$11*$X$11</f>
        <v>0</v>
      </c>
      <c r="AE11" s="6">
        <f ca="1">$K$11*$Y$11</f>
        <v>13501.75052058129</v>
      </c>
      <c r="AF11" s="6">
        <f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62</v>
      </c>
      <c r="C12" s="4" t="s">
        <v>59</v>
      </c>
      <c r="D12" s="4" t="s">
        <v>25</v>
      </c>
      <c r="E12" s="4" t="s">
        <v>25</v>
      </c>
      <c r="F12" s="4" t="s">
        <v>25</v>
      </c>
      <c r="G12" s="4" t="s">
        <v>63</v>
      </c>
      <c r="H12" s="4" t="s">
        <v>25</v>
      </c>
      <c r="I12" s="5">
        <v>44682</v>
      </c>
      <c r="J12" s="6">
        <v>2300</v>
      </c>
      <c r="K12" s="6">
        <v>1150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61</v>
      </c>
      <c r="R12" s="4">
        <v>1433</v>
      </c>
      <c r="S12" s="6">
        <v>29</v>
      </c>
      <c r="T12" s="6">
        <v>0</v>
      </c>
      <c r="U12" s="6">
        <v>0</v>
      </c>
      <c r="V12" s="6">
        <f>IF(ISERROR(VLOOKUP($S$12,'TAR FIN'!$A$1:$O$86,15,0)),0,VLOOKUP($S$12,'TAR FIN'!$A$1:$O$86,15,0))</f>
        <v>13.17</v>
      </c>
      <c r="W12" s="6">
        <f>IF(ISERROR(VLOOKUP($T$12,'TAR FIN'!$A$1:$O$86,15,0)),0,VLOOKUP($T$12,'TAR FIN'!$A$1:$O$86,15,0))</f>
        <v>0</v>
      </c>
      <c r="X12" s="6">
        <f>IF(ISERROR(VLOOKUP($U$12,'TAR FIN'!$A$1:$O$86,15,0)),0,VLOOKUP($U$12,'TAR FIN'!$A$1:$O$86,15,0))</f>
        <v>0</v>
      </c>
      <c r="Y12" s="6">
        <f ca="1">('TUSD BE'!$AM$5+'TUSD BF_350'!$AM$5+'TUSD CVA'!$AM$5)*1</f>
        <v>11.740652626592427</v>
      </c>
      <c r="Z12" s="6"/>
      <c r="AA12" s="6"/>
      <c r="AB12" s="6">
        <f>$K$12*$V$12</f>
        <v>15145.5</v>
      </c>
      <c r="AC12" s="6">
        <f>$M$12*$W$12</f>
        <v>0</v>
      </c>
      <c r="AD12" s="6">
        <f>$O$12*$X$12</f>
        <v>0</v>
      </c>
      <c r="AE12" s="6">
        <f ca="1">$K$12*$Y$12</f>
        <v>13501.75052058129</v>
      </c>
      <c r="AF12" s="6">
        <f>$M$12*$Z$12</f>
        <v>0</v>
      </c>
      <c r="AG12" s="6">
        <f>$O$12*$AA$12</f>
        <v>0</v>
      </c>
    </row>
    <row r="13" spans="1:48" ht="11.25" customHeight="1" x14ac:dyDescent="0.25">
      <c r="A13" s="4" t="s">
        <v>56</v>
      </c>
      <c r="B13" s="4" t="s">
        <v>62</v>
      </c>
      <c r="C13" s="4" t="s">
        <v>59</v>
      </c>
      <c r="D13" s="4" t="s">
        <v>25</v>
      </c>
      <c r="E13" s="4" t="s">
        <v>25</v>
      </c>
      <c r="F13" s="4" t="s">
        <v>25</v>
      </c>
      <c r="G13" s="4" t="s">
        <v>63</v>
      </c>
      <c r="H13" s="4" t="s">
        <v>25</v>
      </c>
      <c r="I13" s="5">
        <v>44713</v>
      </c>
      <c r="J13" s="6">
        <v>2300</v>
      </c>
      <c r="K13" s="6">
        <v>1150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61</v>
      </c>
      <c r="R13" s="4">
        <v>1433</v>
      </c>
      <c r="S13" s="6">
        <v>29</v>
      </c>
      <c r="T13" s="6">
        <v>0</v>
      </c>
      <c r="U13" s="6">
        <v>0</v>
      </c>
      <c r="V13" s="6">
        <f>IF(ISERROR(VLOOKUP($S$13,'TAR FIN'!$A$1:$O$86,15,0)),0,VLOOKUP($S$13,'TAR FIN'!$A$1:$O$86,15,0))</f>
        <v>13.17</v>
      </c>
      <c r="W13" s="6">
        <f>IF(ISERROR(VLOOKUP($T$13,'TAR FIN'!$A$1:$O$86,15,0)),0,VLOOKUP($T$13,'TAR FIN'!$A$1:$O$86,15,0))</f>
        <v>0</v>
      </c>
      <c r="X13" s="6">
        <f>IF(ISERROR(VLOOKUP($U$13,'TAR FIN'!$A$1:$O$86,15,0)),0,VLOOKUP($U$13,'TAR FIN'!$A$1:$O$86,15,0))</f>
        <v>0</v>
      </c>
      <c r="Y13" s="6">
        <f ca="1">('TUSD BE'!$AM$5+'TUSD BF_350'!$AM$5+'TUSD CVA'!$AM$5)*1</f>
        <v>11.740652626592427</v>
      </c>
      <c r="Z13" s="6"/>
      <c r="AA13" s="6"/>
      <c r="AB13" s="6">
        <f>$K$13*$V$13</f>
        <v>15145.5</v>
      </c>
      <c r="AC13" s="6">
        <f>$M$13*$W$13</f>
        <v>0</v>
      </c>
      <c r="AD13" s="6">
        <f>$O$13*$X$13</f>
        <v>0</v>
      </c>
      <c r="AE13" s="6">
        <f ca="1">$K$13*$Y$13</f>
        <v>13501.75052058129</v>
      </c>
      <c r="AF13" s="6">
        <f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38</v>
      </c>
      <c r="C14" s="4" t="s">
        <v>39</v>
      </c>
      <c r="D14" s="4" t="s">
        <v>41</v>
      </c>
      <c r="E14" s="4" t="s">
        <v>25</v>
      </c>
      <c r="F14" s="4" t="s">
        <v>25</v>
      </c>
      <c r="G14" s="4" t="s">
        <v>25</v>
      </c>
      <c r="H14" s="4" t="s">
        <v>34</v>
      </c>
      <c r="I14" s="5">
        <v>44378</v>
      </c>
      <c r="J14" s="6">
        <v>88</v>
      </c>
      <c r="K14" s="6">
        <v>88</v>
      </c>
      <c r="L14" s="6">
        <v>8.8919999999999995</v>
      </c>
      <c r="M14" s="6">
        <v>8.8919999999999995</v>
      </c>
      <c r="N14" s="6">
        <v>8.8919999999999995</v>
      </c>
      <c r="O14" s="6">
        <v>8.8919999999999995</v>
      </c>
      <c r="P14" s="6">
        <v>0</v>
      </c>
      <c r="Q14" s="4" t="s">
        <v>26</v>
      </c>
      <c r="R14" s="4">
        <v>0</v>
      </c>
      <c r="S14" s="6">
        <v>22</v>
      </c>
      <c r="T14" s="6">
        <v>7</v>
      </c>
      <c r="U14" s="6">
        <v>42</v>
      </c>
      <c r="V14" s="6">
        <f>IF(ISERROR(VLOOKUP($S$14,'TAR FIN'!$A$1:$O$86,15,0)),0,VLOOKUP($S$14,'TAR FIN'!$A$1:$O$86,15,0))</f>
        <v>19.239999999999998</v>
      </c>
      <c r="W14" s="6">
        <f>IF(ISERROR(VLOOKUP($T$14,'TAR FIN'!$A$1:$O$86,15,0)),0,VLOOKUP($T$14,'TAR FIN'!$A$1:$O$86,15,0))</f>
        <v>78.680000000000007</v>
      </c>
      <c r="X14" s="6">
        <f>IF(ISERROR(VLOOKUP($U$14,'TAR FIN'!$A$1:$O$86,15,0)),0,VLOOKUP($U$14,'TAR FIN'!$A$1:$O$86,15,0))</f>
        <v>246.3</v>
      </c>
      <c r="Y14" s="6">
        <f ca="1">('TUSD BE'!$AM$7+'TUSD BF_350'!$AM$7+'TUSD CVA'!$AM$7)*1</f>
        <v>15.19295792072058</v>
      </c>
      <c r="Z14" s="6">
        <f ca="1">('TUSD BE'!$AM$8+'TUSD BF_350'!$AM$8+'TUSD CVA'!$AM$8)*1</f>
        <v>100.23755694003805</v>
      </c>
      <c r="AA14" s="6">
        <f ca="1">('TE BE'!$AB$6+'TE BF_350'!$AB$6+'TE CVA'!$AB$6)*1</f>
        <v>219.40364509824883</v>
      </c>
      <c r="AB14" s="6">
        <f>$K$14*$V$14</f>
        <v>1693.12</v>
      </c>
      <c r="AC14" s="6">
        <f>$M$14*$W$14</f>
        <v>699.62256000000002</v>
      </c>
      <c r="AD14" s="6">
        <f>$O$14*$X$14</f>
        <v>2190.0996</v>
      </c>
      <c r="AE14" s="6">
        <f ca="1">$K$14*$Y$14</f>
        <v>1336.9802970234111</v>
      </c>
      <c r="AF14" s="6">
        <f ca="1">$M$14*$Z$14</f>
        <v>891.31235631081825</v>
      </c>
      <c r="AG14" s="6">
        <f ca="1">$O$14*$AA$14</f>
        <v>1950.9372122136285</v>
      </c>
    </row>
    <row r="15" spans="1:48" ht="11.25" customHeight="1" x14ac:dyDescent="0.25">
      <c r="A15" s="4" t="s">
        <v>21</v>
      </c>
      <c r="B15" s="4" t="s">
        <v>38</v>
      </c>
      <c r="C15" s="4" t="s">
        <v>39</v>
      </c>
      <c r="D15" s="4" t="s">
        <v>41</v>
      </c>
      <c r="E15" s="4" t="s">
        <v>25</v>
      </c>
      <c r="F15" s="4" t="s">
        <v>25</v>
      </c>
      <c r="G15" s="4" t="s">
        <v>25</v>
      </c>
      <c r="H15" s="4" t="s">
        <v>34</v>
      </c>
      <c r="I15" s="5">
        <v>44409</v>
      </c>
      <c r="J15" s="6">
        <v>88</v>
      </c>
      <c r="K15" s="6">
        <v>88</v>
      </c>
      <c r="L15" s="6">
        <v>7.0890000000000004</v>
      </c>
      <c r="M15" s="6">
        <v>7.0890000000000004</v>
      </c>
      <c r="N15" s="6">
        <v>7.0890000000000004</v>
      </c>
      <c r="O15" s="6">
        <v>7.0890000000000004</v>
      </c>
      <c r="P15" s="6">
        <v>0</v>
      </c>
      <c r="Q15" s="4" t="s">
        <v>26</v>
      </c>
      <c r="R15" s="4">
        <v>0</v>
      </c>
      <c r="S15" s="6">
        <v>22</v>
      </c>
      <c r="T15" s="6">
        <v>7</v>
      </c>
      <c r="U15" s="6">
        <v>42</v>
      </c>
      <c r="V15" s="6">
        <f>IF(ISERROR(VLOOKUP($S$15,'TAR FIN'!$A$1:$O$86,15,0)),0,VLOOKUP($S$15,'TAR FIN'!$A$1:$O$86,15,0))</f>
        <v>19.239999999999998</v>
      </c>
      <c r="W15" s="6">
        <f>IF(ISERROR(VLOOKUP($T$15,'TAR FIN'!$A$1:$O$86,15,0)),0,VLOOKUP($T$15,'TAR FIN'!$A$1:$O$86,15,0))</f>
        <v>78.680000000000007</v>
      </c>
      <c r="X15" s="6">
        <f>IF(ISERROR(VLOOKUP($U$15,'TAR FIN'!$A$1:$O$86,15,0)),0,VLOOKUP($U$15,'TAR FIN'!$A$1:$O$86,15,0))</f>
        <v>246.3</v>
      </c>
      <c r="Y15" s="6">
        <f ca="1">('TUSD BE'!$AM$7+'TUSD BF_350'!$AM$7+'TUSD CVA'!$AM$7)*1</f>
        <v>15.19295792072058</v>
      </c>
      <c r="Z15" s="6">
        <f ca="1">('TUSD BE'!$AM$8+'TUSD BF_350'!$AM$8+'TUSD CVA'!$AM$8)*1</f>
        <v>100.23755694003805</v>
      </c>
      <c r="AA15" s="6">
        <f ca="1">('TE BE'!$AB$6+'TE BF_350'!$AB$6+'TE CVA'!$AB$6)*1</f>
        <v>219.40364509824883</v>
      </c>
      <c r="AB15" s="6">
        <f>$K$15*$V$15</f>
        <v>1693.12</v>
      </c>
      <c r="AC15" s="6">
        <f>$M$15*$W$15</f>
        <v>557.76252000000011</v>
      </c>
      <c r="AD15" s="6">
        <f>$O$15*$X$15</f>
        <v>1746.0207000000003</v>
      </c>
      <c r="AE15" s="6">
        <f ca="1">$K$15*$Y$15</f>
        <v>1336.9802970234111</v>
      </c>
      <c r="AF15" s="6">
        <f ca="1">$M$15*$Z$15</f>
        <v>710.58404114792972</v>
      </c>
      <c r="AG15" s="6">
        <f ca="1">$O$15*$AA$15</f>
        <v>1555.3524401014861</v>
      </c>
    </row>
    <row r="16" spans="1:48" ht="11.25" customHeight="1" x14ac:dyDescent="0.25">
      <c r="A16" s="4" t="s">
        <v>21</v>
      </c>
      <c r="B16" s="4" t="s">
        <v>38</v>
      </c>
      <c r="C16" s="4" t="s">
        <v>39</v>
      </c>
      <c r="D16" s="4" t="s">
        <v>41</v>
      </c>
      <c r="E16" s="4" t="s">
        <v>25</v>
      </c>
      <c r="F16" s="4" t="s">
        <v>25</v>
      </c>
      <c r="G16" s="4" t="s">
        <v>25</v>
      </c>
      <c r="H16" s="4" t="s">
        <v>34</v>
      </c>
      <c r="I16" s="5">
        <v>44440</v>
      </c>
      <c r="J16" s="6">
        <v>88</v>
      </c>
      <c r="K16" s="6">
        <v>88</v>
      </c>
      <c r="L16" s="6">
        <v>6.3319999999999999</v>
      </c>
      <c r="M16" s="6">
        <v>6.3319999999999999</v>
      </c>
      <c r="N16" s="6">
        <v>6.3319999999999999</v>
      </c>
      <c r="O16" s="6">
        <v>6.3319999999999999</v>
      </c>
      <c r="P16" s="6">
        <v>0</v>
      </c>
      <c r="Q16" s="4" t="s">
        <v>26</v>
      </c>
      <c r="R16" s="4">
        <v>0</v>
      </c>
      <c r="S16" s="6">
        <v>22</v>
      </c>
      <c r="T16" s="6">
        <v>7</v>
      </c>
      <c r="U16" s="6">
        <v>42</v>
      </c>
      <c r="V16" s="6">
        <f>IF(ISERROR(VLOOKUP($S$16,'TAR FIN'!$A$1:$O$86,15,0)),0,VLOOKUP($S$16,'TAR FIN'!$A$1:$O$86,15,0))</f>
        <v>19.239999999999998</v>
      </c>
      <c r="W16" s="6">
        <f>IF(ISERROR(VLOOKUP($T$16,'TAR FIN'!$A$1:$O$86,15,0)),0,VLOOKUP($T$16,'TAR FIN'!$A$1:$O$86,15,0))</f>
        <v>78.680000000000007</v>
      </c>
      <c r="X16" s="6">
        <f>IF(ISERROR(VLOOKUP($U$16,'TAR FIN'!$A$1:$O$86,15,0)),0,VLOOKUP($U$16,'TAR FIN'!$A$1:$O$86,15,0))</f>
        <v>246.3</v>
      </c>
      <c r="Y16" s="6">
        <f ca="1">('TUSD BE'!$AM$7+'TUSD BF_350'!$AM$7+'TUSD CVA'!$AM$7)*1</f>
        <v>15.19295792072058</v>
      </c>
      <c r="Z16" s="6">
        <f ca="1">('TUSD BE'!$AM$8+'TUSD BF_350'!$AM$8+'TUSD CVA'!$AM$8)*1</f>
        <v>100.23755694003805</v>
      </c>
      <c r="AA16" s="6">
        <f ca="1">('TE BE'!$AB$6+'TE BF_350'!$AB$6+'TE CVA'!$AB$6)*1</f>
        <v>219.40364509824883</v>
      </c>
      <c r="AB16" s="6">
        <f>$K$16*$V$16</f>
        <v>1693.12</v>
      </c>
      <c r="AC16" s="6">
        <f>$M$16*$W$16</f>
        <v>498.20176000000004</v>
      </c>
      <c r="AD16" s="6">
        <f>$O$16*$X$16</f>
        <v>1559.5716</v>
      </c>
      <c r="AE16" s="6">
        <f ca="1">$K$16*$Y$16</f>
        <v>1336.9802970234111</v>
      </c>
      <c r="AF16" s="6">
        <f ca="1">$M$16*$Z$16</f>
        <v>634.70421054432086</v>
      </c>
      <c r="AG16" s="6">
        <f ca="1">$O$16*$AA$16</f>
        <v>1389.2638807621115</v>
      </c>
    </row>
    <row r="17" spans="1:33" ht="11.25" customHeight="1" x14ac:dyDescent="0.25">
      <c r="A17" s="4" t="s">
        <v>21</v>
      </c>
      <c r="B17" s="4" t="s">
        <v>38</v>
      </c>
      <c r="C17" s="4" t="s">
        <v>39</v>
      </c>
      <c r="D17" s="4" t="s">
        <v>41</v>
      </c>
      <c r="E17" s="4" t="s">
        <v>25</v>
      </c>
      <c r="F17" s="4" t="s">
        <v>25</v>
      </c>
      <c r="G17" s="4" t="s">
        <v>25</v>
      </c>
      <c r="H17" s="4" t="s">
        <v>34</v>
      </c>
      <c r="I17" s="5">
        <v>44470</v>
      </c>
      <c r="J17" s="6">
        <v>88</v>
      </c>
      <c r="K17" s="6">
        <v>88</v>
      </c>
      <c r="L17" s="6">
        <v>6.67</v>
      </c>
      <c r="M17" s="6">
        <v>6.67</v>
      </c>
      <c r="N17" s="6">
        <v>6.67</v>
      </c>
      <c r="O17" s="6">
        <v>6.67</v>
      </c>
      <c r="P17" s="6">
        <v>0</v>
      </c>
      <c r="Q17" s="4" t="s">
        <v>26</v>
      </c>
      <c r="R17" s="4">
        <v>0</v>
      </c>
      <c r="S17" s="6">
        <v>22</v>
      </c>
      <c r="T17" s="6">
        <v>7</v>
      </c>
      <c r="U17" s="6">
        <v>42</v>
      </c>
      <c r="V17" s="6">
        <f>IF(ISERROR(VLOOKUP($S$17,'TAR FIN'!$A$1:$O$86,15,0)),0,VLOOKUP($S$17,'TAR FIN'!$A$1:$O$86,15,0))</f>
        <v>19.239999999999998</v>
      </c>
      <c r="W17" s="6">
        <f>IF(ISERROR(VLOOKUP($T$17,'TAR FIN'!$A$1:$O$86,15,0)),0,VLOOKUP($T$17,'TAR FIN'!$A$1:$O$86,15,0))</f>
        <v>78.680000000000007</v>
      </c>
      <c r="X17" s="6">
        <f>IF(ISERROR(VLOOKUP($U$17,'TAR FIN'!$A$1:$O$86,15,0)),0,VLOOKUP($U$17,'TAR FIN'!$A$1:$O$86,15,0))</f>
        <v>246.3</v>
      </c>
      <c r="Y17" s="6">
        <f ca="1">('TUSD BE'!$AM$7+'TUSD BF_350'!$AM$7+'TUSD CVA'!$AM$7)*1</f>
        <v>15.19295792072058</v>
      </c>
      <c r="Z17" s="6">
        <f ca="1">('TUSD BE'!$AM$8+'TUSD BF_350'!$AM$8+'TUSD CVA'!$AM$8)*1</f>
        <v>100.23755694003805</v>
      </c>
      <c r="AA17" s="6">
        <f ca="1">('TE BE'!$AB$6+'TE BF_350'!$AB$6+'TE CVA'!$AB$6)*1</f>
        <v>219.40364509824883</v>
      </c>
      <c r="AB17" s="6">
        <f>$K$17*$V$17</f>
        <v>1693.12</v>
      </c>
      <c r="AC17" s="6">
        <f>$M$17*$W$17</f>
        <v>524.79560000000004</v>
      </c>
      <c r="AD17" s="6">
        <f>$O$17*$X$17</f>
        <v>1642.8210000000001</v>
      </c>
      <c r="AE17" s="6">
        <f ca="1">$K$17*$Y$17</f>
        <v>1336.9802970234111</v>
      </c>
      <c r="AF17" s="6">
        <f ca="1">$M$17*$Z$17</f>
        <v>668.58450479005376</v>
      </c>
      <c r="AG17" s="6">
        <f ca="1">$O$17*$AA$17</f>
        <v>1463.4223128053197</v>
      </c>
    </row>
    <row r="18" spans="1:33" ht="11.25" customHeight="1" x14ac:dyDescent="0.25">
      <c r="A18" s="4" t="s">
        <v>21</v>
      </c>
      <c r="B18" s="4" t="s">
        <v>38</v>
      </c>
      <c r="C18" s="4" t="s">
        <v>39</v>
      </c>
      <c r="D18" s="4" t="s">
        <v>41</v>
      </c>
      <c r="E18" s="4" t="s">
        <v>25</v>
      </c>
      <c r="F18" s="4" t="s">
        <v>25</v>
      </c>
      <c r="G18" s="4" t="s">
        <v>25</v>
      </c>
      <c r="H18" s="4" t="s">
        <v>34</v>
      </c>
      <c r="I18" s="5">
        <v>44501</v>
      </c>
      <c r="J18" s="6">
        <v>88</v>
      </c>
      <c r="K18" s="6">
        <v>88</v>
      </c>
      <c r="L18" s="6">
        <v>10.019</v>
      </c>
      <c r="M18" s="6">
        <v>10.019</v>
      </c>
      <c r="N18" s="6">
        <v>10.019</v>
      </c>
      <c r="O18" s="6">
        <v>10.019</v>
      </c>
      <c r="P18" s="6">
        <v>0</v>
      </c>
      <c r="Q18" s="4" t="s">
        <v>26</v>
      </c>
      <c r="R18" s="4">
        <v>0</v>
      </c>
      <c r="S18" s="6">
        <v>22</v>
      </c>
      <c r="T18" s="6">
        <v>7</v>
      </c>
      <c r="U18" s="6">
        <v>42</v>
      </c>
      <c r="V18" s="6">
        <f>IF(ISERROR(VLOOKUP($S$18,'TAR FIN'!$A$1:$O$86,15,0)),0,VLOOKUP($S$18,'TAR FIN'!$A$1:$O$86,15,0))</f>
        <v>19.239999999999998</v>
      </c>
      <c r="W18" s="6">
        <f>IF(ISERROR(VLOOKUP($T$18,'TAR FIN'!$A$1:$O$86,15,0)),0,VLOOKUP($T$18,'TAR FIN'!$A$1:$O$86,15,0))</f>
        <v>78.680000000000007</v>
      </c>
      <c r="X18" s="6">
        <f>IF(ISERROR(VLOOKUP($U$18,'TAR FIN'!$A$1:$O$86,15,0)),0,VLOOKUP($U$18,'TAR FIN'!$A$1:$O$86,15,0))</f>
        <v>246.3</v>
      </c>
      <c r="Y18" s="6">
        <f ca="1">('TUSD BE'!$AM$7+'TUSD BF_350'!$AM$7+'TUSD CVA'!$AM$7)*1</f>
        <v>15.19295792072058</v>
      </c>
      <c r="Z18" s="6">
        <f ca="1">('TUSD BE'!$AM$8+'TUSD BF_350'!$AM$8+'TUSD CVA'!$AM$8)*1</f>
        <v>100.23755694003805</v>
      </c>
      <c r="AA18" s="6">
        <f ca="1">('TE BE'!$AB$6+'TE BF_350'!$AB$6+'TE CVA'!$AB$6)*1</f>
        <v>219.40364509824883</v>
      </c>
      <c r="AB18" s="6">
        <f>$K$18*$V$18</f>
        <v>1693.12</v>
      </c>
      <c r="AC18" s="6">
        <f>$M$18*$W$18</f>
        <v>788.29492000000005</v>
      </c>
      <c r="AD18" s="6">
        <f>$O$18*$X$18</f>
        <v>2467.6797000000001</v>
      </c>
      <c r="AE18" s="6">
        <f ca="1">$K$18*$Y$18</f>
        <v>1336.9802970234111</v>
      </c>
      <c r="AF18" s="6">
        <f ca="1">$M$18*$Z$18</f>
        <v>1004.2800829822412</v>
      </c>
      <c r="AG18" s="6">
        <f ca="1">$O$18*$AA$18</f>
        <v>2198.205120239355</v>
      </c>
    </row>
    <row r="19" spans="1:33" ht="11.25" customHeight="1" x14ac:dyDescent="0.25">
      <c r="A19" s="4" t="s">
        <v>21</v>
      </c>
      <c r="B19" s="4" t="s">
        <v>38</v>
      </c>
      <c r="C19" s="4" t="s">
        <v>39</v>
      </c>
      <c r="D19" s="4" t="s">
        <v>41</v>
      </c>
      <c r="E19" s="4" t="s">
        <v>25</v>
      </c>
      <c r="F19" s="4" t="s">
        <v>25</v>
      </c>
      <c r="G19" s="4" t="s">
        <v>25</v>
      </c>
      <c r="H19" s="4" t="s">
        <v>34</v>
      </c>
      <c r="I19" s="5">
        <v>44531</v>
      </c>
      <c r="J19" s="6">
        <v>88</v>
      </c>
      <c r="K19" s="6">
        <v>88</v>
      </c>
      <c r="L19" s="6">
        <v>12.58</v>
      </c>
      <c r="M19" s="6">
        <v>12.58</v>
      </c>
      <c r="N19" s="6">
        <v>12.58</v>
      </c>
      <c r="O19" s="6">
        <v>12.58</v>
      </c>
      <c r="P19" s="6">
        <v>0</v>
      </c>
      <c r="Q19" s="4" t="s">
        <v>26</v>
      </c>
      <c r="R19" s="4">
        <v>0</v>
      </c>
      <c r="S19" s="6">
        <v>22</v>
      </c>
      <c r="T19" s="6">
        <v>7</v>
      </c>
      <c r="U19" s="6">
        <v>42</v>
      </c>
      <c r="V19" s="6">
        <f>IF(ISERROR(VLOOKUP($S$19,'TAR FIN'!$A$1:$O$86,15,0)),0,VLOOKUP($S$19,'TAR FIN'!$A$1:$O$86,15,0))</f>
        <v>19.239999999999998</v>
      </c>
      <c r="W19" s="6">
        <f>IF(ISERROR(VLOOKUP($T$19,'TAR FIN'!$A$1:$O$86,15,0)),0,VLOOKUP($T$19,'TAR FIN'!$A$1:$O$86,15,0))</f>
        <v>78.680000000000007</v>
      </c>
      <c r="X19" s="6">
        <f>IF(ISERROR(VLOOKUP($U$19,'TAR FIN'!$A$1:$O$86,15,0)),0,VLOOKUP($U$19,'TAR FIN'!$A$1:$O$86,15,0))</f>
        <v>246.3</v>
      </c>
      <c r="Y19" s="6">
        <f ca="1">('TUSD BE'!$AM$7+'TUSD BF_350'!$AM$7+'TUSD CVA'!$AM$7)*1</f>
        <v>15.19295792072058</v>
      </c>
      <c r="Z19" s="6">
        <f ca="1">('TUSD BE'!$AM$8+'TUSD BF_350'!$AM$8+'TUSD CVA'!$AM$8)*1</f>
        <v>100.23755694003805</v>
      </c>
      <c r="AA19" s="6">
        <f ca="1">('TE BE'!$AB$6+'TE BF_350'!$AB$6+'TE CVA'!$AB$6)*1</f>
        <v>219.40364509824883</v>
      </c>
      <c r="AB19" s="6">
        <f>$K$19*$V$19</f>
        <v>1693.12</v>
      </c>
      <c r="AC19" s="6">
        <f>$M$19*$W$19</f>
        <v>989.79440000000011</v>
      </c>
      <c r="AD19" s="6">
        <f>$O$19*$X$19</f>
        <v>3098.4540000000002</v>
      </c>
      <c r="AE19" s="6">
        <f ca="1">$K$19*$Y$19</f>
        <v>1336.9802970234111</v>
      </c>
      <c r="AF19" s="6">
        <f ca="1">$M$19*$Z$19</f>
        <v>1260.9884663056787</v>
      </c>
      <c r="AG19" s="6">
        <f ca="1">$O$19*$AA$19</f>
        <v>2760.0978553359705</v>
      </c>
    </row>
    <row r="20" spans="1:33" ht="11.25" customHeight="1" x14ac:dyDescent="0.25">
      <c r="A20" s="4" t="s">
        <v>21</v>
      </c>
      <c r="B20" s="4" t="s">
        <v>38</v>
      </c>
      <c r="C20" s="4" t="s">
        <v>39</v>
      </c>
      <c r="D20" s="4" t="s">
        <v>41</v>
      </c>
      <c r="E20" s="4" t="s">
        <v>25</v>
      </c>
      <c r="F20" s="4" t="s">
        <v>25</v>
      </c>
      <c r="G20" s="4" t="s">
        <v>25</v>
      </c>
      <c r="H20" s="4" t="s">
        <v>34</v>
      </c>
      <c r="I20" s="5">
        <v>44562</v>
      </c>
      <c r="J20" s="6">
        <v>89</v>
      </c>
      <c r="K20" s="6">
        <v>89</v>
      </c>
      <c r="L20" s="6">
        <v>14.016</v>
      </c>
      <c r="M20" s="6">
        <v>14.016</v>
      </c>
      <c r="N20" s="6">
        <v>14.016</v>
      </c>
      <c r="O20" s="6">
        <v>14.016</v>
      </c>
      <c r="P20" s="6">
        <v>0</v>
      </c>
      <c r="Q20" s="4" t="s">
        <v>26</v>
      </c>
      <c r="R20" s="4">
        <v>0</v>
      </c>
      <c r="S20" s="6">
        <v>22</v>
      </c>
      <c r="T20" s="6">
        <v>7</v>
      </c>
      <c r="U20" s="6">
        <v>42</v>
      </c>
      <c r="V20" s="6">
        <f>IF(ISERROR(VLOOKUP($S$20,'TAR FIN'!$A$1:$O$86,15,0)),0,VLOOKUP($S$20,'TAR FIN'!$A$1:$O$86,15,0))</f>
        <v>19.239999999999998</v>
      </c>
      <c r="W20" s="6">
        <f>IF(ISERROR(VLOOKUP($T$20,'TAR FIN'!$A$1:$O$86,15,0)),0,VLOOKUP($T$20,'TAR FIN'!$A$1:$O$86,15,0))</f>
        <v>78.680000000000007</v>
      </c>
      <c r="X20" s="6">
        <f>IF(ISERROR(VLOOKUP($U$20,'TAR FIN'!$A$1:$O$86,15,0)),0,VLOOKUP($U$20,'TAR FIN'!$A$1:$O$86,15,0))</f>
        <v>246.3</v>
      </c>
      <c r="Y20" s="6">
        <f ca="1">('TUSD BE'!$AM$7+'TUSD BF_350'!$AM$7+'TUSD CVA'!$AM$7)*1</f>
        <v>15.19295792072058</v>
      </c>
      <c r="Z20" s="6">
        <f ca="1">('TUSD BE'!$AM$8+'TUSD BF_350'!$AM$8+'TUSD CVA'!$AM$8)*1</f>
        <v>100.23755694003805</v>
      </c>
      <c r="AA20" s="6">
        <f ca="1">('TE BE'!$AB$6+'TE BF_350'!$AB$6+'TE CVA'!$AB$6)*1</f>
        <v>219.40364509824883</v>
      </c>
      <c r="AB20" s="6">
        <f>$K$20*$V$20</f>
        <v>1712.36</v>
      </c>
      <c r="AC20" s="6">
        <f>$M$20*$W$20</f>
        <v>1102.7788800000001</v>
      </c>
      <c r="AD20" s="6">
        <f>$O$20*$X$20</f>
        <v>3452.1408000000001</v>
      </c>
      <c r="AE20" s="6">
        <f ca="1">$K$20*$Y$20</f>
        <v>1352.1732549441317</v>
      </c>
      <c r="AF20" s="6">
        <f ca="1">$M$20*$Z$20</f>
        <v>1404.9295980715733</v>
      </c>
      <c r="AG20" s="6">
        <f ca="1">$O$20*$AA$20</f>
        <v>3075.1614896970555</v>
      </c>
    </row>
    <row r="21" spans="1:33" ht="11.25" customHeight="1" x14ac:dyDescent="0.25">
      <c r="A21" s="4" t="s">
        <v>21</v>
      </c>
      <c r="B21" s="4" t="s">
        <v>38</v>
      </c>
      <c r="C21" s="4" t="s">
        <v>39</v>
      </c>
      <c r="D21" s="4" t="s">
        <v>41</v>
      </c>
      <c r="E21" s="4" t="s">
        <v>25</v>
      </c>
      <c r="F21" s="4" t="s">
        <v>25</v>
      </c>
      <c r="G21" s="4" t="s">
        <v>25</v>
      </c>
      <c r="H21" s="4" t="s">
        <v>34</v>
      </c>
      <c r="I21" s="5">
        <v>44593</v>
      </c>
      <c r="J21" s="6">
        <v>88</v>
      </c>
      <c r="K21" s="6">
        <v>88</v>
      </c>
      <c r="L21" s="6">
        <v>11.776999999999999</v>
      </c>
      <c r="M21" s="6">
        <v>11.776999999999999</v>
      </c>
      <c r="N21" s="6">
        <v>11.776999999999999</v>
      </c>
      <c r="O21" s="6">
        <v>11.776999999999999</v>
      </c>
      <c r="P21" s="6">
        <v>0</v>
      </c>
      <c r="Q21" s="4" t="s">
        <v>26</v>
      </c>
      <c r="R21" s="4">
        <v>0</v>
      </c>
      <c r="S21" s="6">
        <v>22</v>
      </c>
      <c r="T21" s="6">
        <v>7</v>
      </c>
      <c r="U21" s="6">
        <v>42</v>
      </c>
      <c r="V21" s="6">
        <f>IF(ISERROR(VLOOKUP($S$21,'TAR FIN'!$A$1:$O$86,15,0)),0,VLOOKUP($S$21,'TAR FIN'!$A$1:$O$86,15,0))</f>
        <v>19.239999999999998</v>
      </c>
      <c r="W21" s="6">
        <f>IF(ISERROR(VLOOKUP($T$21,'TAR FIN'!$A$1:$O$86,15,0)),0,VLOOKUP($T$21,'TAR FIN'!$A$1:$O$86,15,0))</f>
        <v>78.680000000000007</v>
      </c>
      <c r="X21" s="6">
        <f>IF(ISERROR(VLOOKUP($U$21,'TAR FIN'!$A$1:$O$86,15,0)),0,VLOOKUP($U$21,'TAR FIN'!$A$1:$O$86,15,0))</f>
        <v>246.3</v>
      </c>
      <c r="Y21" s="6">
        <f ca="1">('TUSD BE'!$AM$7+'TUSD BF_350'!$AM$7+'TUSD CVA'!$AM$7)*1</f>
        <v>15.19295792072058</v>
      </c>
      <c r="Z21" s="6">
        <f ca="1">('TUSD BE'!$AM$8+'TUSD BF_350'!$AM$8+'TUSD CVA'!$AM$8)*1</f>
        <v>100.23755694003805</v>
      </c>
      <c r="AA21" s="6">
        <f ca="1">('TE BE'!$AB$6+'TE BF_350'!$AB$6+'TE CVA'!$AB$6)*1</f>
        <v>219.40364509824883</v>
      </c>
      <c r="AB21" s="6">
        <f>$K$21*$V$21</f>
        <v>1693.12</v>
      </c>
      <c r="AC21" s="6">
        <f>$M$21*$W$21</f>
        <v>926.61436000000003</v>
      </c>
      <c r="AD21" s="6">
        <f>$O$21*$X$21</f>
        <v>2900.6750999999999</v>
      </c>
      <c r="AE21" s="6">
        <f ca="1">$K$21*$Y$21</f>
        <v>1336.9802970234111</v>
      </c>
      <c r="AF21" s="6">
        <f ca="1">$M$21*$Z$21</f>
        <v>1180.497708082828</v>
      </c>
      <c r="AG21" s="6">
        <f ca="1">$O$21*$AA$21</f>
        <v>2583.9167283220763</v>
      </c>
    </row>
    <row r="22" spans="1:33" ht="11.25" customHeight="1" x14ac:dyDescent="0.25">
      <c r="A22" s="4" t="s">
        <v>21</v>
      </c>
      <c r="B22" s="4" t="s">
        <v>38</v>
      </c>
      <c r="C22" s="4" t="s">
        <v>39</v>
      </c>
      <c r="D22" s="4" t="s">
        <v>41</v>
      </c>
      <c r="E22" s="4" t="s">
        <v>25</v>
      </c>
      <c r="F22" s="4" t="s">
        <v>25</v>
      </c>
      <c r="G22" s="4" t="s">
        <v>25</v>
      </c>
      <c r="H22" s="4" t="s">
        <v>34</v>
      </c>
      <c r="I22" s="5">
        <v>44621</v>
      </c>
      <c r="J22" s="6">
        <v>88</v>
      </c>
      <c r="K22" s="6">
        <v>88</v>
      </c>
      <c r="L22" s="6">
        <v>11.601000000000001</v>
      </c>
      <c r="M22" s="6">
        <v>11.601000000000001</v>
      </c>
      <c r="N22" s="6">
        <v>11.601000000000001</v>
      </c>
      <c r="O22" s="6">
        <v>11.601000000000001</v>
      </c>
      <c r="P22" s="6">
        <v>0</v>
      </c>
      <c r="Q22" s="4" t="s">
        <v>26</v>
      </c>
      <c r="R22" s="4">
        <v>0</v>
      </c>
      <c r="S22" s="6">
        <v>22</v>
      </c>
      <c r="T22" s="6">
        <v>7</v>
      </c>
      <c r="U22" s="6">
        <v>42</v>
      </c>
      <c r="V22" s="6">
        <f>IF(ISERROR(VLOOKUP($S$22,'TAR FIN'!$A$1:$O$86,15,0)),0,VLOOKUP($S$22,'TAR FIN'!$A$1:$O$86,15,0))</f>
        <v>19.239999999999998</v>
      </c>
      <c r="W22" s="6">
        <f>IF(ISERROR(VLOOKUP($T$22,'TAR FIN'!$A$1:$O$86,15,0)),0,VLOOKUP($T$22,'TAR FIN'!$A$1:$O$86,15,0))</f>
        <v>78.680000000000007</v>
      </c>
      <c r="X22" s="6">
        <f>IF(ISERROR(VLOOKUP($U$22,'TAR FIN'!$A$1:$O$86,15,0)),0,VLOOKUP($U$22,'TAR FIN'!$A$1:$O$86,15,0))</f>
        <v>246.3</v>
      </c>
      <c r="Y22" s="6">
        <f ca="1">('TUSD BE'!$AM$7+'TUSD BF_350'!$AM$7+'TUSD CVA'!$AM$7)*1</f>
        <v>15.19295792072058</v>
      </c>
      <c r="Z22" s="6">
        <f ca="1">('TUSD BE'!$AM$8+'TUSD BF_350'!$AM$8+'TUSD CVA'!$AM$8)*1</f>
        <v>100.23755694003805</v>
      </c>
      <c r="AA22" s="6">
        <f ca="1">('TE BE'!$AB$6+'TE BF_350'!$AB$6+'TE CVA'!$AB$6)*1</f>
        <v>219.40364509824883</v>
      </c>
      <c r="AB22" s="6">
        <f>$K$22*$V$22</f>
        <v>1693.12</v>
      </c>
      <c r="AC22" s="6">
        <f>$M$22*$W$22</f>
        <v>912.76668000000018</v>
      </c>
      <c r="AD22" s="6">
        <f>$O$22*$X$22</f>
        <v>2857.3263000000002</v>
      </c>
      <c r="AE22" s="6">
        <f ca="1">$K$22*$Y$22</f>
        <v>1336.9802970234111</v>
      </c>
      <c r="AF22" s="6">
        <f ca="1">$M$22*$Z$22</f>
        <v>1162.8558980613814</v>
      </c>
      <c r="AG22" s="6">
        <f ca="1">$O$22*$AA$22</f>
        <v>2545.301686784785</v>
      </c>
    </row>
    <row r="23" spans="1:33" ht="11.25" customHeight="1" x14ac:dyDescent="0.25">
      <c r="A23" s="4" t="s">
        <v>21</v>
      </c>
      <c r="B23" s="4" t="s">
        <v>38</v>
      </c>
      <c r="C23" s="4" t="s">
        <v>39</v>
      </c>
      <c r="D23" s="4" t="s">
        <v>41</v>
      </c>
      <c r="E23" s="4" t="s">
        <v>25</v>
      </c>
      <c r="F23" s="4" t="s">
        <v>25</v>
      </c>
      <c r="G23" s="4" t="s">
        <v>25</v>
      </c>
      <c r="H23" s="4" t="s">
        <v>34</v>
      </c>
      <c r="I23" s="5">
        <v>44652</v>
      </c>
      <c r="J23" s="6">
        <v>88</v>
      </c>
      <c r="K23" s="6">
        <v>88</v>
      </c>
      <c r="L23" s="6">
        <v>7.383</v>
      </c>
      <c r="M23" s="6">
        <v>7.383</v>
      </c>
      <c r="N23" s="6">
        <v>7.383</v>
      </c>
      <c r="O23" s="6">
        <v>7.383</v>
      </c>
      <c r="P23" s="6">
        <v>0</v>
      </c>
      <c r="Q23" s="4" t="s">
        <v>26</v>
      </c>
      <c r="R23" s="4">
        <v>0</v>
      </c>
      <c r="S23" s="6">
        <v>22</v>
      </c>
      <c r="T23" s="6">
        <v>7</v>
      </c>
      <c r="U23" s="6">
        <v>42</v>
      </c>
      <c r="V23" s="6">
        <f>IF(ISERROR(VLOOKUP($S$23,'TAR FIN'!$A$1:$O$86,15,0)),0,VLOOKUP($S$23,'TAR FIN'!$A$1:$O$86,15,0))</f>
        <v>19.239999999999998</v>
      </c>
      <c r="W23" s="6">
        <f>IF(ISERROR(VLOOKUP($T$23,'TAR FIN'!$A$1:$O$86,15,0)),0,VLOOKUP($T$23,'TAR FIN'!$A$1:$O$86,15,0))</f>
        <v>78.680000000000007</v>
      </c>
      <c r="X23" s="6">
        <f>IF(ISERROR(VLOOKUP($U$23,'TAR FIN'!$A$1:$O$86,15,0)),0,VLOOKUP($U$23,'TAR FIN'!$A$1:$O$86,15,0))</f>
        <v>246.3</v>
      </c>
      <c r="Y23" s="6">
        <f ca="1">('TUSD BE'!$AM$7+'TUSD BF_350'!$AM$7+'TUSD CVA'!$AM$7)*1</f>
        <v>15.19295792072058</v>
      </c>
      <c r="Z23" s="6">
        <f ca="1">('TUSD BE'!$AM$8+'TUSD BF_350'!$AM$8+'TUSD CVA'!$AM$8)*1</f>
        <v>100.23755694003805</v>
      </c>
      <c r="AA23" s="6">
        <f ca="1">('TE BE'!$AB$6+'TE BF_350'!$AB$6+'TE CVA'!$AB$6)*1</f>
        <v>219.40364509824883</v>
      </c>
      <c r="AB23" s="6">
        <f>$K$23*$V$23</f>
        <v>1693.12</v>
      </c>
      <c r="AC23" s="6">
        <f>$M$23*$W$23</f>
        <v>580.89444000000003</v>
      </c>
      <c r="AD23" s="6">
        <f>$O$23*$X$23</f>
        <v>1818.4329</v>
      </c>
      <c r="AE23" s="6">
        <f ca="1">$K$23*$Y$23</f>
        <v>1336.9802970234111</v>
      </c>
      <c r="AF23" s="6">
        <f ca="1">$M$23*$Z$23</f>
        <v>740.0538828883009</v>
      </c>
      <c r="AG23" s="6">
        <f ca="1">$O$23*$AA$23</f>
        <v>1619.857111760371</v>
      </c>
    </row>
    <row r="24" spans="1:33" ht="11.25" customHeight="1" x14ac:dyDescent="0.25">
      <c r="A24" s="4" t="s">
        <v>21</v>
      </c>
      <c r="B24" s="4" t="s">
        <v>38</v>
      </c>
      <c r="C24" s="4" t="s">
        <v>39</v>
      </c>
      <c r="D24" s="4" t="s">
        <v>41</v>
      </c>
      <c r="E24" s="4" t="s">
        <v>25</v>
      </c>
      <c r="F24" s="4" t="s">
        <v>25</v>
      </c>
      <c r="G24" s="4" t="s">
        <v>25</v>
      </c>
      <c r="H24" s="4" t="s">
        <v>34</v>
      </c>
      <c r="I24" s="5">
        <v>44682</v>
      </c>
      <c r="J24" s="6">
        <v>88</v>
      </c>
      <c r="K24" s="6">
        <v>88</v>
      </c>
      <c r="L24" s="6">
        <v>7.8659999999999997</v>
      </c>
      <c r="M24" s="6">
        <v>7.8659999999999997</v>
      </c>
      <c r="N24" s="6">
        <v>7.8659999999999997</v>
      </c>
      <c r="O24" s="6">
        <v>7.8659999999999997</v>
      </c>
      <c r="P24" s="6">
        <v>0</v>
      </c>
      <c r="Q24" s="4" t="s">
        <v>26</v>
      </c>
      <c r="R24" s="4">
        <v>0</v>
      </c>
      <c r="S24" s="6">
        <v>22</v>
      </c>
      <c r="T24" s="6">
        <v>7</v>
      </c>
      <c r="U24" s="6">
        <v>42</v>
      </c>
      <c r="V24" s="6">
        <f>IF(ISERROR(VLOOKUP($S$24,'TAR FIN'!$A$1:$O$86,15,0)),0,VLOOKUP($S$24,'TAR FIN'!$A$1:$O$86,15,0))</f>
        <v>19.239999999999998</v>
      </c>
      <c r="W24" s="6">
        <f>IF(ISERROR(VLOOKUP($T$24,'TAR FIN'!$A$1:$O$86,15,0)),0,VLOOKUP($T$24,'TAR FIN'!$A$1:$O$86,15,0))</f>
        <v>78.680000000000007</v>
      </c>
      <c r="X24" s="6">
        <f>IF(ISERROR(VLOOKUP($U$24,'TAR FIN'!$A$1:$O$86,15,0)),0,VLOOKUP($U$24,'TAR FIN'!$A$1:$O$86,15,0))</f>
        <v>246.3</v>
      </c>
      <c r="Y24" s="6">
        <f ca="1">('TUSD BE'!$AM$7+'TUSD BF_350'!$AM$7+'TUSD CVA'!$AM$7)*1</f>
        <v>15.19295792072058</v>
      </c>
      <c r="Z24" s="6">
        <f ca="1">('TUSD BE'!$AM$8+'TUSD BF_350'!$AM$8+'TUSD CVA'!$AM$8)*1</f>
        <v>100.23755694003805</v>
      </c>
      <c r="AA24" s="6">
        <f ca="1">('TE BE'!$AB$6+'TE BF_350'!$AB$6+'TE CVA'!$AB$6)*1</f>
        <v>219.40364509824883</v>
      </c>
      <c r="AB24" s="6">
        <f>$K$24*$V$24</f>
        <v>1693.12</v>
      </c>
      <c r="AC24" s="6">
        <f>$M$24*$W$24</f>
        <v>618.89688000000001</v>
      </c>
      <c r="AD24" s="6">
        <f>$O$24*$X$24</f>
        <v>1937.3958</v>
      </c>
      <c r="AE24" s="6">
        <f ca="1">$K$24*$Y$24</f>
        <v>1336.9802970234111</v>
      </c>
      <c r="AF24" s="6">
        <f ca="1">$M$24*$Z$24</f>
        <v>788.46862289033925</v>
      </c>
      <c r="AG24" s="6">
        <f ca="1">$O$24*$AA$24</f>
        <v>1725.8290723428252</v>
      </c>
    </row>
    <row r="25" spans="1:33" ht="11.25" customHeight="1" x14ac:dyDescent="0.25">
      <c r="A25" s="4" t="s">
        <v>56</v>
      </c>
      <c r="B25" s="4" t="s">
        <v>38</v>
      </c>
      <c r="C25" s="4" t="s">
        <v>39</v>
      </c>
      <c r="D25" s="4" t="s">
        <v>41</v>
      </c>
      <c r="E25" s="4" t="s">
        <v>25</v>
      </c>
      <c r="F25" s="4" t="s">
        <v>25</v>
      </c>
      <c r="G25" s="4" t="s">
        <v>25</v>
      </c>
      <c r="H25" s="4" t="s">
        <v>34</v>
      </c>
      <c r="I25" s="5">
        <v>44713</v>
      </c>
      <c r="J25" s="6">
        <v>88</v>
      </c>
      <c r="K25" s="6">
        <v>88</v>
      </c>
      <c r="L25" s="6">
        <v>7.8659999999999997</v>
      </c>
      <c r="M25" s="6">
        <v>7.8659999999999997</v>
      </c>
      <c r="N25" s="6">
        <v>7.8659999999999997</v>
      </c>
      <c r="O25" s="6">
        <v>7.8659999999999997</v>
      </c>
      <c r="P25" s="6">
        <v>0</v>
      </c>
      <c r="Q25" s="4" t="s">
        <v>26</v>
      </c>
      <c r="R25" s="4">
        <v>0</v>
      </c>
      <c r="S25" s="6">
        <v>22</v>
      </c>
      <c r="T25" s="6">
        <v>7</v>
      </c>
      <c r="U25" s="6">
        <v>42</v>
      </c>
      <c r="V25" s="6">
        <f>IF(ISERROR(VLOOKUP($S$25,'TAR FIN'!$A$1:$O$86,15,0)),0,VLOOKUP($S$25,'TAR FIN'!$A$1:$O$86,15,0))</f>
        <v>19.239999999999998</v>
      </c>
      <c r="W25" s="6">
        <f>IF(ISERROR(VLOOKUP($T$25,'TAR FIN'!$A$1:$O$86,15,0)),0,VLOOKUP($T$25,'TAR FIN'!$A$1:$O$86,15,0))</f>
        <v>78.680000000000007</v>
      </c>
      <c r="X25" s="6">
        <f>IF(ISERROR(VLOOKUP($U$25,'TAR FIN'!$A$1:$O$86,15,0)),0,VLOOKUP($U$25,'TAR FIN'!$A$1:$O$86,15,0))</f>
        <v>246.3</v>
      </c>
      <c r="Y25" s="6">
        <f ca="1">('TUSD BE'!$AM$7+'TUSD BF_350'!$AM$7+'TUSD CVA'!$AM$7)*1</f>
        <v>15.19295792072058</v>
      </c>
      <c r="Z25" s="6">
        <f ca="1">('TUSD BE'!$AM$8+'TUSD BF_350'!$AM$8+'TUSD CVA'!$AM$8)*1</f>
        <v>100.23755694003805</v>
      </c>
      <c r="AA25" s="6">
        <f ca="1">('TE BE'!$AB$6+'TE BF_350'!$AB$6+'TE CVA'!$AB$6)*1</f>
        <v>219.40364509824883</v>
      </c>
      <c r="AB25" s="6">
        <f>$K$25*$V$25</f>
        <v>1693.12</v>
      </c>
      <c r="AC25" s="6">
        <f>$M$25*$W$25</f>
        <v>618.89688000000001</v>
      </c>
      <c r="AD25" s="6">
        <f>$O$25*$X$25</f>
        <v>1937.3958</v>
      </c>
      <c r="AE25" s="6">
        <f ca="1">$K$25*$Y$25</f>
        <v>1336.9802970234111</v>
      </c>
      <c r="AF25" s="6">
        <f ca="1">$M$25*$Z$25</f>
        <v>788.46862289033925</v>
      </c>
      <c r="AG25" s="6">
        <f ca="1">$O$25*$AA$25</f>
        <v>1725.8290723428252</v>
      </c>
    </row>
    <row r="26" spans="1:33" ht="11.25" customHeight="1" x14ac:dyDescent="0.25">
      <c r="A26" s="4" t="s">
        <v>21</v>
      </c>
      <c r="B26" s="4" t="s">
        <v>38</v>
      </c>
      <c r="C26" s="4" t="s">
        <v>39</v>
      </c>
      <c r="D26" s="4" t="s">
        <v>41</v>
      </c>
      <c r="E26" s="4" t="s">
        <v>25</v>
      </c>
      <c r="F26" s="4" t="s">
        <v>25</v>
      </c>
      <c r="G26" s="4" t="s">
        <v>25</v>
      </c>
      <c r="H26" s="4" t="s">
        <v>33</v>
      </c>
      <c r="I26" s="5">
        <v>44378</v>
      </c>
      <c r="J26" s="6">
        <v>53</v>
      </c>
      <c r="K26" s="6">
        <v>53</v>
      </c>
      <c r="L26" s="6">
        <v>0.41399999999999998</v>
      </c>
      <c r="M26" s="6">
        <v>0.41399999999999998</v>
      </c>
      <c r="N26" s="6">
        <v>0.41399999999999998</v>
      </c>
      <c r="O26" s="6">
        <v>0.41399999999999998</v>
      </c>
      <c r="P26" s="6">
        <v>0</v>
      </c>
      <c r="Q26" s="4" t="s">
        <v>26</v>
      </c>
      <c r="R26" s="4">
        <v>0</v>
      </c>
      <c r="S26" s="6">
        <v>3</v>
      </c>
      <c r="T26" s="6">
        <v>7</v>
      </c>
      <c r="U26" s="6">
        <v>47</v>
      </c>
      <c r="V26" s="6">
        <f>IF(ISERROR(VLOOKUP($S$26,'TAR FIN'!$A$1:$O$86,15,0)),0,VLOOKUP($S$26,'TAR FIN'!$A$1:$O$86,15,0))</f>
        <v>51.41</v>
      </c>
      <c r="W26" s="6">
        <f>IF(ISERROR(VLOOKUP($T$26,'TAR FIN'!$A$1:$O$86,15,0)),0,VLOOKUP($T$26,'TAR FIN'!$A$1:$O$86,15,0))</f>
        <v>78.680000000000007</v>
      </c>
      <c r="X26" s="6">
        <f>IF(ISERROR(VLOOKUP($U$26,'TAR FIN'!$A$1:$O$86,15,0)),0,VLOOKUP($U$26,'TAR FIN'!$A$1:$O$86,15,0))</f>
        <v>389.21</v>
      </c>
      <c r="Y26" s="6">
        <f ca="1">('TUSD BE'!$AM$6+'TUSD BF_350'!$AM$6+'TUSD CVA'!$AM$6)*1</f>
        <v>40.182791243128264</v>
      </c>
      <c r="Z26" s="6">
        <f ca="1">('TUSD BE'!$AM$8+'TUSD BF_350'!$AM$8+'TUSD CVA'!$AM$8)*1</f>
        <v>100.23755694003805</v>
      </c>
      <c r="AA26" s="6">
        <f ca="1">('TE BE'!$AB$5+'TE BF_350'!$AB$5+'TE CVA'!$AB$5)*1</f>
        <v>353.55100010229148</v>
      </c>
      <c r="AB26" s="6">
        <f>$K$26*$V$26</f>
        <v>2724.73</v>
      </c>
      <c r="AC26" s="6">
        <f>$M$26*$W$26</f>
        <v>32.573520000000002</v>
      </c>
      <c r="AD26" s="6">
        <f>$O$26*$X$26</f>
        <v>161.13293999999999</v>
      </c>
      <c r="AE26" s="6">
        <f ca="1">$K$26*$Y$26</f>
        <v>2129.6879358857982</v>
      </c>
      <c r="AF26" s="6">
        <f ca="1">$M$26*$Z$26</f>
        <v>41.498348573175747</v>
      </c>
      <c r="AG26" s="6">
        <f ca="1">$O$26*$AA$26</f>
        <v>146.37011404234866</v>
      </c>
    </row>
    <row r="27" spans="1:33" ht="11.25" customHeight="1" x14ac:dyDescent="0.25">
      <c r="A27" s="4" t="s">
        <v>21</v>
      </c>
      <c r="B27" s="4" t="s">
        <v>38</v>
      </c>
      <c r="C27" s="4" t="s">
        <v>39</v>
      </c>
      <c r="D27" s="4" t="s">
        <v>41</v>
      </c>
      <c r="E27" s="4" t="s">
        <v>25</v>
      </c>
      <c r="F27" s="4" t="s">
        <v>25</v>
      </c>
      <c r="G27" s="4" t="s">
        <v>25</v>
      </c>
      <c r="H27" s="4" t="s">
        <v>33</v>
      </c>
      <c r="I27" s="5">
        <v>44409</v>
      </c>
      <c r="J27" s="6">
        <v>53</v>
      </c>
      <c r="K27" s="6">
        <v>53</v>
      </c>
      <c r="L27" s="6">
        <v>0.42099999999999999</v>
      </c>
      <c r="M27" s="6">
        <v>0.42099999999999999</v>
      </c>
      <c r="N27" s="6">
        <v>0.42099999999999999</v>
      </c>
      <c r="O27" s="6">
        <v>0.42099999999999999</v>
      </c>
      <c r="P27" s="6">
        <v>0</v>
      </c>
      <c r="Q27" s="4" t="s">
        <v>26</v>
      </c>
      <c r="R27" s="4">
        <v>0</v>
      </c>
      <c r="S27" s="6">
        <v>3</v>
      </c>
      <c r="T27" s="6">
        <v>7</v>
      </c>
      <c r="U27" s="6">
        <v>47</v>
      </c>
      <c r="V27" s="6">
        <f>IF(ISERROR(VLOOKUP($S$27,'TAR FIN'!$A$1:$O$86,15,0)),0,VLOOKUP($S$27,'TAR FIN'!$A$1:$O$86,15,0))</f>
        <v>51.41</v>
      </c>
      <c r="W27" s="6">
        <f>IF(ISERROR(VLOOKUP($T$27,'TAR FIN'!$A$1:$O$86,15,0)),0,VLOOKUP($T$27,'TAR FIN'!$A$1:$O$86,15,0))</f>
        <v>78.680000000000007</v>
      </c>
      <c r="X27" s="6">
        <f>IF(ISERROR(VLOOKUP($U$27,'TAR FIN'!$A$1:$O$86,15,0)),0,VLOOKUP($U$27,'TAR FIN'!$A$1:$O$86,15,0))</f>
        <v>389.21</v>
      </c>
      <c r="Y27" s="6">
        <f ca="1">('TUSD BE'!$AM$6+'TUSD BF_350'!$AM$6+'TUSD CVA'!$AM$6)*1</f>
        <v>40.182791243128264</v>
      </c>
      <c r="Z27" s="6">
        <f ca="1">('TUSD BE'!$AM$8+'TUSD BF_350'!$AM$8+'TUSD CVA'!$AM$8)*1</f>
        <v>100.23755694003805</v>
      </c>
      <c r="AA27" s="6">
        <f ca="1">('TE BE'!$AB$5+'TE BF_350'!$AB$5+'TE CVA'!$AB$5)*1</f>
        <v>353.55100010229148</v>
      </c>
      <c r="AB27" s="6">
        <f>$K$27*$V$27</f>
        <v>2724.73</v>
      </c>
      <c r="AC27" s="6">
        <f>$M$27*$W$27</f>
        <v>33.124279999999999</v>
      </c>
      <c r="AD27" s="6">
        <f>$O$27*$X$27</f>
        <v>163.85740999999999</v>
      </c>
      <c r="AE27" s="6">
        <f ca="1">$K$27*$Y$27</f>
        <v>2129.6879358857982</v>
      </c>
      <c r="AF27" s="6">
        <f ca="1">$M$27*$Z$27</f>
        <v>42.200011471756014</v>
      </c>
      <c r="AG27" s="6">
        <f ca="1">$O$27*$AA$27</f>
        <v>148.8449710430647</v>
      </c>
    </row>
    <row r="28" spans="1:33" ht="11.25" customHeight="1" x14ac:dyDescent="0.25">
      <c r="A28" s="4" t="s">
        <v>21</v>
      </c>
      <c r="B28" s="4" t="s">
        <v>38</v>
      </c>
      <c r="C28" s="4" t="s">
        <v>39</v>
      </c>
      <c r="D28" s="4" t="s">
        <v>41</v>
      </c>
      <c r="E28" s="4" t="s">
        <v>25</v>
      </c>
      <c r="F28" s="4" t="s">
        <v>25</v>
      </c>
      <c r="G28" s="4" t="s">
        <v>25</v>
      </c>
      <c r="H28" s="4" t="s">
        <v>33</v>
      </c>
      <c r="I28" s="5">
        <v>44440</v>
      </c>
      <c r="J28" s="6">
        <v>53</v>
      </c>
      <c r="K28" s="6">
        <v>53</v>
      </c>
      <c r="L28" s="6">
        <v>0.41399999999999998</v>
      </c>
      <c r="M28" s="6">
        <v>0.41399999999999998</v>
      </c>
      <c r="N28" s="6">
        <v>0.41399999999999998</v>
      </c>
      <c r="O28" s="6">
        <v>0.41399999999999998</v>
      </c>
      <c r="P28" s="6">
        <v>0</v>
      </c>
      <c r="Q28" s="4" t="s">
        <v>26</v>
      </c>
      <c r="R28" s="4">
        <v>0</v>
      </c>
      <c r="S28" s="6">
        <v>3</v>
      </c>
      <c r="T28" s="6">
        <v>7</v>
      </c>
      <c r="U28" s="6">
        <v>47</v>
      </c>
      <c r="V28" s="6">
        <f>IF(ISERROR(VLOOKUP($S$28,'TAR FIN'!$A$1:$O$86,15,0)),0,VLOOKUP($S$28,'TAR FIN'!$A$1:$O$86,15,0))</f>
        <v>51.41</v>
      </c>
      <c r="W28" s="6">
        <f>IF(ISERROR(VLOOKUP($T$28,'TAR FIN'!$A$1:$O$86,15,0)),0,VLOOKUP($T$28,'TAR FIN'!$A$1:$O$86,15,0))</f>
        <v>78.680000000000007</v>
      </c>
      <c r="X28" s="6">
        <f>IF(ISERROR(VLOOKUP($U$28,'TAR FIN'!$A$1:$O$86,15,0)),0,VLOOKUP($U$28,'TAR FIN'!$A$1:$O$86,15,0))</f>
        <v>389.21</v>
      </c>
      <c r="Y28" s="6">
        <f ca="1">('TUSD BE'!$AM$6+'TUSD BF_350'!$AM$6+'TUSD CVA'!$AM$6)*1</f>
        <v>40.182791243128264</v>
      </c>
      <c r="Z28" s="6">
        <f ca="1">('TUSD BE'!$AM$8+'TUSD BF_350'!$AM$8+'TUSD CVA'!$AM$8)*1</f>
        <v>100.23755694003805</v>
      </c>
      <c r="AA28" s="6">
        <f ca="1">('TE BE'!$AB$5+'TE BF_350'!$AB$5+'TE CVA'!$AB$5)*1</f>
        <v>353.55100010229148</v>
      </c>
      <c r="AB28" s="6">
        <f>$K$28*$V$28</f>
        <v>2724.73</v>
      </c>
      <c r="AC28" s="6">
        <f>$M$28*$W$28</f>
        <v>32.573520000000002</v>
      </c>
      <c r="AD28" s="6">
        <f>$O$28*$X$28</f>
        <v>161.13293999999999</v>
      </c>
      <c r="AE28" s="6">
        <f ca="1">$K$28*$Y$28</f>
        <v>2129.6879358857982</v>
      </c>
      <c r="AF28" s="6">
        <f ca="1">$M$28*$Z$28</f>
        <v>41.498348573175747</v>
      </c>
      <c r="AG28" s="6">
        <f ca="1">$O$28*$AA$28</f>
        <v>146.37011404234866</v>
      </c>
    </row>
    <row r="29" spans="1:33" ht="11.25" customHeight="1" x14ac:dyDescent="0.25">
      <c r="A29" s="4" t="s">
        <v>21</v>
      </c>
      <c r="B29" s="4" t="s">
        <v>38</v>
      </c>
      <c r="C29" s="4" t="s">
        <v>39</v>
      </c>
      <c r="D29" s="4" t="s">
        <v>41</v>
      </c>
      <c r="E29" s="4" t="s">
        <v>25</v>
      </c>
      <c r="F29" s="4" t="s">
        <v>25</v>
      </c>
      <c r="G29" s="4" t="s">
        <v>25</v>
      </c>
      <c r="H29" s="4" t="s">
        <v>33</v>
      </c>
      <c r="I29" s="5">
        <v>44470</v>
      </c>
      <c r="J29" s="6">
        <v>53</v>
      </c>
      <c r="K29" s="6">
        <v>53</v>
      </c>
      <c r="L29" s="6">
        <v>0.39</v>
      </c>
      <c r="M29" s="6">
        <v>0.39</v>
      </c>
      <c r="N29" s="6">
        <v>0.39</v>
      </c>
      <c r="O29" s="6">
        <v>0.39</v>
      </c>
      <c r="P29" s="6">
        <v>0</v>
      </c>
      <c r="Q29" s="4" t="s">
        <v>26</v>
      </c>
      <c r="R29" s="4">
        <v>0</v>
      </c>
      <c r="S29" s="6">
        <v>3</v>
      </c>
      <c r="T29" s="6">
        <v>7</v>
      </c>
      <c r="U29" s="6">
        <v>47</v>
      </c>
      <c r="V29" s="6">
        <f>IF(ISERROR(VLOOKUP($S$29,'TAR FIN'!$A$1:$O$86,15,0)),0,VLOOKUP($S$29,'TAR FIN'!$A$1:$O$86,15,0))</f>
        <v>51.41</v>
      </c>
      <c r="W29" s="6">
        <f>IF(ISERROR(VLOOKUP($T$29,'TAR FIN'!$A$1:$O$86,15,0)),0,VLOOKUP($T$29,'TAR FIN'!$A$1:$O$86,15,0))</f>
        <v>78.680000000000007</v>
      </c>
      <c r="X29" s="6">
        <f>IF(ISERROR(VLOOKUP($U$29,'TAR FIN'!$A$1:$O$86,15,0)),0,VLOOKUP($U$29,'TAR FIN'!$A$1:$O$86,15,0))</f>
        <v>389.21</v>
      </c>
      <c r="Y29" s="6">
        <f ca="1">('TUSD BE'!$AM$6+'TUSD BF_350'!$AM$6+'TUSD CVA'!$AM$6)*1</f>
        <v>40.182791243128264</v>
      </c>
      <c r="Z29" s="6">
        <f ca="1">('TUSD BE'!$AM$8+'TUSD BF_350'!$AM$8+'TUSD CVA'!$AM$8)*1</f>
        <v>100.23755694003805</v>
      </c>
      <c r="AA29" s="6">
        <f ca="1">('TE BE'!$AB$5+'TE BF_350'!$AB$5+'TE CVA'!$AB$5)*1</f>
        <v>353.55100010229148</v>
      </c>
      <c r="AB29" s="6">
        <f>$K$29*$V$29</f>
        <v>2724.73</v>
      </c>
      <c r="AC29" s="6">
        <f>$M$29*$W$29</f>
        <v>30.685200000000005</v>
      </c>
      <c r="AD29" s="6">
        <f>$O$29*$X$29</f>
        <v>151.7919</v>
      </c>
      <c r="AE29" s="6">
        <f ca="1">$K$29*$Y$29</f>
        <v>2129.6879358857982</v>
      </c>
      <c r="AF29" s="6">
        <f ca="1">$M$29*$Z$29</f>
        <v>39.092647206614842</v>
      </c>
      <c r="AG29" s="6">
        <f ca="1">$O$29*$AA$29</f>
        <v>137.88489003989369</v>
      </c>
    </row>
    <row r="30" spans="1:33" ht="11.25" customHeight="1" x14ac:dyDescent="0.25">
      <c r="A30" s="4" t="s">
        <v>21</v>
      </c>
      <c r="B30" s="4" t="s">
        <v>38</v>
      </c>
      <c r="C30" s="4" t="s">
        <v>39</v>
      </c>
      <c r="D30" s="4" t="s">
        <v>41</v>
      </c>
      <c r="E30" s="4" t="s">
        <v>25</v>
      </c>
      <c r="F30" s="4" t="s">
        <v>25</v>
      </c>
      <c r="G30" s="4" t="s">
        <v>25</v>
      </c>
      <c r="H30" s="4" t="s">
        <v>33</v>
      </c>
      <c r="I30" s="5">
        <v>44501</v>
      </c>
      <c r="J30" s="6">
        <v>53</v>
      </c>
      <c r="K30" s="6">
        <v>53</v>
      </c>
      <c r="L30" s="6">
        <v>0.39500000000000002</v>
      </c>
      <c r="M30" s="6">
        <v>0.39500000000000002</v>
      </c>
      <c r="N30" s="6">
        <v>0.39500000000000002</v>
      </c>
      <c r="O30" s="6">
        <v>0.39500000000000002</v>
      </c>
      <c r="P30" s="6">
        <v>0</v>
      </c>
      <c r="Q30" s="4" t="s">
        <v>26</v>
      </c>
      <c r="R30" s="4">
        <v>0</v>
      </c>
      <c r="S30" s="6">
        <v>3</v>
      </c>
      <c r="T30" s="6">
        <v>7</v>
      </c>
      <c r="U30" s="6">
        <v>47</v>
      </c>
      <c r="V30" s="6">
        <f>IF(ISERROR(VLOOKUP($S$30,'TAR FIN'!$A$1:$O$86,15,0)),0,VLOOKUP($S$30,'TAR FIN'!$A$1:$O$86,15,0))</f>
        <v>51.41</v>
      </c>
      <c r="W30" s="6">
        <f>IF(ISERROR(VLOOKUP($T$30,'TAR FIN'!$A$1:$O$86,15,0)),0,VLOOKUP($T$30,'TAR FIN'!$A$1:$O$86,15,0))</f>
        <v>78.680000000000007</v>
      </c>
      <c r="X30" s="6">
        <f>IF(ISERROR(VLOOKUP($U$30,'TAR FIN'!$A$1:$O$86,15,0)),0,VLOOKUP($U$30,'TAR FIN'!$A$1:$O$86,15,0))</f>
        <v>389.21</v>
      </c>
      <c r="Y30" s="6">
        <f ca="1">('TUSD BE'!$AM$6+'TUSD BF_350'!$AM$6+'TUSD CVA'!$AM$6)*1</f>
        <v>40.182791243128264</v>
      </c>
      <c r="Z30" s="6">
        <f ca="1">('TUSD BE'!$AM$8+'TUSD BF_350'!$AM$8+'TUSD CVA'!$AM$8)*1</f>
        <v>100.23755694003805</v>
      </c>
      <c r="AA30" s="6">
        <f ca="1">('TE BE'!$AB$5+'TE BF_350'!$AB$5+'TE CVA'!$AB$5)*1</f>
        <v>353.55100010229148</v>
      </c>
      <c r="AB30" s="6">
        <f>$K$30*$V$30</f>
        <v>2724.73</v>
      </c>
      <c r="AC30" s="6">
        <f>$M$30*$W$30</f>
        <v>31.078600000000005</v>
      </c>
      <c r="AD30" s="6">
        <f>$O$30*$X$30</f>
        <v>153.73795000000001</v>
      </c>
      <c r="AE30" s="6">
        <f ca="1">$K$30*$Y$30</f>
        <v>2129.6879358857982</v>
      </c>
      <c r="AF30" s="6">
        <f ca="1">$M$30*$Z$30</f>
        <v>39.593834991315028</v>
      </c>
      <c r="AG30" s="6">
        <f ca="1">$O$30*$AA$30</f>
        <v>139.65264504040513</v>
      </c>
    </row>
    <row r="31" spans="1:33" ht="11.25" customHeight="1" x14ac:dyDescent="0.25">
      <c r="A31" s="4" t="s">
        <v>21</v>
      </c>
      <c r="B31" s="4" t="s">
        <v>38</v>
      </c>
      <c r="C31" s="4" t="s">
        <v>39</v>
      </c>
      <c r="D31" s="4" t="s">
        <v>41</v>
      </c>
      <c r="E31" s="4" t="s">
        <v>25</v>
      </c>
      <c r="F31" s="4" t="s">
        <v>25</v>
      </c>
      <c r="G31" s="4" t="s">
        <v>25</v>
      </c>
      <c r="H31" s="4" t="s">
        <v>33</v>
      </c>
      <c r="I31" s="5">
        <v>44531</v>
      </c>
      <c r="J31" s="6">
        <v>53</v>
      </c>
      <c r="K31" s="6">
        <v>53</v>
      </c>
      <c r="L31" s="6">
        <v>0.47199999999999998</v>
      </c>
      <c r="M31" s="6">
        <v>0.47199999999999998</v>
      </c>
      <c r="N31" s="6">
        <v>0.47199999999999998</v>
      </c>
      <c r="O31" s="6">
        <v>0.47199999999999998</v>
      </c>
      <c r="P31" s="6">
        <v>0</v>
      </c>
      <c r="Q31" s="4" t="s">
        <v>26</v>
      </c>
      <c r="R31" s="4">
        <v>0</v>
      </c>
      <c r="S31" s="6">
        <v>3</v>
      </c>
      <c r="T31" s="6">
        <v>7</v>
      </c>
      <c r="U31" s="6">
        <v>47</v>
      </c>
      <c r="V31" s="6">
        <f>IF(ISERROR(VLOOKUP($S$31,'TAR FIN'!$A$1:$O$86,15,0)),0,VLOOKUP($S$31,'TAR FIN'!$A$1:$O$86,15,0))</f>
        <v>51.41</v>
      </c>
      <c r="W31" s="6">
        <f>IF(ISERROR(VLOOKUP($T$31,'TAR FIN'!$A$1:$O$86,15,0)),0,VLOOKUP($T$31,'TAR FIN'!$A$1:$O$86,15,0))</f>
        <v>78.680000000000007</v>
      </c>
      <c r="X31" s="6">
        <f>IF(ISERROR(VLOOKUP($U$31,'TAR FIN'!$A$1:$O$86,15,0)),0,VLOOKUP($U$31,'TAR FIN'!$A$1:$O$86,15,0))</f>
        <v>389.21</v>
      </c>
      <c r="Y31" s="6">
        <f ca="1">('TUSD BE'!$AM$6+'TUSD BF_350'!$AM$6+'TUSD CVA'!$AM$6)*1</f>
        <v>40.182791243128264</v>
      </c>
      <c r="Z31" s="6">
        <f ca="1">('TUSD BE'!$AM$8+'TUSD BF_350'!$AM$8+'TUSD CVA'!$AM$8)*1</f>
        <v>100.23755694003805</v>
      </c>
      <c r="AA31" s="6">
        <f ca="1">('TE BE'!$AB$5+'TE BF_350'!$AB$5+'TE CVA'!$AB$5)*1</f>
        <v>353.55100010229148</v>
      </c>
      <c r="AB31" s="6">
        <f>$K$31*$V$31</f>
        <v>2724.73</v>
      </c>
      <c r="AC31" s="6">
        <f>$M$31*$W$31</f>
        <v>37.136960000000002</v>
      </c>
      <c r="AD31" s="6">
        <f>$O$31*$X$31</f>
        <v>183.70711999999997</v>
      </c>
      <c r="AE31" s="6">
        <f ca="1">$K$31*$Y$31</f>
        <v>2129.6879358857982</v>
      </c>
      <c r="AF31" s="6">
        <f ca="1">$M$31*$Z$31</f>
        <v>47.312126875697956</v>
      </c>
      <c r="AG31" s="6">
        <f ca="1">$O$31*$AA$31</f>
        <v>166.87607204828157</v>
      </c>
    </row>
    <row r="32" spans="1:33" ht="11.25" customHeight="1" x14ac:dyDescent="0.25">
      <c r="A32" s="4" t="s">
        <v>21</v>
      </c>
      <c r="B32" s="4" t="s">
        <v>38</v>
      </c>
      <c r="C32" s="4" t="s">
        <v>39</v>
      </c>
      <c r="D32" s="4" t="s">
        <v>41</v>
      </c>
      <c r="E32" s="4" t="s">
        <v>25</v>
      </c>
      <c r="F32" s="4" t="s">
        <v>25</v>
      </c>
      <c r="G32" s="4" t="s">
        <v>25</v>
      </c>
      <c r="H32" s="4" t="s">
        <v>33</v>
      </c>
      <c r="I32" s="5">
        <v>44562</v>
      </c>
      <c r="J32" s="6">
        <v>53</v>
      </c>
      <c r="K32" s="6">
        <v>53</v>
      </c>
      <c r="L32" s="6">
        <v>0.38600000000000001</v>
      </c>
      <c r="M32" s="6">
        <v>0.38600000000000001</v>
      </c>
      <c r="N32" s="6">
        <v>0.38600000000000001</v>
      </c>
      <c r="O32" s="6">
        <v>0.38600000000000001</v>
      </c>
      <c r="P32" s="6">
        <v>0</v>
      </c>
      <c r="Q32" s="4" t="s">
        <v>26</v>
      </c>
      <c r="R32" s="4">
        <v>0</v>
      </c>
      <c r="S32" s="6">
        <v>3</v>
      </c>
      <c r="T32" s="6">
        <v>7</v>
      </c>
      <c r="U32" s="6">
        <v>47</v>
      </c>
      <c r="V32" s="6">
        <f>IF(ISERROR(VLOOKUP($S$32,'TAR FIN'!$A$1:$O$86,15,0)),0,VLOOKUP($S$32,'TAR FIN'!$A$1:$O$86,15,0))</f>
        <v>51.41</v>
      </c>
      <c r="W32" s="6">
        <f>IF(ISERROR(VLOOKUP($T$32,'TAR FIN'!$A$1:$O$86,15,0)),0,VLOOKUP($T$32,'TAR FIN'!$A$1:$O$86,15,0))</f>
        <v>78.680000000000007</v>
      </c>
      <c r="X32" s="6">
        <f>IF(ISERROR(VLOOKUP($U$32,'TAR FIN'!$A$1:$O$86,15,0)),0,VLOOKUP($U$32,'TAR FIN'!$A$1:$O$86,15,0))</f>
        <v>389.21</v>
      </c>
      <c r="Y32" s="6">
        <f ca="1">('TUSD BE'!$AM$6+'TUSD BF_350'!$AM$6+'TUSD CVA'!$AM$6)*1</f>
        <v>40.182791243128264</v>
      </c>
      <c r="Z32" s="6">
        <f ca="1">('TUSD BE'!$AM$8+'TUSD BF_350'!$AM$8+'TUSD CVA'!$AM$8)*1</f>
        <v>100.23755694003805</v>
      </c>
      <c r="AA32" s="6">
        <f ca="1">('TE BE'!$AB$5+'TE BF_350'!$AB$5+'TE CVA'!$AB$5)*1</f>
        <v>353.55100010229148</v>
      </c>
      <c r="AB32" s="6">
        <f>$K$32*$V$32</f>
        <v>2724.73</v>
      </c>
      <c r="AC32" s="6">
        <f>$M$32*$W$32</f>
        <v>30.370480000000004</v>
      </c>
      <c r="AD32" s="6">
        <f>$O$32*$X$32</f>
        <v>150.23506</v>
      </c>
      <c r="AE32" s="6">
        <f ca="1">$K$32*$Y$32</f>
        <v>2129.6879358857982</v>
      </c>
      <c r="AF32" s="6">
        <f ca="1">$M$32*$Z$32</f>
        <v>38.691696978854687</v>
      </c>
      <c r="AG32" s="6">
        <f ca="1">$O$32*$AA$32</f>
        <v>136.47068603948452</v>
      </c>
    </row>
    <row r="33" spans="1:33" ht="11.25" customHeight="1" x14ac:dyDescent="0.25">
      <c r="A33" s="4" t="s">
        <v>21</v>
      </c>
      <c r="B33" s="4" t="s">
        <v>38</v>
      </c>
      <c r="C33" s="4" t="s">
        <v>39</v>
      </c>
      <c r="D33" s="4" t="s">
        <v>41</v>
      </c>
      <c r="E33" s="4" t="s">
        <v>25</v>
      </c>
      <c r="F33" s="4" t="s">
        <v>25</v>
      </c>
      <c r="G33" s="4" t="s">
        <v>25</v>
      </c>
      <c r="H33" s="4" t="s">
        <v>33</v>
      </c>
      <c r="I33" s="5">
        <v>44593</v>
      </c>
      <c r="J33" s="6">
        <v>53</v>
      </c>
      <c r="K33" s="6">
        <v>53</v>
      </c>
      <c r="L33" s="6">
        <v>0.39200000000000002</v>
      </c>
      <c r="M33" s="6">
        <v>0.39200000000000002</v>
      </c>
      <c r="N33" s="6">
        <v>0.39200000000000002</v>
      </c>
      <c r="O33" s="6">
        <v>0.39200000000000002</v>
      </c>
      <c r="P33" s="6">
        <v>0</v>
      </c>
      <c r="Q33" s="4" t="s">
        <v>26</v>
      </c>
      <c r="R33" s="4">
        <v>0</v>
      </c>
      <c r="S33" s="6">
        <v>3</v>
      </c>
      <c r="T33" s="6">
        <v>7</v>
      </c>
      <c r="U33" s="6">
        <v>47</v>
      </c>
      <c r="V33" s="6">
        <f>IF(ISERROR(VLOOKUP($S$33,'TAR FIN'!$A$1:$O$86,15,0)),0,VLOOKUP($S$33,'TAR FIN'!$A$1:$O$86,15,0))</f>
        <v>51.41</v>
      </c>
      <c r="W33" s="6">
        <f>IF(ISERROR(VLOOKUP($T$33,'TAR FIN'!$A$1:$O$86,15,0)),0,VLOOKUP($T$33,'TAR FIN'!$A$1:$O$86,15,0))</f>
        <v>78.680000000000007</v>
      </c>
      <c r="X33" s="6">
        <f>IF(ISERROR(VLOOKUP($U$33,'TAR FIN'!$A$1:$O$86,15,0)),0,VLOOKUP($U$33,'TAR FIN'!$A$1:$O$86,15,0))</f>
        <v>389.21</v>
      </c>
      <c r="Y33" s="6">
        <f ca="1">('TUSD BE'!$AM$6+'TUSD BF_350'!$AM$6+'TUSD CVA'!$AM$6)*1</f>
        <v>40.182791243128264</v>
      </c>
      <c r="Z33" s="6">
        <f ca="1">('TUSD BE'!$AM$8+'TUSD BF_350'!$AM$8+'TUSD CVA'!$AM$8)*1</f>
        <v>100.23755694003805</v>
      </c>
      <c r="AA33" s="6">
        <f ca="1">('TE BE'!$AB$5+'TE BF_350'!$AB$5+'TE CVA'!$AB$5)*1</f>
        <v>353.55100010229148</v>
      </c>
      <c r="AB33" s="6">
        <f>$K$33*$V$33</f>
        <v>2724.73</v>
      </c>
      <c r="AC33" s="6">
        <f>$M$33*$W$33</f>
        <v>30.842560000000002</v>
      </c>
      <c r="AD33" s="6">
        <f>$O$33*$X$33</f>
        <v>152.57032000000001</v>
      </c>
      <c r="AE33" s="6">
        <f ca="1">$K$33*$Y$33</f>
        <v>2129.6879358857982</v>
      </c>
      <c r="AF33" s="6">
        <f ca="1">$M$33*$Z$33</f>
        <v>39.293122320494916</v>
      </c>
      <c r="AG33" s="6">
        <f ca="1">$O$33*$AA$33</f>
        <v>138.59199204009826</v>
      </c>
    </row>
    <row r="34" spans="1:33" ht="11.25" customHeight="1" x14ac:dyDescent="0.25">
      <c r="A34" s="4" t="s">
        <v>21</v>
      </c>
      <c r="B34" s="4" t="s">
        <v>38</v>
      </c>
      <c r="C34" s="4" t="s">
        <v>39</v>
      </c>
      <c r="D34" s="4" t="s">
        <v>41</v>
      </c>
      <c r="E34" s="4" t="s">
        <v>25</v>
      </c>
      <c r="F34" s="4" t="s">
        <v>25</v>
      </c>
      <c r="G34" s="4" t="s">
        <v>25</v>
      </c>
      <c r="H34" s="4" t="s">
        <v>33</v>
      </c>
      <c r="I34" s="5">
        <v>44621</v>
      </c>
      <c r="J34" s="6">
        <v>53</v>
      </c>
      <c r="K34" s="6">
        <v>53</v>
      </c>
      <c r="L34" s="6">
        <v>0.40899999999999997</v>
      </c>
      <c r="M34" s="6">
        <v>0.40899999999999997</v>
      </c>
      <c r="N34" s="6">
        <v>0.40899999999999997</v>
      </c>
      <c r="O34" s="6">
        <v>0.40899999999999997</v>
      </c>
      <c r="P34" s="6">
        <v>0</v>
      </c>
      <c r="Q34" s="4" t="s">
        <v>26</v>
      </c>
      <c r="R34" s="4">
        <v>0</v>
      </c>
      <c r="S34" s="6">
        <v>3</v>
      </c>
      <c r="T34" s="6">
        <v>7</v>
      </c>
      <c r="U34" s="6">
        <v>47</v>
      </c>
      <c r="V34" s="6">
        <f>IF(ISERROR(VLOOKUP($S$34,'TAR FIN'!$A$1:$O$86,15,0)),0,VLOOKUP($S$34,'TAR FIN'!$A$1:$O$86,15,0))</f>
        <v>51.41</v>
      </c>
      <c r="W34" s="6">
        <f>IF(ISERROR(VLOOKUP($T$34,'TAR FIN'!$A$1:$O$86,15,0)),0,VLOOKUP($T$34,'TAR FIN'!$A$1:$O$86,15,0))</f>
        <v>78.680000000000007</v>
      </c>
      <c r="X34" s="6">
        <f>IF(ISERROR(VLOOKUP($U$34,'TAR FIN'!$A$1:$O$86,15,0)),0,VLOOKUP($U$34,'TAR FIN'!$A$1:$O$86,15,0))</f>
        <v>389.21</v>
      </c>
      <c r="Y34" s="6">
        <f ca="1">('TUSD BE'!$AM$6+'TUSD BF_350'!$AM$6+'TUSD CVA'!$AM$6)*1</f>
        <v>40.182791243128264</v>
      </c>
      <c r="Z34" s="6">
        <f ca="1">('TUSD BE'!$AM$8+'TUSD BF_350'!$AM$8+'TUSD CVA'!$AM$8)*1</f>
        <v>100.23755694003805</v>
      </c>
      <c r="AA34" s="6">
        <f ca="1">('TE BE'!$AB$5+'TE BF_350'!$AB$5+'TE CVA'!$AB$5)*1</f>
        <v>353.55100010229148</v>
      </c>
      <c r="AB34" s="6">
        <f>$K$34*$V$34</f>
        <v>2724.73</v>
      </c>
      <c r="AC34" s="6">
        <f>$M$34*$W$34</f>
        <v>32.180120000000002</v>
      </c>
      <c r="AD34" s="6">
        <f>$O$34*$X$34</f>
        <v>159.18688999999998</v>
      </c>
      <c r="AE34" s="6">
        <f ca="1">$K$34*$Y$34</f>
        <v>2129.6879358857982</v>
      </c>
      <c r="AF34" s="6">
        <f ca="1">$M$34*$Z$34</f>
        <v>40.997160788475561</v>
      </c>
      <c r="AG34" s="6">
        <f ca="1">$O$34*$AA$34</f>
        <v>144.60235904183722</v>
      </c>
    </row>
    <row r="35" spans="1:33" ht="11.25" customHeight="1" x14ac:dyDescent="0.25">
      <c r="A35" s="4" t="s">
        <v>21</v>
      </c>
      <c r="B35" s="4" t="s">
        <v>38</v>
      </c>
      <c r="C35" s="4" t="s">
        <v>39</v>
      </c>
      <c r="D35" s="4" t="s">
        <v>41</v>
      </c>
      <c r="E35" s="4" t="s">
        <v>25</v>
      </c>
      <c r="F35" s="4" t="s">
        <v>25</v>
      </c>
      <c r="G35" s="4" t="s">
        <v>25</v>
      </c>
      <c r="H35" s="4" t="s">
        <v>33</v>
      </c>
      <c r="I35" s="5">
        <v>44652</v>
      </c>
      <c r="J35" s="6">
        <v>53</v>
      </c>
      <c r="K35" s="6">
        <v>53</v>
      </c>
      <c r="L35" s="6">
        <v>0.35899999999999999</v>
      </c>
      <c r="M35" s="6">
        <v>0.35899999999999999</v>
      </c>
      <c r="N35" s="6">
        <v>0.35899999999999999</v>
      </c>
      <c r="O35" s="6">
        <v>0.35899999999999999</v>
      </c>
      <c r="P35" s="6">
        <v>0</v>
      </c>
      <c r="Q35" s="4" t="s">
        <v>26</v>
      </c>
      <c r="R35" s="4">
        <v>0</v>
      </c>
      <c r="S35" s="6">
        <v>3</v>
      </c>
      <c r="T35" s="6">
        <v>7</v>
      </c>
      <c r="U35" s="6">
        <v>47</v>
      </c>
      <c r="V35" s="6">
        <f>IF(ISERROR(VLOOKUP($S$35,'TAR FIN'!$A$1:$O$86,15,0)),0,VLOOKUP($S$35,'TAR FIN'!$A$1:$O$86,15,0))</f>
        <v>51.41</v>
      </c>
      <c r="W35" s="6">
        <f>IF(ISERROR(VLOOKUP($T$35,'TAR FIN'!$A$1:$O$86,15,0)),0,VLOOKUP($T$35,'TAR FIN'!$A$1:$O$86,15,0))</f>
        <v>78.680000000000007</v>
      </c>
      <c r="X35" s="6">
        <f>IF(ISERROR(VLOOKUP($U$35,'TAR FIN'!$A$1:$O$86,15,0)),0,VLOOKUP($U$35,'TAR FIN'!$A$1:$O$86,15,0))</f>
        <v>389.21</v>
      </c>
      <c r="Y35" s="6">
        <f ca="1">('TUSD BE'!$AM$6+'TUSD BF_350'!$AM$6+'TUSD CVA'!$AM$6)*1</f>
        <v>40.182791243128264</v>
      </c>
      <c r="Z35" s="6">
        <f ca="1">('TUSD BE'!$AM$8+'TUSD BF_350'!$AM$8+'TUSD CVA'!$AM$8)*1</f>
        <v>100.23755694003805</v>
      </c>
      <c r="AA35" s="6">
        <f ca="1">('TE BE'!$AB$5+'TE BF_350'!$AB$5+'TE CVA'!$AB$5)*1</f>
        <v>353.55100010229148</v>
      </c>
      <c r="AB35" s="6">
        <f>$K$35*$V$35</f>
        <v>2724.73</v>
      </c>
      <c r="AC35" s="6">
        <f>$M$35*$W$35</f>
        <v>28.246120000000001</v>
      </c>
      <c r="AD35" s="6">
        <f>$O$35*$X$35</f>
        <v>139.72638999999998</v>
      </c>
      <c r="AE35" s="6">
        <f ca="1">$K$35*$Y$35</f>
        <v>2129.6879358857982</v>
      </c>
      <c r="AF35" s="6">
        <f ca="1">$M$35*$Z$35</f>
        <v>35.985282941473656</v>
      </c>
      <c r="AG35" s="6">
        <f ca="1">$O$35*$AA$35</f>
        <v>126.92480903672264</v>
      </c>
    </row>
    <row r="36" spans="1:33" ht="11.25" customHeight="1" x14ac:dyDescent="0.25">
      <c r="A36" s="4" t="s">
        <v>21</v>
      </c>
      <c r="B36" s="4" t="s">
        <v>38</v>
      </c>
      <c r="C36" s="4" t="s">
        <v>39</v>
      </c>
      <c r="D36" s="4" t="s">
        <v>41</v>
      </c>
      <c r="E36" s="4" t="s">
        <v>25</v>
      </c>
      <c r="F36" s="4" t="s">
        <v>25</v>
      </c>
      <c r="G36" s="4" t="s">
        <v>25</v>
      </c>
      <c r="H36" s="4" t="s">
        <v>33</v>
      </c>
      <c r="I36" s="5">
        <v>44682</v>
      </c>
      <c r="J36" s="6">
        <v>53</v>
      </c>
      <c r="K36" s="6">
        <v>53</v>
      </c>
      <c r="L36" s="6">
        <v>0.38600000000000001</v>
      </c>
      <c r="M36" s="6">
        <v>0.38600000000000001</v>
      </c>
      <c r="N36" s="6">
        <v>0.38600000000000001</v>
      </c>
      <c r="O36" s="6">
        <v>0.38600000000000001</v>
      </c>
      <c r="P36" s="6">
        <v>0</v>
      </c>
      <c r="Q36" s="4" t="s">
        <v>26</v>
      </c>
      <c r="R36" s="4">
        <v>0</v>
      </c>
      <c r="S36" s="6">
        <v>3</v>
      </c>
      <c r="T36" s="6">
        <v>7</v>
      </c>
      <c r="U36" s="6">
        <v>47</v>
      </c>
      <c r="V36" s="6">
        <f>IF(ISERROR(VLOOKUP($S$36,'TAR FIN'!$A$1:$O$86,15,0)),0,VLOOKUP($S$36,'TAR FIN'!$A$1:$O$86,15,0))</f>
        <v>51.41</v>
      </c>
      <c r="W36" s="6">
        <f>IF(ISERROR(VLOOKUP($T$36,'TAR FIN'!$A$1:$O$86,15,0)),0,VLOOKUP($T$36,'TAR FIN'!$A$1:$O$86,15,0))</f>
        <v>78.680000000000007</v>
      </c>
      <c r="X36" s="6">
        <f>IF(ISERROR(VLOOKUP($U$36,'TAR FIN'!$A$1:$O$86,15,0)),0,VLOOKUP($U$36,'TAR FIN'!$A$1:$O$86,15,0))</f>
        <v>389.21</v>
      </c>
      <c r="Y36" s="6">
        <f ca="1">('TUSD BE'!$AM$6+'TUSD BF_350'!$AM$6+'TUSD CVA'!$AM$6)*1</f>
        <v>40.182791243128264</v>
      </c>
      <c r="Z36" s="6">
        <f ca="1">('TUSD BE'!$AM$8+'TUSD BF_350'!$AM$8+'TUSD CVA'!$AM$8)*1</f>
        <v>100.23755694003805</v>
      </c>
      <c r="AA36" s="6">
        <f ca="1">('TE BE'!$AB$5+'TE BF_350'!$AB$5+'TE CVA'!$AB$5)*1</f>
        <v>353.55100010229148</v>
      </c>
      <c r="AB36" s="6">
        <f>$K$36*$V$36</f>
        <v>2724.73</v>
      </c>
      <c r="AC36" s="6">
        <f>$M$36*$W$36</f>
        <v>30.370480000000004</v>
      </c>
      <c r="AD36" s="6">
        <f>$O$36*$X$36</f>
        <v>150.23506</v>
      </c>
      <c r="AE36" s="6">
        <f ca="1">$K$36*$Y$36</f>
        <v>2129.6879358857982</v>
      </c>
      <c r="AF36" s="6">
        <f ca="1">$M$36*$Z$36</f>
        <v>38.691696978854687</v>
      </c>
      <c r="AG36" s="6">
        <f ca="1">$O$36*$AA$36</f>
        <v>136.47068603948452</v>
      </c>
    </row>
    <row r="37" spans="1:33" ht="11.25" customHeight="1" x14ac:dyDescent="0.25">
      <c r="A37" s="4" t="s">
        <v>56</v>
      </c>
      <c r="B37" s="4" t="s">
        <v>38</v>
      </c>
      <c r="C37" s="4" t="s">
        <v>39</v>
      </c>
      <c r="D37" s="4" t="s">
        <v>41</v>
      </c>
      <c r="E37" s="4" t="s">
        <v>25</v>
      </c>
      <c r="F37" s="4" t="s">
        <v>25</v>
      </c>
      <c r="G37" s="4" t="s">
        <v>25</v>
      </c>
      <c r="H37" s="4" t="s">
        <v>33</v>
      </c>
      <c r="I37" s="5">
        <v>44713</v>
      </c>
      <c r="J37" s="6">
        <v>53</v>
      </c>
      <c r="K37" s="6">
        <v>53</v>
      </c>
      <c r="L37" s="6">
        <v>0.38600000000000001</v>
      </c>
      <c r="M37" s="6">
        <v>0.38600000000000001</v>
      </c>
      <c r="N37" s="6">
        <v>0.38600000000000001</v>
      </c>
      <c r="O37" s="6">
        <v>0.38600000000000001</v>
      </c>
      <c r="P37" s="6">
        <v>0</v>
      </c>
      <c r="Q37" s="4" t="s">
        <v>26</v>
      </c>
      <c r="R37" s="4">
        <v>0</v>
      </c>
      <c r="S37" s="6">
        <v>3</v>
      </c>
      <c r="T37" s="6">
        <v>7</v>
      </c>
      <c r="U37" s="6">
        <v>47</v>
      </c>
      <c r="V37" s="6">
        <f>IF(ISERROR(VLOOKUP($S$37,'TAR FIN'!$A$1:$O$86,15,0)),0,VLOOKUP($S$37,'TAR FIN'!$A$1:$O$86,15,0))</f>
        <v>51.41</v>
      </c>
      <c r="W37" s="6">
        <f>IF(ISERROR(VLOOKUP($T$37,'TAR FIN'!$A$1:$O$86,15,0)),0,VLOOKUP($T$37,'TAR FIN'!$A$1:$O$86,15,0))</f>
        <v>78.680000000000007</v>
      </c>
      <c r="X37" s="6">
        <f>IF(ISERROR(VLOOKUP($U$37,'TAR FIN'!$A$1:$O$86,15,0)),0,VLOOKUP($U$37,'TAR FIN'!$A$1:$O$86,15,0))</f>
        <v>389.21</v>
      </c>
      <c r="Y37" s="6">
        <f ca="1">('TUSD BE'!$AM$6+'TUSD BF_350'!$AM$6+'TUSD CVA'!$AM$6)*1</f>
        <v>40.182791243128264</v>
      </c>
      <c r="Z37" s="6">
        <f ca="1">('TUSD BE'!$AM$8+'TUSD BF_350'!$AM$8+'TUSD CVA'!$AM$8)*1</f>
        <v>100.23755694003805</v>
      </c>
      <c r="AA37" s="6">
        <f ca="1">('TE BE'!$AB$5+'TE BF_350'!$AB$5+'TE CVA'!$AB$5)*1</f>
        <v>353.55100010229148</v>
      </c>
      <c r="AB37" s="6">
        <f>$K$37*$V$37</f>
        <v>2724.73</v>
      </c>
      <c r="AC37" s="6">
        <f>$M$37*$W$37</f>
        <v>30.370480000000004</v>
      </c>
      <c r="AD37" s="6">
        <f>$O$37*$X$37</f>
        <v>150.23506</v>
      </c>
      <c r="AE37" s="6">
        <f ca="1">$K$37*$Y$37</f>
        <v>2129.6879358857982</v>
      </c>
      <c r="AF37" s="6">
        <f ca="1">$M$37*$Z$37</f>
        <v>38.691696978854687</v>
      </c>
      <c r="AG37" s="6">
        <f ca="1">$O$37*$AA$37</f>
        <v>136.47068603948452</v>
      </c>
    </row>
    <row r="38" spans="1:33" ht="11.25" customHeight="1" x14ac:dyDescent="0.25">
      <c r="A38" s="4" t="s">
        <v>21</v>
      </c>
      <c r="B38" s="4" t="s">
        <v>38</v>
      </c>
      <c r="C38" s="4" t="s">
        <v>39</v>
      </c>
      <c r="D38" s="4" t="s">
        <v>37</v>
      </c>
      <c r="E38" s="4" t="s">
        <v>25</v>
      </c>
      <c r="F38" s="4" t="s">
        <v>57</v>
      </c>
      <c r="G38" s="4" t="s">
        <v>25</v>
      </c>
      <c r="H38" s="4" t="s">
        <v>34</v>
      </c>
      <c r="I38" s="5">
        <v>44378</v>
      </c>
      <c r="J38" s="6">
        <v>5515</v>
      </c>
      <c r="K38" s="6">
        <v>2757.5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58</v>
      </c>
      <c r="R38" s="4">
        <v>0</v>
      </c>
      <c r="S38" s="6">
        <v>22</v>
      </c>
      <c r="T38" s="6">
        <v>0</v>
      </c>
      <c r="U38" s="6">
        <v>0</v>
      </c>
      <c r="V38" s="6">
        <f>IF(ISERROR(VLOOKUP($S$38,'TAR FIN'!$A$1:$O$86,15,0)),0,VLOOKUP($S$38,'TAR FIN'!$A$1:$O$86,15,0))</f>
        <v>19.239999999999998</v>
      </c>
      <c r="W38" s="6">
        <f>IF(ISERROR(VLOOKUP($T$38,'TAR FIN'!$A$1:$O$86,15,0)),0,VLOOKUP($T$38,'TAR FIN'!$A$1:$O$86,15,0))</f>
        <v>0</v>
      </c>
      <c r="X38" s="6">
        <f>IF(ISERROR(VLOOKUP($U$38,'TAR FIN'!$A$1:$O$86,15,0)),0,VLOOKUP($U$38,'TAR FIN'!$A$1:$O$86,15,0))</f>
        <v>0</v>
      </c>
      <c r="Y38" s="6">
        <f ca="1">('TUSD BE'!$AM$7+'TUSD BF_350'!$AM$7+'TUSD CVA'!$AM$7)*1</f>
        <v>15.19295792072058</v>
      </c>
      <c r="Z38" s="6">
        <f ca="1">('TUSD BE'!$AM$8+'TUSD BF_350'!$AM$8+'TUSD CVA'!$AM$8)*1</f>
        <v>100.23755694003805</v>
      </c>
      <c r="AA38" s="6"/>
      <c r="AB38" s="6">
        <f>$K$38*$V$38</f>
        <v>53054.299999999996</v>
      </c>
      <c r="AC38" s="6">
        <f>$M$38*$W$38</f>
        <v>0</v>
      </c>
      <c r="AD38" s="6">
        <f>$O$38*$X$38</f>
        <v>0</v>
      </c>
      <c r="AE38" s="6">
        <f ca="1">$K$38*$Y$38</f>
        <v>41894.581466387004</v>
      </c>
      <c r="AF38" s="6">
        <f ca="1"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38</v>
      </c>
      <c r="C39" s="4" t="s">
        <v>39</v>
      </c>
      <c r="D39" s="4" t="s">
        <v>37</v>
      </c>
      <c r="E39" s="4" t="s">
        <v>25</v>
      </c>
      <c r="F39" s="4" t="s">
        <v>57</v>
      </c>
      <c r="G39" s="4" t="s">
        <v>25</v>
      </c>
      <c r="H39" s="4" t="s">
        <v>34</v>
      </c>
      <c r="I39" s="5">
        <v>44409</v>
      </c>
      <c r="J39" s="6">
        <v>5578</v>
      </c>
      <c r="K39" s="6">
        <v>2789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58</v>
      </c>
      <c r="R39" s="4">
        <v>0</v>
      </c>
      <c r="S39" s="6">
        <v>22</v>
      </c>
      <c r="T39" s="6">
        <v>0</v>
      </c>
      <c r="U39" s="6">
        <v>0</v>
      </c>
      <c r="V39" s="6">
        <f>IF(ISERROR(VLOOKUP($S$39,'TAR FIN'!$A$1:$O$86,15,0)),0,VLOOKUP($S$39,'TAR FIN'!$A$1:$O$86,15,0))</f>
        <v>19.239999999999998</v>
      </c>
      <c r="W39" s="6">
        <f>IF(ISERROR(VLOOKUP($T$39,'TAR FIN'!$A$1:$O$86,15,0)),0,VLOOKUP($T$39,'TAR FIN'!$A$1:$O$86,15,0))</f>
        <v>0</v>
      </c>
      <c r="X39" s="6">
        <f>IF(ISERROR(VLOOKUP($U$39,'TAR FIN'!$A$1:$O$86,15,0)),0,VLOOKUP($U$39,'TAR FIN'!$A$1:$O$86,15,0))</f>
        <v>0</v>
      </c>
      <c r="Y39" s="6">
        <f ca="1">('TUSD BE'!$AM$7+'TUSD BF_350'!$AM$7+'TUSD CVA'!$AM$7)*1</f>
        <v>15.19295792072058</v>
      </c>
      <c r="Z39" s="6">
        <f ca="1">('TUSD BE'!$AM$8+'TUSD BF_350'!$AM$8+'TUSD CVA'!$AM$8)*1</f>
        <v>100.23755694003805</v>
      </c>
      <c r="AA39" s="6"/>
      <c r="AB39" s="6">
        <f>$K$39*$V$39</f>
        <v>53660.359999999993</v>
      </c>
      <c r="AC39" s="6">
        <f>$M$39*$W$39</f>
        <v>0</v>
      </c>
      <c r="AD39" s="6">
        <f>$O$39*$X$39</f>
        <v>0</v>
      </c>
      <c r="AE39" s="6">
        <f ca="1">$K$39*$Y$39</f>
        <v>42373.159640889702</v>
      </c>
      <c r="AF39" s="6">
        <f ca="1">$M$39*$Z$39</f>
        <v>0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38</v>
      </c>
      <c r="C40" s="4" t="s">
        <v>39</v>
      </c>
      <c r="D40" s="4" t="s">
        <v>37</v>
      </c>
      <c r="E40" s="4" t="s">
        <v>25</v>
      </c>
      <c r="F40" s="4" t="s">
        <v>57</v>
      </c>
      <c r="G40" s="4" t="s">
        <v>25</v>
      </c>
      <c r="H40" s="4" t="s">
        <v>34</v>
      </c>
      <c r="I40" s="5">
        <v>44440</v>
      </c>
      <c r="J40" s="6">
        <v>5550</v>
      </c>
      <c r="K40" s="6">
        <v>2775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58</v>
      </c>
      <c r="R40" s="4">
        <v>0</v>
      </c>
      <c r="S40" s="6">
        <v>22</v>
      </c>
      <c r="T40" s="6">
        <v>0</v>
      </c>
      <c r="U40" s="6">
        <v>0</v>
      </c>
      <c r="V40" s="6">
        <f>IF(ISERROR(VLOOKUP($S$40,'TAR FIN'!$A$1:$O$86,15,0)),0,VLOOKUP($S$40,'TAR FIN'!$A$1:$O$86,15,0))</f>
        <v>19.239999999999998</v>
      </c>
      <c r="W40" s="6">
        <f>IF(ISERROR(VLOOKUP($T$40,'TAR FIN'!$A$1:$O$86,15,0)),0,VLOOKUP($T$40,'TAR FIN'!$A$1:$O$86,15,0))</f>
        <v>0</v>
      </c>
      <c r="X40" s="6">
        <f>IF(ISERROR(VLOOKUP($U$40,'TAR FIN'!$A$1:$O$86,15,0)),0,VLOOKUP($U$40,'TAR FIN'!$A$1:$O$86,15,0))</f>
        <v>0</v>
      </c>
      <c r="Y40" s="6">
        <f ca="1">('TUSD BE'!$AM$7+'TUSD BF_350'!$AM$7+'TUSD CVA'!$AM$7)*1</f>
        <v>15.19295792072058</v>
      </c>
      <c r="Z40" s="6">
        <f ca="1">('TUSD BE'!$AM$8+'TUSD BF_350'!$AM$8+'TUSD CVA'!$AM$8)*1</f>
        <v>100.23755694003805</v>
      </c>
      <c r="AA40" s="6"/>
      <c r="AB40" s="6">
        <f>$K$40*$V$40</f>
        <v>53390.999999999993</v>
      </c>
      <c r="AC40" s="6">
        <f>$M$40*$W$40</f>
        <v>0</v>
      </c>
      <c r="AD40" s="6">
        <f>$O$40*$X$40</f>
        <v>0</v>
      </c>
      <c r="AE40" s="6">
        <f ca="1">$K$40*$Y$40</f>
        <v>42160.458229999611</v>
      </c>
      <c r="AF40" s="6">
        <f ca="1">$M$40*$Z$40</f>
        <v>0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38</v>
      </c>
      <c r="C41" s="4" t="s">
        <v>39</v>
      </c>
      <c r="D41" s="4" t="s">
        <v>37</v>
      </c>
      <c r="E41" s="4" t="s">
        <v>25</v>
      </c>
      <c r="F41" s="4" t="s">
        <v>57</v>
      </c>
      <c r="G41" s="4" t="s">
        <v>25</v>
      </c>
      <c r="H41" s="4" t="s">
        <v>34</v>
      </c>
      <c r="I41" s="5">
        <v>44470</v>
      </c>
      <c r="J41" s="6">
        <v>5570</v>
      </c>
      <c r="K41" s="6">
        <v>2785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58</v>
      </c>
      <c r="R41" s="4">
        <v>0</v>
      </c>
      <c r="S41" s="6">
        <v>22</v>
      </c>
      <c r="T41" s="6">
        <v>0</v>
      </c>
      <c r="U41" s="6">
        <v>0</v>
      </c>
      <c r="V41" s="6">
        <f>IF(ISERROR(VLOOKUP($S$41,'TAR FIN'!$A$1:$O$86,15,0)),0,VLOOKUP($S$41,'TAR FIN'!$A$1:$O$86,15,0))</f>
        <v>19.239999999999998</v>
      </c>
      <c r="W41" s="6">
        <f>IF(ISERROR(VLOOKUP($T$41,'TAR FIN'!$A$1:$O$86,15,0)),0,VLOOKUP($T$41,'TAR FIN'!$A$1:$O$86,15,0))</f>
        <v>0</v>
      </c>
      <c r="X41" s="6">
        <f>IF(ISERROR(VLOOKUP($U$41,'TAR FIN'!$A$1:$O$86,15,0)),0,VLOOKUP($U$41,'TAR FIN'!$A$1:$O$86,15,0))</f>
        <v>0</v>
      </c>
      <c r="Y41" s="6">
        <f ca="1">('TUSD BE'!$AM$7+'TUSD BF_350'!$AM$7+'TUSD CVA'!$AM$7)*1</f>
        <v>15.19295792072058</v>
      </c>
      <c r="Z41" s="6">
        <f ca="1">('TUSD BE'!$AM$8+'TUSD BF_350'!$AM$8+'TUSD CVA'!$AM$8)*1</f>
        <v>100.23755694003805</v>
      </c>
      <c r="AA41" s="6"/>
      <c r="AB41" s="6">
        <f>$K$41*$V$41</f>
        <v>53583.399999999994</v>
      </c>
      <c r="AC41" s="6">
        <f>$M$41*$W$41</f>
        <v>0</v>
      </c>
      <c r="AD41" s="6">
        <f>$O$41*$X$41</f>
        <v>0</v>
      </c>
      <c r="AE41" s="6">
        <f ca="1">$K$41*$Y$41</f>
        <v>42312.387809206819</v>
      </c>
      <c r="AF41" s="6">
        <f ca="1">$M$41*$Z$41</f>
        <v>0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38</v>
      </c>
      <c r="C42" s="4" t="s">
        <v>39</v>
      </c>
      <c r="D42" s="4" t="s">
        <v>37</v>
      </c>
      <c r="E42" s="4" t="s">
        <v>25</v>
      </c>
      <c r="F42" s="4" t="s">
        <v>57</v>
      </c>
      <c r="G42" s="4" t="s">
        <v>25</v>
      </c>
      <c r="H42" s="4" t="s">
        <v>34</v>
      </c>
      <c r="I42" s="5">
        <v>44501</v>
      </c>
      <c r="J42" s="6">
        <v>5615</v>
      </c>
      <c r="K42" s="6">
        <v>2807.5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58</v>
      </c>
      <c r="R42" s="4">
        <v>0</v>
      </c>
      <c r="S42" s="6">
        <v>22</v>
      </c>
      <c r="T42" s="6">
        <v>0</v>
      </c>
      <c r="U42" s="6">
        <v>0</v>
      </c>
      <c r="V42" s="6">
        <f>IF(ISERROR(VLOOKUP($S$42,'TAR FIN'!$A$1:$O$86,15,0)),0,VLOOKUP($S$42,'TAR FIN'!$A$1:$O$86,15,0))</f>
        <v>19.239999999999998</v>
      </c>
      <c r="W42" s="6">
        <f>IF(ISERROR(VLOOKUP($T$42,'TAR FIN'!$A$1:$O$86,15,0)),0,VLOOKUP($T$42,'TAR FIN'!$A$1:$O$86,15,0))</f>
        <v>0</v>
      </c>
      <c r="X42" s="6">
        <f>IF(ISERROR(VLOOKUP($U$42,'TAR FIN'!$A$1:$O$86,15,0)),0,VLOOKUP($U$42,'TAR FIN'!$A$1:$O$86,15,0))</f>
        <v>0</v>
      </c>
      <c r="Y42" s="6">
        <f ca="1">('TUSD BE'!$AM$7+'TUSD BF_350'!$AM$7+'TUSD CVA'!$AM$7)*1</f>
        <v>15.19295792072058</v>
      </c>
      <c r="Z42" s="6">
        <f ca="1">('TUSD BE'!$AM$8+'TUSD BF_350'!$AM$8+'TUSD CVA'!$AM$8)*1</f>
        <v>100.23755694003805</v>
      </c>
      <c r="AA42" s="6"/>
      <c r="AB42" s="6">
        <f>$K$42*$V$42</f>
        <v>54016.299999999996</v>
      </c>
      <c r="AC42" s="6">
        <f>$M$42*$W$42</f>
        <v>0</v>
      </c>
      <c r="AD42" s="6">
        <f>$O$42*$X$42</f>
        <v>0</v>
      </c>
      <c r="AE42" s="6">
        <f ca="1">$K$42*$Y$42</f>
        <v>42654.22936242303</v>
      </c>
      <c r="AF42" s="6">
        <f ca="1">$M$42*$Z$42</f>
        <v>0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38</v>
      </c>
      <c r="C43" s="4" t="s">
        <v>39</v>
      </c>
      <c r="D43" s="4" t="s">
        <v>37</v>
      </c>
      <c r="E43" s="4" t="s">
        <v>25</v>
      </c>
      <c r="F43" s="4" t="s">
        <v>57</v>
      </c>
      <c r="G43" s="4" t="s">
        <v>25</v>
      </c>
      <c r="H43" s="4" t="s">
        <v>34</v>
      </c>
      <c r="I43" s="5">
        <v>44531</v>
      </c>
      <c r="J43" s="6">
        <v>5648</v>
      </c>
      <c r="K43" s="6">
        <v>2824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58</v>
      </c>
      <c r="R43" s="4">
        <v>0</v>
      </c>
      <c r="S43" s="6">
        <v>22</v>
      </c>
      <c r="T43" s="6">
        <v>0</v>
      </c>
      <c r="U43" s="6">
        <v>0</v>
      </c>
      <c r="V43" s="6">
        <f>IF(ISERROR(VLOOKUP($S$43,'TAR FIN'!$A$1:$O$86,15,0)),0,VLOOKUP($S$43,'TAR FIN'!$A$1:$O$86,15,0))</f>
        <v>19.239999999999998</v>
      </c>
      <c r="W43" s="6">
        <f>IF(ISERROR(VLOOKUP($T$43,'TAR FIN'!$A$1:$O$86,15,0)),0,VLOOKUP($T$43,'TAR FIN'!$A$1:$O$86,15,0))</f>
        <v>0</v>
      </c>
      <c r="X43" s="6">
        <f>IF(ISERROR(VLOOKUP($U$43,'TAR FIN'!$A$1:$O$86,15,0)),0,VLOOKUP($U$43,'TAR FIN'!$A$1:$O$86,15,0))</f>
        <v>0</v>
      </c>
      <c r="Y43" s="6">
        <f ca="1">('TUSD BE'!$AM$7+'TUSD BF_350'!$AM$7+'TUSD CVA'!$AM$7)*1</f>
        <v>15.19295792072058</v>
      </c>
      <c r="Z43" s="6">
        <f ca="1">('TUSD BE'!$AM$8+'TUSD BF_350'!$AM$8+'TUSD CVA'!$AM$8)*1</f>
        <v>100.23755694003805</v>
      </c>
      <c r="AA43" s="6"/>
      <c r="AB43" s="6">
        <f>$K$43*$V$43</f>
        <v>54333.759999999995</v>
      </c>
      <c r="AC43" s="6">
        <f>$M$43*$W$43</f>
        <v>0</v>
      </c>
      <c r="AD43" s="6">
        <f>$O$43*$X$43</f>
        <v>0</v>
      </c>
      <c r="AE43" s="6">
        <f ca="1">$K$43*$Y$43</f>
        <v>42904.913168114923</v>
      </c>
      <c r="AF43" s="6">
        <f ca="1">$M$43*$Z$43</f>
        <v>0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38</v>
      </c>
      <c r="C44" s="4" t="s">
        <v>39</v>
      </c>
      <c r="D44" s="4" t="s">
        <v>37</v>
      </c>
      <c r="E44" s="4" t="s">
        <v>25</v>
      </c>
      <c r="F44" s="4" t="s">
        <v>57</v>
      </c>
      <c r="G44" s="4" t="s">
        <v>25</v>
      </c>
      <c r="H44" s="4" t="s">
        <v>34</v>
      </c>
      <c r="I44" s="5">
        <v>44562</v>
      </c>
      <c r="J44" s="6">
        <v>5716</v>
      </c>
      <c r="K44" s="6">
        <v>2858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58</v>
      </c>
      <c r="R44" s="4">
        <v>0</v>
      </c>
      <c r="S44" s="6">
        <v>22</v>
      </c>
      <c r="T44" s="6">
        <v>0</v>
      </c>
      <c r="U44" s="6">
        <v>0</v>
      </c>
      <c r="V44" s="6">
        <f>IF(ISERROR(VLOOKUP($S$44,'TAR FIN'!$A$1:$O$86,15,0)),0,VLOOKUP($S$44,'TAR FIN'!$A$1:$O$86,15,0))</f>
        <v>19.239999999999998</v>
      </c>
      <c r="W44" s="6">
        <f>IF(ISERROR(VLOOKUP($T$44,'TAR FIN'!$A$1:$O$86,15,0)),0,VLOOKUP($T$44,'TAR FIN'!$A$1:$O$86,15,0))</f>
        <v>0</v>
      </c>
      <c r="X44" s="6">
        <f>IF(ISERROR(VLOOKUP($U$44,'TAR FIN'!$A$1:$O$86,15,0)),0,VLOOKUP($U$44,'TAR FIN'!$A$1:$O$86,15,0))</f>
        <v>0</v>
      </c>
      <c r="Y44" s="6">
        <f ca="1">('TUSD BE'!$AM$7+'TUSD BF_350'!$AM$7+'TUSD CVA'!$AM$7)*1</f>
        <v>15.19295792072058</v>
      </c>
      <c r="Z44" s="6">
        <f ca="1">('TUSD BE'!$AM$8+'TUSD BF_350'!$AM$8+'TUSD CVA'!$AM$8)*1</f>
        <v>100.23755694003805</v>
      </c>
      <c r="AA44" s="6"/>
      <c r="AB44" s="6">
        <f>$K$44*$V$44</f>
        <v>54987.92</v>
      </c>
      <c r="AC44" s="6">
        <f>$M$44*$W$44</f>
        <v>0</v>
      </c>
      <c r="AD44" s="6">
        <f>$O$44*$X$44</f>
        <v>0</v>
      </c>
      <c r="AE44" s="6">
        <f ca="1">$K$44*$Y$44</f>
        <v>43421.473737419416</v>
      </c>
      <c r="AF44" s="6">
        <f ca="1">$M$44*$Z$44</f>
        <v>0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38</v>
      </c>
      <c r="C45" s="4" t="s">
        <v>39</v>
      </c>
      <c r="D45" s="4" t="s">
        <v>37</v>
      </c>
      <c r="E45" s="4" t="s">
        <v>25</v>
      </c>
      <c r="F45" s="4" t="s">
        <v>57</v>
      </c>
      <c r="G45" s="4" t="s">
        <v>25</v>
      </c>
      <c r="H45" s="4" t="s">
        <v>34</v>
      </c>
      <c r="I45" s="5">
        <v>44593</v>
      </c>
      <c r="J45" s="6">
        <v>5640</v>
      </c>
      <c r="K45" s="6">
        <v>2820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58</v>
      </c>
      <c r="R45" s="4">
        <v>0</v>
      </c>
      <c r="S45" s="6">
        <v>22</v>
      </c>
      <c r="T45" s="6">
        <v>0</v>
      </c>
      <c r="U45" s="6">
        <v>0</v>
      </c>
      <c r="V45" s="6">
        <f>IF(ISERROR(VLOOKUP($S$45,'TAR FIN'!$A$1:$O$86,15,0)),0,VLOOKUP($S$45,'TAR FIN'!$A$1:$O$86,15,0))</f>
        <v>19.239999999999998</v>
      </c>
      <c r="W45" s="6">
        <f>IF(ISERROR(VLOOKUP($T$45,'TAR FIN'!$A$1:$O$86,15,0)),0,VLOOKUP($T$45,'TAR FIN'!$A$1:$O$86,15,0))</f>
        <v>0</v>
      </c>
      <c r="X45" s="6">
        <f>IF(ISERROR(VLOOKUP($U$45,'TAR FIN'!$A$1:$O$86,15,0)),0,VLOOKUP($U$45,'TAR FIN'!$A$1:$O$86,15,0))</f>
        <v>0</v>
      </c>
      <c r="Y45" s="6">
        <f ca="1">('TUSD BE'!$AM$7+'TUSD BF_350'!$AM$7+'TUSD CVA'!$AM$7)*1</f>
        <v>15.19295792072058</v>
      </c>
      <c r="Z45" s="6">
        <f ca="1">('TUSD BE'!$AM$8+'TUSD BF_350'!$AM$8+'TUSD CVA'!$AM$8)*1</f>
        <v>100.23755694003805</v>
      </c>
      <c r="AA45" s="6"/>
      <c r="AB45" s="6">
        <f>$K$45*$V$45</f>
        <v>54256.799999999996</v>
      </c>
      <c r="AC45" s="6">
        <f>$M$45*$W$45</f>
        <v>0</v>
      </c>
      <c r="AD45" s="6">
        <f>$O$45*$X$45</f>
        <v>0</v>
      </c>
      <c r="AE45" s="6">
        <f ca="1">$K$45*$Y$45</f>
        <v>42844.14133643204</v>
      </c>
      <c r="AF45" s="6">
        <f ca="1"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38</v>
      </c>
      <c r="C46" s="4" t="s">
        <v>39</v>
      </c>
      <c r="D46" s="4" t="s">
        <v>37</v>
      </c>
      <c r="E46" s="4" t="s">
        <v>25</v>
      </c>
      <c r="F46" s="4" t="s">
        <v>57</v>
      </c>
      <c r="G46" s="4" t="s">
        <v>25</v>
      </c>
      <c r="H46" s="4" t="s">
        <v>34</v>
      </c>
      <c r="I46" s="5">
        <v>44621</v>
      </c>
      <c r="J46" s="6">
        <v>5643</v>
      </c>
      <c r="K46" s="6">
        <v>2821.5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58</v>
      </c>
      <c r="R46" s="4">
        <v>0</v>
      </c>
      <c r="S46" s="6">
        <v>22</v>
      </c>
      <c r="T46" s="6">
        <v>0</v>
      </c>
      <c r="U46" s="6">
        <v>0</v>
      </c>
      <c r="V46" s="6">
        <f>IF(ISERROR(VLOOKUP($S$46,'TAR FIN'!$A$1:$O$86,15,0)),0,VLOOKUP($S$46,'TAR FIN'!$A$1:$O$86,15,0))</f>
        <v>19.239999999999998</v>
      </c>
      <c r="W46" s="6">
        <f>IF(ISERROR(VLOOKUP($T$46,'TAR FIN'!$A$1:$O$86,15,0)),0,VLOOKUP($T$46,'TAR FIN'!$A$1:$O$86,15,0))</f>
        <v>0</v>
      </c>
      <c r="X46" s="6">
        <f>IF(ISERROR(VLOOKUP($U$46,'TAR FIN'!$A$1:$O$86,15,0)),0,VLOOKUP($U$46,'TAR FIN'!$A$1:$O$86,15,0))</f>
        <v>0</v>
      </c>
      <c r="Y46" s="6">
        <f ca="1">('TUSD BE'!$AM$7+'TUSD BF_350'!$AM$7+'TUSD CVA'!$AM$7)*1</f>
        <v>15.19295792072058</v>
      </c>
      <c r="Z46" s="6">
        <f ca="1">('TUSD BE'!$AM$8+'TUSD BF_350'!$AM$8+'TUSD CVA'!$AM$8)*1</f>
        <v>100.23755694003805</v>
      </c>
      <c r="AA46" s="6"/>
      <c r="AB46" s="6">
        <f>$K$46*$V$46</f>
        <v>54285.659999999996</v>
      </c>
      <c r="AC46" s="6">
        <f>$M$46*$W$46</f>
        <v>0</v>
      </c>
      <c r="AD46" s="6">
        <f>$O$46*$X$46</f>
        <v>0</v>
      </c>
      <c r="AE46" s="6">
        <f ca="1">$K$46*$Y$46</f>
        <v>42866.930773313121</v>
      </c>
      <c r="AF46" s="6">
        <f ca="1"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38</v>
      </c>
      <c r="C47" s="4" t="s">
        <v>39</v>
      </c>
      <c r="D47" s="4" t="s">
        <v>37</v>
      </c>
      <c r="E47" s="4" t="s">
        <v>25</v>
      </c>
      <c r="F47" s="4" t="s">
        <v>57</v>
      </c>
      <c r="G47" s="4" t="s">
        <v>25</v>
      </c>
      <c r="H47" s="4" t="s">
        <v>34</v>
      </c>
      <c r="I47" s="5">
        <v>44652</v>
      </c>
      <c r="J47" s="6">
        <v>5618</v>
      </c>
      <c r="K47" s="6">
        <v>2809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58</v>
      </c>
      <c r="R47" s="4">
        <v>0</v>
      </c>
      <c r="S47" s="6">
        <v>22</v>
      </c>
      <c r="T47" s="6">
        <v>0</v>
      </c>
      <c r="U47" s="6">
        <v>0</v>
      </c>
      <c r="V47" s="6">
        <f>IF(ISERROR(VLOOKUP($S$47,'TAR FIN'!$A$1:$O$86,15,0)),0,VLOOKUP($S$47,'TAR FIN'!$A$1:$O$86,15,0))</f>
        <v>19.239999999999998</v>
      </c>
      <c r="W47" s="6">
        <f>IF(ISERROR(VLOOKUP($T$47,'TAR FIN'!$A$1:$O$86,15,0)),0,VLOOKUP($T$47,'TAR FIN'!$A$1:$O$86,15,0))</f>
        <v>0</v>
      </c>
      <c r="X47" s="6">
        <f>IF(ISERROR(VLOOKUP($U$47,'TAR FIN'!$A$1:$O$86,15,0)),0,VLOOKUP($U$47,'TAR FIN'!$A$1:$O$86,15,0))</f>
        <v>0</v>
      </c>
      <c r="Y47" s="6">
        <f ca="1">('TUSD BE'!$AM$7+'TUSD BF_350'!$AM$7+'TUSD CVA'!$AM$7)*1</f>
        <v>15.19295792072058</v>
      </c>
      <c r="Z47" s="6">
        <f ca="1">('TUSD BE'!$AM$8+'TUSD BF_350'!$AM$8+'TUSD CVA'!$AM$8)*1</f>
        <v>100.23755694003805</v>
      </c>
      <c r="AA47" s="6"/>
      <c r="AB47" s="6">
        <f>$K$47*$V$47</f>
        <v>54045.159999999996</v>
      </c>
      <c r="AC47" s="6">
        <f>$M$47*$W$47</f>
        <v>0</v>
      </c>
      <c r="AD47" s="6">
        <f>$O$47*$X$47</f>
        <v>0</v>
      </c>
      <c r="AE47" s="6">
        <f ca="1">$K$47*$Y$47</f>
        <v>42677.018799304111</v>
      </c>
      <c r="AF47" s="6">
        <f ca="1">$M$47*$Z$47</f>
        <v>0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38</v>
      </c>
      <c r="C48" s="4" t="s">
        <v>39</v>
      </c>
      <c r="D48" s="4" t="s">
        <v>37</v>
      </c>
      <c r="E48" s="4" t="s">
        <v>25</v>
      </c>
      <c r="F48" s="4" t="s">
        <v>57</v>
      </c>
      <c r="G48" s="4" t="s">
        <v>25</v>
      </c>
      <c r="H48" s="4" t="s">
        <v>34</v>
      </c>
      <c r="I48" s="5">
        <v>44682</v>
      </c>
      <c r="J48" s="6">
        <v>5674</v>
      </c>
      <c r="K48" s="6">
        <v>2837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58</v>
      </c>
      <c r="R48" s="4">
        <v>0</v>
      </c>
      <c r="S48" s="6">
        <v>22</v>
      </c>
      <c r="T48" s="6">
        <v>0</v>
      </c>
      <c r="U48" s="6">
        <v>0</v>
      </c>
      <c r="V48" s="6">
        <f>IF(ISERROR(VLOOKUP($S$48,'TAR FIN'!$A$1:$O$86,15,0)),0,VLOOKUP($S$48,'TAR FIN'!$A$1:$O$86,15,0))</f>
        <v>19.239999999999998</v>
      </c>
      <c r="W48" s="6">
        <f>IF(ISERROR(VLOOKUP($T$48,'TAR FIN'!$A$1:$O$86,15,0)),0,VLOOKUP($T$48,'TAR FIN'!$A$1:$O$86,15,0))</f>
        <v>0</v>
      </c>
      <c r="X48" s="6">
        <f>IF(ISERROR(VLOOKUP($U$48,'TAR FIN'!$A$1:$O$86,15,0)),0,VLOOKUP($U$48,'TAR FIN'!$A$1:$O$86,15,0))</f>
        <v>0</v>
      </c>
      <c r="Y48" s="6">
        <f ca="1">('TUSD BE'!$AM$7+'TUSD BF_350'!$AM$7+'TUSD CVA'!$AM$7)*1</f>
        <v>15.19295792072058</v>
      </c>
      <c r="Z48" s="6">
        <f ca="1">('TUSD BE'!$AM$8+'TUSD BF_350'!$AM$8+'TUSD CVA'!$AM$8)*1</f>
        <v>100.23755694003805</v>
      </c>
      <c r="AA48" s="6"/>
      <c r="AB48" s="6">
        <f>$K$48*$V$48</f>
        <v>54583.88</v>
      </c>
      <c r="AC48" s="6">
        <f>$M$48*$W$48</f>
        <v>0</v>
      </c>
      <c r="AD48" s="6">
        <f>$O$48*$X$48</f>
        <v>0</v>
      </c>
      <c r="AE48" s="6">
        <f ca="1">$K$48*$Y$48</f>
        <v>43102.421621084286</v>
      </c>
      <c r="AF48" s="6">
        <f ca="1">$M$48*$Z$48</f>
        <v>0</v>
      </c>
      <c r="AG48" s="6">
        <f>$O$48*$AA$48</f>
        <v>0</v>
      </c>
    </row>
    <row r="49" spans="1:33" ht="11.25" customHeight="1" x14ac:dyDescent="0.25">
      <c r="A49" s="4" t="s">
        <v>56</v>
      </c>
      <c r="B49" s="4" t="s">
        <v>38</v>
      </c>
      <c r="C49" s="4" t="s">
        <v>39</v>
      </c>
      <c r="D49" s="4" t="s">
        <v>37</v>
      </c>
      <c r="E49" s="4" t="s">
        <v>25</v>
      </c>
      <c r="F49" s="4" t="s">
        <v>57</v>
      </c>
      <c r="G49" s="4" t="s">
        <v>25</v>
      </c>
      <c r="H49" s="4" t="s">
        <v>34</v>
      </c>
      <c r="I49" s="5">
        <v>44713</v>
      </c>
      <c r="J49" s="6">
        <v>5674</v>
      </c>
      <c r="K49" s="6">
        <v>2837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58</v>
      </c>
      <c r="R49" s="4">
        <v>0</v>
      </c>
      <c r="S49" s="6">
        <v>22</v>
      </c>
      <c r="T49" s="6">
        <v>0</v>
      </c>
      <c r="U49" s="6">
        <v>0</v>
      </c>
      <c r="V49" s="6">
        <f>IF(ISERROR(VLOOKUP($S$49,'TAR FIN'!$A$1:$O$86,15,0)),0,VLOOKUP($S$49,'TAR FIN'!$A$1:$O$86,15,0))</f>
        <v>19.239999999999998</v>
      </c>
      <c r="W49" s="6">
        <f>IF(ISERROR(VLOOKUP($T$49,'TAR FIN'!$A$1:$O$86,15,0)),0,VLOOKUP($T$49,'TAR FIN'!$A$1:$O$86,15,0))</f>
        <v>0</v>
      </c>
      <c r="X49" s="6">
        <f>IF(ISERROR(VLOOKUP($U$49,'TAR FIN'!$A$1:$O$86,15,0)),0,VLOOKUP($U$49,'TAR FIN'!$A$1:$O$86,15,0))</f>
        <v>0</v>
      </c>
      <c r="Y49" s="6">
        <f ca="1">('TUSD BE'!$AM$7+'TUSD BF_350'!$AM$7+'TUSD CVA'!$AM$7)*1</f>
        <v>15.19295792072058</v>
      </c>
      <c r="Z49" s="6">
        <f ca="1">('TUSD BE'!$AM$8+'TUSD BF_350'!$AM$8+'TUSD CVA'!$AM$8)*1</f>
        <v>100.23755694003805</v>
      </c>
      <c r="AA49" s="6"/>
      <c r="AB49" s="6">
        <f>$K$49*$V$49</f>
        <v>54583.88</v>
      </c>
      <c r="AC49" s="6">
        <f>$M$49*$W$49</f>
        <v>0</v>
      </c>
      <c r="AD49" s="6">
        <f>$O$49*$X$49</f>
        <v>0</v>
      </c>
      <c r="AE49" s="6">
        <f ca="1">$K$49*$Y$49</f>
        <v>43102.421621084286</v>
      </c>
      <c r="AF49" s="6">
        <f ca="1"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38</v>
      </c>
      <c r="C50" s="4" t="s">
        <v>39</v>
      </c>
      <c r="D50" s="4" t="s">
        <v>37</v>
      </c>
      <c r="E50" s="4" t="s">
        <v>25</v>
      </c>
      <c r="F50" s="4" t="s">
        <v>57</v>
      </c>
      <c r="G50" s="4" t="s">
        <v>25</v>
      </c>
      <c r="H50" s="4" t="s">
        <v>25</v>
      </c>
      <c r="I50" s="5">
        <v>44378</v>
      </c>
      <c r="J50" s="6">
        <v>0</v>
      </c>
      <c r="K50" s="6">
        <v>0</v>
      </c>
      <c r="L50" s="6">
        <v>2527.2869999999998</v>
      </c>
      <c r="M50" s="6">
        <v>1263.6434999999999</v>
      </c>
      <c r="N50" s="6">
        <v>0</v>
      </c>
      <c r="O50" s="6">
        <v>0</v>
      </c>
      <c r="P50" s="6">
        <v>4</v>
      </c>
      <c r="Q50" s="4" t="s">
        <v>58</v>
      </c>
      <c r="R50" s="4">
        <v>0</v>
      </c>
      <c r="S50" s="6">
        <v>0</v>
      </c>
      <c r="T50" s="6">
        <v>7</v>
      </c>
      <c r="U50" s="6">
        <v>0</v>
      </c>
      <c r="V50" s="6">
        <f>IF(ISERROR(VLOOKUP($S$50,'TAR FIN'!$A$1:$O$86,15,0)),0,VLOOKUP($S$50,'TAR FIN'!$A$1:$O$86,15,0))</f>
        <v>0</v>
      </c>
      <c r="W50" s="6">
        <f>IF(ISERROR(VLOOKUP($T$50,'TAR FIN'!$A$1:$O$86,15,0)),0,VLOOKUP($T$50,'TAR FIN'!$A$1:$O$86,15,0))</f>
        <v>78.680000000000007</v>
      </c>
      <c r="X50" s="6">
        <f>IF(ISERROR(VLOOKUP($U$50,'TAR FIN'!$A$1:$O$86,15,0)),0,VLOOKUP($U$50,'TAR FIN'!$A$1:$O$86,15,0))</f>
        <v>0</v>
      </c>
      <c r="Y50" s="6"/>
      <c r="Z50" s="6">
        <f ca="1">('TUSD BE'!$AM$8+'TUSD BF_350'!$AM$8+'TUSD CVA'!$AM$8)*1</f>
        <v>100.23755694003805</v>
      </c>
      <c r="AA50" s="6"/>
      <c r="AB50" s="6">
        <f>$K$50*$V$50</f>
        <v>0</v>
      </c>
      <c r="AC50" s="6">
        <f>$M$50*$W$50</f>
        <v>99423.470579999994</v>
      </c>
      <c r="AD50" s="6">
        <f>$O$50*$X$50</f>
        <v>0</v>
      </c>
      <c r="AE50" s="6">
        <f>$K$50*$Y$50</f>
        <v>0</v>
      </c>
      <c r="AF50" s="6">
        <f ca="1">$M$50*$Z$50</f>
        <v>126664.53728315896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38</v>
      </c>
      <c r="C51" s="4" t="s">
        <v>39</v>
      </c>
      <c r="D51" s="4" t="s">
        <v>37</v>
      </c>
      <c r="E51" s="4" t="s">
        <v>25</v>
      </c>
      <c r="F51" s="4" t="s">
        <v>57</v>
      </c>
      <c r="G51" s="4" t="s">
        <v>25</v>
      </c>
      <c r="H51" s="4" t="s">
        <v>25</v>
      </c>
      <c r="I51" s="5">
        <v>44409</v>
      </c>
      <c r="J51" s="6">
        <v>0</v>
      </c>
      <c r="K51" s="6">
        <v>0</v>
      </c>
      <c r="L51" s="6">
        <v>2597.9349999999999</v>
      </c>
      <c r="M51" s="6">
        <v>1298.9675</v>
      </c>
      <c r="N51" s="6">
        <v>0</v>
      </c>
      <c r="O51" s="6">
        <v>0</v>
      </c>
      <c r="P51" s="6">
        <v>4</v>
      </c>
      <c r="Q51" s="4" t="s">
        <v>58</v>
      </c>
      <c r="R51" s="4">
        <v>0</v>
      </c>
      <c r="S51" s="6">
        <v>0</v>
      </c>
      <c r="T51" s="6">
        <v>7</v>
      </c>
      <c r="U51" s="6">
        <v>0</v>
      </c>
      <c r="V51" s="6">
        <f>IF(ISERROR(VLOOKUP($S$51,'TAR FIN'!$A$1:$O$86,15,0)),0,VLOOKUP($S$51,'TAR FIN'!$A$1:$O$86,15,0))</f>
        <v>0</v>
      </c>
      <c r="W51" s="6">
        <f>IF(ISERROR(VLOOKUP($T$51,'TAR FIN'!$A$1:$O$86,15,0)),0,VLOOKUP($T$51,'TAR FIN'!$A$1:$O$86,15,0))</f>
        <v>78.680000000000007</v>
      </c>
      <c r="X51" s="6">
        <f>IF(ISERROR(VLOOKUP($U$51,'TAR FIN'!$A$1:$O$86,15,0)),0,VLOOKUP($U$51,'TAR FIN'!$A$1:$O$86,15,0))</f>
        <v>0</v>
      </c>
      <c r="Y51" s="6"/>
      <c r="Z51" s="6">
        <f ca="1">('TUSD BE'!$AM$8+'TUSD BF_350'!$AM$8+'TUSD CVA'!$AM$8)*1</f>
        <v>100.23755694003805</v>
      </c>
      <c r="AA51" s="6"/>
      <c r="AB51" s="6">
        <f>$K$51*$V$51</f>
        <v>0</v>
      </c>
      <c r="AC51" s="6">
        <f>$M$51*$W$51</f>
        <v>102202.7629</v>
      </c>
      <c r="AD51" s="6">
        <f>$O$51*$X$51</f>
        <v>0</v>
      </c>
      <c r="AE51" s="6">
        <f>$K$51*$Y$51</f>
        <v>0</v>
      </c>
      <c r="AF51" s="6">
        <f ca="1">$M$51*$Z$51</f>
        <v>130205.32874450886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38</v>
      </c>
      <c r="C52" s="4" t="s">
        <v>39</v>
      </c>
      <c r="D52" s="4" t="s">
        <v>37</v>
      </c>
      <c r="E52" s="4" t="s">
        <v>25</v>
      </c>
      <c r="F52" s="4" t="s">
        <v>57</v>
      </c>
      <c r="G52" s="4" t="s">
        <v>25</v>
      </c>
      <c r="H52" s="4" t="s">
        <v>25</v>
      </c>
      <c r="I52" s="5">
        <v>44440</v>
      </c>
      <c r="J52" s="6">
        <v>0</v>
      </c>
      <c r="K52" s="6">
        <v>0</v>
      </c>
      <c r="L52" s="6">
        <v>2547.232</v>
      </c>
      <c r="M52" s="6">
        <v>1273.616</v>
      </c>
      <c r="N52" s="6">
        <v>0</v>
      </c>
      <c r="O52" s="6">
        <v>0</v>
      </c>
      <c r="P52" s="6">
        <v>4</v>
      </c>
      <c r="Q52" s="4" t="s">
        <v>58</v>
      </c>
      <c r="R52" s="4">
        <v>0</v>
      </c>
      <c r="S52" s="6">
        <v>0</v>
      </c>
      <c r="T52" s="6">
        <v>7</v>
      </c>
      <c r="U52" s="6">
        <v>0</v>
      </c>
      <c r="V52" s="6">
        <f>IF(ISERROR(VLOOKUP($S$52,'TAR FIN'!$A$1:$O$86,15,0)),0,VLOOKUP($S$52,'TAR FIN'!$A$1:$O$86,15,0))</f>
        <v>0</v>
      </c>
      <c r="W52" s="6">
        <f>IF(ISERROR(VLOOKUP($T$52,'TAR FIN'!$A$1:$O$86,15,0)),0,VLOOKUP($T$52,'TAR FIN'!$A$1:$O$86,15,0))</f>
        <v>78.680000000000007</v>
      </c>
      <c r="X52" s="6">
        <f>IF(ISERROR(VLOOKUP($U$52,'TAR FIN'!$A$1:$O$86,15,0)),0,VLOOKUP($U$52,'TAR FIN'!$A$1:$O$86,15,0))</f>
        <v>0</v>
      </c>
      <c r="Y52" s="6"/>
      <c r="Z52" s="6">
        <f ca="1">('TUSD BE'!$AM$8+'TUSD BF_350'!$AM$8+'TUSD CVA'!$AM$8)*1</f>
        <v>100.23755694003805</v>
      </c>
      <c r="AA52" s="6"/>
      <c r="AB52" s="6">
        <f>$K$52*$V$52</f>
        <v>0</v>
      </c>
      <c r="AC52" s="6">
        <f>$M$52*$W$52</f>
        <v>100208.10688000001</v>
      </c>
      <c r="AD52" s="6">
        <f>$O$52*$X$52</f>
        <v>0</v>
      </c>
      <c r="AE52" s="6">
        <f>$K$52*$Y$52</f>
        <v>0</v>
      </c>
      <c r="AF52" s="6">
        <f ca="1">$M$52*$Z$52</f>
        <v>127664.1563197435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38</v>
      </c>
      <c r="C53" s="4" t="s">
        <v>39</v>
      </c>
      <c r="D53" s="4" t="s">
        <v>37</v>
      </c>
      <c r="E53" s="4" t="s">
        <v>25</v>
      </c>
      <c r="F53" s="4" t="s">
        <v>57</v>
      </c>
      <c r="G53" s="4" t="s">
        <v>25</v>
      </c>
      <c r="H53" s="4" t="s">
        <v>25</v>
      </c>
      <c r="I53" s="5">
        <v>44470</v>
      </c>
      <c r="J53" s="6">
        <v>0</v>
      </c>
      <c r="K53" s="6">
        <v>0</v>
      </c>
      <c r="L53" s="6">
        <v>2494.2710000000002</v>
      </c>
      <c r="M53" s="6">
        <v>1247.1355000000001</v>
      </c>
      <c r="N53" s="6">
        <v>0</v>
      </c>
      <c r="O53" s="6">
        <v>0</v>
      </c>
      <c r="P53" s="6">
        <v>4</v>
      </c>
      <c r="Q53" s="4" t="s">
        <v>58</v>
      </c>
      <c r="R53" s="4">
        <v>0</v>
      </c>
      <c r="S53" s="6">
        <v>0</v>
      </c>
      <c r="T53" s="6">
        <v>7</v>
      </c>
      <c r="U53" s="6">
        <v>0</v>
      </c>
      <c r="V53" s="6">
        <f>IF(ISERROR(VLOOKUP($S$53,'TAR FIN'!$A$1:$O$86,15,0)),0,VLOOKUP($S$53,'TAR FIN'!$A$1:$O$86,15,0))</f>
        <v>0</v>
      </c>
      <c r="W53" s="6">
        <f>IF(ISERROR(VLOOKUP($T$53,'TAR FIN'!$A$1:$O$86,15,0)),0,VLOOKUP($T$53,'TAR FIN'!$A$1:$O$86,15,0))</f>
        <v>78.680000000000007</v>
      </c>
      <c r="X53" s="6">
        <f>IF(ISERROR(VLOOKUP($U$53,'TAR FIN'!$A$1:$O$86,15,0)),0,VLOOKUP($U$53,'TAR FIN'!$A$1:$O$86,15,0))</f>
        <v>0</v>
      </c>
      <c r="Y53" s="6"/>
      <c r="Z53" s="6">
        <f ca="1">('TUSD BE'!$AM$8+'TUSD BF_350'!$AM$8+'TUSD CVA'!$AM$8)*1</f>
        <v>100.23755694003805</v>
      </c>
      <c r="AA53" s="6"/>
      <c r="AB53" s="6">
        <f>$K$53*$V$53</f>
        <v>0</v>
      </c>
      <c r="AC53" s="6">
        <f>$M$53*$W$53</f>
        <v>98124.621140000017</v>
      </c>
      <c r="AD53" s="6">
        <f>$O$53*$X$53</f>
        <v>0</v>
      </c>
      <c r="AE53" s="6">
        <f>$K$53*$Y$53</f>
        <v>0</v>
      </c>
      <c r="AF53" s="6">
        <f ca="1">$M$53*$Z$53</f>
        <v>125009.81569319282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38</v>
      </c>
      <c r="C54" s="4" t="s">
        <v>39</v>
      </c>
      <c r="D54" s="4" t="s">
        <v>37</v>
      </c>
      <c r="E54" s="4" t="s">
        <v>25</v>
      </c>
      <c r="F54" s="4" t="s">
        <v>57</v>
      </c>
      <c r="G54" s="4" t="s">
        <v>25</v>
      </c>
      <c r="H54" s="4" t="s">
        <v>25</v>
      </c>
      <c r="I54" s="5">
        <v>44501</v>
      </c>
      <c r="J54" s="6">
        <v>0</v>
      </c>
      <c r="K54" s="6">
        <v>0</v>
      </c>
      <c r="L54" s="6">
        <v>2493.67</v>
      </c>
      <c r="M54" s="6">
        <v>1246.835</v>
      </c>
      <c r="N54" s="6">
        <v>0</v>
      </c>
      <c r="O54" s="6">
        <v>0</v>
      </c>
      <c r="P54" s="6">
        <v>4</v>
      </c>
      <c r="Q54" s="4" t="s">
        <v>58</v>
      </c>
      <c r="R54" s="4">
        <v>0</v>
      </c>
      <c r="S54" s="6">
        <v>0</v>
      </c>
      <c r="T54" s="6">
        <v>7</v>
      </c>
      <c r="U54" s="6">
        <v>0</v>
      </c>
      <c r="V54" s="6">
        <f>IF(ISERROR(VLOOKUP($S$54,'TAR FIN'!$A$1:$O$86,15,0)),0,VLOOKUP($S$54,'TAR FIN'!$A$1:$O$86,15,0))</f>
        <v>0</v>
      </c>
      <c r="W54" s="6">
        <f>IF(ISERROR(VLOOKUP($T$54,'TAR FIN'!$A$1:$O$86,15,0)),0,VLOOKUP($T$54,'TAR FIN'!$A$1:$O$86,15,0))</f>
        <v>78.680000000000007</v>
      </c>
      <c r="X54" s="6">
        <f>IF(ISERROR(VLOOKUP($U$54,'TAR FIN'!$A$1:$O$86,15,0)),0,VLOOKUP($U$54,'TAR FIN'!$A$1:$O$86,15,0))</f>
        <v>0</v>
      </c>
      <c r="Y54" s="6"/>
      <c r="Z54" s="6">
        <f ca="1">('TUSD BE'!$AM$8+'TUSD BF_350'!$AM$8+'TUSD CVA'!$AM$8)*1</f>
        <v>100.23755694003805</v>
      </c>
      <c r="AA54" s="6"/>
      <c r="AB54" s="6">
        <f>$K$54*$V$54</f>
        <v>0</v>
      </c>
      <c r="AC54" s="6">
        <f>$M$54*$W$54</f>
        <v>98100.977800000008</v>
      </c>
      <c r="AD54" s="6">
        <f>$O$54*$X$54</f>
        <v>0</v>
      </c>
      <c r="AE54" s="6">
        <f>$K$54*$Y$54</f>
        <v>0</v>
      </c>
      <c r="AF54" s="6">
        <f ca="1">$M$54*$Z$54</f>
        <v>124979.69430733235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38</v>
      </c>
      <c r="C55" s="4" t="s">
        <v>39</v>
      </c>
      <c r="D55" s="4" t="s">
        <v>37</v>
      </c>
      <c r="E55" s="4" t="s">
        <v>25</v>
      </c>
      <c r="F55" s="4" t="s">
        <v>57</v>
      </c>
      <c r="G55" s="4" t="s">
        <v>25</v>
      </c>
      <c r="H55" s="4" t="s">
        <v>25</v>
      </c>
      <c r="I55" s="5">
        <v>44531</v>
      </c>
      <c r="J55" s="6">
        <v>0</v>
      </c>
      <c r="K55" s="6">
        <v>0</v>
      </c>
      <c r="L55" s="6">
        <v>2788.4180000000001</v>
      </c>
      <c r="M55" s="6">
        <v>1394.2090000000001</v>
      </c>
      <c r="N55" s="6">
        <v>0</v>
      </c>
      <c r="O55" s="6">
        <v>0</v>
      </c>
      <c r="P55" s="6">
        <v>4</v>
      </c>
      <c r="Q55" s="4" t="s">
        <v>58</v>
      </c>
      <c r="R55" s="4">
        <v>0</v>
      </c>
      <c r="S55" s="6">
        <v>0</v>
      </c>
      <c r="T55" s="6">
        <v>7</v>
      </c>
      <c r="U55" s="6">
        <v>0</v>
      </c>
      <c r="V55" s="6">
        <f>IF(ISERROR(VLOOKUP($S$55,'TAR FIN'!$A$1:$O$86,15,0)),0,VLOOKUP($S$55,'TAR FIN'!$A$1:$O$86,15,0))</f>
        <v>0</v>
      </c>
      <c r="W55" s="6">
        <f>IF(ISERROR(VLOOKUP($T$55,'TAR FIN'!$A$1:$O$86,15,0)),0,VLOOKUP($T$55,'TAR FIN'!$A$1:$O$86,15,0))</f>
        <v>78.680000000000007</v>
      </c>
      <c r="X55" s="6">
        <f>IF(ISERROR(VLOOKUP($U$55,'TAR FIN'!$A$1:$O$86,15,0)),0,VLOOKUP($U$55,'TAR FIN'!$A$1:$O$86,15,0))</f>
        <v>0</v>
      </c>
      <c r="Y55" s="6"/>
      <c r="Z55" s="6">
        <f ca="1">('TUSD BE'!$AM$8+'TUSD BF_350'!$AM$8+'TUSD CVA'!$AM$8)*1</f>
        <v>100.23755694003805</v>
      </c>
      <c r="AA55" s="6"/>
      <c r="AB55" s="6">
        <f>$K$55*$V$55</f>
        <v>0</v>
      </c>
      <c r="AC55" s="6">
        <f>$M$55*$W$55</f>
        <v>109696.36412000001</v>
      </c>
      <c r="AD55" s="6">
        <f>$O$55*$X$55</f>
        <v>0</v>
      </c>
      <c r="AE55" s="6">
        <f>$K$55*$Y$55</f>
        <v>0</v>
      </c>
      <c r="AF55" s="6">
        <f ca="1">$M$55*$Z$55</f>
        <v>139752.1040238135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38</v>
      </c>
      <c r="C56" s="4" t="s">
        <v>39</v>
      </c>
      <c r="D56" s="4" t="s">
        <v>37</v>
      </c>
      <c r="E56" s="4" t="s">
        <v>25</v>
      </c>
      <c r="F56" s="4" t="s">
        <v>57</v>
      </c>
      <c r="G56" s="4" t="s">
        <v>25</v>
      </c>
      <c r="H56" s="4" t="s">
        <v>25</v>
      </c>
      <c r="I56" s="5">
        <v>44562</v>
      </c>
      <c r="J56" s="6">
        <v>0</v>
      </c>
      <c r="K56" s="6">
        <v>0</v>
      </c>
      <c r="L56" s="6">
        <v>2800.7049999999999</v>
      </c>
      <c r="M56" s="6">
        <v>1400.3525</v>
      </c>
      <c r="N56" s="6">
        <v>0</v>
      </c>
      <c r="O56" s="6">
        <v>0</v>
      </c>
      <c r="P56" s="6">
        <v>4</v>
      </c>
      <c r="Q56" s="4" t="s">
        <v>58</v>
      </c>
      <c r="R56" s="4">
        <v>0</v>
      </c>
      <c r="S56" s="6">
        <v>0</v>
      </c>
      <c r="T56" s="6">
        <v>7</v>
      </c>
      <c r="U56" s="6">
        <v>0</v>
      </c>
      <c r="V56" s="6">
        <f>IF(ISERROR(VLOOKUP($S$56,'TAR FIN'!$A$1:$O$86,15,0)),0,VLOOKUP($S$56,'TAR FIN'!$A$1:$O$86,15,0))</f>
        <v>0</v>
      </c>
      <c r="W56" s="6">
        <f>IF(ISERROR(VLOOKUP($T$56,'TAR FIN'!$A$1:$O$86,15,0)),0,VLOOKUP($T$56,'TAR FIN'!$A$1:$O$86,15,0))</f>
        <v>78.680000000000007</v>
      </c>
      <c r="X56" s="6">
        <f>IF(ISERROR(VLOOKUP($U$56,'TAR FIN'!$A$1:$O$86,15,0)),0,VLOOKUP($U$56,'TAR FIN'!$A$1:$O$86,15,0))</f>
        <v>0</v>
      </c>
      <c r="Y56" s="6"/>
      <c r="Z56" s="6">
        <f ca="1">('TUSD BE'!$AM$8+'TUSD BF_350'!$AM$8+'TUSD CVA'!$AM$8)*1</f>
        <v>100.23755694003805</v>
      </c>
      <c r="AA56" s="6"/>
      <c r="AB56" s="6">
        <f>$K$56*$V$56</f>
        <v>0</v>
      </c>
      <c r="AC56" s="6">
        <f>$M$56*$W$56</f>
        <v>110179.7347</v>
      </c>
      <c r="AD56" s="6">
        <f>$O$56*$X$56</f>
        <v>0</v>
      </c>
      <c r="AE56" s="6">
        <f>$K$56*$Y$56</f>
        <v>0</v>
      </c>
      <c r="AF56" s="6">
        <f ca="1">$M$56*$Z$56</f>
        <v>140367.91345487462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38</v>
      </c>
      <c r="C57" s="4" t="s">
        <v>39</v>
      </c>
      <c r="D57" s="4" t="s">
        <v>37</v>
      </c>
      <c r="E57" s="4" t="s">
        <v>25</v>
      </c>
      <c r="F57" s="4" t="s">
        <v>57</v>
      </c>
      <c r="G57" s="4" t="s">
        <v>25</v>
      </c>
      <c r="H57" s="4" t="s">
        <v>25</v>
      </c>
      <c r="I57" s="5">
        <v>44593</v>
      </c>
      <c r="J57" s="6">
        <v>0</v>
      </c>
      <c r="K57" s="6">
        <v>0</v>
      </c>
      <c r="L57" s="6">
        <v>2477.1469999999999</v>
      </c>
      <c r="M57" s="6">
        <v>1238.5735</v>
      </c>
      <c r="N57" s="6">
        <v>0</v>
      </c>
      <c r="O57" s="6">
        <v>0</v>
      </c>
      <c r="P57" s="6">
        <v>4</v>
      </c>
      <c r="Q57" s="4" t="s">
        <v>58</v>
      </c>
      <c r="R57" s="4">
        <v>0</v>
      </c>
      <c r="S57" s="6">
        <v>0</v>
      </c>
      <c r="T57" s="6">
        <v>7</v>
      </c>
      <c r="U57" s="6">
        <v>0</v>
      </c>
      <c r="V57" s="6">
        <f>IF(ISERROR(VLOOKUP($S$57,'TAR FIN'!$A$1:$O$86,15,0)),0,VLOOKUP($S$57,'TAR FIN'!$A$1:$O$86,15,0))</f>
        <v>0</v>
      </c>
      <c r="W57" s="6">
        <f>IF(ISERROR(VLOOKUP($T$57,'TAR FIN'!$A$1:$O$86,15,0)),0,VLOOKUP($T$57,'TAR FIN'!$A$1:$O$86,15,0))</f>
        <v>78.680000000000007</v>
      </c>
      <c r="X57" s="6">
        <f>IF(ISERROR(VLOOKUP($U$57,'TAR FIN'!$A$1:$O$86,15,0)),0,VLOOKUP($U$57,'TAR FIN'!$A$1:$O$86,15,0))</f>
        <v>0</v>
      </c>
      <c r="Y57" s="6"/>
      <c r="Z57" s="6">
        <f ca="1">('TUSD BE'!$AM$8+'TUSD BF_350'!$AM$8+'TUSD CVA'!$AM$8)*1</f>
        <v>100.23755694003805</v>
      </c>
      <c r="AA57" s="6"/>
      <c r="AB57" s="6">
        <f>$K$57*$V$57</f>
        <v>0</v>
      </c>
      <c r="AC57" s="6">
        <f>$M$57*$W$57</f>
        <v>97450.962980000011</v>
      </c>
      <c r="AD57" s="6">
        <f>$O$57*$X$57</f>
        <v>0</v>
      </c>
      <c r="AE57" s="6">
        <f>$K$57*$Y$57</f>
        <v>0</v>
      </c>
      <c r="AF57" s="6">
        <f ca="1">$M$57*$Z$57</f>
        <v>124151.58173067222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38</v>
      </c>
      <c r="C58" s="4" t="s">
        <v>39</v>
      </c>
      <c r="D58" s="4" t="s">
        <v>37</v>
      </c>
      <c r="E58" s="4" t="s">
        <v>25</v>
      </c>
      <c r="F58" s="4" t="s">
        <v>57</v>
      </c>
      <c r="G58" s="4" t="s">
        <v>25</v>
      </c>
      <c r="H58" s="4" t="s">
        <v>25</v>
      </c>
      <c r="I58" s="5">
        <v>44621</v>
      </c>
      <c r="J58" s="6">
        <v>0</v>
      </c>
      <c r="K58" s="6">
        <v>0</v>
      </c>
      <c r="L58" s="6">
        <v>2716.36</v>
      </c>
      <c r="M58" s="6">
        <v>1358.18</v>
      </c>
      <c r="N58" s="6">
        <v>0</v>
      </c>
      <c r="O58" s="6">
        <v>0</v>
      </c>
      <c r="P58" s="6">
        <v>4</v>
      </c>
      <c r="Q58" s="4" t="s">
        <v>58</v>
      </c>
      <c r="R58" s="4">
        <v>0</v>
      </c>
      <c r="S58" s="6">
        <v>0</v>
      </c>
      <c r="T58" s="6">
        <v>7</v>
      </c>
      <c r="U58" s="6">
        <v>0</v>
      </c>
      <c r="V58" s="6">
        <f>IF(ISERROR(VLOOKUP($S$58,'TAR FIN'!$A$1:$O$86,15,0)),0,VLOOKUP($S$58,'TAR FIN'!$A$1:$O$86,15,0))</f>
        <v>0</v>
      </c>
      <c r="W58" s="6">
        <f>IF(ISERROR(VLOOKUP($T$58,'TAR FIN'!$A$1:$O$86,15,0)),0,VLOOKUP($T$58,'TAR FIN'!$A$1:$O$86,15,0))</f>
        <v>78.680000000000007</v>
      </c>
      <c r="X58" s="6">
        <f>IF(ISERROR(VLOOKUP($U$58,'TAR FIN'!$A$1:$O$86,15,0)),0,VLOOKUP($U$58,'TAR FIN'!$A$1:$O$86,15,0))</f>
        <v>0</v>
      </c>
      <c r="Y58" s="6"/>
      <c r="Z58" s="6">
        <f ca="1">('TUSD BE'!$AM$8+'TUSD BF_350'!$AM$8+'TUSD CVA'!$AM$8)*1</f>
        <v>100.23755694003805</v>
      </c>
      <c r="AA58" s="6"/>
      <c r="AB58" s="6">
        <f>$K$58*$V$58</f>
        <v>0</v>
      </c>
      <c r="AC58" s="6">
        <f>$M$58*$W$58</f>
        <v>106861.60240000002</v>
      </c>
      <c r="AD58" s="6">
        <f>$O$58*$X$58</f>
        <v>0</v>
      </c>
      <c r="AE58" s="6">
        <f>$K$58*$Y$58</f>
        <v>0</v>
      </c>
      <c r="AF58" s="6">
        <f ca="1">$M$58*$Z$58</f>
        <v>136140.64508482089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38</v>
      </c>
      <c r="C59" s="4" t="s">
        <v>39</v>
      </c>
      <c r="D59" s="4" t="s">
        <v>37</v>
      </c>
      <c r="E59" s="4" t="s">
        <v>25</v>
      </c>
      <c r="F59" s="4" t="s">
        <v>57</v>
      </c>
      <c r="G59" s="4" t="s">
        <v>25</v>
      </c>
      <c r="H59" s="4" t="s">
        <v>25</v>
      </c>
      <c r="I59" s="5">
        <v>44652</v>
      </c>
      <c r="J59" s="6">
        <v>0</v>
      </c>
      <c r="K59" s="6">
        <v>0</v>
      </c>
      <c r="L59" s="6">
        <v>2357.3380000000002</v>
      </c>
      <c r="M59" s="6">
        <v>1178.6690000000001</v>
      </c>
      <c r="N59" s="6">
        <v>0</v>
      </c>
      <c r="O59" s="6">
        <v>0</v>
      </c>
      <c r="P59" s="6">
        <v>4</v>
      </c>
      <c r="Q59" s="4" t="s">
        <v>58</v>
      </c>
      <c r="R59" s="4">
        <v>0</v>
      </c>
      <c r="S59" s="6">
        <v>0</v>
      </c>
      <c r="T59" s="6">
        <v>7</v>
      </c>
      <c r="U59" s="6">
        <v>0</v>
      </c>
      <c r="V59" s="6">
        <f>IF(ISERROR(VLOOKUP($S$59,'TAR FIN'!$A$1:$O$86,15,0)),0,VLOOKUP($S$59,'TAR FIN'!$A$1:$O$86,15,0))</f>
        <v>0</v>
      </c>
      <c r="W59" s="6">
        <f>IF(ISERROR(VLOOKUP($T$59,'TAR FIN'!$A$1:$O$86,15,0)),0,VLOOKUP($T$59,'TAR FIN'!$A$1:$O$86,15,0))</f>
        <v>78.680000000000007</v>
      </c>
      <c r="X59" s="6">
        <f>IF(ISERROR(VLOOKUP($U$59,'TAR FIN'!$A$1:$O$86,15,0)),0,VLOOKUP($U$59,'TAR FIN'!$A$1:$O$86,15,0))</f>
        <v>0</v>
      </c>
      <c r="Y59" s="6"/>
      <c r="Z59" s="6">
        <f ca="1">('TUSD BE'!$AM$8+'TUSD BF_350'!$AM$8+'TUSD CVA'!$AM$8)*1</f>
        <v>100.23755694003805</v>
      </c>
      <c r="AA59" s="6"/>
      <c r="AB59" s="6">
        <f>$K$59*$V$59</f>
        <v>0</v>
      </c>
      <c r="AC59" s="6">
        <f>$M$59*$W$59</f>
        <v>92737.676920000013</v>
      </c>
      <c r="AD59" s="6">
        <f>$O$59*$X$59</f>
        <v>0</v>
      </c>
      <c r="AE59" s="6">
        <f>$K$59*$Y$59</f>
        <v>0</v>
      </c>
      <c r="AF59" s="6">
        <f ca="1">$M$59*$Z$59</f>
        <v>118146.90100095772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38</v>
      </c>
      <c r="C60" s="4" t="s">
        <v>39</v>
      </c>
      <c r="D60" s="4" t="s">
        <v>37</v>
      </c>
      <c r="E60" s="4" t="s">
        <v>25</v>
      </c>
      <c r="F60" s="4" t="s">
        <v>57</v>
      </c>
      <c r="G60" s="4" t="s">
        <v>25</v>
      </c>
      <c r="H60" s="4" t="s">
        <v>25</v>
      </c>
      <c r="I60" s="5">
        <v>44682</v>
      </c>
      <c r="J60" s="6">
        <v>0</v>
      </c>
      <c r="K60" s="6">
        <v>0</v>
      </c>
      <c r="L60" s="6">
        <v>2365.0210000000002</v>
      </c>
      <c r="M60" s="6">
        <v>1182.5105000000001</v>
      </c>
      <c r="N60" s="6">
        <v>0</v>
      </c>
      <c r="O60" s="6">
        <v>0</v>
      </c>
      <c r="P60" s="6">
        <v>4</v>
      </c>
      <c r="Q60" s="4" t="s">
        <v>58</v>
      </c>
      <c r="R60" s="4">
        <v>0</v>
      </c>
      <c r="S60" s="6">
        <v>0</v>
      </c>
      <c r="T60" s="6">
        <v>7</v>
      </c>
      <c r="U60" s="6">
        <v>0</v>
      </c>
      <c r="V60" s="6">
        <f>IF(ISERROR(VLOOKUP($S$60,'TAR FIN'!$A$1:$O$86,15,0)),0,VLOOKUP($S$60,'TAR FIN'!$A$1:$O$86,15,0))</f>
        <v>0</v>
      </c>
      <c r="W60" s="6">
        <f>IF(ISERROR(VLOOKUP($T$60,'TAR FIN'!$A$1:$O$86,15,0)),0,VLOOKUP($T$60,'TAR FIN'!$A$1:$O$86,15,0))</f>
        <v>78.680000000000007</v>
      </c>
      <c r="X60" s="6">
        <f>IF(ISERROR(VLOOKUP($U$60,'TAR FIN'!$A$1:$O$86,15,0)),0,VLOOKUP($U$60,'TAR FIN'!$A$1:$O$86,15,0))</f>
        <v>0</v>
      </c>
      <c r="Y60" s="6"/>
      <c r="Z60" s="6">
        <f ca="1">('TUSD BE'!$AM$8+'TUSD BF_350'!$AM$8+'TUSD CVA'!$AM$8)*1</f>
        <v>100.23755694003805</v>
      </c>
      <c r="AA60" s="6"/>
      <c r="AB60" s="6">
        <f>$K$60*$V$60</f>
        <v>0</v>
      </c>
      <c r="AC60" s="6">
        <f>$M$60*$W$60</f>
        <v>93039.92614000001</v>
      </c>
      <c r="AD60" s="6">
        <f>$O$60*$X$60</f>
        <v>0</v>
      </c>
      <c r="AE60" s="6">
        <f>$K$60*$Y$60</f>
        <v>0</v>
      </c>
      <c r="AF60" s="6">
        <f ca="1">$M$60*$Z$60</f>
        <v>118531.96357594286</v>
      </c>
      <c r="AG60" s="6">
        <f>$O$60*$AA$60</f>
        <v>0</v>
      </c>
    </row>
    <row r="61" spans="1:33" ht="11.25" customHeight="1" x14ac:dyDescent="0.25">
      <c r="A61" s="4" t="s">
        <v>56</v>
      </c>
      <c r="B61" s="4" t="s">
        <v>38</v>
      </c>
      <c r="C61" s="4" t="s">
        <v>39</v>
      </c>
      <c r="D61" s="4" t="s">
        <v>37</v>
      </c>
      <c r="E61" s="4" t="s">
        <v>25</v>
      </c>
      <c r="F61" s="4" t="s">
        <v>57</v>
      </c>
      <c r="G61" s="4" t="s">
        <v>25</v>
      </c>
      <c r="H61" s="4" t="s">
        <v>25</v>
      </c>
      <c r="I61" s="5">
        <v>44713</v>
      </c>
      <c r="J61" s="6">
        <v>0</v>
      </c>
      <c r="K61" s="6">
        <v>0</v>
      </c>
      <c r="L61" s="6">
        <v>2365.0210000000002</v>
      </c>
      <c r="M61" s="6">
        <v>1182.5105000000001</v>
      </c>
      <c r="N61" s="6">
        <v>0</v>
      </c>
      <c r="O61" s="6">
        <v>0</v>
      </c>
      <c r="P61" s="6">
        <v>4</v>
      </c>
      <c r="Q61" s="4" t="s">
        <v>58</v>
      </c>
      <c r="R61" s="4">
        <v>0</v>
      </c>
      <c r="S61" s="6">
        <v>0</v>
      </c>
      <c r="T61" s="6">
        <v>7</v>
      </c>
      <c r="U61" s="6">
        <v>0</v>
      </c>
      <c r="V61" s="6">
        <f>IF(ISERROR(VLOOKUP($S$61,'TAR FIN'!$A$1:$O$86,15,0)),0,VLOOKUP($S$61,'TAR FIN'!$A$1:$O$86,15,0))</f>
        <v>0</v>
      </c>
      <c r="W61" s="6">
        <f>IF(ISERROR(VLOOKUP($T$61,'TAR FIN'!$A$1:$O$86,15,0)),0,VLOOKUP($T$61,'TAR FIN'!$A$1:$O$86,15,0))</f>
        <v>78.680000000000007</v>
      </c>
      <c r="X61" s="6">
        <f>IF(ISERROR(VLOOKUP($U$61,'TAR FIN'!$A$1:$O$86,15,0)),0,VLOOKUP($U$61,'TAR FIN'!$A$1:$O$86,15,0))</f>
        <v>0</v>
      </c>
      <c r="Y61" s="6"/>
      <c r="Z61" s="6">
        <f ca="1">('TUSD BE'!$AM$8+'TUSD BF_350'!$AM$8+'TUSD CVA'!$AM$8)*1</f>
        <v>100.23755694003805</v>
      </c>
      <c r="AA61" s="6"/>
      <c r="AB61" s="6">
        <f>$K$61*$V$61</f>
        <v>0</v>
      </c>
      <c r="AC61" s="6">
        <f>$M$61*$W$61</f>
        <v>93039.92614000001</v>
      </c>
      <c r="AD61" s="6">
        <f>$O$61*$X$61</f>
        <v>0</v>
      </c>
      <c r="AE61" s="6">
        <f>$K$61*$Y$61</f>
        <v>0</v>
      </c>
      <c r="AF61" s="6">
        <f ca="1">$M$61*$Z$61</f>
        <v>118531.96357594286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38</v>
      </c>
      <c r="C62" s="4" t="s">
        <v>39</v>
      </c>
      <c r="D62" s="4" t="s">
        <v>37</v>
      </c>
      <c r="E62" s="4" t="s">
        <v>25</v>
      </c>
      <c r="F62" s="4" t="s">
        <v>57</v>
      </c>
      <c r="G62" s="4" t="s">
        <v>25</v>
      </c>
      <c r="H62" s="4" t="s">
        <v>33</v>
      </c>
      <c r="I62" s="5">
        <v>44378</v>
      </c>
      <c r="J62" s="6">
        <v>5232</v>
      </c>
      <c r="K62" s="6">
        <v>2616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58</v>
      </c>
      <c r="R62" s="4">
        <v>0</v>
      </c>
      <c r="S62" s="6">
        <v>3</v>
      </c>
      <c r="T62" s="6">
        <v>0</v>
      </c>
      <c r="U62" s="6">
        <v>0</v>
      </c>
      <c r="V62" s="6">
        <f>IF(ISERROR(VLOOKUP($S$62,'TAR FIN'!$A$1:$O$86,15,0)),0,VLOOKUP($S$62,'TAR FIN'!$A$1:$O$86,15,0))</f>
        <v>51.41</v>
      </c>
      <c r="W62" s="6">
        <f>IF(ISERROR(VLOOKUP($T$62,'TAR FIN'!$A$1:$O$86,15,0)),0,VLOOKUP($T$62,'TAR FIN'!$A$1:$O$86,15,0))</f>
        <v>0</v>
      </c>
      <c r="X62" s="6">
        <f>IF(ISERROR(VLOOKUP($U$62,'TAR FIN'!$A$1:$O$86,15,0)),0,VLOOKUP($U$62,'TAR FIN'!$A$1:$O$86,15,0))</f>
        <v>0</v>
      </c>
      <c r="Y62" s="6">
        <f ca="1">('TUSD BE'!$AM$6+'TUSD BF_350'!$AM$6+'TUSD CVA'!$AM$6)*1</f>
        <v>40.182791243128264</v>
      </c>
      <c r="Z62" s="6">
        <f ca="1">('TUSD BE'!$AM$8+'TUSD BF_350'!$AM$8+'TUSD CVA'!$AM$8)*1</f>
        <v>100.23755694003805</v>
      </c>
      <c r="AA62" s="6"/>
      <c r="AB62" s="6">
        <f>$K$62*$V$62</f>
        <v>134488.56</v>
      </c>
      <c r="AC62" s="6">
        <f>$M$62*$W$62</f>
        <v>0</v>
      </c>
      <c r="AD62" s="6">
        <f>$O$62*$X$62</f>
        <v>0</v>
      </c>
      <c r="AE62" s="6">
        <f ca="1">$K$62*$Y$62</f>
        <v>105118.18189202354</v>
      </c>
      <c r="AF62" s="6">
        <f ca="1"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38</v>
      </c>
      <c r="C63" s="4" t="s">
        <v>39</v>
      </c>
      <c r="D63" s="4" t="s">
        <v>37</v>
      </c>
      <c r="E63" s="4" t="s">
        <v>25</v>
      </c>
      <c r="F63" s="4" t="s">
        <v>57</v>
      </c>
      <c r="G63" s="4" t="s">
        <v>25</v>
      </c>
      <c r="H63" s="4" t="s">
        <v>33</v>
      </c>
      <c r="I63" s="5">
        <v>44409</v>
      </c>
      <c r="J63" s="6">
        <v>5286</v>
      </c>
      <c r="K63" s="6">
        <v>2643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58</v>
      </c>
      <c r="R63" s="4">
        <v>0</v>
      </c>
      <c r="S63" s="6">
        <v>3</v>
      </c>
      <c r="T63" s="6">
        <v>0</v>
      </c>
      <c r="U63" s="6">
        <v>0</v>
      </c>
      <c r="V63" s="6">
        <f>IF(ISERROR(VLOOKUP($S$63,'TAR FIN'!$A$1:$O$86,15,0)),0,VLOOKUP($S$63,'TAR FIN'!$A$1:$O$86,15,0))</f>
        <v>51.41</v>
      </c>
      <c r="W63" s="6">
        <f>IF(ISERROR(VLOOKUP($T$63,'TAR FIN'!$A$1:$O$86,15,0)),0,VLOOKUP($T$63,'TAR FIN'!$A$1:$O$86,15,0))</f>
        <v>0</v>
      </c>
      <c r="X63" s="6">
        <f>IF(ISERROR(VLOOKUP($U$63,'TAR FIN'!$A$1:$O$86,15,0)),0,VLOOKUP($U$63,'TAR FIN'!$A$1:$O$86,15,0))</f>
        <v>0</v>
      </c>
      <c r="Y63" s="6">
        <f ca="1">('TUSD BE'!$AM$6+'TUSD BF_350'!$AM$6+'TUSD CVA'!$AM$6)*1</f>
        <v>40.182791243128264</v>
      </c>
      <c r="Z63" s="6">
        <f ca="1">('TUSD BE'!$AM$8+'TUSD BF_350'!$AM$8+'TUSD CVA'!$AM$8)*1</f>
        <v>100.23755694003805</v>
      </c>
      <c r="AA63" s="6"/>
      <c r="AB63" s="6">
        <f>$K$63*$V$63</f>
        <v>135876.63</v>
      </c>
      <c r="AC63" s="6">
        <f>$M$63*$W$63</f>
        <v>0</v>
      </c>
      <c r="AD63" s="6">
        <f>$O$63*$X$63</f>
        <v>0</v>
      </c>
      <c r="AE63" s="6">
        <f ca="1">$K$63*$Y$63</f>
        <v>106203.117255588</v>
      </c>
      <c r="AF63" s="6">
        <f ca="1"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38</v>
      </c>
      <c r="C64" s="4" t="s">
        <v>39</v>
      </c>
      <c r="D64" s="4" t="s">
        <v>37</v>
      </c>
      <c r="E64" s="4" t="s">
        <v>25</v>
      </c>
      <c r="F64" s="4" t="s">
        <v>57</v>
      </c>
      <c r="G64" s="4" t="s">
        <v>25</v>
      </c>
      <c r="H64" s="4" t="s">
        <v>33</v>
      </c>
      <c r="I64" s="5">
        <v>44440</v>
      </c>
      <c r="J64" s="6">
        <v>5291</v>
      </c>
      <c r="K64" s="6">
        <v>2645.5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58</v>
      </c>
      <c r="R64" s="4">
        <v>0</v>
      </c>
      <c r="S64" s="6">
        <v>3</v>
      </c>
      <c r="T64" s="6">
        <v>0</v>
      </c>
      <c r="U64" s="6">
        <v>0</v>
      </c>
      <c r="V64" s="6">
        <f>IF(ISERROR(VLOOKUP($S$64,'TAR FIN'!$A$1:$O$86,15,0)),0,VLOOKUP($S$64,'TAR FIN'!$A$1:$O$86,15,0))</f>
        <v>51.41</v>
      </c>
      <c r="W64" s="6">
        <f>IF(ISERROR(VLOOKUP($T$64,'TAR FIN'!$A$1:$O$86,15,0)),0,VLOOKUP($T$64,'TAR FIN'!$A$1:$O$86,15,0))</f>
        <v>0</v>
      </c>
      <c r="X64" s="6">
        <f>IF(ISERROR(VLOOKUP($U$64,'TAR FIN'!$A$1:$O$86,15,0)),0,VLOOKUP($U$64,'TAR FIN'!$A$1:$O$86,15,0))</f>
        <v>0</v>
      </c>
      <c r="Y64" s="6">
        <f ca="1">('TUSD BE'!$AM$6+'TUSD BF_350'!$AM$6+'TUSD CVA'!$AM$6)*1</f>
        <v>40.182791243128264</v>
      </c>
      <c r="Z64" s="6">
        <f ca="1">('TUSD BE'!$AM$8+'TUSD BF_350'!$AM$8+'TUSD CVA'!$AM$8)*1</f>
        <v>100.23755694003805</v>
      </c>
      <c r="AA64" s="6"/>
      <c r="AB64" s="6">
        <f>$K$64*$V$64</f>
        <v>136005.155</v>
      </c>
      <c r="AC64" s="6">
        <f>$M$64*$W$64</f>
        <v>0</v>
      </c>
      <c r="AD64" s="6">
        <f>$O$64*$X$64</f>
        <v>0</v>
      </c>
      <c r="AE64" s="6">
        <f ca="1">$K$64*$Y$64</f>
        <v>106303.57423369582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38</v>
      </c>
      <c r="C65" s="4" t="s">
        <v>39</v>
      </c>
      <c r="D65" s="4" t="s">
        <v>37</v>
      </c>
      <c r="E65" s="4" t="s">
        <v>25</v>
      </c>
      <c r="F65" s="4" t="s">
        <v>57</v>
      </c>
      <c r="G65" s="4" t="s">
        <v>25</v>
      </c>
      <c r="H65" s="4" t="s">
        <v>33</v>
      </c>
      <c r="I65" s="5">
        <v>44470</v>
      </c>
      <c r="J65" s="6">
        <v>5310</v>
      </c>
      <c r="K65" s="6">
        <v>2655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58</v>
      </c>
      <c r="R65" s="4">
        <v>0</v>
      </c>
      <c r="S65" s="6">
        <v>3</v>
      </c>
      <c r="T65" s="6">
        <v>0</v>
      </c>
      <c r="U65" s="6">
        <v>0</v>
      </c>
      <c r="V65" s="6">
        <f>IF(ISERROR(VLOOKUP($S$65,'TAR FIN'!$A$1:$O$86,15,0)),0,VLOOKUP($S$65,'TAR FIN'!$A$1:$O$86,15,0))</f>
        <v>51.41</v>
      </c>
      <c r="W65" s="6">
        <f>IF(ISERROR(VLOOKUP($T$65,'TAR FIN'!$A$1:$O$86,15,0)),0,VLOOKUP($T$65,'TAR FIN'!$A$1:$O$86,15,0))</f>
        <v>0</v>
      </c>
      <c r="X65" s="6">
        <f>IF(ISERROR(VLOOKUP($U$65,'TAR FIN'!$A$1:$O$86,15,0)),0,VLOOKUP($U$65,'TAR FIN'!$A$1:$O$86,15,0))</f>
        <v>0</v>
      </c>
      <c r="Y65" s="6">
        <f ca="1">('TUSD BE'!$AM$6+'TUSD BF_350'!$AM$6+'TUSD CVA'!$AM$6)*1</f>
        <v>40.182791243128264</v>
      </c>
      <c r="Z65" s="6">
        <f ca="1">('TUSD BE'!$AM$8+'TUSD BF_350'!$AM$8+'TUSD CVA'!$AM$8)*1</f>
        <v>100.23755694003805</v>
      </c>
      <c r="AA65" s="6"/>
      <c r="AB65" s="6">
        <f>$K$65*$V$65</f>
        <v>136493.54999999999</v>
      </c>
      <c r="AC65" s="6">
        <f>$M$65*$W$65</f>
        <v>0</v>
      </c>
      <c r="AD65" s="6">
        <f>$O$65*$X$65</f>
        <v>0</v>
      </c>
      <c r="AE65" s="6">
        <f ca="1">$K$65*$Y$65</f>
        <v>106685.31075050554</v>
      </c>
      <c r="AF65" s="6">
        <f ca="1"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38</v>
      </c>
      <c r="C66" s="4" t="s">
        <v>39</v>
      </c>
      <c r="D66" s="4" t="s">
        <v>37</v>
      </c>
      <c r="E66" s="4" t="s">
        <v>25</v>
      </c>
      <c r="F66" s="4" t="s">
        <v>57</v>
      </c>
      <c r="G66" s="4" t="s">
        <v>25</v>
      </c>
      <c r="H66" s="4" t="s">
        <v>33</v>
      </c>
      <c r="I66" s="5">
        <v>44501</v>
      </c>
      <c r="J66" s="6">
        <v>5312</v>
      </c>
      <c r="K66" s="6">
        <v>2656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58</v>
      </c>
      <c r="R66" s="4">
        <v>0</v>
      </c>
      <c r="S66" s="6">
        <v>3</v>
      </c>
      <c r="T66" s="6">
        <v>0</v>
      </c>
      <c r="U66" s="6">
        <v>0</v>
      </c>
      <c r="V66" s="6">
        <f>IF(ISERROR(VLOOKUP($S$66,'TAR FIN'!$A$1:$O$86,15,0)),0,VLOOKUP($S$66,'TAR FIN'!$A$1:$O$86,15,0))</f>
        <v>51.41</v>
      </c>
      <c r="W66" s="6">
        <f>IF(ISERROR(VLOOKUP($T$66,'TAR FIN'!$A$1:$O$86,15,0)),0,VLOOKUP($T$66,'TAR FIN'!$A$1:$O$86,15,0))</f>
        <v>0</v>
      </c>
      <c r="X66" s="6">
        <f>IF(ISERROR(VLOOKUP($U$66,'TAR FIN'!$A$1:$O$86,15,0)),0,VLOOKUP($U$66,'TAR FIN'!$A$1:$O$86,15,0))</f>
        <v>0</v>
      </c>
      <c r="Y66" s="6">
        <f ca="1">('TUSD BE'!$AM$6+'TUSD BF_350'!$AM$6+'TUSD CVA'!$AM$6)*1</f>
        <v>40.182791243128264</v>
      </c>
      <c r="Z66" s="6">
        <f ca="1">('TUSD BE'!$AM$8+'TUSD BF_350'!$AM$8+'TUSD CVA'!$AM$8)*1</f>
        <v>100.23755694003805</v>
      </c>
      <c r="AA66" s="6"/>
      <c r="AB66" s="6">
        <f>$K$66*$V$66</f>
        <v>136544.95999999999</v>
      </c>
      <c r="AC66" s="6">
        <f>$M$66*$W$66</f>
        <v>0</v>
      </c>
      <c r="AD66" s="6">
        <f>$O$66*$X$66</f>
        <v>0</v>
      </c>
      <c r="AE66" s="6">
        <f ca="1">$K$66*$Y$66</f>
        <v>106725.49354174867</v>
      </c>
      <c r="AF66" s="6">
        <f ca="1"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38</v>
      </c>
      <c r="C67" s="4" t="s">
        <v>39</v>
      </c>
      <c r="D67" s="4" t="s">
        <v>37</v>
      </c>
      <c r="E67" s="4" t="s">
        <v>25</v>
      </c>
      <c r="F67" s="4" t="s">
        <v>57</v>
      </c>
      <c r="G67" s="4" t="s">
        <v>25</v>
      </c>
      <c r="H67" s="4" t="s">
        <v>33</v>
      </c>
      <c r="I67" s="5">
        <v>44531</v>
      </c>
      <c r="J67" s="6">
        <v>5357</v>
      </c>
      <c r="K67" s="6">
        <v>2678.5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58</v>
      </c>
      <c r="R67" s="4">
        <v>0</v>
      </c>
      <c r="S67" s="6">
        <v>3</v>
      </c>
      <c r="T67" s="6">
        <v>0</v>
      </c>
      <c r="U67" s="6">
        <v>0</v>
      </c>
      <c r="V67" s="6">
        <f>IF(ISERROR(VLOOKUP($S$67,'TAR FIN'!$A$1:$O$86,15,0)),0,VLOOKUP($S$67,'TAR FIN'!$A$1:$O$86,15,0))</f>
        <v>51.41</v>
      </c>
      <c r="W67" s="6">
        <f>IF(ISERROR(VLOOKUP($T$67,'TAR FIN'!$A$1:$O$86,15,0)),0,VLOOKUP($T$67,'TAR FIN'!$A$1:$O$86,15,0))</f>
        <v>0</v>
      </c>
      <c r="X67" s="6">
        <f>IF(ISERROR(VLOOKUP($U$67,'TAR FIN'!$A$1:$O$86,15,0)),0,VLOOKUP($U$67,'TAR FIN'!$A$1:$O$86,15,0))</f>
        <v>0</v>
      </c>
      <c r="Y67" s="6">
        <f ca="1">('TUSD BE'!$AM$6+'TUSD BF_350'!$AM$6+'TUSD CVA'!$AM$6)*1</f>
        <v>40.182791243128264</v>
      </c>
      <c r="Z67" s="6">
        <f ca="1">('TUSD BE'!$AM$8+'TUSD BF_350'!$AM$8+'TUSD CVA'!$AM$8)*1</f>
        <v>100.23755694003805</v>
      </c>
      <c r="AA67" s="6"/>
      <c r="AB67" s="6">
        <f>$K$67*$V$67</f>
        <v>137701.685</v>
      </c>
      <c r="AC67" s="6">
        <f>$M$67*$W$67</f>
        <v>0</v>
      </c>
      <c r="AD67" s="6">
        <f>$O$67*$X$67</f>
        <v>0</v>
      </c>
      <c r="AE67" s="6">
        <f ca="1">$K$67*$Y$67</f>
        <v>107629.60634471905</v>
      </c>
      <c r="AF67" s="6">
        <f ca="1"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38</v>
      </c>
      <c r="C68" s="4" t="s">
        <v>39</v>
      </c>
      <c r="D68" s="4" t="s">
        <v>37</v>
      </c>
      <c r="E68" s="4" t="s">
        <v>25</v>
      </c>
      <c r="F68" s="4" t="s">
        <v>57</v>
      </c>
      <c r="G68" s="4" t="s">
        <v>25</v>
      </c>
      <c r="H68" s="4" t="s">
        <v>33</v>
      </c>
      <c r="I68" s="5">
        <v>44562</v>
      </c>
      <c r="J68" s="6">
        <v>5406</v>
      </c>
      <c r="K68" s="6">
        <v>2703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58</v>
      </c>
      <c r="R68" s="4">
        <v>0</v>
      </c>
      <c r="S68" s="6">
        <v>3</v>
      </c>
      <c r="T68" s="6">
        <v>0</v>
      </c>
      <c r="U68" s="6">
        <v>0</v>
      </c>
      <c r="V68" s="6">
        <f>IF(ISERROR(VLOOKUP($S$68,'TAR FIN'!$A$1:$O$86,15,0)),0,VLOOKUP($S$68,'TAR FIN'!$A$1:$O$86,15,0))</f>
        <v>51.41</v>
      </c>
      <c r="W68" s="6">
        <f>IF(ISERROR(VLOOKUP($T$68,'TAR FIN'!$A$1:$O$86,15,0)),0,VLOOKUP($T$68,'TAR FIN'!$A$1:$O$86,15,0))</f>
        <v>0</v>
      </c>
      <c r="X68" s="6">
        <f>IF(ISERROR(VLOOKUP($U$68,'TAR FIN'!$A$1:$O$86,15,0)),0,VLOOKUP($U$68,'TAR FIN'!$A$1:$O$86,15,0))</f>
        <v>0</v>
      </c>
      <c r="Y68" s="6">
        <f ca="1">('TUSD BE'!$AM$6+'TUSD BF_350'!$AM$6+'TUSD CVA'!$AM$6)*1</f>
        <v>40.182791243128264</v>
      </c>
      <c r="Z68" s="6">
        <f ca="1">('TUSD BE'!$AM$8+'TUSD BF_350'!$AM$8+'TUSD CVA'!$AM$8)*1</f>
        <v>100.23755694003805</v>
      </c>
      <c r="AA68" s="6"/>
      <c r="AB68" s="6">
        <f>$K$68*$V$68</f>
        <v>138961.22999999998</v>
      </c>
      <c r="AC68" s="6">
        <f>$M$68*$W$68</f>
        <v>0</v>
      </c>
      <c r="AD68" s="6">
        <f>$O$68*$X$68</f>
        <v>0</v>
      </c>
      <c r="AE68" s="6">
        <f ca="1">$K$68*$Y$68</f>
        <v>108614.0847301757</v>
      </c>
      <c r="AF68" s="6">
        <f ca="1"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38</v>
      </c>
      <c r="C69" s="4" t="s">
        <v>39</v>
      </c>
      <c r="D69" s="4" t="s">
        <v>37</v>
      </c>
      <c r="E69" s="4" t="s">
        <v>25</v>
      </c>
      <c r="F69" s="4" t="s">
        <v>57</v>
      </c>
      <c r="G69" s="4" t="s">
        <v>25</v>
      </c>
      <c r="H69" s="4" t="s">
        <v>33</v>
      </c>
      <c r="I69" s="5">
        <v>44593</v>
      </c>
      <c r="J69" s="6">
        <v>5387</v>
      </c>
      <c r="K69" s="6">
        <v>2693.5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58</v>
      </c>
      <c r="R69" s="4">
        <v>0</v>
      </c>
      <c r="S69" s="6">
        <v>3</v>
      </c>
      <c r="T69" s="6">
        <v>0</v>
      </c>
      <c r="U69" s="6">
        <v>0</v>
      </c>
      <c r="V69" s="6">
        <f>IF(ISERROR(VLOOKUP($S$69,'TAR FIN'!$A$1:$O$86,15,0)),0,VLOOKUP($S$69,'TAR FIN'!$A$1:$O$86,15,0))</f>
        <v>51.41</v>
      </c>
      <c r="W69" s="6">
        <f>IF(ISERROR(VLOOKUP($T$69,'TAR FIN'!$A$1:$O$86,15,0)),0,VLOOKUP($T$69,'TAR FIN'!$A$1:$O$86,15,0))</f>
        <v>0</v>
      </c>
      <c r="X69" s="6">
        <f>IF(ISERROR(VLOOKUP($U$69,'TAR FIN'!$A$1:$O$86,15,0)),0,VLOOKUP($U$69,'TAR FIN'!$A$1:$O$86,15,0))</f>
        <v>0</v>
      </c>
      <c r="Y69" s="6">
        <f ca="1">('TUSD BE'!$AM$6+'TUSD BF_350'!$AM$6+'TUSD CVA'!$AM$6)*1</f>
        <v>40.182791243128264</v>
      </c>
      <c r="Z69" s="6">
        <f ca="1">('TUSD BE'!$AM$8+'TUSD BF_350'!$AM$8+'TUSD CVA'!$AM$8)*1</f>
        <v>100.23755694003805</v>
      </c>
      <c r="AA69" s="6"/>
      <c r="AB69" s="6">
        <f>$K$69*$V$69</f>
        <v>138472.83499999999</v>
      </c>
      <c r="AC69" s="6">
        <f>$M$69*$W$69</f>
        <v>0</v>
      </c>
      <c r="AD69" s="6">
        <f>$O$69*$X$69</f>
        <v>0</v>
      </c>
      <c r="AE69" s="6">
        <f ca="1">$K$69*$Y$69</f>
        <v>108232.34821336599</v>
      </c>
      <c r="AF69" s="6">
        <f ca="1"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38</v>
      </c>
      <c r="C70" s="4" t="s">
        <v>39</v>
      </c>
      <c r="D70" s="4" t="s">
        <v>37</v>
      </c>
      <c r="E70" s="4" t="s">
        <v>25</v>
      </c>
      <c r="F70" s="4" t="s">
        <v>57</v>
      </c>
      <c r="G70" s="4" t="s">
        <v>25</v>
      </c>
      <c r="H70" s="4" t="s">
        <v>33</v>
      </c>
      <c r="I70" s="5">
        <v>44621</v>
      </c>
      <c r="J70" s="6">
        <v>5395</v>
      </c>
      <c r="K70" s="6">
        <v>2697.5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58</v>
      </c>
      <c r="R70" s="4">
        <v>0</v>
      </c>
      <c r="S70" s="6">
        <v>3</v>
      </c>
      <c r="T70" s="6">
        <v>0</v>
      </c>
      <c r="U70" s="6">
        <v>0</v>
      </c>
      <c r="V70" s="6">
        <f>IF(ISERROR(VLOOKUP($S$70,'TAR FIN'!$A$1:$O$86,15,0)),0,VLOOKUP($S$70,'TAR FIN'!$A$1:$O$86,15,0))</f>
        <v>51.41</v>
      </c>
      <c r="W70" s="6">
        <f>IF(ISERROR(VLOOKUP($T$70,'TAR FIN'!$A$1:$O$86,15,0)),0,VLOOKUP($T$70,'TAR FIN'!$A$1:$O$86,15,0))</f>
        <v>0</v>
      </c>
      <c r="X70" s="6">
        <f>IF(ISERROR(VLOOKUP($U$70,'TAR FIN'!$A$1:$O$86,15,0)),0,VLOOKUP($U$70,'TAR FIN'!$A$1:$O$86,15,0))</f>
        <v>0</v>
      </c>
      <c r="Y70" s="6">
        <f ca="1">('TUSD BE'!$AM$6+'TUSD BF_350'!$AM$6+'TUSD CVA'!$AM$6)*1</f>
        <v>40.182791243128264</v>
      </c>
      <c r="Z70" s="6">
        <f ca="1">('TUSD BE'!$AM$8+'TUSD BF_350'!$AM$8+'TUSD CVA'!$AM$8)*1</f>
        <v>100.23755694003805</v>
      </c>
      <c r="AA70" s="6"/>
      <c r="AB70" s="6">
        <f>$K$70*$V$70</f>
        <v>138678.47499999998</v>
      </c>
      <c r="AC70" s="6">
        <f>$M$70*$W$70</f>
        <v>0</v>
      </c>
      <c r="AD70" s="6">
        <f>$O$70*$X$70</f>
        <v>0</v>
      </c>
      <c r="AE70" s="6">
        <f ca="1">$K$70*$Y$70</f>
        <v>108393.07937833849</v>
      </c>
      <c r="AF70" s="6">
        <f ca="1"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38</v>
      </c>
      <c r="C71" s="4" t="s">
        <v>39</v>
      </c>
      <c r="D71" s="4" t="s">
        <v>37</v>
      </c>
      <c r="E71" s="4" t="s">
        <v>25</v>
      </c>
      <c r="F71" s="4" t="s">
        <v>57</v>
      </c>
      <c r="G71" s="4" t="s">
        <v>25</v>
      </c>
      <c r="H71" s="4" t="s">
        <v>33</v>
      </c>
      <c r="I71" s="5">
        <v>44652</v>
      </c>
      <c r="J71" s="6">
        <v>5332</v>
      </c>
      <c r="K71" s="6">
        <v>2666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58</v>
      </c>
      <c r="R71" s="4">
        <v>0</v>
      </c>
      <c r="S71" s="6">
        <v>3</v>
      </c>
      <c r="T71" s="6">
        <v>0</v>
      </c>
      <c r="U71" s="6">
        <v>0</v>
      </c>
      <c r="V71" s="6">
        <f>IF(ISERROR(VLOOKUP($S$71,'TAR FIN'!$A$1:$O$86,15,0)),0,VLOOKUP($S$71,'TAR FIN'!$A$1:$O$86,15,0))</f>
        <v>51.41</v>
      </c>
      <c r="W71" s="6">
        <f>IF(ISERROR(VLOOKUP($T$71,'TAR FIN'!$A$1:$O$86,15,0)),0,VLOOKUP($T$71,'TAR FIN'!$A$1:$O$86,15,0))</f>
        <v>0</v>
      </c>
      <c r="X71" s="6">
        <f>IF(ISERROR(VLOOKUP($U$71,'TAR FIN'!$A$1:$O$86,15,0)),0,VLOOKUP($U$71,'TAR FIN'!$A$1:$O$86,15,0))</f>
        <v>0</v>
      </c>
      <c r="Y71" s="6">
        <f ca="1">('TUSD BE'!$AM$6+'TUSD BF_350'!$AM$6+'TUSD CVA'!$AM$6)*1</f>
        <v>40.182791243128264</v>
      </c>
      <c r="Z71" s="6">
        <f ca="1">('TUSD BE'!$AM$8+'TUSD BF_350'!$AM$8+'TUSD CVA'!$AM$8)*1</f>
        <v>100.23755694003805</v>
      </c>
      <c r="AA71" s="6"/>
      <c r="AB71" s="6">
        <f>$K$71*$V$71</f>
        <v>137059.06</v>
      </c>
      <c r="AC71" s="6">
        <f>$M$71*$W$71</f>
        <v>0</v>
      </c>
      <c r="AD71" s="6">
        <f>$O$71*$X$71</f>
        <v>0</v>
      </c>
      <c r="AE71" s="6">
        <f ca="1">$K$71*$Y$71</f>
        <v>107127.32145417995</v>
      </c>
      <c r="AF71" s="6">
        <f ca="1"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38</v>
      </c>
      <c r="C72" s="4" t="s">
        <v>39</v>
      </c>
      <c r="D72" s="4" t="s">
        <v>37</v>
      </c>
      <c r="E72" s="4" t="s">
        <v>25</v>
      </c>
      <c r="F72" s="4" t="s">
        <v>57</v>
      </c>
      <c r="G72" s="4" t="s">
        <v>25</v>
      </c>
      <c r="H72" s="4" t="s">
        <v>33</v>
      </c>
      <c r="I72" s="5">
        <v>44682</v>
      </c>
      <c r="J72" s="6">
        <v>5385</v>
      </c>
      <c r="K72" s="6">
        <v>2692.5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R72" s="4">
        <v>0</v>
      </c>
      <c r="S72" s="6">
        <v>3</v>
      </c>
      <c r="T72" s="6">
        <v>0</v>
      </c>
      <c r="U72" s="6">
        <v>0</v>
      </c>
      <c r="V72" s="6">
        <f>IF(ISERROR(VLOOKUP($S$72,'TAR FIN'!$A$1:$O$86,15,0)),0,VLOOKUP($S$72,'TAR FIN'!$A$1:$O$86,15,0))</f>
        <v>51.41</v>
      </c>
      <c r="W72" s="6">
        <f>IF(ISERROR(VLOOKUP($T$72,'TAR FIN'!$A$1:$O$86,15,0)),0,VLOOKUP($T$72,'TAR FIN'!$A$1:$O$86,15,0))</f>
        <v>0</v>
      </c>
      <c r="X72" s="6">
        <f>IF(ISERROR(VLOOKUP($U$72,'TAR FIN'!$A$1:$O$86,15,0)),0,VLOOKUP($U$72,'TAR FIN'!$A$1:$O$86,15,0))</f>
        <v>0</v>
      </c>
      <c r="Y72" s="6">
        <f ca="1">('TUSD BE'!$AM$6+'TUSD BF_350'!$AM$6+'TUSD CVA'!$AM$6)*1</f>
        <v>40.182791243128264</v>
      </c>
      <c r="Z72" s="6">
        <f ca="1">('TUSD BE'!$AM$8+'TUSD BF_350'!$AM$8+'TUSD CVA'!$AM$8)*1</f>
        <v>100.23755694003805</v>
      </c>
      <c r="AA72" s="6"/>
      <c r="AB72" s="6">
        <f>$K$72*$V$72</f>
        <v>138421.42499999999</v>
      </c>
      <c r="AC72" s="6">
        <f>$M$72*$W$72</f>
        <v>0</v>
      </c>
      <c r="AD72" s="6">
        <f>$O$72*$X$72</f>
        <v>0</v>
      </c>
      <c r="AE72" s="6">
        <f ca="1">$K$72*$Y$72</f>
        <v>108192.16542212285</v>
      </c>
      <c r="AF72" s="6">
        <f ca="1">$M$72*$Z$72</f>
        <v>0</v>
      </c>
      <c r="AG72" s="6">
        <f>$O$72*$AA$72</f>
        <v>0</v>
      </c>
    </row>
    <row r="73" spans="1:33" ht="11.25" customHeight="1" x14ac:dyDescent="0.25">
      <c r="A73" s="4" t="s">
        <v>56</v>
      </c>
      <c r="B73" s="4" t="s">
        <v>38</v>
      </c>
      <c r="C73" s="4" t="s">
        <v>39</v>
      </c>
      <c r="D73" s="4" t="s">
        <v>37</v>
      </c>
      <c r="E73" s="4" t="s">
        <v>25</v>
      </c>
      <c r="F73" s="4" t="s">
        <v>57</v>
      </c>
      <c r="G73" s="4" t="s">
        <v>25</v>
      </c>
      <c r="H73" s="4" t="s">
        <v>33</v>
      </c>
      <c r="I73" s="5">
        <v>44713</v>
      </c>
      <c r="J73" s="6">
        <v>5385</v>
      </c>
      <c r="K73" s="6">
        <v>2692.5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0</v>
      </c>
      <c r="S73" s="6">
        <v>3</v>
      </c>
      <c r="T73" s="6">
        <v>0</v>
      </c>
      <c r="U73" s="6">
        <v>0</v>
      </c>
      <c r="V73" s="6">
        <f>IF(ISERROR(VLOOKUP($S$73,'TAR FIN'!$A$1:$O$86,15,0)),0,VLOOKUP($S$73,'TAR FIN'!$A$1:$O$86,15,0))</f>
        <v>51.41</v>
      </c>
      <c r="W73" s="6">
        <f>IF(ISERROR(VLOOKUP($T$73,'TAR FIN'!$A$1:$O$86,15,0)),0,VLOOKUP($T$73,'TAR FIN'!$A$1:$O$86,15,0))</f>
        <v>0</v>
      </c>
      <c r="X73" s="6">
        <f>IF(ISERROR(VLOOKUP($U$73,'TAR FIN'!$A$1:$O$86,15,0)),0,VLOOKUP($U$73,'TAR FIN'!$A$1:$O$86,15,0))</f>
        <v>0</v>
      </c>
      <c r="Y73" s="6">
        <f ca="1">('TUSD BE'!$AM$6+'TUSD BF_350'!$AM$6+'TUSD CVA'!$AM$6)*1</f>
        <v>40.182791243128264</v>
      </c>
      <c r="Z73" s="6">
        <f ca="1">('TUSD BE'!$AM$8+'TUSD BF_350'!$AM$8+'TUSD CVA'!$AM$8)*1</f>
        <v>100.23755694003805</v>
      </c>
      <c r="AA73" s="6"/>
      <c r="AB73" s="6">
        <f>$K$73*$V$73</f>
        <v>138421.42499999999</v>
      </c>
      <c r="AC73" s="6">
        <f>$M$73*$W$73</f>
        <v>0</v>
      </c>
      <c r="AD73" s="6">
        <f>$O$73*$X$73</f>
        <v>0</v>
      </c>
      <c r="AE73" s="6">
        <f ca="1">$K$73*$Y$73</f>
        <v>108192.16542212285</v>
      </c>
      <c r="AF73" s="6">
        <f ca="1"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44378</v>
      </c>
      <c r="J74" s="6">
        <v>180</v>
      </c>
      <c r="K74" s="6">
        <v>180</v>
      </c>
      <c r="L74" s="6">
        <v>22.048999999999999</v>
      </c>
      <c r="M74" s="6">
        <v>22.048999999999999</v>
      </c>
      <c r="N74" s="6">
        <v>22.048999999999999</v>
      </c>
      <c r="O74" s="6">
        <v>22.048999999999999</v>
      </c>
      <c r="P74" s="6">
        <v>0</v>
      </c>
      <c r="Q74" s="4" t="s">
        <v>26</v>
      </c>
      <c r="R74" s="4">
        <v>0</v>
      </c>
      <c r="S74" s="6">
        <v>22</v>
      </c>
      <c r="T74" s="6">
        <v>7</v>
      </c>
      <c r="U74" s="6">
        <v>42</v>
      </c>
      <c r="V74" s="6">
        <f>IF(ISERROR(VLOOKUP($S$74,'TAR FIN'!$A$1:$O$86,15,0)),0,VLOOKUP($S$74,'TAR FIN'!$A$1:$O$86,15,0))</f>
        <v>19.239999999999998</v>
      </c>
      <c r="W74" s="6">
        <f>IF(ISERROR(VLOOKUP($T$74,'TAR FIN'!$A$1:$O$86,15,0)),0,VLOOKUP($T$74,'TAR FIN'!$A$1:$O$86,15,0))</f>
        <v>78.680000000000007</v>
      </c>
      <c r="X74" s="6">
        <f>IF(ISERROR(VLOOKUP($U$74,'TAR FIN'!$A$1:$O$86,15,0)),0,VLOOKUP($U$74,'TAR FIN'!$A$1:$O$86,15,0))</f>
        <v>246.3</v>
      </c>
      <c r="Y74" s="6">
        <f ca="1">('TUSD BE'!$AM$7+'TUSD BF_350'!$AM$7+'TUSD CVA'!$AM$7)*1</f>
        <v>15.19295792072058</v>
      </c>
      <c r="Z74" s="6">
        <f ca="1">('TUSD BE'!$AM$8+'TUSD BF_350'!$AM$8+'TUSD CVA'!$AM$8)*1</f>
        <v>100.23755694003805</v>
      </c>
      <c r="AA74" s="6">
        <f ca="1">('TE BE'!$AB$6+'TE BF_350'!$AB$6+'TE CVA'!$AB$6)*1</f>
        <v>219.40364509824883</v>
      </c>
      <c r="AB74" s="6">
        <f>$K$74*$V$74</f>
        <v>3463.2</v>
      </c>
      <c r="AC74" s="6">
        <f>$M$74*$W$74</f>
        <v>1734.8153200000002</v>
      </c>
      <c r="AD74" s="6">
        <f>$O$74*$X$74</f>
        <v>5430.6687000000002</v>
      </c>
      <c r="AE74" s="6">
        <f ca="1">$K$74*$Y$74</f>
        <v>2734.7324257297046</v>
      </c>
      <c r="AF74" s="6">
        <f ca="1">$M$74*$Z$74</f>
        <v>2210.137892970899</v>
      </c>
      <c r="AG74" s="6">
        <f ca="1">$O$74*$AA$74</f>
        <v>4837.630970771288</v>
      </c>
    </row>
    <row r="75" spans="1:33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44409</v>
      </c>
      <c r="J75" s="6">
        <v>180</v>
      </c>
      <c r="K75" s="6">
        <v>180</v>
      </c>
      <c r="L75" s="6">
        <v>21.363</v>
      </c>
      <c r="M75" s="6">
        <v>21.363</v>
      </c>
      <c r="N75" s="6">
        <v>21.363</v>
      </c>
      <c r="O75" s="6">
        <v>21.363</v>
      </c>
      <c r="P75" s="6">
        <v>0</v>
      </c>
      <c r="Q75" s="4" t="s">
        <v>26</v>
      </c>
      <c r="R75" s="4">
        <v>0</v>
      </c>
      <c r="S75" s="6">
        <v>22</v>
      </c>
      <c r="T75" s="6">
        <v>7</v>
      </c>
      <c r="U75" s="6">
        <v>42</v>
      </c>
      <c r="V75" s="6">
        <f>IF(ISERROR(VLOOKUP($S$75,'TAR FIN'!$A$1:$O$86,15,0)),0,VLOOKUP($S$75,'TAR FIN'!$A$1:$O$86,15,0))</f>
        <v>19.239999999999998</v>
      </c>
      <c r="W75" s="6">
        <f>IF(ISERROR(VLOOKUP($T$75,'TAR FIN'!$A$1:$O$86,15,0)),0,VLOOKUP($T$75,'TAR FIN'!$A$1:$O$86,15,0))</f>
        <v>78.680000000000007</v>
      </c>
      <c r="X75" s="6">
        <f>IF(ISERROR(VLOOKUP($U$75,'TAR FIN'!$A$1:$O$86,15,0)),0,VLOOKUP($U$75,'TAR FIN'!$A$1:$O$86,15,0))</f>
        <v>246.3</v>
      </c>
      <c r="Y75" s="6">
        <f ca="1">('TUSD BE'!$AM$7+'TUSD BF_350'!$AM$7+'TUSD CVA'!$AM$7)*1</f>
        <v>15.19295792072058</v>
      </c>
      <c r="Z75" s="6">
        <f ca="1">('TUSD BE'!$AM$8+'TUSD BF_350'!$AM$8+'TUSD CVA'!$AM$8)*1</f>
        <v>100.23755694003805</v>
      </c>
      <c r="AA75" s="6">
        <f ca="1">('TE BE'!$AB$6+'TE BF_350'!$AB$6+'TE CVA'!$AB$6)*1</f>
        <v>219.40364509824883</v>
      </c>
      <c r="AB75" s="6">
        <f>$K$75*$V$75</f>
        <v>3463.2</v>
      </c>
      <c r="AC75" s="6">
        <f>$M$75*$W$75</f>
        <v>1680.8408400000001</v>
      </c>
      <c r="AD75" s="6">
        <f>$O$75*$X$75</f>
        <v>5261.7069000000001</v>
      </c>
      <c r="AE75" s="6">
        <f ca="1">$K$75*$Y$75</f>
        <v>2734.7324257297046</v>
      </c>
      <c r="AF75" s="6">
        <f ca="1">$M$75*$Z$75</f>
        <v>2141.3749289100328</v>
      </c>
      <c r="AG75" s="6">
        <f ca="1">$O$75*$AA$75</f>
        <v>4687.1200702338892</v>
      </c>
    </row>
    <row r="76" spans="1:33" ht="11.25" customHeight="1" x14ac:dyDescent="0.25">
      <c r="A76" s="4" t="s">
        <v>21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44440</v>
      </c>
      <c r="J76" s="6">
        <v>180</v>
      </c>
      <c r="K76" s="6">
        <v>180</v>
      </c>
      <c r="L76" s="6">
        <v>24.32</v>
      </c>
      <c r="M76" s="6">
        <v>24.32</v>
      </c>
      <c r="N76" s="6">
        <v>24.32</v>
      </c>
      <c r="O76" s="6">
        <v>24.32</v>
      </c>
      <c r="P76" s="6">
        <v>0</v>
      </c>
      <c r="Q76" s="4" t="s">
        <v>26</v>
      </c>
      <c r="R76" s="4">
        <v>0</v>
      </c>
      <c r="S76" s="6">
        <v>22</v>
      </c>
      <c r="T76" s="6">
        <v>7</v>
      </c>
      <c r="U76" s="6">
        <v>42</v>
      </c>
      <c r="V76" s="6">
        <f>IF(ISERROR(VLOOKUP($S$76,'TAR FIN'!$A$1:$O$86,15,0)),0,VLOOKUP($S$76,'TAR FIN'!$A$1:$O$86,15,0))</f>
        <v>19.239999999999998</v>
      </c>
      <c r="W76" s="6">
        <f>IF(ISERROR(VLOOKUP($T$76,'TAR FIN'!$A$1:$O$86,15,0)),0,VLOOKUP($T$76,'TAR FIN'!$A$1:$O$86,15,0))</f>
        <v>78.680000000000007</v>
      </c>
      <c r="X76" s="6">
        <f>IF(ISERROR(VLOOKUP($U$76,'TAR FIN'!$A$1:$O$86,15,0)),0,VLOOKUP($U$76,'TAR FIN'!$A$1:$O$86,15,0))</f>
        <v>246.3</v>
      </c>
      <c r="Y76" s="6">
        <f ca="1">('TUSD BE'!$AM$7+'TUSD BF_350'!$AM$7+'TUSD CVA'!$AM$7)*1</f>
        <v>15.19295792072058</v>
      </c>
      <c r="Z76" s="6">
        <f ca="1">('TUSD BE'!$AM$8+'TUSD BF_350'!$AM$8+'TUSD CVA'!$AM$8)*1</f>
        <v>100.23755694003805</v>
      </c>
      <c r="AA76" s="6">
        <f ca="1">('TE BE'!$AB$6+'TE BF_350'!$AB$6+'TE CVA'!$AB$6)*1</f>
        <v>219.40364509824883</v>
      </c>
      <c r="AB76" s="6">
        <f>$K$76*$V$76</f>
        <v>3463.2</v>
      </c>
      <c r="AC76" s="6">
        <f>$M$76*$W$76</f>
        <v>1913.4976000000001</v>
      </c>
      <c r="AD76" s="6">
        <f>$O$76*$X$76</f>
        <v>5990.0160000000005</v>
      </c>
      <c r="AE76" s="6">
        <f ca="1">$K$76*$Y$76</f>
        <v>2734.7324257297046</v>
      </c>
      <c r="AF76" s="6">
        <f ca="1">$M$76*$Z$76</f>
        <v>2437.7773847817252</v>
      </c>
      <c r="AG76" s="6">
        <f ca="1">$O$76*$AA$76</f>
        <v>5335.8966487894113</v>
      </c>
    </row>
    <row r="77" spans="1:33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44470</v>
      </c>
      <c r="J77" s="6">
        <v>180</v>
      </c>
      <c r="K77" s="6">
        <v>180</v>
      </c>
      <c r="L77" s="6">
        <v>24.283000000000001</v>
      </c>
      <c r="M77" s="6">
        <v>24.283000000000001</v>
      </c>
      <c r="N77" s="6">
        <v>24.283000000000001</v>
      </c>
      <c r="O77" s="6">
        <v>24.283000000000001</v>
      </c>
      <c r="P77" s="6">
        <v>0</v>
      </c>
      <c r="Q77" s="4" t="s">
        <v>26</v>
      </c>
      <c r="R77" s="4">
        <v>0</v>
      </c>
      <c r="S77" s="6">
        <v>22</v>
      </c>
      <c r="T77" s="6">
        <v>7</v>
      </c>
      <c r="U77" s="6">
        <v>42</v>
      </c>
      <c r="V77" s="6">
        <f>IF(ISERROR(VLOOKUP($S$77,'TAR FIN'!$A$1:$O$86,15,0)),0,VLOOKUP($S$77,'TAR FIN'!$A$1:$O$86,15,0))</f>
        <v>19.239999999999998</v>
      </c>
      <c r="W77" s="6">
        <f>IF(ISERROR(VLOOKUP($T$77,'TAR FIN'!$A$1:$O$86,15,0)),0,VLOOKUP($T$77,'TAR FIN'!$A$1:$O$86,15,0))</f>
        <v>78.680000000000007</v>
      </c>
      <c r="X77" s="6">
        <f>IF(ISERROR(VLOOKUP($U$77,'TAR FIN'!$A$1:$O$86,15,0)),0,VLOOKUP($U$77,'TAR FIN'!$A$1:$O$86,15,0))</f>
        <v>246.3</v>
      </c>
      <c r="Y77" s="6">
        <f ca="1">('TUSD BE'!$AM$7+'TUSD BF_350'!$AM$7+'TUSD CVA'!$AM$7)*1</f>
        <v>15.19295792072058</v>
      </c>
      <c r="Z77" s="6">
        <f ca="1">('TUSD BE'!$AM$8+'TUSD BF_350'!$AM$8+'TUSD CVA'!$AM$8)*1</f>
        <v>100.23755694003805</v>
      </c>
      <c r="AA77" s="6">
        <f ca="1">('TE BE'!$AB$6+'TE BF_350'!$AB$6+'TE CVA'!$AB$6)*1</f>
        <v>219.40364509824883</v>
      </c>
      <c r="AB77" s="6">
        <f>$K$77*$V$77</f>
        <v>3463.2</v>
      </c>
      <c r="AC77" s="6">
        <f>$M$77*$W$77</f>
        <v>1910.5864400000003</v>
      </c>
      <c r="AD77" s="6">
        <f>$O$77*$X$77</f>
        <v>5980.902900000001</v>
      </c>
      <c r="AE77" s="6">
        <f ca="1">$K$77*$Y$77</f>
        <v>2734.7324257297046</v>
      </c>
      <c r="AF77" s="6">
        <f ca="1">$M$77*$Z$77</f>
        <v>2434.0685951749442</v>
      </c>
      <c r="AG77" s="6">
        <f ca="1">$O$77*$AA$77</f>
        <v>5327.7787139207767</v>
      </c>
    </row>
    <row r="78" spans="1:33" ht="11.25" customHeight="1" x14ac:dyDescent="0.25">
      <c r="A78" s="4" t="s">
        <v>21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44501</v>
      </c>
      <c r="J78" s="6">
        <v>180</v>
      </c>
      <c r="K78" s="6">
        <v>180</v>
      </c>
      <c r="L78" s="6">
        <v>22.431999999999999</v>
      </c>
      <c r="M78" s="6">
        <v>22.431999999999999</v>
      </c>
      <c r="N78" s="6">
        <v>22.431999999999999</v>
      </c>
      <c r="O78" s="6">
        <v>22.431999999999999</v>
      </c>
      <c r="P78" s="6">
        <v>0</v>
      </c>
      <c r="Q78" s="4" t="s">
        <v>26</v>
      </c>
      <c r="R78" s="4">
        <v>0</v>
      </c>
      <c r="S78" s="6">
        <v>22</v>
      </c>
      <c r="T78" s="6">
        <v>7</v>
      </c>
      <c r="U78" s="6">
        <v>42</v>
      </c>
      <c r="V78" s="6">
        <f>IF(ISERROR(VLOOKUP($S$78,'TAR FIN'!$A$1:$O$86,15,0)),0,VLOOKUP($S$78,'TAR FIN'!$A$1:$O$86,15,0))</f>
        <v>19.239999999999998</v>
      </c>
      <c r="W78" s="6">
        <f>IF(ISERROR(VLOOKUP($T$78,'TAR FIN'!$A$1:$O$86,15,0)),0,VLOOKUP($T$78,'TAR FIN'!$A$1:$O$86,15,0))</f>
        <v>78.680000000000007</v>
      </c>
      <c r="X78" s="6">
        <f>IF(ISERROR(VLOOKUP($U$78,'TAR FIN'!$A$1:$O$86,15,0)),0,VLOOKUP($U$78,'TAR FIN'!$A$1:$O$86,15,0))</f>
        <v>246.3</v>
      </c>
      <c r="Y78" s="6">
        <f ca="1">('TUSD BE'!$AM$7+'TUSD BF_350'!$AM$7+'TUSD CVA'!$AM$7)*1</f>
        <v>15.19295792072058</v>
      </c>
      <c r="Z78" s="6">
        <f ca="1">('TUSD BE'!$AM$8+'TUSD BF_350'!$AM$8+'TUSD CVA'!$AM$8)*1</f>
        <v>100.23755694003805</v>
      </c>
      <c r="AA78" s="6">
        <f ca="1">('TE BE'!$AB$6+'TE BF_350'!$AB$6+'TE CVA'!$AB$6)*1</f>
        <v>219.40364509824883</v>
      </c>
      <c r="AB78" s="6">
        <f>$K$78*$V$78</f>
        <v>3463.2</v>
      </c>
      <c r="AC78" s="6">
        <f>$M$78*$W$78</f>
        <v>1764.94976</v>
      </c>
      <c r="AD78" s="6">
        <f>$O$78*$X$78</f>
        <v>5525.0015999999996</v>
      </c>
      <c r="AE78" s="6">
        <f ca="1">$K$78*$Y$78</f>
        <v>2734.7324257297046</v>
      </c>
      <c r="AF78" s="6">
        <f ca="1">$M$78*$Z$78</f>
        <v>2248.5288772789331</v>
      </c>
      <c r="AG78" s="6">
        <f ca="1">$O$78*$AA$78</f>
        <v>4921.6625668439174</v>
      </c>
    </row>
    <row r="79" spans="1:33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44531</v>
      </c>
      <c r="J79" s="6">
        <v>180</v>
      </c>
      <c r="K79" s="6">
        <v>180</v>
      </c>
      <c r="L79" s="6">
        <v>20.414999999999999</v>
      </c>
      <c r="M79" s="6">
        <v>20.414999999999999</v>
      </c>
      <c r="N79" s="6">
        <v>20.414999999999999</v>
      </c>
      <c r="O79" s="6">
        <v>20.414999999999999</v>
      </c>
      <c r="P79" s="6">
        <v>0</v>
      </c>
      <c r="Q79" s="4" t="s">
        <v>26</v>
      </c>
      <c r="R79" s="4">
        <v>0</v>
      </c>
      <c r="S79" s="6">
        <v>22</v>
      </c>
      <c r="T79" s="6">
        <v>7</v>
      </c>
      <c r="U79" s="6">
        <v>42</v>
      </c>
      <c r="V79" s="6">
        <f>IF(ISERROR(VLOOKUP($S$79,'TAR FIN'!$A$1:$O$86,15,0)),0,VLOOKUP($S$79,'TAR FIN'!$A$1:$O$86,15,0))</f>
        <v>19.239999999999998</v>
      </c>
      <c r="W79" s="6">
        <f>IF(ISERROR(VLOOKUP($T$79,'TAR FIN'!$A$1:$O$86,15,0)),0,VLOOKUP($T$79,'TAR FIN'!$A$1:$O$86,15,0))</f>
        <v>78.680000000000007</v>
      </c>
      <c r="X79" s="6">
        <f>IF(ISERROR(VLOOKUP($U$79,'TAR FIN'!$A$1:$O$86,15,0)),0,VLOOKUP($U$79,'TAR FIN'!$A$1:$O$86,15,0))</f>
        <v>246.3</v>
      </c>
      <c r="Y79" s="6">
        <f ca="1">('TUSD BE'!$AM$7+'TUSD BF_350'!$AM$7+'TUSD CVA'!$AM$7)*1</f>
        <v>15.19295792072058</v>
      </c>
      <c r="Z79" s="6">
        <f ca="1">('TUSD BE'!$AM$8+'TUSD BF_350'!$AM$8+'TUSD CVA'!$AM$8)*1</f>
        <v>100.23755694003805</v>
      </c>
      <c r="AA79" s="6">
        <f ca="1">('TE BE'!$AB$6+'TE BF_350'!$AB$6+'TE CVA'!$AB$6)*1</f>
        <v>219.40364509824883</v>
      </c>
      <c r="AB79" s="6">
        <f>$K$79*$V$79</f>
        <v>3463.2</v>
      </c>
      <c r="AC79" s="6">
        <f>$M$79*$W$79</f>
        <v>1606.2522000000001</v>
      </c>
      <c r="AD79" s="6">
        <f>$O$79*$X$79</f>
        <v>5028.2145</v>
      </c>
      <c r="AE79" s="6">
        <f ca="1">$K$79*$Y$79</f>
        <v>2734.7324257297046</v>
      </c>
      <c r="AF79" s="6">
        <f ca="1">$M$79*$Z$79</f>
        <v>2046.3497249308766</v>
      </c>
      <c r="AG79" s="6">
        <f ca="1">$O$79*$AA$79</f>
        <v>4479.1254146807496</v>
      </c>
    </row>
    <row r="80" spans="1:33" ht="11.25" customHeight="1" x14ac:dyDescent="0.25">
      <c r="A80" s="4" t="s">
        <v>21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44562</v>
      </c>
      <c r="J80" s="6">
        <v>180</v>
      </c>
      <c r="K80" s="6">
        <v>180</v>
      </c>
      <c r="L80" s="6">
        <v>22.443000000000001</v>
      </c>
      <c r="M80" s="6">
        <v>22.443000000000001</v>
      </c>
      <c r="N80" s="6">
        <v>22.443000000000001</v>
      </c>
      <c r="O80" s="6">
        <v>22.443000000000001</v>
      </c>
      <c r="P80" s="6">
        <v>0</v>
      </c>
      <c r="Q80" s="4" t="s">
        <v>26</v>
      </c>
      <c r="R80" s="4">
        <v>0</v>
      </c>
      <c r="S80" s="6">
        <v>22</v>
      </c>
      <c r="T80" s="6">
        <v>7</v>
      </c>
      <c r="U80" s="6">
        <v>42</v>
      </c>
      <c r="V80" s="6">
        <f>IF(ISERROR(VLOOKUP($S$80,'TAR FIN'!$A$1:$O$86,15,0)),0,VLOOKUP($S$80,'TAR FIN'!$A$1:$O$86,15,0))</f>
        <v>19.239999999999998</v>
      </c>
      <c r="W80" s="6">
        <f>IF(ISERROR(VLOOKUP($T$80,'TAR FIN'!$A$1:$O$86,15,0)),0,VLOOKUP($T$80,'TAR FIN'!$A$1:$O$86,15,0))</f>
        <v>78.680000000000007</v>
      </c>
      <c r="X80" s="6">
        <f>IF(ISERROR(VLOOKUP($U$80,'TAR FIN'!$A$1:$O$86,15,0)),0,VLOOKUP($U$80,'TAR FIN'!$A$1:$O$86,15,0))</f>
        <v>246.3</v>
      </c>
      <c r="Y80" s="6">
        <f ca="1">('TUSD BE'!$AM$7+'TUSD BF_350'!$AM$7+'TUSD CVA'!$AM$7)*1</f>
        <v>15.19295792072058</v>
      </c>
      <c r="Z80" s="6">
        <f ca="1">('TUSD BE'!$AM$8+'TUSD BF_350'!$AM$8+'TUSD CVA'!$AM$8)*1</f>
        <v>100.23755694003805</v>
      </c>
      <c r="AA80" s="6">
        <f ca="1">('TE BE'!$AB$6+'TE BF_350'!$AB$6+'TE CVA'!$AB$6)*1</f>
        <v>219.40364509824883</v>
      </c>
      <c r="AB80" s="6">
        <f>$K$80*$V$80</f>
        <v>3463.2</v>
      </c>
      <c r="AC80" s="6">
        <f>$M$80*$W$80</f>
        <v>1765.8152400000004</v>
      </c>
      <c r="AD80" s="6">
        <f>$O$80*$X$80</f>
        <v>5527.7109000000009</v>
      </c>
      <c r="AE80" s="6">
        <f ca="1">$K$80*$Y$80</f>
        <v>2734.7324257297046</v>
      </c>
      <c r="AF80" s="6">
        <f ca="1">$M$80*$Z$80</f>
        <v>2249.6314904052742</v>
      </c>
      <c r="AG80" s="6">
        <f ca="1">$O$80*$AA$80</f>
        <v>4924.0760069399985</v>
      </c>
    </row>
    <row r="81" spans="1:33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44593</v>
      </c>
      <c r="J81" s="6">
        <v>180</v>
      </c>
      <c r="K81" s="6">
        <v>180</v>
      </c>
      <c r="L81" s="6">
        <v>22.344999999999999</v>
      </c>
      <c r="M81" s="6">
        <v>22.344999999999999</v>
      </c>
      <c r="N81" s="6">
        <v>22.344999999999999</v>
      </c>
      <c r="O81" s="6">
        <v>22.344999999999999</v>
      </c>
      <c r="P81" s="6">
        <v>0</v>
      </c>
      <c r="Q81" s="4" t="s">
        <v>26</v>
      </c>
      <c r="R81" s="4">
        <v>0</v>
      </c>
      <c r="S81" s="6">
        <v>22</v>
      </c>
      <c r="T81" s="6">
        <v>7</v>
      </c>
      <c r="U81" s="6">
        <v>42</v>
      </c>
      <c r="V81" s="6">
        <f>IF(ISERROR(VLOOKUP($S$81,'TAR FIN'!$A$1:$O$86,15,0)),0,VLOOKUP($S$81,'TAR FIN'!$A$1:$O$86,15,0))</f>
        <v>19.239999999999998</v>
      </c>
      <c r="W81" s="6">
        <f>IF(ISERROR(VLOOKUP($T$81,'TAR FIN'!$A$1:$O$86,15,0)),0,VLOOKUP($T$81,'TAR FIN'!$A$1:$O$86,15,0))</f>
        <v>78.680000000000007</v>
      </c>
      <c r="X81" s="6">
        <f>IF(ISERROR(VLOOKUP($U$81,'TAR FIN'!$A$1:$O$86,15,0)),0,VLOOKUP($U$81,'TAR FIN'!$A$1:$O$86,15,0))</f>
        <v>246.3</v>
      </c>
      <c r="Y81" s="6">
        <f ca="1">('TUSD BE'!$AM$7+'TUSD BF_350'!$AM$7+'TUSD CVA'!$AM$7)*1</f>
        <v>15.19295792072058</v>
      </c>
      <c r="Z81" s="6">
        <f ca="1">('TUSD BE'!$AM$8+'TUSD BF_350'!$AM$8+'TUSD CVA'!$AM$8)*1</f>
        <v>100.23755694003805</v>
      </c>
      <c r="AA81" s="6">
        <f ca="1">('TE BE'!$AB$6+'TE BF_350'!$AB$6+'TE CVA'!$AB$6)*1</f>
        <v>219.40364509824883</v>
      </c>
      <c r="AB81" s="6">
        <f>$K$81*$V$81</f>
        <v>3463.2</v>
      </c>
      <c r="AC81" s="6">
        <f>$M$81*$W$81</f>
        <v>1758.1046000000001</v>
      </c>
      <c r="AD81" s="6">
        <f>$O$81*$X$81</f>
        <v>5503.5735000000004</v>
      </c>
      <c r="AE81" s="6">
        <f ca="1">$K$81*$Y$81</f>
        <v>2734.7324257297046</v>
      </c>
      <c r="AF81" s="6">
        <f ca="1">$M$81*$Z$81</f>
        <v>2239.8082098251502</v>
      </c>
      <c r="AG81" s="6">
        <f ca="1">$O$81*$AA$81</f>
        <v>4902.5744497203696</v>
      </c>
    </row>
    <row r="82" spans="1:33" ht="11.25" customHeight="1" x14ac:dyDescent="0.25">
      <c r="A82" s="4" t="s">
        <v>21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44621</v>
      </c>
      <c r="J82" s="6">
        <v>180</v>
      </c>
      <c r="K82" s="6">
        <v>180</v>
      </c>
      <c r="L82" s="6">
        <v>23.327999999999999</v>
      </c>
      <c r="M82" s="6">
        <v>23.327999999999999</v>
      </c>
      <c r="N82" s="6">
        <v>23.327999999999999</v>
      </c>
      <c r="O82" s="6">
        <v>23.327999999999999</v>
      </c>
      <c r="P82" s="6">
        <v>0</v>
      </c>
      <c r="Q82" s="4" t="s">
        <v>26</v>
      </c>
      <c r="R82" s="4">
        <v>0</v>
      </c>
      <c r="S82" s="6">
        <v>22</v>
      </c>
      <c r="T82" s="6">
        <v>7</v>
      </c>
      <c r="U82" s="6">
        <v>42</v>
      </c>
      <c r="V82" s="6">
        <f>IF(ISERROR(VLOOKUP($S$82,'TAR FIN'!$A$1:$O$86,15,0)),0,VLOOKUP($S$82,'TAR FIN'!$A$1:$O$86,15,0))</f>
        <v>19.239999999999998</v>
      </c>
      <c r="W82" s="6">
        <f>IF(ISERROR(VLOOKUP($T$82,'TAR FIN'!$A$1:$O$86,15,0)),0,VLOOKUP($T$82,'TAR FIN'!$A$1:$O$86,15,0))</f>
        <v>78.680000000000007</v>
      </c>
      <c r="X82" s="6">
        <f>IF(ISERROR(VLOOKUP($U$82,'TAR FIN'!$A$1:$O$86,15,0)),0,VLOOKUP($U$82,'TAR FIN'!$A$1:$O$86,15,0))</f>
        <v>246.3</v>
      </c>
      <c r="Y82" s="6">
        <f ca="1">('TUSD BE'!$AM$7+'TUSD BF_350'!$AM$7+'TUSD CVA'!$AM$7)*1</f>
        <v>15.19295792072058</v>
      </c>
      <c r="Z82" s="6">
        <f ca="1">('TUSD BE'!$AM$8+'TUSD BF_350'!$AM$8+'TUSD CVA'!$AM$8)*1</f>
        <v>100.23755694003805</v>
      </c>
      <c r="AA82" s="6">
        <f ca="1">('TE BE'!$AB$6+'TE BF_350'!$AB$6+'TE CVA'!$AB$6)*1</f>
        <v>219.40364509824883</v>
      </c>
      <c r="AB82" s="6">
        <f>$K$82*$V$82</f>
        <v>3463.2</v>
      </c>
      <c r="AC82" s="6">
        <f>$M$82*$W$82</f>
        <v>1835.44704</v>
      </c>
      <c r="AD82" s="6">
        <f>$O$82*$X$82</f>
        <v>5745.6864000000005</v>
      </c>
      <c r="AE82" s="6">
        <f ca="1">$K$82*$Y$82</f>
        <v>2734.7324257297046</v>
      </c>
      <c r="AF82" s="6">
        <f ca="1">$M$82*$Z$82</f>
        <v>2338.3417282972073</v>
      </c>
      <c r="AG82" s="6">
        <f ca="1">$O$82*$AA$82</f>
        <v>5118.2482328519482</v>
      </c>
    </row>
    <row r="83" spans="1:33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44652</v>
      </c>
      <c r="J83" s="6">
        <v>180</v>
      </c>
      <c r="K83" s="6">
        <v>180</v>
      </c>
      <c r="L83" s="6">
        <v>18.952999999999999</v>
      </c>
      <c r="M83" s="6">
        <v>18.952999999999999</v>
      </c>
      <c r="N83" s="6">
        <v>18.952999999999999</v>
      </c>
      <c r="O83" s="6">
        <v>18.952999999999999</v>
      </c>
      <c r="P83" s="6">
        <v>0</v>
      </c>
      <c r="Q83" s="4" t="s">
        <v>26</v>
      </c>
      <c r="R83" s="4">
        <v>0</v>
      </c>
      <c r="S83" s="6">
        <v>22</v>
      </c>
      <c r="T83" s="6">
        <v>7</v>
      </c>
      <c r="U83" s="6">
        <v>42</v>
      </c>
      <c r="V83" s="6">
        <f>IF(ISERROR(VLOOKUP($S$83,'TAR FIN'!$A$1:$O$86,15,0)),0,VLOOKUP($S$83,'TAR FIN'!$A$1:$O$86,15,0))</f>
        <v>19.239999999999998</v>
      </c>
      <c r="W83" s="6">
        <f>IF(ISERROR(VLOOKUP($T$83,'TAR FIN'!$A$1:$O$86,15,0)),0,VLOOKUP($T$83,'TAR FIN'!$A$1:$O$86,15,0))</f>
        <v>78.680000000000007</v>
      </c>
      <c r="X83" s="6">
        <f>IF(ISERROR(VLOOKUP($U$83,'TAR FIN'!$A$1:$O$86,15,0)),0,VLOOKUP($U$83,'TAR FIN'!$A$1:$O$86,15,0))</f>
        <v>246.3</v>
      </c>
      <c r="Y83" s="6">
        <f ca="1">('TUSD BE'!$AM$7+'TUSD BF_350'!$AM$7+'TUSD CVA'!$AM$7)*1</f>
        <v>15.19295792072058</v>
      </c>
      <c r="Z83" s="6">
        <f ca="1">('TUSD BE'!$AM$8+'TUSD BF_350'!$AM$8+'TUSD CVA'!$AM$8)*1</f>
        <v>100.23755694003805</v>
      </c>
      <c r="AA83" s="6">
        <f ca="1">('TE BE'!$AB$6+'TE BF_350'!$AB$6+'TE CVA'!$AB$6)*1</f>
        <v>219.40364509824883</v>
      </c>
      <c r="AB83" s="6">
        <f>$K$83*$V$83</f>
        <v>3463.2</v>
      </c>
      <c r="AC83" s="6">
        <f>$M$83*$W$83</f>
        <v>1491.2220400000001</v>
      </c>
      <c r="AD83" s="6">
        <f>$O$83*$X$83</f>
        <v>4668.1239000000005</v>
      </c>
      <c r="AE83" s="6">
        <f ca="1">$K$83*$Y$83</f>
        <v>2734.7324257297046</v>
      </c>
      <c r="AF83" s="6">
        <f ca="1">$M$83*$Z$83</f>
        <v>1899.802416684541</v>
      </c>
      <c r="AG83" s="6">
        <f ca="1">$O$83*$AA$83</f>
        <v>4158.3572855471102</v>
      </c>
    </row>
    <row r="84" spans="1:33" ht="11.25" customHeight="1" x14ac:dyDescent="0.25">
      <c r="A84" s="4" t="s">
        <v>21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44682</v>
      </c>
      <c r="J84" s="6">
        <v>180</v>
      </c>
      <c r="K84" s="6">
        <v>180</v>
      </c>
      <c r="L84" s="6">
        <v>19.52</v>
      </c>
      <c r="M84" s="6">
        <v>19.52</v>
      </c>
      <c r="N84" s="6">
        <v>19.52</v>
      </c>
      <c r="O84" s="6">
        <v>19.52</v>
      </c>
      <c r="P84" s="6">
        <v>0</v>
      </c>
      <c r="Q84" s="4" t="s">
        <v>26</v>
      </c>
      <c r="R84" s="4">
        <v>0</v>
      </c>
      <c r="S84" s="6">
        <v>22</v>
      </c>
      <c r="T84" s="6">
        <v>7</v>
      </c>
      <c r="U84" s="6">
        <v>42</v>
      </c>
      <c r="V84" s="6">
        <f>IF(ISERROR(VLOOKUP($S$84,'TAR FIN'!$A$1:$O$86,15,0)),0,VLOOKUP($S$84,'TAR FIN'!$A$1:$O$86,15,0))</f>
        <v>19.239999999999998</v>
      </c>
      <c r="W84" s="6">
        <f>IF(ISERROR(VLOOKUP($T$84,'TAR FIN'!$A$1:$O$86,15,0)),0,VLOOKUP($T$84,'TAR FIN'!$A$1:$O$86,15,0))</f>
        <v>78.680000000000007</v>
      </c>
      <c r="X84" s="6">
        <f>IF(ISERROR(VLOOKUP($U$84,'TAR FIN'!$A$1:$O$86,15,0)),0,VLOOKUP($U$84,'TAR FIN'!$A$1:$O$86,15,0))</f>
        <v>246.3</v>
      </c>
      <c r="Y84" s="6">
        <f ca="1">('TUSD BE'!$AM$7+'TUSD BF_350'!$AM$7+'TUSD CVA'!$AM$7)*1</f>
        <v>15.19295792072058</v>
      </c>
      <c r="Z84" s="6">
        <f ca="1">('TUSD BE'!$AM$8+'TUSD BF_350'!$AM$8+'TUSD CVA'!$AM$8)*1</f>
        <v>100.23755694003805</v>
      </c>
      <c r="AA84" s="6">
        <f ca="1">('TE BE'!$AB$6+'TE BF_350'!$AB$6+'TE CVA'!$AB$6)*1</f>
        <v>219.40364509824883</v>
      </c>
      <c r="AB84" s="6">
        <f>$K$84*$V$84</f>
        <v>3463.2</v>
      </c>
      <c r="AC84" s="6">
        <f>$M$84*$W$84</f>
        <v>1535.8336000000002</v>
      </c>
      <c r="AD84" s="6">
        <f>$O$84*$X$84</f>
        <v>4807.7759999999998</v>
      </c>
      <c r="AE84" s="6">
        <f ca="1">$K$84*$Y$84</f>
        <v>2734.7324257297046</v>
      </c>
      <c r="AF84" s="6">
        <f ca="1">$M$84*$Z$84</f>
        <v>1956.6371114695426</v>
      </c>
      <c r="AG84" s="6">
        <f ca="1">$O$84*$AA$84</f>
        <v>4282.7591523178171</v>
      </c>
    </row>
    <row r="85" spans="1:33" ht="11.25" customHeight="1" x14ac:dyDescent="0.25">
      <c r="A85" s="4" t="s">
        <v>56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44713</v>
      </c>
      <c r="J85" s="6">
        <v>180</v>
      </c>
      <c r="K85" s="6">
        <v>180</v>
      </c>
      <c r="L85" s="6">
        <v>19.52</v>
      </c>
      <c r="M85" s="6">
        <v>19.52</v>
      </c>
      <c r="N85" s="6">
        <v>19.52</v>
      </c>
      <c r="O85" s="6">
        <v>19.52</v>
      </c>
      <c r="P85" s="6">
        <v>0</v>
      </c>
      <c r="Q85" s="4" t="s">
        <v>26</v>
      </c>
      <c r="R85" s="4">
        <v>0</v>
      </c>
      <c r="S85" s="6">
        <v>22</v>
      </c>
      <c r="T85" s="6">
        <v>7</v>
      </c>
      <c r="U85" s="6">
        <v>42</v>
      </c>
      <c r="V85" s="6">
        <f>IF(ISERROR(VLOOKUP($S$85,'TAR FIN'!$A$1:$O$86,15,0)),0,VLOOKUP($S$85,'TAR FIN'!$A$1:$O$86,15,0))</f>
        <v>19.239999999999998</v>
      </c>
      <c r="W85" s="6">
        <f>IF(ISERROR(VLOOKUP($T$85,'TAR FIN'!$A$1:$O$86,15,0)),0,VLOOKUP($T$85,'TAR FIN'!$A$1:$O$86,15,0))</f>
        <v>78.680000000000007</v>
      </c>
      <c r="X85" s="6">
        <f>IF(ISERROR(VLOOKUP($U$85,'TAR FIN'!$A$1:$O$86,15,0)),0,VLOOKUP($U$85,'TAR FIN'!$A$1:$O$86,15,0))</f>
        <v>246.3</v>
      </c>
      <c r="Y85" s="6">
        <f ca="1">('TUSD BE'!$AM$7+'TUSD BF_350'!$AM$7+'TUSD CVA'!$AM$7)*1</f>
        <v>15.19295792072058</v>
      </c>
      <c r="Z85" s="6">
        <f ca="1">('TUSD BE'!$AM$8+'TUSD BF_350'!$AM$8+'TUSD CVA'!$AM$8)*1</f>
        <v>100.23755694003805</v>
      </c>
      <c r="AA85" s="6">
        <f ca="1">('TE BE'!$AB$6+'TE BF_350'!$AB$6+'TE CVA'!$AB$6)*1</f>
        <v>219.40364509824883</v>
      </c>
      <c r="AB85" s="6">
        <f>$K$85*$V$85</f>
        <v>3463.2</v>
      </c>
      <c r="AC85" s="6">
        <f>$M$85*$W$85</f>
        <v>1535.8336000000002</v>
      </c>
      <c r="AD85" s="6">
        <f>$O$85*$X$85</f>
        <v>4807.7759999999998</v>
      </c>
      <c r="AE85" s="6">
        <f ca="1">$K$85*$Y$85</f>
        <v>2734.7324257297046</v>
      </c>
      <c r="AF85" s="6">
        <f ca="1">$M$85*$Z$85</f>
        <v>1956.6371114695426</v>
      </c>
      <c r="AG85" s="6">
        <f ca="1">$O$85*$AA$85</f>
        <v>4282.7591523178171</v>
      </c>
    </row>
    <row r="86" spans="1:33" ht="11.25" customHeight="1" x14ac:dyDescent="0.25">
      <c r="A86" s="4" t="s">
        <v>21</v>
      </c>
      <c r="B86" s="4" t="s">
        <v>38</v>
      </c>
      <c r="C86" s="4" t="s">
        <v>39</v>
      </c>
      <c r="D86" s="4" t="s">
        <v>37</v>
      </c>
      <c r="E86" s="4" t="s">
        <v>25</v>
      </c>
      <c r="F86" s="4" t="s">
        <v>25</v>
      </c>
      <c r="G86" s="4" t="s">
        <v>25</v>
      </c>
      <c r="H86" s="4" t="s">
        <v>33</v>
      </c>
      <c r="I86" s="5">
        <v>44378</v>
      </c>
      <c r="J86" s="6">
        <v>165</v>
      </c>
      <c r="K86" s="6">
        <v>165</v>
      </c>
      <c r="L86" s="6">
        <v>3.4580000000000002</v>
      </c>
      <c r="M86" s="6">
        <v>3.4580000000000002</v>
      </c>
      <c r="N86" s="6">
        <v>3.4580000000000002</v>
      </c>
      <c r="O86" s="6">
        <v>3.4580000000000002</v>
      </c>
      <c r="P86" s="6">
        <v>0</v>
      </c>
      <c r="Q86" s="4" t="s">
        <v>26</v>
      </c>
      <c r="R86" s="4">
        <v>0</v>
      </c>
      <c r="S86" s="6">
        <v>3</v>
      </c>
      <c r="T86" s="6">
        <v>7</v>
      </c>
      <c r="U86" s="6">
        <v>47</v>
      </c>
      <c r="V86" s="6">
        <f>IF(ISERROR(VLOOKUP($S$86,'TAR FIN'!$A$1:$O$86,15,0)),0,VLOOKUP($S$86,'TAR FIN'!$A$1:$O$86,15,0))</f>
        <v>51.41</v>
      </c>
      <c r="W86" s="6">
        <f>IF(ISERROR(VLOOKUP($T$86,'TAR FIN'!$A$1:$O$86,15,0)),0,VLOOKUP($T$86,'TAR FIN'!$A$1:$O$86,15,0))</f>
        <v>78.680000000000007</v>
      </c>
      <c r="X86" s="6">
        <f>IF(ISERROR(VLOOKUP($U$86,'TAR FIN'!$A$1:$O$86,15,0)),0,VLOOKUP($U$86,'TAR FIN'!$A$1:$O$86,15,0))</f>
        <v>389.21</v>
      </c>
      <c r="Y86" s="6">
        <f ca="1">('TUSD BE'!$AM$6+'TUSD BF_350'!$AM$6+'TUSD CVA'!$AM$6)*1</f>
        <v>40.182791243128264</v>
      </c>
      <c r="Z86" s="6">
        <f ca="1">('TUSD BE'!$AM$8+'TUSD BF_350'!$AM$8+'TUSD CVA'!$AM$8)*1</f>
        <v>100.23755694003805</v>
      </c>
      <c r="AA86" s="6">
        <f ca="1">('TE BE'!$AB$5+'TE BF_350'!$AB$5+'TE CVA'!$AB$5)*1</f>
        <v>353.55100010229148</v>
      </c>
      <c r="AB86" s="6">
        <f>$K$86*$V$86</f>
        <v>8482.65</v>
      </c>
      <c r="AC86" s="6">
        <f>$M$86*$W$86</f>
        <v>272.07544000000001</v>
      </c>
      <c r="AD86" s="6">
        <f>$O$86*$X$86</f>
        <v>1345.8881799999999</v>
      </c>
      <c r="AE86" s="6">
        <f ca="1">$K$86*$Y$86</f>
        <v>6630.1605551161638</v>
      </c>
      <c r="AF86" s="6">
        <f ca="1">$M$86*$Z$86</f>
        <v>346.62147189865158</v>
      </c>
      <c r="AG86" s="6">
        <f ca="1">$O$86*$AA$86</f>
        <v>1222.579358353724</v>
      </c>
    </row>
    <row r="87" spans="1:33" ht="11.25" customHeight="1" x14ac:dyDescent="0.25">
      <c r="A87" s="4" t="s">
        <v>21</v>
      </c>
      <c r="B87" s="4" t="s">
        <v>38</v>
      </c>
      <c r="C87" s="4" t="s">
        <v>39</v>
      </c>
      <c r="D87" s="4" t="s">
        <v>37</v>
      </c>
      <c r="E87" s="4" t="s">
        <v>25</v>
      </c>
      <c r="F87" s="4" t="s">
        <v>25</v>
      </c>
      <c r="G87" s="4" t="s">
        <v>25</v>
      </c>
      <c r="H87" s="4" t="s">
        <v>33</v>
      </c>
      <c r="I87" s="5">
        <v>44409</v>
      </c>
      <c r="J87" s="6">
        <v>165</v>
      </c>
      <c r="K87" s="6">
        <v>165</v>
      </c>
      <c r="L87" s="6">
        <v>3.202</v>
      </c>
      <c r="M87" s="6">
        <v>3.202</v>
      </c>
      <c r="N87" s="6">
        <v>3.202</v>
      </c>
      <c r="O87" s="6">
        <v>3.202</v>
      </c>
      <c r="P87" s="6">
        <v>0</v>
      </c>
      <c r="Q87" s="4" t="s">
        <v>26</v>
      </c>
      <c r="R87" s="4">
        <v>0</v>
      </c>
      <c r="S87" s="6">
        <v>3</v>
      </c>
      <c r="T87" s="6">
        <v>7</v>
      </c>
      <c r="U87" s="6">
        <v>47</v>
      </c>
      <c r="V87" s="6">
        <f>IF(ISERROR(VLOOKUP($S$87,'TAR FIN'!$A$1:$O$86,15,0)),0,VLOOKUP($S$87,'TAR FIN'!$A$1:$O$86,15,0))</f>
        <v>51.41</v>
      </c>
      <c r="W87" s="6">
        <f>IF(ISERROR(VLOOKUP($T$87,'TAR FIN'!$A$1:$O$86,15,0)),0,VLOOKUP($T$87,'TAR FIN'!$A$1:$O$86,15,0))</f>
        <v>78.680000000000007</v>
      </c>
      <c r="X87" s="6">
        <f>IF(ISERROR(VLOOKUP($U$87,'TAR FIN'!$A$1:$O$86,15,0)),0,VLOOKUP($U$87,'TAR FIN'!$A$1:$O$86,15,0))</f>
        <v>389.21</v>
      </c>
      <c r="Y87" s="6">
        <f ca="1">('TUSD BE'!$AM$6+'TUSD BF_350'!$AM$6+'TUSD CVA'!$AM$6)*1</f>
        <v>40.182791243128264</v>
      </c>
      <c r="Z87" s="6">
        <f ca="1">('TUSD BE'!$AM$8+'TUSD BF_350'!$AM$8+'TUSD CVA'!$AM$8)*1</f>
        <v>100.23755694003805</v>
      </c>
      <c r="AA87" s="6">
        <f ca="1">('TE BE'!$AB$5+'TE BF_350'!$AB$5+'TE CVA'!$AB$5)*1</f>
        <v>353.55100010229148</v>
      </c>
      <c r="AB87" s="6">
        <f>$K$87*$V$87</f>
        <v>8482.65</v>
      </c>
      <c r="AC87" s="6">
        <f>$M$87*$W$87</f>
        <v>251.93336000000002</v>
      </c>
      <c r="AD87" s="6">
        <f>$O$87*$X$87</f>
        <v>1246.2504199999998</v>
      </c>
      <c r="AE87" s="6">
        <f ca="1">$K$87*$Y$87</f>
        <v>6630.1605551161638</v>
      </c>
      <c r="AF87" s="6">
        <f ca="1">$M$87*$Z$87</f>
        <v>320.96065732200185</v>
      </c>
      <c r="AG87" s="6">
        <f ca="1">$O$87*$AA$87</f>
        <v>1132.0703023275373</v>
      </c>
    </row>
    <row r="88" spans="1:33" ht="11.25" customHeight="1" x14ac:dyDescent="0.25">
      <c r="A88" s="4" t="s">
        <v>21</v>
      </c>
      <c r="B88" s="4" t="s">
        <v>38</v>
      </c>
      <c r="C88" s="4" t="s">
        <v>39</v>
      </c>
      <c r="D88" s="4" t="s">
        <v>37</v>
      </c>
      <c r="E88" s="4" t="s">
        <v>25</v>
      </c>
      <c r="F88" s="4" t="s">
        <v>25</v>
      </c>
      <c r="G88" s="4" t="s">
        <v>25</v>
      </c>
      <c r="H88" s="4" t="s">
        <v>33</v>
      </c>
      <c r="I88" s="5">
        <v>44440</v>
      </c>
      <c r="J88" s="6">
        <v>165</v>
      </c>
      <c r="K88" s="6">
        <v>165</v>
      </c>
      <c r="L88" s="6">
        <v>3.1219999999999999</v>
      </c>
      <c r="M88" s="6">
        <v>3.1219999999999999</v>
      </c>
      <c r="N88" s="6">
        <v>3.1219999999999999</v>
      </c>
      <c r="O88" s="6">
        <v>3.1219999999999999</v>
      </c>
      <c r="P88" s="6">
        <v>0</v>
      </c>
      <c r="Q88" s="4" t="s">
        <v>26</v>
      </c>
      <c r="R88" s="4">
        <v>0</v>
      </c>
      <c r="S88" s="6">
        <v>3</v>
      </c>
      <c r="T88" s="6">
        <v>7</v>
      </c>
      <c r="U88" s="6">
        <v>47</v>
      </c>
      <c r="V88" s="6">
        <f>IF(ISERROR(VLOOKUP($S$88,'TAR FIN'!$A$1:$O$86,15,0)),0,VLOOKUP($S$88,'TAR FIN'!$A$1:$O$86,15,0))</f>
        <v>51.41</v>
      </c>
      <c r="W88" s="6">
        <f>IF(ISERROR(VLOOKUP($T$88,'TAR FIN'!$A$1:$O$86,15,0)),0,VLOOKUP($T$88,'TAR FIN'!$A$1:$O$86,15,0))</f>
        <v>78.680000000000007</v>
      </c>
      <c r="X88" s="6">
        <f>IF(ISERROR(VLOOKUP($U$88,'TAR FIN'!$A$1:$O$86,15,0)),0,VLOOKUP($U$88,'TAR FIN'!$A$1:$O$86,15,0))</f>
        <v>389.21</v>
      </c>
      <c r="Y88" s="6">
        <f ca="1">('TUSD BE'!$AM$6+'TUSD BF_350'!$AM$6+'TUSD CVA'!$AM$6)*1</f>
        <v>40.182791243128264</v>
      </c>
      <c r="Z88" s="6">
        <f ca="1">('TUSD BE'!$AM$8+'TUSD BF_350'!$AM$8+'TUSD CVA'!$AM$8)*1</f>
        <v>100.23755694003805</v>
      </c>
      <c r="AA88" s="6">
        <f ca="1">('TE BE'!$AB$5+'TE BF_350'!$AB$5+'TE CVA'!$AB$5)*1</f>
        <v>353.55100010229148</v>
      </c>
      <c r="AB88" s="6">
        <f>$K$88*$V$88</f>
        <v>8482.65</v>
      </c>
      <c r="AC88" s="6">
        <f>$M$88*$W$88</f>
        <v>245.63896000000003</v>
      </c>
      <c r="AD88" s="6">
        <f>$O$88*$X$88</f>
        <v>1215.1136199999999</v>
      </c>
      <c r="AE88" s="6">
        <f ca="1">$K$88*$Y$88</f>
        <v>6630.1605551161638</v>
      </c>
      <c r="AF88" s="6">
        <f ca="1">$M$88*$Z$88</f>
        <v>312.94165276679877</v>
      </c>
      <c r="AG88" s="6">
        <f ca="1">$O$88*$AA$88</f>
        <v>1103.786222319354</v>
      </c>
    </row>
    <row r="89" spans="1:33" ht="11.25" customHeight="1" x14ac:dyDescent="0.25">
      <c r="A89" s="4" t="s">
        <v>21</v>
      </c>
      <c r="B89" s="4" t="s">
        <v>38</v>
      </c>
      <c r="C89" s="4" t="s">
        <v>39</v>
      </c>
      <c r="D89" s="4" t="s">
        <v>37</v>
      </c>
      <c r="E89" s="4" t="s">
        <v>25</v>
      </c>
      <c r="F89" s="4" t="s">
        <v>25</v>
      </c>
      <c r="G89" s="4" t="s">
        <v>25</v>
      </c>
      <c r="H89" s="4" t="s">
        <v>33</v>
      </c>
      <c r="I89" s="5">
        <v>44470</v>
      </c>
      <c r="J89" s="6">
        <v>165</v>
      </c>
      <c r="K89" s="6">
        <v>165</v>
      </c>
      <c r="L89" s="6">
        <v>2.8860000000000001</v>
      </c>
      <c r="M89" s="6">
        <v>2.8860000000000001</v>
      </c>
      <c r="N89" s="6">
        <v>2.8860000000000001</v>
      </c>
      <c r="O89" s="6">
        <v>2.8860000000000001</v>
      </c>
      <c r="P89" s="6">
        <v>0</v>
      </c>
      <c r="Q89" s="4" t="s">
        <v>26</v>
      </c>
      <c r="R89" s="4">
        <v>0</v>
      </c>
      <c r="S89" s="6">
        <v>3</v>
      </c>
      <c r="T89" s="6">
        <v>7</v>
      </c>
      <c r="U89" s="6">
        <v>47</v>
      </c>
      <c r="V89" s="6">
        <f>IF(ISERROR(VLOOKUP($S$89,'TAR FIN'!$A$1:$O$86,15,0)),0,VLOOKUP($S$89,'TAR FIN'!$A$1:$O$86,15,0))</f>
        <v>51.41</v>
      </c>
      <c r="W89" s="6">
        <f>IF(ISERROR(VLOOKUP($T$89,'TAR FIN'!$A$1:$O$86,15,0)),0,VLOOKUP($T$89,'TAR FIN'!$A$1:$O$86,15,0))</f>
        <v>78.680000000000007</v>
      </c>
      <c r="X89" s="6">
        <f>IF(ISERROR(VLOOKUP($U$89,'TAR FIN'!$A$1:$O$86,15,0)),0,VLOOKUP($U$89,'TAR FIN'!$A$1:$O$86,15,0))</f>
        <v>389.21</v>
      </c>
      <c r="Y89" s="6">
        <f ca="1">('TUSD BE'!$AM$6+'TUSD BF_350'!$AM$6+'TUSD CVA'!$AM$6)*1</f>
        <v>40.182791243128264</v>
      </c>
      <c r="Z89" s="6">
        <f ca="1">('TUSD BE'!$AM$8+'TUSD BF_350'!$AM$8+'TUSD CVA'!$AM$8)*1</f>
        <v>100.23755694003805</v>
      </c>
      <c r="AA89" s="6">
        <f ca="1">('TE BE'!$AB$5+'TE BF_350'!$AB$5+'TE CVA'!$AB$5)*1</f>
        <v>353.55100010229148</v>
      </c>
      <c r="AB89" s="6">
        <f>$K$89*$V$89</f>
        <v>8482.65</v>
      </c>
      <c r="AC89" s="6">
        <f>$M$89*$W$89</f>
        <v>227.07048000000003</v>
      </c>
      <c r="AD89" s="6">
        <f>$O$89*$X$89</f>
        <v>1123.2600600000001</v>
      </c>
      <c r="AE89" s="6">
        <f ca="1">$K$89*$Y$89</f>
        <v>6630.1605551161638</v>
      </c>
      <c r="AF89" s="6">
        <f ca="1">$M$89*$Z$89</f>
        <v>289.28558932894981</v>
      </c>
      <c r="AG89" s="6">
        <f ca="1">$O$89*$AA$89</f>
        <v>1020.3481862952133</v>
      </c>
    </row>
    <row r="90" spans="1:33" ht="11.25" customHeight="1" x14ac:dyDescent="0.25">
      <c r="A90" s="4" t="s">
        <v>21</v>
      </c>
      <c r="B90" s="4" t="s">
        <v>38</v>
      </c>
      <c r="C90" s="4" t="s">
        <v>39</v>
      </c>
      <c r="D90" s="4" t="s">
        <v>37</v>
      </c>
      <c r="E90" s="4" t="s">
        <v>25</v>
      </c>
      <c r="F90" s="4" t="s">
        <v>25</v>
      </c>
      <c r="G90" s="4" t="s">
        <v>25</v>
      </c>
      <c r="H90" s="4" t="s">
        <v>33</v>
      </c>
      <c r="I90" s="5">
        <v>44501</v>
      </c>
      <c r="J90" s="6">
        <v>165</v>
      </c>
      <c r="K90" s="6">
        <v>165</v>
      </c>
      <c r="L90" s="6">
        <v>2.7719999999999998</v>
      </c>
      <c r="M90" s="6">
        <v>2.7719999999999998</v>
      </c>
      <c r="N90" s="6">
        <v>2.7719999999999998</v>
      </c>
      <c r="O90" s="6">
        <v>2.7719999999999998</v>
      </c>
      <c r="P90" s="6">
        <v>0</v>
      </c>
      <c r="Q90" s="4" t="s">
        <v>26</v>
      </c>
      <c r="R90" s="4">
        <v>0</v>
      </c>
      <c r="S90" s="6">
        <v>3</v>
      </c>
      <c r="T90" s="6">
        <v>7</v>
      </c>
      <c r="U90" s="6">
        <v>47</v>
      </c>
      <c r="V90" s="6">
        <f>IF(ISERROR(VLOOKUP($S$90,'TAR FIN'!$A$1:$O$86,15,0)),0,VLOOKUP($S$90,'TAR FIN'!$A$1:$O$86,15,0))</f>
        <v>51.41</v>
      </c>
      <c r="W90" s="6">
        <f>IF(ISERROR(VLOOKUP($T$90,'TAR FIN'!$A$1:$O$86,15,0)),0,VLOOKUP($T$90,'TAR FIN'!$A$1:$O$86,15,0))</f>
        <v>78.680000000000007</v>
      </c>
      <c r="X90" s="6">
        <f>IF(ISERROR(VLOOKUP($U$90,'TAR FIN'!$A$1:$O$86,15,0)),0,VLOOKUP($U$90,'TAR FIN'!$A$1:$O$86,15,0))</f>
        <v>389.21</v>
      </c>
      <c r="Y90" s="6">
        <f ca="1">('TUSD BE'!$AM$6+'TUSD BF_350'!$AM$6+'TUSD CVA'!$AM$6)*1</f>
        <v>40.182791243128264</v>
      </c>
      <c r="Z90" s="6">
        <f ca="1">('TUSD BE'!$AM$8+'TUSD BF_350'!$AM$8+'TUSD CVA'!$AM$8)*1</f>
        <v>100.23755694003805</v>
      </c>
      <c r="AA90" s="6">
        <f ca="1">('TE BE'!$AB$5+'TE BF_350'!$AB$5+'TE CVA'!$AB$5)*1</f>
        <v>353.55100010229148</v>
      </c>
      <c r="AB90" s="6">
        <f>$K$90*$V$90</f>
        <v>8482.65</v>
      </c>
      <c r="AC90" s="6">
        <f>$M$90*$W$90</f>
        <v>218.10096000000001</v>
      </c>
      <c r="AD90" s="6">
        <f>$O$90*$X$90</f>
        <v>1078.8901199999998</v>
      </c>
      <c r="AE90" s="6">
        <f ca="1">$K$90*$Y$90</f>
        <v>6630.1605551161638</v>
      </c>
      <c r="AF90" s="6">
        <f ca="1">$M$90*$Z$90</f>
        <v>277.85850783778545</v>
      </c>
      <c r="AG90" s="6">
        <f ca="1">$O$90*$AA$90</f>
        <v>980.04337228355189</v>
      </c>
    </row>
    <row r="91" spans="1:33" ht="11.25" customHeight="1" x14ac:dyDescent="0.25">
      <c r="A91" s="4" t="s">
        <v>21</v>
      </c>
      <c r="B91" s="4" t="s">
        <v>38</v>
      </c>
      <c r="C91" s="4" t="s">
        <v>39</v>
      </c>
      <c r="D91" s="4" t="s">
        <v>37</v>
      </c>
      <c r="E91" s="4" t="s">
        <v>25</v>
      </c>
      <c r="F91" s="4" t="s">
        <v>25</v>
      </c>
      <c r="G91" s="4" t="s">
        <v>25</v>
      </c>
      <c r="H91" s="4" t="s">
        <v>33</v>
      </c>
      <c r="I91" s="5">
        <v>44531</v>
      </c>
      <c r="J91" s="6">
        <v>165</v>
      </c>
      <c r="K91" s="6">
        <v>165</v>
      </c>
      <c r="L91" s="6">
        <v>2.907</v>
      </c>
      <c r="M91" s="6">
        <v>2.907</v>
      </c>
      <c r="N91" s="6">
        <v>2.907</v>
      </c>
      <c r="O91" s="6">
        <v>2.907</v>
      </c>
      <c r="P91" s="6">
        <v>0</v>
      </c>
      <c r="Q91" s="4" t="s">
        <v>26</v>
      </c>
      <c r="R91" s="4">
        <v>0</v>
      </c>
      <c r="S91" s="6">
        <v>3</v>
      </c>
      <c r="T91" s="6">
        <v>7</v>
      </c>
      <c r="U91" s="6">
        <v>47</v>
      </c>
      <c r="V91" s="6">
        <f>IF(ISERROR(VLOOKUP($S$91,'TAR FIN'!$A$1:$O$86,15,0)),0,VLOOKUP($S$91,'TAR FIN'!$A$1:$O$86,15,0))</f>
        <v>51.41</v>
      </c>
      <c r="W91" s="6">
        <f>IF(ISERROR(VLOOKUP($T$91,'TAR FIN'!$A$1:$O$86,15,0)),0,VLOOKUP($T$91,'TAR FIN'!$A$1:$O$86,15,0))</f>
        <v>78.680000000000007</v>
      </c>
      <c r="X91" s="6">
        <f>IF(ISERROR(VLOOKUP($U$91,'TAR FIN'!$A$1:$O$86,15,0)),0,VLOOKUP($U$91,'TAR FIN'!$A$1:$O$86,15,0))</f>
        <v>389.21</v>
      </c>
      <c r="Y91" s="6">
        <f ca="1">('TUSD BE'!$AM$6+'TUSD BF_350'!$AM$6+'TUSD CVA'!$AM$6)*1</f>
        <v>40.182791243128264</v>
      </c>
      <c r="Z91" s="6">
        <f ca="1">('TUSD BE'!$AM$8+'TUSD BF_350'!$AM$8+'TUSD CVA'!$AM$8)*1</f>
        <v>100.23755694003805</v>
      </c>
      <c r="AA91" s="6">
        <f ca="1">('TE BE'!$AB$5+'TE BF_350'!$AB$5+'TE CVA'!$AB$5)*1</f>
        <v>353.55100010229148</v>
      </c>
      <c r="AB91" s="6">
        <f>$K$91*$V$91</f>
        <v>8482.65</v>
      </c>
      <c r="AC91" s="6">
        <f>$M$91*$W$91</f>
        <v>228.72276000000002</v>
      </c>
      <c r="AD91" s="6">
        <f>$O$91*$X$91</f>
        <v>1131.4334699999999</v>
      </c>
      <c r="AE91" s="6">
        <f ca="1">$K$91*$Y$91</f>
        <v>6630.1605551161638</v>
      </c>
      <c r="AF91" s="6">
        <f ca="1">$M$91*$Z$91</f>
        <v>291.39057802469063</v>
      </c>
      <c r="AG91" s="6">
        <f ca="1">$O$91*$AA$91</f>
        <v>1027.7727572973613</v>
      </c>
    </row>
    <row r="92" spans="1:33" ht="11.25" customHeight="1" x14ac:dyDescent="0.25">
      <c r="A92" s="4" t="s">
        <v>21</v>
      </c>
      <c r="B92" s="4" t="s">
        <v>38</v>
      </c>
      <c r="C92" s="4" t="s">
        <v>39</v>
      </c>
      <c r="D92" s="4" t="s">
        <v>37</v>
      </c>
      <c r="E92" s="4" t="s">
        <v>25</v>
      </c>
      <c r="F92" s="4" t="s">
        <v>25</v>
      </c>
      <c r="G92" s="4" t="s">
        <v>25</v>
      </c>
      <c r="H92" s="4" t="s">
        <v>33</v>
      </c>
      <c r="I92" s="5">
        <v>44562</v>
      </c>
      <c r="J92" s="6">
        <v>165</v>
      </c>
      <c r="K92" s="6">
        <v>165</v>
      </c>
      <c r="L92" s="6">
        <v>2.9220000000000002</v>
      </c>
      <c r="M92" s="6">
        <v>2.9220000000000002</v>
      </c>
      <c r="N92" s="6">
        <v>2.9220000000000002</v>
      </c>
      <c r="O92" s="6">
        <v>2.9220000000000002</v>
      </c>
      <c r="P92" s="6">
        <v>0</v>
      </c>
      <c r="Q92" s="4" t="s">
        <v>26</v>
      </c>
      <c r="R92" s="4">
        <v>0</v>
      </c>
      <c r="S92" s="6">
        <v>3</v>
      </c>
      <c r="T92" s="6">
        <v>7</v>
      </c>
      <c r="U92" s="6">
        <v>47</v>
      </c>
      <c r="V92" s="6">
        <f>IF(ISERROR(VLOOKUP($S$92,'TAR FIN'!$A$1:$O$86,15,0)),0,VLOOKUP($S$92,'TAR FIN'!$A$1:$O$86,15,0))</f>
        <v>51.41</v>
      </c>
      <c r="W92" s="6">
        <f>IF(ISERROR(VLOOKUP($T$92,'TAR FIN'!$A$1:$O$86,15,0)),0,VLOOKUP($T$92,'TAR FIN'!$A$1:$O$86,15,0))</f>
        <v>78.680000000000007</v>
      </c>
      <c r="X92" s="6">
        <f>IF(ISERROR(VLOOKUP($U$92,'TAR FIN'!$A$1:$O$86,15,0)),0,VLOOKUP($U$92,'TAR FIN'!$A$1:$O$86,15,0))</f>
        <v>389.21</v>
      </c>
      <c r="Y92" s="6">
        <f ca="1">('TUSD BE'!$AM$6+'TUSD BF_350'!$AM$6+'TUSD CVA'!$AM$6)*1</f>
        <v>40.182791243128264</v>
      </c>
      <c r="Z92" s="6">
        <f ca="1">('TUSD BE'!$AM$8+'TUSD BF_350'!$AM$8+'TUSD CVA'!$AM$8)*1</f>
        <v>100.23755694003805</v>
      </c>
      <c r="AA92" s="6">
        <f ca="1">('TE BE'!$AB$5+'TE BF_350'!$AB$5+'TE CVA'!$AB$5)*1</f>
        <v>353.55100010229148</v>
      </c>
      <c r="AB92" s="6">
        <f>$K$92*$V$92</f>
        <v>8482.65</v>
      </c>
      <c r="AC92" s="6">
        <f>$M$92*$W$92</f>
        <v>229.90296000000004</v>
      </c>
      <c r="AD92" s="6">
        <f>$O$92*$X$92</f>
        <v>1137.27162</v>
      </c>
      <c r="AE92" s="6">
        <f ca="1">$K$92*$Y$92</f>
        <v>6630.1605551161638</v>
      </c>
      <c r="AF92" s="6">
        <f ca="1">$M$92*$Z$92</f>
        <v>292.89414137879118</v>
      </c>
      <c r="AG92" s="6">
        <f ca="1">$O$92*$AA$92</f>
        <v>1033.0760222988959</v>
      </c>
    </row>
    <row r="93" spans="1:33" ht="11.25" customHeight="1" x14ac:dyDescent="0.25">
      <c r="A93" s="4" t="s">
        <v>21</v>
      </c>
      <c r="B93" s="4" t="s">
        <v>38</v>
      </c>
      <c r="C93" s="4" t="s">
        <v>39</v>
      </c>
      <c r="D93" s="4" t="s">
        <v>37</v>
      </c>
      <c r="E93" s="4" t="s">
        <v>25</v>
      </c>
      <c r="F93" s="4" t="s">
        <v>25</v>
      </c>
      <c r="G93" s="4" t="s">
        <v>25</v>
      </c>
      <c r="H93" s="4" t="s">
        <v>33</v>
      </c>
      <c r="I93" s="5">
        <v>44593</v>
      </c>
      <c r="J93" s="6">
        <v>165</v>
      </c>
      <c r="K93" s="6">
        <v>165</v>
      </c>
      <c r="L93" s="6">
        <v>2.8410000000000002</v>
      </c>
      <c r="M93" s="6">
        <v>2.8410000000000002</v>
      </c>
      <c r="N93" s="6">
        <v>2.8410000000000002</v>
      </c>
      <c r="O93" s="6">
        <v>2.8410000000000002</v>
      </c>
      <c r="P93" s="6">
        <v>0</v>
      </c>
      <c r="Q93" s="4" t="s">
        <v>26</v>
      </c>
      <c r="R93" s="4">
        <v>0</v>
      </c>
      <c r="S93" s="6">
        <v>3</v>
      </c>
      <c r="T93" s="6">
        <v>7</v>
      </c>
      <c r="U93" s="6">
        <v>47</v>
      </c>
      <c r="V93" s="6">
        <f>IF(ISERROR(VLOOKUP($S$93,'TAR FIN'!$A$1:$O$86,15,0)),0,VLOOKUP($S$93,'TAR FIN'!$A$1:$O$86,15,0))</f>
        <v>51.41</v>
      </c>
      <c r="W93" s="6">
        <f>IF(ISERROR(VLOOKUP($T$93,'TAR FIN'!$A$1:$O$86,15,0)),0,VLOOKUP($T$93,'TAR FIN'!$A$1:$O$86,15,0))</f>
        <v>78.680000000000007</v>
      </c>
      <c r="X93" s="6">
        <f>IF(ISERROR(VLOOKUP($U$93,'TAR FIN'!$A$1:$O$86,15,0)),0,VLOOKUP($U$93,'TAR FIN'!$A$1:$O$86,15,0))</f>
        <v>389.21</v>
      </c>
      <c r="Y93" s="6">
        <f ca="1">('TUSD BE'!$AM$6+'TUSD BF_350'!$AM$6+'TUSD CVA'!$AM$6)*1</f>
        <v>40.182791243128264</v>
      </c>
      <c r="Z93" s="6">
        <f ca="1">('TUSD BE'!$AM$8+'TUSD BF_350'!$AM$8+'TUSD CVA'!$AM$8)*1</f>
        <v>100.23755694003805</v>
      </c>
      <c r="AA93" s="6">
        <f ca="1">('TE BE'!$AB$5+'TE BF_350'!$AB$5+'TE CVA'!$AB$5)*1</f>
        <v>353.55100010229148</v>
      </c>
      <c r="AB93" s="6">
        <f>$K$93*$V$93</f>
        <v>8482.65</v>
      </c>
      <c r="AC93" s="6">
        <f>$M$93*$W$93</f>
        <v>223.52988000000005</v>
      </c>
      <c r="AD93" s="6">
        <f>$O$93*$X$93</f>
        <v>1105.7456099999999</v>
      </c>
      <c r="AE93" s="6">
        <f ca="1">$K$93*$Y$93</f>
        <v>6630.1605551161638</v>
      </c>
      <c r="AF93" s="6">
        <f ca="1">$M$93*$Z$93</f>
        <v>284.77489926664811</v>
      </c>
      <c r="AG93" s="6">
        <f ca="1">$O$93*$AA$93</f>
        <v>1004.4383912906102</v>
      </c>
    </row>
    <row r="94" spans="1:33" ht="11.25" customHeight="1" x14ac:dyDescent="0.25">
      <c r="A94" s="4" t="s">
        <v>21</v>
      </c>
      <c r="B94" s="4" t="s">
        <v>38</v>
      </c>
      <c r="C94" s="4" t="s">
        <v>39</v>
      </c>
      <c r="D94" s="4" t="s">
        <v>37</v>
      </c>
      <c r="E94" s="4" t="s">
        <v>25</v>
      </c>
      <c r="F94" s="4" t="s">
        <v>25</v>
      </c>
      <c r="G94" s="4" t="s">
        <v>25</v>
      </c>
      <c r="H94" s="4" t="s">
        <v>33</v>
      </c>
      <c r="I94" s="5">
        <v>44621</v>
      </c>
      <c r="J94" s="6">
        <v>165</v>
      </c>
      <c r="K94" s="6">
        <v>165</v>
      </c>
      <c r="L94" s="6">
        <v>3.2040000000000002</v>
      </c>
      <c r="M94" s="6">
        <v>3.2040000000000002</v>
      </c>
      <c r="N94" s="6">
        <v>3.2040000000000002</v>
      </c>
      <c r="O94" s="6">
        <v>3.2040000000000002</v>
      </c>
      <c r="P94" s="6">
        <v>0</v>
      </c>
      <c r="Q94" s="4" t="s">
        <v>26</v>
      </c>
      <c r="R94" s="4">
        <v>0</v>
      </c>
      <c r="S94" s="6">
        <v>3</v>
      </c>
      <c r="T94" s="6">
        <v>7</v>
      </c>
      <c r="U94" s="6">
        <v>47</v>
      </c>
      <c r="V94" s="6">
        <f>IF(ISERROR(VLOOKUP($S$94,'TAR FIN'!$A$1:$O$86,15,0)),0,VLOOKUP($S$94,'TAR FIN'!$A$1:$O$86,15,0))</f>
        <v>51.41</v>
      </c>
      <c r="W94" s="6">
        <f>IF(ISERROR(VLOOKUP($T$94,'TAR FIN'!$A$1:$O$86,15,0)),0,VLOOKUP($T$94,'TAR FIN'!$A$1:$O$86,15,0))</f>
        <v>78.680000000000007</v>
      </c>
      <c r="X94" s="6">
        <f>IF(ISERROR(VLOOKUP($U$94,'TAR FIN'!$A$1:$O$86,15,0)),0,VLOOKUP($U$94,'TAR FIN'!$A$1:$O$86,15,0))</f>
        <v>389.21</v>
      </c>
      <c r="Y94" s="6">
        <f ca="1">('TUSD BE'!$AM$6+'TUSD BF_350'!$AM$6+'TUSD CVA'!$AM$6)*1</f>
        <v>40.182791243128264</v>
      </c>
      <c r="Z94" s="6">
        <f ca="1">('TUSD BE'!$AM$8+'TUSD BF_350'!$AM$8+'TUSD CVA'!$AM$8)*1</f>
        <v>100.23755694003805</v>
      </c>
      <c r="AA94" s="6">
        <f ca="1">('TE BE'!$AB$5+'TE BF_350'!$AB$5+'TE CVA'!$AB$5)*1</f>
        <v>353.55100010229148</v>
      </c>
      <c r="AB94" s="6">
        <f>$K$94*$V$94</f>
        <v>8482.65</v>
      </c>
      <c r="AC94" s="6">
        <f>$M$94*$W$94</f>
        <v>252.09072000000003</v>
      </c>
      <c r="AD94" s="6">
        <f>$O$94*$X$94</f>
        <v>1247.0288399999999</v>
      </c>
      <c r="AE94" s="6">
        <f ca="1">$K$94*$Y$94</f>
        <v>6630.1605551161638</v>
      </c>
      <c r="AF94" s="6">
        <f ca="1">$M$94*$Z$94</f>
        <v>321.16113243588194</v>
      </c>
      <c r="AG94" s="6">
        <f ca="1">$O$94*$AA$94</f>
        <v>1132.777404327742</v>
      </c>
    </row>
    <row r="95" spans="1:33" ht="11.25" customHeight="1" x14ac:dyDescent="0.25">
      <c r="A95" s="4" t="s">
        <v>21</v>
      </c>
      <c r="B95" s="4" t="s">
        <v>38</v>
      </c>
      <c r="C95" s="4" t="s">
        <v>39</v>
      </c>
      <c r="D95" s="4" t="s">
        <v>37</v>
      </c>
      <c r="E95" s="4" t="s">
        <v>25</v>
      </c>
      <c r="F95" s="4" t="s">
        <v>25</v>
      </c>
      <c r="G95" s="4" t="s">
        <v>25</v>
      </c>
      <c r="H95" s="4" t="s">
        <v>33</v>
      </c>
      <c r="I95" s="5">
        <v>44652</v>
      </c>
      <c r="J95" s="6">
        <v>165</v>
      </c>
      <c r="K95" s="6">
        <v>165</v>
      </c>
      <c r="L95" s="6">
        <v>2.589</v>
      </c>
      <c r="M95" s="6">
        <v>2.589</v>
      </c>
      <c r="N95" s="6">
        <v>2.589</v>
      </c>
      <c r="O95" s="6">
        <v>2.589</v>
      </c>
      <c r="P95" s="6">
        <v>0</v>
      </c>
      <c r="Q95" s="4" t="s">
        <v>26</v>
      </c>
      <c r="R95" s="4">
        <v>0</v>
      </c>
      <c r="S95" s="6">
        <v>3</v>
      </c>
      <c r="T95" s="6">
        <v>7</v>
      </c>
      <c r="U95" s="6">
        <v>47</v>
      </c>
      <c r="V95" s="6">
        <f>IF(ISERROR(VLOOKUP($S$95,'TAR FIN'!$A$1:$O$86,15,0)),0,VLOOKUP($S$95,'TAR FIN'!$A$1:$O$86,15,0))</f>
        <v>51.41</v>
      </c>
      <c r="W95" s="6">
        <f>IF(ISERROR(VLOOKUP($T$95,'TAR FIN'!$A$1:$O$86,15,0)),0,VLOOKUP($T$95,'TAR FIN'!$A$1:$O$86,15,0))</f>
        <v>78.680000000000007</v>
      </c>
      <c r="X95" s="6">
        <f>IF(ISERROR(VLOOKUP($U$95,'TAR FIN'!$A$1:$O$86,15,0)),0,VLOOKUP($U$95,'TAR FIN'!$A$1:$O$86,15,0))</f>
        <v>389.21</v>
      </c>
      <c r="Y95" s="6">
        <f ca="1">('TUSD BE'!$AM$6+'TUSD BF_350'!$AM$6+'TUSD CVA'!$AM$6)*1</f>
        <v>40.182791243128264</v>
      </c>
      <c r="Z95" s="6">
        <f ca="1">('TUSD BE'!$AM$8+'TUSD BF_350'!$AM$8+'TUSD CVA'!$AM$8)*1</f>
        <v>100.23755694003805</v>
      </c>
      <c r="AA95" s="6">
        <f ca="1">('TE BE'!$AB$5+'TE BF_350'!$AB$5+'TE CVA'!$AB$5)*1</f>
        <v>353.55100010229148</v>
      </c>
      <c r="AB95" s="6">
        <f>$K$95*$V$95</f>
        <v>8482.65</v>
      </c>
      <c r="AC95" s="6">
        <f>$M$95*$W$95</f>
        <v>203.70252000000002</v>
      </c>
      <c r="AD95" s="6">
        <f>$O$95*$X$95</f>
        <v>1007.66469</v>
      </c>
      <c r="AE95" s="6">
        <f ca="1">$K$95*$Y$95</f>
        <v>6630.1605551161638</v>
      </c>
      <c r="AF95" s="6">
        <f ca="1">$M$95*$Z$95</f>
        <v>259.5150349177585</v>
      </c>
      <c r="AG95" s="6">
        <f ca="1">$O$95*$AA$95</f>
        <v>915.34353926483266</v>
      </c>
    </row>
    <row r="96" spans="1:33" ht="11.25" customHeight="1" x14ac:dyDescent="0.25">
      <c r="A96" s="4" t="s">
        <v>21</v>
      </c>
      <c r="B96" s="4" t="s">
        <v>38</v>
      </c>
      <c r="C96" s="4" t="s">
        <v>39</v>
      </c>
      <c r="D96" s="4" t="s">
        <v>37</v>
      </c>
      <c r="E96" s="4" t="s">
        <v>25</v>
      </c>
      <c r="F96" s="4" t="s">
        <v>25</v>
      </c>
      <c r="G96" s="4" t="s">
        <v>25</v>
      </c>
      <c r="H96" s="4" t="s">
        <v>33</v>
      </c>
      <c r="I96" s="5">
        <v>44682</v>
      </c>
      <c r="J96" s="6">
        <v>165</v>
      </c>
      <c r="K96" s="6">
        <v>165</v>
      </c>
      <c r="L96" s="6">
        <v>3.3330000000000002</v>
      </c>
      <c r="M96" s="6">
        <v>3.3330000000000002</v>
      </c>
      <c r="N96" s="6">
        <v>3.3330000000000002</v>
      </c>
      <c r="O96" s="6">
        <v>3.3330000000000002</v>
      </c>
      <c r="P96" s="6">
        <v>0</v>
      </c>
      <c r="Q96" s="4" t="s">
        <v>26</v>
      </c>
      <c r="R96" s="4">
        <v>0</v>
      </c>
      <c r="S96" s="6">
        <v>3</v>
      </c>
      <c r="T96" s="6">
        <v>7</v>
      </c>
      <c r="U96" s="6">
        <v>47</v>
      </c>
      <c r="V96" s="6">
        <f>IF(ISERROR(VLOOKUP($S$96,'TAR FIN'!$A$1:$O$86,15,0)),0,VLOOKUP($S$96,'TAR FIN'!$A$1:$O$86,15,0))</f>
        <v>51.41</v>
      </c>
      <c r="W96" s="6">
        <f>IF(ISERROR(VLOOKUP($T$96,'TAR FIN'!$A$1:$O$86,15,0)),0,VLOOKUP($T$96,'TAR FIN'!$A$1:$O$86,15,0))</f>
        <v>78.680000000000007</v>
      </c>
      <c r="X96" s="6">
        <f>IF(ISERROR(VLOOKUP($U$96,'TAR FIN'!$A$1:$O$86,15,0)),0,VLOOKUP($U$96,'TAR FIN'!$A$1:$O$86,15,0))</f>
        <v>389.21</v>
      </c>
      <c r="Y96" s="6">
        <f ca="1">('TUSD BE'!$AM$6+'TUSD BF_350'!$AM$6+'TUSD CVA'!$AM$6)*1</f>
        <v>40.182791243128264</v>
      </c>
      <c r="Z96" s="6">
        <f ca="1">('TUSD BE'!$AM$8+'TUSD BF_350'!$AM$8+'TUSD CVA'!$AM$8)*1</f>
        <v>100.23755694003805</v>
      </c>
      <c r="AA96" s="6">
        <f ca="1">('TE BE'!$AB$5+'TE BF_350'!$AB$5+'TE CVA'!$AB$5)*1</f>
        <v>353.55100010229148</v>
      </c>
      <c r="AB96" s="6">
        <f>$K$96*$V$96</f>
        <v>8482.65</v>
      </c>
      <c r="AC96" s="6">
        <f>$M$96*$W$96</f>
        <v>262.24044000000004</v>
      </c>
      <c r="AD96" s="6">
        <f>$O$96*$X$96</f>
        <v>1297.23693</v>
      </c>
      <c r="AE96" s="6">
        <f ca="1">$K$96*$Y$96</f>
        <v>6630.1605551161638</v>
      </c>
      <c r="AF96" s="6">
        <f ca="1">$M$96*$Z$96</f>
        <v>334.09177728114685</v>
      </c>
      <c r="AG96" s="6">
        <f ca="1">$O$96*$AA$96</f>
        <v>1178.3854833409375</v>
      </c>
    </row>
    <row r="97" spans="1:33" ht="11.25" customHeight="1" x14ac:dyDescent="0.25">
      <c r="A97" s="4" t="s">
        <v>56</v>
      </c>
      <c r="B97" s="4" t="s">
        <v>38</v>
      </c>
      <c r="C97" s="4" t="s">
        <v>39</v>
      </c>
      <c r="D97" s="4" t="s">
        <v>37</v>
      </c>
      <c r="E97" s="4" t="s">
        <v>25</v>
      </c>
      <c r="F97" s="4" t="s">
        <v>25</v>
      </c>
      <c r="G97" s="4" t="s">
        <v>25</v>
      </c>
      <c r="H97" s="4" t="s">
        <v>33</v>
      </c>
      <c r="I97" s="5">
        <v>44713</v>
      </c>
      <c r="J97" s="6">
        <v>165</v>
      </c>
      <c r="K97" s="6">
        <v>165</v>
      </c>
      <c r="L97" s="6">
        <v>3.3330000000000002</v>
      </c>
      <c r="M97" s="6">
        <v>3.3330000000000002</v>
      </c>
      <c r="N97" s="6">
        <v>3.3330000000000002</v>
      </c>
      <c r="O97" s="6">
        <v>3.3330000000000002</v>
      </c>
      <c r="P97" s="6">
        <v>0</v>
      </c>
      <c r="Q97" s="4" t="s">
        <v>26</v>
      </c>
      <c r="R97" s="4">
        <v>0</v>
      </c>
      <c r="S97" s="6">
        <v>3</v>
      </c>
      <c r="T97" s="6">
        <v>7</v>
      </c>
      <c r="U97" s="6">
        <v>47</v>
      </c>
      <c r="V97" s="6">
        <f>IF(ISERROR(VLOOKUP($S$97,'TAR FIN'!$A$1:$O$86,15,0)),0,VLOOKUP($S$97,'TAR FIN'!$A$1:$O$86,15,0))</f>
        <v>51.41</v>
      </c>
      <c r="W97" s="6">
        <f>IF(ISERROR(VLOOKUP($T$97,'TAR FIN'!$A$1:$O$86,15,0)),0,VLOOKUP($T$97,'TAR FIN'!$A$1:$O$86,15,0))</f>
        <v>78.680000000000007</v>
      </c>
      <c r="X97" s="6">
        <f>IF(ISERROR(VLOOKUP($U$97,'TAR FIN'!$A$1:$O$86,15,0)),0,VLOOKUP($U$97,'TAR FIN'!$A$1:$O$86,15,0))</f>
        <v>389.21</v>
      </c>
      <c r="Y97" s="6">
        <f ca="1">('TUSD BE'!$AM$6+'TUSD BF_350'!$AM$6+'TUSD CVA'!$AM$6)*1</f>
        <v>40.182791243128264</v>
      </c>
      <c r="Z97" s="6">
        <f ca="1">('TUSD BE'!$AM$8+'TUSD BF_350'!$AM$8+'TUSD CVA'!$AM$8)*1</f>
        <v>100.23755694003805</v>
      </c>
      <c r="AA97" s="6">
        <f ca="1">('TE BE'!$AB$5+'TE BF_350'!$AB$5+'TE CVA'!$AB$5)*1</f>
        <v>353.55100010229148</v>
      </c>
      <c r="AB97" s="6">
        <f>$K$97*$V$97</f>
        <v>8482.65</v>
      </c>
      <c r="AC97" s="6">
        <f>$M$97*$W$97</f>
        <v>262.24044000000004</v>
      </c>
      <c r="AD97" s="6">
        <f>$O$97*$X$97</f>
        <v>1297.23693</v>
      </c>
      <c r="AE97" s="6">
        <f ca="1">$K$97*$Y$97</f>
        <v>6630.1605551161638</v>
      </c>
      <c r="AF97" s="6">
        <f ca="1">$M$97*$Z$97</f>
        <v>334.09177728114685</v>
      </c>
      <c r="AG97" s="6">
        <f ca="1">$O$97*$AA$97</f>
        <v>1178.3854833409375</v>
      </c>
    </row>
    <row r="98" spans="1:33" ht="11.25" customHeight="1" x14ac:dyDescent="0.25">
      <c r="A98" s="4" t="s">
        <v>21</v>
      </c>
      <c r="B98" s="4" t="s">
        <v>38</v>
      </c>
      <c r="C98" s="4" t="s">
        <v>39</v>
      </c>
      <c r="D98" s="4" t="s">
        <v>48</v>
      </c>
      <c r="E98" s="4" t="s">
        <v>49</v>
      </c>
      <c r="F98" s="4" t="s">
        <v>25</v>
      </c>
      <c r="G98" s="4" t="s">
        <v>25</v>
      </c>
      <c r="H98" s="4" t="s">
        <v>34</v>
      </c>
      <c r="I98" s="5">
        <v>44378</v>
      </c>
      <c r="J98" s="6">
        <v>677</v>
      </c>
      <c r="K98" s="96">
        <v>677</v>
      </c>
      <c r="L98" s="6">
        <v>362.75799999999998</v>
      </c>
      <c r="M98" s="97">
        <v>362.75799999999998</v>
      </c>
      <c r="N98" s="6">
        <v>362.75799999999998</v>
      </c>
      <c r="O98" s="97">
        <v>362.75799999999998</v>
      </c>
      <c r="P98" s="6">
        <v>0</v>
      </c>
      <c r="Q98" s="4" t="s">
        <v>26</v>
      </c>
      <c r="R98" s="4">
        <v>0</v>
      </c>
      <c r="S98" s="6">
        <v>22</v>
      </c>
      <c r="T98" s="6">
        <v>7</v>
      </c>
      <c r="U98" s="6">
        <v>42</v>
      </c>
      <c r="V98" s="97">
        <f>IF(ISERROR(VLOOKUP($S$98,'TAR FIN'!$A$1:$O$86,15,0)),0,VLOOKUP($S$98,'TAR FIN'!$A$1:$O$86,15,0))*(1-0.06)</f>
        <v>18.085599999999996</v>
      </c>
      <c r="W98" s="97">
        <f>IF(ISERROR(VLOOKUP($T$98,'TAR FIN'!$A$1:$O$86,15,0)),0,VLOOKUP($T$98,'TAR FIN'!$A$1:$O$86,15,0))*(1-0.06)</f>
        <v>73.959199999999996</v>
      </c>
      <c r="X98" s="97">
        <f>IF(ISERROR(VLOOKUP($U$98,'TAR FIN'!$A$1:$O$86,15,0)),0,VLOOKUP($U$98,'TAR FIN'!$A$1:$O$86,15,0))*(1-0.06)</f>
        <v>231.52199999999999</v>
      </c>
      <c r="Y98" s="97">
        <f ca="1">('TUSD BE'!$AM$7+'TUSD BF_350'!$AM$7+'TUSD CVA'!$AM$7)*1*(1-0.03)</f>
        <v>14.737169183098963</v>
      </c>
      <c r="Z98" s="97">
        <f ca="1">('TUSD BE'!$AM$8+'TUSD BF_350'!$AM$8+'TUSD CVA'!$AM$8)*1*(1-0.03)</f>
        <v>97.230430231836905</v>
      </c>
      <c r="AA98" s="97">
        <f ca="1">('TE BE'!$AB$6+'TE BF_350'!$AB$6+'TE CVA'!$AB$6)*1*(1-0.03)</f>
        <v>212.82153574530136</v>
      </c>
      <c r="AB98" s="6">
        <f>$K$98*$V$98</f>
        <v>12243.951199999998</v>
      </c>
      <c r="AC98" s="6">
        <f>$M$98*$W$98</f>
        <v>26829.291473599998</v>
      </c>
      <c r="AD98" s="6">
        <f>$O$98*$X$98</f>
        <v>83986.457675999991</v>
      </c>
      <c r="AE98" s="6">
        <f ca="1">$K$98*$Y$98</f>
        <v>9977.0635369579977</v>
      </c>
      <c r="AF98" s="6">
        <f ca="1">$M$98*$Z$98</f>
        <v>35271.11641004069</v>
      </c>
      <c r="AG98" s="6">
        <f ca="1">$O$98*$AA$98</f>
        <v>77202.714663894032</v>
      </c>
    </row>
    <row r="99" spans="1:33" ht="11.25" customHeight="1" x14ac:dyDescent="0.25">
      <c r="A99" s="4" t="s">
        <v>21</v>
      </c>
      <c r="B99" s="4" t="s">
        <v>38</v>
      </c>
      <c r="C99" s="4" t="s">
        <v>39</v>
      </c>
      <c r="D99" s="4" t="s">
        <v>48</v>
      </c>
      <c r="E99" s="4" t="s">
        <v>49</v>
      </c>
      <c r="F99" s="4" t="s">
        <v>25</v>
      </c>
      <c r="G99" s="4" t="s">
        <v>25</v>
      </c>
      <c r="H99" s="4" t="s">
        <v>34</v>
      </c>
      <c r="I99" s="5">
        <v>44409</v>
      </c>
      <c r="J99" s="6">
        <v>642</v>
      </c>
      <c r="K99" s="96">
        <v>642</v>
      </c>
      <c r="L99" s="6">
        <v>360.85899999999998</v>
      </c>
      <c r="M99" s="97">
        <v>360.85899999999998</v>
      </c>
      <c r="N99" s="6">
        <v>360.85899999999998</v>
      </c>
      <c r="O99" s="97">
        <v>360.85899999999998</v>
      </c>
      <c r="P99" s="6">
        <v>0</v>
      </c>
      <c r="Q99" s="4" t="s">
        <v>26</v>
      </c>
      <c r="R99" s="4">
        <v>0</v>
      </c>
      <c r="S99" s="6">
        <v>22</v>
      </c>
      <c r="T99" s="6">
        <v>7</v>
      </c>
      <c r="U99" s="6">
        <v>42</v>
      </c>
      <c r="V99" s="97">
        <f>IF(ISERROR(VLOOKUP($S$99,'TAR FIN'!$A$1:$O$86,15,0)),0,VLOOKUP($S$99,'TAR FIN'!$A$1:$O$86,15,0))*(1-0.06)</f>
        <v>18.085599999999996</v>
      </c>
      <c r="W99" s="97">
        <f>IF(ISERROR(VLOOKUP($T$99,'TAR FIN'!$A$1:$O$86,15,0)),0,VLOOKUP($T$99,'TAR FIN'!$A$1:$O$86,15,0))*(1-0.06)</f>
        <v>73.959199999999996</v>
      </c>
      <c r="X99" s="97">
        <f>IF(ISERROR(VLOOKUP($U$99,'TAR FIN'!$A$1:$O$86,15,0)),0,VLOOKUP($U$99,'TAR FIN'!$A$1:$O$86,15,0))*(1-0.06)</f>
        <v>231.52199999999999</v>
      </c>
      <c r="Y99" s="97">
        <f ca="1">('TUSD BE'!$AM$7+'TUSD BF_350'!$AM$7+'TUSD CVA'!$AM$7)*1*(1-0.03)</f>
        <v>14.737169183098963</v>
      </c>
      <c r="Z99" s="97">
        <f ca="1">('TUSD BE'!$AM$8+'TUSD BF_350'!$AM$8+'TUSD CVA'!$AM$8)*1*(1-0.03)</f>
        <v>97.230430231836905</v>
      </c>
      <c r="AA99" s="97">
        <f ca="1">('TE BE'!$AB$6+'TE BF_350'!$AB$6+'TE CVA'!$AB$6)*1*(1-0.03)</f>
        <v>212.82153574530136</v>
      </c>
      <c r="AB99" s="6">
        <f>$K$99*$V$99</f>
        <v>11610.955199999997</v>
      </c>
      <c r="AC99" s="6">
        <f>$M$99*$W$99</f>
        <v>26688.842952799998</v>
      </c>
      <c r="AD99" s="6">
        <f>$O$99*$X$99</f>
        <v>83546.797397999995</v>
      </c>
      <c r="AE99" s="6">
        <f ca="1">$K$99*$Y$99</f>
        <v>9461.2626155495345</v>
      </c>
      <c r="AF99" s="6">
        <f ca="1">$M$99*$Z$99</f>
        <v>35086.475823030429</v>
      </c>
      <c r="AG99" s="6">
        <f ca="1">$O$99*$AA$99</f>
        <v>76798.566567513699</v>
      </c>
    </row>
    <row r="100" spans="1:33" ht="11.25" customHeight="1" x14ac:dyDescent="0.25">
      <c r="A100" s="4" t="s">
        <v>21</v>
      </c>
      <c r="B100" s="4" t="s">
        <v>38</v>
      </c>
      <c r="C100" s="4" t="s">
        <v>39</v>
      </c>
      <c r="D100" s="4" t="s">
        <v>48</v>
      </c>
      <c r="E100" s="4" t="s">
        <v>49</v>
      </c>
      <c r="F100" s="4" t="s">
        <v>25</v>
      </c>
      <c r="G100" s="4" t="s">
        <v>25</v>
      </c>
      <c r="H100" s="4" t="s">
        <v>34</v>
      </c>
      <c r="I100" s="5">
        <v>44440</v>
      </c>
      <c r="J100" s="6">
        <v>642</v>
      </c>
      <c r="K100" s="96">
        <v>642</v>
      </c>
      <c r="L100" s="6">
        <v>350.08800000000002</v>
      </c>
      <c r="M100" s="97">
        <v>350.08800000000002</v>
      </c>
      <c r="N100" s="6">
        <v>350.08800000000002</v>
      </c>
      <c r="O100" s="97">
        <v>350.08800000000002</v>
      </c>
      <c r="P100" s="6">
        <v>0</v>
      </c>
      <c r="Q100" s="4" t="s">
        <v>26</v>
      </c>
      <c r="R100" s="4">
        <v>0</v>
      </c>
      <c r="S100" s="6">
        <v>22</v>
      </c>
      <c r="T100" s="6">
        <v>7</v>
      </c>
      <c r="U100" s="6">
        <v>42</v>
      </c>
      <c r="V100" s="97">
        <f>IF(ISERROR(VLOOKUP($S$100,'TAR FIN'!$A$1:$O$86,15,0)),0,VLOOKUP($S$100,'TAR FIN'!$A$1:$O$86,15,0))*(1-0.06)</f>
        <v>18.085599999999996</v>
      </c>
      <c r="W100" s="97">
        <f>IF(ISERROR(VLOOKUP($T$100,'TAR FIN'!$A$1:$O$86,15,0)),0,VLOOKUP($T$100,'TAR FIN'!$A$1:$O$86,15,0))*(1-0.06)</f>
        <v>73.959199999999996</v>
      </c>
      <c r="X100" s="97">
        <f>IF(ISERROR(VLOOKUP($U$100,'TAR FIN'!$A$1:$O$86,15,0)),0,VLOOKUP($U$100,'TAR FIN'!$A$1:$O$86,15,0))*(1-0.06)</f>
        <v>231.52199999999999</v>
      </c>
      <c r="Y100" s="97">
        <f ca="1">('TUSD BE'!$AM$7+'TUSD BF_350'!$AM$7+'TUSD CVA'!$AM$7)*1*(1-0.03)</f>
        <v>14.737169183098963</v>
      </c>
      <c r="Z100" s="97">
        <f ca="1">('TUSD BE'!$AM$8+'TUSD BF_350'!$AM$8+'TUSD CVA'!$AM$8)*1*(1-0.03)</f>
        <v>97.230430231836905</v>
      </c>
      <c r="AA100" s="97">
        <f ca="1">('TE BE'!$AB$6+'TE BF_350'!$AB$6+'TE CVA'!$AB$6)*1*(1-0.03)</f>
        <v>212.82153574530136</v>
      </c>
      <c r="AB100" s="6">
        <f>$K$100*$V$100</f>
        <v>11610.955199999997</v>
      </c>
      <c r="AC100" s="6">
        <f>$M$100*$W$100</f>
        <v>25892.2284096</v>
      </c>
      <c r="AD100" s="6">
        <f>$O$100*$X$100</f>
        <v>81053.073936000001</v>
      </c>
      <c r="AE100" s="6">
        <f ca="1">$K$100*$Y$100</f>
        <v>9461.2626155495345</v>
      </c>
      <c r="AF100" s="6">
        <f ca="1">$M$100*$Z$100</f>
        <v>34039.206859003323</v>
      </c>
      <c r="AG100" s="6">
        <f ca="1">$O$100*$AA$100</f>
        <v>74506.265806001073</v>
      </c>
    </row>
    <row r="101" spans="1:33" ht="11.25" customHeight="1" x14ac:dyDescent="0.25">
      <c r="A101" s="4" t="s">
        <v>21</v>
      </c>
      <c r="B101" s="4" t="s">
        <v>38</v>
      </c>
      <c r="C101" s="4" t="s">
        <v>39</v>
      </c>
      <c r="D101" s="4" t="s">
        <v>48</v>
      </c>
      <c r="E101" s="4" t="s">
        <v>49</v>
      </c>
      <c r="F101" s="4" t="s">
        <v>25</v>
      </c>
      <c r="G101" s="4" t="s">
        <v>25</v>
      </c>
      <c r="H101" s="4" t="s">
        <v>34</v>
      </c>
      <c r="I101" s="5">
        <v>44470</v>
      </c>
      <c r="J101" s="6">
        <v>640</v>
      </c>
      <c r="K101" s="96">
        <v>640</v>
      </c>
      <c r="L101" s="6">
        <v>362.85399999999998</v>
      </c>
      <c r="M101" s="97">
        <v>362.85399999999998</v>
      </c>
      <c r="N101" s="6">
        <v>362.85399999999998</v>
      </c>
      <c r="O101" s="97">
        <v>362.85399999999998</v>
      </c>
      <c r="P101" s="6">
        <v>0</v>
      </c>
      <c r="Q101" s="4" t="s">
        <v>26</v>
      </c>
      <c r="R101" s="4">
        <v>0</v>
      </c>
      <c r="S101" s="6">
        <v>22</v>
      </c>
      <c r="T101" s="6">
        <v>7</v>
      </c>
      <c r="U101" s="6">
        <v>42</v>
      </c>
      <c r="V101" s="97">
        <f>IF(ISERROR(VLOOKUP($S$101,'TAR FIN'!$A$1:$O$86,15,0)),0,VLOOKUP($S$101,'TAR FIN'!$A$1:$O$86,15,0))*(1-0.06)</f>
        <v>18.085599999999996</v>
      </c>
      <c r="W101" s="97">
        <f>IF(ISERROR(VLOOKUP($T$101,'TAR FIN'!$A$1:$O$86,15,0)),0,VLOOKUP($T$101,'TAR FIN'!$A$1:$O$86,15,0))*(1-0.06)</f>
        <v>73.959199999999996</v>
      </c>
      <c r="X101" s="97">
        <f>IF(ISERROR(VLOOKUP($U$101,'TAR FIN'!$A$1:$O$86,15,0)),0,VLOOKUP($U$101,'TAR FIN'!$A$1:$O$86,15,0))*(1-0.06)</f>
        <v>231.52199999999999</v>
      </c>
      <c r="Y101" s="97">
        <f ca="1">('TUSD BE'!$AM$7+'TUSD BF_350'!$AM$7+'TUSD CVA'!$AM$7)*1*(1-0.03)</f>
        <v>14.737169183098963</v>
      </c>
      <c r="Z101" s="97">
        <f ca="1">('TUSD BE'!$AM$8+'TUSD BF_350'!$AM$8+'TUSD CVA'!$AM$8)*1*(1-0.03)</f>
        <v>97.230430231836905</v>
      </c>
      <c r="AA101" s="97">
        <f ca="1">('TE BE'!$AB$6+'TE BF_350'!$AB$6+'TE CVA'!$AB$6)*1*(1-0.03)</f>
        <v>212.82153574530136</v>
      </c>
      <c r="AB101" s="6">
        <f>$K$101*$V$101</f>
        <v>11574.783999999998</v>
      </c>
      <c r="AC101" s="6">
        <f>$M$101*$W$101</f>
        <v>26836.391556799997</v>
      </c>
      <c r="AD101" s="6">
        <f>$O$101*$X$101</f>
        <v>84008.683787999995</v>
      </c>
      <c r="AE101" s="6">
        <f ca="1">$K$101*$Y$101</f>
        <v>9431.7882771833356</v>
      </c>
      <c r="AF101" s="6">
        <f ca="1">$M$101*$Z$101</f>
        <v>35280.450531342947</v>
      </c>
      <c r="AG101" s="6">
        <f ca="1">$O$101*$AA$101</f>
        <v>77223.145531325572</v>
      </c>
    </row>
    <row r="102" spans="1:33" ht="11.25" customHeight="1" x14ac:dyDescent="0.25">
      <c r="A102" s="4" t="s">
        <v>21</v>
      </c>
      <c r="B102" s="4" t="s">
        <v>38</v>
      </c>
      <c r="C102" s="4" t="s">
        <v>39</v>
      </c>
      <c r="D102" s="4" t="s">
        <v>48</v>
      </c>
      <c r="E102" s="4" t="s">
        <v>49</v>
      </c>
      <c r="F102" s="4" t="s">
        <v>25</v>
      </c>
      <c r="G102" s="4" t="s">
        <v>25</v>
      </c>
      <c r="H102" s="4" t="s">
        <v>34</v>
      </c>
      <c r="I102" s="5">
        <v>44501</v>
      </c>
      <c r="J102" s="6">
        <v>652</v>
      </c>
      <c r="K102" s="96">
        <v>652</v>
      </c>
      <c r="L102" s="6">
        <v>367.28899999999999</v>
      </c>
      <c r="M102" s="97">
        <v>367.28899999999999</v>
      </c>
      <c r="N102" s="6">
        <v>367.28899999999999</v>
      </c>
      <c r="O102" s="97">
        <v>367.28899999999999</v>
      </c>
      <c r="P102" s="6">
        <v>0</v>
      </c>
      <c r="Q102" s="4" t="s">
        <v>26</v>
      </c>
      <c r="R102" s="4">
        <v>0</v>
      </c>
      <c r="S102" s="6">
        <v>22</v>
      </c>
      <c r="T102" s="6">
        <v>7</v>
      </c>
      <c r="U102" s="6">
        <v>42</v>
      </c>
      <c r="V102" s="97">
        <f>IF(ISERROR(VLOOKUP($S$102,'TAR FIN'!$A$1:$O$86,15,0)),0,VLOOKUP($S$102,'TAR FIN'!$A$1:$O$86,15,0))*(1-0.06)</f>
        <v>18.085599999999996</v>
      </c>
      <c r="W102" s="97">
        <f>IF(ISERROR(VLOOKUP($T$102,'TAR FIN'!$A$1:$O$86,15,0)),0,VLOOKUP($T$102,'TAR FIN'!$A$1:$O$86,15,0))*(1-0.06)</f>
        <v>73.959199999999996</v>
      </c>
      <c r="X102" s="97">
        <f>IF(ISERROR(VLOOKUP($U$102,'TAR FIN'!$A$1:$O$86,15,0)),0,VLOOKUP($U$102,'TAR FIN'!$A$1:$O$86,15,0))*(1-0.06)</f>
        <v>231.52199999999999</v>
      </c>
      <c r="Y102" s="97">
        <f ca="1">('TUSD BE'!$AM$7+'TUSD BF_350'!$AM$7+'TUSD CVA'!$AM$7)*1*(1-0.03)</f>
        <v>14.737169183098963</v>
      </c>
      <c r="Z102" s="97">
        <f ca="1">('TUSD BE'!$AM$8+'TUSD BF_350'!$AM$8+'TUSD CVA'!$AM$8)*1*(1-0.03)</f>
        <v>97.230430231836905</v>
      </c>
      <c r="AA102" s="97">
        <f ca="1">('TE BE'!$AB$6+'TE BF_350'!$AB$6+'TE CVA'!$AB$6)*1*(1-0.03)</f>
        <v>212.82153574530136</v>
      </c>
      <c r="AB102" s="6">
        <f>$K$102*$V$102</f>
        <v>11791.811199999996</v>
      </c>
      <c r="AC102" s="6">
        <f>$M$102*$W$102</f>
        <v>27164.400608799999</v>
      </c>
      <c r="AD102" s="6">
        <f>$O$102*$X$102</f>
        <v>85035.483857999992</v>
      </c>
      <c r="AE102" s="6">
        <f ca="1">$K$102*$Y$102</f>
        <v>9608.6343073805238</v>
      </c>
      <c r="AF102" s="6">
        <f ca="1">$M$102*$Z$102</f>
        <v>35711.667489421146</v>
      </c>
      <c r="AG102" s="6">
        <f ca="1">$O$102*$AA$102</f>
        <v>78167.009042355989</v>
      </c>
    </row>
    <row r="103" spans="1:33" ht="11.25" customHeight="1" x14ac:dyDescent="0.25">
      <c r="A103" s="4" t="s">
        <v>21</v>
      </c>
      <c r="B103" s="4" t="s">
        <v>38</v>
      </c>
      <c r="C103" s="4" t="s">
        <v>39</v>
      </c>
      <c r="D103" s="4" t="s">
        <v>48</v>
      </c>
      <c r="E103" s="4" t="s">
        <v>49</v>
      </c>
      <c r="F103" s="4" t="s">
        <v>25</v>
      </c>
      <c r="G103" s="4" t="s">
        <v>25</v>
      </c>
      <c r="H103" s="4" t="s">
        <v>34</v>
      </c>
      <c r="I103" s="5">
        <v>44531</v>
      </c>
      <c r="J103" s="6">
        <v>654</v>
      </c>
      <c r="K103" s="96">
        <v>654</v>
      </c>
      <c r="L103" s="6">
        <v>390.88799999999998</v>
      </c>
      <c r="M103" s="97">
        <v>390.88799999999998</v>
      </c>
      <c r="N103" s="6">
        <v>390.88799999999998</v>
      </c>
      <c r="O103" s="97">
        <v>390.88799999999998</v>
      </c>
      <c r="P103" s="6">
        <v>0</v>
      </c>
      <c r="Q103" s="4" t="s">
        <v>26</v>
      </c>
      <c r="R103" s="4">
        <v>0</v>
      </c>
      <c r="S103" s="6">
        <v>22</v>
      </c>
      <c r="T103" s="6">
        <v>7</v>
      </c>
      <c r="U103" s="6">
        <v>42</v>
      </c>
      <c r="V103" s="97">
        <f>IF(ISERROR(VLOOKUP($S$103,'TAR FIN'!$A$1:$O$86,15,0)),0,VLOOKUP($S$103,'TAR FIN'!$A$1:$O$86,15,0))*(1-0.06)</f>
        <v>18.085599999999996</v>
      </c>
      <c r="W103" s="97">
        <f>IF(ISERROR(VLOOKUP($T$103,'TAR FIN'!$A$1:$O$86,15,0)),0,VLOOKUP($T$103,'TAR FIN'!$A$1:$O$86,15,0))*(1-0.06)</f>
        <v>73.959199999999996</v>
      </c>
      <c r="X103" s="97">
        <f>IF(ISERROR(VLOOKUP($U$103,'TAR FIN'!$A$1:$O$86,15,0)),0,VLOOKUP($U$103,'TAR FIN'!$A$1:$O$86,15,0))*(1-0.06)</f>
        <v>231.52199999999999</v>
      </c>
      <c r="Y103" s="97">
        <f ca="1">('TUSD BE'!$AM$7+'TUSD BF_350'!$AM$7+'TUSD CVA'!$AM$7)*1*(1-0.03)</f>
        <v>14.737169183098963</v>
      </c>
      <c r="Z103" s="97">
        <f ca="1">('TUSD BE'!$AM$8+'TUSD BF_350'!$AM$8+'TUSD CVA'!$AM$8)*1*(1-0.03)</f>
        <v>97.230430231836905</v>
      </c>
      <c r="AA103" s="97">
        <f ca="1">('TE BE'!$AB$6+'TE BF_350'!$AB$6+'TE CVA'!$AB$6)*1*(1-0.03)</f>
        <v>212.82153574530136</v>
      </c>
      <c r="AB103" s="6">
        <f>$K$103*$V$103</f>
        <v>11827.982399999997</v>
      </c>
      <c r="AC103" s="6">
        <f>$M$103*$W$103</f>
        <v>28909.763769599998</v>
      </c>
      <c r="AD103" s="6">
        <f>$O$103*$X$103</f>
        <v>90499.171535999994</v>
      </c>
      <c r="AE103" s="6">
        <f ca="1">$K$103*$Y$103</f>
        <v>9638.1086457467227</v>
      </c>
      <c r="AF103" s="6">
        <f ca="1">$M$103*$Z$103</f>
        <v>38006.208412462263</v>
      </c>
      <c r="AG103" s="6">
        <f ca="1">$O$103*$AA$103</f>
        <v>83189.384464409348</v>
      </c>
    </row>
    <row r="104" spans="1:33" ht="11.25" customHeight="1" x14ac:dyDescent="0.25">
      <c r="A104" s="4" t="s">
        <v>21</v>
      </c>
      <c r="B104" s="4" t="s">
        <v>38</v>
      </c>
      <c r="C104" s="4" t="s">
        <v>39</v>
      </c>
      <c r="D104" s="4" t="s">
        <v>48</v>
      </c>
      <c r="E104" s="4" t="s">
        <v>49</v>
      </c>
      <c r="F104" s="4" t="s">
        <v>25</v>
      </c>
      <c r="G104" s="4" t="s">
        <v>25</v>
      </c>
      <c r="H104" s="4" t="s">
        <v>34</v>
      </c>
      <c r="I104" s="5">
        <v>44562</v>
      </c>
      <c r="J104" s="6">
        <v>669</v>
      </c>
      <c r="K104" s="96">
        <v>669</v>
      </c>
      <c r="L104" s="6">
        <v>398.32</v>
      </c>
      <c r="M104" s="97">
        <v>398.32</v>
      </c>
      <c r="N104" s="6">
        <v>398.32</v>
      </c>
      <c r="O104" s="97">
        <v>398.32</v>
      </c>
      <c r="P104" s="6">
        <v>0</v>
      </c>
      <c r="Q104" s="4" t="s">
        <v>26</v>
      </c>
      <c r="R104" s="4">
        <v>0</v>
      </c>
      <c r="S104" s="6">
        <v>22</v>
      </c>
      <c r="T104" s="6">
        <v>7</v>
      </c>
      <c r="U104" s="6">
        <v>42</v>
      </c>
      <c r="V104" s="97">
        <f>IF(ISERROR(VLOOKUP($S$104,'TAR FIN'!$A$1:$O$86,15,0)),0,VLOOKUP($S$104,'TAR FIN'!$A$1:$O$86,15,0))*(1-0.06)</f>
        <v>18.085599999999996</v>
      </c>
      <c r="W104" s="97">
        <f>IF(ISERROR(VLOOKUP($T$104,'TAR FIN'!$A$1:$O$86,15,0)),0,VLOOKUP($T$104,'TAR FIN'!$A$1:$O$86,15,0))*(1-0.06)</f>
        <v>73.959199999999996</v>
      </c>
      <c r="X104" s="97">
        <f>IF(ISERROR(VLOOKUP($U$104,'TAR FIN'!$A$1:$O$86,15,0)),0,VLOOKUP($U$104,'TAR FIN'!$A$1:$O$86,15,0))*(1-0.06)</f>
        <v>231.52199999999999</v>
      </c>
      <c r="Y104" s="97">
        <f ca="1">('TUSD BE'!$AM$7+'TUSD BF_350'!$AM$7+'TUSD CVA'!$AM$7)*1*(1-0.03)</f>
        <v>14.737169183098963</v>
      </c>
      <c r="Z104" s="97">
        <f ca="1">('TUSD BE'!$AM$8+'TUSD BF_350'!$AM$8+'TUSD CVA'!$AM$8)*1*(1-0.03)</f>
        <v>97.230430231836905</v>
      </c>
      <c r="AA104" s="97">
        <f ca="1">('TE BE'!$AB$6+'TE BF_350'!$AB$6+'TE CVA'!$AB$6)*1*(1-0.03)</f>
        <v>212.82153574530136</v>
      </c>
      <c r="AB104" s="6">
        <f>$K$104*$V$104</f>
        <v>12099.266399999997</v>
      </c>
      <c r="AC104" s="6">
        <f>$M$104*$W$104</f>
        <v>29459.428543999999</v>
      </c>
      <c r="AD104" s="6">
        <f>$O$104*$X$104</f>
        <v>92219.843039999992</v>
      </c>
      <c r="AE104" s="6">
        <f ca="1">$K$104*$Y$104</f>
        <v>9859.1661834932056</v>
      </c>
      <c r="AF104" s="6">
        <f ca="1">$M$104*$Z$104</f>
        <v>38728.824969945279</v>
      </c>
      <c r="AG104" s="6">
        <f ca="1">$O$104*$AA$104</f>
        <v>84771.074118068442</v>
      </c>
    </row>
    <row r="105" spans="1:33" ht="11.25" customHeight="1" x14ac:dyDescent="0.25">
      <c r="A105" s="4" t="s">
        <v>21</v>
      </c>
      <c r="B105" s="4" t="s">
        <v>38</v>
      </c>
      <c r="C105" s="4" t="s">
        <v>39</v>
      </c>
      <c r="D105" s="4" t="s">
        <v>48</v>
      </c>
      <c r="E105" s="4" t="s">
        <v>49</v>
      </c>
      <c r="F105" s="4" t="s">
        <v>25</v>
      </c>
      <c r="G105" s="4" t="s">
        <v>25</v>
      </c>
      <c r="H105" s="4" t="s">
        <v>34</v>
      </c>
      <c r="I105" s="5">
        <v>44593</v>
      </c>
      <c r="J105" s="6">
        <v>684</v>
      </c>
      <c r="K105" s="96">
        <v>684</v>
      </c>
      <c r="L105" s="6">
        <v>360.32400000000001</v>
      </c>
      <c r="M105" s="97">
        <v>360.32400000000001</v>
      </c>
      <c r="N105" s="6">
        <v>360.32400000000001</v>
      </c>
      <c r="O105" s="97">
        <v>360.32400000000001</v>
      </c>
      <c r="P105" s="6">
        <v>0</v>
      </c>
      <c r="Q105" s="4" t="s">
        <v>26</v>
      </c>
      <c r="R105" s="4">
        <v>0</v>
      </c>
      <c r="S105" s="6">
        <v>22</v>
      </c>
      <c r="T105" s="6">
        <v>7</v>
      </c>
      <c r="U105" s="6">
        <v>42</v>
      </c>
      <c r="V105" s="97">
        <f>IF(ISERROR(VLOOKUP($S$105,'TAR FIN'!$A$1:$O$86,15,0)),0,VLOOKUP($S$105,'TAR FIN'!$A$1:$O$86,15,0))*(1-0.06)</f>
        <v>18.085599999999996</v>
      </c>
      <c r="W105" s="97">
        <f>IF(ISERROR(VLOOKUP($T$105,'TAR FIN'!$A$1:$O$86,15,0)),0,VLOOKUP($T$105,'TAR FIN'!$A$1:$O$86,15,0))*(1-0.06)</f>
        <v>73.959199999999996</v>
      </c>
      <c r="X105" s="97">
        <f>IF(ISERROR(VLOOKUP($U$105,'TAR FIN'!$A$1:$O$86,15,0)),0,VLOOKUP($U$105,'TAR FIN'!$A$1:$O$86,15,0))*(1-0.06)</f>
        <v>231.52199999999999</v>
      </c>
      <c r="Y105" s="97">
        <f ca="1">('TUSD BE'!$AM$7+'TUSD BF_350'!$AM$7+'TUSD CVA'!$AM$7)*1*(1-0.03)</f>
        <v>14.737169183098963</v>
      </c>
      <c r="Z105" s="97">
        <f ca="1">('TUSD BE'!$AM$8+'TUSD BF_350'!$AM$8+'TUSD CVA'!$AM$8)*1*(1-0.03)</f>
        <v>97.230430231836905</v>
      </c>
      <c r="AA105" s="97">
        <f ca="1">('TE BE'!$AB$6+'TE BF_350'!$AB$6+'TE CVA'!$AB$6)*1*(1-0.03)</f>
        <v>212.82153574530136</v>
      </c>
      <c r="AB105" s="6">
        <f>$K$105*$V$105</f>
        <v>12370.550399999996</v>
      </c>
      <c r="AC105" s="6">
        <f>$M$105*$W$105</f>
        <v>26649.274780799999</v>
      </c>
      <c r="AD105" s="6">
        <f>$O$105*$X$105</f>
        <v>83422.933128000004</v>
      </c>
      <c r="AE105" s="6">
        <f ca="1">$K$105*$Y$105</f>
        <v>10080.22372123969</v>
      </c>
      <c r="AF105" s="6">
        <f ca="1">$M$105*$Z$105</f>
        <v>35034.457542856406</v>
      </c>
      <c r="AG105" s="6">
        <f ca="1">$O$105*$AA$105</f>
        <v>76684.707045889969</v>
      </c>
    </row>
    <row r="106" spans="1:33" ht="11.25" customHeight="1" x14ac:dyDescent="0.25">
      <c r="A106" s="4" t="s">
        <v>21</v>
      </c>
      <c r="B106" s="4" t="s">
        <v>38</v>
      </c>
      <c r="C106" s="4" t="s">
        <v>39</v>
      </c>
      <c r="D106" s="4" t="s">
        <v>48</v>
      </c>
      <c r="E106" s="4" t="s">
        <v>49</v>
      </c>
      <c r="F106" s="4" t="s">
        <v>25</v>
      </c>
      <c r="G106" s="4" t="s">
        <v>25</v>
      </c>
      <c r="H106" s="4" t="s">
        <v>34</v>
      </c>
      <c r="I106" s="5">
        <v>44621</v>
      </c>
      <c r="J106" s="6">
        <v>709</v>
      </c>
      <c r="K106" s="96">
        <v>709</v>
      </c>
      <c r="L106" s="6">
        <v>396.178</v>
      </c>
      <c r="M106" s="97">
        <v>396.178</v>
      </c>
      <c r="N106" s="6">
        <v>396.178</v>
      </c>
      <c r="O106" s="97">
        <v>396.178</v>
      </c>
      <c r="P106" s="6">
        <v>0</v>
      </c>
      <c r="Q106" s="4" t="s">
        <v>26</v>
      </c>
      <c r="R106" s="4">
        <v>0</v>
      </c>
      <c r="S106" s="6">
        <v>22</v>
      </c>
      <c r="T106" s="6">
        <v>7</v>
      </c>
      <c r="U106" s="6">
        <v>42</v>
      </c>
      <c r="V106" s="97">
        <f>IF(ISERROR(VLOOKUP($S$106,'TAR FIN'!$A$1:$O$86,15,0)),0,VLOOKUP($S$106,'TAR FIN'!$A$1:$O$86,15,0))*(1-0.06)</f>
        <v>18.085599999999996</v>
      </c>
      <c r="W106" s="97">
        <f>IF(ISERROR(VLOOKUP($T$106,'TAR FIN'!$A$1:$O$86,15,0)),0,VLOOKUP($T$106,'TAR FIN'!$A$1:$O$86,15,0))*(1-0.06)</f>
        <v>73.959199999999996</v>
      </c>
      <c r="X106" s="97">
        <f>IF(ISERROR(VLOOKUP($U$106,'TAR FIN'!$A$1:$O$86,15,0)),0,VLOOKUP($U$106,'TAR FIN'!$A$1:$O$86,15,0))*(1-0.06)</f>
        <v>231.52199999999999</v>
      </c>
      <c r="Y106" s="97">
        <f ca="1">('TUSD BE'!$AM$7+'TUSD BF_350'!$AM$7+'TUSD CVA'!$AM$7)*1*(1-0.03)</f>
        <v>14.737169183098963</v>
      </c>
      <c r="Z106" s="97">
        <f ca="1">('TUSD BE'!$AM$8+'TUSD BF_350'!$AM$8+'TUSD CVA'!$AM$8)*1*(1-0.03)</f>
        <v>97.230430231836905</v>
      </c>
      <c r="AA106" s="97">
        <f ca="1">('TE BE'!$AB$6+'TE BF_350'!$AB$6+'TE CVA'!$AB$6)*1*(1-0.03)</f>
        <v>212.82153574530136</v>
      </c>
      <c r="AB106" s="6">
        <f>$K$106*$V$106</f>
        <v>12822.690399999998</v>
      </c>
      <c r="AC106" s="6">
        <f>$M$106*$W$106</f>
        <v>29301.007937599999</v>
      </c>
      <c r="AD106" s="6">
        <f>$O$106*$X$106</f>
        <v>91723.922915999996</v>
      </c>
      <c r="AE106" s="6">
        <f ca="1">$K$106*$Y$106</f>
        <v>10448.652950817164</v>
      </c>
      <c r="AF106" s="6">
        <f ca="1">$M$106*$Z$106</f>
        <v>38520.557388388683</v>
      </c>
      <c r="AG106" s="6">
        <f ca="1">$O$106*$AA$106</f>
        <v>84315.210388502004</v>
      </c>
    </row>
    <row r="107" spans="1:33" ht="11.25" customHeight="1" x14ac:dyDescent="0.25">
      <c r="A107" s="4" t="s">
        <v>21</v>
      </c>
      <c r="B107" s="4" t="s">
        <v>38</v>
      </c>
      <c r="C107" s="4" t="s">
        <v>39</v>
      </c>
      <c r="D107" s="4" t="s">
        <v>48</v>
      </c>
      <c r="E107" s="4" t="s">
        <v>49</v>
      </c>
      <c r="F107" s="4" t="s">
        <v>25</v>
      </c>
      <c r="G107" s="4" t="s">
        <v>25</v>
      </c>
      <c r="H107" s="4" t="s">
        <v>34</v>
      </c>
      <c r="I107" s="5">
        <v>44652</v>
      </c>
      <c r="J107" s="6">
        <v>669</v>
      </c>
      <c r="K107" s="96">
        <v>669</v>
      </c>
      <c r="L107" s="6">
        <v>384.61700000000002</v>
      </c>
      <c r="M107" s="97">
        <v>384.61700000000002</v>
      </c>
      <c r="N107" s="6">
        <v>384.61700000000002</v>
      </c>
      <c r="O107" s="97">
        <v>384.61700000000002</v>
      </c>
      <c r="P107" s="6">
        <v>0</v>
      </c>
      <c r="Q107" s="4" t="s">
        <v>26</v>
      </c>
      <c r="R107" s="4">
        <v>0</v>
      </c>
      <c r="S107" s="6">
        <v>22</v>
      </c>
      <c r="T107" s="6">
        <v>7</v>
      </c>
      <c r="U107" s="6">
        <v>42</v>
      </c>
      <c r="V107" s="97">
        <f>IF(ISERROR(VLOOKUP($S$107,'TAR FIN'!$A$1:$O$86,15,0)),0,VLOOKUP($S$107,'TAR FIN'!$A$1:$O$86,15,0))*(1-0.06)</f>
        <v>18.085599999999996</v>
      </c>
      <c r="W107" s="97">
        <f>IF(ISERROR(VLOOKUP($T$107,'TAR FIN'!$A$1:$O$86,15,0)),0,VLOOKUP($T$107,'TAR FIN'!$A$1:$O$86,15,0))*(1-0.06)</f>
        <v>73.959199999999996</v>
      </c>
      <c r="X107" s="97">
        <f>IF(ISERROR(VLOOKUP($U$107,'TAR FIN'!$A$1:$O$86,15,0)),0,VLOOKUP($U$107,'TAR FIN'!$A$1:$O$86,15,0))*(1-0.06)</f>
        <v>231.52199999999999</v>
      </c>
      <c r="Y107" s="97">
        <f ca="1">('TUSD BE'!$AM$7+'TUSD BF_350'!$AM$7+'TUSD CVA'!$AM$7)*1*(1-0.03)</f>
        <v>14.737169183098963</v>
      </c>
      <c r="Z107" s="97">
        <f ca="1">('TUSD BE'!$AM$8+'TUSD BF_350'!$AM$8+'TUSD CVA'!$AM$8)*1*(1-0.03)</f>
        <v>97.230430231836905</v>
      </c>
      <c r="AA107" s="97">
        <f ca="1">('TE BE'!$AB$6+'TE BF_350'!$AB$6+'TE CVA'!$AB$6)*1*(1-0.03)</f>
        <v>212.82153574530136</v>
      </c>
      <c r="AB107" s="6">
        <f>$K$107*$V$107</f>
        <v>12099.266399999997</v>
      </c>
      <c r="AC107" s="6">
        <f>$M$107*$W$107</f>
        <v>28445.9656264</v>
      </c>
      <c r="AD107" s="6">
        <f>$O$107*$X$107</f>
        <v>89047.297074000002</v>
      </c>
      <c r="AE107" s="6">
        <f ca="1">$K$107*$Y$107</f>
        <v>9859.1661834932056</v>
      </c>
      <c r="AF107" s="6">
        <f ca="1">$M$107*$Z$107</f>
        <v>37396.476384478417</v>
      </c>
      <c r="AG107" s="6">
        <f ca="1">$O$107*$AA$107</f>
        <v>81854.780613750583</v>
      </c>
    </row>
    <row r="108" spans="1:33" ht="11.25" customHeight="1" x14ac:dyDescent="0.25">
      <c r="A108" s="4" t="s">
        <v>21</v>
      </c>
      <c r="B108" s="4" t="s">
        <v>38</v>
      </c>
      <c r="C108" s="4" t="s">
        <v>39</v>
      </c>
      <c r="D108" s="4" t="s">
        <v>48</v>
      </c>
      <c r="E108" s="4" t="s">
        <v>49</v>
      </c>
      <c r="F108" s="4" t="s">
        <v>25</v>
      </c>
      <c r="G108" s="4" t="s">
        <v>25</v>
      </c>
      <c r="H108" s="4" t="s">
        <v>34</v>
      </c>
      <c r="I108" s="5">
        <v>44682</v>
      </c>
      <c r="J108" s="6">
        <v>683</v>
      </c>
      <c r="K108" s="96">
        <v>683</v>
      </c>
      <c r="L108" s="6">
        <v>384.69600000000003</v>
      </c>
      <c r="M108" s="97">
        <v>384.69600000000003</v>
      </c>
      <c r="N108" s="6">
        <v>384.69600000000003</v>
      </c>
      <c r="O108" s="97">
        <v>384.69600000000003</v>
      </c>
      <c r="P108" s="6">
        <v>0</v>
      </c>
      <c r="Q108" s="4" t="s">
        <v>26</v>
      </c>
      <c r="R108" s="4">
        <v>0</v>
      </c>
      <c r="S108" s="6">
        <v>22</v>
      </c>
      <c r="T108" s="6">
        <v>7</v>
      </c>
      <c r="U108" s="6">
        <v>42</v>
      </c>
      <c r="V108" s="97">
        <f>IF(ISERROR(VLOOKUP($S$108,'TAR FIN'!$A$1:$O$86,15,0)),0,VLOOKUP($S$108,'TAR FIN'!$A$1:$O$86,15,0))*(1-0.06)</f>
        <v>18.085599999999996</v>
      </c>
      <c r="W108" s="97">
        <f>IF(ISERROR(VLOOKUP($T$108,'TAR FIN'!$A$1:$O$86,15,0)),0,VLOOKUP($T$108,'TAR FIN'!$A$1:$O$86,15,0))*(1-0.06)</f>
        <v>73.959199999999996</v>
      </c>
      <c r="X108" s="97">
        <f>IF(ISERROR(VLOOKUP($U$108,'TAR FIN'!$A$1:$O$86,15,0)),0,VLOOKUP($U$108,'TAR FIN'!$A$1:$O$86,15,0))*(1-0.06)</f>
        <v>231.52199999999999</v>
      </c>
      <c r="Y108" s="97">
        <f ca="1">('TUSD BE'!$AM$7+'TUSD BF_350'!$AM$7+'TUSD CVA'!$AM$7)*1*(1-0.03)</f>
        <v>14.737169183098963</v>
      </c>
      <c r="Z108" s="97">
        <f ca="1">('TUSD BE'!$AM$8+'TUSD BF_350'!$AM$8+'TUSD CVA'!$AM$8)*1*(1-0.03)</f>
        <v>97.230430231836905</v>
      </c>
      <c r="AA108" s="97">
        <f ca="1">('TE BE'!$AB$6+'TE BF_350'!$AB$6+'TE CVA'!$AB$6)*1*(1-0.03)</f>
        <v>212.82153574530136</v>
      </c>
      <c r="AB108" s="6">
        <f>$K$108*$V$108</f>
        <v>12352.464799999998</v>
      </c>
      <c r="AC108" s="6">
        <f>$M$108*$W$108</f>
        <v>28451.808403200001</v>
      </c>
      <c r="AD108" s="6">
        <f>$O$108*$X$108</f>
        <v>89065.587312000003</v>
      </c>
      <c r="AE108" s="6">
        <f ca="1">$K$108*$Y$108</f>
        <v>10065.486552056593</v>
      </c>
      <c r="AF108" s="6">
        <f ca="1">$M$108*$Z$108</f>
        <v>37404.157588466733</v>
      </c>
      <c r="AG108" s="6">
        <f ca="1">$O$108*$AA$108</f>
        <v>81871.593515074463</v>
      </c>
    </row>
    <row r="109" spans="1:33" ht="11.25" customHeight="1" x14ac:dyDescent="0.25">
      <c r="A109" s="4" t="s">
        <v>56</v>
      </c>
      <c r="B109" s="4" t="s">
        <v>38</v>
      </c>
      <c r="C109" s="4" t="s">
        <v>39</v>
      </c>
      <c r="D109" s="4" t="s">
        <v>48</v>
      </c>
      <c r="E109" s="4" t="s">
        <v>49</v>
      </c>
      <c r="F109" s="4" t="s">
        <v>25</v>
      </c>
      <c r="G109" s="4" t="s">
        <v>25</v>
      </c>
      <c r="H109" s="4" t="s">
        <v>34</v>
      </c>
      <c r="I109" s="5">
        <v>44713</v>
      </c>
      <c r="J109" s="6">
        <v>683</v>
      </c>
      <c r="K109" s="96">
        <v>683</v>
      </c>
      <c r="L109" s="6">
        <v>384.69600000000003</v>
      </c>
      <c r="M109" s="97">
        <v>384.69600000000003</v>
      </c>
      <c r="N109" s="6">
        <v>384.69600000000003</v>
      </c>
      <c r="O109" s="97">
        <v>384.69600000000003</v>
      </c>
      <c r="P109" s="6">
        <v>0</v>
      </c>
      <c r="Q109" s="4" t="s">
        <v>26</v>
      </c>
      <c r="R109" s="4">
        <v>0</v>
      </c>
      <c r="S109" s="6">
        <v>22</v>
      </c>
      <c r="T109" s="6">
        <v>7</v>
      </c>
      <c r="U109" s="6">
        <v>42</v>
      </c>
      <c r="V109" s="97">
        <f>IF(ISERROR(VLOOKUP($S$109,'TAR FIN'!$A$1:$O$86,15,0)),0,VLOOKUP($S$109,'TAR FIN'!$A$1:$O$86,15,0))*(1-0.06)</f>
        <v>18.085599999999996</v>
      </c>
      <c r="W109" s="97">
        <f>IF(ISERROR(VLOOKUP($T$109,'TAR FIN'!$A$1:$O$86,15,0)),0,VLOOKUP($T$109,'TAR FIN'!$A$1:$O$86,15,0))*(1-0.06)</f>
        <v>73.959199999999996</v>
      </c>
      <c r="X109" s="97">
        <f>IF(ISERROR(VLOOKUP($U$109,'TAR FIN'!$A$1:$O$86,15,0)),0,VLOOKUP($U$109,'TAR FIN'!$A$1:$O$86,15,0))*(1-0.06)</f>
        <v>231.52199999999999</v>
      </c>
      <c r="Y109" s="97">
        <f ca="1">('TUSD BE'!$AM$7+'TUSD BF_350'!$AM$7+'TUSD CVA'!$AM$7)*1*(1-0.03)</f>
        <v>14.737169183098963</v>
      </c>
      <c r="Z109" s="97">
        <f ca="1">('TUSD BE'!$AM$8+'TUSD BF_350'!$AM$8+'TUSD CVA'!$AM$8)*1*(1-0.03)</f>
        <v>97.230430231836905</v>
      </c>
      <c r="AA109" s="97">
        <f ca="1">('TE BE'!$AB$6+'TE BF_350'!$AB$6+'TE CVA'!$AB$6)*1*(1-0.03)</f>
        <v>212.82153574530136</v>
      </c>
      <c r="AB109" s="6">
        <f>$K$109*$V$109</f>
        <v>12352.464799999998</v>
      </c>
      <c r="AC109" s="6">
        <f>$M$109*$W$109</f>
        <v>28451.808403200001</v>
      </c>
      <c r="AD109" s="6">
        <f>$O$109*$X$109</f>
        <v>89065.587312000003</v>
      </c>
      <c r="AE109" s="6">
        <f ca="1">$K$109*$Y$109</f>
        <v>10065.486552056593</v>
      </c>
      <c r="AF109" s="6">
        <f ca="1">$M$109*$Z$109</f>
        <v>37404.157588466733</v>
      </c>
      <c r="AG109" s="6">
        <f ca="1">$O$109*$AA$109</f>
        <v>81871.593515074463</v>
      </c>
    </row>
    <row r="110" spans="1:33" ht="11.25" customHeight="1" x14ac:dyDescent="0.25">
      <c r="A110" s="4" t="s">
        <v>21</v>
      </c>
      <c r="B110" s="4" t="s">
        <v>38</v>
      </c>
      <c r="C110" s="4" t="s">
        <v>39</v>
      </c>
      <c r="D110" s="4" t="s">
        <v>48</v>
      </c>
      <c r="E110" s="4" t="s">
        <v>49</v>
      </c>
      <c r="F110" s="4" t="s">
        <v>25</v>
      </c>
      <c r="G110" s="4" t="s">
        <v>25</v>
      </c>
      <c r="H110" s="4" t="s">
        <v>33</v>
      </c>
      <c r="I110" s="5">
        <v>44378</v>
      </c>
      <c r="J110" s="6">
        <v>640</v>
      </c>
      <c r="K110" s="96">
        <v>640</v>
      </c>
      <c r="L110" s="6">
        <v>37.576999999999998</v>
      </c>
      <c r="M110" s="97">
        <v>37.576999999999998</v>
      </c>
      <c r="N110" s="6">
        <v>37.576999999999998</v>
      </c>
      <c r="O110" s="97">
        <v>37.576999999999998</v>
      </c>
      <c r="P110" s="6">
        <v>0</v>
      </c>
      <c r="Q110" s="4" t="s">
        <v>26</v>
      </c>
      <c r="R110" s="4">
        <v>0</v>
      </c>
      <c r="S110" s="6">
        <v>3</v>
      </c>
      <c r="T110" s="6">
        <v>7</v>
      </c>
      <c r="U110" s="6">
        <v>47</v>
      </c>
      <c r="V110" s="97">
        <f>IF(ISERROR(VLOOKUP($S$110,'TAR FIN'!$A$1:$O$86,15,0)),0,VLOOKUP($S$110,'TAR FIN'!$A$1:$O$86,15,0))*(1-0.06)</f>
        <v>48.325399999999995</v>
      </c>
      <c r="W110" s="97">
        <f>IF(ISERROR(VLOOKUP($T$110,'TAR FIN'!$A$1:$O$86,15,0)),0,VLOOKUP($T$110,'TAR FIN'!$A$1:$O$86,15,0))*(1-0.06)</f>
        <v>73.959199999999996</v>
      </c>
      <c r="X110" s="97">
        <f>IF(ISERROR(VLOOKUP($U$110,'TAR FIN'!$A$1:$O$86,15,0)),0,VLOOKUP($U$110,'TAR FIN'!$A$1:$O$86,15,0))*(1-0.06)</f>
        <v>365.85739999999998</v>
      </c>
      <c r="Y110" s="97">
        <f ca="1">('TUSD BE'!$AM$6+'TUSD BF_350'!$AM$6+'TUSD CVA'!$AM$6)*1*(1-0.03)</f>
        <v>38.977307505834418</v>
      </c>
      <c r="Z110" s="97">
        <f ca="1">('TUSD BE'!$AM$8+'TUSD BF_350'!$AM$8+'TUSD CVA'!$AM$8)*1*(1-0.03)</f>
        <v>97.230430231836905</v>
      </c>
      <c r="AA110" s="97">
        <f ca="1">('TE BE'!$AB$5+'TE BF_350'!$AB$5+'TE CVA'!$AB$5)*1*(1-0.03)</f>
        <v>342.94447009922271</v>
      </c>
      <c r="AB110" s="6">
        <f>$K$110*$V$110</f>
        <v>30928.255999999998</v>
      </c>
      <c r="AC110" s="6">
        <f>$M$110*$W$110</f>
        <v>2779.1648583999995</v>
      </c>
      <c r="AD110" s="6">
        <f>$O$110*$X$110</f>
        <v>13747.823519799998</v>
      </c>
      <c r="AE110" s="6">
        <f ca="1">$K$110*$Y$110</f>
        <v>24945.476803734025</v>
      </c>
      <c r="AF110" s="6">
        <f ca="1">$M$110*$Z$110</f>
        <v>3653.6278768217353</v>
      </c>
      <c r="AG110" s="6">
        <f ca="1">$O$110*$AA$110</f>
        <v>12886.824352918491</v>
      </c>
    </row>
    <row r="111" spans="1:33" ht="11.25" customHeight="1" x14ac:dyDescent="0.25">
      <c r="A111" s="4" t="s">
        <v>21</v>
      </c>
      <c r="B111" s="4" t="s">
        <v>38</v>
      </c>
      <c r="C111" s="4" t="s">
        <v>39</v>
      </c>
      <c r="D111" s="4" t="s">
        <v>48</v>
      </c>
      <c r="E111" s="4" t="s">
        <v>49</v>
      </c>
      <c r="F111" s="4" t="s">
        <v>25</v>
      </c>
      <c r="G111" s="4" t="s">
        <v>25</v>
      </c>
      <c r="H111" s="4" t="s">
        <v>33</v>
      </c>
      <c r="I111" s="5">
        <v>44409</v>
      </c>
      <c r="J111" s="6">
        <v>640</v>
      </c>
      <c r="K111" s="96">
        <v>640</v>
      </c>
      <c r="L111" s="6">
        <v>37.415999999999997</v>
      </c>
      <c r="M111" s="97">
        <v>37.415999999999997</v>
      </c>
      <c r="N111" s="6">
        <v>37.415999999999997</v>
      </c>
      <c r="O111" s="97">
        <v>37.415999999999997</v>
      </c>
      <c r="P111" s="6">
        <v>0</v>
      </c>
      <c r="Q111" s="4" t="s">
        <v>26</v>
      </c>
      <c r="R111" s="4">
        <v>0</v>
      </c>
      <c r="S111" s="6">
        <v>3</v>
      </c>
      <c r="T111" s="6">
        <v>7</v>
      </c>
      <c r="U111" s="6">
        <v>47</v>
      </c>
      <c r="V111" s="97">
        <f>IF(ISERROR(VLOOKUP($S$111,'TAR FIN'!$A$1:$O$86,15,0)),0,VLOOKUP($S$111,'TAR FIN'!$A$1:$O$86,15,0))*(1-0.06)</f>
        <v>48.325399999999995</v>
      </c>
      <c r="W111" s="97">
        <f>IF(ISERROR(VLOOKUP($T$111,'TAR FIN'!$A$1:$O$86,15,0)),0,VLOOKUP($T$111,'TAR FIN'!$A$1:$O$86,15,0))*(1-0.06)</f>
        <v>73.959199999999996</v>
      </c>
      <c r="X111" s="97">
        <f>IF(ISERROR(VLOOKUP($U$111,'TAR FIN'!$A$1:$O$86,15,0)),0,VLOOKUP($U$111,'TAR FIN'!$A$1:$O$86,15,0))*(1-0.06)</f>
        <v>365.85739999999998</v>
      </c>
      <c r="Y111" s="97">
        <f ca="1">('TUSD BE'!$AM$6+'TUSD BF_350'!$AM$6+'TUSD CVA'!$AM$6)*1*(1-0.03)</f>
        <v>38.977307505834418</v>
      </c>
      <c r="Z111" s="97">
        <f ca="1">('TUSD BE'!$AM$8+'TUSD BF_350'!$AM$8+'TUSD CVA'!$AM$8)*1*(1-0.03)</f>
        <v>97.230430231836905</v>
      </c>
      <c r="AA111" s="97">
        <f ca="1">('TE BE'!$AB$5+'TE BF_350'!$AB$5+'TE CVA'!$AB$5)*1*(1-0.03)</f>
        <v>342.94447009922271</v>
      </c>
      <c r="AB111" s="6">
        <f>$K$111*$V$111</f>
        <v>30928.255999999998</v>
      </c>
      <c r="AC111" s="6">
        <f>$M$111*$W$111</f>
        <v>2767.2574271999997</v>
      </c>
      <c r="AD111" s="6">
        <f>$O$111*$X$111</f>
        <v>13688.920478399998</v>
      </c>
      <c r="AE111" s="6">
        <f ca="1">$K$111*$Y$111</f>
        <v>24945.476803734025</v>
      </c>
      <c r="AF111" s="6">
        <f ca="1">$M$111*$Z$111</f>
        <v>3637.9737775544095</v>
      </c>
      <c r="AG111" s="6">
        <f ca="1">$O$111*$AA$111</f>
        <v>12831.610293232516</v>
      </c>
    </row>
    <row r="112" spans="1:33" ht="11.25" customHeight="1" x14ac:dyDescent="0.25">
      <c r="A112" s="4" t="s">
        <v>21</v>
      </c>
      <c r="B112" s="4" t="s">
        <v>38</v>
      </c>
      <c r="C112" s="4" t="s">
        <v>39</v>
      </c>
      <c r="D112" s="4" t="s">
        <v>48</v>
      </c>
      <c r="E112" s="4" t="s">
        <v>49</v>
      </c>
      <c r="F112" s="4" t="s">
        <v>25</v>
      </c>
      <c r="G112" s="4" t="s">
        <v>25</v>
      </c>
      <c r="H112" s="4" t="s">
        <v>33</v>
      </c>
      <c r="I112" s="5">
        <v>44440</v>
      </c>
      <c r="J112" s="6">
        <v>640</v>
      </c>
      <c r="K112" s="96">
        <v>640</v>
      </c>
      <c r="L112" s="6">
        <v>36.036999999999999</v>
      </c>
      <c r="M112" s="97">
        <v>36.036999999999999</v>
      </c>
      <c r="N112" s="6">
        <v>36.036999999999999</v>
      </c>
      <c r="O112" s="97">
        <v>36.036999999999999</v>
      </c>
      <c r="P112" s="6">
        <v>0</v>
      </c>
      <c r="Q112" s="4" t="s">
        <v>26</v>
      </c>
      <c r="R112" s="4">
        <v>0</v>
      </c>
      <c r="S112" s="6">
        <v>3</v>
      </c>
      <c r="T112" s="6">
        <v>7</v>
      </c>
      <c r="U112" s="6">
        <v>47</v>
      </c>
      <c r="V112" s="97">
        <f>IF(ISERROR(VLOOKUP($S$112,'TAR FIN'!$A$1:$O$86,15,0)),0,VLOOKUP($S$112,'TAR FIN'!$A$1:$O$86,15,0))*(1-0.06)</f>
        <v>48.325399999999995</v>
      </c>
      <c r="W112" s="97">
        <f>IF(ISERROR(VLOOKUP($T$112,'TAR FIN'!$A$1:$O$86,15,0)),0,VLOOKUP($T$112,'TAR FIN'!$A$1:$O$86,15,0))*(1-0.06)</f>
        <v>73.959199999999996</v>
      </c>
      <c r="X112" s="97">
        <f>IF(ISERROR(VLOOKUP($U$112,'TAR FIN'!$A$1:$O$86,15,0)),0,VLOOKUP($U$112,'TAR FIN'!$A$1:$O$86,15,0))*(1-0.06)</f>
        <v>365.85739999999998</v>
      </c>
      <c r="Y112" s="97">
        <f ca="1">('TUSD BE'!$AM$6+'TUSD BF_350'!$AM$6+'TUSD CVA'!$AM$6)*1*(1-0.03)</f>
        <v>38.977307505834418</v>
      </c>
      <c r="Z112" s="97">
        <f ca="1">('TUSD BE'!$AM$8+'TUSD BF_350'!$AM$8+'TUSD CVA'!$AM$8)*1*(1-0.03)</f>
        <v>97.230430231836905</v>
      </c>
      <c r="AA112" s="97">
        <f ca="1">('TE BE'!$AB$5+'TE BF_350'!$AB$5+'TE CVA'!$AB$5)*1*(1-0.03)</f>
        <v>342.94447009922271</v>
      </c>
      <c r="AB112" s="6">
        <f>$K$112*$V$112</f>
        <v>30928.255999999998</v>
      </c>
      <c r="AC112" s="6">
        <f>$M$112*$W$112</f>
        <v>2665.2676904</v>
      </c>
      <c r="AD112" s="6">
        <f>$O$112*$X$112</f>
        <v>13184.403123799999</v>
      </c>
      <c r="AE112" s="6">
        <f ca="1">$K$112*$Y$112</f>
        <v>24945.476803734025</v>
      </c>
      <c r="AF112" s="6">
        <f ca="1">$M$112*$Z$112</f>
        <v>3503.8930142647064</v>
      </c>
      <c r="AG112" s="6">
        <f ca="1">$O$112*$AA$112</f>
        <v>12358.689868965688</v>
      </c>
    </row>
    <row r="113" spans="1:33" ht="11.25" customHeight="1" x14ac:dyDescent="0.25">
      <c r="A113" s="4" t="s">
        <v>21</v>
      </c>
      <c r="B113" s="4" t="s">
        <v>38</v>
      </c>
      <c r="C113" s="4" t="s">
        <v>39</v>
      </c>
      <c r="D113" s="4" t="s">
        <v>48</v>
      </c>
      <c r="E113" s="4" t="s">
        <v>49</v>
      </c>
      <c r="F113" s="4" t="s">
        <v>25</v>
      </c>
      <c r="G113" s="4" t="s">
        <v>25</v>
      </c>
      <c r="H113" s="4" t="s">
        <v>33</v>
      </c>
      <c r="I113" s="5">
        <v>44470</v>
      </c>
      <c r="J113" s="6">
        <v>640</v>
      </c>
      <c r="K113" s="96">
        <v>640</v>
      </c>
      <c r="L113" s="6">
        <v>33.704999999999998</v>
      </c>
      <c r="M113" s="97">
        <v>33.704999999999998</v>
      </c>
      <c r="N113" s="6">
        <v>33.704999999999998</v>
      </c>
      <c r="O113" s="97">
        <v>33.704999999999998</v>
      </c>
      <c r="P113" s="6">
        <v>0</v>
      </c>
      <c r="Q113" s="4" t="s">
        <v>26</v>
      </c>
      <c r="R113" s="4">
        <v>0</v>
      </c>
      <c r="S113" s="6">
        <v>3</v>
      </c>
      <c r="T113" s="6">
        <v>7</v>
      </c>
      <c r="U113" s="6">
        <v>47</v>
      </c>
      <c r="V113" s="97">
        <f>IF(ISERROR(VLOOKUP($S$113,'TAR FIN'!$A$1:$O$86,15,0)),0,VLOOKUP($S$113,'TAR FIN'!$A$1:$O$86,15,0))*(1-0.06)</f>
        <v>48.325399999999995</v>
      </c>
      <c r="W113" s="97">
        <f>IF(ISERROR(VLOOKUP($T$113,'TAR FIN'!$A$1:$O$86,15,0)),0,VLOOKUP($T$113,'TAR FIN'!$A$1:$O$86,15,0))*(1-0.06)</f>
        <v>73.959199999999996</v>
      </c>
      <c r="X113" s="97">
        <f>IF(ISERROR(VLOOKUP($U$113,'TAR FIN'!$A$1:$O$86,15,0)),0,VLOOKUP($U$113,'TAR FIN'!$A$1:$O$86,15,0))*(1-0.06)</f>
        <v>365.85739999999998</v>
      </c>
      <c r="Y113" s="97">
        <f ca="1">('TUSD BE'!$AM$6+'TUSD BF_350'!$AM$6+'TUSD CVA'!$AM$6)*1*(1-0.03)</f>
        <v>38.977307505834418</v>
      </c>
      <c r="Z113" s="97">
        <f ca="1">('TUSD BE'!$AM$8+'TUSD BF_350'!$AM$8+'TUSD CVA'!$AM$8)*1*(1-0.03)</f>
        <v>97.230430231836905</v>
      </c>
      <c r="AA113" s="97">
        <f ca="1">('TE BE'!$AB$5+'TE BF_350'!$AB$5+'TE CVA'!$AB$5)*1*(1-0.03)</f>
        <v>342.94447009922271</v>
      </c>
      <c r="AB113" s="6">
        <f>$K$113*$V$113</f>
        <v>30928.255999999998</v>
      </c>
      <c r="AC113" s="6">
        <f>$M$113*$W$113</f>
        <v>2492.7948359999996</v>
      </c>
      <c r="AD113" s="6">
        <f>$O$113*$X$113</f>
        <v>12331.223666999998</v>
      </c>
      <c r="AE113" s="6">
        <f ca="1">$K$113*$Y$113</f>
        <v>24945.476803734025</v>
      </c>
      <c r="AF113" s="6">
        <f ca="1">$M$113*$Z$113</f>
        <v>3277.1516509640628</v>
      </c>
      <c r="AG113" s="6">
        <f ca="1">$O$113*$AA$113</f>
        <v>11558.943364694302</v>
      </c>
    </row>
    <row r="114" spans="1:33" ht="11.25" customHeight="1" x14ac:dyDescent="0.25">
      <c r="A114" s="4" t="s">
        <v>21</v>
      </c>
      <c r="B114" s="4" t="s">
        <v>38</v>
      </c>
      <c r="C114" s="4" t="s">
        <v>39</v>
      </c>
      <c r="D114" s="4" t="s">
        <v>48</v>
      </c>
      <c r="E114" s="4" t="s">
        <v>49</v>
      </c>
      <c r="F114" s="4" t="s">
        <v>25</v>
      </c>
      <c r="G114" s="4" t="s">
        <v>25</v>
      </c>
      <c r="H114" s="4" t="s">
        <v>33</v>
      </c>
      <c r="I114" s="5">
        <v>44501</v>
      </c>
      <c r="J114" s="6">
        <v>648</v>
      </c>
      <c r="K114" s="96">
        <v>648</v>
      </c>
      <c r="L114" s="6">
        <v>35.029000000000003</v>
      </c>
      <c r="M114" s="97">
        <v>35.029000000000003</v>
      </c>
      <c r="N114" s="6">
        <v>35.029000000000003</v>
      </c>
      <c r="O114" s="97">
        <v>35.029000000000003</v>
      </c>
      <c r="P114" s="6">
        <v>0</v>
      </c>
      <c r="Q114" s="4" t="s">
        <v>26</v>
      </c>
      <c r="R114" s="4">
        <v>0</v>
      </c>
      <c r="S114" s="6">
        <v>3</v>
      </c>
      <c r="T114" s="6">
        <v>7</v>
      </c>
      <c r="U114" s="6">
        <v>47</v>
      </c>
      <c r="V114" s="97">
        <f>IF(ISERROR(VLOOKUP($S$114,'TAR FIN'!$A$1:$O$86,15,0)),0,VLOOKUP($S$114,'TAR FIN'!$A$1:$O$86,15,0))*(1-0.06)</f>
        <v>48.325399999999995</v>
      </c>
      <c r="W114" s="97">
        <f>IF(ISERROR(VLOOKUP($T$114,'TAR FIN'!$A$1:$O$86,15,0)),0,VLOOKUP($T$114,'TAR FIN'!$A$1:$O$86,15,0))*(1-0.06)</f>
        <v>73.959199999999996</v>
      </c>
      <c r="X114" s="97">
        <f>IF(ISERROR(VLOOKUP($U$114,'TAR FIN'!$A$1:$O$86,15,0)),0,VLOOKUP($U$114,'TAR FIN'!$A$1:$O$86,15,0))*(1-0.06)</f>
        <v>365.85739999999998</v>
      </c>
      <c r="Y114" s="97">
        <f ca="1">('TUSD BE'!$AM$6+'TUSD BF_350'!$AM$6+'TUSD CVA'!$AM$6)*1*(1-0.03)</f>
        <v>38.977307505834418</v>
      </c>
      <c r="Z114" s="97">
        <f ca="1">('TUSD BE'!$AM$8+'TUSD BF_350'!$AM$8+'TUSD CVA'!$AM$8)*1*(1-0.03)</f>
        <v>97.230430231836905</v>
      </c>
      <c r="AA114" s="97">
        <f ca="1">('TE BE'!$AB$5+'TE BF_350'!$AB$5+'TE CVA'!$AB$5)*1*(1-0.03)</f>
        <v>342.94447009922271</v>
      </c>
      <c r="AB114" s="6">
        <f>$K$114*$V$114</f>
        <v>31314.859199999995</v>
      </c>
      <c r="AC114" s="6">
        <f>$M$114*$W$114</f>
        <v>2590.7168168000003</v>
      </c>
      <c r="AD114" s="6">
        <f>$O$114*$X$114</f>
        <v>12815.618864600001</v>
      </c>
      <c r="AE114" s="6">
        <f ca="1">$K$114*$Y$114</f>
        <v>25257.295263780703</v>
      </c>
      <c r="AF114" s="6">
        <f ca="1">$M$114*$Z$114</f>
        <v>3405.8847405910151</v>
      </c>
      <c r="AG114" s="6">
        <f ca="1">$O$114*$AA$114</f>
        <v>12013.001843105674</v>
      </c>
    </row>
    <row r="115" spans="1:33" ht="11.25" customHeight="1" x14ac:dyDescent="0.25">
      <c r="A115" s="4" t="s">
        <v>21</v>
      </c>
      <c r="B115" s="4" t="s">
        <v>38</v>
      </c>
      <c r="C115" s="4" t="s">
        <v>39</v>
      </c>
      <c r="D115" s="4" t="s">
        <v>48</v>
      </c>
      <c r="E115" s="4" t="s">
        <v>49</v>
      </c>
      <c r="F115" s="4" t="s">
        <v>25</v>
      </c>
      <c r="G115" s="4" t="s">
        <v>25</v>
      </c>
      <c r="H115" s="4" t="s">
        <v>33</v>
      </c>
      <c r="I115" s="5">
        <v>44531</v>
      </c>
      <c r="J115" s="6">
        <v>651</v>
      </c>
      <c r="K115" s="96">
        <v>651</v>
      </c>
      <c r="L115" s="6">
        <v>41.866</v>
      </c>
      <c r="M115" s="97">
        <v>41.866</v>
      </c>
      <c r="N115" s="6">
        <v>41.866</v>
      </c>
      <c r="O115" s="97">
        <v>41.866</v>
      </c>
      <c r="P115" s="6">
        <v>0</v>
      </c>
      <c r="Q115" s="4" t="s">
        <v>26</v>
      </c>
      <c r="R115" s="4">
        <v>0</v>
      </c>
      <c r="S115" s="6">
        <v>3</v>
      </c>
      <c r="T115" s="6">
        <v>7</v>
      </c>
      <c r="U115" s="6">
        <v>47</v>
      </c>
      <c r="V115" s="97">
        <f>IF(ISERROR(VLOOKUP($S$115,'TAR FIN'!$A$1:$O$86,15,0)),0,VLOOKUP($S$115,'TAR FIN'!$A$1:$O$86,15,0))*(1-0.06)</f>
        <v>48.325399999999995</v>
      </c>
      <c r="W115" s="97">
        <f>IF(ISERROR(VLOOKUP($T$115,'TAR FIN'!$A$1:$O$86,15,0)),0,VLOOKUP($T$115,'TAR FIN'!$A$1:$O$86,15,0))*(1-0.06)</f>
        <v>73.959199999999996</v>
      </c>
      <c r="X115" s="97">
        <f>IF(ISERROR(VLOOKUP($U$115,'TAR FIN'!$A$1:$O$86,15,0)),0,VLOOKUP($U$115,'TAR FIN'!$A$1:$O$86,15,0))*(1-0.06)</f>
        <v>365.85739999999998</v>
      </c>
      <c r="Y115" s="97">
        <f ca="1">('TUSD BE'!$AM$6+'TUSD BF_350'!$AM$6+'TUSD CVA'!$AM$6)*1*(1-0.03)</f>
        <v>38.977307505834418</v>
      </c>
      <c r="Z115" s="97">
        <f ca="1">('TUSD BE'!$AM$8+'TUSD BF_350'!$AM$8+'TUSD CVA'!$AM$8)*1*(1-0.03)</f>
        <v>97.230430231836905</v>
      </c>
      <c r="AA115" s="97">
        <f ca="1">('TE BE'!$AB$5+'TE BF_350'!$AB$5+'TE CVA'!$AB$5)*1*(1-0.03)</f>
        <v>342.94447009922271</v>
      </c>
      <c r="AB115" s="6">
        <f>$K$115*$V$115</f>
        <v>31459.835399999996</v>
      </c>
      <c r="AC115" s="6">
        <f>$M$115*$W$115</f>
        <v>3096.3758671999999</v>
      </c>
      <c r="AD115" s="6">
        <f>$O$115*$X$115</f>
        <v>15316.9859084</v>
      </c>
      <c r="AE115" s="6">
        <f ca="1">$K$115*$Y$115</f>
        <v>25374.227186298205</v>
      </c>
      <c r="AF115" s="6">
        <f ca="1">$M$115*$Z$115</f>
        <v>4070.649192086084</v>
      </c>
      <c r="AG115" s="6">
        <f ca="1">$O$115*$AA$115</f>
        <v>14357.713185174058</v>
      </c>
    </row>
    <row r="116" spans="1:33" ht="11.25" customHeight="1" x14ac:dyDescent="0.25">
      <c r="A116" s="4" t="s">
        <v>21</v>
      </c>
      <c r="B116" s="4" t="s">
        <v>38</v>
      </c>
      <c r="C116" s="4" t="s">
        <v>39</v>
      </c>
      <c r="D116" s="4" t="s">
        <v>48</v>
      </c>
      <c r="E116" s="4" t="s">
        <v>49</v>
      </c>
      <c r="F116" s="4" t="s">
        <v>25</v>
      </c>
      <c r="G116" s="4" t="s">
        <v>25</v>
      </c>
      <c r="H116" s="4" t="s">
        <v>33</v>
      </c>
      <c r="I116" s="5">
        <v>44562</v>
      </c>
      <c r="J116" s="6">
        <v>655</v>
      </c>
      <c r="K116" s="96">
        <v>655</v>
      </c>
      <c r="L116" s="6">
        <v>38.148000000000003</v>
      </c>
      <c r="M116" s="97">
        <v>38.148000000000003</v>
      </c>
      <c r="N116" s="6">
        <v>38.148000000000003</v>
      </c>
      <c r="O116" s="97">
        <v>38.148000000000003</v>
      </c>
      <c r="P116" s="6">
        <v>0</v>
      </c>
      <c r="Q116" s="4" t="s">
        <v>26</v>
      </c>
      <c r="R116" s="4">
        <v>0</v>
      </c>
      <c r="S116" s="6">
        <v>3</v>
      </c>
      <c r="T116" s="6">
        <v>7</v>
      </c>
      <c r="U116" s="6">
        <v>47</v>
      </c>
      <c r="V116" s="97">
        <f>IF(ISERROR(VLOOKUP($S$116,'TAR FIN'!$A$1:$O$86,15,0)),0,VLOOKUP($S$116,'TAR FIN'!$A$1:$O$86,15,0))*(1-0.06)</f>
        <v>48.325399999999995</v>
      </c>
      <c r="W116" s="97">
        <f>IF(ISERROR(VLOOKUP($T$116,'TAR FIN'!$A$1:$O$86,15,0)),0,VLOOKUP($T$116,'TAR FIN'!$A$1:$O$86,15,0))*(1-0.06)</f>
        <v>73.959199999999996</v>
      </c>
      <c r="X116" s="97">
        <f>IF(ISERROR(VLOOKUP($U$116,'TAR FIN'!$A$1:$O$86,15,0)),0,VLOOKUP($U$116,'TAR FIN'!$A$1:$O$86,15,0))*(1-0.06)</f>
        <v>365.85739999999998</v>
      </c>
      <c r="Y116" s="97">
        <f ca="1">('TUSD BE'!$AM$6+'TUSD BF_350'!$AM$6+'TUSD CVA'!$AM$6)*1*(1-0.03)</f>
        <v>38.977307505834418</v>
      </c>
      <c r="Z116" s="97">
        <f ca="1">('TUSD BE'!$AM$8+'TUSD BF_350'!$AM$8+'TUSD CVA'!$AM$8)*1*(1-0.03)</f>
        <v>97.230430231836905</v>
      </c>
      <c r="AA116" s="97">
        <f ca="1">('TE BE'!$AB$5+'TE BF_350'!$AB$5+'TE CVA'!$AB$5)*1*(1-0.03)</f>
        <v>342.94447009922271</v>
      </c>
      <c r="AB116" s="6">
        <f>$K$116*$V$116</f>
        <v>31653.136999999995</v>
      </c>
      <c r="AC116" s="6">
        <f>$M$116*$W$116</f>
        <v>2821.3955616000003</v>
      </c>
      <c r="AD116" s="6">
        <f>$O$116*$X$116</f>
        <v>13956.7280952</v>
      </c>
      <c r="AE116" s="6">
        <f ca="1">$K$116*$Y$116</f>
        <v>25530.136416321544</v>
      </c>
      <c r="AF116" s="6">
        <f ca="1">$M$116*$Z$116</f>
        <v>3709.1464524841144</v>
      </c>
      <c r="AG116" s="6">
        <f ca="1">$O$116*$AA$116</f>
        <v>13082.645645345148</v>
      </c>
    </row>
    <row r="117" spans="1:33" ht="11.25" customHeight="1" x14ac:dyDescent="0.25">
      <c r="A117" s="4" t="s">
        <v>21</v>
      </c>
      <c r="B117" s="4" t="s">
        <v>38</v>
      </c>
      <c r="C117" s="4" t="s">
        <v>39</v>
      </c>
      <c r="D117" s="4" t="s">
        <v>48</v>
      </c>
      <c r="E117" s="4" t="s">
        <v>49</v>
      </c>
      <c r="F117" s="4" t="s">
        <v>25</v>
      </c>
      <c r="G117" s="4" t="s">
        <v>25</v>
      </c>
      <c r="H117" s="4" t="s">
        <v>33</v>
      </c>
      <c r="I117" s="5">
        <v>44593</v>
      </c>
      <c r="J117" s="6">
        <v>683</v>
      </c>
      <c r="K117" s="96">
        <v>683</v>
      </c>
      <c r="L117" s="6">
        <v>36.609000000000002</v>
      </c>
      <c r="M117" s="97">
        <v>36.609000000000002</v>
      </c>
      <c r="N117" s="6">
        <v>36.609000000000002</v>
      </c>
      <c r="O117" s="97">
        <v>36.609000000000002</v>
      </c>
      <c r="P117" s="6">
        <v>0</v>
      </c>
      <c r="Q117" s="4" t="s">
        <v>26</v>
      </c>
      <c r="R117" s="4">
        <v>0</v>
      </c>
      <c r="S117" s="6">
        <v>3</v>
      </c>
      <c r="T117" s="6">
        <v>7</v>
      </c>
      <c r="U117" s="6">
        <v>47</v>
      </c>
      <c r="V117" s="97">
        <f>IF(ISERROR(VLOOKUP($S$117,'TAR FIN'!$A$1:$O$86,15,0)),0,VLOOKUP($S$117,'TAR FIN'!$A$1:$O$86,15,0))*(1-0.06)</f>
        <v>48.325399999999995</v>
      </c>
      <c r="W117" s="97">
        <f>IF(ISERROR(VLOOKUP($T$117,'TAR FIN'!$A$1:$O$86,15,0)),0,VLOOKUP($T$117,'TAR FIN'!$A$1:$O$86,15,0))*(1-0.06)</f>
        <v>73.959199999999996</v>
      </c>
      <c r="X117" s="97">
        <f>IF(ISERROR(VLOOKUP($U$117,'TAR FIN'!$A$1:$O$86,15,0)),0,VLOOKUP($U$117,'TAR FIN'!$A$1:$O$86,15,0))*(1-0.06)</f>
        <v>365.85739999999998</v>
      </c>
      <c r="Y117" s="97">
        <f ca="1">('TUSD BE'!$AM$6+'TUSD BF_350'!$AM$6+'TUSD CVA'!$AM$6)*1*(1-0.03)</f>
        <v>38.977307505834418</v>
      </c>
      <c r="Z117" s="97">
        <f ca="1">('TUSD BE'!$AM$8+'TUSD BF_350'!$AM$8+'TUSD CVA'!$AM$8)*1*(1-0.03)</f>
        <v>97.230430231836905</v>
      </c>
      <c r="AA117" s="97">
        <f ca="1">('TE BE'!$AB$5+'TE BF_350'!$AB$5+'TE CVA'!$AB$5)*1*(1-0.03)</f>
        <v>342.94447009922271</v>
      </c>
      <c r="AB117" s="6">
        <f>$K$117*$V$117</f>
        <v>33006.248199999995</v>
      </c>
      <c r="AC117" s="6">
        <f>$M$117*$W$117</f>
        <v>2707.5723527999999</v>
      </c>
      <c r="AD117" s="6">
        <f>$O$117*$X$117</f>
        <v>13393.673556600001</v>
      </c>
      <c r="AE117" s="6">
        <f ca="1">$K$117*$Y$117</f>
        <v>26621.501026484908</v>
      </c>
      <c r="AF117" s="6">
        <f ca="1">$M$117*$Z$117</f>
        <v>3559.5088203573173</v>
      </c>
      <c r="AG117" s="6">
        <f ca="1">$O$117*$AA$117</f>
        <v>12554.854105862445</v>
      </c>
    </row>
    <row r="118" spans="1:33" ht="11.25" customHeight="1" x14ac:dyDescent="0.25">
      <c r="A118" s="4" t="s">
        <v>21</v>
      </c>
      <c r="B118" s="4" t="s">
        <v>38</v>
      </c>
      <c r="C118" s="4" t="s">
        <v>39</v>
      </c>
      <c r="D118" s="4" t="s">
        <v>48</v>
      </c>
      <c r="E118" s="4" t="s">
        <v>49</v>
      </c>
      <c r="F118" s="4" t="s">
        <v>25</v>
      </c>
      <c r="G118" s="4" t="s">
        <v>25</v>
      </c>
      <c r="H118" s="4" t="s">
        <v>33</v>
      </c>
      <c r="I118" s="5">
        <v>44621</v>
      </c>
      <c r="J118" s="6">
        <v>651</v>
      </c>
      <c r="K118" s="96">
        <v>651</v>
      </c>
      <c r="L118" s="6">
        <v>39.953000000000003</v>
      </c>
      <c r="M118" s="97">
        <v>39.953000000000003</v>
      </c>
      <c r="N118" s="6">
        <v>39.953000000000003</v>
      </c>
      <c r="O118" s="97">
        <v>39.953000000000003</v>
      </c>
      <c r="P118" s="6">
        <v>0</v>
      </c>
      <c r="Q118" s="4" t="s">
        <v>26</v>
      </c>
      <c r="R118" s="4">
        <v>0</v>
      </c>
      <c r="S118" s="6">
        <v>3</v>
      </c>
      <c r="T118" s="6">
        <v>7</v>
      </c>
      <c r="U118" s="6">
        <v>47</v>
      </c>
      <c r="V118" s="97">
        <f>IF(ISERROR(VLOOKUP($S$118,'TAR FIN'!$A$1:$O$86,15,0)),0,VLOOKUP($S$118,'TAR FIN'!$A$1:$O$86,15,0))*(1-0.06)</f>
        <v>48.325399999999995</v>
      </c>
      <c r="W118" s="97">
        <f>IF(ISERROR(VLOOKUP($T$118,'TAR FIN'!$A$1:$O$86,15,0)),0,VLOOKUP($T$118,'TAR FIN'!$A$1:$O$86,15,0))*(1-0.06)</f>
        <v>73.959199999999996</v>
      </c>
      <c r="X118" s="97">
        <f>IF(ISERROR(VLOOKUP($U$118,'TAR FIN'!$A$1:$O$86,15,0)),0,VLOOKUP($U$118,'TAR FIN'!$A$1:$O$86,15,0))*(1-0.06)</f>
        <v>365.85739999999998</v>
      </c>
      <c r="Y118" s="97">
        <f ca="1">('TUSD BE'!$AM$6+'TUSD BF_350'!$AM$6+'TUSD CVA'!$AM$6)*1*(1-0.03)</f>
        <v>38.977307505834418</v>
      </c>
      <c r="Z118" s="97">
        <f ca="1">('TUSD BE'!$AM$8+'TUSD BF_350'!$AM$8+'TUSD CVA'!$AM$8)*1*(1-0.03)</f>
        <v>97.230430231836905</v>
      </c>
      <c r="AA118" s="97">
        <f ca="1">('TE BE'!$AB$5+'TE BF_350'!$AB$5+'TE CVA'!$AB$5)*1*(1-0.03)</f>
        <v>342.94447009922271</v>
      </c>
      <c r="AB118" s="6">
        <f>$K$118*$V$118</f>
        <v>31459.835399999996</v>
      </c>
      <c r="AC118" s="6">
        <f>$M$118*$W$118</f>
        <v>2954.8919175999999</v>
      </c>
      <c r="AD118" s="6">
        <f>$O$118*$X$118</f>
        <v>14617.100702200001</v>
      </c>
      <c r="AE118" s="6">
        <f ca="1">$K$118*$Y$118</f>
        <v>25374.227186298205</v>
      </c>
      <c r="AF118" s="6">
        <f ca="1">$M$118*$Z$118</f>
        <v>3884.6473790525802</v>
      </c>
      <c r="AG118" s="6">
        <f ca="1">$O$118*$AA$118</f>
        <v>13701.660413874246</v>
      </c>
    </row>
    <row r="119" spans="1:33" ht="11.25" customHeight="1" x14ac:dyDescent="0.25">
      <c r="A119" s="4" t="s">
        <v>21</v>
      </c>
      <c r="B119" s="4" t="s">
        <v>38</v>
      </c>
      <c r="C119" s="4" t="s">
        <v>39</v>
      </c>
      <c r="D119" s="4" t="s">
        <v>48</v>
      </c>
      <c r="E119" s="4" t="s">
        <v>49</v>
      </c>
      <c r="F119" s="4" t="s">
        <v>25</v>
      </c>
      <c r="G119" s="4" t="s">
        <v>25</v>
      </c>
      <c r="H119" s="4" t="s">
        <v>33</v>
      </c>
      <c r="I119" s="5">
        <v>44652</v>
      </c>
      <c r="J119" s="6">
        <v>650</v>
      </c>
      <c r="K119" s="96">
        <v>650</v>
      </c>
      <c r="L119" s="6">
        <v>34.774999999999999</v>
      </c>
      <c r="M119" s="97">
        <v>34.774999999999999</v>
      </c>
      <c r="N119" s="6">
        <v>34.774999999999999</v>
      </c>
      <c r="O119" s="97">
        <v>34.774999999999999</v>
      </c>
      <c r="P119" s="6">
        <v>0</v>
      </c>
      <c r="Q119" s="4" t="s">
        <v>26</v>
      </c>
      <c r="R119" s="4">
        <v>0</v>
      </c>
      <c r="S119" s="6">
        <v>3</v>
      </c>
      <c r="T119" s="6">
        <v>7</v>
      </c>
      <c r="U119" s="6">
        <v>47</v>
      </c>
      <c r="V119" s="97">
        <f>IF(ISERROR(VLOOKUP($S$119,'TAR FIN'!$A$1:$O$86,15,0)),0,VLOOKUP($S$119,'TAR FIN'!$A$1:$O$86,15,0))*(1-0.06)</f>
        <v>48.325399999999995</v>
      </c>
      <c r="W119" s="97">
        <f>IF(ISERROR(VLOOKUP($T$119,'TAR FIN'!$A$1:$O$86,15,0)),0,VLOOKUP($T$119,'TAR FIN'!$A$1:$O$86,15,0))*(1-0.06)</f>
        <v>73.959199999999996</v>
      </c>
      <c r="X119" s="97">
        <f>IF(ISERROR(VLOOKUP($U$119,'TAR FIN'!$A$1:$O$86,15,0)),0,VLOOKUP($U$119,'TAR FIN'!$A$1:$O$86,15,0))*(1-0.06)</f>
        <v>365.85739999999998</v>
      </c>
      <c r="Y119" s="97">
        <f ca="1">('TUSD BE'!$AM$6+'TUSD BF_350'!$AM$6+'TUSD CVA'!$AM$6)*1*(1-0.03)</f>
        <v>38.977307505834418</v>
      </c>
      <c r="Z119" s="97">
        <f ca="1">('TUSD BE'!$AM$8+'TUSD BF_350'!$AM$8+'TUSD CVA'!$AM$8)*1*(1-0.03)</f>
        <v>97.230430231836905</v>
      </c>
      <c r="AA119" s="97">
        <f ca="1">('TE BE'!$AB$5+'TE BF_350'!$AB$5+'TE CVA'!$AB$5)*1*(1-0.03)</f>
        <v>342.94447009922271</v>
      </c>
      <c r="AB119" s="6">
        <f>$K$119*$V$119</f>
        <v>31411.51</v>
      </c>
      <c r="AC119" s="6">
        <f>$M$119*$W$119</f>
        <v>2571.9311799999996</v>
      </c>
      <c r="AD119" s="6">
        <f>$O$119*$X$119</f>
        <v>12722.691084999999</v>
      </c>
      <c r="AE119" s="6">
        <f ca="1">$K$119*$Y$119</f>
        <v>25335.249878792372</v>
      </c>
      <c r="AF119" s="6">
        <f ca="1">$M$119*$Z$119</f>
        <v>3381.1882113121283</v>
      </c>
      <c r="AG119" s="6">
        <f ca="1">$O$119*$AA$119</f>
        <v>11925.89394770047</v>
      </c>
    </row>
    <row r="120" spans="1:33" ht="11.25" customHeight="1" x14ac:dyDescent="0.25">
      <c r="A120" s="4" t="s">
        <v>21</v>
      </c>
      <c r="B120" s="4" t="s">
        <v>38</v>
      </c>
      <c r="C120" s="4" t="s">
        <v>39</v>
      </c>
      <c r="D120" s="4" t="s">
        <v>48</v>
      </c>
      <c r="E120" s="4" t="s">
        <v>49</v>
      </c>
      <c r="F120" s="4" t="s">
        <v>25</v>
      </c>
      <c r="G120" s="4" t="s">
        <v>25</v>
      </c>
      <c r="H120" s="4" t="s">
        <v>33</v>
      </c>
      <c r="I120" s="5">
        <v>44682</v>
      </c>
      <c r="J120" s="6">
        <v>669</v>
      </c>
      <c r="K120" s="96">
        <v>669</v>
      </c>
      <c r="L120" s="6">
        <v>39.667000000000002</v>
      </c>
      <c r="M120" s="97">
        <v>39.667000000000002</v>
      </c>
      <c r="N120" s="6">
        <v>39.667000000000002</v>
      </c>
      <c r="O120" s="97">
        <v>39.667000000000002</v>
      </c>
      <c r="P120" s="6">
        <v>0</v>
      </c>
      <c r="Q120" s="4" t="s">
        <v>26</v>
      </c>
      <c r="R120" s="4">
        <v>0</v>
      </c>
      <c r="S120" s="6">
        <v>3</v>
      </c>
      <c r="T120" s="6">
        <v>7</v>
      </c>
      <c r="U120" s="6">
        <v>47</v>
      </c>
      <c r="V120" s="97">
        <f>IF(ISERROR(VLOOKUP($S$120,'TAR FIN'!$A$1:$O$86,15,0)),0,VLOOKUP($S$120,'TAR FIN'!$A$1:$O$86,15,0))*(1-0.06)</f>
        <v>48.325399999999995</v>
      </c>
      <c r="W120" s="97">
        <f>IF(ISERROR(VLOOKUP($T$120,'TAR FIN'!$A$1:$O$86,15,0)),0,VLOOKUP($T$120,'TAR FIN'!$A$1:$O$86,15,0))*(1-0.06)</f>
        <v>73.959199999999996</v>
      </c>
      <c r="X120" s="97">
        <f>IF(ISERROR(VLOOKUP($U$120,'TAR FIN'!$A$1:$O$86,15,0)),0,VLOOKUP($U$120,'TAR FIN'!$A$1:$O$86,15,0))*(1-0.06)</f>
        <v>365.85739999999998</v>
      </c>
      <c r="Y120" s="97">
        <f ca="1">('TUSD BE'!$AM$6+'TUSD BF_350'!$AM$6+'TUSD CVA'!$AM$6)*1*(1-0.03)</f>
        <v>38.977307505834418</v>
      </c>
      <c r="Z120" s="97">
        <f ca="1">('TUSD BE'!$AM$8+'TUSD BF_350'!$AM$8+'TUSD CVA'!$AM$8)*1*(1-0.03)</f>
        <v>97.230430231836905</v>
      </c>
      <c r="AA120" s="97">
        <f ca="1">('TE BE'!$AB$5+'TE BF_350'!$AB$5+'TE CVA'!$AB$5)*1*(1-0.03)</f>
        <v>342.94447009922271</v>
      </c>
      <c r="AB120" s="6">
        <f>$K$120*$V$120</f>
        <v>32329.692599999995</v>
      </c>
      <c r="AC120" s="6">
        <f>$M$120*$W$120</f>
        <v>2933.7395864</v>
      </c>
      <c r="AD120" s="6">
        <f>$O$120*$X$120</f>
        <v>14512.465485799999</v>
      </c>
      <c r="AE120" s="6">
        <f ca="1">$K$120*$Y$120</f>
        <v>26075.818721403226</v>
      </c>
      <c r="AF120" s="6">
        <f ca="1">$M$120*$Z$120</f>
        <v>3856.8394760062747</v>
      </c>
      <c r="AG120" s="6">
        <f ca="1">$O$120*$AA$120</f>
        <v>13603.578295425868</v>
      </c>
    </row>
    <row r="121" spans="1:33" ht="11.25" customHeight="1" x14ac:dyDescent="0.25">
      <c r="A121" s="4" t="s">
        <v>56</v>
      </c>
      <c r="B121" s="4" t="s">
        <v>38</v>
      </c>
      <c r="C121" s="4" t="s">
        <v>39</v>
      </c>
      <c r="D121" s="4" t="s">
        <v>48</v>
      </c>
      <c r="E121" s="4" t="s">
        <v>49</v>
      </c>
      <c r="F121" s="4" t="s">
        <v>25</v>
      </c>
      <c r="G121" s="4" t="s">
        <v>25</v>
      </c>
      <c r="H121" s="4" t="s">
        <v>33</v>
      </c>
      <c r="I121" s="5">
        <v>44713</v>
      </c>
      <c r="J121" s="6">
        <v>669</v>
      </c>
      <c r="K121" s="96">
        <v>669</v>
      </c>
      <c r="L121" s="6">
        <v>39.667000000000002</v>
      </c>
      <c r="M121" s="97">
        <v>39.667000000000002</v>
      </c>
      <c r="N121" s="6">
        <v>39.667000000000002</v>
      </c>
      <c r="O121" s="97">
        <v>39.667000000000002</v>
      </c>
      <c r="P121" s="6">
        <v>0</v>
      </c>
      <c r="Q121" s="4" t="s">
        <v>26</v>
      </c>
      <c r="R121" s="4">
        <v>0</v>
      </c>
      <c r="S121" s="6">
        <v>3</v>
      </c>
      <c r="T121" s="6">
        <v>7</v>
      </c>
      <c r="U121" s="6">
        <v>47</v>
      </c>
      <c r="V121" s="97">
        <f>IF(ISERROR(VLOOKUP($S$121,'TAR FIN'!$A$1:$O$86,15,0)),0,VLOOKUP($S$121,'TAR FIN'!$A$1:$O$86,15,0))*(1-0.06)</f>
        <v>48.325399999999995</v>
      </c>
      <c r="W121" s="97">
        <f>IF(ISERROR(VLOOKUP($T$121,'TAR FIN'!$A$1:$O$86,15,0)),0,VLOOKUP($T$121,'TAR FIN'!$A$1:$O$86,15,0))*(1-0.06)</f>
        <v>73.959199999999996</v>
      </c>
      <c r="X121" s="97">
        <f>IF(ISERROR(VLOOKUP($U$121,'TAR FIN'!$A$1:$O$86,15,0)),0,VLOOKUP($U$121,'TAR FIN'!$A$1:$O$86,15,0))*(1-0.06)</f>
        <v>365.85739999999998</v>
      </c>
      <c r="Y121" s="97">
        <f ca="1">('TUSD BE'!$AM$6+'TUSD BF_350'!$AM$6+'TUSD CVA'!$AM$6)*1*(1-0.03)</f>
        <v>38.977307505834418</v>
      </c>
      <c r="Z121" s="97">
        <f ca="1">('TUSD BE'!$AM$8+'TUSD BF_350'!$AM$8+'TUSD CVA'!$AM$8)*1*(1-0.03)</f>
        <v>97.230430231836905</v>
      </c>
      <c r="AA121" s="97">
        <f ca="1">('TE BE'!$AB$5+'TE BF_350'!$AB$5+'TE CVA'!$AB$5)*1*(1-0.03)</f>
        <v>342.94447009922271</v>
      </c>
      <c r="AB121" s="6">
        <f>$K$121*$V$121</f>
        <v>32329.692599999995</v>
      </c>
      <c r="AC121" s="6">
        <f>$M$121*$W$121</f>
        <v>2933.7395864</v>
      </c>
      <c r="AD121" s="6">
        <f>$O$121*$X$121</f>
        <v>14512.465485799999</v>
      </c>
      <c r="AE121" s="6">
        <f ca="1">$K$121*$Y$121</f>
        <v>26075.818721403226</v>
      </c>
      <c r="AF121" s="6">
        <f ca="1">$M$121*$Z$121</f>
        <v>3856.8394760062747</v>
      </c>
      <c r="AG121" s="6">
        <f ca="1">$O$121*$AA$121</f>
        <v>13603.578295425868</v>
      </c>
    </row>
    <row r="122" spans="1:33" ht="11.25" customHeight="1" x14ac:dyDescent="0.25">
      <c r="A122" s="4" t="s">
        <v>21</v>
      </c>
      <c r="B122" s="4" t="s">
        <v>38</v>
      </c>
      <c r="C122" s="4" t="s">
        <v>59</v>
      </c>
      <c r="D122" s="4" t="s">
        <v>25</v>
      </c>
      <c r="E122" s="4" t="s">
        <v>25</v>
      </c>
      <c r="F122" s="4" t="s">
        <v>25</v>
      </c>
      <c r="G122" s="4" t="s">
        <v>60</v>
      </c>
      <c r="H122" s="4" t="s">
        <v>25</v>
      </c>
      <c r="I122" s="5">
        <v>44378</v>
      </c>
      <c r="J122" s="6">
        <v>1000</v>
      </c>
      <c r="K122" s="6">
        <v>500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61</v>
      </c>
      <c r="R122" s="4">
        <v>797</v>
      </c>
      <c r="S122" s="6">
        <v>12</v>
      </c>
      <c r="T122" s="6">
        <v>0</v>
      </c>
      <c r="U122" s="6">
        <v>0</v>
      </c>
      <c r="V122" s="6">
        <f>IF(ISERROR(VLOOKUP($S$122,'TAR FIN'!$A$1:$O$86,15,0)),0,VLOOKUP($S$122,'TAR FIN'!$A$1:$O$86,15,0))</f>
        <v>8.14</v>
      </c>
      <c r="W122" s="6">
        <f>IF(ISERROR(VLOOKUP($T$122,'TAR FIN'!$A$1:$O$86,15,0)),0,VLOOKUP($T$122,'TAR FIN'!$A$1:$O$86,15,0))</f>
        <v>0</v>
      </c>
      <c r="X122" s="6">
        <f>IF(ISERROR(VLOOKUP($U$122,'TAR FIN'!$A$1:$O$86,15,0)),0,VLOOKUP($U$122,'TAR FIN'!$A$1:$O$86,15,0))</f>
        <v>0</v>
      </c>
      <c r="Y122" s="6">
        <f ca="1">('TUSD BE'!$AM$10+'TUSD BF_350'!$AM$10+'TUSD CVA'!$AM$10)*1</f>
        <v>5.4509137424633414</v>
      </c>
      <c r="Z122" s="6"/>
      <c r="AA122" s="6"/>
      <c r="AB122" s="6">
        <f>$K$122*$V$122</f>
        <v>4070.0000000000005</v>
      </c>
      <c r="AC122" s="6">
        <f>$M$122*$W$122</f>
        <v>0</v>
      </c>
      <c r="AD122" s="6">
        <f>$O$122*$X$122</f>
        <v>0</v>
      </c>
      <c r="AE122" s="6">
        <f ca="1">$K$122*$Y$122</f>
        <v>2725.4568712316709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38</v>
      </c>
      <c r="C123" s="4" t="s">
        <v>59</v>
      </c>
      <c r="D123" s="4" t="s">
        <v>25</v>
      </c>
      <c r="E123" s="4" t="s">
        <v>25</v>
      </c>
      <c r="F123" s="4" t="s">
        <v>25</v>
      </c>
      <c r="G123" s="4" t="s">
        <v>64</v>
      </c>
      <c r="H123" s="4" t="s">
        <v>25</v>
      </c>
      <c r="I123" s="5">
        <v>44378</v>
      </c>
      <c r="J123" s="6">
        <v>280</v>
      </c>
      <c r="K123" s="6">
        <v>140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61</v>
      </c>
      <c r="S123" s="6">
        <v>12</v>
      </c>
      <c r="T123" s="6">
        <v>0</v>
      </c>
      <c r="U123" s="6">
        <v>0</v>
      </c>
      <c r="V123" s="6">
        <f>IF(ISERROR(VLOOKUP($S$123,'TAR FIN'!$A$1:$O$86,15,0)),0,VLOOKUP($S$123,'TAR FIN'!$A$1:$O$86,15,0))</f>
        <v>8.14</v>
      </c>
      <c r="W123" s="6">
        <f>IF(ISERROR(VLOOKUP($T$123,'TAR FIN'!$A$1:$O$86,15,0)),0,VLOOKUP($T$123,'TAR FIN'!$A$1:$O$86,15,0))</f>
        <v>0</v>
      </c>
      <c r="X123" s="6">
        <f>IF(ISERROR(VLOOKUP($U$123,'TAR FIN'!$A$1:$O$86,15,0)),0,VLOOKUP($U$123,'TAR FIN'!$A$1:$O$86,15,0))</f>
        <v>0</v>
      </c>
      <c r="Y123" s="6">
        <f ca="1">('TUSD BE'!$AM$10+'TUSD BF_350'!$AM$10+'TUSD CVA'!$AM$10)*1</f>
        <v>5.4509137424633414</v>
      </c>
      <c r="Z123" s="6"/>
      <c r="AA123" s="6"/>
      <c r="AB123" s="6">
        <f>$K$123*$V$123</f>
        <v>1139.6000000000001</v>
      </c>
      <c r="AC123" s="6">
        <f>$M$123*$W$123</f>
        <v>0</v>
      </c>
      <c r="AD123" s="6">
        <f>$O$123*$X$123</f>
        <v>0</v>
      </c>
      <c r="AE123" s="6">
        <f ca="1">$K$123*$Y$123</f>
        <v>763.1279239448678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38</v>
      </c>
      <c r="C124" s="4" t="s">
        <v>59</v>
      </c>
      <c r="D124" s="4" t="s">
        <v>25</v>
      </c>
      <c r="E124" s="4" t="s">
        <v>25</v>
      </c>
      <c r="F124" s="4" t="s">
        <v>25</v>
      </c>
      <c r="G124" s="4" t="s">
        <v>60</v>
      </c>
      <c r="H124" s="4" t="s">
        <v>25</v>
      </c>
      <c r="I124" s="5">
        <v>44409</v>
      </c>
      <c r="J124" s="6">
        <v>1000</v>
      </c>
      <c r="K124" s="6">
        <v>500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61</v>
      </c>
      <c r="R124" s="4">
        <v>797</v>
      </c>
      <c r="S124" s="6">
        <v>12</v>
      </c>
      <c r="T124" s="6">
        <v>0</v>
      </c>
      <c r="U124" s="6">
        <v>0</v>
      </c>
      <c r="V124" s="6">
        <f>IF(ISERROR(VLOOKUP($S$124,'TAR FIN'!$A$1:$O$86,15,0)),0,VLOOKUP($S$124,'TAR FIN'!$A$1:$O$86,15,0))</f>
        <v>8.14</v>
      </c>
      <c r="W124" s="6">
        <f>IF(ISERROR(VLOOKUP($T$124,'TAR FIN'!$A$1:$O$86,15,0)),0,VLOOKUP($T$124,'TAR FIN'!$A$1:$O$86,15,0))</f>
        <v>0</v>
      </c>
      <c r="X124" s="6">
        <f>IF(ISERROR(VLOOKUP($U$124,'TAR FIN'!$A$1:$O$86,15,0)),0,VLOOKUP($U$124,'TAR FIN'!$A$1:$O$86,15,0))</f>
        <v>0</v>
      </c>
      <c r="Y124" s="6">
        <f ca="1">('TUSD BE'!$AM$10+'TUSD BF_350'!$AM$10+'TUSD CVA'!$AM$10)*1</f>
        <v>5.4509137424633414</v>
      </c>
      <c r="Z124" s="6"/>
      <c r="AA124" s="6"/>
      <c r="AB124" s="6">
        <f>$K$124*$V$124</f>
        <v>4070.0000000000005</v>
      </c>
      <c r="AC124" s="6">
        <f>$M$124*$W$124</f>
        <v>0</v>
      </c>
      <c r="AD124" s="6">
        <f>$O$124*$X$124</f>
        <v>0</v>
      </c>
      <c r="AE124" s="6">
        <f ca="1">$K$124*$Y$124</f>
        <v>2725.4568712316709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38</v>
      </c>
      <c r="C125" s="4" t="s">
        <v>59</v>
      </c>
      <c r="D125" s="4" t="s">
        <v>25</v>
      </c>
      <c r="E125" s="4" t="s">
        <v>25</v>
      </c>
      <c r="F125" s="4" t="s">
        <v>25</v>
      </c>
      <c r="G125" s="4" t="s">
        <v>64</v>
      </c>
      <c r="H125" s="4" t="s">
        <v>25</v>
      </c>
      <c r="I125" s="5">
        <v>44409</v>
      </c>
      <c r="J125" s="6">
        <v>280</v>
      </c>
      <c r="K125" s="6">
        <v>140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61</v>
      </c>
      <c r="S125" s="6">
        <v>12</v>
      </c>
      <c r="T125" s="6">
        <v>0</v>
      </c>
      <c r="U125" s="6">
        <v>0</v>
      </c>
      <c r="V125" s="6">
        <f>IF(ISERROR(VLOOKUP($S$125,'TAR FIN'!$A$1:$O$86,15,0)),0,VLOOKUP($S$125,'TAR FIN'!$A$1:$O$86,15,0))</f>
        <v>8.14</v>
      </c>
      <c r="W125" s="6">
        <f>IF(ISERROR(VLOOKUP($T$125,'TAR FIN'!$A$1:$O$86,15,0)),0,VLOOKUP($T$125,'TAR FIN'!$A$1:$O$86,15,0))</f>
        <v>0</v>
      </c>
      <c r="X125" s="6">
        <f>IF(ISERROR(VLOOKUP($U$125,'TAR FIN'!$A$1:$O$86,15,0)),0,VLOOKUP($U$125,'TAR FIN'!$A$1:$O$86,15,0))</f>
        <v>0</v>
      </c>
      <c r="Y125" s="6">
        <f ca="1">('TUSD BE'!$AM$10+'TUSD BF_350'!$AM$10+'TUSD CVA'!$AM$10)*1</f>
        <v>5.4509137424633414</v>
      </c>
      <c r="Z125" s="6"/>
      <c r="AA125" s="6"/>
      <c r="AB125" s="6">
        <f>$K$125*$V$125</f>
        <v>1139.6000000000001</v>
      </c>
      <c r="AC125" s="6">
        <f>$M$125*$W$125</f>
        <v>0</v>
      </c>
      <c r="AD125" s="6">
        <f>$O$125*$X$125</f>
        <v>0</v>
      </c>
      <c r="AE125" s="6">
        <f ca="1">$K$125*$Y$125</f>
        <v>763.1279239448678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38</v>
      </c>
      <c r="C126" s="4" t="s">
        <v>59</v>
      </c>
      <c r="D126" s="4" t="s">
        <v>25</v>
      </c>
      <c r="E126" s="4" t="s">
        <v>25</v>
      </c>
      <c r="F126" s="4" t="s">
        <v>25</v>
      </c>
      <c r="G126" s="4" t="s">
        <v>60</v>
      </c>
      <c r="H126" s="4" t="s">
        <v>25</v>
      </c>
      <c r="I126" s="5">
        <v>44440</v>
      </c>
      <c r="J126" s="6">
        <v>1000</v>
      </c>
      <c r="K126" s="6">
        <v>500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61</v>
      </c>
      <c r="R126" s="4">
        <v>797</v>
      </c>
      <c r="S126" s="6">
        <v>12</v>
      </c>
      <c r="T126" s="6">
        <v>0</v>
      </c>
      <c r="U126" s="6">
        <v>0</v>
      </c>
      <c r="V126" s="6">
        <f>IF(ISERROR(VLOOKUP($S$126,'TAR FIN'!$A$1:$O$86,15,0)),0,VLOOKUP($S$126,'TAR FIN'!$A$1:$O$86,15,0))</f>
        <v>8.14</v>
      </c>
      <c r="W126" s="6">
        <f>IF(ISERROR(VLOOKUP($T$126,'TAR FIN'!$A$1:$O$86,15,0)),0,VLOOKUP($T$126,'TAR FIN'!$A$1:$O$86,15,0))</f>
        <v>0</v>
      </c>
      <c r="X126" s="6">
        <f>IF(ISERROR(VLOOKUP($U$126,'TAR FIN'!$A$1:$O$86,15,0)),0,VLOOKUP($U$126,'TAR FIN'!$A$1:$O$86,15,0))</f>
        <v>0</v>
      </c>
      <c r="Y126" s="6">
        <f ca="1">('TUSD BE'!$AM$10+'TUSD BF_350'!$AM$10+'TUSD CVA'!$AM$10)*1</f>
        <v>5.4509137424633414</v>
      </c>
      <c r="Z126" s="6"/>
      <c r="AA126" s="6"/>
      <c r="AB126" s="6">
        <f>$K$126*$V$126</f>
        <v>4070.0000000000005</v>
      </c>
      <c r="AC126" s="6">
        <f>$M$126*$W$126</f>
        <v>0</v>
      </c>
      <c r="AD126" s="6">
        <f>$O$126*$X$126</f>
        <v>0</v>
      </c>
      <c r="AE126" s="6">
        <f ca="1">$K$126*$Y$126</f>
        <v>2725.4568712316709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38</v>
      </c>
      <c r="C127" s="4" t="s">
        <v>59</v>
      </c>
      <c r="D127" s="4" t="s">
        <v>25</v>
      </c>
      <c r="E127" s="4" t="s">
        <v>25</v>
      </c>
      <c r="F127" s="4" t="s">
        <v>25</v>
      </c>
      <c r="G127" s="4" t="s">
        <v>64</v>
      </c>
      <c r="H127" s="4" t="s">
        <v>25</v>
      </c>
      <c r="I127" s="5">
        <v>44440</v>
      </c>
      <c r="J127" s="6">
        <v>280</v>
      </c>
      <c r="K127" s="6">
        <v>140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61</v>
      </c>
      <c r="S127" s="6">
        <v>12</v>
      </c>
      <c r="T127" s="6">
        <v>0</v>
      </c>
      <c r="U127" s="6">
        <v>0</v>
      </c>
      <c r="V127" s="6">
        <f>IF(ISERROR(VLOOKUP($S$127,'TAR FIN'!$A$1:$O$86,15,0)),0,VLOOKUP($S$127,'TAR FIN'!$A$1:$O$86,15,0))</f>
        <v>8.14</v>
      </c>
      <c r="W127" s="6">
        <f>IF(ISERROR(VLOOKUP($T$127,'TAR FIN'!$A$1:$O$86,15,0)),0,VLOOKUP($T$127,'TAR FIN'!$A$1:$O$86,15,0))</f>
        <v>0</v>
      </c>
      <c r="X127" s="6">
        <f>IF(ISERROR(VLOOKUP($U$127,'TAR FIN'!$A$1:$O$86,15,0)),0,VLOOKUP($U$127,'TAR FIN'!$A$1:$O$86,15,0))</f>
        <v>0</v>
      </c>
      <c r="Y127" s="6">
        <f ca="1">('TUSD BE'!$AM$10+'TUSD BF_350'!$AM$10+'TUSD CVA'!$AM$10)*1</f>
        <v>5.4509137424633414</v>
      </c>
      <c r="Z127" s="6"/>
      <c r="AA127" s="6"/>
      <c r="AB127" s="6">
        <f>$K$127*$V$127</f>
        <v>1139.6000000000001</v>
      </c>
      <c r="AC127" s="6">
        <f>$M$127*$W$127</f>
        <v>0</v>
      </c>
      <c r="AD127" s="6">
        <f>$O$127*$X$127</f>
        <v>0</v>
      </c>
      <c r="AE127" s="6">
        <f ca="1">$K$127*$Y$127</f>
        <v>763.1279239448678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38</v>
      </c>
      <c r="C128" s="4" t="s">
        <v>59</v>
      </c>
      <c r="D128" s="4" t="s">
        <v>25</v>
      </c>
      <c r="E128" s="4" t="s">
        <v>25</v>
      </c>
      <c r="F128" s="4" t="s">
        <v>25</v>
      </c>
      <c r="G128" s="4" t="s">
        <v>60</v>
      </c>
      <c r="H128" s="4" t="s">
        <v>25</v>
      </c>
      <c r="I128" s="5">
        <v>44470</v>
      </c>
      <c r="J128" s="6">
        <v>1000</v>
      </c>
      <c r="K128" s="6">
        <v>500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61</v>
      </c>
      <c r="R128" s="4">
        <v>797</v>
      </c>
      <c r="S128" s="6">
        <v>12</v>
      </c>
      <c r="T128" s="6">
        <v>0</v>
      </c>
      <c r="U128" s="6">
        <v>0</v>
      </c>
      <c r="V128" s="6">
        <f>IF(ISERROR(VLOOKUP($S$128,'TAR FIN'!$A$1:$O$86,15,0)),0,VLOOKUP($S$128,'TAR FIN'!$A$1:$O$86,15,0))</f>
        <v>8.14</v>
      </c>
      <c r="W128" s="6">
        <f>IF(ISERROR(VLOOKUP($T$128,'TAR FIN'!$A$1:$O$86,15,0)),0,VLOOKUP($T$128,'TAR FIN'!$A$1:$O$86,15,0))</f>
        <v>0</v>
      </c>
      <c r="X128" s="6">
        <f>IF(ISERROR(VLOOKUP($U$128,'TAR FIN'!$A$1:$O$86,15,0)),0,VLOOKUP($U$128,'TAR FIN'!$A$1:$O$86,15,0))</f>
        <v>0</v>
      </c>
      <c r="Y128" s="6">
        <f ca="1">('TUSD BE'!$AM$10+'TUSD BF_350'!$AM$10+'TUSD CVA'!$AM$10)*1</f>
        <v>5.4509137424633414</v>
      </c>
      <c r="Z128" s="6"/>
      <c r="AA128" s="6"/>
      <c r="AB128" s="6">
        <f>$K$128*$V$128</f>
        <v>4070.0000000000005</v>
      </c>
      <c r="AC128" s="6">
        <f>$M$128*$W$128</f>
        <v>0</v>
      </c>
      <c r="AD128" s="6">
        <f>$O$128*$X$128</f>
        <v>0</v>
      </c>
      <c r="AE128" s="6">
        <f ca="1">$K$128*$Y$128</f>
        <v>2725.4568712316709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38</v>
      </c>
      <c r="C129" s="4" t="s">
        <v>59</v>
      </c>
      <c r="D129" s="4" t="s">
        <v>25</v>
      </c>
      <c r="E129" s="4" t="s">
        <v>25</v>
      </c>
      <c r="F129" s="4" t="s">
        <v>25</v>
      </c>
      <c r="G129" s="4" t="s">
        <v>64</v>
      </c>
      <c r="H129" s="4" t="s">
        <v>25</v>
      </c>
      <c r="I129" s="5">
        <v>44470</v>
      </c>
      <c r="J129" s="6">
        <v>280</v>
      </c>
      <c r="K129" s="6">
        <v>140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61</v>
      </c>
      <c r="S129" s="6">
        <v>12</v>
      </c>
      <c r="T129" s="6">
        <v>0</v>
      </c>
      <c r="U129" s="6">
        <v>0</v>
      </c>
      <c r="V129" s="6">
        <f>IF(ISERROR(VLOOKUP($S$129,'TAR FIN'!$A$1:$O$86,15,0)),0,VLOOKUP($S$129,'TAR FIN'!$A$1:$O$86,15,0))</f>
        <v>8.14</v>
      </c>
      <c r="W129" s="6">
        <f>IF(ISERROR(VLOOKUP($T$129,'TAR FIN'!$A$1:$O$86,15,0)),0,VLOOKUP($T$129,'TAR FIN'!$A$1:$O$86,15,0))</f>
        <v>0</v>
      </c>
      <c r="X129" s="6">
        <f>IF(ISERROR(VLOOKUP($U$129,'TAR FIN'!$A$1:$O$86,15,0)),0,VLOOKUP($U$129,'TAR FIN'!$A$1:$O$86,15,0))</f>
        <v>0</v>
      </c>
      <c r="Y129" s="6">
        <f ca="1">('TUSD BE'!$AM$10+'TUSD BF_350'!$AM$10+'TUSD CVA'!$AM$10)*1</f>
        <v>5.4509137424633414</v>
      </c>
      <c r="Z129" s="6"/>
      <c r="AA129" s="6"/>
      <c r="AB129" s="6">
        <f>$K$129*$V$129</f>
        <v>1139.6000000000001</v>
      </c>
      <c r="AC129" s="6">
        <f>$M$129*$W$129</f>
        <v>0</v>
      </c>
      <c r="AD129" s="6">
        <f>$O$129*$X$129</f>
        <v>0</v>
      </c>
      <c r="AE129" s="6">
        <f ca="1">$K$129*$Y$129</f>
        <v>763.1279239448678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38</v>
      </c>
      <c r="C130" s="4" t="s">
        <v>59</v>
      </c>
      <c r="D130" s="4" t="s">
        <v>25</v>
      </c>
      <c r="E130" s="4" t="s">
        <v>25</v>
      </c>
      <c r="F130" s="4" t="s">
        <v>25</v>
      </c>
      <c r="G130" s="4" t="s">
        <v>60</v>
      </c>
      <c r="H130" s="4" t="s">
        <v>25</v>
      </c>
      <c r="I130" s="5">
        <v>44501</v>
      </c>
      <c r="J130" s="6">
        <v>1000</v>
      </c>
      <c r="K130" s="6">
        <v>500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61</v>
      </c>
      <c r="R130" s="4">
        <v>797</v>
      </c>
      <c r="S130" s="6">
        <v>12</v>
      </c>
      <c r="T130" s="6">
        <v>0</v>
      </c>
      <c r="U130" s="6">
        <v>0</v>
      </c>
      <c r="V130" s="6">
        <f>IF(ISERROR(VLOOKUP($S$130,'TAR FIN'!$A$1:$O$86,15,0)),0,VLOOKUP($S$130,'TAR FIN'!$A$1:$O$86,15,0))</f>
        <v>8.14</v>
      </c>
      <c r="W130" s="6">
        <f>IF(ISERROR(VLOOKUP($T$130,'TAR FIN'!$A$1:$O$86,15,0)),0,VLOOKUP($T$130,'TAR FIN'!$A$1:$O$86,15,0))</f>
        <v>0</v>
      </c>
      <c r="X130" s="6">
        <f>IF(ISERROR(VLOOKUP($U$130,'TAR FIN'!$A$1:$O$86,15,0)),0,VLOOKUP($U$130,'TAR FIN'!$A$1:$O$86,15,0))</f>
        <v>0</v>
      </c>
      <c r="Y130" s="6">
        <f ca="1">('TUSD BE'!$AM$10+'TUSD BF_350'!$AM$10+'TUSD CVA'!$AM$10)*1</f>
        <v>5.4509137424633414</v>
      </c>
      <c r="Z130" s="6"/>
      <c r="AA130" s="6"/>
      <c r="AB130" s="6">
        <f>$K$130*$V$130</f>
        <v>4070.0000000000005</v>
      </c>
      <c r="AC130" s="6">
        <f>$M$130*$W$130</f>
        <v>0</v>
      </c>
      <c r="AD130" s="6">
        <f>$O$130*$X$130</f>
        <v>0</v>
      </c>
      <c r="AE130" s="6">
        <f ca="1">$K$130*$Y$130</f>
        <v>2725.4568712316709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38</v>
      </c>
      <c r="C131" s="4" t="s">
        <v>59</v>
      </c>
      <c r="D131" s="4" t="s">
        <v>25</v>
      </c>
      <c r="E131" s="4" t="s">
        <v>25</v>
      </c>
      <c r="F131" s="4" t="s">
        <v>25</v>
      </c>
      <c r="G131" s="4" t="s">
        <v>64</v>
      </c>
      <c r="H131" s="4" t="s">
        <v>25</v>
      </c>
      <c r="I131" s="5">
        <v>44501</v>
      </c>
      <c r="J131" s="6">
        <v>280</v>
      </c>
      <c r="K131" s="6">
        <v>140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61</v>
      </c>
      <c r="S131" s="6">
        <v>12</v>
      </c>
      <c r="T131" s="6">
        <v>0</v>
      </c>
      <c r="U131" s="6">
        <v>0</v>
      </c>
      <c r="V131" s="6">
        <f>IF(ISERROR(VLOOKUP($S$131,'TAR FIN'!$A$1:$O$86,15,0)),0,VLOOKUP($S$131,'TAR FIN'!$A$1:$O$86,15,0))</f>
        <v>8.14</v>
      </c>
      <c r="W131" s="6">
        <f>IF(ISERROR(VLOOKUP($T$131,'TAR FIN'!$A$1:$O$86,15,0)),0,VLOOKUP($T$131,'TAR FIN'!$A$1:$O$86,15,0))</f>
        <v>0</v>
      </c>
      <c r="X131" s="6">
        <f>IF(ISERROR(VLOOKUP($U$131,'TAR FIN'!$A$1:$O$86,15,0)),0,VLOOKUP($U$131,'TAR FIN'!$A$1:$O$86,15,0))</f>
        <v>0</v>
      </c>
      <c r="Y131" s="6">
        <f ca="1">('TUSD BE'!$AM$10+'TUSD BF_350'!$AM$10+'TUSD CVA'!$AM$10)*1</f>
        <v>5.4509137424633414</v>
      </c>
      <c r="Z131" s="6"/>
      <c r="AA131" s="6"/>
      <c r="AB131" s="6">
        <f>$K$131*$V$131</f>
        <v>1139.6000000000001</v>
      </c>
      <c r="AC131" s="6">
        <f>$M$131*$W$131</f>
        <v>0</v>
      </c>
      <c r="AD131" s="6">
        <f>$O$131*$X$131</f>
        <v>0</v>
      </c>
      <c r="AE131" s="6">
        <f ca="1">$K$131*$Y$131</f>
        <v>763.1279239448678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38</v>
      </c>
      <c r="C132" s="4" t="s">
        <v>59</v>
      </c>
      <c r="D132" s="4" t="s">
        <v>25</v>
      </c>
      <c r="E132" s="4" t="s">
        <v>25</v>
      </c>
      <c r="F132" s="4" t="s">
        <v>25</v>
      </c>
      <c r="G132" s="4" t="s">
        <v>60</v>
      </c>
      <c r="H132" s="4" t="s">
        <v>25</v>
      </c>
      <c r="I132" s="5">
        <v>44531</v>
      </c>
      <c r="J132" s="6">
        <v>1000</v>
      </c>
      <c r="K132" s="6">
        <v>500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61</v>
      </c>
      <c r="R132" s="4">
        <v>797</v>
      </c>
      <c r="S132" s="6">
        <v>12</v>
      </c>
      <c r="T132" s="6">
        <v>0</v>
      </c>
      <c r="U132" s="6">
        <v>0</v>
      </c>
      <c r="V132" s="6">
        <f>IF(ISERROR(VLOOKUP($S$132,'TAR FIN'!$A$1:$O$86,15,0)),0,VLOOKUP($S$132,'TAR FIN'!$A$1:$O$86,15,0))</f>
        <v>8.14</v>
      </c>
      <c r="W132" s="6">
        <f>IF(ISERROR(VLOOKUP($T$132,'TAR FIN'!$A$1:$O$86,15,0)),0,VLOOKUP($T$132,'TAR FIN'!$A$1:$O$86,15,0))</f>
        <v>0</v>
      </c>
      <c r="X132" s="6">
        <f>IF(ISERROR(VLOOKUP($U$132,'TAR FIN'!$A$1:$O$86,15,0)),0,VLOOKUP($U$132,'TAR FIN'!$A$1:$O$86,15,0))</f>
        <v>0</v>
      </c>
      <c r="Y132" s="6">
        <f ca="1">('TUSD BE'!$AM$10+'TUSD BF_350'!$AM$10+'TUSD CVA'!$AM$10)*1</f>
        <v>5.4509137424633414</v>
      </c>
      <c r="Z132" s="6"/>
      <c r="AA132" s="6"/>
      <c r="AB132" s="6">
        <f>$K$132*$V$132</f>
        <v>4070.0000000000005</v>
      </c>
      <c r="AC132" s="6">
        <f>$M$132*$W$132</f>
        <v>0</v>
      </c>
      <c r="AD132" s="6">
        <f>$O$132*$X$132</f>
        <v>0</v>
      </c>
      <c r="AE132" s="6">
        <f ca="1">$K$132*$Y$132</f>
        <v>2725.4568712316709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38</v>
      </c>
      <c r="C133" s="4" t="s">
        <v>59</v>
      </c>
      <c r="D133" s="4" t="s">
        <v>25</v>
      </c>
      <c r="E133" s="4" t="s">
        <v>25</v>
      </c>
      <c r="F133" s="4" t="s">
        <v>25</v>
      </c>
      <c r="G133" s="4" t="s">
        <v>64</v>
      </c>
      <c r="H133" s="4" t="s">
        <v>25</v>
      </c>
      <c r="I133" s="5">
        <v>44531</v>
      </c>
      <c r="J133" s="6">
        <v>280</v>
      </c>
      <c r="K133" s="6">
        <v>140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61</v>
      </c>
      <c r="S133" s="6">
        <v>12</v>
      </c>
      <c r="T133" s="6">
        <v>0</v>
      </c>
      <c r="U133" s="6">
        <v>0</v>
      </c>
      <c r="V133" s="6">
        <f>IF(ISERROR(VLOOKUP($S$133,'TAR FIN'!$A$1:$O$86,15,0)),0,VLOOKUP($S$133,'TAR FIN'!$A$1:$O$86,15,0))</f>
        <v>8.14</v>
      </c>
      <c r="W133" s="6">
        <f>IF(ISERROR(VLOOKUP($T$133,'TAR FIN'!$A$1:$O$86,15,0)),0,VLOOKUP($T$133,'TAR FIN'!$A$1:$O$86,15,0))</f>
        <v>0</v>
      </c>
      <c r="X133" s="6">
        <f>IF(ISERROR(VLOOKUP($U$133,'TAR FIN'!$A$1:$O$86,15,0)),0,VLOOKUP($U$133,'TAR FIN'!$A$1:$O$86,15,0))</f>
        <v>0</v>
      </c>
      <c r="Y133" s="6">
        <f ca="1">('TUSD BE'!$AM$10+'TUSD BF_350'!$AM$10+'TUSD CVA'!$AM$10)*1</f>
        <v>5.4509137424633414</v>
      </c>
      <c r="Z133" s="6"/>
      <c r="AA133" s="6"/>
      <c r="AB133" s="6">
        <f>$K$133*$V$133</f>
        <v>1139.6000000000001</v>
      </c>
      <c r="AC133" s="6">
        <f>$M$133*$W$133</f>
        <v>0</v>
      </c>
      <c r="AD133" s="6">
        <f>$O$133*$X$133</f>
        <v>0</v>
      </c>
      <c r="AE133" s="6">
        <f ca="1">$K$133*$Y$133</f>
        <v>763.1279239448678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38</v>
      </c>
      <c r="C134" s="4" t="s">
        <v>59</v>
      </c>
      <c r="D134" s="4" t="s">
        <v>25</v>
      </c>
      <c r="E134" s="4" t="s">
        <v>25</v>
      </c>
      <c r="F134" s="4" t="s">
        <v>25</v>
      </c>
      <c r="G134" s="4" t="s">
        <v>60</v>
      </c>
      <c r="H134" s="4" t="s">
        <v>25</v>
      </c>
      <c r="I134" s="5">
        <v>44562</v>
      </c>
      <c r="J134" s="6">
        <v>1000</v>
      </c>
      <c r="K134" s="6">
        <v>500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61</v>
      </c>
      <c r="R134" s="4">
        <v>797</v>
      </c>
      <c r="S134" s="6">
        <v>12</v>
      </c>
      <c r="T134" s="6">
        <v>0</v>
      </c>
      <c r="U134" s="6">
        <v>0</v>
      </c>
      <c r="V134" s="6">
        <f>IF(ISERROR(VLOOKUP($S$134,'TAR FIN'!$A$1:$O$86,15,0)),0,VLOOKUP($S$134,'TAR FIN'!$A$1:$O$86,15,0))</f>
        <v>8.14</v>
      </c>
      <c r="W134" s="6">
        <f>IF(ISERROR(VLOOKUP($T$134,'TAR FIN'!$A$1:$O$86,15,0)),0,VLOOKUP($T$134,'TAR FIN'!$A$1:$O$86,15,0))</f>
        <v>0</v>
      </c>
      <c r="X134" s="6">
        <f>IF(ISERROR(VLOOKUP($U$134,'TAR FIN'!$A$1:$O$86,15,0)),0,VLOOKUP($U$134,'TAR FIN'!$A$1:$O$86,15,0))</f>
        <v>0</v>
      </c>
      <c r="Y134" s="6">
        <f ca="1">('TUSD BE'!$AM$10+'TUSD BF_350'!$AM$10+'TUSD CVA'!$AM$10)*1</f>
        <v>5.4509137424633414</v>
      </c>
      <c r="Z134" s="6"/>
      <c r="AA134" s="6"/>
      <c r="AB134" s="6">
        <f>$K$134*$V$134</f>
        <v>4070.0000000000005</v>
      </c>
      <c r="AC134" s="6">
        <f>$M$134*$W$134</f>
        <v>0</v>
      </c>
      <c r="AD134" s="6">
        <f>$O$134*$X$134</f>
        <v>0</v>
      </c>
      <c r="AE134" s="6">
        <f ca="1">$K$134*$Y$134</f>
        <v>2725.4568712316709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38</v>
      </c>
      <c r="C135" s="4" t="s">
        <v>59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44562</v>
      </c>
      <c r="J135" s="6">
        <v>280</v>
      </c>
      <c r="K135" s="6">
        <v>140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61</v>
      </c>
      <c r="S135" s="6">
        <v>12</v>
      </c>
      <c r="T135" s="6">
        <v>0</v>
      </c>
      <c r="U135" s="6">
        <v>0</v>
      </c>
      <c r="V135" s="6">
        <f>IF(ISERROR(VLOOKUP($S$135,'TAR FIN'!$A$1:$O$86,15,0)),0,VLOOKUP($S$135,'TAR FIN'!$A$1:$O$86,15,0))</f>
        <v>8.14</v>
      </c>
      <c r="W135" s="6">
        <f>IF(ISERROR(VLOOKUP($T$135,'TAR FIN'!$A$1:$O$86,15,0)),0,VLOOKUP($T$135,'TAR FIN'!$A$1:$O$86,15,0))</f>
        <v>0</v>
      </c>
      <c r="X135" s="6">
        <f>IF(ISERROR(VLOOKUP($U$135,'TAR FIN'!$A$1:$O$86,15,0)),0,VLOOKUP($U$135,'TAR FIN'!$A$1:$O$86,15,0))</f>
        <v>0</v>
      </c>
      <c r="Y135" s="6">
        <f ca="1">('TUSD BE'!$AM$10+'TUSD BF_350'!$AM$10+'TUSD CVA'!$AM$10)*1</f>
        <v>5.4509137424633414</v>
      </c>
      <c r="Z135" s="6"/>
      <c r="AA135" s="6"/>
      <c r="AB135" s="6">
        <f>$K$135*$V$135</f>
        <v>1139.6000000000001</v>
      </c>
      <c r="AC135" s="6">
        <f>$M$135*$W$135</f>
        <v>0</v>
      </c>
      <c r="AD135" s="6">
        <f>$O$135*$X$135</f>
        <v>0</v>
      </c>
      <c r="AE135" s="6">
        <f ca="1">$K$135*$Y$135</f>
        <v>763.1279239448678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38</v>
      </c>
      <c r="C136" s="4" t="s">
        <v>59</v>
      </c>
      <c r="D136" s="4" t="s">
        <v>25</v>
      </c>
      <c r="E136" s="4" t="s">
        <v>25</v>
      </c>
      <c r="F136" s="4" t="s">
        <v>25</v>
      </c>
      <c r="G136" s="4" t="s">
        <v>60</v>
      </c>
      <c r="H136" s="4" t="s">
        <v>25</v>
      </c>
      <c r="I136" s="5">
        <v>44593</v>
      </c>
      <c r="J136" s="6">
        <v>1000</v>
      </c>
      <c r="K136" s="6">
        <v>500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61</v>
      </c>
      <c r="R136" s="4">
        <v>797</v>
      </c>
      <c r="S136" s="6">
        <v>12</v>
      </c>
      <c r="T136" s="6">
        <v>0</v>
      </c>
      <c r="U136" s="6">
        <v>0</v>
      </c>
      <c r="V136" s="6">
        <f>IF(ISERROR(VLOOKUP($S$136,'TAR FIN'!$A$1:$O$86,15,0)),0,VLOOKUP($S$136,'TAR FIN'!$A$1:$O$86,15,0))</f>
        <v>8.14</v>
      </c>
      <c r="W136" s="6">
        <f>IF(ISERROR(VLOOKUP($T$136,'TAR FIN'!$A$1:$O$86,15,0)),0,VLOOKUP($T$136,'TAR FIN'!$A$1:$O$86,15,0))</f>
        <v>0</v>
      </c>
      <c r="X136" s="6">
        <f>IF(ISERROR(VLOOKUP($U$136,'TAR FIN'!$A$1:$O$86,15,0)),0,VLOOKUP($U$136,'TAR FIN'!$A$1:$O$86,15,0))</f>
        <v>0</v>
      </c>
      <c r="Y136" s="6">
        <f ca="1">('TUSD BE'!$AM$10+'TUSD BF_350'!$AM$10+'TUSD CVA'!$AM$10)*1</f>
        <v>5.4509137424633414</v>
      </c>
      <c r="Z136" s="6"/>
      <c r="AA136" s="6"/>
      <c r="AB136" s="6">
        <f>$K$136*$V$136</f>
        <v>4070.0000000000005</v>
      </c>
      <c r="AC136" s="6">
        <f>$M$136*$W$136</f>
        <v>0</v>
      </c>
      <c r="AD136" s="6">
        <f>$O$136*$X$136</f>
        <v>0</v>
      </c>
      <c r="AE136" s="6">
        <f ca="1">$K$136*$Y$136</f>
        <v>2725.4568712316709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38</v>
      </c>
      <c r="C137" s="4" t="s">
        <v>59</v>
      </c>
      <c r="D137" s="4" t="s">
        <v>25</v>
      </c>
      <c r="E137" s="4" t="s">
        <v>25</v>
      </c>
      <c r="F137" s="4" t="s">
        <v>25</v>
      </c>
      <c r="G137" s="4" t="s">
        <v>64</v>
      </c>
      <c r="H137" s="4" t="s">
        <v>25</v>
      </c>
      <c r="I137" s="5">
        <v>44593</v>
      </c>
      <c r="J137" s="6">
        <v>280</v>
      </c>
      <c r="K137" s="6">
        <v>140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61</v>
      </c>
      <c r="S137" s="6">
        <v>12</v>
      </c>
      <c r="T137" s="6">
        <v>0</v>
      </c>
      <c r="U137" s="6">
        <v>0</v>
      </c>
      <c r="V137" s="6">
        <f>IF(ISERROR(VLOOKUP($S$137,'TAR FIN'!$A$1:$O$86,15,0)),0,VLOOKUP($S$137,'TAR FIN'!$A$1:$O$86,15,0))</f>
        <v>8.14</v>
      </c>
      <c r="W137" s="6">
        <f>IF(ISERROR(VLOOKUP($T$137,'TAR FIN'!$A$1:$O$86,15,0)),0,VLOOKUP($T$137,'TAR FIN'!$A$1:$O$86,15,0))</f>
        <v>0</v>
      </c>
      <c r="X137" s="6">
        <f>IF(ISERROR(VLOOKUP($U$137,'TAR FIN'!$A$1:$O$86,15,0)),0,VLOOKUP($U$137,'TAR FIN'!$A$1:$O$86,15,0))</f>
        <v>0</v>
      </c>
      <c r="Y137" s="6">
        <f ca="1">('TUSD BE'!$AM$10+'TUSD BF_350'!$AM$10+'TUSD CVA'!$AM$10)*1</f>
        <v>5.4509137424633414</v>
      </c>
      <c r="Z137" s="6"/>
      <c r="AA137" s="6"/>
      <c r="AB137" s="6">
        <f>$K$137*$V$137</f>
        <v>1139.6000000000001</v>
      </c>
      <c r="AC137" s="6">
        <f>$M$137*$W$137</f>
        <v>0</v>
      </c>
      <c r="AD137" s="6">
        <f>$O$137*$X$137</f>
        <v>0</v>
      </c>
      <c r="AE137" s="6">
        <f ca="1">$K$137*$Y$137</f>
        <v>763.1279239448678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38</v>
      </c>
      <c r="C138" s="4" t="s">
        <v>59</v>
      </c>
      <c r="D138" s="4" t="s">
        <v>25</v>
      </c>
      <c r="E138" s="4" t="s">
        <v>25</v>
      </c>
      <c r="F138" s="4" t="s">
        <v>25</v>
      </c>
      <c r="G138" s="4" t="s">
        <v>60</v>
      </c>
      <c r="H138" s="4" t="s">
        <v>25</v>
      </c>
      <c r="I138" s="5">
        <v>44621</v>
      </c>
      <c r="J138" s="6">
        <v>1000</v>
      </c>
      <c r="K138" s="6">
        <v>500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61</v>
      </c>
      <c r="R138" s="4">
        <v>797</v>
      </c>
      <c r="S138" s="6">
        <v>12</v>
      </c>
      <c r="T138" s="6">
        <v>0</v>
      </c>
      <c r="U138" s="6">
        <v>0</v>
      </c>
      <c r="V138" s="6">
        <f>IF(ISERROR(VLOOKUP($S$138,'TAR FIN'!$A$1:$O$86,15,0)),0,VLOOKUP($S$138,'TAR FIN'!$A$1:$O$86,15,0))</f>
        <v>8.14</v>
      </c>
      <c r="W138" s="6">
        <f>IF(ISERROR(VLOOKUP($T$138,'TAR FIN'!$A$1:$O$86,15,0)),0,VLOOKUP($T$138,'TAR FIN'!$A$1:$O$86,15,0))</f>
        <v>0</v>
      </c>
      <c r="X138" s="6">
        <f>IF(ISERROR(VLOOKUP($U$138,'TAR FIN'!$A$1:$O$86,15,0)),0,VLOOKUP($U$138,'TAR FIN'!$A$1:$O$86,15,0))</f>
        <v>0</v>
      </c>
      <c r="Y138" s="6">
        <f ca="1">('TUSD BE'!$AM$10+'TUSD BF_350'!$AM$10+'TUSD CVA'!$AM$10)*1</f>
        <v>5.4509137424633414</v>
      </c>
      <c r="Z138" s="6"/>
      <c r="AA138" s="6"/>
      <c r="AB138" s="6">
        <f>$K$138*$V$138</f>
        <v>4070.0000000000005</v>
      </c>
      <c r="AC138" s="6">
        <f>$M$138*$W$138</f>
        <v>0</v>
      </c>
      <c r="AD138" s="6">
        <f>$O$138*$X$138</f>
        <v>0</v>
      </c>
      <c r="AE138" s="6">
        <f ca="1">$K$138*$Y$138</f>
        <v>2725.4568712316709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38</v>
      </c>
      <c r="C139" s="4" t="s">
        <v>59</v>
      </c>
      <c r="D139" s="4" t="s">
        <v>25</v>
      </c>
      <c r="E139" s="4" t="s">
        <v>25</v>
      </c>
      <c r="F139" s="4" t="s">
        <v>25</v>
      </c>
      <c r="G139" s="4" t="s">
        <v>64</v>
      </c>
      <c r="H139" s="4" t="s">
        <v>25</v>
      </c>
      <c r="I139" s="5">
        <v>44621</v>
      </c>
      <c r="J139" s="6">
        <v>280</v>
      </c>
      <c r="K139" s="6">
        <v>140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61</v>
      </c>
      <c r="S139" s="6">
        <v>12</v>
      </c>
      <c r="T139" s="6">
        <v>0</v>
      </c>
      <c r="U139" s="6">
        <v>0</v>
      </c>
      <c r="V139" s="6">
        <f>IF(ISERROR(VLOOKUP($S$139,'TAR FIN'!$A$1:$O$86,15,0)),0,VLOOKUP($S$139,'TAR FIN'!$A$1:$O$86,15,0))</f>
        <v>8.14</v>
      </c>
      <c r="W139" s="6">
        <f>IF(ISERROR(VLOOKUP($T$139,'TAR FIN'!$A$1:$O$86,15,0)),0,VLOOKUP($T$139,'TAR FIN'!$A$1:$O$86,15,0))</f>
        <v>0</v>
      </c>
      <c r="X139" s="6">
        <f>IF(ISERROR(VLOOKUP($U$139,'TAR FIN'!$A$1:$O$86,15,0)),0,VLOOKUP($U$139,'TAR FIN'!$A$1:$O$86,15,0))</f>
        <v>0</v>
      </c>
      <c r="Y139" s="6">
        <f ca="1">('TUSD BE'!$AM$10+'TUSD BF_350'!$AM$10+'TUSD CVA'!$AM$10)*1</f>
        <v>5.4509137424633414</v>
      </c>
      <c r="Z139" s="6"/>
      <c r="AA139" s="6"/>
      <c r="AB139" s="6">
        <f>$K$139*$V$139</f>
        <v>1139.6000000000001</v>
      </c>
      <c r="AC139" s="6">
        <f>$M$139*$W$139</f>
        <v>0</v>
      </c>
      <c r="AD139" s="6">
        <f>$O$139*$X$139</f>
        <v>0</v>
      </c>
      <c r="AE139" s="6">
        <f ca="1">$K$139*$Y$139</f>
        <v>763.1279239448678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38</v>
      </c>
      <c r="C140" s="4" t="s">
        <v>59</v>
      </c>
      <c r="D140" s="4" t="s">
        <v>25</v>
      </c>
      <c r="E140" s="4" t="s">
        <v>25</v>
      </c>
      <c r="F140" s="4" t="s">
        <v>25</v>
      </c>
      <c r="G140" s="4" t="s">
        <v>60</v>
      </c>
      <c r="H140" s="4" t="s">
        <v>25</v>
      </c>
      <c r="I140" s="5">
        <v>44652</v>
      </c>
      <c r="J140" s="6">
        <v>1000</v>
      </c>
      <c r="K140" s="6">
        <v>500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61</v>
      </c>
      <c r="R140" s="4">
        <v>797</v>
      </c>
      <c r="S140" s="6">
        <v>12</v>
      </c>
      <c r="T140" s="6">
        <v>0</v>
      </c>
      <c r="U140" s="6">
        <v>0</v>
      </c>
      <c r="V140" s="6">
        <f>IF(ISERROR(VLOOKUP($S$140,'TAR FIN'!$A$1:$O$86,15,0)),0,VLOOKUP($S$140,'TAR FIN'!$A$1:$O$86,15,0))</f>
        <v>8.14</v>
      </c>
      <c r="W140" s="6">
        <f>IF(ISERROR(VLOOKUP($T$140,'TAR FIN'!$A$1:$O$86,15,0)),0,VLOOKUP($T$140,'TAR FIN'!$A$1:$O$86,15,0))</f>
        <v>0</v>
      </c>
      <c r="X140" s="6">
        <f>IF(ISERROR(VLOOKUP($U$140,'TAR FIN'!$A$1:$O$86,15,0)),0,VLOOKUP($U$140,'TAR FIN'!$A$1:$O$86,15,0))</f>
        <v>0</v>
      </c>
      <c r="Y140" s="6">
        <f ca="1">('TUSD BE'!$AM$10+'TUSD BF_350'!$AM$10+'TUSD CVA'!$AM$10)*1</f>
        <v>5.4509137424633414</v>
      </c>
      <c r="Z140" s="6"/>
      <c r="AA140" s="6"/>
      <c r="AB140" s="6">
        <f>$K$140*$V$140</f>
        <v>4070.0000000000005</v>
      </c>
      <c r="AC140" s="6">
        <f>$M$140*$W$140</f>
        <v>0</v>
      </c>
      <c r="AD140" s="6">
        <f>$O$140*$X$140</f>
        <v>0</v>
      </c>
      <c r="AE140" s="6">
        <f ca="1">$K$140*$Y$140</f>
        <v>2725.4568712316709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38</v>
      </c>
      <c r="C141" s="4" t="s">
        <v>59</v>
      </c>
      <c r="D141" s="4" t="s">
        <v>25</v>
      </c>
      <c r="E141" s="4" t="s">
        <v>25</v>
      </c>
      <c r="F141" s="4" t="s">
        <v>25</v>
      </c>
      <c r="G141" s="4" t="s">
        <v>64</v>
      </c>
      <c r="H141" s="4" t="s">
        <v>25</v>
      </c>
      <c r="I141" s="5">
        <v>44652</v>
      </c>
      <c r="J141" s="6">
        <v>280</v>
      </c>
      <c r="K141" s="6">
        <v>140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61</v>
      </c>
      <c r="S141" s="6">
        <v>12</v>
      </c>
      <c r="T141" s="6">
        <v>0</v>
      </c>
      <c r="U141" s="6">
        <v>0</v>
      </c>
      <c r="V141" s="6">
        <f>IF(ISERROR(VLOOKUP($S$141,'TAR FIN'!$A$1:$O$86,15,0)),0,VLOOKUP($S$141,'TAR FIN'!$A$1:$O$86,15,0))</f>
        <v>8.14</v>
      </c>
      <c r="W141" s="6">
        <f>IF(ISERROR(VLOOKUP($T$141,'TAR FIN'!$A$1:$O$86,15,0)),0,VLOOKUP($T$141,'TAR FIN'!$A$1:$O$86,15,0))</f>
        <v>0</v>
      </c>
      <c r="X141" s="6">
        <f>IF(ISERROR(VLOOKUP($U$141,'TAR FIN'!$A$1:$O$86,15,0)),0,VLOOKUP($U$141,'TAR FIN'!$A$1:$O$86,15,0))</f>
        <v>0</v>
      </c>
      <c r="Y141" s="6">
        <f ca="1">('TUSD BE'!$AM$10+'TUSD BF_350'!$AM$10+'TUSD CVA'!$AM$10)*1</f>
        <v>5.4509137424633414</v>
      </c>
      <c r="Z141" s="6"/>
      <c r="AA141" s="6"/>
      <c r="AB141" s="6">
        <f>$K$141*$V$141</f>
        <v>1139.6000000000001</v>
      </c>
      <c r="AC141" s="6">
        <f>$M$141*$W$141</f>
        <v>0</v>
      </c>
      <c r="AD141" s="6">
        <f>$O$141*$X$141</f>
        <v>0</v>
      </c>
      <c r="AE141" s="6">
        <f ca="1">$K$141*$Y$141</f>
        <v>763.1279239448678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38</v>
      </c>
      <c r="C142" s="4" t="s">
        <v>59</v>
      </c>
      <c r="D142" s="4" t="s">
        <v>25</v>
      </c>
      <c r="E142" s="4" t="s">
        <v>25</v>
      </c>
      <c r="F142" s="4" t="s">
        <v>25</v>
      </c>
      <c r="G142" s="4" t="s">
        <v>60</v>
      </c>
      <c r="H142" s="4" t="s">
        <v>25</v>
      </c>
      <c r="I142" s="5">
        <v>44682</v>
      </c>
      <c r="J142" s="6">
        <v>1000</v>
      </c>
      <c r="K142" s="6">
        <v>500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61</v>
      </c>
      <c r="R142" s="4">
        <v>797</v>
      </c>
      <c r="S142" s="6">
        <v>12</v>
      </c>
      <c r="T142" s="6">
        <v>0</v>
      </c>
      <c r="U142" s="6">
        <v>0</v>
      </c>
      <c r="V142" s="6">
        <f>IF(ISERROR(VLOOKUP($S$142,'TAR FIN'!$A$1:$O$86,15,0)),0,VLOOKUP($S$142,'TAR FIN'!$A$1:$O$86,15,0))</f>
        <v>8.14</v>
      </c>
      <c r="W142" s="6">
        <f>IF(ISERROR(VLOOKUP($T$142,'TAR FIN'!$A$1:$O$86,15,0)),0,VLOOKUP($T$142,'TAR FIN'!$A$1:$O$86,15,0))</f>
        <v>0</v>
      </c>
      <c r="X142" s="6">
        <f>IF(ISERROR(VLOOKUP($U$142,'TAR FIN'!$A$1:$O$86,15,0)),0,VLOOKUP($U$142,'TAR FIN'!$A$1:$O$86,15,0))</f>
        <v>0</v>
      </c>
      <c r="Y142" s="6">
        <f ca="1">('TUSD BE'!$AM$10+'TUSD BF_350'!$AM$10+'TUSD CVA'!$AM$10)*1</f>
        <v>5.4509137424633414</v>
      </c>
      <c r="Z142" s="6"/>
      <c r="AA142" s="6"/>
      <c r="AB142" s="6">
        <f>$K$142*$V$142</f>
        <v>4070.0000000000005</v>
      </c>
      <c r="AC142" s="6">
        <f>$M$142*$W$142</f>
        <v>0</v>
      </c>
      <c r="AD142" s="6">
        <f>$O$142*$X$142</f>
        <v>0</v>
      </c>
      <c r="AE142" s="6">
        <f ca="1">$K$142*$Y$142</f>
        <v>2725.4568712316709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38</v>
      </c>
      <c r="C143" s="4" t="s">
        <v>59</v>
      </c>
      <c r="D143" s="4" t="s">
        <v>25</v>
      </c>
      <c r="E143" s="4" t="s">
        <v>25</v>
      </c>
      <c r="F143" s="4" t="s">
        <v>25</v>
      </c>
      <c r="G143" s="4" t="s">
        <v>64</v>
      </c>
      <c r="H143" s="4" t="s">
        <v>25</v>
      </c>
      <c r="I143" s="5">
        <v>44682</v>
      </c>
      <c r="J143" s="6">
        <v>280</v>
      </c>
      <c r="K143" s="6">
        <v>140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61</v>
      </c>
      <c r="S143" s="6">
        <v>12</v>
      </c>
      <c r="T143" s="6">
        <v>0</v>
      </c>
      <c r="U143" s="6">
        <v>0</v>
      </c>
      <c r="V143" s="6">
        <f>IF(ISERROR(VLOOKUP($S$143,'TAR FIN'!$A$1:$O$86,15,0)),0,VLOOKUP($S$143,'TAR FIN'!$A$1:$O$86,15,0))</f>
        <v>8.14</v>
      </c>
      <c r="W143" s="6">
        <f>IF(ISERROR(VLOOKUP($T$143,'TAR FIN'!$A$1:$O$86,15,0)),0,VLOOKUP($T$143,'TAR FIN'!$A$1:$O$86,15,0))</f>
        <v>0</v>
      </c>
      <c r="X143" s="6">
        <f>IF(ISERROR(VLOOKUP($U$143,'TAR FIN'!$A$1:$O$86,15,0)),0,VLOOKUP($U$143,'TAR FIN'!$A$1:$O$86,15,0))</f>
        <v>0</v>
      </c>
      <c r="Y143" s="6">
        <f ca="1">('TUSD BE'!$AM$10+'TUSD BF_350'!$AM$10+'TUSD CVA'!$AM$10)*1</f>
        <v>5.4509137424633414</v>
      </c>
      <c r="Z143" s="6"/>
      <c r="AA143" s="6"/>
      <c r="AB143" s="6">
        <f>$K$143*$V$143</f>
        <v>1139.6000000000001</v>
      </c>
      <c r="AC143" s="6">
        <f>$M$143*$W$143</f>
        <v>0</v>
      </c>
      <c r="AD143" s="6">
        <f>$O$143*$X$143</f>
        <v>0</v>
      </c>
      <c r="AE143" s="6">
        <f ca="1">$K$143*$Y$143</f>
        <v>763.1279239448678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56</v>
      </c>
      <c r="B144" s="4" t="s">
        <v>38</v>
      </c>
      <c r="C144" s="4" t="s">
        <v>59</v>
      </c>
      <c r="D144" s="4" t="s">
        <v>25</v>
      </c>
      <c r="E144" s="4" t="s">
        <v>25</v>
      </c>
      <c r="F144" s="4" t="s">
        <v>25</v>
      </c>
      <c r="G144" s="4" t="s">
        <v>60</v>
      </c>
      <c r="H144" s="4" t="s">
        <v>25</v>
      </c>
      <c r="I144" s="5">
        <v>44713</v>
      </c>
      <c r="J144" s="6">
        <v>1000</v>
      </c>
      <c r="K144" s="6">
        <v>500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61</v>
      </c>
      <c r="R144" s="4">
        <v>797</v>
      </c>
      <c r="S144" s="6">
        <v>12</v>
      </c>
      <c r="T144" s="6">
        <v>0</v>
      </c>
      <c r="U144" s="6">
        <v>0</v>
      </c>
      <c r="V144" s="6">
        <f>IF(ISERROR(VLOOKUP($S$144,'TAR FIN'!$A$1:$O$86,15,0)),0,VLOOKUP($S$144,'TAR FIN'!$A$1:$O$86,15,0))</f>
        <v>8.14</v>
      </c>
      <c r="W144" s="6">
        <f>IF(ISERROR(VLOOKUP($T$144,'TAR FIN'!$A$1:$O$86,15,0)),0,VLOOKUP($T$144,'TAR FIN'!$A$1:$O$86,15,0))</f>
        <v>0</v>
      </c>
      <c r="X144" s="6">
        <f>IF(ISERROR(VLOOKUP($U$144,'TAR FIN'!$A$1:$O$86,15,0)),0,VLOOKUP($U$144,'TAR FIN'!$A$1:$O$86,15,0))</f>
        <v>0</v>
      </c>
      <c r="Y144" s="6">
        <f ca="1">('TUSD BE'!$AM$10+'TUSD BF_350'!$AM$10+'TUSD CVA'!$AM$10)*1</f>
        <v>5.4509137424633414</v>
      </c>
      <c r="Z144" s="6"/>
      <c r="AA144" s="6"/>
      <c r="AB144" s="6">
        <f>$K$144*$V$144</f>
        <v>4070.0000000000005</v>
      </c>
      <c r="AC144" s="6">
        <f>$M$144*$W$144</f>
        <v>0</v>
      </c>
      <c r="AD144" s="6">
        <f>$O$144*$X$144</f>
        <v>0</v>
      </c>
      <c r="AE144" s="6">
        <f ca="1">$K$144*$Y$144</f>
        <v>2725.4568712316709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56</v>
      </c>
      <c r="B145" s="4" t="s">
        <v>38</v>
      </c>
      <c r="C145" s="4" t="s">
        <v>59</v>
      </c>
      <c r="D145" s="4" t="s">
        <v>25</v>
      </c>
      <c r="E145" s="4" t="s">
        <v>25</v>
      </c>
      <c r="F145" s="4" t="s">
        <v>25</v>
      </c>
      <c r="G145" s="4" t="s">
        <v>64</v>
      </c>
      <c r="H145" s="4" t="s">
        <v>25</v>
      </c>
      <c r="I145" s="5">
        <v>44713</v>
      </c>
      <c r="J145" s="6">
        <v>280</v>
      </c>
      <c r="K145" s="6">
        <v>140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61</v>
      </c>
      <c r="S145" s="6">
        <v>12</v>
      </c>
      <c r="T145" s="6">
        <v>0</v>
      </c>
      <c r="U145" s="6">
        <v>0</v>
      </c>
      <c r="V145" s="6">
        <f>IF(ISERROR(VLOOKUP($S$145,'TAR FIN'!$A$1:$O$86,15,0)),0,VLOOKUP($S$145,'TAR FIN'!$A$1:$O$86,15,0))</f>
        <v>8.14</v>
      </c>
      <c r="W145" s="6">
        <f>IF(ISERROR(VLOOKUP($T$145,'TAR FIN'!$A$1:$O$86,15,0)),0,VLOOKUP($T$145,'TAR FIN'!$A$1:$O$86,15,0))</f>
        <v>0</v>
      </c>
      <c r="X145" s="6">
        <f>IF(ISERROR(VLOOKUP($U$145,'TAR FIN'!$A$1:$O$86,15,0)),0,VLOOKUP($U$145,'TAR FIN'!$A$1:$O$86,15,0))</f>
        <v>0</v>
      </c>
      <c r="Y145" s="6">
        <f ca="1">('TUSD BE'!$AM$10+'TUSD BF_350'!$AM$10+'TUSD CVA'!$AM$10)*1</f>
        <v>5.4509137424633414</v>
      </c>
      <c r="Z145" s="6"/>
      <c r="AA145" s="6"/>
      <c r="AB145" s="6">
        <f>$K$145*$V$145</f>
        <v>1139.6000000000001</v>
      </c>
      <c r="AC145" s="6">
        <f>$M$145*$W$145</f>
        <v>0</v>
      </c>
      <c r="AD145" s="6">
        <f>$O$145*$X$145</f>
        <v>0</v>
      </c>
      <c r="AE145" s="6">
        <f ca="1">$K$145*$Y$145</f>
        <v>763.1279239448678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38</v>
      </c>
      <c r="C146" s="4" t="s">
        <v>40</v>
      </c>
      <c r="D146" s="4" t="s">
        <v>41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44378</v>
      </c>
      <c r="J146" s="6">
        <v>0</v>
      </c>
      <c r="K146" s="6">
        <v>0</v>
      </c>
      <c r="L146" s="6">
        <v>747.43399999999997</v>
      </c>
      <c r="M146" s="6">
        <v>747.43399999999997</v>
      </c>
      <c r="N146" s="6">
        <v>747.43399999999997</v>
      </c>
      <c r="O146" s="6">
        <v>747.43399999999997</v>
      </c>
      <c r="P146" s="6">
        <v>0</v>
      </c>
      <c r="Q146" s="4" t="s">
        <v>26</v>
      </c>
      <c r="R146" s="4">
        <v>0</v>
      </c>
      <c r="S146" s="6">
        <v>0</v>
      </c>
      <c r="T146" s="6">
        <v>14</v>
      </c>
      <c r="U146" s="6">
        <v>42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78.680000000000007</v>
      </c>
      <c r="X146" s="6">
        <f>IF(ISERROR(VLOOKUP($U$146,'TAR FIN'!$A$1:$O$86,15,0)),0,VLOOKUP($U$146,'TAR FIN'!$A$1:$O$86,15,0))</f>
        <v>246.3</v>
      </c>
      <c r="Y146" s="6"/>
      <c r="Z146" s="6">
        <f ca="1">('TUSD BE'!$AM$13+'TUSD BF_350'!$AM$13+'TUSD CVA'!$AM$13)*1</f>
        <v>100.23755694003805</v>
      </c>
      <c r="AA146" s="6">
        <f ca="1">('TE BE'!$AB$6+'TE BF_350'!$AB$6+'TE CVA'!$AB$6)*1</f>
        <v>219.40364509824883</v>
      </c>
      <c r="AB146" s="6">
        <f>$K$146*$V$146</f>
        <v>0</v>
      </c>
      <c r="AC146" s="6">
        <f>$M$146*$W$146</f>
        <v>58808.107120000001</v>
      </c>
      <c r="AD146" s="6">
        <f>$O$146*$X$146</f>
        <v>184092.99419999999</v>
      </c>
      <c r="AE146" s="6">
        <f>$K$146*$Y$146</f>
        <v>0</v>
      </c>
      <c r="AF146" s="6">
        <f ca="1">$M$146*$Z$146</f>
        <v>74920.958133920401</v>
      </c>
      <c r="AG146" s="6">
        <f ca="1">$O$146*$AA$146</f>
        <v>163989.74407036451</v>
      </c>
    </row>
    <row r="147" spans="1:33" ht="11.25" customHeight="1" x14ac:dyDescent="0.25">
      <c r="A147" s="4" t="s">
        <v>21</v>
      </c>
      <c r="B147" s="4" t="s">
        <v>38</v>
      </c>
      <c r="C147" s="4" t="s">
        <v>40</v>
      </c>
      <c r="D147" s="4" t="s">
        <v>41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44409</v>
      </c>
      <c r="J147" s="6">
        <v>0</v>
      </c>
      <c r="K147" s="6">
        <v>0</v>
      </c>
      <c r="L147" s="6">
        <v>693.30399999999997</v>
      </c>
      <c r="M147" s="6">
        <v>693.30399999999997</v>
      </c>
      <c r="N147" s="6">
        <v>693.30399999999997</v>
      </c>
      <c r="O147" s="6">
        <v>693.30399999999997</v>
      </c>
      <c r="P147" s="6">
        <v>0</v>
      </c>
      <c r="Q147" s="4" t="s">
        <v>26</v>
      </c>
      <c r="R147" s="4">
        <v>0</v>
      </c>
      <c r="S147" s="6">
        <v>0</v>
      </c>
      <c r="T147" s="6">
        <v>14</v>
      </c>
      <c r="U147" s="6">
        <v>42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78.680000000000007</v>
      </c>
      <c r="X147" s="6">
        <f>IF(ISERROR(VLOOKUP($U$147,'TAR FIN'!$A$1:$O$86,15,0)),0,VLOOKUP($U$147,'TAR FIN'!$A$1:$O$86,15,0))</f>
        <v>246.3</v>
      </c>
      <c r="Y147" s="6"/>
      <c r="Z147" s="6">
        <f ca="1">('TUSD BE'!$AM$13+'TUSD BF_350'!$AM$13+'TUSD CVA'!$AM$13)*1</f>
        <v>100.23755694003805</v>
      </c>
      <c r="AA147" s="6">
        <f ca="1">('TE BE'!$AB$6+'TE BF_350'!$AB$6+'TE CVA'!$AB$6)*1</f>
        <v>219.40364509824883</v>
      </c>
      <c r="AB147" s="6">
        <f>$K$147*$V$147</f>
        <v>0</v>
      </c>
      <c r="AC147" s="6">
        <f>$M$147*$W$147</f>
        <v>54549.158719999999</v>
      </c>
      <c r="AD147" s="6">
        <f>$O$147*$X$147</f>
        <v>170760.7752</v>
      </c>
      <c r="AE147" s="6">
        <f>$K$147*$Y$147</f>
        <v>0</v>
      </c>
      <c r="AF147" s="6">
        <f ca="1">$M$147*$Z$147</f>
        <v>69495.099176756135</v>
      </c>
      <c r="AG147" s="6">
        <f ca="1">$O$147*$AA$147</f>
        <v>152113.42476119631</v>
      </c>
    </row>
    <row r="148" spans="1:33" ht="11.25" customHeight="1" x14ac:dyDescent="0.25">
      <c r="A148" s="4" t="s">
        <v>21</v>
      </c>
      <c r="B148" s="4" t="s">
        <v>38</v>
      </c>
      <c r="C148" s="4" t="s">
        <v>40</v>
      </c>
      <c r="D148" s="4" t="s">
        <v>41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44440</v>
      </c>
      <c r="J148" s="6">
        <v>0</v>
      </c>
      <c r="K148" s="6">
        <v>0</v>
      </c>
      <c r="L148" s="6">
        <v>666.08699999999999</v>
      </c>
      <c r="M148" s="6">
        <v>666.08699999999999</v>
      </c>
      <c r="N148" s="6">
        <v>666.08699999999999</v>
      </c>
      <c r="O148" s="6">
        <v>666.08699999999999</v>
      </c>
      <c r="P148" s="6">
        <v>0</v>
      </c>
      <c r="Q148" s="4" t="s">
        <v>26</v>
      </c>
      <c r="R148" s="4">
        <v>0</v>
      </c>
      <c r="S148" s="6">
        <v>0</v>
      </c>
      <c r="T148" s="6">
        <v>14</v>
      </c>
      <c r="U148" s="6">
        <v>42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78.680000000000007</v>
      </c>
      <c r="X148" s="6">
        <f>IF(ISERROR(VLOOKUP($U$148,'TAR FIN'!$A$1:$O$86,15,0)),0,VLOOKUP($U$148,'TAR FIN'!$A$1:$O$86,15,0))</f>
        <v>246.3</v>
      </c>
      <c r="Y148" s="6"/>
      <c r="Z148" s="6">
        <f ca="1">('TUSD BE'!$AM$13+'TUSD BF_350'!$AM$13+'TUSD CVA'!$AM$13)*1</f>
        <v>100.23755694003805</v>
      </c>
      <c r="AA148" s="6">
        <f ca="1">('TE BE'!$AB$6+'TE BF_350'!$AB$6+'TE CVA'!$AB$6)*1</f>
        <v>219.40364509824883</v>
      </c>
      <c r="AB148" s="6">
        <f>$K$148*$V$148</f>
        <v>0</v>
      </c>
      <c r="AC148" s="6">
        <f>$M$148*$W$148</f>
        <v>52407.725160000002</v>
      </c>
      <c r="AD148" s="6">
        <f>$O$148*$X$148</f>
        <v>164057.22810000001</v>
      </c>
      <c r="AE148" s="6">
        <f>$K$148*$Y$148</f>
        <v>0</v>
      </c>
      <c r="AF148" s="6">
        <f ca="1">$M$148*$Z$148</f>
        <v>66766.933589519118</v>
      </c>
      <c r="AG148" s="6">
        <f ca="1">$O$148*$AA$148</f>
        <v>146141.91575255725</v>
      </c>
    </row>
    <row r="149" spans="1:33" ht="11.25" customHeight="1" x14ac:dyDescent="0.25">
      <c r="A149" s="4" t="s">
        <v>21</v>
      </c>
      <c r="B149" s="4" t="s">
        <v>38</v>
      </c>
      <c r="C149" s="4" t="s">
        <v>40</v>
      </c>
      <c r="D149" s="4" t="s">
        <v>41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44470</v>
      </c>
      <c r="J149" s="6">
        <v>0</v>
      </c>
      <c r="K149" s="6">
        <v>0</v>
      </c>
      <c r="L149" s="6">
        <v>748.976</v>
      </c>
      <c r="M149" s="6">
        <v>748.976</v>
      </c>
      <c r="N149" s="6">
        <v>748.976</v>
      </c>
      <c r="O149" s="6">
        <v>748.976</v>
      </c>
      <c r="P149" s="6">
        <v>0</v>
      </c>
      <c r="Q149" s="4" t="s">
        <v>26</v>
      </c>
      <c r="R149" s="4">
        <v>0</v>
      </c>
      <c r="S149" s="6">
        <v>0</v>
      </c>
      <c r="T149" s="6">
        <v>14</v>
      </c>
      <c r="U149" s="6">
        <v>42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78.680000000000007</v>
      </c>
      <c r="X149" s="6">
        <f>IF(ISERROR(VLOOKUP($U$149,'TAR FIN'!$A$1:$O$86,15,0)),0,VLOOKUP($U$149,'TAR FIN'!$A$1:$O$86,15,0))</f>
        <v>246.3</v>
      </c>
      <c r="Y149" s="6"/>
      <c r="Z149" s="6">
        <f ca="1">('TUSD BE'!$AM$13+'TUSD BF_350'!$AM$13+'TUSD CVA'!$AM$13)*1</f>
        <v>100.23755694003805</v>
      </c>
      <c r="AA149" s="6">
        <f ca="1">('TE BE'!$AB$6+'TE BF_350'!$AB$6+'TE CVA'!$AB$6)*1</f>
        <v>219.40364509824883</v>
      </c>
      <c r="AB149" s="6">
        <f>$K$149*$V$149</f>
        <v>0</v>
      </c>
      <c r="AC149" s="6">
        <f>$M$149*$W$149</f>
        <v>58929.431680000002</v>
      </c>
      <c r="AD149" s="6">
        <f>$O$149*$X$149</f>
        <v>184472.78880000001</v>
      </c>
      <c r="AE149" s="6">
        <f>$K$149*$Y$149</f>
        <v>0</v>
      </c>
      <c r="AF149" s="6">
        <f ca="1">$M$149*$Z$149</f>
        <v>75075.524446721931</v>
      </c>
      <c r="AG149" s="6">
        <f ca="1">$O$149*$AA$149</f>
        <v>164328.06449110602</v>
      </c>
    </row>
    <row r="150" spans="1:33" ht="11.25" customHeight="1" x14ac:dyDescent="0.25">
      <c r="A150" s="4" t="s">
        <v>21</v>
      </c>
      <c r="B150" s="4" t="s">
        <v>38</v>
      </c>
      <c r="C150" s="4" t="s">
        <v>40</v>
      </c>
      <c r="D150" s="4" t="s">
        <v>41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44501</v>
      </c>
      <c r="J150" s="6">
        <v>0</v>
      </c>
      <c r="K150" s="6">
        <v>0</v>
      </c>
      <c r="L150" s="6">
        <v>1103.527</v>
      </c>
      <c r="M150" s="6">
        <v>1103.527</v>
      </c>
      <c r="N150" s="6">
        <v>1103.527</v>
      </c>
      <c r="O150" s="6">
        <v>1103.527</v>
      </c>
      <c r="P150" s="6">
        <v>0</v>
      </c>
      <c r="Q150" s="4" t="s">
        <v>26</v>
      </c>
      <c r="R150" s="4">
        <v>0</v>
      </c>
      <c r="S150" s="6">
        <v>0</v>
      </c>
      <c r="T150" s="6">
        <v>14</v>
      </c>
      <c r="U150" s="6">
        <v>42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78.680000000000007</v>
      </c>
      <c r="X150" s="6">
        <f>IF(ISERROR(VLOOKUP($U$150,'TAR FIN'!$A$1:$O$86,15,0)),0,VLOOKUP($U$150,'TAR FIN'!$A$1:$O$86,15,0))</f>
        <v>246.3</v>
      </c>
      <c r="Y150" s="6"/>
      <c r="Z150" s="6">
        <f ca="1">('TUSD BE'!$AM$13+'TUSD BF_350'!$AM$13+'TUSD CVA'!$AM$13)*1</f>
        <v>100.23755694003805</v>
      </c>
      <c r="AA150" s="6">
        <f ca="1">('TE BE'!$AB$6+'TE BF_350'!$AB$6+'TE CVA'!$AB$6)*1</f>
        <v>219.40364509824883</v>
      </c>
      <c r="AB150" s="6">
        <f>$K$150*$V$150</f>
        <v>0</v>
      </c>
      <c r="AC150" s="6">
        <f>$M$150*$W$150</f>
        <v>86825.504360000006</v>
      </c>
      <c r="AD150" s="6">
        <f>$O$150*$X$150</f>
        <v>271798.70010000002</v>
      </c>
      <c r="AE150" s="6">
        <f>$K$150*$Y$150</f>
        <v>0</v>
      </c>
      <c r="AF150" s="6">
        <f ca="1">$M$150*$Z$150</f>
        <v>110614.85049736936</v>
      </c>
      <c r="AG150" s="6">
        <f ca="1">$O$150*$AA$150</f>
        <v>242117.84626433524</v>
      </c>
    </row>
    <row r="151" spans="1:33" ht="11.25" customHeight="1" x14ac:dyDescent="0.25">
      <c r="A151" s="4" t="s">
        <v>55</v>
      </c>
      <c r="B151" s="4" t="s">
        <v>38</v>
      </c>
      <c r="C151" s="4" t="s">
        <v>40</v>
      </c>
      <c r="D151" s="4" t="s">
        <v>41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44501</v>
      </c>
      <c r="J151" s="6">
        <v>0</v>
      </c>
      <c r="K151" s="6">
        <v>0</v>
      </c>
      <c r="L151" s="6">
        <v>22.718</v>
      </c>
      <c r="M151" s="6">
        <v>22.718</v>
      </c>
      <c r="N151" s="6">
        <v>22.718</v>
      </c>
      <c r="O151" s="6">
        <v>22.718</v>
      </c>
      <c r="P151" s="6">
        <v>0</v>
      </c>
      <c r="Q151" s="4" t="s">
        <v>26</v>
      </c>
      <c r="R151" s="4">
        <v>0</v>
      </c>
      <c r="S151" s="6">
        <v>0</v>
      </c>
      <c r="T151" s="6">
        <v>14</v>
      </c>
      <c r="U151" s="6">
        <v>42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78.680000000000007</v>
      </c>
      <c r="X151" s="6">
        <f>IF(ISERROR(VLOOKUP($U$151,'TAR FIN'!$A$1:$O$86,15,0)),0,VLOOKUP($U$151,'TAR FIN'!$A$1:$O$86,15,0))</f>
        <v>246.3</v>
      </c>
      <c r="Y151" s="6"/>
      <c r="Z151" s="6">
        <f ca="1">('TUSD BE'!$AM$13+'TUSD BF_350'!$AM$13+'TUSD CVA'!$AM$13)*1</f>
        <v>100.23755694003805</v>
      </c>
      <c r="AA151" s="6">
        <f ca="1">('TE BE'!$AB$6+'TE BF_350'!$AB$6+'TE CVA'!$AB$6)*1</f>
        <v>219.40364509824883</v>
      </c>
      <c r="AB151" s="6">
        <f>$K$151*$V$151</f>
        <v>0</v>
      </c>
      <c r="AC151" s="6">
        <f>$M$151*$W$151</f>
        <v>1787.4522400000001</v>
      </c>
      <c r="AD151" s="6">
        <f>$O$151*$X$151</f>
        <v>5595.4434000000001</v>
      </c>
      <c r="AE151" s="6">
        <f>$K$151*$Y$151</f>
        <v>0</v>
      </c>
      <c r="AF151" s="6">
        <f ca="1">$M$151*$Z$151</f>
        <v>2277.1968185637843</v>
      </c>
      <c r="AG151" s="6">
        <f ca="1">$O$151*$AA$151</f>
        <v>4984.412009342017</v>
      </c>
    </row>
    <row r="152" spans="1:33" ht="11.25" customHeight="1" x14ac:dyDescent="0.25">
      <c r="A152" s="4" t="s">
        <v>21</v>
      </c>
      <c r="B152" s="4" t="s">
        <v>38</v>
      </c>
      <c r="C152" s="4" t="s">
        <v>40</v>
      </c>
      <c r="D152" s="4" t="s">
        <v>41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44531</v>
      </c>
      <c r="J152" s="6">
        <v>0</v>
      </c>
      <c r="K152" s="6">
        <v>0</v>
      </c>
      <c r="L152" s="6">
        <v>916.07899999999995</v>
      </c>
      <c r="M152" s="6">
        <v>916.07899999999995</v>
      </c>
      <c r="N152" s="6">
        <v>916.07899999999995</v>
      </c>
      <c r="O152" s="6">
        <v>916.07899999999995</v>
      </c>
      <c r="P152" s="6">
        <v>0</v>
      </c>
      <c r="Q152" s="4" t="s">
        <v>26</v>
      </c>
      <c r="R152" s="4">
        <v>0</v>
      </c>
      <c r="S152" s="6">
        <v>0</v>
      </c>
      <c r="T152" s="6">
        <v>14</v>
      </c>
      <c r="U152" s="6">
        <v>42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78.680000000000007</v>
      </c>
      <c r="X152" s="6">
        <f>IF(ISERROR(VLOOKUP($U$152,'TAR FIN'!$A$1:$O$86,15,0)),0,VLOOKUP($U$152,'TAR FIN'!$A$1:$O$86,15,0))</f>
        <v>246.3</v>
      </c>
      <c r="Y152" s="6"/>
      <c r="Z152" s="6">
        <f ca="1">('TUSD BE'!$AM$13+'TUSD BF_350'!$AM$13+'TUSD CVA'!$AM$13)*1</f>
        <v>100.23755694003805</v>
      </c>
      <c r="AA152" s="6">
        <f ca="1">('TE BE'!$AB$6+'TE BF_350'!$AB$6+'TE CVA'!$AB$6)*1</f>
        <v>219.40364509824883</v>
      </c>
      <c r="AB152" s="6">
        <f>$K$152*$V$152</f>
        <v>0</v>
      </c>
      <c r="AC152" s="6">
        <f>$M$152*$W$152</f>
        <v>72077.095719999998</v>
      </c>
      <c r="AD152" s="6">
        <f>$O$152*$X$152</f>
        <v>225630.25769999999</v>
      </c>
      <c r="AE152" s="6">
        <f>$K$152*$Y$152</f>
        <v>0</v>
      </c>
      <c r="AF152" s="6">
        <f ca="1">$M$152*$Z$152</f>
        <v>91825.520924073106</v>
      </c>
      <c r="AG152" s="6">
        <f ca="1">$O$152*$AA$152</f>
        <v>200991.07179795869</v>
      </c>
    </row>
    <row r="153" spans="1:33" ht="11.25" customHeight="1" x14ac:dyDescent="0.25">
      <c r="A153" s="4" t="s">
        <v>21</v>
      </c>
      <c r="B153" s="4" t="s">
        <v>38</v>
      </c>
      <c r="C153" s="4" t="s">
        <v>40</v>
      </c>
      <c r="D153" s="4" t="s">
        <v>41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44562</v>
      </c>
      <c r="J153" s="6">
        <v>0</v>
      </c>
      <c r="K153" s="6">
        <v>0</v>
      </c>
      <c r="L153" s="6">
        <v>960.27</v>
      </c>
      <c r="M153" s="6">
        <v>960.27</v>
      </c>
      <c r="N153" s="6">
        <v>960.27</v>
      </c>
      <c r="O153" s="6">
        <v>960.27</v>
      </c>
      <c r="P153" s="6">
        <v>0</v>
      </c>
      <c r="Q153" s="4" t="s">
        <v>26</v>
      </c>
      <c r="R153" s="4">
        <v>0</v>
      </c>
      <c r="S153" s="6">
        <v>0</v>
      </c>
      <c r="T153" s="6">
        <v>14</v>
      </c>
      <c r="U153" s="6">
        <v>42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78.680000000000007</v>
      </c>
      <c r="X153" s="6">
        <f>IF(ISERROR(VLOOKUP($U$153,'TAR FIN'!$A$1:$O$86,15,0)),0,VLOOKUP($U$153,'TAR FIN'!$A$1:$O$86,15,0))</f>
        <v>246.3</v>
      </c>
      <c r="Y153" s="6"/>
      <c r="Z153" s="6">
        <f ca="1">('TUSD BE'!$AM$13+'TUSD BF_350'!$AM$13+'TUSD CVA'!$AM$13)*1</f>
        <v>100.23755694003805</v>
      </c>
      <c r="AA153" s="6">
        <f ca="1">('TE BE'!$AB$6+'TE BF_350'!$AB$6+'TE CVA'!$AB$6)*1</f>
        <v>219.40364509824883</v>
      </c>
      <c r="AB153" s="6">
        <f>$K$153*$V$153</f>
        <v>0</v>
      </c>
      <c r="AC153" s="6">
        <f>$M$153*$W$153</f>
        <v>75554.043600000005</v>
      </c>
      <c r="AD153" s="6">
        <f>$O$153*$X$153</f>
        <v>236514.50100000002</v>
      </c>
      <c r="AE153" s="6">
        <f>$K$153*$Y$153</f>
        <v>0</v>
      </c>
      <c r="AF153" s="6">
        <f ca="1">$M$153*$Z$153</f>
        <v>96255.118802810335</v>
      </c>
      <c r="AG153" s="6">
        <f ca="1">$O$153*$AA$153</f>
        <v>210686.73827849541</v>
      </c>
    </row>
    <row r="154" spans="1:33" ht="11.25" customHeight="1" x14ac:dyDescent="0.25">
      <c r="A154" s="4" t="s">
        <v>55</v>
      </c>
      <c r="B154" s="4" t="s">
        <v>38</v>
      </c>
      <c r="C154" s="4" t="s">
        <v>40</v>
      </c>
      <c r="D154" s="4" t="s">
        <v>41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44562</v>
      </c>
      <c r="J154" s="6">
        <v>0</v>
      </c>
      <c r="K154" s="6">
        <v>0</v>
      </c>
      <c r="L154" s="6">
        <v>1.3919999999999999</v>
      </c>
      <c r="M154" s="6">
        <v>1.3919999999999999</v>
      </c>
      <c r="N154" s="6">
        <v>1.3919999999999999</v>
      </c>
      <c r="O154" s="6">
        <v>1.3919999999999999</v>
      </c>
      <c r="P154" s="6">
        <v>0</v>
      </c>
      <c r="Q154" s="4" t="s">
        <v>26</v>
      </c>
      <c r="R154" s="4">
        <v>0</v>
      </c>
      <c r="S154" s="6">
        <v>0</v>
      </c>
      <c r="T154" s="6">
        <v>14</v>
      </c>
      <c r="U154" s="6">
        <v>42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78.680000000000007</v>
      </c>
      <c r="X154" s="6">
        <f>IF(ISERROR(VLOOKUP($U$154,'TAR FIN'!$A$1:$O$86,15,0)),0,VLOOKUP($U$154,'TAR FIN'!$A$1:$O$86,15,0))</f>
        <v>246.3</v>
      </c>
      <c r="Y154" s="6"/>
      <c r="Z154" s="6">
        <f ca="1">('TUSD BE'!$AM$13+'TUSD BF_350'!$AM$13+'TUSD CVA'!$AM$13)*1</f>
        <v>100.23755694003805</v>
      </c>
      <c r="AA154" s="6">
        <f ca="1">('TE BE'!$AB$6+'TE BF_350'!$AB$6+'TE CVA'!$AB$6)*1</f>
        <v>219.40364509824883</v>
      </c>
      <c r="AB154" s="6">
        <f>$K$154*$V$154</f>
        <v>0</v>
      </c>
      <c r="AC154" s="6">
        <f>$M$154*$W$154</f>
        <v>109.52256</v>
      </c>
      <c r="AD154" s="6">
        <f>$O$154*$X$154</f>
        <v>342.84960000000001</v>
      </c>
      <c r="AE154" s="6">
        <f>$K$154*$Y$154</f>
        <v>0</v>
      </c>
      <c r="AF154" s="6">
        <f ca="1">$M$154*$Z$154</f>
        <v>139.53067926053296</v>
      </c>
      <c r="AG154" s="6">
        <f ca="1">$O$154*$AA$154</f>
        <v>305.40987397676236</v>
      </c>
    </row>
    <row r="155" spans="1:33" ht="11.25" customHeight="1" x14ac:dyDescent="0.25">
      <c r="A155" s="4" t="s">
        <v>55</v>
      </c>
      <c r="B155" s="4" t="s">
        <v>38</v>
      </c>
      <c r="C155" s="4" t="s">
        <v>40</v>
      </c>
      <c r="D155" s="4" t="s">
        <v>41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44562</v>
      </c>
      <c r="J155" s="6">
        <v>0</v>
      </c>
      <c r="K155" s="6">
        <v>0</v>
      </c>
      <c r="L155" s="6">
        <v>10.99</v>
      </c>
      <c r="M155" s="6">
        <v>10.99</v>
      </c>
      <c r="N155" s="6">
        <v>10.99</v>
      </c>
      <c r="O155" s="6">
        <v>10.99</v>
      </c>
      <c r="P155" s="6">
        <v>0</v>
      </c>
      <c r="Q155" s="4" t="s">
        <v>26</v>
      </c>
      <c r="R155" s="4">
        <v>0</v>
      </c>
      <c r="S155" s="6">
        <v>0</v>
      </c>
      <c r="T155" s="6">
        <v>14</v>
      </c>
      <c r="U155" s="6">
        <v>42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78.680000000000007</v>
      </c>
      <c r="X155" s="6">
        <f>IF(ISERROR(VLOOKUP($U$155,'TAR FIN'!$A$1:$O$86,15,0)),0,VLOOKUP($U$155,'TAR FIN'!$A$1:$O$86,15,0))</f>
        <v>246.3</v>
      </c>
      <c r="Y155" s="6"/>
      <c r="Z155" s="6">
        <f ca="1">('TUSD BE'!$AM$13+'TUSD BF_350'!$AM$13+'TUSD CVA'!$AM$13)*1</f>
        <v>100.23755694003805</v>
      </c>
      <c r="AA155" s="6">
        <f ca="1">('TE BE'!$AB$6+'TE BF_350'!$AB$6+'TE CVA'!$AB$6)*1</f>
        <v>219.40364509824883</v>
      </c>
      <c r="AB155" s="6">
        <f>$K$155*$V$155</f>
        <v>0</v>
      </c>
      <c r="AC155" s="6">
        <f>$M$155*$W$155</f>
        <v>864.69320000000005</v>
      </c>
      <c r="AD155" s="6">
        <f>$O$155*$X$155</f>
        <v>2706.837</v>
      </c>
      <c r="AE155" s="6">
        <f>$K$155*$Y$155</f>
        <v>0</v>
      </c>
      <c r="AF155" s="6">
        <f ca="1">$M$155*$Z$155</f>
        <v>1101.610750771018</v>
      </c>
      <c r="AG155" s="6">
        <f ca="1">$O$155*$AA$155</f>
        <v>2411.2460596297547</v>
      </c>
    </row>
    <row r="156" spans="1:33" ht="11.25" customHeight="1" x14ac:dyDescent="0.25">
      <c r="A156" s="4" t="s">
        <v>21</v>
      </c>
      <c r="B156" s="4" t="s">
        <v>38</v>
      </c>
      <c r="C156" s="4" t="s">
        <v>40</v>
      </c>
      <c r="D156" s="4" t="s">
        <v>41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44593</v>
      </c>
      <c r="J156" s="6">
        <v>0</v>
      </c>
      <c r="K156" s="6">
        <v>0</v>
      </c>
      <c r="L156" s="6">
        <v>860.49400000000003</v>
      </c>
      <c r="M156" s="6">
        <v>860.49400000000003</v>
      </c>
      <c r="N156" s="6">
        <v>860.49400000000003</v>
      </c>
      <c r="O156" s="6">
        <v>860.49400000000003</v>
      </c>
      <c r="P156" s="6">
        <v>0</v>
      </c>
      <c r="Q156" s="4" t="s">
        <v>26</v>
      </c>
      <c r="R156" s="4">
        <v>0</v>
      </c>
      <c r="S156" s="6">
        <v>0</v>
      </c>
      <c r="T156" s="6">
        <v>14</v>
      </c>
      <c r="U156" s="6">
        <v>42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78.680000000000007</v>
      </c>
      <c r="X156" s="6">
        <f>IF(ISERROR(VLOOKUP($U$156,'TAR FIN'!$A$1:$O$86,15,0)),0,VLOOKUP($U$156,'TAR FIN'!$A$1:$O$86,15,0))</f>
        <v>246.3</v>
      </c>
      <c r="Y156" s="6"/>
      <c r="Z156" s="6">
        <f ca="1">('TUSD BE'!$AM$13+'TUSD BF_350'!$AM$13+'TUSD CVA'!$AM$13)*1</f>
        <v>100.23755694003805</v>
      </c>
      <c r="AA156" s="6">
        <f ca="1">('TE BE'!$AB$6+'TE BF_350'!$AB$6+'TE CVA'!$AB$6)*1</f>
        <v>219.40364509824883</v>
      </c>
      <c r="AB156" s="6">
        <f>$K$156*$V$156</f>
        <v>0</v>
      </c>
      <c r="AC156" s="6">
        <f>$M$156*$W$156</f>
        <v>67703.667920000007</v>
      </c>
      <c r="AD156" s="6">
        <f>$O$156*$X$156</f>
        <v>211939.67220000003</v>
      </c>
      <c r="AE156" s="6">
        <f>$K$156*$Y$156</f>
        <v>0</v>
      </c>
      <c r="AF156" s="6">
        <f ca="1">$M$156*$Z$156</f>
        <v>86253.816321561098</v>
      </c>
      <c r="AG156" s="6">
        <f ca="1">$O$156*$AA$156</f>
        <v>188795.52018517253</v>
      </c>
    </row>
    <row r="157" spans="1:33" ht="11.25" customHeight="1" x14ac:dyDescent="0.25">
      <c r="A157" s="4" t="s">
        <v>55</v>
      </c>
      <c r="B157" s="4" t="s">
        <v>38</v>
      </c>
      <c r="C157" s="4" t="s">
        <v>40</v>
      </c>
      <c r="D157" s="4" t="s">
        <v>41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44593</v>
      </c>
      <c r="J157" s="6">
        <v>0</v>
      </c>
      <c r="K157" s="6">
        <v>0</v>
      </c>
      <c r="L157" s="6">
        <v>34.200000000000003</v>
      </c>
      <c r="M157" s="6">
        <v>34.200000000000003</v>
      </c>
      <c r="N157" s="6">
        <v>34.200000000000003</v>
      </c>
      <c r="O157" s="6">
        <v>34.200000000000003</v>
      </c>
      <c r="P157" s="6">
        <v>0</v>
      </c>
      <c r="Q157" s="4" t="s">
        <v>26</v>
      </c>
      <c r="R157" s="4">
        <v>0</v>
      </c>
      <c r="S157" s="6">
        <v>0</v>
      </c>
      <c r="T157" s="6">
        <v>14</v>
      </c>
      <c r="U157" s="6">
        <v>42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78.680000000000007</v>
      </c>
      <c r="X157" s="6">
        <f>IF(ISERROR(VLOOKUP($U$157,'TAR FIN'!$A$1:$O$86,15,0)),0,VLOOKUP($U$157,'TAR FIN'!$A$1:$O$86,15,0))</f>
        <v>246.3</v>
      </c>
      <c r="Y157" s="6"/>
      <c r="Z157" s="6">
        <f ca="1">('TUSD BE'!$AM$13+'TUSD BF_350'!$AM$13+'TUSD CVA'!$AM$13)*1</f>
        <v>100.23755694003805</v>
      </c>
      <c r="AA157" s="6">
        <f ca="1">('TE BE'!$AB$6+'TE BF_350'!$AB$6+'TE CVA'!$AB$6)*1</f>
        <v>219.40364509824883</v>
      </c>
      <c r="AB157" s="6">
        <f>$K$157*$V$157</f>
        <v>0</v>
      </c>
      <c r="AC157" s="6">
        <f>$M$157*$W$157</f>
        <v>2690.8560000000007</v>
      </c>
      <c r="AD157" s="6">
        <f>$O$157*$X$157</f>
        <v>8423.4600000000009</v>
      </c>
      <c r="AE157" s="6">
        <f>$K$157*$Y$157</f>
        <v>0</v>
      </c>
      <c r="AF157" s="6">
        <f ca="1">$M$157*$Z$157</f>
        <v>3428.1244473493016</v>
      </c>
      <c r="AG157" s="6">
        <f ca="1">$O$157*$AA$157</f>
        <v>7503.6046623601105</v>
      </c>
    </row>
    <row r="158" spans="1:33" ht="11.25" customHeight="1" x14ac:dyDescent="0.25">
      <c r="A158" s="4" t="s">
        <v>21</v>
      </c>
      <c r="B158" s="4" t="s">
        <v>38</v>
      </c>
      <c r="C158" s="4" t="s">
        <v>40</v>
      </c>
      <c r="D158" s="4" t="s">
        <v>41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44621</v>
      </c>
      <c r="J158" s="6">
        <v>0</v>
      </c>
      <c r="K158" s="6">
        <v>0</v>
      </c>
      <c r="L158" s="6">
        <v>916.50900000000001</v>
      </c>
      <c r="M158" s="6">
        <v>916.50900000000001</v>
      </c>
      <c r="N158" s="6">
        <v>916.50900000000001</v>
      </c>
      <c r="O158" s="6">
        <v>916.50900000000001</v>
      </c>
      <c r="P158" s="6">
        <v>0</v>
      </c>
      <c r="Q158" s="4" t="s">
        <v>26</v>
      </c>
      <c r="R158" s="4">
        <v>0</v>
      </c>
      <c r="S158" s="6">
        <v>0</v>
      </c>
      <c r="T158" s="6">
        <v>14</v>
      </c>
      <c r="U158" s="6">
        <v>42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78.680000000000007</v>
      </c>
      <c r="X158" s="6">
        <f>IF(ISERROR(VLOOKUP($U$158,'TAR FIN'!$A$1:$O$86,15,0)),0,VLOOKUP($U$158,'TAR FIN'!$A$1:$O$86,15,0))</f>
        <v>246.3</v>
      </c>
      <c r="Y158" s="6"/>
      <c r="Z158" s="6">
        <f ca="1">('TUSD BE'!$AM$13+'TUSD BF_350'!$AM$13+'TUSD CVA'!$AM$13)*1</f>
        <v>100.23755694003805</v>
      </c>
      <c r="AA158" s="6">
        <f ca="1">('TE BE'!$AB$6+'TE BF_350'!$AB$6+'TE CVA'!$AB$6)*1</f>
        <v>219.40364509824883</v>
      </c>
      <c r="AB158" s="6">
        <f>$K$158*$V$158</f>
        <v>0</v>
      </c>
      <c r="AC158" s="6">
        <f>$M$158*$W$158</f>
        <v>72110.928120000011</v>
      </c>
      <c r="AD158" s="6">
        <f>$O$158*$X$158</f>
        <v>225736.1667</v>
      </c>
      <c r="AE158" s="6">
        <f>$K$158*$Y$158</f>
        <v>0</v>
      </c>
      <c r="AF158" s="6">
        <f ca="1">$M$158*$Z$158</f>
        <v>91868.623073557334</v>
      </c>
      <c r="AG158" s="6">
        <f ca="1">$O$158*$AA$158</f>
        <v>201085.41536535093</v>
      </c>
    </row>
    <row r="159" spans="1:33" ht="11.25" customHeight="1" x14ac:dyDescent="0.25">
      <c r="A159" s="4" t="s">
        <v>55</v>
      </c>
      <c r="B159" s="4" t="s">
        <v>38</v>
      </c>
      <c r="C159" s="4" t="s">
        <v>40</v>
      </c>
      <c r="D159" s="4" t="s">
        <v>41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44621</v>
      </c>
      <c r="J159" s="6">
        <v>0</v>
      </c>
      <c r="K159" s="6">
        <v>0</v>
      </c>
      <c r="L159" s="6">
        <v>34.744999999999997</v>
      </c>
      <c r="M159" s="6">
        <v>34.744999999999997</v>
      </c>
      <c r="N159" s="6">
        <v>34.744999999999997</v>
      </c>
      <c r="O159" s="6">
        <v>34.744999999999997</v>
      </c>
      <c r="P159" s="6">
        <v>0</v>
      </c>
      <c r="Q159" s="4" t="s">
        <v>26</v>
      </c>
      <c r="R159" s="4">
        <v>0</v>
      </c>
      <c r="S159" s="6">
        <v>0</v>
      </c>
      <c r="T159" s="6">
        <v>14</v>
      </c>
      <c r="U159" s="6">
        <v>42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78.680000000000007</v>
      </c>
      <c r="X159" s="6">
        <f>IF(ISERROR(VLOOKUP($U$159,'TAR FIN'!$A$1:$O$86,15,0)),0,VLOOKUP($U$159,'TAR FIN'!$A$1:$O$86,15,0))</f>
        <v>246.3</v>
      </c>
      <c r="Y159" s="6"/>
      <c r="Z159" s="6">
        <f ca="1">('TUSD BE'!$AM$13+'TUSD BF_350'!$AM$13+'TUSD CVA'!$AM$13)*1</f>
        <v>100.23755694003805</v>
      </c>
      <c r="AA159" s="6">
        <f ca="1">('TE BE'!$AB$6+'TE BF_350'!$AB$6+'TE CVA'!$AB$6)*1</f>
        <v>219.40364509824883</v>
      </c>
      <c r="AB159" s="6">
        <f>$K$159*$V$159</f>
        <v>0</v>
      </c>
      <c r="AC159" s="6">
        <f>$M$159*$W$159</f>
        <v>2733.7366000000002</v>
      </c>
      <c r="AD159" s="6">
        <f>$O$159*$X$159</f>
        <v>8557.6934999999994</v>
      </c>
      <c r="AE159" s="6">
        <f>$K$159*$Y$159</f>
        <v>0</v>
      </c>
      <c r="AF159" s="6">
        <f ca="1">$M$159*$Z$159</f>
        <v>3482.7539158816217</v>
      </c>
      <c r="AG159" s="6">
        <f ca="1">$O$159*$AA$159</f>
        <v>7623.1796489386552</v>
      </c>
    </row>
    <row r="160" spans="1:33" ht="11.25" customHeight="1" x14ac:dyDescent="0.25">
      <c r="A160" s="4" t="s">
        <v>21</v>
      </c>
      <c r="B160" s="4" t="s">
        <v>38</v>
      </c>
      <c r="C160" s="4" t="s">
        <v>40</v>
      </c>
      <c r="D160" s="4" t="s">
        <v>41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44652</v>
      </c>
      <c r="J160" s="6">
        <v>0</v>
      </c>
      <c r="K160" s="6">
        <v>0</v>
      </c>
      <c r="L160" s="6">
        <v>1019.015</v>
      </c>
      <c r="M160" s="6">
        <v>1019.015</v>
      </c>
      <c r="N160" s="6">
        <v>1019.015</v>
      </c>
      <c r="O160" s="6">
        <v>1019.015</v>
      </c>
      <c r="P160" s="6">
        <v>0</v>
      </c>
      <c r="Q160" s="4" t="s">
        <v>26</v>
      </c>
      <c r="R160" s="4">
        <v>0</v>
      </c>
      <c r="S160" s="6">
        <v>0</v>
      </c>
      <c r="T160" s="6">
        <v>14</v>
      </c>
      <c r="U160" s="6">
        <v>42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78.680000000000007</v>
      </c>
      <c r="X160" s="6">
        <f>IF(ISERROR(VLOOKUP($U$160,'TAR FIN'!$A$1:$O$86,15,0)),0,VLOOKUP($U$160,'TAR FIN'!$A$1:$O$86,15,0))</f>
        <v>246.3</v>
      </c>
      <c r="Y160" s="6"/>
      <c r="Z160" s="6">
        <f ca="1">('TUSD BE'!$AM$13+'TUSD BF_350'!$AM$13+'TUSD CVA'!$AM$13)*1</f>
        <v>100.23755694003805</v>
      </c>
      <c r="AA160" s="6">
        <f ca="1">('TE BE'!$AB$6+'TE BF_350'!$AB$6+'TE CVA'!$AB$6)*1</f>
        <v>219.40364509824883</v>
      </c>
      <c r="AB160" s="6">
        <f>$K$160*$V$160</f>
        <v>0</v>
      </c>
      <c r="AC160" s="6">
        <f>$M$160*$W$160</f>
        <v>80176.100200000001</v>
      </c>
      <c r="AD160" s="6">
        <f>$O$160*$X$160</f>
        <v>250983.39449999999</v>
      </c>
      <c r="AE160" s="6">
        <f>$K$160*$Y$160</f>
        <v>0</v>
      </c>
      <c r="AF160" s="6">
        <f ca="1">$M$160*$Z$160</f>
        <v>102143.57408525287</v>
      </c>
      <c r="AG160" s="6">
        <f ca="1">$O$160*$AA$160</f>
        <v>223575.60540979204</v>
      </c>
    </row>
    <row r="161" spans="1:33" ht="11.25" customHeight="1" x14ac:dyDescent="0.25">
      <c r="A161" s="4" t="s">
        <v>55</v>
      </c>
      <c r="B161" s="4" t="s">
        <v>38</v>
      </c>
      <c r="C161" s="4" t="s">
        <v>40</v>
      </c>
      <c r="D161" s="4" t="s">
        <v>41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44652</v>
      </c>
      <c r="J161" s="6">
        <v>0</v>
      </c>
      <c r="K161" s="6">
        <v>0</v>
      </c>
      <c r="L161" s="6">
        <v>23.873999999999999</v>
      </c>
      <c r="M161" s="6">
        <v>23.873999999999999</v>
      </c>
      <c r="N161" s="6">
        <v>23.873999999999999</v>
      </c>
      <c r="O161" s="6">
        <v>23.873999999999999</v>
      </c>
      <c r="P161" s="6">
        <v>0</v>
      </c>
      <c r="Q161" s="4" t="s">
        <v>26</v>
      </c>
      <c r="R161" s="4">
        <v>0</v>
      </c>
      <c r="S161" s="6">
        <v>0</v>
      </c>
      <c r="T161" s="6">
        <v>14</v>
      </c>
      <c r="U161" s="6">
        <v>42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78.680000000000007</v>
      </c>
      <c r="X161" s="6">
        <f>IF(ISERROR(VLOOKUP($U$161,'TAR FIN'!$A$1:$O$86,15,0)),0,VLOOKUP($U$161,'TAR FIN'!$A$1:$O$86,15,0))</f>
        <v>246.3</v>
      </c>
      <c r="Y161" s="6"/>
      <c r="Z161" s="6">
        <f ca="1">('TUSD BE'!$AM$13+'TUSD BF_350'!$AM$13+'TUSD CVA'!$AM$13)*1</f>
        <v>100.23755694003805</v>
      </c>
      <c r="AA161" s="6">
        <f ca="1">('TE BE'!$AB$6+'TE BF_350'!$AB$6+'TE CVA'!$AB$6)*1</f>
        <v>219.40364509824883</v>
      </c>
      <c r="AB161" s="6">
        <f>$K$161*$V$161</f>
        <v>0</v>
      </c>
      <c r="AC161" s="6">
        <f>$M$161*$W$161</f>
        <v>1878.4063200000001</v>
      </c>
      <c r="AD161" s="6">
        <f>$O$161*$X$161</f>
        <v>5880.1661999999997</v>
      </c>
      <c r="AE161" s="6">
        <f>$K$161*$Y$161</f>
        <v>0</v>
      </c>
      <c r="AF161" s="6">
        <f ca="1">$M$161*$Z$161</f>
        <v>2393.0714343864684</v>
      </c>
      <c r="AG161" s="6">
        <f ca="1">$O$161*$AA$161</f>
        <v>5238.042623075592</v>
      </c>
    </row>
    <row r="162" spans="1:33" ht="11.25" customHeight="1" x14ac:dyDescent="0.25">
      <c r="A162" s="4" t="s">
        <v>21</v>
      </c>
      <c r="B162" s="4" t="s">
        <v>38</v>
      </c>
      <c r="C162" s="4" t="s">
        <v>40</v>
      </c>
      <c r="D162" s="4" t="s">
        <v>41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44682</v>
      </c>
      <c r="J162" s="6">
        <v>0</v>
      </c>
      <c r="K162" s="6">
        <v>0</v>
      </c>
      <c r="L162" s="6">
        <v>920.80799999999999</v>
      </c>
      <c r="M162" s="6">
        <v>920.80799999999999</v>
      </c>
      <c r="N162" s="6">
        <v>920.80799999999999</v>
      </c>
      <c r="O162" s="6">
        <v>920.80799999999999</v>
      </c>
      <c r="P162" s="6">
        <v>0</v>
      </c>
      <c r="Q162" s="4" t="s">
        <v>26</v>
      </c>
      <c r="R162" s="4">
        <v>0</v>
      </c>
      <c r="S162" s="6">
        <v>0</v>
      </c>
      <c r="T162" s="6">
        <v>14</v>
      </c>
      <c r="U162" s="6">
        <v>42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78.680000000000007</v>
      </c>
      <c r="X162" s="6">
        <f>IF(ISERROR(VLOOKUP($U$162,'TAR FIN'!$A$1:$O$86,15,0)),0,VLOOKUP($U$162,'TAR FIN'!$A$1:$O$86,15,0))</f>
        <v>246.3</v>
      </c>
      <c r="Y162" s="6"/>
      <c r="Z162" s="6">
        <f ca="1">('TUSD BE'!$AM$13+'TUSD BF_350'!$AM$13+'TUSD CVA'!$AM$13)*1</f>
        <v>100.23755694003805</v>
      </c>
      <c r="AA162" s="6">
        <f ca="1">('TE BE'!$AB$6+'TE BF_350'!$AB$6+'TE CVA'!$AB$6)*1</f>
        <v>219.40364509824883</v>
      </c>
      <c r="AB162" s="6">
        <f>$K$162*$V$162</f>
        <v>0</v>
      </c>
      <c r="AC162" s="6">
        <f>$M$162*$W$162</f>
        <v>72449.173439999999</v>
      </c>
      <c r="AD162" s="6">
        <f>$O$162*$X$162</f>
        <v>226795.0104</v>
      </c>
      <c r="AE162" s="6">
        <f>$K$162*$Y$162</f>
        <v>0</v>
      </c>
      <c r="AF162" s="6">
        <f ca="1">$M$162*$Z$162</f>
        <v>92299.54433084256</v>
      </c>
      <c r="AG162" s="6">
        <f ca="1">$O$162*$AA$162</f>
        <v>202028.63163562832</v>
      </c>
    </row>
    <row r="163" spans="1:33" ht="11.25" customHeight="1" x14ac:dyDescent="0.25">
      <c r="A163" s="4" t="s">
        <v>55</v>
      </c>
      <c r="B163" s="4" t="s">
        <v>38</v>
      </c>
      <c r="C163" s="4" t="s">
        <v>40</v>
      </c>
      <c r="D163" s="4" t="s">
        <v>41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44682</v>
      </c>
      <c r="J163" s="6">
        <v>0</v>
      </c>
      <c r="K163" s="6">
        <v>0</v>
      </c>
      <c r="L163" s="6">
        <v>5.8579999999999997</v>
      </c>
      <c r="M163" s="6">
        <v>5.8579999999999997</v>
      </c>
      <c r="N163" s="6">
        <v>5.8579999999999997</v>
      </c>
      <c r="O163" s="6">
        <v>5.8579999999999997</v>
      </c>
      <c r="P163" s="6">
        <v>0</v>
      </c>
      <c r="Q163" s="4" t="s">
        <v>26</v>
      </c>
      <c r="R163" s="4">
        <v>0</v>
      </c>
      <c r="S163" s="6">
        <v>0</v>
      </c>
      <c r="T163" s="6">
        <v>14</v>
      </c>
      <c r="U163" s="6">
        <v>42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78.680000000000007</v>
      </c>
      <c r="X163" s="6">
        <f>IF(ISERROR(VLOOKUP($U$163,'TAR FIN'!$A$1:$O$86,15,0)),0,VLOOKUP($U$163,'TAR FIN'!$A$1:$O$86,15,0))</f>
        <v>246.3</v>
      </c>
      <c r="Y163" s="6"/>
      <c r="Z163" s="6">
        <f ca="1">('TUSD BE'!$AM$13+'TUSD BF_350'!$AM$13+'TUSD CVA'!$AM$13)*1</f>
        <v>100.23755694003805</v>
      </c>
      <c r="AA163" s="6">
        <f ca="1">('TE BE'!$AB$6+'TE BF_350'!$AB$6+'TE CVA'!$AB$6)*1</f>
        <v>219.40364509824883</v>
      </c>
      <c r="AB163" s="6">
        <f>$K$163*$V$163</f>
        <v>0</v>
      </c>
      <c r="AC163" s="6">
        <f>$M$163*$W$163</f>
        <v>460.90744000000001</v>
      </c>
      <c r="AD163" s="6">
        <f>$O$163*$X$163</f>
        <v>1442.8253999999999</v>
      </c>
      <c r="AE163" s="6">
        <f>$K$163*$Y$163</f>
        <v>0</v>
      </c>
      <c r="AF163" s="6">
        <f ca="1">$M$163*$Z$163</f>
        <v>587.19160855474286</v>
      </c>
      <c r="AG163" s="6">
        <f ca="1">$O$163*$AA$163</f>
        <v>1285.2665529855415</v>
      </c>
    </row>
    <row r="164" spans="1:33" ht="11.25" customHeight="1" x14ac:dyDescent="0.25">
      <c r="A164" s="4" t="s">
        <v>56</v>
      </c>
      <c r="B164" s="4" t="s">
        <v>38</v>
      </c>
      <c r="C164" s="4" t="s">
        <v>40</v>
      </c>
      <c r="D164" s="4" t="s">
        <v>41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44713</v>
      </c>
      <c r="J164" s="6">
        <v>0</v>
      </c>
      <c r="K164" s="6">
        <v>0</v>
      </c>
      <c r="L164" s="6">
        <v>920.80799999999999</v>
      </c>
      <c r="M164" s="6">
        <v>920.80799999999999</v>
      </c>
      <c r="N164" s="6">
        <v>920.80799999999999</v>
      </c>
      <c r="O164" s="6">
        <v>920.80799999999999</v>
      </c>
      <c r="P164" s="6">
        <v>0</v>
      </c>
      <c r="Q164" s="4" t="s">
        <v>26</v>
      </c>
      <c r="R164" s="4">
        <v>0</v>
      </c>
      <c r="S164" s="6">
        <v>0</v>
      </c>
      <c r="T164" s="6">
        <v>14</v>
      </c>
      <c r="U164" s="6">
        <v>42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78.680000000000007</v>
      </c>
      <c r="X164" s="6">
        <f>IF(ISERROR(VLOOKUP($U$164,'TAR FIN'!$A$1:$O$86,15,0)),0,VLOOKUP($U$164,'TAR FIN'!$A$1:$O$86,15,0))</f>
        <v>246.3</v>
      </c>
      <c r="Y164" s="6"/>
      <c r="Z164" s="6">
        <f ca="1">('TUSD BE'!$AM$13+'TUSD BF_350'!$AM$13+'TUSD CVA'!$AM$13)*1</f>
        <v>100.23755694003805</v>
      </c>
      <c r="AA164" s="6">
        <f ca="1">('TE BE'!$AB$6+'TE BF_350'!$AB$6+'TE CVA'!$AB$6)*1</f>
        <v>219.40364509824883</v>
      </c>
      <c r="AB164" s="6">
        <f>$K$164*$V$164</f>
        <v>0</v>
      </c>
      <c r="AC164" s="6">
        <f>$M$164*$W$164</f>
        <v>72449.173439999999</v>
      </c>
      <c r="AD164" s="6">
        <f>$O$164*$X$164</f>
        <v>226795.0104</v>
      </c>
      <c r="AE164" s="6">
        <f>$K$164*$Y$164</f>
        <v>0</v>
      </c>
      <c r="AF164" s="6">
        <f ca="1">$M$164*$Z$164</f>
        <v>92299.54433084256</v>
      </c>
      <c r="AG164" s="6">
        <f ca="1">$O$164*$AA$164</f>
        <v>202028.63163562832</v>
      </c>
    </row>
    <row r="165" spans="1:33" ht="11.25" customHeight="1" x14ac:dyDescent="0.25">
      <c r="A165" s="4" t="s">
        <v>56</v>
      </c>
      <c r="B165" s="4" t="s">
        <v>38</v>
      </c>
      <c r="C165" s="4" t="s">
        <v>40</v>
      </c>
      <c r="D165" s="4" t="s">
        <v>41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44713</v>
      </c>
      <c r="J165" s="6">
        <v>0</v>
      </c>
      <c r="K165" s="6">
        <v>0</v>
      </c>
      <c r="L165" s="6">
        <v>5.8579999999999997</v>
      </c>
      <c r="M165" s="6">
        <v>5.8579999999999997</v>
      </c>
      <c r="N165" s="6">
        <v>5.8579999999999997</v>
      </c>
      <c r="O165" s="6">
        <v>5.8579999999999997</v>
      </c>
      <c r="P165" s="6">
        <v>0</v>
      </c>
      <c r="Q165" s="4" t="s">
        <v>26</v>
      </c>
      <c r="R165" s="4">
        <v>0</v>
      </c>
      <c r="S165" s="6">
        <v>0</v>
      </c>
      <c r="T165" s="6">
        <v>14</v>
      </c>
      <c r="U165" s="6">
        <v>42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78.680000000000007</v>
      </c>
      <c r="X165" s="6">
        <f>IF(ISERROR(VLOOKUP($U$165,'TAR FIN'!$A$1:$O$86,15,0)),0,VLOOKUP($U$165,'TAR FIN'!$A$1:$O$86,15,0))</f>
        <v>246.3</v>
      </c>
      <c r="Y165" s="6"/>
      <c r="Z165" s="6">
        <f ca="1">('TUSD BE'!$AM$13+'TUSD BF_350'!$AM$13+'TUSD CVA'!$AM$13)*1</f>
        <v>100.23755694003805</v>
      </c>
      <c r="AA165" s="6">
        <f ca="1">('TE BE'!$AB$6+'TE BF_350'!$AB$6+'TE CVA'!$AB$6)*1</f>
        <v>219.40364509824883</v>
      </c>
      <c r="AB165" s="6">
        <f>$K$165*$V$165</f>
        <v>0</v>
      </c>
      <c r="AC165" s="6">
        <f>$M$165*$W$165</f>
        <v>460.90744000000001</v>
      </c>
      <c r="AD165" s="6">
        <f>$O$165*$X$165</f>
        <v>1442.8253999999999</v>
      </c>
      <c r="AE165" s="6">
        <f>$K$165*$Y$165</f>
        <v>0</v>
      </c>
      <c r="AF165" s="6">
        <f ca="1">$M$165*$Z$165</f>
        <v>587.19160855474286</v>
      </c>
      <c r="AG165" s="6">
        <f ca="1">$O$165*$AA$165</f>
        <v>1285.2665529855415</v>
      </c>
    </row>
    <row r="166" spans="1:33" ht="11.25" customHeight="1" x14ac:dyDescent="0.25">
      <c r="A166" s="4" t="s">
        <v>21</v>
      </c>
      <c r="B166" s="4" t="s">
        <v>38</v>
      </c>
      <c r="C166" s="4" t="s">
        <v>40</v>
      </c>
      <c r="D166" s="4" t="s">
        <v>41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44378</v>
      </c>
      <c r="J166" s="6">
        <v>6871</v>
      </c>
      <c r="K166" s="6">
        <v>6871</v>
      </c>
      <c r="L166" s="6">
        <v>0</v>
      </c>
      <c r="M166" s="6">
        <v>0</v>
      </c>
      <c r="N166" s="6">
        <v>0</v>
      </c>
      <c r="O166" s="6">
        <v>0</v>
      </c>
      <c r="P166" s="6">
        <v>64</v>
      </c>
      <c r="Q166" s="4" t="s">
        <v>26</v>
      </c>
      <c r="R166" s="4">
        <v>0</v>
      </c>
      <c r="S166" s="6">
        <v>18</v>
      </c>
      <c r="T166" s="6">
        <v>0</v>
      </c>
      <c r="U166" s="6">
        <v>0</v>
      </c>
      <c r="V166" s="6">
        <f>IF(ISERROR(VLOOKUP($S$166,'TAR FIN'!$A$1:$O$86,15,0)),0,VLOOKUP($S$166,'TAR FIN'!$A$1:$O$86,15,0))</f>
        <v>19.239999999999998</v>
      </c>
      <c r="W166" s="6">
        <f>IF(ISERROR(VLOOKUP($T$166,'TAR FIN'!$A$1:$O$86,15,0)),0,VLOOKUP($T$166,'TAR FIN'!$A$1:$O$86,15,0))</f>
        <v>0</v>
      </c>
      <c r="X166" s="6">
        <f>IF(ISERROR(VLOOKUP($U$166,'TAR FIN'!$A$1:$O$86,15,0)),0,VLOOKUP($U$166,'TAR FIN'!$A$1:$O$86,15,0))</f>
        <v>0</v>
      </c>
      <c r="Y166" s="6">
        <f ca="1">('TUSD BE'!$AM$11+'TUSD BF_350'!$AM$11+'TUSD CVA'!$AM$11)*1</f>
        <v>15.19295792072058</v>
      </c>
      <c r="Z166" s="6"/>
      <c r="AA166" s="6"/>
      <c r="AB166" s="6">
        <f>$K$166*$V$166</f>
        <v>132198.03999999998</v>
      </c>
      <c r="AC166" s="6">
        <f>$M$166*$W$166</f>
        <v>0</v>
      </c>
      <c r="AD166" s="6">
        <f>$O$166*$X$166</f>
        <v>0</v>
      </c>
      <c r="AE166" s="6">
        <f ca="1">$K$166*$Y$166</f>
        <v>104390.81387327111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38</v>
      </c>
      <c r="C167" s="4" t="s">
        <v>40</v>
      </c>
      <c r="D167" s="4" t="s">
        <v>41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44409</v>
      </c>
      <c r="J167" s="6">
        <v>6365</v>
      </c>
      <c r="K167" s="6">
        <v>6365</v>
      </c>
      <c r="L167" s="6">
        <v>0</v>
      </c>
      <c r="M167" s="6">
        <v>0</v>
      </c>
      <c r="N167" s="6">
        <v>0</v>
      </c>
      <c r="O167" s="6">
        <v>0</v>
      </c>
      <c r="P167" s="6">
        <v>64</v>
      </c>
      <c r="Q167" s="4" t="s">
        <v>26</v>
      </c>
      <c r="R167" s="4">
        <v>0</v>
      </c>
      <c r="S167" s="6">
        <v>18</v>
      </c>
      <c r="T167" s="6">
        <v>0</v>
      </c>
      <c r="U167" s="6">
        <v>0</v>
      </c>
      <c r="V167" s="6">
        <f>IF(ISERROR(VLOOKUP($S$167,'TAR FIN'!$A$1:$O$86,15,0)),0,VLOOKUP($S$167,'TAR FIN'!$A$1:$O$86,15,0))</f>
        <v>19.239999999999998</v>
      </c>
      <c r="W167" s="6">
        <f>IF(ISERROR(VLOOKUP($T$167,'TAR FIN'!$A$1:$O$86,15,0)),0,VLOOKUP($T$167,'TAR FIN'!$A$1:$O$86,15,0))</f>
        <v>0</v>
      </c>
      <c r="X167" s="6">
        <f>IF(ISERROR(VLOOKUP($U$167,'TAR FIN'!$A$1:$O$86,15,0)),0,VLOOKUP($U$167,'TAR FIN'!$A$1:$O$86,15,0))</f>
        <v>0</v>
      </c>
      <c r="Y167" s="6">
        <f ca="1">('TUSD BE'!$AM$11+'TUSD BF_350'!$AM$11+'TUSD CVA'!$AM$11)*1</f>
        <v>15.19295792072058</v>
      </c>
      <c r="Z167" s="6"/>
      <c r="AA167" s="6"/>
      <c r="AB167" s="6">
        <f>$K$167*$V$167</f>
        <v>122462.59999999999</v>
      </c>
      <c r="AC167" s="6">
        <f>$M$167*$W$167</f>
        <v>0</v>
      </c>
      <c r="AD167" s="6">
        <f>$O$167*$X$167</f>
        <v>0</v>
      </c>
      <c r="AE167" s="6">
        <f ca="1">$K$167*$Y$167</f>
        <v>96703.1771653865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38</v>
      </c>
      <c r="C168" s="4" t="s">
        <v>40</v>
      </c>
      <c r="D168" s="4" t="s">
        <v>41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44440</v>
      </c>
      <c r="J168" s="6">
        <v>6236</v>
      </c>
      <c r="K168" s="6">
        <v>6236</v>
      </c>
      <c r="L168" s="6">
        <v>0</v>
      </c>
      <c r="M168" s="6">
        <v>0</v>
      </c>
      <c r="N168" s="6">
        <v>0</v>
      </c>
      <c r="O168" s="6">
        <v>0</v>
      </c>
      <c r="P168" s="6">
        <v>64</v>
      </c>
      <c r="Q168" s="4" t="s">
        <v>26</v>
      </c>
      <c r="R168" s="4">
        <v>0</v>
      </c>
      <c r="S168" s="6">
        <v>18</v>
      </c>
      <c r="T168" s="6">
        <v>0</v>
      </c>
      <c r="U168" s="6">
        <v>0</v>
      </c>
      <c r="V168" s="6">
        <f>IF(ISERROR(VLOOKUP($S$168,'TAR FIN'!$A$1:$O$86,15,0)),0,VLOOKUP($S$168,'TAR FIN'!$A$1:$O$86,15,0))</f>
        <v>19.239999999999998</v>
      </c>
      <c r="W168" s="6">
        <f>IF(ISERROR(VLOOKUP($T$168,'TAR FIN'!$A$1:$O$86,15,0)),0,VLOOKUP($T$168,'TAR FIN'!$A$1:$O$86,15,0))</f>
        <v>0</v>
      </c>
      <c r="X168" s="6">
        <f>IF(ISERROR(VLOOKUP($U$168,'TAR FIN'!$A$1:$O$86,15,0)),0,VLOOKUP($U$168,'TAR FIN'!$A$1:$O$86,15,0))</f>
        <v>0</v>
      </c>
      <c r="Y168" s="6">
        <f ca="1">('TUSD BE'!$AM$11+'TUSD BF_350'!$AM$11+'TUSD CVA'!$AM$11)*1</f>
        <v>15.19295792072058</v>
      </c>
      <c r="Z168" s="6"/>
      <c r="AA168" s="6"/>
      <c r="AB168" s="6">
        <f>$K$168*$V$168</f>
        <v>119980.63999999998</v>
      </c>
      <c r="AC168" s="6">
        <f>$M$168*$W$168</f>
        <v>0</v>
      </c>
      <c r="AD168" s="6">
        <f>$O$168*$X$168</f>
        <v>0</v>
      </c>
      <c r="AE168" s="6">
        <f ca="1">$K$168*$Y$168</f>
        <v>94743.285593613546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38</v>
      </c>
      <c r="C169" s="4" t="s">
        <v>40</v>
      </c>
      <c r="D169" s="4" t="s">
        <v>41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44470</v>
      </c>
      <c r="J169" s="6">
        <v>6694</v>
      </c>
      <c r="K169" s="6">
        <v>6694</v>
      </c>
      <c r="L169" s="6">
        <v>0</v>
      </c>
      <c r="M169" s="6">
        <v>0</v>
      </c>
      <c r="N169" s="6">
        <v>0</v>
      </c>
      <c r="O169" s="6">
        <v>0</v>
      </c>
      <c r="P169" s="6">
        <v>63</v>
      </c>
      <c r="Q169" s="4" t="s">
        <v>26</v>
      </c>
      <c r="R169" s="4">
        <v>0</v>
      </c>
      <c r="S169" s="6">
        <v>18</v>
      </c>
      <c r="T169" s="6">
        <v>0</v>
      </c>
      <c r="U169" s="6">
        <v>0</v>
      </c>
      <c r="V169" s="6">
        <f>IF(ISERROR(VLOOKUP($S$169,'TAR FIN'!$A$1:$O$86,15,0)),0,VLOOKUP($S$169,'TAR FIN'!$A$1:$O$86,15,0))</f>
        <v>19.239999999999998</v>
      </c>
      <c r="W169" s="6">
        <f>IF(ISERROR(VLOOKUP($T$169,'TAR FIN'!$A$1:$O$86,15,0)),0,VLOOKUP($T$169,'TAR FIN'!$A$1:$O$86,15,0))</f>
        <v>0</v>
      </c>
      <c r="X169" s="6">
        <f>IF(ISERROR(VLOOKUP($U$169,'TAR FIN'!$A$1:$O$86,15,0)),0,VLOOKUP($U$169,'TAR FIN'!$A$1:$O$86,15,0))</f>
        <v>0</v>
      </c>
      <c r="Y169" s="6">
        <f ca="1">('TUSD BE'!$AM$11+'TUSD BF_350'!$AM$11+'TUSD CVA'!$AM$11)*1</f>
        <v>15.19295792072058</v>
      </c>
      <c r="Z169" s="6"/>
      <c r="AA169" s="6"/>
      <c r="AB169" s="6">
        <f>$K$169*$V$169</f>
        <v>128792.55999999998</v>
      </c>
      <c r="AC169" s="6">
        <f>$M$169*$W$169</f>
        <v>0</v>
      </c>
      <c r="AD169" s="6">
        <f>$O$169*$X$169</f>
        <v>0</v>
      </c>
      <c r="AE169" s="6">
        <f ca="1">$K$169*$Y$169</f>
        <v>101701.66032130357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38</v>
      </c>
      <c r="C170" s="4" t="s">
        <v>40</v>
      </c>
      <c r="D170" s="4" t="s">
        <v>41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44501</v>
      </c>
      <c r="J170" s="6">
        <v>7286</v>
      </c>
      <c r="K170" s="6">
        <v>7286</v>
      </c>
      <c r="L170" s="6">
        <v>0</v>
      </c>
      <c r="M170" s="6">
        <v>0</v>
      </c>
      <c r="N170" s="6">
        <v>0</v>
      </c>
      <c r="O170" s="6">
        <v>0</v>
      </c>
      <c r="P170" s="6">
        <v>63</v>
      </c>
      <c r="Q170" s="4" t="s">
        <v>26</v>
      </c>
      <c r="R170" s="4">
        <v>0</v>
      </c>
      <c r="S170" s="6">
        <v>18</v>
      </c>
      <c r="T170" s="6">
        <v>0</v>
      </c>
      <c r="U170" s="6">
        <v>0</v>
      </c>
      <c r="V170" s="6">
        <f>IF(ISERROR(VLOOKUP($S$170,'TAR FIN'!$A$1:$O$86,15,0)),0,VLOOKUP($S$170,'TAR FIN'!$A$1:$O$86,15,0))</f>
        <v>19.239999999999998</v>
      </c>
      <c r="W170" s="6">
        <f>IF(ISERROR(VLOOKUP($T$170,'TAR FIN'!$A$1:$O$86,15,0)),0,VLOOKUP($T$170,'TAR FIN'!$A$1:$O$86,15,0))</f>
        <v>0</v>
      </c>
      <c r="X170" s="6">
        <f>IF(ISERROR(VLOOKUP($U$170,'TAR FIN'!$A$1:$O$86,15,0)),0,VLOOKUP($U$170,'TAR FIN'!$A$1:$O$86,15,0))</f>
        <v>0</v>
      </c>
      <c r="Y170" s="6">
        <f ca="1">('TUSD BE'!$AM$11+'TUSD BF_350'!$AM$11+'TUSD CVA'!$AM$11)*1</f>
        <v>15.19295792072058</v>
      </c>
      <c r="Z170" s="6"/>
      <c r="AA170" s="6"/>
      <c r="AB170" s="6">
        <f>$K$170*$V$170</f>
        <v>140182.63999999998</v>
      </c>
      <c r="AC170" s="6">
        <f>$M$170*$W$170</f>
        <v>0</v>
      </c>
      <c r="AD170" s="6">
        <f>$O$170*$X$170</f>
        <v>0</v>
      </c>
      <c r="AE170" s="6">
        <f ca="1">$K$170*$Y$170</f>
        <v>110695.89141037015</v>
      </c>
      <c r="AF170" s="6">
        <f>$M$170*$Z$170</f>
        <v>0</v>
      </c>
      <c r="AG170" s="6">
        <f>$O$170*$AA$170</f>
        <v>0</v>
      </c>
    </row>
    <row r="171" spans="1:33" ht="11.25" customHeight="1" x14ac:dyDescent="0.25">
      <c r="A171" s="4" t="s">
        <v>55</v>
      </c>
      <c r="B171" s="4" t="s">
        <v>38</v>
      </c>
      <c r="C171" s="4" t="s">
        <v>40</v>
      </c>
      <c r="D171" s="4" t="s">
        <v>41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44501</v>
      </c>
      <c r="J171" s="6">
        <v>93</v>
      </c>
      <c r="K171" s="6">
        <v>93</v>
      </c>
      <c r="L171" s="6">
        <v>0</v>
      </c>
      <c r="M171" s="6">
        <v>0</v>
      </c>
      <c r="N171" s="6">
        <v>0</v>
      </c>
      <c r="O171" s="6">
        <v>0</v>
      </c>
      <c r="P171" s="6">
        <v>1</v>
      </c>
      <c r="Q171" s="4" t="s">
        <v>26</v>
      </c>
      <c r="R171" s="4">
        <v>0</v>
      </c>
      <c r="S171" s="6">
        <v>18</v>
      </c>
      <c r="T171" s="6">
        <v>0</v>
      </c>
      <c r="U171" s="6">
        <v>0</v>
      </c>
      <c r="V171" s="6">
        <f>IF(ISERROR(VLOOKUP($S$171,'TAR FIN'!$A$1:$O$86,15,0)),0,VLOOKUP($S$171,'TAR FIN'!$A$1:$O$86,15,0))</f>
        <v>19.239999999999998</v>
      </c>
      <c r="W171" s="6">
        <f>IF(ISERROR(VLOOKUP($T$171,'TAR FIN'!$A$1:$O$86,15,0)),0,VLOOKUP($T$171,'TAR FIN'!$A$1:$O$86,15,0))</f>
        <v>0</v>
      </c>
      <c r="X171" s="6">
        <f>IF(ISERROR(VLOOKUP($U$171,'TAR FIN'!$A$1:$O$86,15,0)),0,VLOOKUP($U$171,'TAR FIN'!$A$1:$O$86,15,0))</f>
        <v>0</v>
      </c>
      <c r="Y171" s="6">
        <f ca="1">('TUSD BE'!$AM$11+'TUSD BF_350'!$AM$11+'TUSD CVA'!$AM$11)*1</f>
        <v>15.19295792072058</v>
      </c>
      <c r="Z171" s="6"/>
      <c r="AA171" s="6"/>
      <c r="AB171" s="6">
        <f>$K$171*$V$171</f>
        <v>1789.32</v>
      </c>
      <c r="AC171" s="6">
        <f>$M$171*$W$171</f>
        <v>0</v>
      </c>
      <c r="AD171" s="6">
        <f>$O$171*$X$171</f>
        <v>0</v>
      </c>
      <c r="AE171" s="6">
        <f ca="1">$K$171*$Y$171</f>
        <v>1412.945086627014</v>
      </c>
      <c r="AF171" s="6">
        <f>$M$171*$Z$171</f>
        <v>0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38</v>
      </c>
      <c r="C172" s="4" t="s">
        <v>40</v>
      </c>
      <c r="D172" s="4" t="s">
        <v>41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44531</v>
      </c>
      <c r="J172" s="6">
        <v>6333</v>
      </c>
      <c r="K172" s="6">
        <v>6333</v>
      </c>
      <c r="L172" s="6">
        <v>0</v>
      </c>
      <c r="M172" s="6">
        <v>0</v>
      </c>
      <c r="N172" s="6">
        <v>0</v>
      </c>
      <c r="O172" s="6">
        <v>0</v>
      </c>
      <c r="P172" s="6">
        <v>64</v>
      </c>
      <c r="Q172" s="4" t="s">
        <v>26</v>
      </c>
      <c r="R172" s="4">
        <v>0</v>
      </c>
      <c r="S172" s="6">
        <v>18</v>
      </c>
      <c r="T172" s="6">
        <v>0</v>
      </c>
      <c r="U172" s="6">
        <v>0</v>
      </c>
      <c r="V172" s="6">
        <f>IF(ISERROR(VLOOKUP($S$172,'TAR FIN'!$A$1:$O$86,15,0)),0,VLOOKUP($S$172,'TAR FIN'!$A$1:$O$86,15,0))</f>
        <v>19.239999999999998</v>
      </c>
      <c r="W172" s="6">
        <f>IF(ISERROR(VLOOKUP($T$172,'TAR FIN'!$A$1:$O$86,15,0)),0,VLOOKUP($T$172,'TAR FIN'!$A$1:$O$86,15,0))</f>
        <v>0</v>
      </c>
      <c r="X172" s="6">
        <f>IF(ISERROR(VLOOKUP($U$172,'TAR FIN'!$A$1:$O$86,15,0)),0,VLOOKUP($U$172,'TAR FIN'!$A$1:$O$86,15,0))</f>
        <v>0</v>
      </c>
      <c r="Y172" s="6">
        <f ca="1">('TUSD BE'!$AM$11+'TUSD BF_350'!$AM$11+'TUSD CVA'!$AM$11)*1</f>
        <v>15.19295792072058</v>
      </c>
      <c r="Z172" s="6"/>
      <c r="AA172" s="6"/>
      <c r="AB172" s="6">
        <f>$K$172*$V$172</f>
        <v>121846.91999999998</v>
      </c>
      <c r="AC172" s="6">
        <f>$M$172*$W$172</f>
        <v>0</v>
      </c>
      <c r="AD172" s="6">
        <f>$O$172*$X$172</f>
        <v>0</v>
      </c>
      <c r="AE172" s="6">
        <f ca="1">$K$172*$Y$172</f>
        <v>96217.002511923434</v>
      </c>
      <c r="AF172" s="6">
        <f>$M$172*$Z$172</f>
        <v>0</v>
      </c>
      <c r="AG172" s="6">
        <f>$O$172*$AA$172</f>
        <v>0</v>
      </c>
    </row>
    <row r="173" spans="1:33" ht="11.25" customHeight="1" x14ac:dyDescent="0.25">
      <c r="A173" s="4" t="s">
        <v>55</v>
      </c>
      <c r="B173" s="4" t="s">
        <v>38</v>
      </c>
      <c r="C173" s="4" t="s">
        <v>40</v>
      </c>
      <c r="D173" s="4" t="s">
        <v>41</v>
      </c>
      <c r="E173" s="4" t="s">
        <v>25</v>
      </c>
      <c r="F173" s="4" t="s">
        <v>25</v>
      </c>
      <c r="G173" s="4" t="s">
        <v>25</v>
      </c>
      <c r="H173" s="4" t="s">
        <v>25</v>
      </c>
      <c r="I173" s="5">
        <v>44531</v>
      </c>
      <c r="J173" s="6">
        <v>221</v>
      </c>
      <c r="K173" s="6">
        <v>221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4" t="s">
        <v>26</v>
      </c>
      <c r="R173" s="4">
        <v>0</v>
      </c>
      <c r="S173" s="6">
        <v>18</v>
      </c>
      <c r="T173" s="6">
        <v>0</v>
      </c>
      <c r="U173" s="6">
        <v>0</v>
      </c>
      <c r="V173" s="6">
        <f>IF(ISERROR(VLOOKUP($S$173,'TAR FIN'!$A$1:$O$86,15,0)),0,VLOOKUP($S$173,'TAR FIN'!$A$1:$O$86,15,0))</f>
        <v>19.239999999999998</v>
      </c>
      <c r="W173" s="6">
        <f>IF(ISERROR(VLOOKUP($T$173,'TAR FIN'!$A$1:$O$86,15,0)),0,VLOOKUP($T$173,'TAR FIN'!$A$1:$O$86,15,0))</f>
        <v>0</v>
      </c>
      <c r="X173" s="6">
        <f>IF(ISERROR(VLOOKUP($U$173,'TAR FIN'!$A$1:$O$86,15,0)),0,VLOOKUP($U$173,'TAR FIN'!$A$1:$O$86,15,0))</f>
        <v>0</v>
      </c>
      <c r="Y173" s="6">
        <f ca="1">('TUSD BE'!$AM$11+'TUSD BF_350'!$AM$11+'TUSD CVA'!$AM$11)*1</f>
        <v>15.19295792072058</v>
      </c>
      <c r="Z173" s="6"/>
      <c r="AA173" s="6"/>
      <c r="AB173" s="6">
        <f>$K$173*$V$173</f>
        <v>4252.04</v>
      </c>
      <c r="AC173" s="6">
        <f>$M$173*$W$173</f>
        <v>0</v>
      </c>
      <c r="AD173" s="6">
        <f>$O$173*$X$173</f>
        <v>0</v>
      </c>
      <c r="AE173" s="6">
        <f ca="1">$K$173*$Y$173</f>
        <v>3357.6437004792483</v>
      </c>
      <c r="AF173" s="6">
        <f>$M$173*$Z$173</f>
        <v>0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38</v>
      </c>
      <c r="C174" s="4" t="s">
        <v>40</v>
      </c>
      <c r="D174" s="4" t="s">
        <v>41</v>
      </c>
      <c r="E174" s="4" t="s">
        <v>25</v>
      </c>
      <c r="F174" s="4" t="s">
        <v>25</v>
      </c>
      <c r="G174" s="4" t="s">
        <v>25</v>
      </c>
      <c r="H174" s="4" t="s">
        <v>25</v>
      </c>
      <c r="I174" s="5">
        <v>44562</v>
      </c>
      <c r="J174" s="6">
        <v>6823</v>
      </c>
      <c r="K174" s="6">
        <v>6823</v>
      </c>
      <c r="L174" s="6">
        <v>0</v>
      </c>
      <c r="M174" s="6">
        <v>0</v>
      </c>
      <c r="N174" s="6">
        <v>0</v>
      </c>
      <c r="O174" s="6">
        <v>0</v>
      </c>
      <c r="P174" s="6">
        <v>62</v>
      </c>
      <c r="Q174" s="4" t="s">
        <v>26</v>
      </c>
      <c r="R174" s="4">
        <v>0</v>
      </c>
      <c r="S174" s="6">
        <v>18</v>
      </c>
      <c r="T174" s="6">
        <v>0</v>
      </c>
      <c r="U174" s="6">
        <v>0</v>
      </c>
      <c r="V174" s="6">
        <f>IF(ISERROR(VLOOKUP($S$174,'TAR FIN'!$A$1:$O$86,15,0)),0,VLOOKUP($S$174,'TAR FIN'!$A$1:$O$86,15,0))</f>
        <v>19.239999999999998</v>
      </c>
      <c r="W174" s="6">
        <f>IF(ISERROR(VLOOKUP($T$174,'TAR FIN'!$A$1:$O$86,15,0)),0,VLOOKUP($T$174,'TAR FIN'!$A$1:$O$86,15,0))</f>
        <v>0</v>
      </c>
      <c r="X174" s="6">
        <f>IF(ISERROR(VLOOKUP($U$174,'TAR FIN'!$A$1:$O$86,15,0)),0,VLOOKUP($U$174,'TAR FIN'!$A$1:$O$86,15,0))</f>
        <v>0</v>
      </c>
      <c r="Y174" s="6">
        <f ca="1">('TUSD BE'!$AM$11+'TUSD BF_350'!$AM$11+'TUSD CVA'!$AM$11)*1</f>
        <v>15.19295792072058</v>
      </c>
      <c r="Z174" s="6"/>
      <c r="AA174" s="6"/>
      <c r="AB174" s="6">
        <f>$K$174*$V$174</f>
        <v>131274.51999999999</v>
      </c>
      <c r="AC174" s="6">
        <f>$M$174*$W$174</f>
        <v>0</v>
      </c>
      <c r="AD174" s="6">
        <f>$O$174*$X$174</f>
        <v>0</v>
      </c>
      <c r="AE174" s="6">
        <f ca="1">$K$174*$Y$174</f>
        <v>103661.55189307652</v>
      </c>
      <c r="AF174" s="6">
        <f>$M$174*$Z$174</f>
        <v>0</v>
      </c>
      <c r="AG174" s="6">
        <f>$O$174*$AA$174</f>
        <v>0</v>
      </c>
    </row>
    <row r="175" spans="1:33" ht="11.25" customHeight="1" x14ac:dyDescent="0.25">
      <c r="A175" s="4" t="s">
        <v>55</v>
      </c>
      <c r="B175" s="4" t="s">
        <v>38</v>
      </c>
      <c r="C175" s="4" t="s">
        <v>40</v>
      </c>
      <c r="D175" s="4" t="s">
        <v>41</v>
      </c>
      <c r="E175" s="4" t="s">
        <v>25</v>
      </c>
      <c r="F175" s="4" t="s">
        <v>25</v>
      </c>
      <c r="G175" s="4" t="s">
        <v>25</v>
      </c>
      <c r="H175" s="4" t="s">
        <v>25</v>
      </c>
      <c r="I175" s="5">
        <v>44562</v>
      </c>
      <c r="J175" s="6">
        <v>1678</v>
      </c>
      <c r="K175" s="6">
        <v>1678</v>
      </c>
      <c r="L175" s="6">
        <v>0</v>
      </c>
      <c r="M175" s="6">
        <v>0</v>
      </c>
      <c r="N175" s="6">
        <v>0</v>
      </c>
      <c r="O175" s="6">
        <v>0</v>
      </c>
      <c r="P175" s="6">
        <v>3</v>
      </c>
      <c r="Q175" s="4" t="s">
        <v>26</v>
      </c>
      <c r="R175" s="4">
        <v>0</v>
      </c>
      <c r="S175" s="6">
        <v>18</v>
      </c>
      <c r="T175" s="6">
        <v>0</v>
      </c>
      <c r="U175" s="6">
        <v>0</v>
      </c>
      <c r="V175" s="6">
        <f>IF(ISERROR(VLOOKUP($S$175,'TAR FIN'!$A$1:$O$86,15,0)),0,VLOOKUP($S$175,'TAR FIN'!$A$1:$O$86,15,0))</f>
        <v>19.239999999999998</v>
      </c>
      <c r="W175" s="6">
        <f>IF(ISERROR(VLOOKUP($T$175,'TAR FIN'!$A$1:$O$86,15,0)),0,VLOOKUP($T$175,'TAR FIN'!$A$1:$O$86,15,0))</f>
        <v>0</v>
      </c>
      <c r="X175" s="6">
        <f>IF(ISERROR(VLOOKUP($U$175,'TAR FIN'!$A$1:$O$86,15,0)),0,VLOOKUP($U$175,'TAR FIN'!$A$1:$O$86,15,0))</f>
        <v>0</v>
      </c>
      <c r="Y175" s="6">
        <f ca="1">('TUSD BE'!$AM$11+'TUSD BF_350'!$AM$11+'TUSD CVA'!$AM$11)*1</f>
        <v>15.19295792072058</v>
      </c>
      <c r="Z175" s="6"/>
      <c r="AA175" s="6"/>
      <c r="AB175" s="6">
        <f>$K$175*$V$175</f>
        <v>32284.719999999998</v>
      </c>
      <c r="AC175" s="6">
        <f>$M$175*$W$175</f>
        <v>0</v>
      </c>
      <c r="AD175" s="6">
        <f>$O$175*$X$175</f>
        <v>0</v>
      </c>
      <c r="AE175" s="6">
        <f ca="1">$K$175*$Y$175</f>
        <v>25493.783390969133</v>
      </c>
      <c r="AF175" s="6">
        <f>$M$175*$Z$175</f>
        <v>0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38</v>
      </c>
      <c r="C176" s="4" t="s">
        <v>40</v>
      </c>
      <c r="D176" s="4" t="s">
        <v>41</v>
      </c>
      <c r="E176" s="4" t="s">
        <v>25</v>
      </c>
      <c r="F176" s="4" t="s">
        <v>25</v>
      </c>
      <c r="G176" s="4" t="s">
        <v>25</v>
      </c>
      <c r="H176" s="4" t="s">
        <v>25</v>
      </c>
      <c r="I176" s="5">
        <v>44593</v>
      </c>
      <c r="J176" s="6">
        <v>6939</v>
      </c>
      <c r="K176" s="6">
        <v>6939</v>
      </c>
      <c r="L176" s="6">
        <v>0</v>
      </c>
      <c r="M176" s="6">
        <v>0</v>
      </c>
      <c r="N176" s="6">
        <v>0</v>
      </c>
      <c r="O176" s="6">
        <v>0</v>
      </c>
      <c r="P176" s="6">
        <v>57</v>
      </c>
      <c r="Q176" s="4" t="s">
        <v>26</v>
      </c>
      <c r="R176" s="4">
        <v>0</v>
      </c>
      <c r="S176" s="6">
        <v>18</v>
      </c>
      <c r="T176" s="6">
        <v>0</v>
      </c>
      <c r="U176" s="6">
        <v>0</v>
      </c>
      <c r="V176" s="6">
        <f>IF(ISERROR(VLOOKUP($S$176,'TAR FIN'!$A$1:$O$86,15,0)),0,VLOOKUP($S$176,'TAR FIN'!$A$1:$O$86,15,0))</f>
        <v>19.239999999999998</v>
      </c>
      <c r="W176" s="6">
        <f>IF(ISERROR(VLOOKUP($T$176,'TAR FIN'!$A$1:$O$86,15,0)),0,VLOOKUP($T$176,'TAR FIN'!$A$1:$O$86,15,0))</f>
        <v>0</v>
      </c>
      <c r="X176" s="6">
        <f>IF(ISERROR(VLOOKUP($U$176,'TAR FIN'!$A$1:$O$86,15,0)),0,VLOOKUP($U$176,'TAR FIN'!$A$1:$O$86,15,0))</f>
        <v>0</v>
      </c>
      <c r="Y176" s="6">
        <f ca="1">('TUSD BE'!$AM$11+'TUSD BF_350'!$AM$11+'TUSD CVA'!$AM$11)*1</f>
        <v>15.19295792072058</v>
      </c>
      <c r="Z176" s="6"/>
      <c r="AA176" s="6"/>
      <c r="AB176" s="6">
        <f>$K$176*$V$176</f>
        <v>133506.35999999999</v>
      </c>
      <c r="AC176" s="6">
        <f>$M$176*$W$176</f>
        <v>0</v>
      </c>
      <c r="AD176" s="6">
        <f>$O$176*$X$176</f>
        <v>0</v>
      </c>
      <c r="AE176" s="6">
        <f ca="1">$K$176*$Y$176</f>
        <v>105423.93501188011</v>
      </c>
      <c r="AF176" s="6">
        <f>$M$176*$Z$176</f>
        <v>0</v>
      </c>
      <c r="AG176" s="6">
        <f>$O$176*$AA$176</f>
        <v>0</v>
      </c>
    </row>
    <row r="177" spans="1:33" ht="11.25" customHeight="1" x14ac:dyDescent="0.25">
      <c r="A177" s="4" t="s">
        <v>55</v>
      </c>
      <c r="B177" s="4" t="s">
        <v>38</v>
      </c>
      <c r="C177" s="4" t="s">
        <v>40</v>
      </c>
      <c r="D177" s="4" t="s">
        <v>41</v>
      </c>
      <c r="E177" s="4" t="s">
        <v>25</v>
      </c>
      <c r="F177" s="4" t="s">
        <v>25</v>
      </c>
      <c r="G177" s="4" t="s">
        <v>25</v>
      </c>
      <c r="H177" s="4" t="s">
        <v>25</v>
      </c>
      <c r="I177" s="5">
        <v>44593</v>
      </c>
      <c r="J177" s="6">
        <v>2154</v>
      </c>
      <c r="K177" s="6">
        <v>2154</v>
      </c>
      <c r="L177" s="6">
        <v>0</v>
      </c>
      <c r="M177" s="6">
        <v>0</v>
      </c>
      <c r="N177" s="6">
        <v>0</v>
      </c>
      <c r="O177" s="6">
        <v>0</v>
      </c>
      <c r="P177" s="6">
        <v>8</v>
      </c>
      <c r="Q177" s="4" t="s">
        <v>26</v>
      </c>
      <c r="R177" s="4">
        <v>0</v>
      </c>
      <c r="S177" s="6">
        <v>18</v>
      </c>
      <c r="T177" s="6">
        <v>0</v>
      </c>
      <c r="U177" s="6">
        <v>0</v>
      </c>
      <c r="V177" s="6">
        <f>IF(ISERROR(VLOOKUP($S$177,'TAR FIN'!$A$1:$O$86,15,0)),0,VLOOKUP($S$177,'TAR FIN'!$A$1:$O$86,15,0))</f>
        <v>19.239999999999998</v>
      </c>
      <c r="W177" s="6">
        <f>IF(ISERROR(VLOOKUP($T$177,'TAR FIN'!$A$1:$O$86,15,0)),0,VLOOKUP($T$177,'TAR FIN'!$A$1:$O$86,15,0))</f>
        <v>0</v>
      </c>
      <c r="X177" s="6">
        <f>IF(ISERROR(VLOOKUP($U$177,'TAR FIN'!$A$1:$O$86,15,0)),0,VLOOKUP($U$177,'TAR FIN'!$A$1:$O$86,15,0))</f>
        <v>0</v>
      </c>
      <c r="Y177" s="6">
        <f ca="1">('TUSD BE'!$AM$11+'TUSD BF_350'!$AM$11+'TUSD CVA'!$AM$11)*1</f>
        <v>15.19295792072058</v>
      </c>
      <c r="Z177" s="6"/>
      <c r="AA177" s="6"/>
      <c r="AB177" s="6">
        <f>$K$177*$V$177</f>
        <v>41442.959999999999</v>
      </c>
      <c r="AC177" s="6">
        <f>$M$177*$W$177</f>
        <v>0</v>
      </c>
      <c r="AD177" s="6">
        <f>$O$177*$X$177</f>
        <v>0</v>
      </c>
      <c r="AE177" s="6">
        <f ca="1">$K$177*$Y$177</f>
        <v>32725.631361232132</v>
      </c>
      <c r="AF177" s="6">
        <f>$M$177*$Z$177</f>
        <v>0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38</v>
      </c>
      <c r="C178" s="4" t="s">
        <v>40</v>
      </c>
      <c r="D178" s="4" t="s">
        <v>41</v>
      </c>
      <c r="E178" s="4" t="s">
        <v>25</v>
      </c>
      <c r="F178" s="4" t="s">
        <v>25</v>
      </c>
      <c r="G178" s="4" t="s">
        <v>25</v>
      </c>
      <c r="H178" s="4" t="s">
        <v>25</v>
      </c>
      <c r="I178" s="5">
        <v>44621</v>
      </c>
      <c r="J178" s="6">
        <v>6755</v>
      </c>
      <c r="K178" s="6">
        <v>6755</v>
      </c>
      <c r="L178" s="6">
        <v>0</v>
      </c>
      <c r="M178" s="6">
        <v>0</v>
      </c>
      <c r="N178" s="6">
        <v>0</v>
      </c>
      <c r="O178" s="6">
        <v>0</v>
      </c>
      <c r="P178" s="6">
        <v>56</v>
      </c>
      <c r="Q178" s="4" t="s">
        <v>26</v>
      </c>
      <c r="R178" s="4">
        <v>0</v>
      </c>
      <c r="S178" s="6">
        <v>18</v>
      </c>
      <c r="T178" s="6">
        <v>0</v>
      </c>
      <c r="U178" s="6">
        <v>0</v>
      </c>
      <c r="V178" s="6">
        <f>IF(ISERROR(VLOOKUP($S$178,'TAR FIN'!$A$1:$O$86,15,0)),0,VLOOKUP($S$178,'TAR FIN'!$A$1:$O$86,15,0))</f>
        <v>19.239999999999998</v>
      </c>
      <c r="W178" s="6">
        <f>IF(ISERROR(VLOOKUP($T$178,'TAR FIN'!$A$1:$O$86,15,0)),0,VLOOKUP($T$178,'TAR FIN'!$A$1:$O$86,15,0))</f>
        <v>0</v>
      </c>
      <c r="X178" s="6">
        <f>IF(ISERROR(VLOOKUP($U$178,'TAR FIN'!$A$1:$O$86,15,0)),0,VLOOKUP($U$178,'TAR FIN'!$A$1:$O$86,15,0))</f>
        <v>0</v>
      </c>
      <c r="Y178" s="6">
        <f ca="1">('TUSD BE'!$AM$11+'TUSD BF_350'!$AM$11+'TUSD CVA'!$AM$11)*1</f>
        <v>15.19295792072058</v>
      </c>
      <c r="Z178" s="6"/>
      <c r="AA178" s="6"/>
      <c r="AB178" s="6">
        <f>$K$178*$V$178</f>
        <v>129966.19999999998</v>
      </c>
      <c r="AC178" s="6">
        <f>$M$178*$W$178</f>
        <v>0</v>
      </c>
      <c r="AD178" s="6">
        <f>$O$178*$X$178</f>
        <v>0</v>
      </c>
      <c r="AE178" s="6">
        <f ca="1">$K$178*$Y$178</f>
        <v>102628.43075446752</v>
      </c>
      <c r="AF178" s="6">
        <f>$M$178*$Z$178</f>
        <v>0</v>
      </c>
      <c r="AG178" s="6">
        <f>$O$178*$AA$178</f>
        <v>0</v>
      </c>
    </row>
    <row r="179" spans="1:33" ht="11.25" customHeight="1" x14ac:dyDescent="0.25">
      <c r="A179" s="4" t="s">
        <v>55</v>
      </c>
      <c r="B179" s="4" t="s">
        <v>38</v>
      </c>
      <c r="C179" s="4" t="s">
        <v>40</v>
      </c>
      <c r="D179" s="4" t="s">
        <v>41</v>
      </c>
      <c r="E179" s="4" t="s">
        <v>25</v>
      </c>
      <c r="F179" s="4" t="s">
        <v>25</v>
      </c>
      <c r="G179" s="4" t="s">
        <v>25</v>
      </c>
      <c r="H179" s="4" t="s">
        <v>25</v>
      </c>
      <c r="I179" s="5">
        <v>44621</v>
      </c>
      <c r="J179" s="6">
        <v>567</v>
      </c>
      <c r="K179" s="6">
        <v>567</v>
      </c>
      <c r="L179" s="6">
        <v>0</v>
      </c>
      <c r="M179" s="6">
        <v>0</v>
      </c>
      <c r="N179" s="6">
        <v>0</v>
      </c>
      <c r="O179" s="6">
        <v>0</v>
      </c>
      <c r="P179" s="6">
        <v>7</v>
      </c>
      <c r="Q179" s="4" t="s">
        <v>26</v>
      </c>
      <c r="R179" s="4">
        <v>0</v>
      </c>
      <c r="S179" s="6">
        <v>18</v>
      </c>
      <c r="T179" s="6">
        <v>0</v>
      </c>
      <c r="U179" s="6">
        <v>0</v>
      </c>
      <c r="V179" s="6">
        <f>IF(ISERROR(VLOOKUP($S$179,'TAR FIN'!$A$1:$O$86,15,0)),0,VLOOKUP($S$179,'TAR FIN'!$A$1:$O$86,15,0))</f>
        <v>19.239999999999998</v>
      </c>
      <c r="W179" s="6">
        <f>IF(ISERROR(VLOOKUP($T$179,'TAR FIN'!$A$1:$O$86,15,0)),0,VLOOKUP($T$179,'TAR FIN'!$A$1:$O$86,15,0))</f>
        <v>0</v>
      </c>
      <c r="X179" s="6">
        <f>IF(ISERROR(VLOOKUP($U$179,'TAR FIN'!$A$1:$O$86,15,0)),0,VLOOKUP($U$179,'TAR FIN'!$A$1:$O$86,15,0))</f>
        <v>0</v>
      </c>
      <c r="Y179" s="6">
        <f ca="1">('TUSD BE'!$AM$11+'TUSD BF_350'!$AM$11+'TUSD CVA'!$AM$11)*1</f>
        <v>15.19295792072058</v>
      </c>
      <c r="Z179" s="6"/>
      <c r="AA179" s="6"/>
      <c r="AB179" s="6">
        <f>$K$179*$V$179</f>
        <v>10909.08</v>
      </c>
      <c r="AC179" s="6">
        <f>$M$179*$W$179</f>
        <v>0</v>
      </c>
      <c r="AD179" s="6">
        <f>$O$179*$X$179</f>
        <v>0</v>
      </c>
      <c r="AE179" s="6">
        <f ca="1">$K$179*$Y$179</f>
        <v>8614.4071410485685</v>
      </c>
      <c r="AF179" s="6">
        <f>$M$179*$Z$179</f>
        <v>0</v>
      </c>
      <c r="AG179" s="6">
        <f>$O$179*$AA$179</f>
        <v>0</v>
      </c>
    </row>
    <row r="180" spans="1:33" ht="11.25" customHeight="1" x14ac:dyDescent="0.25">
      <c r="A180" s="4" t="s">
        <v>21</v>
      </c>
      <c r="B180" s="4" t="s">
        <v>38</v>
      </c>
      <c r="C180" s="4" t="s">
        <v>40</v>
      </c>
      <c r="D180" s="4" t="s">
        <v>41</v>
      </c>
      <c r="E180" s="4" t="s">
        <v>25</v>
      </c>
      <c r="F180" s="4" t="s">
        <v>25</v>
      </c>
      <c r="G180" s="4" t="s">
        <v>25</v>
      </c>
      <c r="H180" s="4" t="s">
        <v>25</v>
      </c>
      <c r="I180" s="5">
        <v>44652</v>
      </c>
      <c r="J180" s="6">
        <v>6850</v>
      </c>
      <c r="K180" s="6">
        <v>6850</v>
      </c>
      <c r="L180" s="6">
        <v>0</v>
      </c>
      <c r="M180" s="6">
        <v>0</v>
      </c>
      <c r="N180" s="6">
        <v>0</v>
      </c>
      <c r="O180" s="6">
        <v>0</v>
      </c>
      <c r="P180" s="6">
        <v>56</v>
      </c>
      <c r="Q180" s="4" t="s">
        <v>26</v>
      </c>
      <c r="R180" s="4">
        <v>0</v>
      </c>
      <c r="S180" s="6">
        <v>18</v>
      </c>
      <c r="T180" s="6">
        <v>0</v>
      </c>
      <c r="U180" s="6">
        <v>0</v>
      </c>
      <c r="V180" s="6">
        <f>IF(ISERROR(VLOOKUP($S$180,'TAR FIN'!$A$1:$O$86,15,0)),0,VLOOKUP($S$180,'TAR FIN'!$A$1:$O$86,15,0))</f>
        <v>19.239999999999998</v>
      </c>
      <c r="W180" s="6">
        <f>IF(ISERROR(VLOOKUP($T$180,'TAR FIN'!$A$1:$O$86,15,0)),0,VLOOKUP($T$180,'TAR FIN'!$A$1:$O$86,15,0))</f>
        <v>0</v>
      </c>
      <c r="X180" s="6">
        <f>IF(ISERROR(VLOOKUP($U$180,'TAR FIN'!$A$1:$O$86,15,0)),0,VLOOKUP($U$180,'TAR FIN'!$A$1:$O$86,15,0))</f>
        <v>0</v>
      </c>
      <c r="Y180" s="6">
        <f ca="1">('TUSD BE'!$AM$11+'TUSD BF_350'!$AM$11+'TUSD CVA'!$AM$11)*1</f>
        <v>15.19295792072058</v>
      </c>
      <c r="Z180" s="6"/>
      <c r="AA180" s="6"/>
      <c r="AB180" s="6">
        <f>$K$180*$V$180</f>
        <v>131794</v>
      </c>
      <c r="AC180" s="6">
        <f>$M$180*$W$180</f>
        <v>0</v>
      </c>
      <c r="AD180" s="6">
        <f>$O$180*$X$180</f>
        <v>0</v>
      </c>
      <c r="AE180" s="6">
        <f ca="1">$K$180*$Y$180</f>
        <v>104071.76175693597</v>
      </c>
      <c r="AF180" s="6">
        <f>$M$180*$Z$180</f>
        <v>0</v>
      </c>
      <c r="AG180" s="6">
        <f>$O$180*$AA$180</f>
        <v>0</v>
      </c>
    </row>
    <row r="181" spans="1:33" ht="11.25" customHeight="1" x14ac:dyDescent="0.25">
      <c r="A181" s="4" t="s">
        <v>55</v>
      </c>
      <c r="B181" s="4" t="s">
        <v>38</v>
      </c>
      <c r="C181" s="4" t="s">
        <v>40</v>
      </c>
      <c r="D181" s="4" t="s">
        <v>41</v>
      </c>
      <c r="E181" s="4" t="s">
        <v>25</v>
      </c>
      <c r="F181" s="4" t="s">
        <v>25</v>
      </c>
      <c r="G181" s="4" t="s">
        <v>25</v>
      </c>
      <c r="H181" s="4" t="s">
        <v>25</v>
      </c>
      <c r="I181" s="5">
        <v>44652</v>
      </c>
      <c r="J181" s="6">
        <v>611</v>
      </c>
      <c r="K181" s="6">
        <v>611</v>
      </c>
      <c r="L181" s="6">
        <v>0</v>
      </c>
      <c r="M181" s="6">
        <v>0</v>
      </c>
      <c r="N181" s="6">
        <v>0</v>
      </c>
      <c r="O181" s="6">
        <v>0</v>
      </c>
      <c r="P181" s="6">
        <v>7</v>
      </c>
      <c r="Q181" s="4" t="s">
        <v>26</v>
      </c>
      <c r="R181" s="4">
        <v>0</v>
      </c>
      <c r="S181" s="6">
        <v>18</v>
      </c>
      <c r="T181" s="6">
        <v>0</v>
      </c>
      <c r="U181" s="6">
        <v>0</v>
      </c>
      <c r="V181" s="6">
        <f>IF(ISERROR(VLOOKUP($S$181,'TAR FIN'!$A$1:$O$86,15,0)),0,VLOOKUP($S$181,'TAR FIN'!$A$1:$O$86,15,0))</f>
        <v>19.239999999999998</v>
      </c>
      <c r="W181" s="6">
        <f>IF(ISERROR(VLOOKUP($T$181,'TAR FIN'!$A$1:$O$86,15,0)),0,VLOOKUP($T$181,'TAR FIN'!$A$1:$O$86,15,0))</f>
        <v>0</v>
      </c>
      <c r="X181" s="6">
        <f>IF(ISERROR(VLOOKUP($U$181,'TAR FIN'!$A$1:$O$86,15,0)),0,VLOOKUP($U$181,'TAR FIN'!$A$1:$O$86,15,0))</f>
        <v>0</v>
      </c>
      <c r="Y181" s="6">
        <f ca="1">('TUSD BE'!$AM$11+'TUSD BF_350'!$AM$11+'TUSD CVA'!$AM$11)*1</f>
        <v>15.19295792072058</v>
      </c>
      <c r="Z181" s="6"/>
      <c r="AA181" s="6"/>
      <c r="AB181" s="6">
        <f>$K$181*$V$181</f>
        <v>11755.64</v>
      </c>
      <c r="AC181" s="6">
        <f>$M$181*$W$181</f>
        <v>0</v>
      </c>
      <c r="AD181" s="6">
        <f>$O$181*$X$181</f>
        <v>0</v>
      </c>
      <c r="AE181" s="6">
        <f ca="1">$K$181*$Y$181</f>
        <v>9282.8972895602747</v>
      </c>
      <c r="AF181" s="6">
        <f>$M$181*$Z$181</f>
        <v>0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38</v>
      </c>
      <c r="C182" s="4" t="s">
        <v>40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44682</v>
      </c>
      <c r="J182" s="6">
        <v>6462</v>
      </c>
      <c r="K182" s="6">
        <v>6462</v>
      </c>
      <c r="L182" s="6">
        <v>0</v>
      </c>
      <c r="M182" s="6">
        <v>0</v>
      </c>
      <c r="N182" s="6">
        <v>0</v>
      </c>
      <c r="O182" s="6">
        <v>0</v>
      </c>
      <c r="P182" s="6">
        <v>56</v>
      </c>
      <c r="Q182" s="4" t="s">
        <v>26</v>
      </c>
      <c r="R182" s="4">
        <v>0</v>
      </c>
      <c r="S182" s="6">
        <v>18</v>
      </c>
      <c r="T182" s="6">
        <v>0</v>
      </c>
      <c r="U182" s="6">
        <v>0</v>
      </c>
      <c r="V182" s="6">
        <f>IF(ISERROR(VLOOKUP($S$182,'TAR FIN'!$A$1:$O$86,15,0)),0,VLOOKUP($S$182,'TAR FIN'!$A$1:$O$86,15,0))</f>
        <v>19.239999999999998</v>
      </c>
      <c r="W182" s="6">
        <f>IF(ISERROR(VLOOKUP($T$182,'TAR FIN'!$A$1:$O$86,15,0)),0,VLOOKUP($T$182,'TAR FIN'!$A$1:$O$86,15,0))</f>
        <v>0</v>
      </c>
      <c r="X182" s="6">
        <f>IF(ISERROR(VLOOKUP($U$182,'TAR FIN'!$A$1:$O$86,15,0)),0,VLOOKUP($U$182,'TAR FIN'!$A$1:$O$86,15,0))</f>
        <v>0</v>
      </c>
      <c r="Y182" s="6">
        <f ca="1">('TUSD BE'!$AM$11+'TUSD BF_350'!$AM$11+'TUSD CVA'!$AM$11)*1</f>
        <v>15.19295792072058</v>
      </c>
      <c r="Z182" s="6"/>
      <c r="AA182" s="6"/>
      <c r="AB182" s="6">
        <f>$K$182*$V$182</f>
        <v>124328.87999999999</v>
      </c>
      <c r="AC182" s="6">
        <f>$M$182*$W$182</f>
        <v>0</v>
      </c>
      <c r="AD182" s="6">
        <f>$O$182*$X$182</f>
        <v>0</v>
      </c>
      <c r="AE182" s="6">
        <f ca="1">$K$182*$Y$182</f>
        <v>98176.894083696388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55</v>
      </c>
      <c r="B183" s="4" t="s">
        <v>38</v>
      </c>
      <c r="C183" s="4" t="s">
        <v>40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44682</v>
      </c>
      <c r="J183" s="6">
        <v>556</v>
      </c>
      <c r="K183" s="6">
        <v>556</v>
      </c>
      <c r="L183" s="6">
        <v>0</v>
      </c>
      <c r="M183" s="6">
        <v>0</v>
      </c>
      <c r="N183" s="6">
        <v>0</v>
      </c>
      <c r="O183" s="6">
        <v>0</v>
      </c>
      <c r="P183" s="6">
        <v>7</v>
      </c>
      <c r="Q183" s="4" t="s">
        <v>26</v>
      </c>
      <c r="R183" s="4">
        <v>0</v>
      </c>
      <c r="S183" s="6">
        <v>18</v>
      </c>
      <c r="T183" s="6">
        <v>0</v>
      </c>
      <c r="U183" s="6">
        <v>0</v>
      </c>
      <c r="V183" s="6">
        <f>IF(ISERROR(VLOOKUP($S$183,'TAR FIN'!$A$1:$O$86,15,0)),0,VLOOKUP($S$183,'TAR FIN'!$A$1:$O$86,15,0))</f>
        <v>19.239999999999998</v>
      </c>
      <c r="W183" s="6">
        <f>IF(ISERROR(VLOOKUP($T$183,'TAR FIN'!$A$1:$O$86,15,0)),0,VLOOKUP($T$183,'TAR FIN'!$A$1:$O$86,15,0))</f>
        <v>0</v>
      </c>
      <c r="X183" s="6">
        <f>IF(ISERROR(VLOOKUP($U$183,'TAR FIN'!$A$1:$O$86,15,0)),0,VLOOKUP($U$183,'TAR FIN'!$A$1:$O$86,15,0))</f>
        <v>0</v>
      </c>
      <c r="Y183" s="6">
        <f ca="1">('TUSD BE'!$AM$11+'TUSD BF_350'!$AM$11+'TUSD CVA'!$AM$11)*1</f>
        <v>15.19295792072058</v>
      </c>
      <c r="Z183" s="6"/>
      <c r="AA183" s="6"/>
      <c r="AB183" s="6">
        <f>$K$183*$V$183</f>
        <v>10697.439999999999</v>
      </c>
      <c r="AC183" s="6">
        <f>$M$183*$W$183</f>
        <v>0</v>
      </c>
      <c r="AD183" s="6">
        <f>$O$183*$X$183</f>
        <v>0</v>
      </c>
      <c r="AE183" s="6">
        <f ca="1">$K$183*$Y$183</f>
        <v>8447.2846039206433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55</v>
      </c>
      <c r="B184" s="4" t="s">
        <v>38</v>
      </c>
      <c r="C184" s="4" t="s">
        <v>40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44682</v>
      </c>
      <c r="J184" s="6">
        <v>26</v>
      </c>
      <c r="K184" s="6">
        <v>26</v>
      </c>
      <c r="L184" s="6">
        <v>0</v>
      </c>
      <c r="M184" s="6">
        <v>0</v>
      </c>
      <c r="N184" s="6">
        <v>0</v>
      </c>
      <c r="O184" s="6">
        <v>0</v>
      </c>
      <c r="P184" s="6">
        <v>2</v>
      </c>
      <c r="Q184" s="4" t="s">
        <v>26</v>
      </c>
      <c r="R184" s="4">
        <v>0</v>
      </c>
      <c r="S184" s="6">
        <v>18</v>
      </c>
      <c r="T184" s="6">
        <v>0</v>
      </c>
      <c r="U184" s="6">
        <v>0</v>
      </c>
      <c r="V184" s="6">
        <f>IF(ISERROR(VLOOKUP($S$184,'TAR FIN'!$A$1:$O$86,15,0)),0,VLOOKUP($S$184,'TAR FIN'!$A$1:$O$86,15,0))</f>
        <v>19.239999999999998</v>
      </c>
      <c r="W184" s="6">
        <f>IF(ISERROR(VLOOKUP($T$184,'TAR FIN'!$A$1:$O$86,15,0)),0,VLOOKUP($T$184,'TAR FIN'!$A$1:$O$86,15,0))</f>
        <v>0</v>
      </c>
      <c r="X184" s="6">
        <f>IF(ISERROR(VLOOKUP($U$184,'TAR FIN'!$A$1:$O$86,15,0)),0,VLOOKUP($U$184,'TAR FIN'!$A$1:$O$86,15,0))</f>
        <v>0</v>
      </c>
      <c r="Y184" s="6">
        <f ca="1">('TUSD BE'!$AM$11+'TUSD BF_350'!$AM$11+'TUSD CVA'!$AM$11)*1</f>
        <v>15.19295792072058</v>
      </c>
      <c r="Z184" s="6"/>
      <c r="AA184" s="6"/>
      <c r="AB184" s="6">
        <f>$K$184*$V$184</f>
        <v>500.23999999999995</v>
      </c>
      <c r="AC184" s="6">
        <f>$M$184*$W$184</f>
        <v>0</v>
      </c>
      <c r="AD184" s="6">
        <f>$O$184*$X$184</f>
        <v>0</v>
      </c>
      <c r="AE184" s="6">
        <f ca="1">$K$184*$Y$184</f>
        <v>395.01690593873508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56</v>
      </c>
      <c r="B185" s="4" t="s">
        <v>38</v>
      </c>
      <c r="C185" s="4" t="s">
        <v>40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44713</v>
      </c>
      <c r="J185" s="6">
        <v>6462</v>
      </c>
      <c r="K185" s="6">
        <v>6462</v>
      </c>
      <c r="L185" s="6">
        <v>0</v>
      </c>
      <c r="M185" s="6">
        <v>0</v>
      </c>
      <c r="N185" s="6">
        <v>0</v>
      </c>
      <c r="O185" s="6">
        <v>0</v>
      </c>
      <c r="P185" s="6">
        <v>56</v>
      </c>
      <c r="Q185" s="4" t="s">
        <v>26</v>
      </c>
      <c r="R185" s="4">
        <v>0</v>
      </c>
      <c r="S185" s="6">
        <v>18</v>
      </c>
      <c r="T185" s="6">
        <v>0</v>
      </c>
      <c r="U185" s="6">
        <v>0</v>
      </c>
      <c r="V185" s="6">
        <f>IF(ISERROR(VLOOKUP($S$185,'TAR FIN'!$A$1:$O$86,15,0)),0,VLOOKUP($S$185,'TAR FIN'!$A$1:$O$86,15,0))</f>
        <v>19.239999999999998</v>
      </c>
      <c r="W185" s="6">
        <f>IF(ISERROR(VLOOKUP($T$185,'TAR FIN'!$A$1:$O$86,15,0)),0,VLOOKUP($T$185,'TAR FIN'!$A$1:$O$86,15,0))</f>
        <v>0</v>
      </c>
      <c r="X185" s="6">
        <f>IF(ISERROR(VLOOKUP($U$185,'TAR FIN'!$A$1:$O$86,15,0)),0,VLOOKUP($U$185,'TAR FIN'!$A$1:$O$86,15,0))</f>
        <v>0</v>
      </c>
      <c r="Y185" s="6">
        <f ca="1">('TUSD BE'!$AM$11+'TUSD BF_350'!$AM$11+'TUSD CVA'!$AM$11)*1</f>
        <v>15.19295792072058</v>
      </c>
      <c r="Z185" s="6"/>
      <c r="AA185" s="6"/>
      <c r="AB185" s="6">
        <f>$K$185*$V$185</f>
        <v>124328.87999999999</v>
      </c>
      <c r="AC185" s="6">
        <f>$M$185*$W$185</f>
        <v>0</v>
      </c>
      <c r="AD185" s="6">
        <f>$O$185*$X$185</f>
        <v>0</v>
      </c>
      <c r="AE185" s="6">
        <f ca="1">$K$185*$Y$185</f>
        <v>98176.894083696388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56</v>
      </c>
      <c r="B186" s="4" t="s">
        <v>38</v>
      </c>
      <c r="C186" s="4" t="s">
        <v>40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44713</v>
      </c>
      <c r="J186" s="6">
        <v>556</v>
      </c>
      <c r="K186" s="6">
        <v>556</v>
      </c>
      <c r="L186" s="6">
        <v>0</v>
      </c>
      <c r="M186" s="6">
        <v>0</v>
      </c>
      <c r="N186" s="6">
        <v>0</v>
      </c>
      <c r="O186" s="6">
        <v>0</v>
      </c>
      <c r="P186" s="6">
        <v>7</v>
      </c>
      <c r="Q186" s="4" t="s">
        <v>26</v>
      </c>
      <c r="R186" s="4">
        <v>0</v>
      </c>
      <c r="S186" s="6">
        <v>18</v>
      </c>
      <c r="T186" s="6">
        <v>0</v>
      </c>
      <c r="U186" s="6">
        <v>0</v>
      </c>
      <c r="V186" s="6">
        <f>IF(ISERROR(VLOOKUP($S$186,'TAR FIN'!$A$1:$O$86,15,0)),0,VLOOKUP($S$186,'TAR FIN'!$A$1:$O$86,15,0))</f>
        <v>19.239999999999998</v>
      </c>
      <c r="W186" s="6">
        <f>IF(ISERROR(VLOOKUP($T$186,'TAR FIN'!$A$1:$O$86,15,0)),0,VLOOKUP($T$186,'TAR FIN'!$A$1:$O$86,15,0))</f>
        <v>0</v>
      </c>
      <c r="X186" s="6">
        <f>IF(ISERROR(VLOOKUP($U$186,'TAR FIN'!$A$1:$O$86,15,0)),0,VLOOKUP($U$186,'TAR FIN'!$A$1:$O$86,15,0))</f>
        <v>0</v>
      </c>
      <c r="Y186" s="6">
        <f ca="1">('TUSD BE'!$AM$11+'TUSD BF_350'!$AM$11+'TUSD CVA'!$AM$11)*1</f>
        <v>15.19295792072058</v>
      </c>
      <c r="Z186" s="6"/>
      <c r="AA186" s="6"/>
      <c r="AB186" s="6">
        <f>$K$186*$V$186</f>
        <v>10697.439999999999</v>
      </c>
      <c r="AC186" s="6">
        <f>$M$186*$W$186</f>
        <v>0</v>
      </c>
      <c r="AD186" s="6">
        <f>$O$186*$X$186</f>
        <v>0</v>
      </c>
      <c r="AE186" s="6">
        <f ca="1">$K$186*$Y$186</f>
        <v>8447.2846039206433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56</v>
      </c>
      <c r="B187" s="4" t="s">
        <v>38</v>
      </c>
      <c r="C187" s="4" t="s">
        <v>40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44713</v>
      </c>
      <c r="J187" s="6">
        <v>26</v>
      </c>
      <c r="K187" s="6">
        <v>26</v>
      </c>
      <c r="L187" s="6">
        <v>0</v>
      </c>
      <c r="M187" s="6">
        <v>0</v>
      </c>
      <c r="N187" s="6">
        <v>0</v>
      </c>
      <c r="O187" s="6">
        <v>0</v>
      </c>
      <c r="P187" s="6">
        <v>2</v>
      </c>
      <c r="Q187" s="4" t="s">
        <v>26</v>
      </c>
      <c r="R187" s="4">
        <v>0</v>
      </c>
      <c r="S187" s="6">
        <v>18</v>
      </c>
      <c r="T187" s="6">
        <v>0</v>
      </c>
      <c r="U187" s="6">
        <v>0</v>
      </c>
      <c r="V187" s="6">
        <f>IF(ISERROR(VLOOKUP($S$187,'TAR FIN'!$A$1:$O$86,15,0)),0,VLOOKUP($S$187,'TAR FIN'!$A$1:$O$86,15,0))</f>
        <v>19.239999999999998</v>
      </c>
      <c r="W187" s="6">
        <f>IF(ISERROR(VLOOKUP($T$187,'TAR FIN'!$A$1:$O$86,15,0)),0,VLOOKUP($T$187,'TAR FIN'!$A$1:$O$86,15,0))</f>
        <v>0</v>
      </c>
      <c r="X187" s="6">
        <f>IF(ISERROR(VLOOKUP($U$187,'TAR FIN'!$A$1:$O$86,15,0)),0,VLOOKUP($U$187,'TAR FIN'!$A$1:$O$86,15,0))</f>
        <v>0</v>
      </c>
      <c r="Y187" s="6">
        <f ca="1">('TUSD BE'!$AM$11+'TUSD BF_350'!$AM$11+'TUSD CVA'!$AM$11)*1</f>
        <v>15.19295792072058</v>
      </c>
      <c r="Z187" s="6"/>
      <c r="AA187" s="6"/>
      <c r="AB187" s="6">
        <f>$K$187*$V$187</f>
        <v>500.23999999999995</v>
      </c>
      <c r="AC187" s="6">
        <f>$M$187*$W$187</f>
        <v>0</v>
      </c>
      <c r="AD187" s="6">
        <f>$O$187*$X$187</f>
        <v>0</v>
      </c>
      <c r="AE187" s="6">
        <f ca="1">$K$187*$Y$187</f>
        <v>395.01690593873508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38</v>
      </c>
      <c r="C188" s="4" t="s">
        <v>40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33</v>
      </c>
      <c r="I188" s="5">
        <v>44378</v>
      </c>
      <c r="J188" s="6">
        <v>0</v>
      </c>
      <c r="K188" s="6">
        <v>0</v>
      </c>
      <c r="L188" s="6">
        <v>61.9</v>
      </c>
      <c r="M188" s="6">
        <v>61.9</v>
      </c>
      <c r="N188" s="6">
        <v>61.9</v>
      </c>
      <c r="O188" s="6">
        <v>61.9</v>
      </c>
      <c r="P188" s="6">
        <v>0</v>
      </c>
      <c r="Q188" s="4" t="s">
        <v>26</v>
      </c>
      <c r="R188" s="4">
        <v>0</v>
      </c>
      <c r="S188" s="6">
        <v>0</v>
      </c>
      <c r="T188" s="6">
        <v>16</v>
      </c>
      <c r="U188" s="6">
        <v>47</v>
      </c>
      <c r="V188" s="6">
        <f>IF(ISERROR(VLOOKUP($S$188,'TAR FIN'!$A$1:$O$86,15,0)),0,VLOOKUP($S$188,'TAR FIN'!$A$1:$O$86,15,0))</f>
        <v>0</v>
      </c>
      <c r="W188" s="6">
        <f>IF(ISERROR(VLOOKUP($T$188,'TAR FIN'!$A$1:$O$86,15,0)),0,VLOOKUP($T$188,'TAR FIN'!$A$1:$O$86,15,0))</f>
        <v>1329.67</v>
      </c>
      <c r="X188" s="6">
        <f>IF(ISERROR(VLOOKUP($U$188,'TAR FIN'!$A$1:$O$86,15,0)),0,VLOOKUP($U$188,'TAR FIN'!$A$1:$O$86,15,0))</f>
        <v>389.21</v>
      </c>
      <c r="Y188" s="6"/>
      <c r="Z188" s="6">
        <f ca="1">('TUSD BE'!$AM$12+'TUSD BF_350'!$AM$12+'TUSD CVA'!$AM$12)*1</f>
        <v>1074.3612836602365</v>
      </c>
      <c r="AA188" s="6">
        <f ca="1">('TE BE'!$AB$5+'TE BF_350'!$AB$5+'TE CVA'!$AB$5)*1</f>
        <v>353.55100010229148</v>
      </c>
      <c r="AB188" s="6">
        <f>$K$188*$V$188</f>
        <v>0</v>
      </c>
      <c r="AC188" s="6">
        <f>$M$188*$W$188</f>
        <v>82306.573000000004</v>
      </c>
      <c r="AD188" s="6">
        <f>$O$188*$X$188</f>
        <v>24092.098999999998</v>
      </c>
      <c r="AE188" s="6">
        <f>$K$188*$Y$188</f>
        <v>0</v>
      </c>
      <c r="AF188" s="6">
        <f ca="1">$M$188*$Z$188</f>
        <v>66502.963458568644</v>
      </c>
      <c r="AG188" s="6">
        <f ca="1">$O$188*$AA$188</f>
        <v>21884.806906331843</v>
      </c>
    </row>
    <row r="189" spans="1:33" ht="11.25" customHeight="1" x14ac:dyDescent="0.25">
      <c r="A189" s="4" t="s">
        <v>21</v>
      </c>
      <c r="B189" s="4" t="s">
        <v>38</v>
      </c>
      <c r="C189" s="4" t="s">
        <v>40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33</v>
      </c>
      <c r="I189" s="5">
        <v>44409</v>
      </c>
      <c r="J189" s="6">
        <v>0</v>
      </c>
      <c r="K189" s="6">
        <v>0</v>
      </c>
      <c r="L189" s="6">
        <v>56.838000000000001</v>
      </c>
      <c r="M189" s="6">
        <v>56.838000000000001</v>
      </c>
      <c r="N189" s="6">
        <v>56.838000000000001</v>
      </c>
      <c r="O189" s="6">
        <v>56.838000000000001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16</v>
      </c>
      <c r="U189" s="6">
        <v>47</v>
      </c>
      <c r="V189" s="6">
        <f>IF(ISERROR(VLOOKUP($S$189,'TAR FIN'!$A$1:$O$86,15,0)),0,VLOOKUP($S$189,'TAR FIN'!$A$1:$O$86,15,0))</f>
        <v>0</v>
      </c>
      <c r="W189" s="6">
        <f>IF(ISERROR(VLOOKUP($T$189,'TAR FIN'!$A$1:$O$86,15,0)),0,VLOOKUP($T$189,'TAR FIN'!$A$1:$O$86,15,0))</f>
        <v>1329.67</v>
      </c>
      <c r="X189" s="6">
        <f>IF(ISERROR(VLOOKUP($U$189,'TAR FIN'!$A$1:$O$86,15,0)),0,VLOOKUP($U$189,'TAR FIN'!$A$1:$O$86,15,0))</f>
        <v>389.21</v>
      </c>
      <c r="Y189" s="6"/>
      <c r="Z189" s="6">
        <f ca="1">('TUSD BE'!$AM$12+'TUSD BF_350'!$AM$12+'TUSD CVA'!$AM$12)*1</f>
        <v>1074.3612836602365</v>
      </c>
      <c r="AA189" s="6">
        <f ca="1">('TE BE'!$AB$5+'TE BF_350'!$AB$5+'TE CVA'!$AB$5)*1</f>
        <v>353.55100010229148</v>
      </c>
      <c r="AB189" s="6">
        <f>$K$189*$V$189</f>
        <v>0</v>
      </c>
      <c r="AC189" s="6">
        <f>$M$189*$W$189</f>
        <v>75575.783460000006</v>
      </c>
      <c r="AD189" s="6">
        <f>$O$189*$X$189</f>
        <v>22121.917979999998</v>
      </c>
      <c r="AE189" s="6">
        <f>$K$189*$Y$189</f>
        <v>0</v>
      </c>
      <c r="AF189" s="6">
        <f ca="1">$M$189*$Z$189</f>
        <v>61064.546640680521</v>
      </c>
      <c r="AG189" s="6">
        <f ca="1">$O$189*$AA$189</f>
        <v>20095.131743814043</v>
      </c>
    </row>
    <row r="190" spans="1:33" ht="11.25" customHeight="1" x14ac:dyDescent="0.25">
      <c r="A190" s="4" t="s">
        <v>21</v>
      </c>
      <c r="B190" s="4" t="s">
        <v>38</v>
      </c>
      <c r="C190" s="4" t="s">
        <v>40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33</v>
      </c>
      <c r="I190" s="5">
        <v>44440</v>
      </c>
      <c r="J190" s="6">
        <v>0</v>
      </c>
      <c r="K190" s="6">
        <v>0</v>
      </c>
      <c r="L190" s="6">
        <v>52.494</v>
      </c>
      <c r="M190" s="6">
        <v>52.494</v>
      </c>
      <c r="N190" s="6">
        <v>52.494</v>
      </c>
      <c r="O190" s="6">
        <v>52.494</v>
      </c>
      <c r="P190" s="6">
        <v>0</v>
      </c>
      <c r="Q190" s="4" t="s">
        <v>26</v>
      </c>
      <c r="R190" s="4">
        <v>0</v>
      </c>
      <c r="S190" s="6">
        <v>0</v>
      </c>
      <c r="T190" s="6">
        <v>16</v>
      </c>
      <c r="U190" s="6">
        <v>47</v>
      </c>
      <c r="V190" s="6">
        <f>IF(ISERROR(VLOOKUP($S$190,'TAR FIN'!$A$1:$O$86,15,0)),0,VLOOKUP($S$190,'TAR FIN'!$A$1:$O$86,15,0))</f>
        <v>0</v>
      </c>
      <c r="W190" s="6">
        <f>IF(ISERROR(VLOOKUP($T$190,'TAR FIN'!$A$1:$O$86,15,0)),0,VLOOKUP($T$190,'TAR FIN'!$A$1:$O$86,15,0))</f>
        <v>1329.67</v>
      </c>
      <c r="X190" s="6">
        <f>IF(ISERROR(VLOOKUP($U$190,'TAR FIN'!$A$1:$O$86,15,0)),0,VLOOKUP($U$190,'TAR FIN'!$A$1:$O$86,15,0))</f>
        <v>389.21</v>
      </c>
      <c r="Y190" s="6"/>
      <c r="Z190" s="6">
        <f ca="1">('TUSD BE'!$AM$12+'TUSD BF_350'!$AM$12+'TUSD CVA'!$AM$12)*1</f>
        <v>1074.3612836602365</v>
      </c>
      <c r="AA190" s="6">
        <f ca="1">('TE BE'!$AB$5+'TE BF_350'!$AB$5+'TE CVA'!$AB$5)*1</f>
        <v>353.55100010229148</v>
      </c>
      <c r="AB190" s="6">
        <f>$K$190*$V$190</f>
        <v>0</v>
      </c>
      <c r="AC190" s="6">
        <f>$M$190*$W$190</f>
        <v>69799.696980000008</v>
      </c>
      <c r="AD190" s="6">
        <f>$O$190*$X$190</f>
        <v>20431.189739999998</v>
      </c>
      <c r="AE190" s="6">
        <f>$K$190*$Y$190</f>
        <v>0</v>
      </c>
      <c r="AF190" s="6">
        <f ca="1">$M$190*$Z$190</f>
        <v>56397.521224460455</v>
      </c>
      <c r="AG190" s="6">
        <f ca="1">$O$190*$AA$190</f>
        <v>18559.30619936969</v>
      </c>
    </row>
    <row r="191" spans="1:33" ht="11.25" customHeight="1" x14ac:dyDescent="0.25">
      <c r="A191" s="4" t="s">
        <v>21</v>
      </c>
      <c r="B191" s="4" t="s">
        <v>38</v>
      </c>
      <c r="C191" s="4" t="s">
        <v>40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33</v>
      </c>
      <c r="I191" s="5">
        <v>44470</v>
      </c>
      <c r="J191" s="6">
        <v>0</v>
      </c>
      <c r="K191" s="6">
        <v>0</v>
      </c>
      <c r="L191" s="6">
        <v>56.337000000000003</v>
      </c>
      <c r="M191" s="6">
        <v>56.337000000000003</v>
      </c>
      <c r="N191" s="6">
        <v>56.337000000000003</v>
      </c>
      <c r="O191" s="6">
        <v>56.337000000000003</v>
      </c>
      <c r="P191" s="6">
        <v>0</v>
      </c>
      <c r="Q191" s="4" t="s">
        <v>26</v>
      </c>
      <c r="R191" s="4">
        <v>0</v>
      </c>
      <c r="S191" s="6">
        <v>0</v>
      </c>
      <c r="T191" s="6">
        <v>16</v>
      </c>
      <c r="U191" s="6">
        <v>47</v>
      </c>
      <c r="V191" s="6">
        <f>IF(ISERROR(VLOOKUP($S$191,'TAR FIN'!$A$1:$O$86,15,0)),0,VLOOKUP($S$191,'TAR FIN'!$A$1:$O$86,15,0))</f>
        <v>0</v>
      </c>
      <c r="W191" s="6">
        <f>IF(ISERROR(VLOOKUP($T$191,'TAR FIN'!$A$1:$O$86,15,0)),0,VLOOKUP($T$191,'TAR FIN'!$A$1:$O$86,15,0))</f>
        <v>1329.67</v>
      </c>
      <c r="X191" s="6">
        <f>IF(ISERROR(VLOOKUP($U$191,'TAR FIN'!$A$1:$O$86,15,0)),0,VLOOKUP($U$191,'TAR FIN'!$A$1:$O$86,15,0))</f>
        <v>389.21</v>
      </c>
      <c r="Y191" s="6"/>
      <c r="Z191" s="6">
        <f ca="1">('TUSD BE'!$AM$12+'TUSD BF_350'!$AM$12+'TUSD CVA'!$AM$12)*1</f>
        <v>1074.3612836602365</v>
      </c>
      <c r="AA191" s="6">
        <f ca="1">('TE BE'!$AB$5+'TE BF_350'!$AB$5+'TE CVA'!$AB$5)*1</f>
        <v>353.55100010229148</v>
      </c>
      <c r="AB191" s="6">
        <f>$K$191*$V$191</f>
        <v>0</v>
      </c>
      <c r="AC191" s="6">
        <f>$M$191*$W$191</f>
        <v>74909.618790000008</v>
      </c>
      <c r="AD191" s="6">
        <f>$O$191*$X$191</f>
        <v>21926.923770000001</v>
      </c>
      <c r="AE191" s="6">
        <f>$K$191*$Y$191</f>
        <v>0</v>
      </c>
      <c r="AF191" s="6">
        <f ca="1">$M$191*$Z$191</f>
        <v>60526.291637566748</v>
      </c>
      <c r="AG191" s="6">
        <f ca="1">$O$191*$AA$191</f>
        <v>19918.002692762795</v>
      </c>
    </row>
    <row r="192" spans="1:33" ht="11.25" customHeight="1" x14ac:dyDescent="0.25">
      <c r="A192" s="4" t="s">
        <v>21</v>
      </c>
      <c r="B192" s="4" t="s">
        <v>38</v>
      </c>
      <c r="C192" s="4" t="s">
        <v>40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33</v>
      </c>
      <c r="I192" s="5">
        <v>44501</v>
      </c>
      <c r="J192" s="6">
        <v>0</v>
      </c>
      <c r="K192" s="6">
        <v>0</v>
      </c>
      <c r="L192" s="6">
        <v>71.677000000000007</v>
      </c>
      <c r="M192" s="6">
        <v>71.677000000000007</v>
      </c>
      <c r="N192" s="6">
        <v>71.677000000000007</v>
      </c>
      <c r="O192" s="6">
        <v>71.677000000000007</v>
      </c>
      <c r="P192" s="6">
        <v>0</v>
      </c>
      <c r="Q192" s="4" t="s">
        <v>26</v>
      </c>
      <c r="R192" s="4">
        <v>0</v>
      </c>
      <c r="S192" s="6">
        <v>0</v>
      </c>
      <c r="T192" s="6">
        <v>16</v>
      </c>
      <c r="U192" s="6">
        <v>47</v>
      </c>
      <c r="V192" s="6">
        <f>IF(ISERROR(VLOOKUP($S$192,'TAR FIN'!$A$1:$O$86,15,0)),0,VLOOKUP($S$192,'TAR FIN'!$A$1:$O$86,15,0))</f>
        <v>0</v>
      </c>
      <c r="W192" s="6">
        <f>IF(ISERROR(VLOOKUP($T$192,'TAR FIN'!$A$1:$O$86,15,0)),0,VLOOKUP($T$192,'TAR FIN'!$A$1:$O$86,15,0))</f>
        <v>1329.67</v>
      </c>
      <c r="X192" s="6">
        <f>IF(ISERROR(VLOOKUP($U$192,'TAR FIN'!$A$1:$O$86,15,0)),0,VLOOKUP($U$192,'TAR FIN'!$A$1:$O$86,15,0))</f>
        <v>389.21</v>
      </c>
      <c r="Y192" s="6"/>
      <c r="Z192" s="6">
        <f ca="1">('TUSD BE'!$AM$12+'TUSD BF_350'!$AM$12+'TUSD CVA'!$AM$12)*1</f>
        <v>1074.3612836602365</v>
      </c>
      <c r="AA192" s="6">
        <f ca="1">('TE BE'!$AB$5+'TE BF_350'!$AB$5+'TE CVA'!$AB$5)*1</f>
        <v>353.55100010229148</v>
      </c>
      <c r="AB192" s="6">
        <f>$K$192*$V$192</f>
        <v>0</v>
      </c>
      <c r="AC192" s="6">
        <f>$M$192*$W$192</f>
        <v>95306.756590000019</v>
      </c>
      <c r="AD192" s="6">
        <f>$O$192*$X$192</f>
        <v>27897.405170000002</v>
      </c>
      <c r="AE192" s="6">
        <f>$K$192*$Y$192</f>
        <v>0</v>
      </c>
      <c r="AF192" s="6">
        <f ca="1">$M$192*$Z$192</f>
        <v>77006.993728914778</v>
      </c>
      <c r="AG192" s="6">
        <f ca="1">$O$192*$AA$192</f>
        <v>25341.47503433195</v>
      </c>
    </row>
    <row r="193" spans="1:33" ht="11.25" customHeight="1" x14ac:dyDescent="0.25">
      <c r="A193" s="4" t="s">
        <v>55</v>
      </c>
      <c r="B193" s="4" t="s">
        <v>38</v>
      </c>
      <c r="C193" s="4" t="s">
        <v>40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33</v>
      </c>
      <c r="I193" s="5">
        <v>44501</v>
      </c>
      <c r="J193" s="6">
        <v>0</v>
      </c>
      <c r="K193" s="6">
        <v>0</v>
      </c>
      <c r="L193" s="6">
        <v>1.75</v>
      </c>
      <c r="M193" s="6">
        <v>1.75</v>
      </c>
      <c r="N193" s="6">
        <v>1.75</v>
      </c>
      <c r="O193" s="6">
        <v>1.75</v>
      </c>
      <c r="P193" s="6">
        <v>0</v>
      </c>
      <c r="Q193" s="4" t="s">
        <v>26</v>
      </c>
      <c r="R193" s="4">
        <v>0</v>
      </c>
      <c r="S193" s="6">
        <v>0</v>
      </c>
      <c r="T193" s="6">
        <v>16</v>
      </c>
      <c r="U193" s="6">
        <v>47</v>
      </c>
      <c r="V193" s="6">
        <f>IF(ISERROR(VLOOKUP($S$193,'TAR FIN'!$A$1:$O$86,15,0)),0,VLOOKUP($S$193,'TAR FIN'!$A$1:$O$86,15,0))</f>
        <v>0</v>
      </c>
      <c r="W193" s="6">
        <f>IF(ISERROR(VLOOKUP($T$193,'TAR FIN'!$A$1:$O$86,15,0)),0,VLOOKUP($T$193,'TAR FIN'!$A$1:$O$86,15,0))</f>
        <v>1329.67</v>
      </c>
      <c r="X193" s="6">
        <f>IF(ISERROR(VLOOKUP($U$193,'TAR FIN'!$A$1:$O$86,15,0)),0,VLOOKUP($U$193,'TAR FIN'!$A$1:$O$86,15,0))</f>
        <v>389.21</v>
      </c>
      <c r="Y193" s="6"/>
      <c r="Z193" s="6">
        <f ca="1">('TUSD BE'!$AM$12+'TUSD BF_350'!$AM$12+'TUSD CVA'!$AM$12)*1</f>
        <v>1074.3612836602365</v>
      </c>
      <c r="AA193" s="6">
        <f ca="1">('TE BE'!$AB$5+'TE BF_350'!$AB$5+'TE CVA'!$AB$5)*1</f>
        <v>353.55100010229148</v>
      </c>
      <c r="AB193" s="6">
        <f>$K$193*$V$193</f>
        <v>0</v>
      </c>
      <c r="AC193" s="6">
        <f>$M$193*$W$193</f>
        <v>2326.9225000000001</v>
      </c>
      <c r="AD193" s="6">
        <f>$O$193*$X$193</f>
        <v>681.11749999999995</v>
      </c>
      <c r="AE193" s="6">
        <f>$K$193*$Y$193</f>
        <v>0</v>
      </c>
      <c r="AF193" s="6">
        <f ca="1">$M$193*$Z$193</f>
        <v>1880.1322464054138</v>
      </c>
      <c r="AG193" s="6">
        <f ca="1">$O$193*$AA$193</f>
        <v>618.71425017901015</v>
      </c>
    </row>
    <row r="194" spans="1:33" ht="11.25" customHeight="1" x14ac:dyDescent="0.25">
      <c r="A194" s="4" t="s">
        <v>21</v>
      </c>
      <c r="B194" s="4" t="s">
        <v>38</v>
      </c>
      <c r="C194" s="4" t="s">
        <v>40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33</v>
      </c>
      <c r="I194" s="5">
        <v>44531</v>
      </c>
      <c r="J194" s="6">
        <v>0</v>
      </c>
      <c r="K194" s="6">
        <v>0</v>
      </c>
      <c r="L194" s="6">
        <v>71.185000000000002</v>
      </c>
      <c r="M194" s="6">
        <v>71.185000000000002</v>
      </c>
      <c r="N194" s="6">
        <v>71.185000000000002</v>
      </c>
      <c r="O194" s="6">
        <v>71.185000000000002</v>
      </c>
      <c r="P194" s="6">
        <v>0</v>
      </c>
      <c r="Q194" s="4" t="s">
        <v>26</v>
      </c>
      <c r="R194" s="4">
        <v>0</v>
      </c>
      <c r="S194" s="6">
        <v>0</v>
      </c>
      <c r="T194" s="6">
        <v>16</v>
      </c>
      <c r="U194" s="6">
        <v>47</v>
      </c>
      <c r="V194" s="6">
        <f>IF(ISERROR(VLOOKUP($S$194,'TAR FIN'!$A$1:$O$86,15,0)),0,VLOOKUP($S$194,'TAR FIN'!$A$1:$O$86,15,0))</f>
        <v>0</v>
      </c>
      <c r="W194" s="6">
        <f>IF(ISERROR(VLOOKUP($T$194,'TAR FIN'!$A$1:$O$86,15,0)),0,VLOOKUP($T$194,'TAR FIN'!$A$1:$O$86,15,0))</f>
        <v>1329.67</v>
      </c>
      <c r="X194" s="6">
        <f>IF(ISERROR(VLOOKUP($U$194,'TAR FIN'!$A$1:$O$86,15,0)),0,VLOOKUP($U$194,'TAR FIN'!$A$1:$O$86,15,0))</f>
        <v>389.21</v>
      </c>
      <c r="Y194" s="6"/>
      <c r="Z194" s="6">
        <f ca="1">('TUSD BE'!$AM$12+'TUSD BF_350'!$AM$12+'TUSD CVA'!$AM$12)*1</f>
        <v>1074.3612836602365</v>
      </c>
      <c r="AA194" s="6">
        <f ca="1">('TE BE'!$AB$5+'TE BF_350'!$AB$5+'TE CVA'!$AB$5)*1</f>
        <v>353.55100010229148</v>
      </c>
      <c r="AB194" s="6">
        <f>$K$194*$V$194</f>
        <v>0</v>
      </c>
      <c r="AC194" s="6">
        <f>$M$194*$W$194</f>
        <v>94652.558950000006</v>
      </c>
      <c r="AD194" s="6">
        <f>$O$194*$X$194</f>
        <v>27705.913850000001</v>
      </c>
      <c r="AE194" s="6">
        <f>$K$194*$Y$194</f>
        <v>0</v>
      </c>
      <c r="AF194" s="6">
        <f ca="1">$M$194*$Z$194</f>
        <v>76478.407977353942</v>
      </c>
      <c r="AG194" s="6">
        <f ca="1">$O$194*$AA$194</f>
        <v>25167.52794228162</v>
      </c>
    </row>
    <row r="195" spans="1:33" ht="11.25" customHeight="1" x14ac:dyDescent="0.25">
      <c r="A195" s="4" t="s">
        <v>21</v>
      </c>
      <c r="B195" s="4" t="s">
        <v>38</v>
      </c>
      <c r="C195" s="4" t="s">
        <v>40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33</v>
      </c>
      <c r="I195" s="5">
        <v>44562</v>
      </c>
      <c r="J195" s="6">
        <v>0</v>
      </c>
      <c r="K195" s="6">
        <v>0</v>
      </c>
      <c r="L195" s="6">
        <v>68.304000000000002</v>
      </c>
      <c r="M195" s="6">
        <v>68.304000000000002</v>
      </c>
      <c r="N195" s="6">
        <v>68.304000000000002</v>
      </c>
      <c r="O195" s="6">
        <v>68.304000000000002</v>
      </c>
      <c r="P195" s="6">
        <v>0</v>
      </c>
      <c r="Q195" s="4" t="s">
        <v>26</v>
      </c>
      <c r="R195" s="4">
        <v>0</v>
      </c>
      <c r="S195" s="6">
        <v>0</v>
      </c>
      <c r="T195" s="6">
        <v>16</v>
      </c>
      <c r="U195" s="6">
        <v>47</v>
      </c>
      <c r="V195" s="6">
        <f>IF(ISERROR(VLOOKUP($S$195,'TAR FIN'!$A$1:$O$86,15,0)),0,VLOOKUP($S$195,'TAR FIN'!$A$1:$O$86,15,0))</f>
        <v>0</v>
      </c>
      <c r="W195" s="6">
        <f>IF(ISERROR(VLOOKUP($T$195,'TAR FIN'!$A$1:$O$86,15,0)),0,VLOOKUP($T$195,'TAR FIN'!$A$1:$O$86,15,0))</f>
        <v>1329.67</v>
      </c>
      <c r="X195" s="6">
        <f>IF(ISERROR(VLOOKUP($U$195,'TAR FIN'!$A$1:$O$86,15,0)),0,VLOOKUP($U$195,'TAR FIN'!$A$1:$O$86,15,0))</f>
        <v>389.21</v>
      </c>
      <c r="Y195" s="6"/>
      <c r="Z195" s="6">
        <f ca="1">('TUSD BE'!$AM$12+'TUSD BF_350'!$AM$12+'TUSD CVA'!$AM$12)*1</f>
        <v>1074.3612836602365</v>
      </c>
      <c r="AA195" s="6">
        <f ca="1">('TE BE'!$AB$5+'TE BF_350'!$AB$5+'TE CVA'!$AB$5)*1</f>
        <v>353.55100010229148</v>
      </c>
      <c r="AB195" s="6">
        <f>$K$195*$V$195</f>
        <v>0</v>
      </c>
      <c r="AC195" s="6">
        <f>$M$195*$W$195</f>
        <v>90821.779680000007</v>
      </c>
      <c r="AD195" s="6">
        <f>$O$195*$X$195</f>
        <v>26584.599839999999</v>
      </c>
      <c r="AE195" s="6">
        <f>$K$195*$Y$195</f>
        <v>0</v>
      </c>
      <c r="AF195" s="6">
        <f ca="1">$M$195*$Z$195</f>
        <v>73383.173119128798</v>
      </c>
      <c r="AG195" s="6">
        <f ca="1">$O$195*$AA$195</f>
        <v>24148.947510986916</v>
      </c>
    </row>
    <row r="196" spans="1:33" ht="11.25" customHeight="1" x14ac:dyDescent="0.25">
      <c r="A196" s="4" t="s">
        <v>55</v>
      </c>
      <c r="B196" s="4" t="s">
        <v>38</v>
      </c>
      <c r="C196" s="4" t="s">
        <v>40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33</v>
      </c>
      <c r="I196" s="5">
        <v>44562</v>
      </c>
      <c r="J196" s="6">
        <v>0</v>
      </c>
      <c r="K196" s="6">
        <v>0</v>
      </c>
      <c r="L196" s="6">
        <v>0.13400000000000001</v>
      </c>
      <c r="M196" s="6">
        <v>0.13400000000000001</v>
      </c>
      <c r="N196" s="6">
        <v>0.13400000000000001</v>
      </c>
      <c r="O196" s="6">
        <v>0.13400000000000001</v>
      </c>
      <c r="P196" s="6">
        <v>0</v>
      </c>
      <c r="Q196" s="4" t="s">
        <v>26</v>
      </c>
      <c r="R196" s="4">
        <v>0</v>
      </c>
      <c r="S196" s="6">
        <v>0</v>
      </c>
      <c r="T196" s="6">
        <v>16</v>
      </c>
      <c r="U196" s="6">
        <v>47</v>
      </c>
      <c r="V196" s="6">
        <f>IF(ISERROR(VLOOKUP($S$196,'TAR FIN'!$A$1:$O$86,15,0)),0,VLOOKUP($S$196,'TAR FIN'!$A$1:$O$86,15,0))</f>
        <v>0</v>
      </c>
      <c r="W196" s="6">
        <f>IF(ISERROR(VLOOKUP($T$196,'TAR FIN'!$A$1:$O$86,15,0)),0,VLOOKUP($T$196,'TAR FIN'!$A$1:$O$86,15,0))</f>
        <v>1329.67</v>
      </c>
      <c r="X196" s="6">
        <f>IF(ISERROR(VLOOKUP($U$196,'TAR FIN'!$A$1:$O$86,15,0)),0,VLOOKUP($U$196,'TAR FIN'!$A$1:$O$86,15,0))</f>
        <v>389.21</v>
      </c>
      <c r="Y196" s="6"/>
      <c r="Z196" s="6">
        <f ca="1">('TUSD BE'!$AM$12+'TUSD BF_350'!$AM$12+'TUSD CVA'!$AM$12)*1</f>
        <v>1074.3612836602365</v>
      </c>
      <c r="AA196" s="6">
        <f ca="1">('TE BE'!$AB$5+'TE BF_350'!$AB$5+'TE CVA'!$AB$5)*1</f>
        <v>353.55100010229148</v>
      </c>
      <c r="AB196" s="6">
        <f>$K$196*$V$196</f>
        <v>0</v>
      </c>
      <c r="AC196" s="6">
        <f>$M$196*$W$196</f>
        <v>178.17578000000003</v>
      </c>
      <c r="AD196" s="6">
        <f>$O$196*$X$196</f>
        <v>52.154139999999998</v>
      </c>
      <c r="AE196" s="6">
        <f>$K$196*$Y$196</f>
        <v>0</v>
      </c>
      <c r="AF196" s="6">
        <f ca="1">$M$196*$Z$196</f>
        <v>143.9644120104717</v>
      </c>
      <c r="AG196" s="6">
        <f ca="1">$O$196*$AA$196</f>
        <v>47.375834013707063</v>
      </c>
    </row>
    <row r="197" spans="1:33" ht="11.25" customHeight="1" x14ac:dyDescent="0.25">
      <c r="A197" s="4" t="s">
        <v>21</v>
      </c>
      <c r="B197" s="4" t="s">
        <v>38</v>
      </c>
      <c r="C197" s="4" t="s">
        <v>40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33</v>
      </c>
      <c r="I197" s="5">
        <v>44593</v>
      </c>
      <c r="J197" s="6">
        <v>0</v>
      </c>
      <c r="K197" s="6">
        <v>0</v>
      </c>
      <c r="L197" s="6">
        <v>56.64</v>
      </c>
      <c r="M197" s="6">
        <v>56.64</v>
      </c>
      <c r="N197" s="6">
        <v>56.64</v>
      </c>
      <c r="O197" s="6">
        <v>56.64</v>
      </c>
      <c r="P197" s="6">
        <v>0</v>
      </c>
      <c r="Q197" s="4" t="s">
        <v>26</v>
      </c>
      <c r="R197" s="4">
        <v>0</v>
      </c>
      <c r="S197" s="6">
        <v>0</v>
      </c>
      <c r="T197" s="6">
        <v>16</v>
      </c>
      <c r="U197" s="6">
        <v>47</v>
      </c>
      <c r="V197" s="6">
        <f>IF(ISERROR(VLOOKUP($S$197,'TAR FIN'!$A$1:$O$86,15,0)),0,VLOOKUP($S$197,'TAR FIN'!$A$1:$O$86,15,0))</f>
        <v>0</v>
      </c>
      <c r="W197" s="6">
        <f>IF(ISERROR(VLOOKUP($T$197,'TAR FIN'!$A$1:$O$86,15,0)),0,VLOOKUP($T$197,'TAR FIN'!$A$1:$O$86,15,0))</f>
        <v>1329.67</v>
      </c>
      <c r="X197" s="6">
        <f>IF(ISERROR(VLOOKUP($U$197,'TAR FIN'!$A$1:$O$86,15,0)),0,VLOOKUP($U$197,'TAR FIN'!$A$1:$O$86,15,0))</f>
        <v>389.21</v>
      </c>
      <c r="Y197" s="6"/>
      <c r="Z197" s="6">
        <f ca="1">('TUSD BE'!$AM$12+'TUSD BF_350'!$AM$12+'TUSD CVA'!$AM$12)*1</f>
        <v>1074.3612836602365</v>
      </c>
      <c r="AA197" s="6">
        <f ca="1">('TE BE'!$AB$5+'TE BF_350'!$AB$5+'TE CVA'!$AB$5)*1</f>
        <v>353.55100010229148</v>
      </c>
      <c r="AB197" s="6">
        <f>$K$197*$V$197</f>
        <v>0</v>
      </c>
      <c r="AC197" s="6">
        <f>$M$197*$W$197</f>
        <v>75312.508800000011</v>
      </c>
      <c r="AD197" s="6">
        <f>$O$197*$X$197</f>
        <v>22044.8544</v>
      </c>
      <c r="AE197" s="6">
        <f>$K$197*$Y$197</f>
        <v>0</v>
      </c>
      <c r="AF197" s="6">
        <f ca="1">$M$197*$Z$197</f>
        <v>60851.823106515796</v>
      </c>
      <c r="AG197" s="6">
        <f ca="1">$O$197*$AA$197</f>
        <v>20025.128645793789</v>
      </c>
    </row>
    <row r="198" spans="1:33" ht="11.25" customHeight="1" x14ac:dyDescent="0.25">
      <c r="A198" s="4" t="s">
        <v>55</v>
      </c>
      <c r="B198" s="4" t="s">
        <v>38</v>
      </c>
      <c r="C198" s="4" t="s">
        <v>40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33</v>
      </c>
      <c r="I198" s="5">
        <v>44593</v>
      </c>
      <c r="J198" s="6">
        <v>0</v>
      </c>
      <c r="K198" s="6">
        <v>0</v>
      </c>
      <c r="L198" s="6">
        <v>3.1629999999999998</v>
      </c>
      <c r="M198" s="6">
        <v>3.1629999999999998</v>
      </c>
      <c r="N198" s="6">
        <v>3.1629999999999998</v>
      </c>
      <c r="O198" s="6">
        <v>3.1629999999999998</v>
      </c>
      <c r="P198" s="6">
        <v>0</v>
      </c>
      <c r="Q198" s="4" t="s">
        <v>26</v>
      </c>
      <c r="R198" s="4">
        <v>0</v>
      </c>
      <c r="S198" s="6">
        <v>0</v>
      </c>
      <c r="T198" s="6">
        <v>16</v>
      </c>
      <c r="U198" s="6">
        <v>47</v>
      </c>
      <c r="V198" s="6">
        <f>IF(ISERROR(VLOOKUP($S$198,'TAR FIN'!$A$1:$O$86,15,0)),0,VLOOKUP($S$198,'TAR FIN'!$A$1:$O$86,15,0))</f>
        <v>0</v>
      </c>
      <c r="W198" s="6">
        <f>IF(ISERROR(VLOOKUP($T$198,'TAR FIN'!$A$1:$O$86,15,0)),0,VLOOKUP($T$198,'TAR FIN'!$A$1:$O$86,15,0))</f>
        <v>1329.67</v>
      </c>
      <c r="X198" s="6">
        <f>IF(ISERROR(VLOOKUP($U$198,'TAR FIN'!$A$1:$O$86,15,0)),0,VLOOKUP($U$198,'TAR FIN'!$A$1:$O$86,15,0))</f>
        <v>389.21</v>
      </c>
      <c r="Y198" s="6"/>
      <c r="Z198" s="6">
        <f ca="1">('TUSD BE'!$AM$12+'TUSD BF_350'!$AM$12+'TUSD CVA'!$AM$12)*1</f>
        <v>1074.3612836602365</v>
      </c>
      <c r="AA198" s="6">
        <f ca="1">('TE BE'!$AB$5+'TE BF_350'!$AB$5+'TE CVA'!$AB$5)*1</f>
        <v>353.55100010229148</v>
      </c>
      <c r="AB198" s="6">
        <f>$K$198*$V$198</f>
        <v>0</v>
      </c>
      <c r="AC198" s="6">
        <f>$M$198*$W$198</f>
        <v>4205.7462100000002</v>
      </c>
      <c r="AD198" s="6">
        <f>$O$198*$X$198</f>
        <v>1231.0712299999998</v>
      </c>
      <c r="AE198" s="6">
        <f>$K$198*$Y$198</f>
        <v>0</v>
      </c>
      <c r="AF198" s="6">
        <f ca="1">$M$198*$Z$198</f>
        <v>3398.204740217328</v>
      </c>
      <c r="AG198" s="6">
        <f ca="1">$O$198*$AA$198</f>
        <v>1118.2818133235478</v>
      </c>
    </row>
    <row r="199" spans="1:33" ht="11.25" customHeight="1" x14ac:dyDescent="0.25">
      <c r="A199" s="4" t="s">
        <v>21</v>
      </c>
      <c r="B199" s="4" t="s">
        <v>38</v>
      </c>
      <c r="C199" s="4" t="s">
        <v>40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33</v>
      </c>
      <c r="I199" s="5">
        <v>44621</v>
      </c>
      <c r="J199" s="6">
        <v>0</v>
      </c>
      <c r="K199" s="6">
        <v>0</v>
      </c>
      <c r="L199" s="6">
        <v>69.090999999999994</v>
      </c>
      <c r="M199" s="6">
        <v>69.090999999999994</v>
      </c>
      <c r="N199" s="6">
        <v>69.090999999999994</v>
      </c>
      <c r="O199" s="6">
        <v>69.090999999999994</v>
      </c>
      <c r="P199" s="6">
        <v>0</v>
      </c>
      <c r="Q199" s="4" t="s">
        <v>26</v>
      </c>
      <c r="R199" s="4">
        <v>0</v>
      </c>
      <c r="S199" s="6">
        <v>0</v>
      </c>
      <c r="T199" s="6">
        <v>16</v>
      </c>
      <c r="U199" s="6">
        <v>47</v>
      </c>
      <c r="V199" s="6">
        <f>IF(ISERROR(VLOOKUP($S$199,'TAR FIN'!$A$1:$O$86,15,0)),0,VLOOKUP($S$199,'TAR FIN'!$A$1:$O$86,15,0))</f>
        <v>0</v>
      </c>
      <c r="W199" s="6">
        <f>IF(ISERROR(VLOOKUP($T$199,'TAR FIN'!$A$1:$O$86,15,0)),0,VLOOKUP($T$199,'TAR FIN'!$A$1:$O$86,15,0))</f>
        <v>1329.67</v>
      </c>
      <c r="X199" s="6">
        <f>IF(ISERROR(VLOOKUP($U$199,'TAR FIN'!$A$1:$O$86,15,0)),0,VLOOKUP($U$199,'TAR FIN'!$A$1:$O$86,15,0))</f>
        <v>389.21</v>
      </c>
      <c r="Y199" s="6"/>
      <c r="Z199" s="6">
        <f ca="1">('TUSD BE'!$AM$12+'TUSD BF_350'!$AM$12+'TUSD CVA'!$AM$12)*1</f>
        <v>1074.3612836602365</v>
      </c>
      <c r="AA199" s="6">
        <f ca="1">('TE BE'!$AB$5+'TE BF_350'!$AB$5+'TE CVA'!$AB$5)*1</f>
        <v>353.55100010229148</v>
      </c>
      <c r="AB199" s="6">
        <f>$K$199*$V$199</f>
        <v>0</v>
      </c>
      <c r="AC199" s="6">
        <f>$M$199*$W$199</f>
        <v>91868.22997</v>
      </c>
      <c r="AD199" s="6">
        <f>$O$199*$X$199</f>
        <v>26890.908109999997</v>
      </c>
      <c r="AE199" s="6">
        <f>$K$199*$Y$199</f>
        <v>0</v>
      </c>
      <c r="AF199" s="6">
        <f ca="1">$M$199*$Z$199</f>
        <v>74228.695449369392</v>
      </c>
      <c r="AG199" s="6">
        <f ca="1">$O$199*$AA$199</f>
        <v>24427.192148067417</v>
      </c>
    </row>
    <row r="200" spans="1:33" ht="11.25" customHeight="1" x14ac:dyDescent="0.25">
      <c r="A200" s="4" t="s">
        <v>55</v>
      </c>
      <c r="B200" s="4" t="s">
        <v>38</v>
      </c>
      <c r="C200" s="4" t="s">
        <v>40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33</v>
      </c>
      <c r="I200" s="5">
        <v>44621</v>
      </c>
      <c r="J200" s="6">
        <v>0</v>
      </c>
      <c r="K200" s="6">
        <v>0</v>
      </c>
      <c r="L200" s="6">
        <v>3.5049999999999999</v>
      </c>
      <c r="M200" s="6">
        <v>3.5049999999999999</v>
      </c>
      <c r="N200" s="6">
        <v>3.5049999999999999</v>
      </c>
      <c r="O200" s="6">
        <v>3.5049999999999999</v>
      </c>
      <c r="P200" s="6">
        <v>0</v>
      </c>
      <c r="Q200" s="4" t="s">
        <v>26</v>
      </c>
      <c r="R200" s="4">
        <v>0</v>
      </c>
      <c r="S200" s="6">
        <v>0</v>
      </c>
      <c r="T200" s="6">
        <v>16</v>
      </c>
      <c r="U200" s="6">
        <v>47</v>
      </c>
      <c r="V200" s="6">
        <f>IF(ISERROR(VLOOKUP($S$200,'TAR FIN'!$A$1:$O$86,15,0)),0,VLOOKUP($S$200,'TAR FIN'!$A$1:$O$86,15,0))</f>
        <v>0</v>
      </c>
      <c r="W200" s="6">
        <f>IF(ISERROR(VLOOKUP($T$200,'TAR FIN'!$A$1:$O$86,15,0)),0,VLOOKUP($T$200,'TAR FIN'!$A$1:$O$86,15,0))</f>
        <v>1329.67</v>
      </c>
      <c r="X200" s="6">
        <f>IF(ISERROR(VLOOKUP($U$200,'TAR FIN'!$A$1:$O$86,15,0)),0,VLOOKUP($U$200,'TAR FIN'!$A$1:$O$86,15,0))</f>
        <v>389.21</v>
      </c>
      <c r="Y200" s="6"/>
      <c r="Z200" s="6">
        <f ca="1">('TUSD BE'!$AM$12+'TUSD BF_350'!$AM$12+'TUSD CVA'!$AM$12)*1</f>
        <v>1074.3612836602365</v>
      </c>
      <c r="AA200" s="6">
        <f ca="1">('TE BE'!$AB$5+'TE BF_350'!$AB$5+'TE CVA'!$AB$5)*1</f>
        <v>353.55100010229148</v>
      </c>
      <c r="AB200" s="6">
        <f>$K$200*$V$200</f>
        <v>0</v>
      </c>
      <c r="AC200" s="6">
        <f>$M$200*$W$200</f>
        <v>4660.4933499999997</v>
      </c>
      <c r="AD200" s="6">
        <f>$O$200*$X$200</f>
        <v>1364.1810499999999</v>
      </c>
      <c r="AE200" s="6">
        <f>$K$200*$Y$200</f>
        <v>0</v>
      </c>
      <c r="AF200" s="6">
        <f ca="1">$M$200*$Z$200</f>
        <v>3765.6362992291288</v>
      </c>
      <c r="AG200" s="6">
        <f ca="1">$O$200*$AA$200</f>
        <v>1239.1962553585315</v>
      </c>
    </row>
    <row r="201" spans="1:33" ht="11.25" customHeight="1" x14ac:dyDescent="0.25">
      <c r="A201" s="4" t="s">
        <v>21</v>
      </c>
      <c r="B201" s="4" t="s">
        <v>38</v>
      </c>
      <c r="C201" s="4" t="s">
        <v>40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33</v>
      </c>
      <c r="I201" s="5">
        <v>44652</v>
      </c>
      <c r="J201" s="6">
        <v>0</v>
      </c>
      <c r="K201" s="6">
        <v>0</v>
      </c>
      <c r="L201" s="6">
        <v>67.497</v>
      </c>
      <c r="M201" s="6">
        <v>67.497</v>
      </c>
      <c r="N201" s="6">
        <v>67.497</v>
      </c>
      <c r="O201" s="6">
        <v>67.497</v>
      </c>
      <c r="P201" s="6">
        <v>0</v>
      </c>
      <c r="Q201" s="4" t="s">
        <v>26</v>
      </c>
      <c r="R201" s="4">
        <v>0</v>
      </c>
      <c r="S201" s="6">
        <v>0</v>
      </c>
      <c r="T201" s="6">
        <v>16</v>
      </c>
      <c r="U201" s="6">
        <v>47</v>
      </c>
      <c r="V201" s="6">
        <f>IF(ISERROR(VLOOKUP($S$201,'TAR FIN'!$A$1:$O$86,15,0)),0,VLOOKUP($S$201,'TAR FIN'!$A$1:$O$86,15,0))</f>
        <v>0</v>
      </c>
      <c r="W201" s="6">
        <f>IF(ISERROR(VLOOKUP($T$201,'TAR FIN'!$A$1:$O$86,15,0)),0,VLOOKUP($T$201,'TAR FIN'!$A$1:$O$86,15,0))</f>
        <v>1329.67</v>
      </c>
      <c r="X201" s="6">
        <f>IF(ISERROR(VLOOKUP($U$201,'TAR FIN'!$A$1:$O$86,15,0)),0,VLOOKUP($U$201,'TAR FIN'!$A$1:$O$86,15,0))</f>
        <v>389.21</v>
      </c>
      <c r="Y201" s="6"/>
      <c r="Z201" s="6">
        <f ca="1">('TUSD BE'!$AM$12+'TUSD BF_350'!$AM$12+'TUSD CVA'!$AM$12)*1</f>
        <v>1074.3612836602365</v>
      </c>
      <c r="AA201" s="6">
        <f ca="1">('TE BE'!$AB$5+'TE BF_350'!$AB$5+'TE CVA'!$AB$5)*1</f>
        <v>353.55100010229148</v>
      </c>
      <c r="AB201" s="6">
        <f>$K$201*$V$201</f>
        <v>0</v>
      </c>
      <c r="AC201" s="6">
        <f>$M$201*$W$201</f>
        <v>89748.735990000001</v>
      </c>
      <c r="AD201" s="6">
        <f>$O$201*$X$201</f>
        <v>26270.507369999999</v>
      </c>
      <c r="AE201" s="6">
        <f>$K$201*$Y$201</f>
        <v>0</v>
      </c>
      <c r="AF201" s="6">
        <f ca="1">$M$201*$Z$201</f>
        <v>72516.163563214985</v>
      </c>
      <c r="AG201" s="6">
        <f ca="1">$O$201*$AA$201</f>
        <v>23863.631853904368</v>
      </c>
    </row>
    <row r="202" spans="1:33" ht="11.25" customHeight="1" x14ac:dyDescent="0.25">
      <c r="A202" s="4" t="s">
        <v>55</v>
      </c>
      <c r="B202" s="4" t="s">
        <v>38</v>
      </c>
      <c r="C202" s="4" t="s">
        <v>40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33</v>
      </c>
      <c r="I202" s="5">
        <v>44652</v>
      </c>
      <c r="J202" s="6">
        <v>0</v>
      </c>
      <c r="K202" s="6">
        <v>0</v>
      </c>
      <c r="L202" s="6">
        <v>2.3639999999999999</v>
      </c>
      <c r="M202" s="6">
        <v>2.3639999999999999</v>
      </c>
      <c r="N202" s="6">
        <v>2.3639999999999999</v>
      </c>
      <c r="O202" s="6">
        <v>2.3639999999999999</v>
      </c>
      <c r="P202" s="6">
        <v>0</v>
      </c>
      <c r="Q202" s="4" t="s">
        <v>26</v>
      </c>
      <c r="R202" s="4">
        <v>0</v>
      </c>
      <c r="S202" s="6">
        <v>0</v>
      </c>
      <c r="T202" s="6">
        <v>16</v>
      </c>
      <c r="U202" s="6">
        <v>47</v>
      </c>
      <c r="V202" s="6">
        <f>IF(ISERROR(VLOOKUP($S$202,'TAR FIN'!$A$1:$O$86,15,0)),0,VLOOKUP($S$202,'TAR FIN'!$A$1:$O$86,15,0))</f>
        <v>0</v>
      </c>
      <c r="W202" s="6">
        <f>IF(ISERROR(VLOOKUP($T$202,'TAR FIN'!$A$1:$O$86,15,0)),0,VLOOKUP($T$202,'TAR FIN'!$A$1:$O$86,15,0))</f>
        <v>1329.67</v>
      </c>
      <c r="X202" s="6">
        <f>IF(ISERROR(VLOOKUP($U$202,'TAR FIN'!$A$1:$O$86,15,0)),0,VLOOKUP($U$202,'TAR FIN'!$A$1:$O$86,15,0))</f>
        <v>389.21</v>
      </c>
      <c r="Y202" s="6"/>
      <c r="Z202" s="6">
        <f ca="1">('TUSD BE'!$AM$12+'TUSD BF_350'!$AM$12+'TUSD CVA'!$AM$12)*1</f>
        <v>1074.3612836602365</v>
      </c>
      <c r="AA202" s="6">
        <f ca="1">('TE BE'!$AB$5+'TE BF_350'!$AB$5+'TE CVA'!$AB$5)*1</f>
        <v>353.55100010229148</v>
      </c>
      <c r="AB202" s="6">
        <f>$K$202*$V$202</f>
        <v>0</v>
      </c>
      <c r="AC202" s="6">
        <f>$M$202*$W$202</f>
        <v>3143.33988</v>
      </c>
      <c r="AD202" s="6">
        <f>$O$202*$X$202</f>
        <v>920.0924399999999</v>
      </c>
      <c r="AE202" s="6">
        <f>$K$202*$Y$202</f>
        <v>0</v>
      </c>
      <c r="AF202" s="6">
        <f ca="1">$M$202*$Z$202</f>
        <v>2539.7900745727989</v>
      </c>
      <c r="AG202" s="6">
        <f ca="1">$O$202*$AA$202</f>
        <v>835.79456424181706</v>
      </c>
    </row>
    <row r="203" spans="1:33" ht="11.25" customHeight="1" x14ac:dyDescent="0.25">
      <c r="A203" s="4" t="s">
        <v>21</v>
      </c>
      <c r="B203" s="4" t="s">
        <v>38</v>
      </c>
      <c r="C203" s="4" t="s">
        <v>40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33</v>
      </c>
      <c r="I203" s="5">
        <v>44682</v>
      </c>
      <c r="J203" s="6">
        <v>0</v>
      </c>
      <c r="K203" s="6">
        <v>0</v>
      </c>
      <c r="L203" s="6">
        <v>62.526000000000003</v>
      </c>
      <c r="M203" s="6">
        <v>62.526000000000003</v>
      </c>
      <c r="N203" s="6">
        <v>62.526000000000003</v>
      </c>
      <c r="O203" s="6">
        <v>62.526000000000003</v>
      </c>
      <c r="P203" s="6">
        <v>0</v>
      </c>
      <c r="Q203" s="4" t="s">
        <v>26</v>
      </c>
      <c r="R203" s="4">
        <v>0</v>
      </c>
      <c r="S203" s="6">
        <v>0</v>
      </c>
      <c r="T203" s="6">
        <v>16</v>
      </c>
      <c r="U203" s="6">
        <v>47</v>
      </c>
      <c r="V203" s="6">
        <f>IF(ISERROR(VLOOKUP($S$203,'TAR FIN'!$A$1:$O$86,15,0)),0,VLOOKUP($S$203,'TAR FIN'!$A$1:$O$86,15,0))</f>
        <v>0</v>
      </c>
      <c r="W203" s="6">
        <f>IF(ISERROR(VLOOKUP($T$203,'TAR FIN'!$A$1:$O$86,15,0)),0,VLOOKUP($T$203,'TAR FIN'!$A$1:$O$86,15,0))</f>
        <v>1329.67</v>
      </c>
      <c r="X203" s="6">
        <f>IF(ISERROR(VLOOKUP($U$203,'TAR FIN'!$A$1:$O$86,15,0)),0,VLOOKUP($U$203,'TAR FIN'!$A$1:$O$86,15,0))</f>
        <v>389.21</v>
      </c>
      <c r="Y203" s="6"/>
      <c r="Z203" s="6">
        <f ca="1">('TUSD BE'!$AM$12+'TUSD BF_350'!$AM$12+'TUSD CVA'!$AM$12)*1</f>
        <v>1074.3612836602365</v>
      </c>
      <c r="AA203" s="6">
        <f ca="1">('TE BE'!$AB$5+'TE BF_350'!$AB$5+'TE CVA'!$AB$5)*1</f>
        <v>353.55100010229148</v>
      </c>
      <c r="AB203" s="6">
        <f>$K$203*$V$203</f>
        <v>0</v>
      </c>
      <c r="AC203" s="6">
        <f>$M$203*$W$203</f>
        <v>83138.946420000007</v>
      </c>
      <c r="AD203" s="6">
        <f>$O$203*$X$203</f>
        <v>24335.744460000002</v>
      </c>
      <c r="AE203" s="6">
        <f>$K$203*$Y$203</f>
        <v>0</v>
      </c>
      <c r="AF203" s="6">
        <f ca="1">$M$203*$Z$203</f>
        <v>67175.513622139944</v>
      </c>
      <c r="AG203" s="6">
        <f ca="1">$O$203*$AA$203</f>
        <v>22106.12983239588</v>
      </c>
    </row>
    <row r="204" spans="1:33" ht="11.25" customHeight="1" x14ac:dyDescent="0.25">
      <c r="A204" s="4" t="s">
        <v>55</v>
      </c>
      <c r="B204" s="4" t="s">
        <v>38</v>
      </c>
      <c r="C204" s="4" t="s">
        <v>40</v>
      </c>
      <c r="D204" s="4" t="s">
        <v>41</v>
      </c>
      <c r="E204" s="4" t="s">
        <v>25</v>
      </c>
      <c r="F204" s="4" t="s">
        <v>25</v>
      </c>
      <c r="G204" s="4" t="s">
        <v>25</v>
      </c>
      <c r="H204" s="4" t="s">
        <v>33</v>
      </c>
      <c r="I204" s="5">
        <v>44682</v>
      </c>
      <c r="J204" s="6">
        <v>0</v>
      </c>
      <c r="K204" s="6">
        <v>0</v>
      </c>
      <c r="L204" s="6">
        <v>1.514</v>
      </c>
      <c r="M204" s="6">
        <v>1.514</v>
      </c>
      <c r="N204" s="6">
        <v>1.514</v>
      </c>
      <c r="O204" s="6">
        <v>1.514</v>
      </c>
      <c r="P204" s="6">
        <v>0</v>
      </c>
      <c r="Q204" s="4" t="s">
        <v>26</v>
      </c>
      <c r="R204" s="4">
        <v>0</v>
      </c>
      <c r="S204" s="6">
        <v>0</v>
      </c>
      <c r="T204" s="6">
        <v>16</v>
      </c>
      <c r="U204" s="6">
        <v>47</v>
      </c>
      <c r="V204" s="6">
        <f>IF(ISERROR(VLOOKUP($S$204,'TAR FIN'!$A$1:$O$86,15,0)),0,VLOOKUP($S$204,'TAR FIN'!$A$1:$O$86,15,0))</f>
        <v>0</v>
      </c>
      <c r="W204" s="6">
        <f>IF(ISERROR(VLOOKUP($T$204,'TAR FIN'!$A$1:$O$86,15,0)),0,VLOOKUP($T$204,'TAR FIN'!$A$1:$O$86,15,0))</f>
        <v>1329.67</v>
      </c>
      <c r="X204" s="6">
        <f>IF(ISERROR(VLOOKUP($U$204,'TAR FIN'!$A$1:$O$86,15,0)),0,VLOOKUP($U$204,'TAR FIN'!$A$1:$O$86,15,0))</f>
        <v>389.21</v>
      </c>
      <c r="Y204" s="6"/>
      <c r="Z204" s="6">
        <f ca="1">('TUSD BE'!$AM$12+'TUSD BF_350'!$AM$12+'TUSD CVA'!$AM$12)*1</f>
        <v>1074.3612836602365</v>
      </c>
      <c r="AA204" s="6">
        <f ca="1">('TE BE'!$AB$5+'TE BF_350'!$AB$5+'TE CVA'!$AB$5)*1</f>
        <v>353.55100010229148</v>
      </c>
      <c r="AB204" s="6">
        <f>$K$204*$V$204</f>
        <v>0</v>
      </c>
      <c r="AC204" s="6">
        <f>$M$204*$W$204</f>
        <v>2013.1203800000001</v>
      </c>
      <c r="AD204" s="6">
        <f>$O$204*$X$204</f>
        <v>589.26393999999993</v>
      </c>
      <c r="AE204" s="6">
        <f>$K$204*$Y$204</f>
        <v>0</v>
      </c>
      <c r="AF204" s="6">
        <f ca="1">$M$204*$Z$204</f>
        <v>1626.5829834615981</v>
      </c>
      <c r="AG204" s="6">
        <f ca="1">$O$204*$AA$204</f>
        <v>535.27621415486931</v>
      </c>
    </row>
    <row r="205" spans="1:33" ht="11.25" customHeight="1" x14ac:dyDescent="0.25">
      <c r="A205" s="4" t="s">
        <v>56</v>
      </c>
      <c r="B205" s="4" t="s">
        <v>38</v>
      </c>
      <c r="C205" s="4" t="s">
        <v>40</v>
      </c>
      <c r="D205" s="4" t="s">
        <v>41</v>
      </c>
      <c r="E205" s="4" t="s">
        <v>25</v>
      </c>
      <c r="F205" s="4" t="s">
        <v>25</v>
      </c>
      <c r="G205" s="4" t="s">
        <v>25</v>
      </c>
      <c r="H205" s="4" t="s">
        <v>33</v>
      </c>
      <c r="I205" s="5">
        <v>44713</v>
      </c>
      <c r="J205" s="6">
        <v>0</v>
      </c>
      <c r="K205" s="6">
        <v>0</v>
      </c>
      <c r="L205" s="6">
        <v>62.526000000000003</v>
      </c>
      <c r="M205" s="6">
        <v>62.526000000000003</v>
      </c>
      <c r="N205" s="6">
        <v>62.526000000000003</v>
      </c>
      <c r="O205" s="6">
        <v>62.526000000000003</v>
      </c>
      <c r="P205" s="6">
        <v>0</v>
      </c>
      <c r="Q205" s="4" t="s">
        <v>26</v>
      </c>
      <c r="R205" s="4">
        <v>0</v>
      </c>
      <c r="S205" s="6">
        <v>0</v>
      </c>
      <c r="T205" s="6">
        <v>16</v>
      </c>
      <c r="U205" s="6">
        <v>47</v>
      </c>
      <c r="V205" s="6">
        <f>IF(ISERROR(VLOOKUP($S$205,'TAR FIN'!$A$1:$O$86,15,0)),0,VLOOKUP($S$205,'TAR FIN'!$A$1:$O$86,15,0))</f>
        <v>0</v>
      </c>
      <c r="W205" s="6">
        <f>IF(ISERROR(VLOOKUP($T$205,'TAR FIN'!$A$1:$O$86,15,0)),0,VLOOKUP($T$205,'TAR FIN'!$A$1:$O$86,15,0))</f>
        <v>1329.67</v>
      </c>
      <c r="X205" s="6">
        <f>IF(ISERROR(VLOOKUP($U$205,'TAR FIN'!$A$1:$O$86,15,0)),0,VLOOKUP($U$205,'TAR FIN'!$A$1:$O$86,15,0))</f>
        <v>389.21</v>
      </c>
      <c r="Y205" s="6"/>
      <c r="Z205" s="6">
        <f ca="1">('TUSD BE'!$AM$12+'TUSD BF_350'!$AM$12+'TUSD CVA'!$AM$12)*1</f>
        <v>1074.3612836602365</v>
      </c>
      <c r="AA205" s="6">
        <f ca="1">('TE BE'!$AB$5+'TE BF_350'!$AB$5+'TE CVA'!$AB$5)*1</f>
        <v>353.55100010229148</v>
      </c>
      <c r="AB205" s="6">
        <f>$K$205*$V$205</f>
        <v>0</v>
      </c>
      <c r="AC205" s="6">
        <f>$M$205*$W$205</f>
        <v>83138.946420000007</v>
      </c>
      <c r="AD205" s="6">
        <f>$O$205*$X$205</f>
        <v>24335.744460000002</v>
      </c>
      <c r="AE205" s="6">
        <f>$K$205*$Y$205</f>
        <v>0</v>
      </c>
      <c r="AF205" s="6">
        <f ca="1">$M$205*$Z$205</f>
        <v>67175.513622139944</v>
      </c>
      <c r="AG205" s="6">
        <f ca="1">$O$205*$AA$205</f>
        <v>22106.12983239588</v>
      </c>
    </row>
    <row r="206" spans="1:33" ht="11.25" customHeight="1" x14ac:dyDescent="0.25">
      <c r="A206" s="4" t="s">
        <v>56</v>
      </c>
      <c r="B206" s="4" t="s">
        <v>38</v>
      </c>
      <c r="C206" s="4" t="s">
        <v>40</v>
      </c>
      <c r="D206" s="4" t="s">
        <v>41</v>
      </c>
      <c r="E206" s="4" t="s">
        <v>25</v>
      </c>
      <c r="F206" s="4" t="s">
        <v>25</v>
      </c>
      <c r="G206" s="4" t="s">
        <v>25</v>
      </c>
      <c r="H206" s="4" t="s">
        <v>33</v>
      </c>
      <c r="I206" s="5">
        <v>44713</v>
      </c>
      <c r="J206" s="6">
        <v>0</v>
      </c>
      <c r="K206" s="6">
        <v>0</v>
      </c>
      <c r="L206" s="6">
        <v>1.514</v>
      </c>
      <c r="M206" s="6">
        <v>1.514</v>
      </c>
      <c r="N206" s="6">
        <v>1.514</v>
      </c>
      <c r="O206" s="6">
        <v>1.514</v>
      </c>
      <c r="P206" s="6">
        <v>0</v>
      </c>
      <c r="Q206" s="4" t="s">
        <v>26</v>
      </c>
      <c r="R206" s="4">
        <v>0</v>
      </c>
      <c r="S206" s="6">
        <v>0</v>
      </c>
      <c r="T206" s="6">
        <v>16</v>
      </c>
      <c r="U206" s="6">
        <v>47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1329.67</v>
      </c>
      <c r="X206" s="6">
        <f>IF(ISERROR(VLOOKUP($U$206,'TAR FIN'!$A$1:$O$86,15,0)),0,VLOOKUP($U$206,'TAR FIN'!$A$1:$O$86,15,0))</f>
        <v>389.21</v>
      </c>
      <c r="Y206" s="6"/>
      <c r="Z206" s="6">
        <f ca="1">('TUSD BE'!$AM$12+'TUSD BF_350'!$AM$12+'TUSD CVA'!$AM$12)*1</f>
        <v>1074.3612836602365</v>
      </c>
      <c r="AA206" s="6">
        <f ca="1">('TE BE'!$AB$5+'TE BF_350'!$AB$5+'TE CVA'!$AB$5)*1</f>
        <v>353.55100010229148</v>
      </c>
      <c r="AB206" s="6">
        <f>$K$206*$V$206</f>
        <v>0</v>
      </c>
      <c r="AC206" s="6">
        <f>$M$206*$W$206</f>
        <v>2013.1203800000001</v>
      </c>
      <c r="AD206" s="6">
        <f>$O$206*$X$206</f>
        <v>589.26393999999993</v>
      </c>
      <c r="AE206" s="6">
        <f>$K$206*$Y$206</f>
        <v>0</v>
      </c>
      <c r="AF206" s="6">
        <f ca="1">$M$206*$Z$206</f>
        <v>1626.5829834615981</v>
      </c>
      <c r="AG206" s="6">
        <f ca="1">$O$206*$AA$206</f>
        <v>535.27621415486931</v>
      </c>
    </row>
    <row r="207" spans="1:33" ht="11.25" customHeight="1" x14ac:dyDescent="0.25">
      <c r="A207" s="4" t="s">
        <v>21</v>
      </c>
      <c r="B207" s="4" t="s">
        <v>38</v>
      </c>
      <c r="C207" s="4" t="s">
        <v>40</v>
      </c>
      <c r="D207" s="4" t="s">
        <v>50</v>
      </c>
      <c r="E207" s="4" t="s">
        <v>25</v>
      </c>
      <c r="F207" s="4" t="s">
        <v>25</v>
      </c>
      <c r="G207" s="4" t="s">
        <v>25</v>
      </c>
      <c r="H207" s="4" t="s">
        <v>34</v>
      </c>
      <c r="I207" s="5">
        <v>44378</v>
      </c>
      <c r="J207" s="6">
        <v>0</v>
      </c>
      <c r="K207" s="6">
        <v>0</v>
      </c>
      <c r="L207" s="6">
        <v>11.233000000000001</v>
      </c>
      <c r="M207" s="6">
        <v>11.233000000000001</v>
      </c>
      <c r="N207" s="6">
        <v>11.233000000000001</v>
      </c>
      <c r="O207" s="6">
        <v>11.233000000000001</v>
      </c>
      <c r="P207" s="6">
        <v>0</v>
      </c>
      <c r="Q207" s="4" t="s">
        <v>26</v>
      </c>
      <c r="R207" s="4">
        <v>0</v>
      </c>
      <c r="S207" s="6">
        <v>0</v>
      </c>
      <c r="T207" s="6">
        <v>14</v>
      </c>
      <c r="U207" s="6">
        <v>42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78.680000000000007</v>
      </c>
      <c r="X207" s="6">
        <f>IF(ISERROR(VLOOKUP($U$207,'TAR FIN'!$A$1:$O$86,15,0)),0,VLOOKUP($U$207,'TAR FIN'!$A$1:$O$86,15,0))</f>
        <v>246.3</v>
      </c>
      <c r="Y207" s="6"/>
      <c r="Z207" s="6">
        <f ca="1">('TUSD BE'!$AM$13+'TUSD BF_350'!$AM$13+'TUSD CVA'!$AM$13)*1</f>
        <v>100.23755694003805</v>
      </c>
      <c r="AA207" s="6">
        <f ca="1">('TE BE'!$AB$6+'TE BF_350'!$AB$6+'TE CVA'!$AB$6)*1</f>
        <v>219.40364509824883</v>
      </c>
      <c r="AB207" s="6">
        <f>$K$207*$V$207</f>
        <v>0</v>
      </c>
      <c r="AC207" s="6">
        <f>$M$207*$W$207</f>
        <v>883.81244000000015</v>
      </c>
      <c r="AD207" s="6">
        <f>$O$207*$X$207</f>
        <v>2766.6879000000004</v>
      </c>
      <c r="AE207" s="6">
        <f>$K$207*$Y$207</f>
        <v>0</v>
      </c>
      <c r="AF207" s="6">
        <f ca="1">$M$207*$Z$207</f>
        <v>1125.9684771074474</v>
      </c>
      <c r="AG207" s="6">
        <f ca="1">$O$207*$AA$207</f>
        <v>2464.561145388629</v>
      </c>
    </row>
    <row r="208" spans="1:33" ht="11.25" customHeight="1" x14ac:dyDescent="0.25">
      <c r="A208" s="4" t="s">
        <v>21</v>
      </c>
      <c r="B208" s="4" t="s">
        <v>38</v>
      </c>
      <c r="C208" s="4" t="s">
        <v>40</v>
      </c>
      <c r="D208" s="4" t="s">
        <v>50</v>
      </c>
      <c r="E208" s="4" t="s">
        <v>25</v>
      </c>
      <c r="F208" s="4" t="s">
        <v>25</v>
      </c>
      <c r="G208" s="4" t="s">
        <v>25</v>
      </c>
      <c r="H208" s="4" t="s">
        <v>34</v>
      </c>
      <c r="I208" s="5">
        <v>44409</v>
      </c>
      <c r="J208" s="6">
        <v>0</v>
      </c>
      <c r="K208" s="6">
        <v>0</v>
      </c>
      <c r="L208" s="6">
        <v>10.305999999999999</v>
      </c>
      <c r="M208" s="6">
        <v>10.305999999999999</v>
      </c>
      <c r="N208" s="6">
        <v>10.305999999999999</v>
      </c>
      <c r="O208" s="6">
        <v>10.305999999999999</v>
      </c>
      <c r="P208" s="6">
        <v>0</v>
      </c>
      <c r="Q208" s="4" t="s">
        <v>26</v>
      </c>
      <c r="R208" s="4">
        <v>0</v>
      </c>
      <c r="S208" s="6">
        <v>0</v>
      </c>
      <c r="T208" s="6">
        <v>14</v>
      </c>
      <c r="U208" s="6">
        <v>42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78.680000000000007</v>
      </c>
      <c r="X208" s="6">
        <f>IF(ISERROR(VLOOKUP($U$208,'TAR FIN'!$A$1:$O$86,15,0)),0,VLOOKUP($U$208,'TAR FIN'!$A$1:$O$86,15,0))</f>
        <v>246.3</v>
      </c>
      <c r="Y208" s="6"/>
      <c r="Z208" s="6">
        <f ca="1">('TUSD BE'!$AM$13+'TUSD BF_350'!$AM$13+'TUSD CVA'!$AM$13)*1</f>
        <v>100.23755694003805</v>
      </c>
      <c r="AA208" s="6">
        <f ca="1">('TE BE'!$AB$6+'TE BF_350'!$AB$6+'TE CVA'!$AB$6)*1</f>
        <v>219.40364509824883</v>
      </c>
      <c r="AB208" s="6">
        <f>$K$208*$V$208</f>
        <v>0</v>
      </c>
      <c r="AC208" s="6">
        <f>$M$208*$W$208</f>
        <v>810.87608</v>
      </c>
      <c r="AD208" s="6">
        <f>$O$208*$X$208</f>
        <v>2538.3678</v>
      </c>
      <c r="AE208" s="6">
        <f>$K$208*$Y$208</f>
        <v>0</v>
      </c>
      <c r="AF208" s="6">
        <f ca="1">$M$208*$Z$208</f>
        <v>1033.0482618240321</v>
      </c>
      <c r="AG208" s="6">
        <f ca="1">$O$208*$AA$208</f>
        <v>2261.1739663825524</v>
      </c>
    </row>
    <row r="209" spans="1:33" ht="11.25" customHeight="1" x14ac:dyDescent="0.25">
      <c r="A209" s="4" t="s">
        <v>21</v>
      </c>
      <c r="B209" s="4" t="s">
        <v>38</v>
      </c>
      <c r="C209" s="4" t="s">
        <v>40</v>
      </c>
      <c r="D209" s="4" t="s">
        <v>50</v>
      </c>
      <c r="E209" s="4" t="s">
        <v>25</v>
      </c>
      <c r="F209" s="4" t="s">
        <v>25</v>
      </c>
      <c r="G209" s="4" t="s">
        <v>25</v>
      </c>
      <c r="H209" s="4" t="s">
        <v>34</v>
      </c>
      <c r="I209" s="5">
        <v>44440</v>
      </c>
      <c r="J209" s="6">
        <v>0</v>
      </c>
      <c r="K209" s="6">
        <v>0</v>
      </c>
      <c r="L209" s="6">
        <v>8.7579999999999991</v>
      </c>
      <c r="M209" s="6">
        <v>8.7579999999999991</v>
      </c>
      <c r="N209" s="6">
        <v>8.7579999999999991</v>
      </c>
      <c r="O209" s="6">
        <v>8.7579999999999991</v>
      </c>
      <c r="P209" s="6">
        <v>0</v>
      </c>
      <c r="Q209" s="4" t="s">
        <v>26</v>
      </c>
      <c r="R209" s="4">
        <v>0</v>
      </c>
      <c r="S209" s="6">
        <v>0</v>
      </c>
      <c r="T209" s="6">
        <v>14</v>
      </c>
      <c r="U209" s="6">
        <v>42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78.680000000000007</v>
      </c>
      <c r="X209" s="6">
        <f>IF(ISERROR(VLOOKUP($U$209,'TAR FIN'!$A$1:$O$86,15,0)),0,VLOOKUP($U$209,'TAR FIN'!$A$1:$O$86,15,0))</f>
        <v>246.3</v>
      </c>
      <c r="Y209" s="6"/>
      <c r="Z209" s="6">
        <f ca="1">('TUSD BE'!$AM$13+'TUSD BF_350'!$AM$13+'TUSD CVA'!$AM$13)*1</f>
        <v>100.23755694003805</v>
      </c>
      <c r="AA209" s="6">
        <f ca="1">('TE BE'!$AB$6+'TE BF_350'!$AB$6+'TE CVA'!$AB$6)*1</f>
        <v>219.40364509824883</v>
      </c>
      <c r="AB209" s="6">
        <f>$K$209*$V$209</f>
        <v>0</v>
      </c>
      <c r="AC209" s="6">
        <f>$M$209*$W$209</f>
        <v>689.07943999999998</v>
      </c>
      <c r="AD209" s="6">
        <f>$O$209*$X$209</f>
        <v>2157.0953999999997</v>
      </c>
      <c r="AE209" s="6">
        <f>$K$209*$Y$209</f>
        <v>0</v>
      </c>
      <c r="AF209" s="6">
        <f ca="1">$M$209*$Z$209</f>
        <v>877.88052368085312</v>
      </c>
      <c r="AG209" s="6">
        <f ca="1">$O$209*$AA$209</f>
        <v>1921.537123770463</v>
      </c>
    </row>
    <row r="210" spans="1:33" ht="11.25" customHeight="1" x14ac:dyDescent="0.25">
      <c r="A210" s="4" t="s">
        <v>21</v>
      </c>
      <c r="B210" s="4" t="s">
        <v>38</v>
      </c>
      <c r="C210" s="4" t="s">
        <v>40</v>
      </c>
      <c r="D210" s="4" t="s">
        <v>50</v>
      </c>
      <c r="E210" s="4" t="s">
        <v>25</v>
      </c>
      <c r="F210" s="4" t="s">
        <v>25</v>
      </c>
      <c r="G210" s="4" t="s">
        <v>25</v>
      </c>
      <c r="H210" s="4" t="s">
        <v>34</v>
      </c>
      <c r="I210" s="5">
        <v>44470</v>
      </c>
      <c r="J210" s="6">
        <v>0</v>
      </c>
      <c r="K210" s="6">
        <v>0</v>
      </c>
      <c r="L210" s="6">
        <v>9.0060000000000002</v>
      </c>
      <c r="M210" s="6">
        <v>9.0060000000000002</v>
      </c>
      <c r="N210" s="6">
        <v>9.0060000000000002</v>
      </c>
      <c r="O210" s="6">
        <v>9.0060000000000002</v>
      </c>
      <c r="P210" s="6">
        <v>0</v>
      </c>
      <c r="Q210" s="4" t="s">
        <v>26</v>
      </c>
      <c r="R210" s="4">
        <v>0</v>
      </c>
      <c r="S210" s="6">
        <v>0</v>
      </c>
      <c r="T210" s="6">
        <v>14</v>
      </c>
      <c r="U210" s="6">
        <v>42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78.680000000000007</v>
      </c>
      <c r="X210" s="6">
        <f>IF(ISERROR(VLOOKUP($U$210,'TAR FIN'!$A$1:$O$86,15,0)),0,VLOOKUP($U$210,'TAR FIN'!$A$1:$O$86,15,0))</f>
        <v>246.3</v>
      </c>
      <c r="Y210" s="6"/>
      <c r="Z210" s="6">
        <f ca="1">('TUSD BE'!$AM$13+'TUSD BF_350'!$AM$13+'TUSD CVA'!$AM$13)*1</f>
        <v>100.23755694003805</v>
      </c>
      <c r="AA210" s="6">
        <f ca="1">('TE BE'!$AB$6+'TE BF_350'!$AB$6+'TE CVA'!$AB$6)*1</f>
        <v>219.40364509824883</v>
      </c>
      <c r="AB210" s="6">
        <f>$K$210*$V$210</f>
        <v>0</v>
      </c>
      <c r="AC210" s="6">
        <f>$M$210*$W$210</f>
        <v>708.59208000000012</v>
      </c>
      <c r="AD210" s="6">
        <f>$O$210*$X$210</f>
        <v>2218.1777999999999</v>
      </c>
      <c r="AE210" s="6">
        <f>$K$210*$Y$210</f>
        <v>0</v>
      </c>
      <c r="AF210" s="6">
        <f ca="1">$M$210*$Z$210</f>
        <v>902.73943780198272</v>
      </c>
      <c r="AG210" s="6">
        <f ca="1">$O$210*$AA$210</f>
        <v>1975.9492277548291</v>
      </c>
    </row>
    <row r="211" spans="1:33" ht="11.25" customHeight="1" x14ac:dyDescent="0.25">
      <c r="A211" s="4" t="s">
        <v>21</v>
      </c>
      <c r="B211" s="4" t="s">
        <v>38</v>
      </c>
      <c r="C211" s="4" t="s">
        <v>40</v>
      </c>
      <c r="D211" s="4" t="s">
        <v>50</v>
      </c>
      <c r="E211" s="4" t="s">
        <v>25</v>
      </c>
      <c r="F211" s="4" t="s">
        <v>25</v>
      </c>
      <c r="G211" s="4" t="s">
        <v>25</v>
      </c>
      <c r="H211" s="4" t="s">
        <v>34</v>
      </c>
      <c r="I211" s="5">
        <v>44501</v>
      </c>
      <c r="J211" s="6">
        <v>0</v>
      </c>
      <c r="K211" s="6">
        <v>0</v>
      </c>
      <c r="L211" s="6">
        <v>10.497</v>
      </c>
      <c r="M211" s="6">
        <v>10.497</v>
      </c>
      <c r="N211" s="6">
        <v>10.497</v>
      </c>
      <c r="O211" s="6">
        <v>10.497</v>
      </c>
      <c r="P211" s="6">
        <v>0</v>
      </c>
      <c r="Q211" s="4" t="s">
        <v>26</v>
      </c>
      <c r="R211" s="4">
        <v>0</v>
      </c>
      <c r="S211" s="6">
        <v>0</v>
      </c>
      <c r="T211" s="6">
        <v>14</v>
      </c>
      <c r="U211" s="6">
        <v>42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78.680000000000007</v>
      </c>
      <c r="X211" s="6">
        <f>IF(ISERROR(VLOOKUP($U$211,'TAR FIN'!$A$1:$O$86,15,0)),0,VLOOKUP($U$211,'TAR FIN'!$A$1:$O$86,15,0))</f>
        <v>246.3</v>
      </c>
      <c r="Y211" s="6"/>
      <c r="Z211" s="6">
        <f ca="1">('TUSD BE'!$AM$13+'TUSD BF_350'!$AM$13+'TUSD CVA'!$AM$13)*1</f>
        <v>100.23755694003805</v>
      </c>
      <c r="AA211" s="6">
        <f ca="1">('TE BE'!$AB$6+'TE BF_350'!$AB$6+'TE CVA'!$AB$6)*1</f>
        <v>219.40364509824883</v>
      </c>
      <c r="AB211" s="6">
        <f>$K$211*$V$211</f>
        <v>0</v>
      </c>
      <c r="AC211" s="6">
        <f>$M$211*$W$211</f>
        <v>825.9039600000001</v>
      </c>
      <c r="AD211" s="6">
        <f>$O$211*$X$211</f>
        <v>2585.4111000000003</v>
      </c>
      <c r="AE211" s="6">
        <f>$K$211*$Y$211</f>
        <v>0</v>
      </c>
      <c r="AF211" s="6">
        <f ca="1">$M$211*$Z$211</f>
        <v>1052.1936351995794</v>
      </c>
      <c r="AG211" s="6">
        <f ca="1">$O$211*$AA$211</f>
        <v>2303.0800625963179</v>
      </c>
    </row>
    <row r="212" spans="1:33" ht="11.25" customHeight="1" x14ac:dyDescent="0.25">
      <c r="A212" s="4" t="s">
        <v>21</v>
      </c>
      <c r="B212" s="4" t="s">
        <v>38</v>
      </c>
      <c r="C212" s="4" t="s">
        <v>40</v>
      </c>
      <c r="D212" s="4" t="s">
        <v>50</v>
      </c>
      <c r="E212" s="4" t="s">
        <v>25</v>
      </c>
      <c r="F212" s="4" t="s">
        <v>25</v>
      </c>
      <c r="G212" s="4" t="s">
        <v>25</v>
      </c>
      <c r="H212" s="4" t="s">
        <v>34</v>
      </c>
      <c r="I212" s="5">
        <v>44531</v>
      </c>
      <c r="J212" s="6">
        <v>0</v>
      </c>
      <c r="K212" s="6">
        <v>0</v>
      </c>
      <c r="L212" s="6">
        <v>12.769</v>
      </c>
      <c r="M212" s="6">
        <v>12.769</v>
      </c>
      <c r="N212" s="6">
        <v>12.769</v>
      </c>
      <c r="O212" s="6">
        <v>12.769</v>
      </c>
      <c r="P212" s="6">
        <v>0</v>
      </c>
      <c r="Q212" s="4" t="s">
        <v>26</v>
      </c>
      <c r="R212" s="4">
        <v>0</v>
      </c>
      <c r="S212" s="6">
        <v>0</v>
      </c>
      <c r="T212" s="6">
        <v>14</v>
      </c>
      <c r="U212" s="6">
        <v>42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78.680000000000007</v>
      </c>
      <c r="X212" s="6">
        <f>IF(ISERROR(VLOOKUP($U$212,'TAR FIN'!$A$1:$O$86,15,0)),0,VLOOKUP($U$212,'TAR FIN'!$A$1:$O$86,15,0))</f>
        <v>246.3</v>
      </c>
      <c r="Y212" s="6"/>
      <c r="Z212" s="6">
        <f ca="1">('TUSD BE'!$AM$13+'TUSD BF_350'!$AM$13+'TUSD CVA'!$AM$13)*1</f>
        <v>100.23755694003805</v>
      </c>
      <c r="AA212" s="6">
        <f ca="1">('TE BE'!$AB$6+'TE BF_350'!$AB$6+'TE CVA'!$AB$6)*1</f>
        <v>219.40364509824883</v>
      </c>
      <c r="AB212" s="6">
        <f>$K$212*$V$212</f>
        <v>0</v>
      </c>
      <c r="AC212" s="6">
        <f>$M$212*$W$212</f>
        <v>1004.6649200000001</v>
      </c>
      <c r="AD212" s="6">
        <f>$O$212*$X$212</f>
        <v>3145.0047</v>
      </c>
      <c r="AE212" s="6">
        <f>$K$212*$Y$212</f>
        <v>0</v>
      </c>
      <c r="AF212" s="6">
        <f ca="1">$M$212*$Z$212</f>
        <v>1279.9333645673457</v>
      </c>
      <c r="AG212" s="6">
        <f ca="1">$O$212*$AA$212</f>
        <v>2801.5651442595395</v>
      </c>
    </row>
    <row r="213" spans="1:33" ht="11.25" customHeight="1" x14ac:dyDescent="0.25">
      <c r="A213" s="4" t="s">
        <v>21</v>
      </c>
      <c r="B213" s="4" t="s">
        <v>38</v>
      </c>
      <c r="C213" s="4" t="s">
        <v>40</v>
      </c>
      <c r="D213" s="4" t="s">
        <v>50</v>
      </c>
      <c r="E213" s="4" t="s">
        <v>25</v>
      </c>
      <c r="F213" s="4" t="s">
        <v>25</v>
      </c>
      <c r="G213" s="4" t="s">
        <v>25</v>
      </c>
      <c r="H213" s="4" t="s">
        <v>34</v>
      </c>
      <c r="I213" s="5">
        <v>44562</v>
      </c>
      <c r="J213" s="6">
        <v>0</v>
      </c>
      <c r="K213" s="6">
        <v>0</v>
      </c>
      <c r="L213" s="6">
        <v>13.202</v>
      </c>
      <c r="M213" s="6">
        <v>13.202</v>
      </c>
      <c r="N213" s="6">
        <v>13.202</v>
      </c>
      <c r="O213" s="6">
        <v>13.202</v>
      </c>
      <c r="P213" s="6">
        <v>0</v>
      </c>
      <c r="Q213" s="4" t="s">
        <v>26</v>
      </c>
      <c r="R213" s="4">
        <v>0</v>
      </c>
      <c r="S213" s="6">
        <v>0</v>
      </c>
      <c r="T213" s="6">
        <v>14</v>
      </c>
      <c r="U213" s="6">
        <v>42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78.680000000000007</v>
      </c>
      <c r="X213" s="6">
        <f>IF(ISERROR(VLOOKUP($U$213,'TAR FIN'!$A$1:$O$86,15,0)),0,VLOOKUP($U$213,'TAR FIN'!$A$1:$O$86,15,0))</f>
        <v>246.3</v>
      </c>
      <c r="Y213" s="6"/>
      <c r="Z213" s="6">
        <f ca="1">('TUSD BE'!$AM$13+'TUSD BF_350'!$AM$13+'TUSD CVA'!$AM$13)*1</f>
        <v>100.23755694003805</v>
      </c>
      <c r="AA213" s="6">
        <f ca="1">('TE BE'!$AB$6+'TE BF_350'!$AB$6+'TE CVA'!$AB$6)*1</f>
        <v>219.40364509824883</v>
      </c>
      <c r="AB213" s="6">
        <f>$K$213*$V$213</f>
        <v>0</v>
      </c>
      <c r="AC213" s="6">
        <f>$M$213*$W$213</f>
        <v>1038.7333600000002</v>
      </c>
      <c r="AD213" s="6">
        <f>$O$213*$X$213</f>
        <v>3251.6526000000003</v>
      </c>
      <c r="AE213" s="6">
        <f>$K$213*$Y$213</f>
        <v>0</v>
      </c>
      <c r="AF213" s="6">
        <f ca="1">$M$213*$Z$213</f>
        <v>1323.3362267223822</v>
      </c>
      <c r="AG213" s="6">
        <f ca="1">$O$213*$AA$213</f>
        <v>2896.5669225870811</v>
      </c>
    </row>
    <row r="214" spans="1:33" ht="11.25" customHeight="1" x14ac:dyDescent="0.25">
      <c r="A214" s="4" t="s">
        <v>21</v>
      </c>
      <c r="B214" s="4" t="s">
        <v>38</v>
      </c>
      <c r="C214" s="4" t="s">
        <v>40</v>
      </c>
      <c r="D214" s="4" t="s">
        <v>50</v>
      </c>
      <c r="E214" s="4" t="s">
        <v>25</v>
      </c>
      <c r="F214" s="4" t="s">
        <v>25</v>
      </c>
      <c r="G214" s="4" t="s">
        <v>25</v>
      </c>
      <c r="H214" s="4" t="s">
        <v>34</v>
      </c>
      <c r="I214" s="5">
        <v>44593</v>
      </c>
      <c r="J214" s="6">
        <v>0</v>
      </c>
      <c r="K214" s="6">
        <v>0</v>
      </c>
      <c r="L214" s="6">
        <v>11.307</v>
      </c>
      <c r="M214" s="6">
        <v>11.307</v>
      </c>
      <c r="N214" s="6">
        <v>11.307</v>
      </c>
      <c r="O214" s="6">
        <v>11.307</v>
      </c>
      <c r="P214" s="6">
        <v>0</v>
      </c>
      <c r="Q214" s="4" t="s">
        <v>26</v>
      </c>
      <c r="R214" s="4">
        <v>0</v>
      </c>
      <c r="S214" s="6">
        <v>0</v>
      </c>
      <c r="T214" s="6">
        <v>14</v>
      </c>
      <c r="U214" s="6">
        <v>42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78.680000000000007</v>
      </c>
      <c r="X214" s="6">
        <f>IF(ISERROR(VLOOKUP($U$214,'TAR FIN'!$A$1:$O$86,15,0)),0,VLOOKUP($U$214,'TAR FIN'!$A$1:$O$86,15,0))</f>
        <v>246.3</v>
      </c>
      <c r="Y214" s="6"/>
      <c r="Z214" s="6">
        <f ca="1">('TUSD BE'!$AM$13+'TUSD BF_350'!$AM$13+'TUSD CVA'!$AM$13)*1</f>
        <v>100.23755694003805</v>
      </c>
      <c r="AA214" s="6">
        <f ca="1">('TE BE'!$AB$6+'TE BF_350'!$AB$6+'TE CVA'!$AB$6)*1</f>
        <v>219.40364509824883</v>
      </c>
      <c r="AB214" s="6">
        <f>$K$214*$V$214</f>
        <v>0</v>
      </c>
      <c r="AC214" s="6">
        <f>$M$214*$W$214</f>
        <v>889.63476000000014</v>
      </c>
      <c r="AD214" s="6">
        <f>$O$214*$X$214</f>
        <v>2784.9141000000004</v>
      </c>
      <c r="AE214" s="6">
        <f>$K$214*$Y$214</f>
        <v>0</v>
      </c>
      <c r="AF214" s="6">
        <f ca="1">$M$214*$Z$214</f>
        <v>1133.3860563210103</v>
      </c>
      <c r="AG214" s="6">
        <f ca="1">$O$214*$AA$214</f>
        <v>2480.7970151258996</v>
      </c>
    </row>
    <row r="215" spans="1:33" ht="11.25" customHeight="1" x14ac:dyDescent="0.25">
      <c r="A215" s="4" t="s">
        <v>21</v>
      </c>
      <c r="B215" s="4" t="s">
        <v>38</v>
      </c>
      <c r="C215" s="4" t="s">
        <v>40</v>
      </c>
      <c r="D215" s="4" t="s">
        <v>50</v>
      </c>
      <c r="E215" s="4" t="s">
        <v>25</v>
      </c>
      <c r="F215" s="4" t="s">
        <v>25</v>
      </c>
      <c r="G215" s="4" t="s">
        <v>25</v>
      </c>
      <c r="H215" s="4" t="s">
        <v>34</v>
      </c>
      <c r="I215" s="5">
        <v>44621</v>
      </c>
      <c r="J215" s="6">
        <v>0</v>
      </c>
      <c r="K215" s="6">
        <v>0</v>
      </c>
      <c r="L215" s="6">
        <v>10.997</v>
      </c>
      <c r="M215" s="6">
        <v>10.997</v>
      </c>
      <c r="N215" s="6">
        <v>10.997</v>
      </c>
      <c r="O215" s="6">
        <v>10.997</v>
      </c>
      <c r="P215" s="6">
        <v>0</v>
      </c>
      <c r="Q215" s="4" t="s">
        <v>26</v>
      </c>
      <c r="R215" s="4">
        <v>0</v>
      </c>
      <c r="S215" s="6">
        <v>0</v>
      </c>
      <c r="T215" s="6">
        <v>14</v>
      </c>
      <c r="U215" s="6">
        <v>42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78.680000000000007</v>
      </c>
      <c r="X215" s="6">
        <f>IF(ISERROR(VLOOKUP($U$215,'TAR FIN'!$A$1:$O$86,15,0)),0,VLOOKUP($U$215,'TAR FIN'!$A$1:$O$86,15,0))</f>
        <v>246.3</v>
      </c>
      <c r="Y215" s="6"/>
      <c r="Z215" s="6">
        <f ca="1">('TUSD BE'!$AM$13+'TUSD BF_350'!$AM$13+'TUSD CVA'!$AM$13)*1</f>
        <v>100.23755694003805</v>
      </c>
      <c r="AA215" s="6">
        <f ca="1">('TE BE'!$AB$6+'TE BF_350'!$AB$6+'TE CVA'!$AB$6)*1</f>
        <v>219.40364509824883</v>
      </c>
      <c r="AB215" s="6">
        <f>$K$215*$V$215</f>
        <v>0</v>
      </c>
      <c r="AC215" s="6">
        <f>$M$215*$W$215</f>
        <v>865.24396000000002</v>
      </c>
      <c r="AD215" s="6">
        <f>$O$215*$X$215</f>
        <v>2708.5610999999999</v>
      </c>
      <c r="AE215" s="6">
        <f>$K$215*$Y$215</f>
        <v>0</v>
      </c>
      <c r="AF215" s="6">
        <f ca="1">$M$215*$Z$215</f>
        <v>1102.3124136695983</v>
      </c>
      <c r="AG215" s="6">
        <f ca="1">$O$215*$AA$215</f>
        <v>2412.7818851454422</v>
      </c>
    </row>
    <row r="216" spans="1:33" ht="11.25" customHeight="1" x14ac:dyDescent="0.25">
      <c r="A216" s="4" t="s">
        <v>21</v>
      </c>
      <c r="B216" s="4" t="s">
        <v>38</v>
      </c>
      <c r="C216" s="4" t="s">
        <v>40</v>
      </c>
      <c r="D216" s="4" t="s">
        <v>50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44652</v>
      </c>
      <c r="J216" s="6">
        <v>0</v>
      </c>
      <c r="K216" s="6">
        <v>0</v>
      </c>
      <c r="L216" s="6">
        <v>8.1660000000000004</v>
      </c>
      <c r="M216" s="6">
        <v>8.1660000000000004</v>
      </c>
      <c r="N216" s="6">
        <v>8.1660000000000004</v>
      </c>
      <c r="O216" s="6">
        <v>8.1660000000000004</v>
      </c>
      <c r="P216" s="6">
        <v>0</v>
      </c>
      <c r="Q216" s="4" t="s">
        <v>26</v>
      </c>
      <c r="R216" s="4">
        <v>0</v>
      </c>
      <c r="S216" s="6">
        <v>0</v>
      </c>
      <c r="T216" s="6">
        <v>14</v>
      </c>
      <c r="U216" s="6">
        <v>42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78.680000000000007</v>
      </c>
      <c r="X216" s="6">
        <f>IF(ISERROR(VLOOKUP($U$216,'TAR FIN'!$A$1:$O$86,15,0)),0,VLOOKUP($U$216,'TAR FIN'!$A$1:$O$86,15,0))</f>
        <v>246.3</v>
      </c>
      <c r="Y216" s="6"/>
      <c r="Z216" s="6">
        <f ca="1">('TUSD BE'!$AM$13+'TUSD BF_350'!$AM$13+'TUSD CVA'!$AM$13)*1</f>
        <v>100.23755694003805</v>
      </c>
      <c r="AA216" s="6">
        <f ca="1">('TE BE'!$AB$6+'TE BF_350'!$AB$6+'TE CVA'!$AB$6)*1</f>
        <v>219.40364509824883</v>
      </c>
      <c r="AB216" s="6">
        <f>$K$216*$V$216</f>
        <v>0</v>
      </c>
      <c r="AC216" s="6">
        <f>$M$216*$W$216</f>
        <v>642.50088000000005</v>
      </c>
      <c r="AD216" s="6">
        <f>$O$216*$X$216</f>
        <v>2011.2858000000001</v>
      </c>
      <c r="AE216" s="6">
        <f>$K$216*$Y$216</f>
        <v>0</v>
      </c>
      <c r="AF216" s="6">
        <f ca="1">$M$216*$Z$216</f>
        <v>818.53988997235069</v>
      </c>
      <c r="AG216" s="6">
        <f ca="1">$O$216*$AA$216</f>
        <v>1791.6501658723</v>
      </c>
    </row>
    <row r="217" spans="1:33" ht="11.25" customHeight="1" x14ac:dyDescent="0.25">
      <c r="A217" s="4" t="s">
        <v>21</v>
      </c>
      <c r="B217" s="4" t="s">
        <v>38</v>
      </c>
      <c r="C217" s="4" t="s">
        <v>40</v>
      </c>
      <c r="D217" s="4" t="s">
        <v>50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44682</v>
      </c>
      <c r="J217" s="6">
        <v>0</v>
      </c>
      <c r="K217" s="6">
        <v>0</v>
      </c>
      <c r="L217" s="6">
        <v>10.173</v>
      </c>
      <c r="M217" s="6">
        <v>10.173</v>
      </c>
      <c r="N217" s="6">
        <v>10.173</v>
      </c>
      <c r="O217" s="6">
        <v>10.173</v>
      </c>
      <c r="P217" s="6">
        <v>0</v>
      </c>
      <c r="Q217" s="4" t="s">
        <v>26</v>
      </c>
      <c r="R217" s="4">
        <v>0</v>
      </c>
      <c r="S217" s="6">
        <v>0</v>
      </c>
      <c r="T217" s="6">
        <v>14</v>
      </c>
      <c r="U217" s="6">
        <v>42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78.680000000000007</v>
      </c>
      <c r="X217" s="6">
        <f>IF(ISERROR(VLOOKUP($U$217,'TAR FIN'!$A$1:$O$86,15,0)),0,VLOOKUP($U$217,'TAR FIN'!$A$1:$O$86,15,0))</f>
        <v>246.3</v>
      </c>
      <c r="Y217" s="6"/>
      <c r="Z217" s="6">
        <f ca="1">('TUSD BE'!$AM$13+'TUSD BF_350'!$AM$13+'TUSD CVA'!$AM$13)*1</f>
        <v>100.23755694003805</v>
      </c>
      <c r="AA217" s="6">
        <f ca="1">('TE BE'!$AB$6+'TE BF_350'!$AB$6+'TE CVA'!$AB$6)*1</f>
        <v>219.40364509824883</v>
      </c>
      <c r="AB217" s="6">
        <f>$K$217*$V$217</f>
        <v>0</v>
      </c>
      <c r="AC217" s="6">
        <f>$M$217*$W$217</f>
        <v>800.41164000000003</v>
      </c>
      <c r="AD217" s="6">
        <f>$O$217*$X$217</f>
        <v>2505.6098999999999</v>
      </c>
      <c r="AE217" s="6">
        <f>$K$217*$Y$217</f>
        <v>0</v>
      </c>
      <c r="AF217" s="6">
        <f ca="1">$M$217*$Z$217</f>
        <v>1019.7166667510071</v>
      </c>
      <c r="AG217" s="6">
        <f ca="1">$O$217*$AA$217</f>
        <v>2231.9932815844854</v>
      </c>
    </row>
    <row r="218" spans="1:33" ht="11.25" customHeight="1" x14ac:dyDescent="0.25">
      <c r="A218" s="4" t="s">
        <v>56</v>
      </c>
      <c r="B218" s="4" t="s">
        <v>38</v>
      </c>
      <c r="C218" s="4" t="s">
        <v>40</v>
      </c>
      <c r="D218" s="4" t="s">
        <v>50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44713</v>
      </c>
      <c r="J218" s="6">
        <v>0</v>
      </c>
      <c r="K218" s="6">
        <v>0</v>
      </c>
      <c r="L218" s="6">
        <v>10.173</v>
      </c>
      <c r="M218" s="6">
        <v>10.173</v>
      </c>
      <c r="N218" s="6">
        <v>10.173</v>
      </c>
      <c r="O218" s="6">
        <v>10.173</v>
      </c>
      <c r="P218" s="6">
        <v>0</v>
      </c>
      <c r="Q218" s="4" t="s">
        <v>26</v>
      </c>
      <c r="R218" s="4">
        <v>0</v>
      </c>
      <c r="S218" s="6">
        <v>0</v>
      </c>
      <c r="T218" s="6">
        <v>14</v>
      </c>
      <c r="U218" s="6">
        <v>42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78.680000000000007</v>
      </c>
      <c r="X218" s="6">
        <f>IF(ISERROR(VLOOKUP($U$218,'TAR FIN'!$A$1:$O$86,15,0)),0,VLOOKUP($U$218,'TAR FIN'!$A$1:$O$86,15,0))</f>
        <v>246.3</v>
      </c>
      <c r="Y218" s="6"/>
      <c r="Z218" s="6">
        <f ca="1">('TUSD BE'!$AM$13+'TUSD BF_350'!$AM$13+'TUSD CVA'!$AM$13)*1</f>
        <v>100.23755694003805</v>
      </c>
      <c r="AA218" s="6">
        <f ca="1">('TE BE'!$AB$6+'TE BF_350'!$AB$6+'TE CVA'!$AB$6)*1</f>
        <v>219.40364509824883</v>
      </c>
      <c r="AB218" s="6">
        <f>$K$218*$V$218</f>
        <v>0</v>
      </c>
      <c r="AC218" s="6">
        <f>$M$218*$W$218</f>
        <v>800.41164000000003</v>
      </c>
      <c r="AD218" s="6">
        <f>$O$218*$X$218</f>
        <v>2505.6098999999999</v>
      </c>
      <c r="AE218" s="6">
        <f>$K$218*$Y$218</f>
        <v>0</v>
      </c>
      <c r="AF218" s="6">
        <f ca="1">$M$218*$Z$218</f>
        <v>1019.7166667510071</v>
      </c>
      <c r="AG218" s="6">
        <f ca="1">$O$218*$AA$218</f>
        <v>2231.9932815844854</v>
      </c>
    </row>
    <row r="219" spans="1:33" ht="11.25" customHeight="1" x14ac:dyDescent="0.25">
      <c r="A219" s="4" t="s">
        <v>21</v>
      </c>
      <c r="B219" s="4" t="s">
        <v>38</v>
      </c>
      <c r="C219" s="4" t="s">
        <v>40</v>
      </c>
      <c r="D219" s="4" t="s">
        <v>50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44378</v>
      </c>
      <c r="J219" s="6">
        <v>53</v>
      </c>
      <c r="K219" s="6">
        <v>53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4" t="s">
        <v>26</v>
      </c>
      <c r="R219" s="4">
        <v>0</v>
      </c>
      <c r="S219" s="6">
        <v>18</v>
      </c>
      <c r="T219" s="6">
        <v>0</v>
      </c>
      <c r="U219" s="6">
        <v>0</v>
      </c>
      <c r="V219" s="6">
        <f>IF(ISERROR(VLOOKUP($S$219,'TAR FIN'!$A$1:$O$86,15,0)),0,VLOOKUP($S$219,'TAR FIN'!$A$1:$O$86,15,0))</f>
        <v>19.239999999999998</v>
      </c>
      <c r="W219" s="6">
        <f>IF(ISERROR(VLOOKUP($T$219,'TAR FIN'!$A$1:$O$86,15,0)),0,VLOOKUP($T$219,'TAR FIN'!$A$1:$O$86,15,0))</f>
        <v>0</v>
      </c>
      <c r="X219" s="6">
        <f>IF(ISERROR(VLOOKUP($U$219,'TAR FIN'!$A$1:$O$86,15,0)),0,VLOOKUP($U$219,'TAR FIN'!$A$1:$O$86,15,0))</f>
        <v>0</v>
      </c>
      <c r="Y219" s="6">
        <f ca="1">('TUSD BE'!$AM$11+'TUSD BF_350'!$AM$11+'TUSD CVA'!$AM$11)*1</f>
        <v>15.19295792072058</v>
      </c>
      <c r="Z219" s="6"/>
      <c r="AA219" s="6"/>
      <c r="AB219" s="6">
        <f>$K$219*$V$219</f>
        <v>1019.7199999999999</v>
      </c>
      <c r="AC219" s="6">
        <f>$M$219*$W$219</f>
        <v>0</v>
      </c>
      <c r="AD219" s="6">
        <f>$O$219*$X$219</f>
        <v>0</v>
      </c>
      <c r="AE219" s="6">
        <f ca="1">$K$219*$Y$219</f>
        <v>805.22676979819073</v>
      </c>
      <c r="AF219" s="6">
        <f>$M$219*$Z$219</f>
        <v>0</v>
      </c>
      <c r="AG219" s="6">
        <f>$O$219*$AA$219</f>
        <v>0</v>
      </c>
    </row>
    <row r="220" spans="1:33" ht="11.25" customHeight="1" x14ac:dyDescent="0.25">
      <c r="A220" s="4" t="s">
        <v>21</v>
      </c>
      <c r="B220" s="4" t="s">
        <v>38</v>
      </c>
      <c r="C220" s="4" t="s">
        <v>40</v>
      </c>
      <c r="D220" s="4" t="s">
        <v>50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44409</v>
      </c>
      <c r="J220" s="6">
        <v>50</v>
      </c>
      <c r="K220" s="6">
        <v>50</v>
      </c>
      <c r="L220" s="6">
        <v>0</v>
      </c>
      <c r="M220" s="6">
        <v>0</v>
      </c>
      <c r="N220" s="6">
        <v>0</v>
      </c>
      <c r="O220" s="6">
        <v>0</v>
      </c>
      <c r="P220" s="6">
        <v>1</v>
      </c>
      <c r="Q220" s="4" t="s">
        <v>26</v>
      </c>
      <c r="R220" s="4">
        <v>0</v>
      </c>
      <c r="S220" s="6">
        <v>18</v>
      </c>
      <c r="T220" s="6">
        <v>0</v>
      </c>
      <c r="U220" s="6">
        <v>0</v>
      </c>
      <c r="V220" s="6">
        <f>IF(ISERROR(VLOOKUP($S$220,'TAR FIN'!$A$1:$O$86,15,0)),0,VLOOKUP($S$220,'TAR FIN'!$A$1:$O$86,15,0))</f>
        <v>19.239999999999998</v>
      </c>
      <c r="W220" s="6">
        <f>IF(ISERROR(VLOOKUP($T$220,'TAR FIN'!$A$1:$O$86,15,0)),0,VLOOKUP($T$220,'TAR FIN'!$A$1:$O$86,15,0))</f>
        <v>0</v>
      </c>
      <c r="X220" s="6">
        <f>IF(ISERROR(VLOOKUP($U$220,'TAR FIN'!$A$1:$O$86,15,0)),0,VLOOKUP($U$220,'TAR FIN'!$A$1:$O$86,15,0))</f>
        <v>0</v>
      </c>
      <c r="Y220" s="6">
        <f ca="1">('TUSD BE'!$AM$11+'TUSD BF_350'!$AM$11+'TUSD CVA'!$AM$11)*1</f>
        <v>15.19295792072058</v>
      </c>
      <c r="Z220" s="6"/>
      <c r="AA220" s="6"/>
      <c r="AB220" s="6">
        <f>$K$220*$V$220</f>
        <v>961.99999999999989</v>
      </c>
      <c r="AC220" s="6">
        <f>$M$220*$W$220</f>
        <v>0</v>
      </c>
      <c r="AD220" s="6">
        <f>$O$220*$X$220</f>
        <v>0</v>
      </c>
      <c r="AE220" s="6">
        <f ca="1">$K$220*$Y$220</f>
        <v>759.64789603602901</v>
      </c>
      <c r="AF220" s="6">
        <f>$M$220*$Z$220</f>
        <v>0</v>
      </c>
      <c r="AG220" s="6">
        <f>$O$220*$AA$220</f>
        <v>0</v>
      </c>
    </row>
    <row r="221" spans="1:33" ht="11.25" customHeight="1" x14ac:dyDescent="0.25">
      <c r="A221" s="4" t="s">
        <v>21</v>
      </c>
      <c r="B221" s="4" t="s">
        <v>38</v>
      </c>
      <c r="C221" s="4" t="s">
        <v>40</v>
      </c>
      <c r="D221" s="4" t="s">
        <v>50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30</v>
      </c>
      <c r="K221" s="6">
        <v>30</v>
      </c>
      <c r="L221" s="6">
        <v>0</v>
      </c>
      <c r="M221" s="6">
        <v>0</v>
      </c>
      <c r="N221" s="6">
        <v>0</v>
      </c>
      <c r="O221" s="6">
        <v>0</v>
      </c>
      <c r="P221" s="6">
        <v>1</v>
      </c>
      <c r="Q221" s="4" t="s">
        <v>26</v>
      </c>
      <c r="R221" s="4">
        <v>0</v>
      </c>
      <c r="S221" s="6">
        <v>18</v>
      </c>
      <c r="T221" s="6">
        <v>0</v>
      </c>
      <c r="U221" s="6">
        <v>0</v>
      </c>
      <c r="V221" s="6">
        <f>IF(ISERROR(VLOOKUP($S$221,'TAR FIN'!$A$1:$O$86,15,0)),0,VLOOKUP($S$221,'TAR FIN'!$A$1:$O$86,15,0))</f>
        <v>19.239999999999998</v>
      </c>
      <c r="W221" s="6">
        <f>IF(ISERROR(VLOOKUP($T$221,'TAR FIN'!$A$1:$O$86,15,0)),0,VLOOKUP($T$221,'TAR FIN'!$A$1:$O$86,15,0))</f>
        <v>0</v>
      </c>
      <c r="X221" s="6">
        <f>IF(ISERROR(VLOOKUP($U$221,'TAR FIN'!$A$1:$O$86,15,0)),0,VLOOKUP($U$221,'TAR FIN'!$A$1:$O$86,15,0))</f>
        <v>0</v>
      </c>
      <c r="Y221" s="6">
        <f ca="1">('TUSD BE'!$AM$11+'TUSD BF_350'!$AM$11+'TUSD CVA'!$AM$11)*1</f>
        <v>15.19295792072058</v>
      </c>
      <c r="Z221" s="6"/>
      <c r="AA221" s="6"/>
      <c r="AB221" s="6">
        <f>$K$221*$V$221</f>
        <v>577.19999999999993</v>
      </c>
      <c r="AC221" s="6">
        <f>$M$221*$W$221</f>
        <v>0</v>
      </c>
      <c r="AD221" s="6">
        <f>$O$221*$X$221</f>
        <v>0</v>
      </c>
      <c r="AE221" s="6">
        <f ca="1">$K$221*$Y$221</f>
        <v>455.78873762161743</v>
      </c>
      <c r="AF221" s="6">
        <f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38</v>
      </c>
      <c r="C222" s="4" t="s">
        <v>40</v>
      </c>
      <c r="D222" s="4" t="s">
        <v>50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38</v>
      </c>
      <c r="K222" s="6">
        <v>38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4" t="s">
        <v>26</v>
      </c>
      <c r="R222" s="4">
        <v>0</v>
      </c>
      <c r="S222" s="6">
        <v>18</v>
      </c>
      <c r="T222" s="6">
        <v>0</v>
      </c>
      <c r="U222" s="6">
        <v>0</v>
      </c>
      <c r="V222" s="6">
        <f>IF(ISERROR(VLOOKUP($S$222,'TAR FIN'!$A$1:$O$86,15,0)),0,VLOOKUP($S$222,'TAR FIN'!$A$1:$O$86,15,0))</f>
        <v>19.239999999999998</v>
      </c>
      <c r="W222" s="6">
        <f>IF(ISERROR(VLOOKUP($T$222,'TAR FIN'!$A$1:$O$86,15,0)),0,VLOOKUP($T$222,'TAR FIN'!$A$1:$O$86,15,0))</f>
        <v>0</v>
      </c>
      <c r="X222" s="6">
        <f>IF(ISERROR(VLOOKUP($U$222,'TAR FIN'!$A$1:$O$86,15,0)),0,VLOOKUP($U$222,'TAR FIN'!$A$1:$O$86,15,0))</f>
        <v>0</v>
      </c>
      <c r="Y222" s="6">
        <f ca="1">('TUSD BE'!$AM$11+'TUSD BF_350'!$AM$11+'TUSD CVA'!$AM$11)*1</f>
        <v>15.19295792072058</v>
      </c>
      <c r="Z222" s="6"/>
      <c r="AA222" s="6"/>
      <c r="AB222" s="6">
        <f>$K$222*$V$222</f>
        <v>731.11999999999989</v>
      </c>
      <c r="AC222" s="6">
        <f>$M$222*$W$222</f>
        <v>0</v>
      </c>
      <c r="AD222" s="6">
        <f>$O$222*$X$222</f>
        <v>0</v>
      </c>
      <c r="AE222" s="6">
        <f ca="1">$K$222*$Y$222</f>
        <v>577.33240098738202</v>
      </c>
      <c r="AF222" s="6">
        <f>$M$222*$Z$222</f>
        <v>0</v>
      </c>
      <c r="AG222" s="6">
        <f>$O$222*$AA$222</f>
        <v>0</v>
      </c>
    </row>
    <row r="223" spans="1:33" ht="11.25" customHeight="1" x14ac:dyDescent="0.25">
      <c r="A223" s="4" t="s">
        <v>21</v>
      </c>
      <c r="B223" s="4" t="s">
        <v>38</v>
      </c>
      <c r="C223" s="4" t="s">
        <v>40</v>
      </c>
      <c r="D223" s="4" t="s">
        <v>50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44501</v>
      </c>
      <c r="J223" s="6">
        <v>56</v>
      </c>
      <c r="K223" s="6">
        <v>56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4" t="s">
        <v>26</v>
      </c>
      <c r="R223" s="4">
        <v>0</v>
      </c>
      <c r="S223" s="6">
        <v>18</v>
      </c>
      <c r="T223" s="6">
        <v>0</v>
      </c>
      <c r="U223" s="6">
        <v>0</v>
      </c>
      <c r="V223" s="6">
        <f>IF(ISERROR(VLOOKUP($S$223,'TAR FIN'!$A$1:$O$86,15,0)),0,VLOOKUP($S$223,'TAR FIN'!$A$1:$O$86,15,0))</f>
        <v>19.239999999999998</v>
      </c>
      <c r="W223" s="6">
        <f>IF(ISERROR(VLOOKUP($T$223,'TAR FIN'!$A$1:$O$86,15,0)),0,VLOOKUP($T$223,'TAR FIN'!$A$1:$O$86,15,0))</f>
        <v>0</v>
      </c>
      <c r="X223" s="6">
        <f>IF(ISERROR(VLOOKUP($U$223,'TAR FIN'!$A$1:$O$86,15,0)),0,VLOOKUP($U$223,'TAR FIN'!$A$1:$O$86,15,0))</f>
        <v>0</v>
      </c>
      <c r="Y223" s="6">
        <f ca="1">('TUSD BE'!$AM$11+'TUSD BF_350'!$AM$11+'TUSD CVA'!$AM$11)*1</f>
        <v>15.19295792072058</v>
      </c>
      <c r="Z223" s="6"/>
      <c r="AA223" s="6"/>
      <c r="AB223" s="6">
        <f>$K$223*$V$223</f>
        <v>1077.4399999999998</v>
      </c>
      <c r="AC223" s="6">
        <f>$M$223*$W$223</f>
        <v>0</v>
      </c>
      <c r="AD223" s="6">
        <f>$O$223*$X$223</f>
        <v>0</v>
      </c>
      <c r="AE223" s="6">
        <f ca="1">$K$223*$Y$223</f>
        <v>850.80564356035256</v>
      </c>
      <c r="AF223" s="6">
        <f>$M$223*$Z$223</f>
        <v>0</v>
      </c>
      <c r="AG223" s="6">
        <f>$O$223*$AA$223</f>
        <v>0</v>
      </c>
    </row>
    <row r="224" spans="1:33" ht="11.25" customHeight="1" x14ac:dyDescent="0.25">
      <c r="A224" s="4" t="s">
        <v>21</v>
      </c>
      <c r="B224" s="4" t="s">
        <v>38</v>
      </c>
      <c r="C224" s="4" t="s">
        <v>40</v>
      </c>
      <c r="D224" s="4" t="s">
        <v>50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44531</v>
      </c>
      <c r="J224" s="6">
        <v>59</v>
      </c>
      <c r="K224" s="6">
        <v>59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26</v>
      </c>
      <c r="R224" s="4">
        <v>0</v>
      </c>
      <c r="S224" s="6">
        <v>18</v>
      </c>
      <c r="T224" s="6">
        <v>0</v>
      </c>
      <c r="U224" s="6">
        <v>0</v>
      </c>
      <c r="V224" s="6">
        <f>IF(ISERROR(VLOOKUP($S$224,'TAR FIN'!$A$1:$O$86,15,0)),0,VLOOKUP($S$224,'TAR FIN'!$A$1:$O$86,15,0))</f>
        <v>19.239999999999998</v>
      </c>
      <c r="W224" s="6">
        <f>IF(ISERROR(VLOOKUP($T$224,'TAR FIN'!$A$1:$O$86,15,0)),0,VLOOKUP($T$224,'TAR FIN'!$A$1:$O$86,15,0))</f>
        <v>0</v>
      </c>
      <c r="X224" s="6">
        <f>IF(ISERROR(VLOOKUP($U$224,'TAR FIN'!$A$1:$O$86,15,0)),0,VLOOKUP($U$224,'TAR FIN'!$A$1:$O$86,15,0))</f>
        <v>0</v>
      </c>
      <c r="Y224" s="6">
        <f ca="1">('TUSD BE'!$AM$11+'TUSD BF_350'!$AM$11+'TUSD CVA'!$AM$11)*1</f>
        <v>15.19295792072058</v>
      </c>
      <c r="Z224" s="6"/>
      <c r="AA224" s="6"/>
      <c r="AB224" s="6">
        <f>$K$224*$V$224</f>
        <v>1135.1599999999999</v>
      </c>
      <c r="AC224" s="6">
        <f>$M$224*$W$224</f>
        <v>0</v>
      </c>
      <c r="AD224" s="6">
        <f>$O$224*$X$224</f>
        <v>0</v>
      </c>
      <c r="AE224" s="6">
        <f ca="1">$K$224*$Y$224</f>
        <v>896.38451732251428</v>
      </c>
      <c r="AF224" s="6">
        <f>$M$224*$Z$224</f>
        <v>0</v>
      </c>
      <c r="AG224" s="6">
        <f>$O$224*$AA$224</f>
        <v>0</v>
      </c>
    </row>
    <row r="225" spans="1:33" ht="11.25" customHeight="1" x14ac:dyDescent="0.25">
      <c r="A225" s="4" t="s">
        <v>21</v>
      </c>
      <c r="B225" s="4" t="s">
        <v>38</v>
      </c>
      <c r="C225" s="4" t="s">
        <v>40</v>
      </c>
      <c r="D225" s="4" t="s">
        <v>50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44562</v>
      </c>
      <c r="J225" s="6">
        <v>59</v>
      </c>
      <c r="K225" s="6">
        <v>59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6">
        <v>18</v>
      </c>
      <c r="T225" s="6">
        <v>0</v>
      </c>
      <c r="U225" s="6">
        <v>0</v>
      </c>
      <c r="V225" s="6">
        <f>IF(ISERROR(VLOOKUP($S$225,'TAR FIN'!$A$1:$O$86,15,0)),0,VLOOKUP($S$225,'TAR FIN'!$A$1:$O$86,15,0))</f>
        <v>19.239999999999998</v>
      </c>
      <c r="W225" s="6">
        <f>IF(ISERROR(VLOOKUP($T$225,'TAR FIN'!$A$1:$O$86,15,0)),0,VLOOKUP($T$225,'TAR FIN'!$A$1:$O$86,15,0))</f>
        <v>0</v>
      </c>
      <c r="X225" s="6">
        <f>IF(ISERROR(VLOOKUP($U$225,'TAR FIN'!$A$1:$O$86,15,0)),0,VLOOKUP($U$225,'TAR FIN'!$A$1:$O$86,15,0))</f>
        <v>0</v>
      </c>
      <c r="Y225" s="6">
        <f ca="1">('TUSD BE'!$AM$11+'TUSD BF_350'!$AM$11+'TUSD CVA'!$AM$11)*1</f>
        <v>15.19295792072058</v>
      </c>
      <c r="Z225" s="6"/>
      <c r="AA225" s="6"/>
      <c r="AB225" s="6">
        <f>$K$225*$V$225</f>
        <v>1135.1599999999999</v>
      </c>
      <c r="AC225" s="6">
        <f>$M$225*$W$225</f>
        <v>0</v>
      </c>
      <c r="AD225" s="6">
        <f>$O$225*$X$225</f>
        <v>0</v>
      </c>
      <c r="AE225" s="6">
        <f ca="1">$K$225*$Y$225</f>
        <v>896.38451732251428</v>
      </c>
      <c r="AF225" s="6">
        <f>$M$225*$Z$225</f>
        <v>0</v>
      </c>
      <c r="AG225" s="6">
        <f>$O$225*$AA$225</f>
        <v>0</v>
      </c>
    </row>
    <row r="226" spans="1:33" ht="11.25" customHeight="1" x14ac:dyDescent="0.25">
      <c r="A226" s="4" t="s">
        <v>21</v>
      </c>
      <c r="B226" s="4" t="s">
        <v>38</v>
      </c>
      <c r="C226" s="4" t="s">
        <v>40</v>
      </c>
      <c r="D226" s="4" t="s">
        <v>50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44593</v>
      </c>
      <c r="J226" s="6">
        <v>54</v>
      </c>
      <c r="K226" s="6">
        <v>54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26</v>
      </c>
      <c r="R226" s="4">
        <v>0</v>
      </c>
      <c r="S226" s="6">
        <v>18</v>
      </c>
      <c r="T226" s="6">
        <v>0</v>
      </c>
      <c r="U226" s="6">
        <v>0</v>
      </c>
      <c r="V226" s="6">
        <f>IF(ISERROR(VLOOKUP($S$226,'TAR FIN'!$A$1:$O$86,15,0)),0,VLOOKUP($S$226,'TAR FIN'!$A$1:$O$86,15,0))</f>
        <v>19.239999999999998</v>
      </c>
      <c r="W226" s="6">
        <f>IF(ISERROR(VLOOKUP($T$226,'TAR FIN'!$A$1:$O$86,15,0)),0,VLOOKUP($T$226,'TAR FIN'!$A$1:$O$86,15,0))</f>
        <v>0</v>
      </c>
      <c r="X226" s="6">
        <f>IF(ISERROR(VLOOKUP($U$226,'TAR FIN'!$A$1:$O$86,15,0)),0,VLOOKUP($U$226,'TAR FIN'!$A$1:$O$86,15,0))</f>
        <v>0</v>
      </c>
      <c r="Y226" s="6">
        <f ca="1">('TUSD BE'!$AM$11+'TUSD BF_350'!$AM$11+'TUSD CVA'!$AM$11)*1</f>
        <v>15.19295792072058</v>
      </c>
      <c r="Z226" s="6"/>
      <c r="AA226" s="6"/>
      <c r="AB226" s="6">
        <f>$K$226*$V$226</f>
        <v>1038.9599999999998</v>
      </c>
      <c r="AC226" s="6">
        <f>$M$226*$W$226</f>
        <v>0</v>
      </c>
      <c r="AD226" s="6">
        <f>$O$226*$X$226</f>
        <v>0</v>
      </c>
      <c r="AE226" s="6">
        <f ca="1">$K$226*$Y$226</f>
        <v>820.4197277189113</v>
      </c>
      <c r="AF226" s="6">
        <f>$M$226*$Z$226</f>
        <v>0</v>
      </c>
      <c r="AG226" s="6">
        <f>$O$226*$AA$226</f>
        <v>0</v>
      </c>
    </row>
    <row r="227" spans="1:33" ht="11.25" customHeight="1" x14ac:dyDescent="0.25">
      <c r="A227" s="4" t="s">
        <v>21</v>
      </c>
      <c r="B227" s="4" t="s">
        <v>38</v>
      </c>
      <c r="C227" s="4" t="s">
        <v>40</v>
      </c>
      <c r="D227" s="4" t="s">
        <v>50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44621</v>
      </c>
      <c r="J227" s="6">
        <v>48</v>
      </c>
      <c r="K227" s="6">
        <v>48</v>
      </c>
      <c r="L227" s="6">
        <v>0</v>
      </c>
      <c r="M227" s="6">
        <v>0</v>
      </c>
      <c r="N227" s="6">
        <v>0</v>
      </c>
      <c r="O227" s="6">
        <v>0</v>
      </c>
      <c r="P227" s="6">
        <v>1</v>
      </c>
      <c r="Q227" s="4" t="s">
        <v>26</v>
      </c>
      <c r="R227" s="4">
        <v>0</v>
      </c>
      <c r="S227" s="6">
        <v>18</v>
      </c>
      <c r="T227" s="6">
        <v>0</v>
      </c>
      <c r="U227" s="6">
        <v>0</v>
      </c>
      <c r="V227" s="6">
        <f>IF(ISERROR(VLOOKUP($S$227,'TAR FIN'!$A$1:$O$86,15,0)),0,VLOOKUP($S$227,'TAR FIN'!$A$1:$O$86,15,0))</f>
        <v>19.239999999999998</v>
      </c>
      <c r="W227" s="6">
        <f>IF(ISERROR(VLOOKUP($T$227,'TAR FIN'!$A$1:$O$86,15,0)),0,VLOOKUP($T$227,'TAR FIN'!$A$1:$O$86,15,0))</f>
        <v>0</v>
      </c>
      <c r="X227" s="6">
        <f>IF(ISERROR(VLOOKUP($U$227,'TAR FIN'!$A$1:$O$86,15,0)),0,VLOOKUP($U$227,'TAR FIN'!$A$1:$O$86,15,0))</f>
        <v>0</v>
      </c>
      <c r="Y227" s="6">
        <f ca="1">('TUSD BE'!$AM$11+'TUSD BF_350'!$AM$11+'TUSD CVA'!$AM$11)*1</f>
        <v>15.19295792072058</v>
      </c>
      <c r="Z227" s="6"/>
      <c r="AA227" s="6"/>
      <c r="AB227" s="6">
        <f>$K$227*$V$227</f>
        <v>923.52</v>
      </c>
      <c r="AC227" s="6">
        <f>$M$227*$W$227</f>
        <v>0</v>
      </c>
      <c r="AD227" s="6">
        <f>$O$227*$X$227</f>
        <v>0</v>
      </c>
      <c r="AE227" s="6">
        <f ca="1">$K$227*$Y$227</f>
        <v>729.26198019458786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21</v>
      </c>
      <c r="B228" s="4" t="s">
        <v>38</v>
      </c>
      <c r="C228" s="4" t="s">
        <v>40</v>
      </c>
      <c r="D228" s="4" t="s">
        <v>50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44652</v>
      </c>
      <c r="J228" s="6">
        <v>37</v>
      </c>
      <c r="K228" s="6">
        <v>37</v>
      </c>
      <c r="L228" s="6">
        <v>0</v>
      </c>
      <c r="M228" s="6">
        <v>0</v>
      </c>
      <c r="N228" s="6">
        <v>0</v>
      </c>
      <c r="O228" s="6">
        <v>0</v>
      </c>
      <c r="P228" s="6">
        <v>1</v>
      </c>
      <c r="Q228" s="4" t="s">
        <v>26</v>
      </c>
      <c r="R228" s="4">
        <v>0</v>
      </c>
      <c r="S228" s="6">
        <v>18</v>
      </c>
      <c r="T228" s="6">
        <v>0</v>
      </c>
      <c r="U228" s="6">
        <v>0</v>
      </c>
      <c r="V228" s="6">
        <f>IF(ISERROR(VLOOKUP($S$228,'TAR FIN'!$A$1:$O$86,15,0)),0,VLOOKUP($S$228,'TAR FIN'!$A$1:$O$86,15,0))</f>
        <v>19.239999999999998</v>
      </c>
      <c r="W228" s="6">
        <f>IF(ISERROR(VLOOKUP($T$228,'TAR FIN'!$A$1:$O$86,15,0)),0,VLOOKUP($T$228,'TAR FIN'!$A$1:$O$86,15,0))</f>
        <v>0</v>
      </c>
      <c r="X228" s="6">
        <f>IF(ISERROR(VLOOKUP($U$228,'TAR FIN'!$A$1:$O$86,15,0)),0,VLOOKUP($U$228,'TAR FIN'!$A$1:$O$86,15,0))</f>
        <v>0</v>
      </c>
      <c r="Y228" s="6">
        <f ca="1">('TUSD BE'!$AM$11+'TUSD BF_350'!$AM$11+'TUSD CVA'!$AM$11)*1</f>
        <v>15.19295792072058</v>
      </c>
      <c r="Z228" s="6"/>
      <c r="AA228" s="6"/>
      <c r="AB228" s="6">
        <f>$K$228*$V$228</f>
        <v>711.88</v>
      </c>
      <c r="AC228" s="6">
        <f>$M$228*$W$228</f>
        <v>0</v>
      </c>
      <c r="AD228" s="6">
        <f>$O$228*$X$228</f>
        <v>0</v>
      </c>
      <c r="AE228" s="6">
        <f ca="1">$K$228*$Y$228</f>
        <v>562.13944306666144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38</v>
      </c>
      <c r="C229" s="4" t="s">
        <v>40</v>
      </c>
      <c r="D229" s="4" t="s">
        <v>50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44682</v>
      </c>
      <c r="J229" s="6">
        <v>42</v>
      </c>
      <c r="K229" s="6">
        <v>42</v>
      </c>
      <c r="L229" s="6">
        <v>0</v>
      </c>
      <c r="M229" s="6">
        <v>0</v>
      </c>
      <c r="N229" s="6">
        <v>0</v>
      </c>
      <c r="O229" s="6">
        <v>0</v>
      </c>
      <c r="P229" s="6">
        <v>1</v>
      </c>
      <c r="Q229" s="4" t="s">
        <v>26</v>
      </c>
      <c r="R229" s="4">
        <v>0</v>
      </c>
      <c r="S229" s="6">
        <v>18</v>
      </c>
      <c r="T229" s="6">
        <v>0</v>
      </c>
      <c r="U229" s="6">
        <v>0</v>
      </c>
      <c r="V229" s="6">
        <f>IF(ISERROR(VLOOKUP($S$229,'TAR FIN'!$A$1:$O$86,15,0)),0,VLOOKUP($S$229,'TAR FIN'!$A$1:$O$86,15,0))</f>
        <v>19.239999999999998</v>
      </c>
      <c r="W229" s="6">
        <f>IF(ISERROR(VLOOKUP($T$229,'TAR FIN'!$A$1:$O$86,15,0)),0,VLOOKUP($T$229,'TAR FIN'!$A$1:$O$86,15,0))</f>
        <v>0</v>
      </c>
      <c r="X229" s="6">
        <f>IF(ISERROR(VLOOKUP($U$229,'TAR FIN'!$A$1:$O$86,15,0)),0,VLOOKUP($U$229,'TAR FIN'!$A$1:$O$86,15,0))</f>
        <v>0</v>
      </c>
      <c r="Y229" s="6">
        <f ca="1">('TUSD BE'!$AM$11+'TUSD BF_350'!$AM$11+'TUSD CVA'!$AM$11)*1</f>
        <v>15.19295792072058</v>
      </c>
      <c r="Z229" s="6"/>
      <c r="AA229" s="6"/>
      <c r="AB229" s="6">
        <f>$K$229*$V$229</f>
        <v>808.07999999999993</v>
      </c>
      <c r="AC229" s="6">
        <f>$M$229*$W$229</f>
        <v>0</v>
      </c>
      <c r="AD229" s="6">
        <f>$O$229*$X$229</f>
        <v>0</v>
      </c>
      <c r="AE229" s="6">
        <f ca="1">$K$229*$Y$229</f>
        <v>638.10423267026442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56</v>
      </c>
      <c r="B230" s="4" t="s">
        <v>38</v>
      </c>
      <c r="C230" s="4" t="s">
        <v>40</v>
      </c>
      <c r="D230" s="4" t="s">
        <v>50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44713</v>
      </c>
      <c r="J230" s="6">
        <v>42</v>
      </c>
      <c r="K230" s="6">
        <v>42</v>
      </c>
      <c r="L230" s="6">
        <v>0</v>
      </c>
      <c r="M230" s="6">
        <v>0</v>
      </c>
      <c r="N230" s="6">
        <v>0</v>
      </c>
      <c r="O230" s="6">
        <v>0</v>
      </c>
      <c r="P230" s="6">
        <v>1</v>
      </c>
      <c r="Q230" s="4" t="s">
        <v>26</v>
      </c>
      <c r="R230" s="4">
        <v>0</v>
      </c>
      <c r="S230" s="6">
        <v>18</v>
      </c>
      <c r="T230" s="6">
        <v>0</v>
      </c>
      <c r="U230" s="6">
        <v>0</v>
      </c>
      <c r="V230" s="6">
        <f>IF(ISERROR(VLOOKUP($S$230,'TAR FIN'!$A$1:$O$86,15,0)),0,VLOOKUP($S$230,'TAR FIN'!$A$1:$O$86,15,0))</f>
        <v>19.239999999999998</v>
      </c>
      <c r="W230" s="6">
        <f>IF(ISERROR(VLOOKUP($T$230,'TAR FIN'!$A$1:$O$86,15,0)),0,VLOOKUP($T$230,'TAR FIN'!$A$1:$O$86,15,0))</f>
        <v>0</v>
      </c>
      <c r="X230" s="6">
        <f>IF(ISERROR(VLOOKUP($U$230,'TAR FIN'!$A$1:$O$86,15,0)),0,VLOOKUP($U$230,'TAR FIN'!$A$1:$O$86,15,0))</f>
        <v>0</v>
      </c>
      <c r="Y230" s="6">
        <f ca="1">('TUSD BE'!$AM$11+'TUSD BF_350'!$AM$11+'TUSD CVA'!$AM$11)*1</f>
        <v>15.19295792072058</v>
      </c>
      <c r="Z230" s="6"/>
      <c r="AA230" s="6"/>
      <c r="AB230" s="6">
        <f>$K$230*$V$230</f>
        <v>808.07999999999993</v>
      </c>
      <c r="AC230" s="6">
        <f>$M$230*$W$230</f>
        <v>0</v>
      </c>
      <c r="AD230" s="6">
        <f>$O$230*$X$230</f>
        <v>0</v>
      </c>
      <c r="AE230" s="6">
        <f ca="1">$K$230*$Y$230</f>
        <v>638.10423267026442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21</v>
      </c>
      <c r="B231" s="4" t="s">
        <v>38</v>
      </c>
      <c r="C231" s="4" t="s">
        <v>40</v>
      </c>
      <c r="D231" s="4" t="s">
        <v>50</v>
      </c>
      <c r="E231" s="4" t="s">
        <v>25</v>
      </c>
      <c r="F231" s="4" t="s">
        <v>25</v>
      </c>
      <c r="G231" s="4" t="s">
        <v>25</v>
      </c>
      <c r="H231" s="4" t="s">
        <v>33</v>
      </c>
      <c r="I231" s="5">
        <v>44378</v>
      </c>
      <c r="J231" s="6">
        <v>0</v>
      </c>
      <c r="K231" s="6">
        <v>0</v>
      </c>
      <c r="L231" s="6">
        <v>1.0940000000000001</v>
      </c>
      <c r="M231" s="6">
        <v>1.0940000000000001</v>
      </c>
      <c r="N231" s="6">
        <v>1.0940000000000001</v>
      </c>
      <c r="O231" s="6">
        <v>1.0940000000000001</v>
      </c>
      <c r="P231" s="6">
        <v>0</v>
      </c>
      <c r="Q231" s="4" t="s">
        <v>26</v>
      </c>
      <c r="R231" s="4">
        <v>0</v>
      </c>
      <c r="S231" s="6">
        <v>0</v>
      </c>
      <c r="T231" s="6">
        <v>16</v>
      </c>
      <c r="U231" s="6">
        <v>47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1329.67</v>
      </c>
      <c r="X231" s="6">
        <f>IF(ISERROR(VLOOKUP($U$231,'TAR FIN'!$A$1:$O$86,15,0)),0,VLOOKUP($U$231,'TAR FIN'!$A$1:$O$86,15,0))</f>
        <v>389.21</v>
      </c>
      <c r="Y231" s="6"/>
      <c r="Z231" s="6">
        <f ca="1">('TUSD BE'!$AM$12+'TUSD BF_350'!$AM$12+'TUSD CVA'!$AM$12)*1</f>
        <v>1074.3612836602365</v>
      </c>
      <c r="AA231" s="6">
        <f ca="1">('TE BE'!$AB$5+'TE BF_350'!$AB$5+'TE CVA'!$AB$5)*1</f>
        <v>353.55100010229148</v>
      </c>
      <c r="AB231" s="6">
        <f>$K$231*$V$231</f>
        <v>0</v>
      </c>
      <c r="AC231" s="6">
        <f>$M$231*$W$231</f>
        <v>1454.6589800000002</v>
      </c>
      <c r="AD231" s="6">
        <f>$O$231*$X$231</f>
        <v>425.79574000000002</v>
      </c>
      <c r="AE231" s="6">
        <f>$K$231*$Y$231</f>
        <v>0</v>
      </c>
      <c r="AF231" s="6">
        <f ca="1">$M$231*$Z$231</f>
        <v>1175.3512443242987</v>
      </c>
      <c r="AG231" s="6">
        <f ca="1">$O$231*$AA$231</f>
        <v>386.78479411190693</v>
      </c>
    </row>
    <row r="232" spans="1:33" ht="11.25" customHeight="1" x14ac:dyDescent="0.25">
      <c r="A232" s="4" t="s">
        <v>21</v>
      </c>
      <c r="B232" s="4" t="s">
        <v>38</v>
      </c>
      <c r="C232" s="4" t="s">
        <v>40</v>
      </c>
      <c r="D232" s="4" t="s">
        <v>50</v>
      </c>
      <c r="E232" s="4" t="s">
        <v>25</v>
      </c>
      <c r="F232" s="4" t="s">
        <v>25</v>
      </c>
      <c r="G232" s="4" t="s">
        <v>25</v>
      </c>
      <c r="H232" s="4" t="s">
        <v>33</v>
      </c>
      <c r="I232" s="5">
        <v>44409</v>
      </c>
      <c r="J232" s="6">
        <v>0</v>
      </c>
      <c r="K232" s="6">
        <v>0</v>
      </c>
      <c r="L232" s="6">
        <v>1.0640000000000001</v>
      </c>
      <c r="M232" s="6">
        <v>1.0640000000000001</v>
      </c>
      <c r="N232" s="6">
        <v>1.0640000000000001</v>
      </c>
      <c r="O232" s="6">
        <v>1.0640000000000001</v>
      </c>
      <c r="P232" s="6">
        <v>0</v>
      </c>
      <c r="Q232" s="4" t="s">
        <v>26</v>
      </c>
      <c r="R232" s="4">
        <v>0</v>
      </c>
      <c r="S232" s="6">
        <v>0</v>
      </c>
      <c r="T232" s="6">
        <v>16</v>
      </c>
      <c r="U232" s="6">
        <v>47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1329.67</v>
      </c>
      <c r="X232" s="6">
        <f>IF(ISERROR(VLOOKUP($U$232,'TAR FIN'!$A$1:$O$86,15,0)),0,VLOOKUP($U$232,'TAR FIN'!$A$1:$O$86,15,0))</f>
        <v>389.21</v>
      </c>
      <c r="Y232" s="6"/>
      <c r="Z232" s="6">
        <f ca="1">('TUSD BE'!$AM$12+'TUSD BF_350'!$AM$12+'TUSD CVA'!$AM$12)*1</f>
        <v>1074.3612836602365</v>
      </c>
      <c r="AA232" s="6">
        <f ca="1">('TE BE'!$AB$5+'TE BF_350'!$AB$5+'TE CVA'!$AB$5)*1</f>
        <v>353.55100010229148</v>
      </c>
      <c r="AB232" s="6">
        <f>$K$232*$V$232</f>
        <v>0</v>
      </c>
      <c r="AC232" s="6">
        <f>$M$232*$W$232</f>
        <v>1414.7688800000001</v>
      </c>
      <c r="AD232" s="6">
        <f>$O$232*$X$232</f>
        <v>414.11944</v>
      </c>
      <c r="AE232" s="6">
        <f>$K$232*$Y$232</f>
        <v>0</v>
      </c>
      <c r="AF232" s="6">
        <f ca="1">$M$232*$Z$232</f>
        <v>1143.1204058144917</v>
      </c>
      <c r="AG232" s="6">
        <f ca="1">$O$232*$AA$232</f>
        <v>376.17826410883816</v>
      </c>
    </row>
    <row r="233" spans="1:33" ht="11.25" customHeight="1" x14ac:dyDescent="0.25">
      <c r="A233" s="4" t="s">
        <v>21</v>
      </c>
      <c r="B233" s="4" t="s">
        <v>38</v>
      </c>
      <c r="C233" s="4" t="s">
        <v>40</v>
      </c>
      <c r="D233" s="4" t="s">
        <v>50</v>
      </c>
      <c r="E233" s="4" t="s">
        <v>25</v>
      </c>
      <c r="F233" s="4" t="s">
        <v>25</v>
      </c>
      <c r="G233" s="4" t="s">
        <v>25</v>
      </c>
      <c r="H233" s="4" t="s">
        <v>33</v>
      </c>
      <c r="I233" s="5">
        <v>44440</v>
      </c>
      <c r="J233" s="6">
        <v>0</v>
      </c>
      <c r="K233" s="6">
        <v>0</v>
      </c>
      <c r="L233" s="6">
        <v>0.94599999999999995</v>
      </c>
      <c r="M233" s="6">
        <v>0.94599999999999995</v>
      </c>
      <c r="N233" s="6">
        <v>0.94599999999999995</v>
      </c>
      <c r="O233" s="6">
        <v>0.94599999999999995</v>
      </c>
      <c r="P233" s="6">
        <v>0</v>
      </c>
      <c r="Q233" s="4" t="s">
        <v>26</v>
      </c>
      <c r="R233" s="4">
        <v>0</v>
      </c>
      <c r="S233" s="6">
        <v>0</v>
      </c>
      <c r="T233" s="6">
        <v>16</v>
      </c>
      <c r="U233" s="6">
        <v>47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1329.67</v>
      </c>
      <c r="X233" s="6">
        <f>IF(ISERROR(VLOOKUP($U$233,'TAR FIN'!$A$1:$O$86,15,0)),0,VLOOKUP($U$233,'TAR FIN'!$A$1:$O$86,15,0))</f>
        <v>389.21</v>
      </c>
      <c r="Y233" s="6"/>
      <c r="Z233" s="6">
        <f ca="1">('TUSD BE'!$AM$12+'TUSD BF_350'!$AM$12+'TUSD CVA'!$AM$12)*1</f>
        <v>1074.3612836602365</v>
      </c>
      <c r="AA233" s="6">
        <f ca="1">('TE BE'!$AB$5+'TE BF_350'!$AB$5+'TE CVA'!$AB$5)*1</f>
        <v>353.55100010229148</v>
      </c>
      <c r="AB233" s="6">
        <f>$K$233*$V$233</f>
        <v>0</v>
      </c>
      <c r="AC233" s="6">
        <f>$M$233*$W$233</f>
        <v>1257.8678199999999</v>
      </c>
      <c r="AD233" s="6">
        <f>$O$233*$X$233</f>
        <v>368.19265999999999</v>
      </c>
      <c r="AE233" s="6">
        <f>$K$233*$Y$233</f>
        <v>0</v>
      </c>
      <c r="AF233" s="6">
        <f ca="1">$M$233*$Z$233</f>
        <v>1016.3457743425837</v>
      </c>
      <c r="AG233" s="6">
        <f ca="1">$O$233*$AA$233</f>
        <v>334.45924609676774</v>
      </c>
    </row>
    <row r="234" spans="1:33" ht="11.25" customHeight="1" x14ac:dyDescent="0.25">
      <c r="A234" s="4" t="s">
        <v>21</v>
      </c>
      <c r="B234" s="4" t="s">
        <v>38</v>
      </c>
      <c r="C234" s="4" t="s">
        <v>40</v>
      </c>
      <c r="D234" s="4" t="s">
        <v>50</v>
      </c>
      <c r="E234" s="4" t="s">
        <v>25</v>
      </c>
      <c r="F234" s="4" t="s">
        <v>25</v>
      </c>
      <c r="G234" s="4" t="s">
        <v>25</v>
      </c>
      <c r="H234" s="4" t="s">
        <v>33</v>
      </c>
      <c r="I234" s="5">
        <v>44470</v>
      </c>
      <c r="J234" s="6">
        <v>0</v>
      </c>
      <c r="K234" s="6">
        <v>0</v>
      </c>
      <c r="L234" s="6">
        <v>0.85399999999999998</v>
      </c>
      <c r="M234" s="6">
        <v>0.85399999999999998</v>
      </c>
      <c r="N234" s="6">
        <v>0.85399999999999998</v>
      </c>
      <c r="O234" s="6">
        <v>0.85399999999999998</v>
      </c>
      <c r="P234" s="6">
        <v>0</v>
      </c>
      <c r="Q234" s="4" t="s">
        <v>26</v>
      </c>
      <c r="R234" s="4">
        <v>0</v>
      </c>
      <c r="S234" s="6">
        <v>0</v>
      </c>
      <c r="T234" s="6">
        <v>16</v>
      </c>
      <c r="U234" s="6">
        <v>47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1329.67</v>
      </c>
      <c r="X234" s="6">
        <f>IF(ISERROR(VLOOKUP($U$234,'TAR FIN'!$A$1:$O$86,15,0)),0,VLOOKUP($U$234,'TAR FIN'!$A$1:$O$86,15,0))</f>
        <v>389.21</v>
      </c>
      <c r="Y234" s="6"/>
      <c r="Z234" s="6">
        <f ca="1">('TUSD BE'!$AM$12+'TUSD BF_350'!$AM$12+'TUSD CVA'!$AM$12)*1</f>
        <v>1074.3612836602365</v>
      </c>
      <c r="AA234" s="6">
        <f ca="1">('TE BE'!$AB$5+'TE BF_350'!$AB$5+'TE CVA'!$AB$5)*1</f>
        <v>353.55100010229148</v>
      </c>
      <c r="AB234" s="6">
        <f>$K$234*$V$234</f>
        <v>0</v>
      </c>
      <c r="AC234" s="6">
        <f>$M$234*$W$234</f>
        <v>1135.53818</v>
      </c>
      <c r="AD234" s="6">
        <f>$O$234*$X$234</f>
        <v>332.38533999999999</v>
      </c>
      <c r="AE234" s="6">
        <f>$K$234*$Y$234</f>
        <v>0</v>
      </c>
      <c r="AF234" s="6">
        <f ca="1">$M$234*$Z$234</f>
        <v>917.5045362458419</v>
      </c>
      <c r="AG234" s="6">
        <f ca="1">$O$234*$AA$234</f>
        <v>301.93255408735689</v>
      </c>
    </row>
    <row r="235" spans="1:33" ht="11.25" customHeight="1" x14ac:dyDescent="0.25">
      <c r="A235" s="4" t="s">
        <v>21</v>
      </c>
      <c r="B235" s="4" t="s">
        <v>38</v>
      </c>
      <c r="C235" s="4" t="s">
        <v>40</v>
      </c>
      <c r="D235" s="4" t="s">
        <v>50</v>
      </c>
      <c r="E235" s="4" t="s">
        <v>25</v>
      </c>
      <c r="F235" s="4" t="s">
        <v>25</v>
      </c>
      <c r="G235" s="4" t="s">
        <v>25</v>
      </c>
      <c r="H235" s="4" t="s">
        <v>33</v>
      </c>
      <c r="I235" s="5">
        <v>44501</v>
      </c>
      <c r="J235" s="6">
        <v>0</v>
      </c>
      <c r="K235" s="6">
        <v>0</v>
      </c>
      <c r="L235" s="6">
        <v>0.85299999999999998</v>
      </c>
      <c r="M235" s="6">
        <v>0.85299999999999998</v>
      </c>
      <c r="N235" s="6">
        <v>0.85299999999999998</v>
      </c>
      <c r="O235" s="6">
        <v>0.85299999999999998</v>
      </c>
      <c r="P235" s="6">
        <v>0</v>
      </c>
      <c r="Q235" s="4" t="s">
        <v>26</v>
      </c>
      <c r="R235" s="4">
        <v>0</v>
      </c>
      <c r="S235" s="6">
        <v>0</v>
      </c>
      <c r="T235" s="6">
        <v>16</v>
      </c>
      <c r="U235" s="6">
        <v>47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1329.67</v>
      </c>
      <c r="X235" s="6">
        <f>IF(ISERROR(VLOOKUP($U$235,'TAR FIN'!$A$1:$O$86,15,0)),0,VLOOKUP($U$235,'TAR FIN'!$A$1:$O$86,15,0))</f>
        <v>389.21</v>
      </c>
      <c r="Y235" s="6"/>
      <c r="Z235" s="6">
        <f ca="1">('TUSD BE'!$AM$12+'TUSD BF_350'!$AM$12+'TUSD CVA'!$AM$12)*1</f>
        <v>1074.3612836602365</v>
      </c>
      <c r="AA235" s="6">
        <f ca="1">('TE BE'!$AB$5+'TE BF_350'!$AB$5+'TE CVA'!$AB$5)*1</f>
        <v>353.55100010229148</v>
      </c>
      <c r="AB235" s="6">
        <f>$K$235*$V$235</f>
        <v>0</v>
      </c>
      <c r="AC235" s="6">
        <f>$M$235*$W$235</f>
        <v>1134.2085099999999</v>
      </c>
      <c r="AD235" s="6">
        <f>$O$235*$X$235</f>
        <v>331.99612999999999</v>
      </c>
      <c r="AE235" s="6">
        <f>$K$235*$Y$235</f>
        <v>0</v>
      </c>
      <c r="AF235" s="6">
        <f ca="1">$M$235*$Z$235</f>
        <v>916.4301749621817</v>
      </c>
      <c r="AG235" s="6">
        <f ca="1">$O$235*$AA$235</f>
        <v>301.57900308725465</v>
      </c>
    </row>
    <row r="236" spans="1:33" ht="11.25" customHeight="1" x14ac:dyDescent="0.25">
      <c r="A236" s="4" t="s">
        <v>21</v>
      </c>
      <c r="B236" s="4" t="s">
        <v>38</v>
      </c>
      <c r="C236" s="4" t="s">
        <v>40</v>
      </c>
      <c r="D236" s="4" t="s">
        <v>50</v>
      </c>
      <c r="E236" s="4" t="s">
        <v>25</v>
      </c>
      <c r="F236" s="4" t="s">
        <v>25</v>
      </c>
      <c r="G236" s="4" t="s">
        <v>25</v>
      </c>
      <c r="H236" s="4" t="s">
        <v>33</v>
      </c>
      <c r="I236" s="5">
        <v>44531</v>
      </c>
      <c r="J236" s="6">
        <v>0</v>
      </c>
      <c r="K236" s="6">
        <v>0</v>
      </c>
      <c r="L236" s="6">
        <v>0.98099999999999998</v>
      </c>
      <c r="M236" s="6">
        <v>0.98099999999999998</v>
      </c>
      <c r="N236" s="6">
        <v>0.98099999999999998</v>
      </c>
      <c r="O236" s="6">
        <v>0.98099999999999998</v>
      </c>
      <c r="P236" s="6">
        <v>0</v>
      </c>
      <c r="Q236" s="4" t="s">
        <v>26</v>
      </c>
      <c r="R236" s="4">
        <v>0</v>
      </c>
      <c r="S236" s="6">
        <v>0</v>
      </c>
      <c r="T236" s="6">
        <v>16</v>
      </c>
      <c r="U236" s="6">
        <v>47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1329.67</v>
      </c>
      <c r="X236" s="6">
        <f>IF(ISERROR(VLOOKUP($U$236,'TAR FIN'!$A$1:$O$86,15,0)),0,VLOOKUP($U$236,'TAR FIN'!$A$1:$O$86,15,0))</f>
        <v>389.21</v>
      </c>
      <c r="Y236" s="6"/>
      <c r="Z236" s="6">
        <f ca="1">('TUSD BE'!$AM$12+'TUSD BF_350'!$AM$12+'TUSD CVA'!$AM$12)*1</f>
        <v>1074.3612836602365</v>
      </c>
      <c r="AA236" s="6">
        <f ca="1">('TE BE'!$AB$5+'TE BF_350'!$AB$5+'TE CVA'!$AB$5)*1</f>
        <v>353.55100010229148</v>
      </c>
      <c r="AB236" s="6">
        <f>$K$236*$V$236</f>
        <v>0</v>
      </c>
      <c r="AC236" s="6">
        <f>$M$236*$W$236</f>
        <v>1304.4062699999999</v>
      </c>
      <c r="AD236" s="6">
        <f>$O$236*$X$236</f>
        <v>381.81500999999997</v>
      </c>
      <c r="AE236" s="6">
        <f>$K$236*$Y$236</f>
        <v>0</v>
      </c>
      <c r="AF236" s="6">
        <f ca="1">$M$236*$Z$236</f>
        <v>1053.9484192706921</v>
      </c>
      <c r="AG236" s="6">
        <f ca="1">$O$236*$AA$236</f>
        <v>346.83353110034795</v>
      </c>
    </row>
    <row r="237" spans="1:33" ht="11.25" customHeight="1" x14ac:dyDescent="0.25">
      <c r="A237" s="4" t="s">
        <v>21</v>
      </c>
      <c r="B237" s="4" t="s">
        <v>38</v>
      </c>
      <c r="C237" s="4" t="s">
        <v>40</v>
      </c>
      <c r="D237" s="4" t="s">
        <v>50</v>
      </c>
      <c r="E237" s="4" t="s">
        <v>25</v>
      </c>
      <c r="F237" s="4" t="s">
        <v>25</v>
      </c>
      <c r="G237" s="4" t="s">
        <v>25</v>
      </c>
      <c r="H237" s="4" t="s">
        <v>33</v>
      </c>
      <c r="I237" s="5">
        <v>44562</v>
      </c>
      <c r="J237" s="6">
        <v>0</v>
      </c>
      <c r="K237" s="6">
        <v>0</v>
      </c>
      <c r="L237" s="6">
        <v>0.92700000000000005</v>
      </c>
      <c r="M237" s="6">
        <v>0.92700000000000005</v>
      </c>
      <c r="N237" s="6">
        <v>0.92700000000000005</v>
      </c>
      <c r="O237" s="6">
        <v>0.92700000000000005</v>
      </c>
      <c r="P237" s="6">
        <v>0</v>
      </c>
      <c r="Q237" s="4" t="s">
        <v>26</v>
      </c>
      <c r="R237" s="4">
        <v>0</v>
      </c>
      <c r="S237" s="6">
        <v>0</v>
      </c>
      <c r="T237" s="6">
        <v>16</v>
      </c>
      <c r="U237" s="6">
        <v>47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1329.67</v>
      </c>
      <c r="X237" s="6">
        <f>IF(ISERROR(VLOOKUP($U$237,'TAR FIN'!$A$1:$O$86,15,0)),0,VLOOKUP($U$237,'TAR FIN'!$A$1:$O$86,15,0))</f>
        <v>389.21</v>
      </c>
      <c r="Y237" s="6"/>
      <c r="Z237" s="6">
        <f ca="1">('TUSD BE'!$AM$12+'TUSD BF_350'!$AM$12+'TUSD CVA'!$AM$12)*1</f>
        <v>1074.3612836602365</v>
      </c>
      <c r="AA237" s="6">
        <f ca="1">('TE BE'!$AB$5+'TE BF_350'!$AB$5+'TE CVA'!$AB$5)*1</f>
        <v>353.55100010229148</v>
      </c>
      <c r="AB237" s="6">
        <f>$K$237*$V$237</f>
        <v>0</v>
      </c>
      <c r="AC237" s="6">
        <f>$M$237*$W$237</f>
        <v>1232.60409</v>
      </c>
      <c r="AD237" s="6">
        <f>$O$237*$X$237</f>
        <v>360.79766999999998</v>
      </c>
      <c r="AE237" s="6">
        <f>$K$237*$Y$237</f>
        <v>0</v>
      </c>
      <c r="AF237" s="6">
        <f ca="1">$M$237*$Z$237</f>
        <v>995.93290995303926</v>
      </c>
      <c r="AG237" s="6">
        <f ca="1">$O$237*$AA$237</f>
        <v>327.74177709482422</v>
      </c>
    </row>
    <row r="238" spans="1:33" ht="11.25" customHeight="1" x14ac:dyDescent="0.25">
      <c r="A238" s="4" t="s">
        <v>21</v>
      </c>
      <c r="B238" s="4" t="s">
        <v>38</v>
      </c>
      <c r="C238" s="4" t="s">
        <v>40</v>
      </c>
      <c r="D238" s="4" t="s">
        <v>50</v>
      </c>
      <c r="E238" s="4" t="s">
        <v>25</v>
      </c>
      <c r="F238" s="4" t="s">
        <v>25</v>
      </c>
      <c r="G238" s="4" t="s">
        <v>25</v>
      </c>
      <c r="H238" s="4" t="s">
        <v>33</v>
      </c>
      <c r="I238" s="5">
        <v>44593</v>
      </c>
      <c r="J238" s="6">
        <v>0</v>
      </c>
      <c r="K238" s="6">
        <v>0</v>
      </c>
      <c r="L238" s="6">
        <v>0.89800000000000002</v>
      </c>
      <c r="M238" s="6">
        <v>0.89800000000000002</v>
      </c>
      <c r="N238" s="6">
        <v>0.89800000000000002</v>
      </c>
      <c r="O238" s="6">
        <v>0.89800000000000002</v>
      </c>
      <c r="P238" s="6">
        <v>0</v>
      </c>
      <c r="Q238" s="4" t="s">
        <v>26</v>
      </c>
      <c r="R238" s="4">
        <v>0</v>
      </c>
      <c r="S238" s="6">
        <v>0</v>
      </c>
      <c r="T238" s="6">
        <v>16</v>
      </c>
      <c r="U238" s="6">
        <v>47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1329.67</v>
      </c>
      <c r="X238" s="6">
        <f>IF(ISERROR(VLOOKUP($U$238,'TAR FIN'!$A$1:$O$86,15,0)),0,VLOOKUP($U$238,'TAR FIN'!$A$1:$O$86,15,0))</f>
        <v>389.21</v>
      </c>
      <c r="Y238" s="6"/>
      <c r="Z238" s="6">
        <f ca="1">('TUSD BE'!$AM$12+'TUSD BF_350'!$AM$12+'TUSD CVA'!$AM$12)*1</f>
        <v>1074.3612836602365</v>
      </c>
      <c r="AA238" s="6">
        <f ca="1">('TE BE'!$AB$5+'TE BF_350'!$AB$5+'TE CVA'!$AB$5)*1</f>
        <v>353.55100010229148</v>
      </c>
      <c r="AB238" s="6">
        <f>$K$238*$V$238</f>
        <v>0</v>
      </c>
      <c r="AC238" s="6">
        <f>$M$238*$W$238</f>
        <v>1194.04366</v>
      </c>
      <c r="AD238" s="6">
        <f>$O$238*$X$238</f>
        <v>349.51058</v>
      </c>
      <c r="AE238" s="6">
        <f>$K$238*$Y$238</f>
        <v>0</v>
      </c>
      <c r="AF238" s="6">
        <f ca="1">$M$238*$Z$238</f>
        <v>964.77643272689238</v>
      </c>
      <c r="AG238" s="6">
        <f ca="1">$O$238*$AA$238</f>
        <v>317.48879809185775</v>
      </c>
    </row>
    <row r="239" spans="1:33" ht="11.25" customHeight="1" x14ac:dyDescent="0.25">
      <c r="A239" s="4" t="s">
        <v>21</v>
      </c>
      <c r="B239" s="4" t="s">
        <v>38</v>
      </c>
      <c r="C239" s="4" t="s">
        <v>40</v>
      </c>
      <c r="D239" s="4" t="s">
        <v>50</v>
      </c>
      <c r="E239" s="4" t="s">
        <v>25</v>
      </c>
      <c r="F239" s="4" t="s">
        <v>25</v>
      </c>
      <c r="G239" s="4" t="s">
        <v>25</v>
      </c>
      <c r="H239" s="4" t="s">
        <v>33</v>
      </c>
      <c r="I239" s="5">
        <v>44621</v>
      </c>
      <c r="J239" s="6">
        <v>0</v>
      </c>
      <c r="K239" s="6">
        <v>0</v>
      </c>
      <c r="L239" s="6">
        <v>0.99399999999999999</v>
      </c>
      <c r="M239" s="6">
        <v>0.99399999999999999</v>
      </c>
      <c r="N239" s="6">
        <v>0.99399999999999999</v>
      </c>
      <c r="O239" s="6">
        <v>0.99399999999999999</v>
      </c>
      <c r="P239" s="6">
        <v>0</v>
      </c>
      <c r="Q239" s="4" t="s">
        <v>26</v>
      </c>
      <c r="R239" s="4">
        <v>0</v>
      </c>
      <c r="S239" s="6">
        <v>0</v>
      </c>
      <c r="T239" s="6">
        <v>16</v>
      </c>
      <c r="U239" s="6">
        <v>47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1329.67</v>
      </c>
      <c r="X239" s="6">
        <f>IF(ISERROR(VLOOKUP($U$239,'TAR FIN'!$A$1:$O$86,15,0)),0,VLOOKUP($U$239,'TAR FIN'!$A$1:$O$86,15,0))</f>
        <v>389.21</v>
      </c>
      <c r="Y239" s="6"/>
      <c r="Z239" s="6">
        <f ca="1">('TUSD BE'!$AM$12+'TUSD BF_350'!$AM$12+'TUSD CVA'!$AM$12)*1</f>
        <v>1074.3612836602365</v>
      </c>
      <c r="AA239" s="6">
        <f ca="1">('TE BE'!$AB$5+'TE BF_350'!$AB$5+'TE CVA'!$AB$5)*1</f>
        <v>353.55100010229148</v>
      </c>
      <c r="AB239" s="6">
        <f>$K$239*$V$239</f>
        <v>0</v>
      </c>
      <c r="AC239" s="6">
        <f>$M$239*$W$239</f>
        <v>1321.6919800000001</v>
      </c>
      <c r="AD239" s="6">
        <f>$O$239*$X$239</f>
        <v>386.87473999999997</v>
      </c>
      <c r="AE239" s="6">
        <f>$K$239*$Y$239</f>
        <v>0</v>
      </c>
      <c r="AF239" s="6">
        <f ca="1">$M$239*$Z$239</f>
        <v>1067.915115958275</v>
      </c>
      <c r="AG239" s="6">
        <f ca="1">$O$239*$AA$239</f>
        <v>351.42969410167774</v>
      </c>
    </row>
    <row r="240" spans="1:33" ht="11.25" customHeight="1" x14ac:dyDescent="0.25">
      <c r="A240" s="4" t="s">
        <v>21</v>
      </c>
      <c r="B240" s="4" t="s">
        <v>38</v>
      </c>
      <c r="C240" s="4" t="s">
        <v>40</v>
      </c>
      <c r="D240" s="4" t="s">
        <v>50</v>
      </c>
      <c r="E240" s="4" t="s">
        <v>25</v>
      </c>
      <c r="F240" s="4" t="s">
        <v>25</v>
      </c>
      <c r="G240" s="4" t="s">
        <v>25</v>
      </c>
      <c r="H240" s="4" t="s">
        <v>33</v>
      </c>
      <c r="I240" s="5">
        <v>44652</v>
      </c>
      <c r="J240" s="6">
        <v>0</v>
      </c>
      <c r="K240" s="6">
        <v>0</v>
      </c>
      <c r="L240" s="6">
        <v>0.79500000000000004</v>
      </c>
      <c r="M240" s="6">
        <v>0.79500000000000004</v>
      </c>
      <c r="N240" s="6">
        <v>0.79500000000000004</v>
      </c>
      <c r="O240" s="6">
        <v>0.79500000000000004</v>
      </c>
      <c r="P240" s="6">
        <v>0</v>
      </c>
      <c r="Q240" s="4" t="s">
        <v>26</v>
      </c>
      <c r="R240" s="4">
        <v>0</v>
      </c>
      <c r="S240" s="6">
        <v>0</v>
      </c>
      <c r="T240" s="6">
        <v>16</v>
      </c>
      <c r="U240" s="6">
        <v>47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1329.67</v>
      </c>
      <c r="X240" s="6">
        <f>IF(ISERROR(VLOOKUP($U$240,'TAR FIN'!$A$1:$O$86,15,0)),0,VLOOKUP($U$240,'TAR FIN'!$A$1:$O$86,15,0))</f>
        <v>389.21</v>
      </c>
      <c r="Y240" s="6"/>
      <c r="Z240" s="6">
        <f ca="1">('TUSD BE'!$AM$12+'TUSD BF_350'!$AM$12+'TUSD CVA'!$AM$12)*1</f>
        <v>1074.3612836602365</v>
      </c>
      <c r="AA240" s="6">
        <f ca="1">('TE BE'!$AB$5+'TE BF_350'!$AB$5+'TE CVA'!$AB$5)*1</f>
        <v>353.55100010229148</v>
      </c>
      <c r="AB240" s="6">
        <f>$K$240*$V$240</f>
        <v>0</v>
      </c>
      <c r="AC240" s="6">
        <f>$M$240*$W$240</f>
        <v>1057.0876500000002</v>
      </c>
      <c r="AD240" s="6">
        <f>$O$240*$X$240</f>
        <v>309.42194999999998</v>
      </c>
      <c r="AE240" s="6">
        <f>$K$240*$Y$240</f>
        <v>0</v>
      </c>
      <c r="AF240" s="6">
        <f ca="1">$M$240*$Z$240</f>
        <v>854.11722050988806</v>
      </c>
      <c r="AG240" s="6">
        <f ca="1">$O$240*$AA$240</f>
        <v>281.07304508132177</v>
      </c>
    </row>
    <row r="241" spans="1:33" ht="11.25" customHeight="1" x14ac:dyDescent="0.25">
      <c r="A241" s="4" t="s">
        <v>21</v>
      </c>
      <c r="B241" s="4" t="s">
        <v>38</v>
      </c>
      <c r="C241" s="4" t="s">
        <v>40</v>
      </c>
      <c r="D241" s="4" t="s">
        <v>50</v>
      </c>
      <c r="E241" s="4" t="s">
        <v>25</v>
      </c>
      <c r="F241" s="4" t="s">
        <v>25</v>
      </c>
      <c r="G241" s="4" t="s">
        <v>25</v>
      </c>
      <c r="H241" s="4" t="s">
        <v>33</v>
      </c>
      <c r="I241" s="5">
        <v>44682</v>
      </c>
      <c r="J241" s="6">
        <v>0</v>
      </c>
      <c r="K241" s="6">
        <v>0</v>
      </c>
      <c r="L241" s="6">
        <v>0.98899999999999999</v>
      </c>
      <c r="M241" s="6">
        <v>0.98899999999999999</v>
      </c>
      <c r="N241" s="6">
        <v>0.98899999999999999</v>
      </c>
      <c r="O241" s="6">
        <v>0.98899999999999999</v>
      </c>
      <c r="P241" s="6">
        <v>0</v>
      </c>
      <c r="Q241" s="4" t="s">
        <v>26</v>
      </c>
      <c r="R241" s="4">
        <v>0</v>
      </c>
      <c r="S241" s="6">
        <v>0</v>
      </c>
      <c r="T241" s="6">
        <v>16</v>
      </c>
      <c r="U241" s="6">
        <v>47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1329.67</v>
      </c>
      <c r="X241" s="6">
        <f>IF(ISERROR(VLOOKUP($U$241,'TAR FIN'!$A$1:$O$86,15,0)),0,VLOOKUP($U$241,'TAR FIN'!$A$1:$O$86,15,0))</f>
        <v>389.21</v>
      </c>
      <c r="Y241" s="6"/>
      <c r="Z241" s="6">
        <f ca="1">('TUSD BE'!$AM$12+'TUSD BF_350'!$AM$12+'TUSD CVA'!$AM$12)*1</f>
        <v>1074.3612836602365</v>
      </c>
      <c r="AA241" s="6">
        <f ca="1">('TE BE'!$AB$5+'TE BF_350'!$AB$5+'TE CVA'!$AB$5)*1</f>
        <v>353.55100010229148</v>
      </c>
      <c r="AB241" s="6">
        <f>$K$241*$V$241</f>
        <v>0</v>
      </c>
      <c r="AC241" s="6">
        <f>$M$241*$W$241</f>
        <v>1315.0436300000001</v>
      </c>
      <c r="AD241" s="6">
        <f>$O$241*$X$241</f>
        <v>384.92868999999996</v>
      </c>
      <c r="AE241" s="6">
        <f>$K$241*$Y$241</f>
        <v>0</v>
      </c>
      <c r="AF241" s="6">
        <f ca="1">$M$241*$Z$241</f>
        <v>1062.543309539974</v>
      </c>
      <c r="AG241" s="6">
        <f ca="1">$O$241*$AA$241</f>
        <v>349.6619391011663</v>
      </c>
    </row>
    <row r="242" spans="1:33" ht="11.25" customHeight="1" x14ac:dyDescent="0.25">
      <c r="A242" s="4" t="s">
        <v>56</v>
      </c>
      <c r="B242" s="4" t="s">
        <v>38</v>
      </c>
      <c r="C242" s="4" t="s">
        <v>40</v>
      </c>
      <c r="D242" s="4" t="s">
        <v>50</v>
      </c>
      <c r="E242" s="4" t="s">
        <v>25</v>
      </c>
      <c r="F242" s="4" t="s">
        <v>25</v>
      </c>
      <c r="G242" s="4" t="s">
        <v>25</v>
      </c>
      <c r="H242" s="4" t="s">
        <v>33</v>
      </c>
      <c r="I242" s="5">
        <v>44713</v>
      </c>
      <c r="J242" s="6">
        <v>0</v>
      </c>
      <c r="K242" s="6">
        <v>0</v>
      </c>
      <c r="L242" s="6">
        <v>0.98899999999999999</v>
      </c>
      <c r="M242" s="6">
        <v>0.98899999999999999</v>
      </c>
      <c r="N242" s="6">
        <v>0.98899999999999999</v>
      </c>
      <c r="O242" s="6">
        <v>0.98899999999999999</v>
      </c>
      <c r="P242" s="6">
        <v>0</v>
      </c>
      <c r="Q242" s="4" t="s">
        <v>26</v>
      </c>
      <c r="R242" s="4">
        <v>0</v>
      </c>
      <c r="S242" s="6">
        <v>0</v>
      </c>
      <c r="T242" s="6">
        <v>16</v>
      </c>
      <c r="U242" s="6">
        <v>47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1329.67</v>
      </c>
      <c r="X242" s="6">
        <f>IF(ISERROR(VLOOKUP($U$242,'TAR FIN'!$A$1:$O$86,15,0)),0,VLOOKUP($U$242,'TAR FIN'!$A$1:$O$86,15,0))</f>
        <v>389.21</v>
      </c>
      <c r="Y242" s="6"/>
      <c r="Z242" s="6">
        <f ca="1">('TUSD BE'!$AM$12+'TUSD BF_350'!$AM$12+'TUSD CVA'!$AM$12)*1</f>
        <v>1074.3612836602365</v>
      </c>
      <c r="AA242" s="6">
        <f ca="1">('TE BE'!$AB$5+'TE BF_350'!$AB$5+'TE CVA'!$AB$5)*1</f>
        <v>353.55100010229148</v>
      </c>
      <c r="AB242" s="6">
        <f>$K$242*$V$242</f>
        <v>0</v>
      </c>
      <c r="AC242" s="6">
        <f>$M$242*$W$242</f>
        <v>1315.0436300000001</v>
      </c>
      <c r="AD242" s="6">
        <f>$O$242*$X$242</f>
        <v>384.92868999999996</v>
      </c>
      <c r="AE242" s="6">
        <f>$K$242*$Y$242</f>
        <v>0</v>
      </c>
      <c r="AF242" s="6">
        <f ca="1">$M$242*$Z$242</f>
        <v>1062.543309539974</v>
      </c>
      <c r="AG242" s="6">
        <f ca="1">$O$242*$AA$242</f>
        <v>349.6619391011663</v>
      </c>
    </row>
    <row r="243" spans="1:33" ht="11.25" customHeight="1" x14ac:dyDescent="0.25">
      <c r="A243" s="4" t="s">
        <v>21</v>
      </c>
      <c r="B243" s="4" t="s">
        <v>38</v>
      </c>
      <c r="C243" s="4" t="s">
        <v>40</v>
      </c>
      <c r="D243" s="4" t="s">
        <v>37</v>
      </c>
      <c r="E243" s="4" t="s">
        <v>25</v>
      </c>
      <c r="F243" s="4" t="s">
        <v>57</v>
      </c>
      <c r="G243" s="4" t="s">
        <v>25</v>
      </c>
      <c r="H243" s="4" t="s">
        <v>34</v>
      </c>
      <c r="I243" s="5">
        <v>44378</v>
      </c>
      <c r="J243" s="6">
        <v>0</v>
      </c>
      <c r="K243" s="6">
        <v>0</v>
      </c>
      <c r="L243" s="6">
        <v>1883.799</v>
      </c>
      <c r="M243" s="6">
        <v>784.97904329999994</v>
      </c>
      <c r="N243" s="6">
        <v>0</v>
      </c>
      <c r="O243" s="6">
        <v>0</v>
      </c>
      <c r="P243" s="6">
        <v>0</v>
      </c>
      <c r="Q243" s="4" t="s">
        <v>58</v>
      </c>
      <c r="R243" s="4">
        <v>0</v>
      </c>
      <c r="S243" s="6">
        <v>0</v>
      </c>
      <c r="T243" s="6">
        <v>14</v>
      </c>
      <c r="U243" s="6">
        <v>0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78.680000000000007</v>
      </c>
      <c r="X243" s="6">
        <f>IF(ISERROR(VLOOKUP($U$243,'TAR FIN'!$A$1:$O$86,15,0)),0,VLOOKUP($U$243,'TAR FIN'!$A$1:$O$86,15,0))</f>
        <v>0</v>
      </c>
      <c r="Y243" s="6"/>
      <c r="Z243" s="6">
        <f ca="1">('TUSD BE'!$AM$13+'TUSD BF_350'!$AM$13+'TUSD CVA'!$AM$13)*1</f>
        <v>100.23755694003805</v>
      </c>
      <c r="AA243" s="6"/>
      <c r="AB243" s="6">
        <f>$K$243*$V$243</f>
        <v>0</v>
      </c>
      <c r="AC243" s="6">
        <f>$M$243*$W$243</f>
        <v>61762.151126844001</v>
      </c>
      <c r="AD243" s="6">
        <f>$O$243*$X$243</f>
        <v>0</v>
      </c>
      <c r="AE243" s="6">
        <f>$K$243*$Y$243</f>
        <v>0</v>
      </c>
      <c r="AF243" s="6">
        <f ca="1">$M$243*$Z$243</f>
        <v>78684.381549520331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38</v>
      </c>
      <c r="C244" s="4" t="s">
        <v>40</v>
      </c>
      <c r="D244" s="4" t="s">
        <v>37</v>
      </c>
      <c r="E244" s="4" t="s">
        <v>25</v>
      </c>
      <c r="F244" s="4" t="s">
        <v>57</v>
      </c>
      <c r="G244" s="4" t="s">
        <v>25</v>
      </c>
      <c r="H244" s="4" t="s">
        <v>34</v>
      </c>
      <c r="I244" s="5">
        <v>44409</v>
      </c>
      <c r="J244" s="6">
        <v>0</v>
      </c>
      <c r="K244" s="6">
        <v>0</v>
      </c>
      <c r="L244" s="6">
        <v>1935.373</v>
      </c>
      <c r="M244" s="6">
        <v>806.46992909999994</v>
      </c>
      <c r="N244" s="6">
        <v>0</v>
      </c>
      <c r="O244" s="6">
        <v>0</v>
      </c>
      <c r="P244" s="6">
        <v>0</v>
      </c>
      <c r="Q244" s="4" t="s">
        <v>58</v>
      </c>
      <c r="R244" s="4">
        <v>0</v>
      </c>
      <c r="S244" s="6">
        <v>0</v>
      </c>
      <c r="T244" s="6">
        <v>14</v>
      </c>
      <c r="U244" s="6">
        <v>0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78.680000000000007</v>
      </c>
      <c r="X244" s="6">
        <f>IF(ISERROR(VLOOKUP($U$244,'TAR FIN'!$A$1:$O$86,15,0)),0,VLOOKUP($U$244,'TAR FIN'!$A$1:$O$86,15,0))</f>
        <v>0</v>
      </c>
      <c r="Y244" s="6"/>
      <c r="Z244" s="6">
        <f ca="1">('TUSD BE'!$AM$13+'TUSD BF_350'!$AM$13+'TUSD CVA'!$AM$13)*1</f>
        <v>100.23755694003805</v>
      </c>
      <c r="AA244" s="6"/>
      <c r="AB244" s="6">
        <f>$K$244*$V$244</f>
        <v>0</v>
      </c>
      <c r="AC244" s="6">
        <f>$M$244*$W$244</f>
        <v>63453.054021588003</v>
      </c>
      <c r="AD244" s="6">
        <f>$O$244*$X$244</f>
        <v>0</v>
      </c>
      <c r="AE244" s="6">
        <f>$K$244*$Y$244</f>
        <v>0</v>
      </c>
      <c r="AF244" s="6">
        <f ca="1">$M$244*$Z$244</f>
        <v>80838.575438589687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38</v>
      </c>
      <c r="C245" s="4" t="s">
        <v>40</v>
      </c>
      <c r="D245" s="4" t="s">
        <v>37</v>
      </c>
      <c r="E245" s="4" t="s">
        <v>25</v>
      </c>
      <c r="F245" s="4" t="s">
        <v>57</v>
      </c>
      <c r="G245" s="4" t="s">
        <v>25</v>
      </c>
      <c r="H245" s="4" t="s">
        <v>34</v>
      </c>
      <c r="I245" s="5">
        <v>44440</v>
      </c>
      <c r="J245" s="6">
        <v>0</v>
      </c>
      <c r="K245" s="6">
        <v>0</v>
      </c>
      <c r="L245" s="6">
        <v>1840.393</v>
      </c>
      <c r="M245" s="6">
        <v>766.89176310000005</v>
      </c>
      <c r="N245" s="6">
        <v>0</v>
      </c>
      <c r="O245" s="6">
        <v>0</v>
      </c>
      <c r="P245" s="6">
        <v>0</v>
      </c>
      <c r="Q245" s="4" t="s">
        <v>58</v>
      </c>
      <c r="R245" s="4">
        <v>0</v>
      </c>
      <c r="S245" s="6">
        <v>0</v>
      </c>
      <c r="T245" s="6">
        <v>14</v>
      </c>
      <c r="U245" s="6">
        <v>0</v>
      </c>
      <c r="V245" s="6">
        <f>IF(ISERROR(VLOOKUP($S$245,'TAR FIN'!$A$1:$O$86,15,0)),0,VLOOKUP($S$245,'TAR FIN'!$A$1:$O$86,15,0))</f>
        <v>0</v>
      </c>
      <c r="W245" s="6">
        <f>IF(ISERROR(VLOOKUP($T$245,'TAR FIN'!$A$1:$O$86,15,0)),0,VLOOKUP($T$245,'TAR FIN'!$A$1:$O$86,15,0))</f>
        <v>78.680000000000007</v>
      </c>
      <c r="X245" s="6">
        <f>IF(ISERROR(VLOOKUP($U$245,'TAR FIN'!$A$1:$O$86,15,0)),0,VLOOKUP($U$245,'TAR FIN'!$A$1:$O$86,15,0))</f>
        <v>0</v>
      </c>
      <c r="Y245" s="6"/>
      <c r="Z245" s="6">
        <f ca="1">('TUSD BE'!$AM$13+'TUSD BF_350'!$AM$13+'TUSD CVA'!$AM$13)*1</f>
        <v>100.23755694003805</v>
      </c>
      <c r="AA245" s="6"/>
      <c r="AB245" s="6">
        <f>$K$245*$V$245</f>
        <v>0</v>
      </c>
      <c r="AC245" s="6">
        <f>$M$245*$W$245</f>
        <v>60339.043920708013</v>
      </c>
      <c r="AD245" s="6">
        <f>$O$245*$X$245</f>
        <v>0</v>
      </c>
      <c r="AE245" s="6">
        <f>$K$245*$Y$245</f>
        <v>0</v>
      </c>
      <c r="AF245" s="6">
        <f ca="1">$M$245*$Z$245</f>
        <v>76871.356770582424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38</v>
      </c>
      <c r="C246" s="4" t="s">
        <v>40</v>
      </c>
      <c r="D246" s="4" t="s">
        <v>37</v>
      </c>
      <c r="E246" s="4" t="s">
        <v>25</v>
      </c>
      <c r="F246" s="4" t="s">
        <v>57</v>
      </c>
      <c r="G246" s="4" t="s">
        <v>25</v>
      </c>
      <c r="H246" s="4" t="s">
        <v>34</v>
      </c>
      <c r="I246" s="5">
        <v>44470</v>
      </c>
      <c r="J246" s="6">
        <v>0</v>
      </c>
      <c r="K246" s="6">
        <v>0</v>
      </c>
      <c r="L246" s="6">
        <v>1864.7190000000001</v>
      </c>
      <c r="M246" s="6">
        <v>822.71402279999995</v>
      </c>
      <c r="N246" s="6">
        <v>0</v>
      </c>
      <c r="O246" s="6">
        <v>0</v>
      </c>
      <c r="P246" s="6">
        <v>0</v>
      </c>
      <c r="Q246" s="4" t="s">
        <v>58</v>
      </c>
      <c r="R246" s="4">
        <v>0</v>
      </c>
      <c r="S246" s="6">
        <v>0</v>
      </c>
      <c r="T246" s="6">
        <v>14</v>
      </c>
      <c r="U246" s="6">
        <v>0</v>
      </c>
      <c r="V246" s="6">
        <f>IF(ISERROR(VLOOKUP($S$246,'TAR FIN'!$A$1:$O$86,15,0)),0,VLOOKUP($S$246,'TAR FIN'!$A$1:$O$86,15,0))</f>
        <v>0</v>
      </c>
      <c r="W246" s="6">
        <f>IF(ISERROR(VLOOKUP($T$246,'TAR FIN'!$A$1:$O$86,15,0)),0,VLOOKUP($T$246,'TAR FIN'!$A$1:$O$86,15,0))</f>
        <v>78.680000000000007</v>
      </c>
      <c r="X246" s="6">
        <f>IF(ISERROR(VLOOKUP($U$246,'TAR FIN'!$A$1:$O$86,15,0)),0,VLOOKUP($U$246,'TAR FIN'!$A$1:$O$86,15,0))</f>
        <v>0</v>
      </c>
      <c r="Y246" s="6"/>
      <c r="Z246" s="6">
        <f ca="1">('TUSD BE'!$AM$13+'TUSD BF_350'!$AM$13+'TUSD CVA'!$AM$13)*1</f>
        <v>100.23755694003805</v>
      </c>
      <c r="AA246" s="6"/>
      <c r="AB246" s="6">
        <f>$K$246*$V$246</f>
        <v>0</v>
      </c>
      <c r="AC246" s="6">
        <f>$M$246*$W$246</f>
        <v>64731.139313904001</v>
      </c>
      <c r="AD246" s="6">
        <f>$O$246*$X$246</f>
        <v>0</v>
      </c>
      <c r="AE246" s="6">
        <f>$K$246*$Y$246</f>
        <v>0</v>
      </c>
      <c r="AF246" s="6">
        <f ca="1">$M$246*$Z$246</f>
        <v>82466.843705782754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38</v>
      </c>
      <c r="C247" s="4" t="s">
        <v>40</v>
      </c>
      <c r="D247" s="4" t="s">
        <v>37</v>
      </c>
      <c r="E247" s="4" t="s">
        <v>25</v>
      </c>
      <c r="F247" s="4" t="s">
        <v>57</v>
      </c>
      <c r="G247" s="4" t="s">
        <v>25</v>
      </c>
      <c r="H247" s="4" t="s">
        <v>34</v>
      </c>
      <c r="I247" s="5">
        <v>44501</v>
      </c>
      <c r="J247" s="6">
        <v>0</v>
      </c>
      <c r="K247" s="6">
        <v>0</v>
      </c>
      <c r="L247" s="6">
        <v>1907.606</v>
      </c>
      <c r="M247" s="6">
        <v>715.35225000000003</v>
      </c>
      <c r="N247" s="6">
        <v>0</v>
      </c>
      <c r="O247" s="6">
        <v>0</v>
      </c>
      <c r="P247" s="6">
        <v>0</v>
      </c>
      <c r="Q247" s="4" t="s">
        <v>58</v>
      </c>
      <c r="R247" s="4">
        <v>0</v>
      </c>
      <c r="S247" s="6">
        <v>0</v>
      </c>
      <c r="T247" s="6">
        <v>14</v>
      </c>
      <c r="U247" s="6">
        <v>0</v>
      </c>
      <c r="V247" s="6">
        <f>IF(ISERROR(VLOOKUP($S$247,'TAR FIN'!$A$1:$O$86,15,0)),0,VLOOKUP($S$247,'TAR FIN'!$A$1:$O$86,15,0))</f>
        <v>0</v>
      </c>
      <c r="W247" s="6">
        <f>IF(ISERROR(VLOOKUP($T$247,'TAR FIN'!$A$1:$O$86,15,0)),0,VLOOKUP($T$247,'TAR FIN'!$A$1:$O$86,15,0))</f>
        <v>78.680000000000007</v>
      </c>
      <c r="X247" s="6">
        <f>IF(ISERROR(VLOOKUP($U$247,'TAR FIN'!$A$1:$O$86,15,0)),0,VLOOKUP($U$247,'TAR FIN'!$A$1:$O$86,15,0))</f>
        <v>0</v>
      </c>
      <c r="Y247" s="6"/>
      <c r="Z247" s="6">
        <f ca="1">('TUSD BE'!$AM$13+'TUSD BF_350'!$AM$13+'TUSD CVA'!$AM$13)*1</f>
        <v>100.23755694003805</v>
      </c>
      <c r="AA247" s="6"/>
      <c r="AB247" s="6">
        <f>$K$247*$V$247</f>
        <v>0</v>
      </c>
      <c r="AC247" s="6">
        <f>$M$247*$W$247</f>
        <v>56283.915030000004</v>
      </c>
      <c r="AD247" s="6">
        <f>$O$247*$X$247</f>
        <v>0</v>
      </c>
      <c r="AE247" s="6">
        <f>$K$247*$Y$247</f>
        <v>0</v>
      </c>
      <c r="AF247" s="6">
        <f ca="1">$M$247*$Z$247</f>
        <v>71705.161891559328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38</v>
      </c>
      <c r="C248" s="4" t="s">
        <v>40</v>
      </c>
      <c r="D248" s="4" t="s">
        <v>37</v>
      </c>
      <c r="E248" s="4" t="s">
        <v>25</v>
      </c>
      <c r="F248" s="4" t="s">
        <v>57</v>
      </c>
      <c r="G248" s="4" t="s">
        <v>25</v>
      </c>
      <c r="H248" s="4" t="s">
        <v>34</v>
      </c>
      <c r="I248" s="5">
        <v>44531</v>
      </c>
      <c r="J248" s="6">
        <v>0</v>
      </c>
      <c r="K248" s="6">
        <v>0</v>
      </c>
      <c r="L248" s="6">
        <v>1807.9570000000001</v>
      </c>
      <c r="M248" s="6">
        <v>761.33069269999999</v>
      </c>
      <c r="N248" s="6">
        <v>0</v>
      </c>
      <c r="O248" s="6">
        <v>0</v>
      </c>
      <c r="P248" s="6">
        <v>0</v>
      </c>
      <c r="Q248" s="4" t="s">
        <v>58</v>
      </c>
      <c r="R248" s="4">
        <v>0</v>
      </c>
      <c r="S248" s="6">
        <v>0</v>
      </c>
      <c r="T248" s="6">
        <v>14</v>
      </c>
      <c r="U248" s="6">
        <v>0</v>
      </c>
      <c r="V248" s="6">
        <f>IF(ISERROR(VLOOKUP($S$248,'TAR FIN'!$A$1:$O$86,15,0)),0,VLOOKUP($S$248,'TAR FIN'!$A$1:$O$86,15,0))</f>
        <v>0</v>
      </c>
      <c r="W248" s="6">
        <f>IF(ISERROR(VLOOKUP($T$248,'TAR FIN'!$A$1:$O$86,15,0)),0,VLOOKUP($T$248,'TAR FIN'!$A$1:$O$86,15,0))</f>
        <v>78.680000000000007</v>
      </c>
      <c r="X248" s="6">
        <f>IF(ISERROR(VLOOKUP($U$248,'TAR FIN'!$A$1:$O$86,15,0)),0,VLOOKUP($U$248,'TAR FIN'!$A$1:$O$86,15,0))</f>
        <v>0</v>
      </c>
      <c r="Y248" s="6"/>
      <c r="Z248" s="6">
        <f ca="1">('TUSD BE'!$AM$13+'TUSD BF_350'!$AM$13+'TUSD CVA'!$AM$13)*1</f>
        <v>100.23755694003805</v>
      </c>
      <c r="AA248" s="6"/>
      <c r="AB248" s="6">
        <f>$K$248*$V$248</f>
        <v>0</v>
      </c>
      <c r="AC248" s="6">
        <f>$M$248*$W$248</f>
        <v>59901.498901636005</v>
      </c>
      <c r="AD248" s="6">
        <f>$O$248*$X$248</f>
        <v>0</v>
      </c>
      <c r="AE248" s="6">
        <f>$K$248*$Y$248</f>
        <v>0</v>
      </c>
      <c r="AF248" s="6">
        <f ca="1">$M$248*$Z$248</f>
        <v>76313.92865971486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38</v>
      </c>
      <c r="C249" s="4" t="s">
        <v>40</v>
      </c>
      <c r="D249" s="4" t="s">
        <v>37</v>
      </c>
      <c r="E249" s="4" t="s">
        <v>25</v>
      </c>
      <c r="F249" s="4" t="s">
        <v>57</v>
      </c>
      <c r="G249" s="4" t="s">
        <v>25</v>
      </c>
      <c r="H249" s="4" t="s">
        <v>34</v>
      </c>
      <c r="I249" s="5">
        <v>44562</v>
      </c>
      <c r="J249" s="6">
        <v>0</v>
      </c>
      <c r="K249" s="6">
        <v>0</v>
      </c>
      <c r="L249" s="6">
        <v>1675.7439999999999</v>
      </c>
      <c r="M249" s="6">
        <v>680.6872128</v>
      </c>
      <c r="N249" s="6">
        <v>0</v>
      </c>
      <c r="O249" s="6">
        <v>0</v>
      </c>
      <c r="P249" s="6">
        <v>0</v>
      </c>
      <c r="Q249" s="4" t="s">
        <v>58</v>
      </c>
      <c r="R249" s="4">
        <v>0</v>
      </c>
      <c r="S249" s="6">
        <v>0</v>
      </c>
      <c r="T249" s="6">
        <v>14</v>
      </c>
      <c r="U249" s="6">
        <v>0</v>
      </c>
      <c r="V249" s="6">
        <f>IF(ISERROR(VLOOKUP($S$249,'TAR FIN'!$A$1:$O$86,15,0)),0,VLOOKUP($S$249,'TAR FIN'!$A$1:$O$86,15,0))</f>
        <v>0</v>
      </c>
      <c r="W249" s="6">
        <f>IF(ISERROR(VLOOKUP($T$249,'TAR FIN'!$A$1:$O$86,15,0)),0,VLOOKUP($T$249,'TAR FIN'!$A$1:$O$86,15,0))</f>
        <v>78.680000000000007</v>
      </c>
      <c r="X249" s="6">
        <f>IF(ISERROR(VLOOKUP($U$249,'TAR FIN'!$A$1:$O$86,15,0)),0,VLOOKUP($U$249,'TAR FIN'!$A$1:$O$86,15,0))</f>
        <v>0</v>
      </c>
      <c r="Y249" s="6"/>
      <c r="Z249" s="6">
        <f ca="1">('TUSD BE'!$AM$13+'TUSD BF_350'!$AM$13+'TUSD CVA'!$AM$13)*1</f>
        <v>100.23755694003805</v>
      </c>
      <c r="AA249" s="6"/>
      <c r="AB249" s="6">
        <f>$K$249*$V$249</f>
        <v>0</v>
      </c>
      <c r="AC249" s="6">
        <f>$M$249*$W$249</f>
        <v>53556.469903104007</v>
      </c>
      <c r="AD249" s="6">
        <f>$O$249*$X$249</f>
        <v>0</v>
      </c>
      <c r="AE249" s="6">
        <f>$K$249*$Y$249</f>
        <v>0</v>
      </c>
      <c r="AF249" s="6">
        <f ca="1">$M$249*$Z$249</f>
        <v>68230.423251395798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38</v>
      </c>
      <c r="C250" s="4" t="s">
        <v>40</v>
      </c>
      <c r="D250" s="4" t="s">
        <v>37</v>
      </c>
      <c r="E250" s="4" t="s">
        <v>25</v>
      </c>
      <c r="F250" s="4" t="s">
        <v>57</v>
      </c>
      <c r="G250" s="4" t="s">
        <v>25</v>
      </c>
      <c r="H250" s="4" t="s">
        <v>34</v>
      </c>
      <c r="I250" s="5">
        <v>44593</v>
      </c>
      <c r="J250" s="6">
        <v>0</v>
      </c>
      <c r="K250" s="6">
        <v>0</v>
      </c>
      <c r="L250" s="6">
        <v>1959.9670000000001</v>
      </c>
      <c r="M250" s="6">
        <v>825.34210370000005</v>
      </c>
      <c r="N250" s="6">
        <v>0</v>
      </c>
      <c r="O250" s="6">
        <v>0</v>
      </c>
      <c r="P250" s="6">
        <v>0</v>
      </c>
      <c r="Q250" s="4" t="s">
        <v>58</v>
      </c>
      <c r="R250" s="4">
        <v>0</v>
      </c>
      <c r="S250" s="6">
        <v>0</v>
      </c>
      <c r="T250" s="6">
        <v>14</v>
      </c>
      <c r="U250" s="6">
        <v>0</v>
      </c>
      <c r="V250" s="6">
        <f>IF(ISERROR(VLOOKUP($S$250,'TAR FIN'!$A$1:$O$86,15,0)),0,VLOOKUP($S$250,'TAR FIN'!$A$1:$O$86,15,0))</f>
        <v>0</v>
      </c>
      <c r="W250" s="6">
        <f>IF(ISERROR(VLOOKUP($T$250,'TAR FIN'!$A$1:$O$86,15,0)),0,VLOOKUP($T$250,'TAR FIN'!$A$1:$O$86,15,0))</f>
        <v>78.680000000000007</v>
      </c>
      <c r="X250" s="6">
        <f>IF(ISERROR(VLOOKUP($U$250,'TAR FIN'!$A$1:$O$86,15,0)),0,VLOOKUP($U$250,'TAR FIN'!$A$1:$O$86,15,0))</f>
        <v>0</v>
      </c>
      <c r="Y250" s="6"/>
      <c r="Z250" s="6">
        <f ca="1">('TUSD BE'!$AM$13+'TUSD BF_350'!$AM$13+'TUSD CVA'!$AM$13)*1</f>
        <v>100.23755694003805</v>
      </c>
      <c r="AA250" s="6"/>
      <c r="AB250" s="6">
        <f>$K$250*$V$250</f>
        <v>0</v>
      </c>
      <c r="AC250" s="6">
        <f>$M$250*$W$250</f>
        <v>64937.916719116009</v>
      </c>
      <c r="AD250" s="6">
        <f>$O$250*$X$250</f>
        <v>0</v>
      </c>
      <c r="AE250" s="6">
        <f>$K$250*$Y$250</f>
        <v>0</v>
      </c>
      <c r="AF250" s="6">
        <f ca="1">$M$250*$Z$250</f>
        <v>82730.276114639535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38</v>
      </c>
      <c r="C251" s="4" t="s">
        <v>40</v>
      </c>
      <c r="D251" s="4" t="s">
        <v>37</v>
      </c>
      <c r="E251" s="4" t="s">
        <v>25</v>
      </c>
      <c r="F251" s="4" t="s">
        <v>57</v>
      </c>
      <c r="G251" s="4" t="s">
        <v>25</v>
      </c>
      <c r="H251" s="4" t="s">
        <v>34</v>
      </c>
      <c r="I251" s="5">
        <v>44621</v>
      </c>
      <c r="J251" s="6">
        <v>0</v>
      </c>
      <c r="K251" s="6">
        <v>0</v>
      </c>
      <c r="L251" s="6">
        <v>2313.5279999999998</v>
      </c>
      <c r="M251" s="6">
        <v>964.04711759999998</v>
      </c>
      <c r="N251" s="6">
        <v>0</v>
      </c>
      <c r="O251" s="6">
        <v>0</v>
      </c>
      <c r="P251" s="6">
        <v>0</v>
      </c>
      <c r="Q251" s="4" t="s">
        <v>58</v>
      </c>
      <c r="R251" s="4">
        <v>0</v>
      </c>
      <c r="S251" s="6">
        <v>0</v>
      </c>
      <c r="T251" s="6">
        <v>14</v>
      </c>
      <c r="U251" s="6">
        <v>0</v>
      </c>
      <c r="V251" s="6">
        <f>IF(ISERROR(VLOOKUP($S$251,'TAR FIN'!$A$1:$O$86,15,0)),0,VLOOKUP($S$251,'TAR FIN'!$A$1:$O$86,15,0))</f>
        <v>0</v>
      </c>
      <c r="W251" s="6">
        <f>IF(ISERROR(VLOOKUP($T$251,'TAR FIN'!$A$1:$O$86,15,0)),0,VLOOKUP($T$251,'TAR FIN'!$A$1:$O$86,15,0))</f>
        <v>78.680000000000007</v>
      </c>
      <c r="X251" s="6">
        <f>IF(ISERROR(VLOOKUP($U$251,'TAR FIN'!$A$1:$O$86,15,0)),0,VLOOKUP($U$251,'TAR FIN'!$A$1:$O$86,15,0))</f>
        <v>0</v>
      </c>
      <c r="Y251" s="6"/>
      <c r="Z251" s="6">
        <f ca="1">('TUSD BE'!$AM$13+'TUSD BF_350'!$AM$13+'TUSD CVA'!$AM$13)*1</f>
        <v>100.23755694003805</v>
      </c>
      <c r="AA251" s="6"/>
      <c r="AB251" s="6">
        <f>$K$251*$V$251</f>
        <v>0</v>
      </c>
      <c r="AC251" s="6">
        <f>$M$251*$W$251</f>
        <v>75851.227212768004</v>
      </c>
      <c r="AD251" s="6">
        <f>$O$251*$X$251</f>
        <v>0</v>
      </c>
      <c r="AE251" s="6">
        <f>$K$251*$Y$251</f>
        <v>0</v>
      </c>
      <c r="AF251" s="6">
        <f ca="1">$M$251*$Z$251</f>
        <v>96633.727843309549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38</v>
      </c>
      <c r="C252" s="4" t="s">
        <v>40</v>
      </c>
      <c r="D252" s="4" t="s">
        <v>37</v>
      </c>
      <c r="E252" s="4" t="s">
        <v>25</v>
      </c>
      <c r="F252" s="4" t="s">
        <v>57</v>
      </c>
      <c r="G252" s="4" t="s">
        <v>25</v>
      </c>
      <c r="H252" s="4" t="s">
        <v>34</v>
      </c>
      <c r="I252" s="5">
        <v>44652</v>
      </c>
      <c r="J252" s="6">
        <v>0</v>
      </c>
      <c r="K252" s="6">
        <v>0</v>
      </c>
      <c r="L252" s="6">
        <v>1907.172</v>
      </c>
      <c r="M252" s="6">
        <v>794.71857239999997</v>
      </c>
      <c r="N252" s="6">
        <v>0</v>
      </c>
      <c r="O252" s="6">
        <v>0</v>
      </c>
      <c r="P252" s="6">
        <v>0</v>
      </c>
      <c r="Q252" s="4" t="s">
        <v>58</v>
      </c>
      <c r="R252" s="4">
        <v>0</v>
      </c>
      <c r="S252" s="6">
        <v>0</v>
      </c>
      <c r="T252" s="6">
        <v>14</v>
      </c>
      <c r="U252" s="6">
        <v>0</v>
      </c>
      <c r="V252" s="6">
        <f>IF(ISERROR(VLOOKUP($S$252,'TAR FIN'!$A$1:$O$86,15,0)),0,VLOOKUP($S$252,'TAR FIN'!$A$1:$O$86,15,0))</f>
        <v>0</v>
      </c>
      <c r="W252" s="6">
        <f>IF(ISERROR(VLOOKUP($T$252,'TAR FIN'!$A$1:$O$86,15,0)),0,VLOOKUP($T$252,'TAR FIN'!$A$1:$O$86,15,0))</f>
        <v>78.680000000000007</v>
      </c>
      <c r="X252" s="6">
        <f>IF(ISERROR(VLOOKUP($U$252,'TAR FIN'!$A$1:$O$86,15,0)),0,VLOOKUP($U$252,'TAR FIN'!$A$1:$O$86,15,0))</f>
        <v>0</v>
      </c>
      <c r="Y252" s="6"/>
      <c r="Z252" s="6">
        <f ca="1">('TUSD BE'!$AM$13+'TUSD BF_350'!$AM$13+'TUSD CVA'!$AM$13)*1</f>
        <v>100.23755694003805</v>
      </c>
      <c r="AA252" s="6"/>
      <c r="AB252" s="6">
        <f>$K$252*$V$252</f>
        <v>0</v>
      </c>
      <c r="AC252" s="6">
        <f>$M$252*$W$252</f>
        <v>62528.457276432004</v>
      </c>
      <c r="AD252" s="6">
        <f>$O$252*$X$252</f>
        <v>0</v>
      </c>
      <c r="AE252" s="6">
        <f>$K$252*$Y$252</f>
        <v>0</v>
      </c>
      <c r="AF252" s="6">
        <f ca="1">$M$252*$Z$252</f>
        <v>79660.648152250753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38</v>
      </c>
      <c r="C253" s="4" t="s">
        <v>40</v>
      </c>
      <c r="D253" s="4" t="s">
        <v>37</v>
      </c>
      <c r="E253" s="4" t="s">
        <v>25</v>
      </c>
      <c r="F253" s="4" t="s">
        <v>57</v>
      </c>
      <c r="G253" s="4" t="s">
        <v>25</v>
      </c>
      <c r="H253" s="4" t="s">
        <v>34</v>
      </c>
      <c r="I253" s="5">
        <v>44682</v>
      </c>
      <c r="J253" s="6">
        <v>0</v>
      </c>
      <c r="K253" s="6">
        <v>0</v>
      </c>
      <c r="L253" s="6">
        <v>2127.2240000000002</v>
      </c>
      <c r="M253" s="6">
        <v>886.41424080000002</v>
      </c>
      <c r="N253" s="6">
        <v>0</v>
      </c>
      <c r="O253" s="6">
        <v>0</v>
      </c>
      <c r="P253" s="6">
        <v>0</v>
      </c>
      <c r="Q253" s="4" t="s">
        <v>58</v>
      </c>
      <c r="R253" s="4">
        <v>0</v>
      </c>
      <c r="S253" s="6">
        <v>0</v>
      </c>
      <c r="T253" s="6">
        <v>14</v>
      </c>
      <c r="U253" s="6">
        <v>0</v>
      </c>
      <c r="V253" s="6">
        <f>IF(ISERROR(VLOOKUP($S$253,'TAR FIN'!$A$1:$O$86,15,0)),0,VLOOKUP($S$253,'TAR FIN'!$A$1:$O$86,15,0))</f>
        <v>0</v>
      </c>
      <c r="W253" s="6">
        <f>IF(ISERROR(VLOOKUP($T$253,'TAR FIN'!$A$1:$O$86,15,0)),0,VLOOKUP($T$253,'TAR FIN'!$A$1:$O$86,15,0))</f>
        <v>78.680000000000007</v>
      </c>
      <c r="X253" s="6">
        <f>IF(ISERROR(VLOOKUP($U$253,'TAR FIN'!$A$1:$O$86,15,0)),0,VLOOKUP($U$253,'TAR FIN'!$A$1:$O$86,15,0))</f>
        <v>0</v>
      </c>
      <c r="Y253" s="6"/>
      <c r="Z253" s="6">
        <f ca="1">('TUSD BE'!$AM$13+'TUSD BF_350'!$AM$13+'TUSD CVA'!$AM$13)*1</f>
        <v>100.23755694003805</v>
      </c>
      <c r="AA253" s="6"/>
      <c r="AB253" s="6">
        <f>$K$253*$V$253</f>
        <v>0</v>
      </c>
      <c r="AC253" s="6">
        <f>$M$253*$W$253</f>
        <v>69743.072466144004</v>
      </c>
      <c r="AD253" s="6">
        <f>$O$253*$X$253</f>
        <v>0</v>
      </c>
      <c r="AE253" s="6">
        <f>$K$253*$Y$253</f>
        <v>0</v>
      </c>
      <c r="AF253" s="6">
        <f ca="1">$M$253*$Z$253</f>
        <v>88851.997934650601</v>
      </c>
      <c r="AG253" s="6">
        <f>$O$253*$AA$253</f>
        <v>0</v>
      </c>
    </row>
    <row r="254" spans="1:33" ht="11.25" customHeight="1" x14ac:dyDescent="0.25">
      <c r="A254" s="4" t="s">
        <v>56</v>
      </c>
      <c r="B254" s="4" t="s">
        <v>38</v>
      </c>
      <c r="C254" s="4" t="s">
        <v>40</v>
      </c>
      <c r="D254" s="4" t="s">
        <v>37</v>
      </c>
      <c r="E254" s="4" t="s">
        <v>25</v>
      </c>
      <c r="F254" s="4" t="s">
        <v>57</v>
      </c>
      <c r="G254" s="4" t="s">
        <v>25</v>
      </c>
      <c r="H254" s="4" t="s">
        <v>34</v>
      </c>
      <c r="I254" s="5">
        <v>44713</v>
      </c>
      <c r="J254" s="6">
        <v>0</v>
      </c>
      <c r="K254" s="6">
        <v>0</v>
      </c>
      <c r="L254" s="6">
        <v>2127.2240000000002</v>
      </c>
      <c r="M254" s="6">
        <v>886.41424080000002</v>
      </c>
      <c r="N254" s="6">
        <v>0</v>
      </c>
      <c r="O254" s="6">
        <v>0</v>
      </c>
      <c r="P254" s="6">
        <v>0</v>
      </c>
      <c r="Q254" s="4" t="s">
        <v>58</v>
      </c>
      <c r="R254" s="4">
        <v>0</v>
      </c>
      <c r="S254" s="6">
        <v>0</v>
      </c>
      <c r="T254" s="6">
        <v>14</v>
      </c>
      <c r="U254" s="6">
        <v>0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78.680000000000007</v>
      </c>
      <c r="X254" s="6">
        <f>IF(ISERROR(VLOOKUP($U$254,'TAR FIN'!$A$1:$O$86,15,0)),0,VLOOKUP($U$254,'TAR FIN'!$A$1:$O$86,15,0))</f>
        <v>0</v>
      </c>
      <c r="Y254" s="6"/>
      <c r="Z254" s="6">
        <f ca="1">('TUSD BE'!$AM$13+'TUSD BF_350'!$AM$13+'TUSD CVA'!$AM$13)*1</f>
        <v>100.23755694003805</v>
      </c>
      <c r="AA254" s="6"/>
      <c r="AB254" s="6">
        <f>$K$254*$V$254</f>
        <v>0</v>
      </c>
      <c r="AC254" s="6">
        <f>$M$254*$W$254</f>
        <v>69743.072466144004</v>
      </c>
      <c r="AD254" s="6">
        <f>$O$254*$X$254</f>
        <v>0</v>
      </c>
      <c r="AE254" s="6">
        <f>$K$254*$Y$254</f>
        <v>0</v>
      </c>
      <c r="AF254" s="6">
        <f ca="1">$M$254*$Z$254</f>
        <v>88851.997934650601</v>
      </c>
      <c r="AG254" s="6">
        <f>$O$254*$AA$254</f>
        <v>0</v>
      </c>
    </row>
    <row r="255" spans="1:33" ht="11.25" customHeight="1" x14ac:dyDescent="0.25">
      <c r="A255" s="4" t="s">
        <v>21</v>
      </c>
      <c r="B255" s="4" t="s">
        <v>38</v>
      </c>
      <c r="C255" s="4" t="s">
        <v>40</v>
      </c>
      <c r="D255" s="4" t="s">
        <v>37</v>
      </c>
      <c r="E255" s="4" t="s">
        <v>25</v>
      </c>
      <c r="F255" s="4" t="s">
        <v>57</v>
      </c>
      <c r="G255" s="4" t="s">
        <v>25</v>
      </c>
      <c r="H255" s="4" t="s">
        <v>25</v>
      </c>
      <c r="I255" s="5">
        <v>44378</v>
      </c>
      <c r="J255" s="6">
        <v>7485</v>
      </c>
      <c r="K255" s="6">
        <v>3118.9994999999999</v>
      </c>
      <c r="L255" s="6">
        <v>0</v>
      </c>
      <c r="M255" s="6">
        <v>0</v>
      </c>
      <c r="N255" s="6">
        <v>0</v>
      </c>
      <c r="O255" s="6">
        <v>0</v>
      </c>
      <c r="P255" s="6">
        <v>18</v>
      </c>
      <c r="Q255" s="4" t="s">
        <v>58</v>
      </c>
      <c r="R255" s="4">
        <v>0</v>
      </c>
      <c r="S255" s="6">
        <v>18</v>
      </c>
      <c r="T255" s="6">
        <v>0</v>
      </c>
      <c r="U255" s="6">
        <v>0</v>
      </c>
      <c r="V255" s="6">
        <f>IF(ISERROR(VLOOKUP($S$255,'TAR FIN'!$A$1:$O$86,15,0)),0,VLOOKUP($S$255,'TAR FIN'!$A$1:$O$86,15,0))</f>
        <v>19.239999999999998</v>
      </c>
      <c r="W255" s="6">
        <f>IF(ISERROR(VLOOKUP($T$255,'TAR FIN'!$A$1:$O$86,15,0)),0,VLOOKUP($T$255,'TAR FIN'!$A$1:$O$86,15,0))</f>
        <v>0</v>
      </c>
      <c r="X255" s="6">
        <f>IF(ISERROR(VLOOKUP($U$255,'TAR FIN'!$A$1:$O$86,15,0)),0,VLOOKUP($U$255,'TAR FIN'!$A$1:$O$86,15,0))</f>
        <v>0</v>
      </c>
      <c r="Y255" s="6">
        <f ca="1">('TUSD BE'!$AM$11+'TUSD BF_350'!$AM$11+'TUSD CVA'!$AM$11)*1</f>
        <v>15.19295792072058</v>
      </c>
      <c r="Z255" s="6"/>
      <c r="AA255" s="6"/>
      <c r="AB255" s="6">
        <f>$K$255*$V$255</f>
        <v>60009.550379999993</v>
      </c>
      <c r="AC255" s="6">
        <f>$M$255*$W$255</f>
        <v>0</v>
      </c>
      <c r="AD255" s="6">
        <f>$O$255*$X$255</f>
        <v>0</v>
      </c>
      <c r="AE255" s="6">
        <f ca="1">$K$255*$Y$255</f>
        <v>47386.828158248529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38</v>
      </c>
      <c r="C256" s="4" t="s">
        <v>40</v>
      </c>
      <c r="D256" s="4" t="s">
        <v>37</v>
      </c>
      <c r="E256" s="4" t="s">
        <v>25</v>
      </c>
      <c r="F256" s="4" t="s">
        <v>57</v>
      </c>
      <c r="G256" s="4" t="s">
        <v>25</v>
      </c>
      <c r="H256" s="4" t="s">
        <v>25</v>
      </c>
      <c r="I256" s="5">
        <v>44409</v>
      </c>
      <c r="J256" s="6">
        <v>7309</v>
      </c>
      <c r="K256" s="6">
        <v>3045.6603</v>
      </c>
      <c r="L256" s="6">
        <v>0</v>
      </c>
      <c r="M256" s="6">
        <v>0</v>
      </c>
      <c r="N256" s="6">
        <v>0</v>
      </c>
      <c r="O256" s="6">
        <v>0</v>
      </c>
      <c r="P256" s="6">
        <v>18</v>
      </c>
      <c r="Q256" s="4" t="s">
        <v>58</v>
      </c>
      <c r="R256" s="4">
        <v>0</v>
      </c>
      <c r="S256" s="6">
        <v>18</v>
      </c>
      <c r="T256" s="6">
        <v>0</v>
      </c>
      <c r="U256" s="6">
        <v>0</v>
      </c>
      <c r="V256" s="6">
        <f>IF(ISERROR(VLOOKUP($S$256,'TAR FIN'!$A$1:$O$86,15,0)),0,VLOOKUP($S$256,'TAR FIN'!$A$1:$O$86,15,0))</f>
        <v>19.239999999999998</v>
      </c>
      <c r="W256" s="6">
        <f>IF(ISERROR(VLOOKUP($T$256,'TAR FIN'!$A$1:$O$86,15,0)),0,VLOOKUP($T$256,'TAR FIN'!$A$1:$O$86,15,0))</f>
        <v>0</v>
      </c>
      <c r="X256" s="6">
        <f>IF(ISERROR(VLOOKUP($U$256,'TAR FIN'!$A$1:$O$86,15,0)),0,VLOOKUP($U$256,'TAR FIN'!$A$1:$O$86,15,0))</f>
        <v>0</v>
      </c>
      <c r="Y256" s="6">
        <f ca="1">('TUSD BE'!$AM$11+'TUSD BF_350'!$AM$11+'TUSD CVA'!$AM$11)*1</f>
        <v>15.19295792072058</v>
      </c>
      <c r="Z256" s="6"/>
      <c r="AA256" s="6"/>
      <c r="AB256" s="6">
        <f>$K$256*$V$256</f>
        <v>58598.504171999994</v>
      </c>
      <c r="AC256" s="6">
        <f>$M$256*$W$256</f>
        <v>0</v>
      </c>
      <c r="AD256" s="6">
        <f>$O$256*$X$256</f>
        <v>0</v>
      </c>
      <c r="AE256" s="6">
        <f ca="1">$K$256*$Y$256</f>
        <v>46272.588778709222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21</v>
      </c>
      <c r="B257" s="4" t="s">
        <v>38</v>
      </c>
      <c r="C257" s="4" t="s">
        <v>40</v>
      </c>
      <c r="D257" s="4" t="s">
        <v>37</v>
      </c>
      <c r="E257" s="4" t="s">
        <v>25</v>
      </c>
      <c r="F257" s="4" t="s">
        <v>57</v>
      </c>
      <c r="G257" s="4" t="s">
        <v>25</v>
      </c>
      <c r="H257" s="4" t="s">
        <v>25</v>
      </c>
      <c r="I257" s="5">
        <v>44440</v>
      </c>
      <c r="J257" s="6">
        <v>7360</v>
      </c>
      <c r="K257" s="6">
        <v>3066.9119999999998</v>
      </c>
      <c r="L257" s="6">
        <v>0</v>
      </c>
      <c r="M257" s="6">
        <v>0</v>
      </c>
      <c r="N257" s="6">
        <v>0</v>
      </c>
      <c r="O257" s="6">
        <v>0</v>
      </c>
      <c r="P257" s="6">
        <v>18</v>
      </c>
      <c r="Q257" s="4" t="s">
        <v>58</v>
      </c>
      <c r="R257" s="4">
        <v>0</v>
      </c>
      <c r="S257" s="6">
        <v>18</v>
      </c>
      <c r="T257" s="6">
        <v>0</v>
      </c>
      <c r="U257" s="6">
        <v>0</v>
      </c>
      <c r="V257" s="6">
        <f>IF(ISERROR(VLOOKUP($S$257,'TAR FIN'!$A$1:$O$86,15,0)),0,VLOOKUP($S$257,'TAR FIN'!$A$1:$O$86,15,0))</f>
        <v>19.239999999999998</v>
      </c>
      <c r="W257" s="6">
        <f>IF(ISERROR(VLOOKUP($T$257,'TAR FIN'!$A$1:$O$86,15,0)),0,VLOOKUP($T$257,'TAR FIN'!$A$1:$O$86,15,0))</f>
        <v>0</v>
      </c>
      <c r="X257" s="6">
        <f>IF(ISERROR(VLOOKUP($U$257,'TAR FIN'!$A$1:$O$86,15,0)),0,VLOOKUP($U$257,'TAR FIN'!$A$1:$O$86,15,0))</f>
        <v>0</v>
      </c>
      <c r="Y257" s="6">
        <f ca="1">('TUSD BE'!$AM$11+'TUSD BF_350'!$AM$11+'TUSD CVA'!$AM$11)*1</f>
        <v>15.19295792072058</v>
      </c>
      <c r="Z257" s="6"/>
      <c r="AA257" s="6"/>
      <c r="AB257" s="6">
        <f>$K$257*$V$257</f>
        <v>59007.386879999991</v>
      </c>
      <c r="AC257" s="6">
        <f>$M$257*$W$257</f>
        <v>0</v>
      </c>
      <c r="AD257" s="6">
        <f>$O$257*$X$257</f>
        <v>0</v>
      </c>
      <c r="AE257" s="6">
        <f ca="1">$K$257*$Y$257</f>
        <v>46595.464962552993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38</v>
      </c>
      <c r="C258" s="4" t="s">
        <v>40</v>
      </c>
      <c r="D258" s="4" t="s">
        <v>37</v>
      </c>
      <c r="E258" s="4" t="s">
        <v>25</v>
      </c>
      <c r="F258" s="4" t="s">
        <v>57</v>
      </c>
      <c r="G258" s="4" t="s">
        <v>25</v>
      </c>
      <c r="H258" s="4" t="s">
        <v>25</v>
      </c>
      <c r="I258" s="5">
        <v>44470</v>
      </c>
      <c r="J258" s="6">
        <v>7363</v>
      </c>
      <c r="K258" s="6">
        <v>3068.1621</v>
      </c>
      <c r="L258" s="6">
        <v>0</v>
      </c>
      <c r="M258" s="6">
        <v>0</v>
      </c>
      <c r="N258" s="6">
        <v>0</v>
      </c>
      <c r="O258" s="6">
        <v>0</v>
      </c>
      <c r="P258" s="6">
        <v>18</v>
      </c>
      <c r="Q258" s="4" t="s">
        <v>58</v>
      </c>
      <c r="R258" s="4">
        <v>0</v>
      </c>
      <c r="S258" s="6">
        <v>18</v>
      </c>
      <c r="T258" s="6">
        <v>0</v>
      </c>
      <c r="U258" s="6">
        <v>0</v>
      </c>
      <c r="V258" s="6">
        <f>IF(ISERROR(VLOOKUP($S$258,'TAR FIN'!$A$1:$O$86,15,0)),0,VLOOKUP($S$258,'TAR FIN'!$A$1:$O$86,15,0))</f>
        <v>19.239999999999998</v>
      </c>
      <c r="W258" s="6">
        <f>IF(ISERROR(VLOOKUP($T$258,'TAR FIN'!$A$1:$O$86,15,0)),0,VLOOKUP($T$258,'TAR FIN'!$A$1:$O$86,15,0))</f>
        <v>0</v>
      </c>
      <c r="X258" s="6">
        <f>IF(ISERROR(VLOOKUP($U$258,'TAR FIN'!$A$1:$O$86,15,0)),0,VLOOKUP($U$258,'TAR FIN'!$A$1:$O$86,15,0))</f>
        <v>0</v>
      </c>
      <c r="Y258" s="6">
        <f ca="1">('TUSD BE'!$AM$11+'TUSD BF_350'!$AM$11+'TUSD CVA'!$AM$11)*1</f>
        <v>15.19295792072058</v>
      </c>
      <c r="Z258" s="6"/>
      <c r="AA258" s="6"/>
      <c r="AB258" s="6">
        <f>$K$258*$V$258</f>
        <v>59031.438803999998</v>
      </c>
      <c r="AC258" s="6">
        <f>$M$258*$W$258</f>
        <v>0</v>
      </c>
      <c r="AD258" s="6">
        <f>$O$258*$X$258</f>
        <v>0</v>
      </c>
      <c r="AE258" s="6">
        <f ca="1">$K$258*$Y$258</f>
        <v>46614.457679249688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21</v>
      </c>
      <c r="B259" s="4" t="s">
        <v>38</v>
      </c>
      <c r="C259" s="4" t="s">
        <v>40</v>
      </c>
      <c r="D259" s="4" t="s">
        <v>37</v>
      </c>
      <c r="E259" s="4" t="s">
        <v>25</v>
      </c>
      <c r="F259" s="4" t="s">
        <v>57</v>
      </c>
      <c r="G259" s="4" t="s">
        <v>25</v>
      </c>
      <c r="H259" s="4" t="s">
        <v>25</v>
      </c>
      <c r="I259" s="5">
        <v>44501</v>
      </c>
      <c r="J259" s="6">
        <v>7578</v>
      </c>
      <c r="K259" s="6">
        <v>2841.75</v>
      </c>
      <c r="L259" s="6">
        <v>0</v>
      </c>
      <c r="M259" s="6">
        <v>0</v>
      </c>
      <c r="N259" s="6">
        <v>0</v>
      </c>
      <c r="O259" s="6">
        <v>0</v>
      </c>
      <c r="P259" s="6">
        <v>18</v>
      </c>
      <c r="Q259" s="4" t="s">
        <v>58</v>
      </c>
      <c r="R259" s="4">
        <v>0</v>
      </c>
      <c r="S259" s="6">
        <v>18</v>
      </c>
      <c r="T259" s="6">
        <v>0</v>
      </c>
      <c r="U259" s="6">
        <v>0</v>
      </c>
      <c r="V259" s="6">
        <f>IF(ISERROR(VLOOKUP($S$259,'TAR FIN'!$A$1:$O$86,15,0)),0,VLOOKUP($S$259,'TAR FIN'!$A$1:$O$86,15,0))</f>
        <v>19.239999999999998</v>
      </c>
      <c r="W259" s="6">
        <f>IF(ISERROR(VLOOKUP($T$259,'TAR FIN'!$A$1:$O$86,15,0)),0,VLOOKUP($T$259,'TAR FIN'!$A$1:$O$86,15,0))</f>
        <v>0</v>
      </c>
      <c r="X259" s="6">
        <f>IF(ISERROR(VLOOKUP($U$259,'TAR FIN'!$A$1:$O$86,15,0)),0,VLOOKUP($U$259,'TAR FIN'!$A$1:$O$86,15,0))</f>
        <v>0</v>
      </c>
      <c r="Y259" s="6">
        <f ca="1">('TUSD BE'!$AM$11+'TUSD BF_350'!$AM$11+'TUSD CVA'!$AM$11)*1</f>
        <v>15.19295792072058</v>
      </c>
      <c r="Z259" s="6"/>
      <c r="AA259" s="6"/>
      <c r="AB259" s="6">
        <f>$K$259*$V$259</f>
        <v>54675.27</v>
      </c>
      <c r="AC259" s="6">
        <f>$M$259*$W$259</f>
        <v>0</v>
      </c>
      <c r="AD259" s="6">
        <f>$O$259*$X$259</f>
        <v>0</v>
      </c>
      <c r="AE259" s="6">
        <f ca="1">$K$259*$Y$259</f>
        <v>43174.58817120771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38</v>
      </c>
      <c r="C260" s="4" t="s">
        <v>40</v>
      </c>
      <c r="D260" s="4" t="s">
        <v>37</v>
      </c>
      <c r="E260" s="4" t="s">
        <v>25</v>
      </c>
      <c r="F260" s="4" t="s">
        <v>57</v>
      </c>
      <c r="G260" s="4" t="s">
        <v>25</v>
      </c>
      <c r="H260" s="4" t="s">
        <v>25</v>
      </c>
      <c r="I260" s="5">
        <v>44531</v>
      </c>
      <c r="J260" s="6">
        <v>7655</v>
      </c>
      <c r="K260" s="6">
        <v>3223.5205000000001</v>
      </c>
      <c r="L260" s="6">
        <v>0</v>
      </c>
      <c r="M260" s="6">
        <v>0</v>
      </c>
      <c r="N260" s="6">
        <v>0</v>
      </c>
      <c r="O260" s="6">
        <v>0</v>
      </c>
      <c r="P260" s="6">
        <v>19</v>
      </c>
      <c r="Q260" s="4" t="s">
        <v>58</v>
      </c>
      <c r="R260" s="4">
        <v>0</v>
      </c>
      <c r="S260" s="6">
        <v>18</v>
      </c>
      <c r="T260" s="6">
        <v>0</v>
      </c>
      <c r="U260" s="6">
        <v>0</v>
      </c>
      <c r="V260" s="6">
        <f>IF(ISERROR(VLOOKUP($S$260,'TAR FIN'!$A$1:$O$86,15,0)),0,VLOOKUP($S$260,'TAR FIN'!$A$1:$O$86,15,0))</f>
        <v>19.239999999999998</v>
      </c>
      <c r="W260" s="6">
        <f>IF(ISERROR(VLOOKUP($T$260,'TAR FIN'!$A$1:$O$86,15,0)),0,VLOOKUP($T$260,'TAR FIN'!$A$1:$O$86,15,0))</f>
        <v>0</v>
      </c>
      <c r="X260" s="6">
        <f>IF(ISERROR(VLOOKUP($U$260,'TAR FIN'!$A$1:$O$86,15,0)),0,VLOOKUP($U$260,'TAR FIN'!$A$1:$O$86,15,0))</f>
        <v>0</v>
      </c>
      <c r="Y260" s="6">
        <f ca="1">('TUSD BE'!$AM$11+'TUSD BF_350'!$AM$11+'TUSD CVA'!$AM$11)*1</f>
        <v>15.19295792072058</v>
      </c>
      <c r="Z260" s="6"/>
      <c r="AA260" s="6"/>
      <c r="AB260" s="6">
        <f>$K$260*$V$260</f>
        <v>62020.534419999996</v>
      </c>
      <c r="AC260" s="6">
        <f>$M$260*$W$260</f>
        <v>0</v>
      </c>
      <c r="AD260" s="6">
        <f>$O$260*$X$260</f>
        <v>0</v>
      </c>
      <c r="AE260" s="6">
        <f ca="1">$K$260*$Y$260</f>
        <v>48974.811313080165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21</v>
      </c>
      <c r="B261" s="4" t="s">
        <v>38</v>
      </c>
      <c r="C261" s="4" t="s">
        <v>40</v>
      </c>
      <c r="D261" s="4" t="s">
        <v>37</v>
      </c>
      <c r="E261" s="4" t="s">
        <v>25</v>
      </c>
      <c r="F261" s="4" t="s">
        <v>57</v>
      </c>
      <c r="G261" s="4" t="s">
        <v>25</v>
      </c>
      <c r="H261" s="4" t="s">
        <v>25</v>
      </c>
      <c r="I261" s="5">
        <v>44562</v>
      </c>
      <c r="J261" s="6">
        <v>7910</v>
      </c>
      <c r="K261" s="6">
        <v>3213.0419999999999</v>
      </c>
      <c r="L261" s="6">
        <v>0</v>
      </c>
      <c r="M261" s="6">
        <v>0</v>
      </c>
      <c r="N261" s="6">
        <v>0</v>
      </c>
      <c r="O261" s="6">
        <v>0</v>
      </c>
      <c r="P261" s="6">
        <v>19</v>
      </c>
      <c r="Q261" s="4" t="s">
        <v>58</v>
      </c>
      <c r="R261" s="4">
        <v>0</v>
      </c>
      <c r="S261" s="6">
        <v>18</v>
      </c>
      <c r="T261" s="6">
        <v>0</v>
      </c>
      <c r="U261" s="6">
        <v>0</v>
      </c>
      <c r="V261" s="6">
        <f>IF(ISERROR(VLOOKUP($S$261,'TAR FIN'!$A$1:$O$86,15,0)),0,VLOOKUP($S$261,'TAR FIN'!$A$1:$O$86,15,0))</f>
        <v>19.239999999999998</v>
      </c>
      <c r="W261" s="6">
        <f>IF(ISERROR(VLOOKUP($T$261,'TAR FIN'!$A$1:$O$86,15,0)),0,VLOOKUP($T$261,'TAR FIN'!$A$1:$O$86,15,0))</f>
        <v>0</v>
      </c>
      <c r="X261" s="6">
        <f>IF(ISERROR(VLOOKUP($U$261,'TAR FIN'!$A$1:$O$86,15,0)),0,VLOOKUP($U$261,'TAR FIN'!$A$1:$O$86,15,0))</f>
        <v>0</v>
      </c>
      <c r="Y261" s="6">
        <f ca="1">('TUSD BE'!$AM$11+'TUSD BF_350'!$AM$11+'TUSD CVA'!$AM$11)*1</f>
        <v>15.19295792072058</v>
      </c>
      <c r="Z261" s="6"/>
      <c r="AA261" s="6"/>
      <c r="AB261" s="6">
        <f>$K$261*$V$261</f>
        <v>61818.928079999991</v>
      </c>
      <c r="AC261" s="6">
        <f>$M$261*$W$261</f>
        <v>0</v>
      </c>
      <c r="AD261" s="6">
        <f>$O$261*$X$261</f>
        <v>0</v>
      </c>
      <c r="AE261" s="6">
        <f ca="1">$K$261*$Y$261</f>
        <v>48815.611903507895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38</v>
      </c>
      <c r="C262" s="4" t="s">
        <v>40</v>
      </c>
      <c r="D262" s="4" t="s">
        <v>37</v>
      </c>
      <c r="E262" s="4" t="s">
        <v>25</v>
      </c>
      <c r="F262" s="4" t="s">
        <v>57</v>
      </c>
      <c r="G262" s="4" t="s">
        <v>25</v>
      </c>
      <c r="H262" s="4" t="s">
        <v>25</v>
      </c>
      <c r="I262" s="5">
        <v>44593</v>
      </c>
      <c r="J262" s="6">
        <v>7814</v>
      </c>
      <c r="K262" s="6">
        <v>3290.4753999999998</v>
      </c>
      <c r="L262" s="6">
        <v>0</v>
      </c>
      <c r="M262" s="6">
        <v>0</v>
      </c>
      <c r="N262" s="6">
        <v>0</v>
      </c>
      <c r="O262" s="6">
        <v>0</v>
      </c>
      <c r="P262" s="6">
        <v>19</v>
      </c>
      <c r="Q262" s="4" t="s">
        <v>58</v>
      </c>
      <c r="R262" s="4">
        <v>0</v>
      </c>
      <c r="S262" s="6">
        <v>18</v>
      </c>
      <c r="T262" s="6">
        <v>0</v>
      </c>
      <c r="U262" s="6">
        <v>0</v>
      </c>
      <c r="V262" s="6">
        <f>IF(ISERROR(VLOOKUP($S$262,'TAR FIN'!$A$1:$O$86,15,0)),0,VLOOKUP($S$262,'TAR FIN'!$A$1:$O$86,15,0))</f>
        <v>19.239999999999998</v>
      </c>
      <c r="W262" s="6">
        <f>IF(ISERROR(VLOOKUP($T$262,'TAR FIN'!$A$1:$O$86,15,0)),0,VLOOKUP($T$262,'TAR FIN'!$A$1:$O$86,15,0))</f>
        <v>0</v>
      </c>
      <c r="X262" s="6">
        <f>IF(ISERROR(VLOOKUP($U$262,'TAR FIN'!$A$1:$O$86,15,0)),0,VLOOKUP($U$262,'TAR FIN'!$A$1:$O$86,15,0))</f>
        <v>0</v>
      </c>
      <c r="Y262" s="6">
        <f ca="1">('TUSD BE'!$AM$11+'TUSD BF_350'!$AM$11+'TUSD CVA'!$AM$11)*1</f>
        <v>15.19295792072058</v>
      </c>
      <c r="Z262" s="6"/>
      <c r="AA262" s="6"/>
      <c r="AB262" s="6">
        <f>$K$262*$V$262</f>
        <v>63308.746695999995</v>
      </c>
      <c r="AC262" s="6">
        <f>$M$262*$W$262</f>
        <v>0</v>
      </c>
      <c r="AD262" s="6">
        <f>$O$262*$X$262</f>
        <v>0</v>
      </c>
      <c r="AE262" s="6">
        <f ca="1">$K$262*$Y$262</f>
        <v>49992.054291366214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21</v>
      </c>
      <c r="B263" s="4" t="s">
        <v>38</v>
      </c>
      <c r="C263" s="4" t="s">
        <v>40</v>
      </c>
      <c r="D263" s="4" t="s">
        <v>37</v>
      </c>
      <c r="E263" s="4" t="s">
        <v>25</v>
      </c>
      <c r="F263" s="4" t="s">
        <v>57</v>
      </c>
      <c r="G263" s="4" t="s">
        <v>25</v>
      </c>
      <c r="H263" s="4" t="s">
        <v>25</v>
      </c>
      <c r="I263" s="5">
        <v>44621</v>
      </c>
      <c r="J263" s="6">
        <v>7899</v>
      </c>
      <c r="K263" s="6">
        <v>3291.5133000000001</v>
      </c>
      <c r="L263" s="6">
        <v>0</v>
      </c>
      <c r="M263" s="6">
        <v>0</v>
      </c>
      <c r="N263" s="6">
        <v>0</v>
      </c>
      <c r="O263" s="6">
        <v>0</v>
      </c>
      <c r="P263" s="6">
        <v>18</v>
      </c>
      <c r="Q263" s="4" t="s">
        <v>58</v>
      </c>
      <c r="R263" s="4">
        <v>0</v>
      </c>
      <c r="S263" s="6">
        <v>18</v>
      </c>
      <c r="T263" s="6">
        <v>0</v>
      </c>
      <c r="U263" s="6">
        <v>0</v>
      </c>
      <c r="V263" s="6">
        <f>IF(ISERROR(VLOOKUP($S$263,'TAR FIN'!$A$1:$O$86,15,0)),0,VLOOKUP($S$263,'TAR FIN'!$A$1:$O$86,15,0))</f>
        <v>19.239999999999998</v>
      </c>
      <c r="W263" s="6">
        <f>IF(ISERROR(VLOOKUP($T$263,'TAR FIN'!$A$1:$O$86,15,0)),0,VLOOKUP($T$263,'TAR FIN'!$A$1:$O$86,15,0))</f>
        <v>0</v>
      </c>
      <c r="X263" s="6">
        <f>IF(ISERROR(VLOOKUP($U$263,'TAR FIN'!$A$1:$O$86,15,0)),0,VLOOKUP($U$263,'TAR FIN'!$A$1:$O$86,15,0))</f>
        <v>0</v>
      </c>
      <c r="Y263" s="6">
        <f ca="1">('TUSD BE'!$AM$11+'TUSD BF_350'!$AM$11+'TUSD CVA'!$AM$11)*1</f>
        <v>15.19295792072058</v>
      </c>
      <c r="Z263" s="6"/>
      <c r="AA263" s="6"/>
      <c r="AB263" s="6">
        <f>$K$263*$V$263</f>
        <v>63328.715891999993</v>
      </c>
      <c r="AC263" s="6">
        <f>$M$263*$W$263</f>
        <v>0</v>
      </c>
      <c r="AD263" s="6">
        <f>$O$263*$X$263</f>
        <v>0</v>
      </c>
      <c r="AE263" s="6">
        <f ca="1">$K$263*$Y$263</f>
        <v>50007.823062392141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38</v>
      </c>
      <c r="C264" s="4" t="s">
        <v>40</v>
      </c>
      <c r="D264" s="4" t="s">
        <v>37</v>
      </c>
      <c r="E264" s="4" t="s">
        <v>25</v>
      </c>
      <c r="F264" s="4" t="s">
        <v>57</v>
      </c>
      <c r="G264" s="4" t="s">
        <v>25</v>
      </c>
      <c r="H264" s="4" t="s">
        <v>25</v>
      </c>
      <c r="I264" s="5">
        <v>44652</v>
      </c>
      <c r="J264" s="6">
        <v>7918</v>
      </c>
      <c r="K264" s="6">
        <v>3299.4306000000001</v>
      </c>
      <c r="L264" s="6">
        <v>0</v>
      </c>
      <c r="M264" s="6">
        <v>0</v>
      </c>
      <c r="N264" s="6">
        <v>0</v>
      </c>
      <c r="O264" s="6">
        <v>0</v>
      </c>
      <c r="P264" s="6">
        <v>18</v>
      </c>
      <c r="Q264" s="4" t="s">
        <v>58</v>
      </c>
      <c r="R264" s="4">
        <v>0</v>
      </c>
      <c r="S264" s="6">
        <v>18</v>
      </c>
      <c r="T264" s="6">
        <v>0</v>
      </c>
      <c r="U264" s="6">
        <v>0</v>
      </c>
      <c r="V264" s="6">
        <f>IF(ISERROR(VLOOKUP($S$264,'TAR FIN'!$A$1:$O$86,15,0)),0,VLOOKUP($S$264,'TAR FIN'!$A$1:$O$86,15,0))</f>
        <v>19.239999999999998</v>
      </c>
      <c r="W264" s="6">
        <f>IF(ISERROR(VLOOKUP($T$264,'TAR FIN'!$A$1:$O$86,15,0)),0,VLOOKUP($T$264,'TAR FIN'!$A$1:$O$86,15,0))</f>
        <v>0</v>
      </c>
      <c r="X264" s="6">
        <f>IF(ISERROR(VLOOKUP($U$264,'TAR FIN'!$A$1:$O$86,15,0)),0,VLOOKUP($U$264,'TAR FIN'!$A$1:$O$86,15,0))</f>
        <v>0</v>
      </c>
      <c r="Y264" s="6">
        <f ca="1">('TUSD BE'!$AM$11+'TUSD BF_350'!$AM$11+'TUSD CVA'!$AM$11)*1</f>
        <v>15.19295792072058</v>
      </c>
      <c r="Z264" s="6"/>
      <c r="AA264" s="6"/>
      <c r="AB264" s="6">
        <f>$K$264*$V$264</f>
        <v>63481.044743999999</v>
      </c>
      <c r="AC264" s="6">
        <f>$M$264*$W$264</f>
        <v>0</v>
      </c>
      <c r="AD264" s="6">
        <f>$O$264*$X$264</f>
        <v>0</v>
      </c>
      <c r="AE264" s="6">
        <f ca="1">$K$264*$Y$264</f>
        <v>50128.110268137862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38</v>
      </c>
      <c r="C265" s="4" t="s">
        <v>40</v>
      </c>
      <c r="D265" s="4" t="s">
        <v>37</v>
      </c>
      <c r="E265" s="4" t="s">
        <v>25</v>
      </c>
      <c r="F265" s="4" t="s">
        <v>57</v>
      </c>
      <c r="G265" s="4" t="s">
        <v>25</v>
      </c>
      <c r="H265" s="4" t="s">
        <v>25</v>
      </c>
      <c r="I265" s="5">
        <v>44682</v>
      </c>
      <c r="J265" s="6">
        <v>7718</v>
      </c>
      <c r="K265" s="6">
        <v>3216.0906</v>
      </c>
      <c r="L265" s="6">
        <v>0</v>
      </c>
      <c r="M265" s="6">
        <v>0</v>
      </c>
      <c r="N265" s="6">
        <v>0</v>
      </c>
      <c r="O265" s="6">
        <v>0</v>
      </c>
      <c r="P265" s="6">
        <v>18</v>
      </c>
      <c r="Q265" s="4" t="s">
        <v>58</v>
      </c>
      <c r="R265" s="4">
        <v>0</v>
      </c>
      <c r="S265" s="6">
        <v>18</v>
      </c>
      <c r="T265" s="6">
        <v>0</v>
      </c>
      <c r="U265" s="6">
        <v>0</v>
      </c>
      <c r="V265" s="6">
        <f>IF(ISERROR(VLOOKUP($S$265,'TAR FIN'!$A$1:$O$86,15,0)),0,VLOOKUP($S$265,'TAR FIN'!$A$1:$O$86,15,0))</f>
        <v>19.239999999999998</v>
      </c>
      <c r="W265" s="6">
        <f>IF(ISERROR(VLOOKUP($T$265,'TAR FIN'!$A$1:$O$86,15,0)),0,VLOOKUP($T$265,'TAR FIN'!$A$1:$O$86,15,0))</f>
        <v>0</v>
      </c>
      <c r="X265" s="6">
        <f>IF(ISERROR(VLOOKUP($U$265,'TAR FIN'!$A$1:$O$86,15,0)),0,VLOOKUP($U$265,'TAR FIN'!$A$1:$O$86,15,0))</f>
        <v>0</v>
      </c>
      <c r="Y265" s="6">
        <f ca="1">('TUSD BE'!$AM$11+'TUSD BF_350'!$AM$11+'TUSD CVA'!$AM$11)*1</f>
        <v>15.19295792072058</v>
      </c>
      <c r="Z265" s="6"/>
      <c r="AA265" s="6"/>
      <c r="AB265" s="6">
        <f>$K$265*$V$265</f>
        <v>61877.583143999997</v>
      </c>
      <c r="AC265" s="6">
        <f>$M$265*$W$265</f>
        <v>0</v>
      </c>
      <c r="AD265" s="6">
        <f>$O$265*$X$265</f>
        <v>0</v>
      </c>
      <c r="AE265" s="6">
        <f ca="1">$K$265*$Y$265</f>
        <v>48861.929155025005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56</v>
      </c>
      <c r="B266" s="4" t="s">
        <v>38</v>
      </c>
      <c r="C266" s="4" t="s">
        <v>40</v>
      </c>
      <c r="D266" s="4" t="s">
        <v>37</v>
      </c>
      <c r="E266" s="4" t="s">
        <v>25</v>
      </c>
      <c r="F266" s="4" t="s">
        <v>57</v>
      </c>
      <c r="G266" s="4" t="s">
        <v>25</v>
      </c>
      <c r="H266" s="4" t="s">
        <v>25</v>
      </c>
      <c r="I266" s="5">
        <v>44713</v>
      </c>
      <c r="J266" s="6">
        <v>7718</v>
      </c>
      <c r="K266" s="6">
        <v>3216.0906</v>
      </c>
      <c r="L266" s="6">
        <v>0</v>
      </c>
      <c r="M266" s="6">
        <v>0</v>
      </c>
      <c r="N266" s="6">
        <v>0</v>
      </c>
      <c r="O266" s="6">
        <v>0</v>
      </c>
      <c r="P266" s="6">
        <v>18</v>
      </c>
      <c r="Q266" s="4" t="s">
        <v>58</v>
      </c>
      <c r="R266" s="4">
        <v>0</v>
      </c>
      <c r="S266" s="6">
        <v>18</v>
      </c>
      <c r="T266" s="6">
        <v>0</v>
      </c>
      <c r="U266" s="6">
        <v>0</v>
      </c>
      <c r="V266" s="6">
        <f>IF(ISERROR(VLOOKUP($S$266,'TAR FIN'!$A$1:$O$86,15,0)),0,VLOOKUP($S$266,'TAR FIN'!$A$1:$O$86,15,0))</f>
        <v>19.239999999999998</v>
      </c>
      <c r="W266" s="6">
        <f>IF(ISERROR(VLOOKUP($T$266,'TAR FIN'!$A$1:$O$86,15,0)),0,VLOOKUP($T$266,'TAR FIN'!$A$1:$O$86,15,0))</f>
        <v>0</v>
      </c>
      <c r="X266" s="6">
        <f>IF(ISERROR(VLOOKUP($U$266,'TAR FIN'!$A$1:$O$86,15,0)),0,VLOOKUP($U$266,'TAR FIN'!$A$1:$O$86,15,0))</f>
        <v>0</v>
      </c>
      <c r="Y266" s="6">
        <f ca="1">('TUSD BE'!$AM$11+'TUSD BF_350'!$AM$11+'TUSD CVA'!$AM$11)*1</f>
        <v>15.19295792072058</v>
      </c>
      <c r="Z266" s="6"/>
      <c r="AA266" s="6"/>
      <c r="AB266" s="6">
        <f>$K$266*$V$266</f>
        <v>61877.583143999997</v>
      </c>
      <c r="AC266" s="6">
        <f>$M$266*$W$266</f>
        <v>0</v>
      </c>
      <c r="AD266" s="6">
        <f>$O$266*$X$266</f>
        <v>0</v>
      </c>
      <c r="AE266" s="6">
        <f ca="1">$K$266*$Y$266</f>
        <v>48861.929155025005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21</v>
      </c>
      <c r="B267" s="4" t="s">
        <v>38</v>
      </c>
      <c r="C267" s="4" t="s">
        <v>40</v>
      </c>
      <c r="D267" s="4" t="s">
        <v>37</v>
      </c>
      <c r="E267" s="4" t="s">
        <v>25</v>
      </c>
      <c r="F267" s="4" t="s">
        <v>57</v>
      </c>
      <c r="G267" s="4" t="s">
        <v>25</v>
      </c>
      <c r="H267" s="4" t="s">
        <v>33</v>
      </c>
      <c r="I267" s="5">
        <v>44378</v>
      </c>
      <c r="J267" s="6">
        <v>0</v>
      </c>
      <c r="K267" s="6">
        <v>0</v>
      </c>
      <c r="L267" s="6">
        <v>219.119</v>
      </c>
      <c r="M267" s="6">
        <v>91.3068873</v>
      </c>
      <c r="N267" s="6">
        <v>0</v>
      </c>
      <c r="O267" s="6">
        <v>0</v>
      </c>
      <c r="P267" s="6">
        <v>0</v>
      </c>
      <c r="Q267" s="4" t="s">
        <v>58</v>
      </c>
      <c r="R267" s="4">
        <v>0</v>
      </c>
      <c r="S267" s="6">
        <v>0</v>
      </c>
      <c r="T267" s="6">
        <v>16</v>
      </c>
      <c r="U267" s="6">
        <v>0</v>
      </c>
      <c r="V267" s="6">
        <f>IF(ISERROR(VLOOKUP($S$267,'TAR FIN'!$A$1:$O$86,15,0)),0,VLOOKUP($S$267,'TAR FIN'!$A$1:$O$86,15,0))</f>
        <v>0</v>
      </c>
      <c r="W267" s="6">
        <f>IF(ISERROR(VLOOKUP($T$267,'TAR FIN'!$A$1:$O$86,15,0)),0,VLOOKUP($T$267,'TAR FIN'!$A$1:$O$86,15,0))</f>
        <v>1329.67</v>
      </c>
      <c r="X267" s="6">
        <f>IF(ISERROR(VLOOKUP($U$267,'TAR FIN'!$A$1:$O$86,15,0)),0,VLOOKUP($U$267,'TAR FIN'!$A$1:$O$86,15,0))</f>
        <v>0</v>
      </c>
      <c r="Y267" s="6"/>
      <c r="Z267" s="6">
        <f ca="1">('TUSD BE'!$AM$12+'TUSD BF_350'!$AM$12+'TUSD CVA'!$AM$12)*1</f>
        <v>1074.3612836602365</v>
      </c>
      <c r="AA267" s="6"/>
      <c r="AB267" s="6">
        <f>$K$267*$V$267</f>
        <v>0</v>
      </c>
      <c r="AC267" s="6">
        <f>$M$267*$W$267</f>
        <v>121408.02883619101</v>
      </c>
      <c r="AD267" s="6">
        <f>$O$267*$X$267</f>
        <v>0</v>
      </c>
      <c r="AE267" s="6">
        <f>$K$267*$Y$267</f>
        <v>0</v>
      </c>
      <c r="AF267" s="6">
        <f ca="1">$M$267*$Z$267</f>
        <v>98096.584646648538</v>
      </c>
      <c r="AG267" s="6">
        <f>$O$267*$AA$267</f>
        <v>0</v>
      </c>
    </row>
    <row r="268" spans="1:33" ht="11.25" customHeight="1" x14ac:dyDescent="0.25">
      <c r="A268" s="4" t="s">
        <v>21</v>
      </c>
      <c r="B268" s="4" t="s">
        <v>38</v>
      </c>
      <c r="C268" s="4" t="s">
        <v>40</v>
      </c>
      <c r="D268" s="4" t="s">
        <v>37</v>
      </c>
      <c r="E268" s="4" t="s">
        <v>25</v>
      </c>
      <c r="F268" s="4" t="s">
        <v>57</v>
      </c>
      <c r="G268" s="4" t="s">
        <v>25</v>
      </c>
      <c r="H268" s="4" t="s">
        <v>33</v>
      </c>
      <c r="I268" s="5">
        <v>44409</v>
      </c>
      <c r="J268" s="6">
        <v>0</v>
      </c>
      <c r="K268" s="6">
        <v>0</v>
      </c>
      <c r="L268" s="6">
        <v>221.024</v>
      </c>
      <c r="M268" s="6">
        <v>92.100700799999998</v>
      </c>
      <c r="N268" s="6">
        <v>0</v>
      </c>
      <c r="O268" s="6">
        <v>0</v>
      </c>
      <c r="P268" s="6">
        <v>0</v>
      </c>
      <c r="Q268" s="4" t="s">
        <v>58</v>
      </c>
      <c r="R268" s="4">
        <v>0</v>
      </c>
      <c r="S268" s="6">
        <v>0</v>
      </c>
      <c r="T268" s="6">
        <v>16</v>
      </c>
      <c r="U268" s="6">
        <v>0</v>
      </c>
      <c r="V268" s="6">
        <f>IF(ISERROR(VLOOKUP($S$268,'TAR FIN'!$A$1:$O$86,15,0)),0,VLOOKUP($S$268,'TAR FIN'!$A$1:$O$86,15,0))</f>
        <v>0</v>
      </c>
      <c r="W268" s="6">
        <f>IF(ISERROR(VLOOKUP($T$268,'TAR FIN'!$A$1:$O$86,15,0)),0,VLOOKUP($T$268,'TAR FIN'!$A$1:$O$86,15,0))</f>
        <v>1329.67</v>
      </c>
      <c r="X268" s="6">
        <f>IF(ISERROR(VLOOKUP($U$268,'TAR FIN'!$A$1:$O$86,15,0)),0,VLOOKUP($U$268,'TAR FIN'!$A$1:$O$86,15,0))</f>
        <v>0</v>
      </c>
      <c r="Y268" s="6"/>
      <c r="Z268" s="6">
        <f ca="1">('TUSD BE'!$AM$12+'TUSD BF_350'!$AM$12+'TUSD CVA'!$AM$12)*1</f>
        <v>1074.3612836602365</v>
      </c>
      <c r="AA268" s="6"/>
      <c r="AB268" s="6">
        <f>$K$268*$V$268</f>
        <v>0</v>
      </c>
      <c r="AC268" s="6">
        <f>$M$268*$W$268</f>
        <v>122463.538832736</v>
      </c>
      <c r="AD268" s="6">
        <f>$O$268*$X$268</f>
        <v>0</v>
      </c>
      <c r="AE268" s="6">
        <f>$K$268*$Y$268</f>
        <v>0</v>
      </c>
      <c r="AF268" s="6">
        <f ca="1">$M$268*$Z$268</f>
        <v>98949.427137495368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38</v>
      </c>
      <c r="C269" s="4" t="s">
        <v>40</v>
      </c>
      <c r="D269" s="4" t="s">
        <v>37</v>
      </c>
      <c r="E269" s="4" t="s">
        <v>25</v>
      </c>
      <c r="F269" s="4" t="s">
        <v>57</v>
      </c>
      <c r="G269" s="4" t="s">
        <v>25</v>
      </c>
      <c r="H269" s="4" t="s">
        <v>33</v>
      </c>
      <c r="I269" s="5">
        <v>44440</v>
      </c>
      <c r="J269" s="6">
        <v>0</v>
      </c>
      <c r="K269" s="6">
        <v>0</v>
      </c>
      <c r="L269" s="6">
        <v>206.77799999999999</v>
      </c>
      <c r="M269" s="6">
        <v>86.164392599999999</v>
      </c>
      <c r="N269" s="6">
        <v>0</v>
      </c>
      <c r="O269" s="6">
        <v>0</v>
      </c>
      <c r="P269" s="6">
        <v>0</v>
      </c>
      <c r="Q269" s="4" t="s">
        <v>58</v>
      </c>
      <c r="R269" s="4">
        <v>0</v>
      </c>
      <c r="S269" s="6">
        <v>0</v>
      </c>
      <c r="T269" s="6">
        <v>16</v>
      </c>
      <c r="U269" s="6">
        <v>0</v>
      </c>
      <c r="V269" s="6">
        <f>IF(ISERROR(VLOOKUP($S$269,'TAR FIN'!$A$1:$O$86,15,0)),0,VLOOKUP($S$269,'TAR FIN'!$A$1:$O$86,15,0))</f>
        <v>0</v>
      </c>
      <c r="W269" s="6">
        <f>IF(ISERROR(VLOOKUP($T$269,'TAR FIN'!$A$1:$O$86,15,0)),0,VLOOKUP($T$269,'TAR FIN'!$A$1:$O$86,15,0))</f>
        <v>1329.67</v>
      </c>
      <c r="X269" s="6">
        <f>IF(ISERROR(VLOOKUP($U$269,'TAR FIN'!$A$1:$O$86,15,0)),0,VLOOKUP($U$269,'TAR FIN'!$A$1:$O$86,15,0))</f>
        <v>0</v>
      </c>
      <c r="Y269" s="6"/>
      <c r="Z269" s="6">
        <f ca="1">('TUSD BE'!$AM$12+'TUSD BF_350'!$AM$12+'TUSD CVA'!$AM$12)*1</f>
        <v>1074.3612836602365</v>
      </c>
      <c r="AA269" s="6"/>
      <c r="AB269" s="6">
        <f>$K$269*$V$269</f>
        <v>0</v>
      </c>
      <c r="AC269" s="6">
        <f>$M$269*$W$269</f>
        <v>114570.20790844201</v>
      </c>
      <c r="AD269" s="6">
        <f>$O$269*$X$269</f>
        <v>0</v>
      </c>
      <c r="AE269" s="6">
        <f>$K$269*$Y$269</f>
        <v>0</v>
      </c>
      <c r="AF269" s="6">
        <f ca="1">$M$269*$Z$269</f>
        <v>92571.687439540576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38</v>
      </c>
      <c r="C270" s="4" t="s">
        <v>40</v>
      </c>
      <c r="D270" s="4" t="s">
        <v>37</v>
      </c>
      <c r="E270" s="4" t="s">
        <v>25</v>
      </c>
      <c r="F270" s="4" t="s">
        <v>57</v>
      </c>
      <c r="G270" s="4" t="s">
        <v>25</v>
      </c>
      <c r="H270" s="4" t="s">
        <v>33</v>
      </c>
      <c r="I270" s="5">
        <v>44470</v>
      </c>
      <c r="J270" s="6">
        <v>0</v>
      </c>
      <c r="K270" s="6">
        <v>0</v>
      </c>
      <c r="L270" s="6">
        <v>183.97499999999999</v>
      </c>
      <c r="M270" s="6">
        <v>81.16977</v>
      </c>
      <c r="N270" s="6">
        <v>0</v>
      </c>
      <c r="O270" s="6">
        <v>0</v>
      </c>
      <c r="P270" s="6">
        <v>0</v>
      </c>
      <c r="Q270" s="4" t="s">
        <v>58</v>
      </c>
      <c r="R270" s="4">
        <v>0</v>
      </c>
      <c r="S270" s="6">
        <v>0</v>
      </c>
      <c r="T270" s="6">
        <v>16</v>
      </c>
      <c r="U270" s="6">
        <v>0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1329.67</v>
      </c>
      <c r="X270" s="6">
        <f>IF(ISERROR(VLOOKUP($U$270,'TAR FIN'!$A$1:$O$86,15,0)),0,VLOOKUP($U$270,'TAR FIN'!$A$1:$O$86,15,0))</f>
        <v>0</v>
      </c>
      <c r="Y270" s="6"/>
      <c r="Z270" s="6">
        <f ca="1">('TUSD BE'!$AM$12+'TUSD BF_350'!$AM$12+'TUSD CVA'!$AM$12)*1</f>
        <v>1074.3612836602365</v>
      </c>
      <c r="AA270" s="6"/>
      <c r="AB270" s="6">
        <f>$K$270*$V$270</f>
        <v>0</v>
      </c>
      <c r="AC270" s="6">
        <f>$M$270*$W$270</f>
        <v>107929.00807590001</v>
      </c>
      <c r="AD270" s="6">
        <f>$O$270*$X$270</f>
        <v>0</v>
      </c>
      <c r="AE270" s="6">
        <f>$K$270*$Y$270</f>
        <v>0</v>
      </c>
      <c r="AF270" s="6">
        <f ca="1">$M$270*$Z$270</f>
        <v>87205.65829160616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38</v>
      </c>
      <c r="C271" s="4" t="s">
        <v>40</v>
      </c>
      <c r="D271" s="4" t="s">
        <v>37</v>
      </c>
      <c r="E271" s="4" t="s">
        <v>25</v>
      </c>
      <c r="F271" s="4" t="s">
        <v>57</v>
      </c>
      <c r="G271" s="4" t="s">
        <v>25</v>
      </c>
      <c r="H271" s="4" t="s">
        <v>33</v>
      </c>
      <c r="I271" s="5">
        <v>44501</v>
      </c>
      <c r="J271" s="6">
        <v>0</v>
      </c>
      <c r="K271" s="6">
        <v>0</v>
      </c>
      <c r="L271" s="6">
        <v>214.07900000000001</v>
      </c>
      <c r="M271" s="6">
        <v>80.279624999999996</v>
      </c>
      <c r="N271" s="6">
        <v>0</v>
      </c>
      <c r="O271" s="6">
        <v>0</v>
      </c>
      <c r="P271" s="6">
        <v>0</v>
      </c>
      <c r="Q271" s="4" t="s">
        <v>58</v>
      </c>
      <c r="R271" s="4">
        <v>0</v>
      </c>
      <c r="S271" s="6">
        <v>0</v>
      </c>
      <c r="T271" s="6">
        <v>16</v>
      </c>
      <c r="U271" s="6">
        <v>0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1329.67</v>
      </c>
      <c r="X271" s="6">
        <f>IF(ISERROR(VLOOKUP($U$271,'TAR FIN'!$A$1:$O$86,15,0)),0,VLOOKUP($U$271,'TAR FIN'!$A$1:$O$86,15,0))</f>
        <v>0</v>
      </c>
      <c r="Y271" s="6"/>
      <c r="Z271" s="6">
        <f ca="1">('TUSD BE'!$AM$12+'TUSD BF_350'!$AM$12+'TUSD CVA'!$AM$12)*1</f>
        <v>1074.3612836602365</v>
      </c>
      <c r="AA271" s="6"/>
      <c r="AB271" s="6">
        <f>$K$271*$V$271</f>
        <v>0</v>
      </c>
      <c r="AC271" s="6">
        <f>$M$271*$W$271</f>
        <v>106745.40897375</v>
      </c>
      <c r="AD271" s="6">
        <f>$O$271*$X$271</f>
        <v>0</v>
      </c>
      <c r="AE271" s="6">
        <f>$K$271*$Y$271</f>
        <v>0</v>
      </c>
      <c r="AF271" s="6">
        <f ca="1">$M$271*$Z$271</f>
        <v>86249.320966762403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38</v>
      </c>
      <c r="C272" s="4" t="s">
        <v>40</v>
      </c>
      <c r="D272" s="4" t="s">
        <v>37</v>
      </c>
      <c r="E272" s="4" t="s">
        <v>25</v>
      </c>
      <c r="F272" s="4" t="s">
        <v>57</v>
      </c>
      <c r="G272" s="4" t="s">
        <v>25</v>
      </c>
      <c r="H272" s="4" t="s">
        <v>33</v>
      </c>
      <c r="I272" s="5">
        <v>44531</v>
      </c>
      <c r="J272" s="6">
        <v>0</v>
      </c>
      <c r="K272" s="6">
        <v>0</v>
      </c>
      <c r="L272" s="6">
        <v>213.55799999999999</v>
      </c>
      <c r="M272" s="6">
        <v>89.929273800000004</v>
      </c>
      <c r="N272" s="6">
        <v>0</v>
      </c>
      <c r="O272" s="6">
        <v>0</v>
      </c>
      <c r="P272" s="6">
        <v>0</v>
      </c>
      <c r="Q272" s="4" t="s">
        <v>58</v>
      </c>
      <c r="R272" s="4">
        <v>0</v>
      </c>
      <c r="S272" s="6">
        <v>0</v>
      </c>
      <c r="T272" s="6">
        <v>16</v>
      </c>
      <c r="U272" s="6">
        <v>0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1329.67</v>
      </c>
      <c r="X272" s="6">
        <f>IF(ISERROR(VLOOKUP($U$272,'TAR FIN'!$A$1:$O$86,15,0)),0,VLOOKUP($U$272,'TAR FIN'!$A$1:$O$86,15,0))</f>
        <v>0</v>
      </c>
      <c r="Y272" s="6"/>
      <c r="Z272" s="6">
        <f ca="1">('TUSD BE'!$AM$12+'TUSD BF_350'!$AM$12+'TUSD CVA'!$AM$12)*1</f>
        <v>1074.3612836602365</v>
      </c>
      <c r="AA272" s="6"/>
      <c r="AB272" s="6">
        <f>$K$272*$V$272</f>
        <v>0</v>
      </c>
      <c r="AC272" s="6">
        <f>$M$272*$W$272</f>
        <v>119576.25749364602</v>
      </c>
      <c r="AD272" s="6">
        <f>$O$272*$X$272</f>
        <v>0</v>
      </c>
      <c r="AE272" s="6">
        <f>$K$272*$Y$272</f>
        <v>0</v>
      </c>
      <c r="AF272" s="6">
        <f ca="1">$M$272*$Z$272</f>
        <v>96616.530038400873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38</v>
      </c>
      <c r="C273" s="4" t="s">
        <v>40</v>
      </c>
      <c r="D273" s="4" t="s">
        <v>37</v>
      </c>
      <c r="E273" s="4" t="s">
        <v>25</v>
      </c>
      <c r="F273" s="4" t="s">
        <v>57</v>
      </c>
      <c r="G273" s="4" t="s">
        <v>25</v>
      </c>
      <c r="H273" s="4" t="s">
        <v>33</v>
      </c>
      <c r="I273" s="5">
        <v>44562</v>
      </c>
      <c r="J273" s="6">
        <v>0</v>
      </c>
      <c r="K273" s="6">
        <v>0</v>
      </c>
      <c r="L273" s="6">
        <v>159.66800000000001</v>
      </c>
      <c r="M273" s="6">
        <v>64.857141600000006</v>
      </c>
      <c r="N273" s="6">
        <v>0</v>
      </c>
      <c r="O273" s="6">
        <v>0</v>
      </c>
      <c r="P273" s="6">
        <v>0</v>
      </c>
      <c r="Q273" s="4" t="s">
        <v>58</v>
      </c>
      <c r="R273" s="4">
        <v>0</v>
      </c>
      <c r="S273" s="6">
        <v>0</v>
      </c>
      <c r="T273" s="6">
        <v>16</v>
      </c>
      <c r="U273" s="6">
        <v>0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1329.67</v>
      </c>
      <c r="X273" s="6">
        <f>IF(ISERROR(VLOOKUP($U$273,'TAR FIN'!$A$1:$O$86,15,0)),0,VLOOKUP($U$273,'TAR FIN'!$A$1:$O$86,15,0))</f>
        <v>0</v>
      </c>
      <c r="Y273" s="6"/>
      <c r="Z273" s="6">
        <f ca="1">('TUSD BE'!$AM$12+'TUSD BF_350'!$AM$12+'TUSD CVA'!$AM$12)*1</f>
        <v>1074.3612836602365</v>
      </c>
      <c r="AA273" s="6"/>
      <c r="AB273" s="6">
        <f>$K$273*$V$273</f>
        <v>0</v>
      </c>
      <c r="AC273" s="6">
        <f>$M$273*$W$273</f>
        <v>86238.595471272012</v>
      </c>
      <c r="AD273" s="6">
        <f>$O$273*$X$273</f>
        <v>0</v>
      </c>
      <c r="AE273" s="6">
        <f>$K$273*$Y$273</f>
        <v>0</v>
      </c>
      <c r="AF273" s="6">
        <f ca="1">$M$273*$Z$273</f>
        <v>69680.001903909724</v>
      </c>
      <c r="AG273" s="6">
        <f>$O$273*$AA$273</f>
        <v>0</v>
      </c>
    </row>
    <row r="274" spans="1:33" ht="11.25" customHeight="1" x14ac:dyDescent="0.25">
      <c r="A274" s="4" t="s">
        <v>21</v>
      </c>
      <c r="B274" s="4" t="s">
        <v>38</v>
      </c>
      <c r="C274" s="4" t="s">
        <v>40</v>
      </c>
      <c r="D274" s="4" t="s">
        <v>37</v>
      </c>
      <c r="E274" s="4" t="s">
        <v>25</v>
      </c>
      <c r="F274" s="4" t="s">
        <v>57</v>
      </c>
      <c r="G274" s="4" t="s">
        <v>25</v>
      </c>
      <c r="H274" s="4" t="s">
        <v>33</v>
      </c>
      <c r="I274" s="5">
        <v>44593</v>
      </c>
      <c r="J274" s="6">
        <v>0</v>
      </c>
      <c r="K274" s="6">
        <v>0</v>
      </c>
      <c r="L274" s="6">
        <v>223.99700000000001</v>
      </c>
      <c r="M274" s="6">
        <v>94.325136700000002</v>
      </c>
      <c r="N274" s="6">
        <v>0</v>
      </c>
      <c r="O274" s="6">
        <v>0</v>
      </c>
      <c r="P274" s="6">
        <v>0</v>
      </c>
      <c r="Q274" s="4" t="s">
        <v>58</v>
      </c>
      <c r="R274" s="4">
        <v>0</v>
      </c>
      <c r="S274" s="6">
        <v>0</v>
      </c>
      <c r="T274" s="6">
        <v>16</v>
      </c>
      <c r="U274" s="6">
        <v>0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1329.67</v>
      </c>
      <c r="X274" s="6">
        <f>IF(ISERROR(VLOOKUP($U$274,'TAR FIN'!$A$1:$O$86,15,0)),0,VLOOKUP($U$274,'TAR FIN'!$A$1:$O$86,15,0))</f>
        <v>0</v>
      </c>
      <c r="Y274" s="6"/>
      <c r="Z274" s="6">
        <f ca="1">('TUSD BE'!$AM$12+'TUSD BF_350'!$AM$12+'TUSD CVA'!$AM$12)*1</f>
        <v>1074.3612836602365</v>
      </c>
      <c r="AA274" s="6"/>
      <c r="AB274" s="6">
        <f>$K$274*$V$274</f>
        <v>0</v>
      </c>
      <c r="AC274" s="6">
        <f>$M$274*$W$274</f>
        <v>125421.304515889</v>
      </c>
      <c r="AD274" s="6">
        <f>$O$274*$X$274</f>
        <v>0</v>
      </c>
      <c r="AE274" s="6">
        <f>$K$274*$Y$274</f>
        <v>0</v>
      </c>
      <c r="AF274" s="6">
        <f ca="1">$M$274*$Z$274</f>
        <v>101339.27494643928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38</v>
      </c>
      <c r="C275" s="4" t="s">
        <v>40</v>
      </c>
      <c r="D275" s="4" t="s">
        <v>37</v>
      </c>
      <c r="E275" s="4" t="s">
        <v>25</v>
      </c>
      <c r="F275" s="4" t="s">
        <v>57</v>
      </c>
      <c r="G275" s="4" t="s">
        <v>25</v>
      </c>
      <c r="H275" s="4" t="s">
        <v>33</v>
      </c>
      <c r="I275" s="5">
        <v>44621</v>
      </c>
      <c r="J275" s="6">
        <v>0</v>
      </c>
      <c r="K275" s="6">
        <v>0</v>
      </c>
      <c r="L275" s="6">
        <v>263.34199999999998</v>
      </c>
      <c r="M275" s="6">
        <v>109.73461140000001</v>
      </c>
      <c r="N275" s="6">
        <v>0</v>
      </c>
      <c r="O275" s="6">
        <v>0</v>
      </c>
      <c r="P275" s="6">
        <v>0</v>
      </c>
      <c r="Q275" s="4" t="s">
        <v>58</v>
      </c>
      <c r="R275" s="4">
        <v>0</v>
      </c>
      <c r="S275" s="6">
        <v>0</v>
      </c>
      <c r="T275" s="6">
        <v>16</v>
      </c>
      <c r="U275" s="6">
        <v>0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1329.67</v>
      </c>
      <c r="X275" s="6">
        <f>IF(ISERROR(VLOOKUP($U$275,'TAR FIN'!$A$1:$O$86,15,0)),0,VLOOKUP($U$275,'TAR FIN'!$A$1:$O$86,15,0))</f>
        <v>0</v>
      </c>
      <c r="Y275" s="6"/>
      <c r="Z275" s="6">
        <f ca="1">('TUSD BE'!$AM$12+'TUSD BF_350'!$AM$12+'TUSD CVA'!$AM$12)*1</f>
        <v>1074.3612836602365</v>
      </c>
      <c r="AA275" s="6"/>
      <c r="AB275" s="6">
        <f>$K$275*$V$275</f>
        <v>0</v>
      </c>
      <c r="AC275" s="6">
        <f>$M$275*$W$275</f>
        <v>145910.82074023801</v>
      </c>
      <c r="AD275" s="6">
        <f>$O$275*$X$275</f>
        <v>0</v>
      </c>
      <c r="AE275" s="6">
        <f>$K$275*$Y$275</f>
        <v>0</v>
      </c>
      <c r="AF275" s="6">
        <f ca="1">$M$275*$Z$275</f>
        <v>117894.61796566122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38</v>
      </c>
      <c r="C276" s="4" t="s">
        <v>40</v>
      </c>
      <c r="D276" s="4" t="s">
        <v>37</v>
      </c>
      <c r="E276" s="4" t="s">
        <v>25</v>
      </c>
      <c r="F276" s="4" t="s">
        <v>57</v>
      </c>
      <c r="G276" s="4" t="s">
        <v>25</v>
      </c>
      <c r="H276" s="4" t="s">
        <v>33</v>
      </c>
      <c r="I276" s="5">
        <v>44652</v>
      </c>
      <c r="J276" s="6">
        <v>0</v>
      </c>
      <c r="K276" s="6">
        <v>0</v>
      </c>
      <c r="L276" s="6">
        <v>174.17400000000001</v>
      </c>
      <c r="M276" s="6">
        <v>72.578305799999995</v>
      </c>
      <c r="N276" s="6">
        <v>0</v>
      </c>
      <c r="O276" s="6">
        <v>0</v>
      </c>
      <c r="P276" s="6">
        <v>0</v>
      </c>
      <c r="Q276" s="4" t="s">
        <v>58</v>
      </c>
      <c r="R276" s="4">
        <v>0</v>
      </c>
      <c r="S276" s="6">
        <v>0</v>
      </c>
      <c r="T276" s="6">
        <v>16</v>
      </c>
      <c r="U276" s="6">
        <v>0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1329.67</v>
      </c>
      <c r="X276" s="6">
        <f>IF(ISERROR(VLOOKUP($U$276,'TAR FIN'!$A$1:$O$86,15,0)),0,VLOOKUP($U$276,'TAR FIN'!$A$1:$O$86,15,0))</f>
        <v>0</v>
      </c>
      <c r="Y276" s="6"/>
      <c r="Z276" s="6">
        <f ca="1">('TUSD BE'!$AM$12+'TUSD BF_350'!$AM$12+'TUSD CVA'!$AM$12)*1</f>
        <v>1074.3612836602365</v>
      </c>
      <c r="AA276" s="6"/>
      <c r="AB276" s="6">
        <f>$K$276*$V$276</f>
        <v>0</v>
      </c>
      <c r="AC276" s="6">
        <f>$M$276*$W$276</f>
        <v>96505.195873086006</v>
      </c>
      <c r="AD276" s="6">
        <f>$O$276*$X$276</f>
        <v>0</v>
      </c>
      <c r="AE276" s="6">
        <f>$K$276*$Y$276</f>
        <v>0</v>
      </c>
      <c r="AF276" s="6">
        <f ca="1">$M$276*$Z$276</f>
        <v>77975.32178517319</v>
      </c>
      <c r="AG276" s="6">
        <f>$O$276*$AA$276</f>
        <v>0</v>
      </c>
    </row>
    <row r="277" spans="1:33" ht="11.25" customHeight="1" x14ac:dyDescent="0.25">
      <c r="A277" s="4" t="s">
        <v>21</v>
      </c>
      <c r="B277" s="4" t="s">
        <v>38</v>
      </c>
      <c r="C277" s="4" t="s">
        <v>40</v>
      </c>
      <c r="D277" s="4" t="s">
        <v>37</v>
      </c>
      <c r="E277" s="4" t="s">
        <v>25</v>
      </c>
      <c r="F277" s="4" t="s">
        <v>57</v>
      </c>
      <c r="G277" s="4" t="s">
        <v>25</v>
      </c>
      <c r="H277" s="4" t="s">
        <v>33</v>
      </c>
      <c r="I277" s="5">
        <v>44682</v>
      </c>
      <c r="J277" s="6">
        <v>0</v>
      </c>
      <c r="K277" s="6">
        <v>0</v>
      </c>
      <c r="L277" s="6">
        <v>244.554</v>
      </c>
      <c r="M277" s="6">
        <v>101.9056518</v>
      </c>
      <c r="N277" s="6">
        <v>0</v>
      </c>
      <c r="O277" s="6">
        <v>0</v>
      </c>
      <c r="P277" s="6">
        <v>0</v>
      </c>
      <c r="Q277" s="4" t="s">
        <v>58</v>
      </c>
      <c r="R277" s="4">
        <v>0</v>
      </c>
      <c r="S277" s="6">
        <v>0</v>
      </c>
      <c r="T277" s="6">
        <v>16</v>
      </c>
      <c r="U277" s="6">
        <v>0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1329.67</v>
      </c>
      <c r="X277" s="6">
        <f>IF(ISERROR(VLOOKUP($U$277,'TAR FIN'!$A$1:$O$86,15,0)),0,VLOOKUP($U$277,'TAR FIN'!$A$1:$O$86,15,0))</f>
        <v>0</v>
      </c>
      <c r="Y277" s="6"/>
      <c r="Z277" s="6">
        <f ca="1">('TUSD BE'!$AM$12+'TUSD BF_350'!$AM$12+'TUSD CVA'!$AM$12)*1</f>
        <v>1074.3612836602365</v>
      </c>
      <c r="AA277" s="6"/>
      <c r="AB277" s="6">
        <f>$K$277*$V$277</f>
        <v>0</v>
      </c>
      <c r="AC277" s="6">
        <f>$M$277*$W$277</f>
        <v>135500.88802890602</v>
      </c>
      <c r="AD277" s="6">
        <f>$O$277*$X$277</f>
        <v>0</v>
      </c>
      <c r="AE277" s="6">
        <f>$K$277*$Y$277</f>
        <v>0</v>
      </c>
      <c r="AF277" s="6">
        <f ca="1">$M$277*$Z$277</f>
        <v>109483.48688008109</v>
      </c>
      <c r="AG277" s="6">
        <f>$O$277*$AA$277</f>
        <v>0</v>
      </c>
    </row>
    <row r="278" spans="1:33" ht="11.25" customHeight="1" x14ac:dyDescent="0.25">
      <c r="A278" s="4" t="s">
        <v>56</v>
      </c>
      <c r="B278" s="4" t="s">
        <v>38</v>
      </c>
      <c r="C278" s="4" t="s">
        <v>40</v>
      </c>
      <c r="D278" s="4" t="s">
        <v>37</v>
      </c>
      <c r="E278" s="4" t="s">
        <v>25</v>
      </c>
      <c r="F278" s="4" t="s">
        <v>57</v>
      </c>
      <c r="G278" s="4" t="s">
        <v>25</v>
      </c>
      <c r="H278" s="4" t="s">
        <v>33</v>
      </c>
      <c r="I278" s="5">
        <v>44713</v>
      </c>
      <c r="J278" s="6">
        <v>0</v>
      </c>
      <c r="K278" s="6">
        <v>0</v>
      </c>
      <c r="L278" s="6">
        <v>244.554</v>
      </c>
      <c r="M278" s="6">
        <v>101.9056518</v>
      </c>
      <c r="N278" s="6">
        <v>0</v>
      </c>
      <c r="O278" s="6">
        <v>0</v>
      </c>
      <c r="P278" s="6">
        <v>0</v>
      </c>
      <c r="Q278" s="4" t="s">
        <v>58</v>
      </c>
      <c r="R278" s="4">
        <v>0</v>
      </c>
      <c r="S278" s="6">
        <v>0</v>
      </c>
      <c r="T278" s="6">
        <v>16</v>
      </c>
      <c r="U278" s="6">
        <v>0</v>
      </c>
      <c r="V278" s="6">
        <f>IF(ISERROR(VLOOKUP($S$278,'TAR FIN'!$A$1:$O$86,15,0)),0,VLOOKUP($S$278,'TAR FIN'!$A$1:$O$86,15,0))</f>
        <v>0</v>
      </c>
      <c r="W278" s="6">
        <f>IF(ISERROR(VLOOKUP($T$278,'TAR FIN'!$A$1:$O$86,15,0)),0,VLOOKUP($T$278,'TAR FIN'!$A$1:$O$86,15,0))</f>
        <v>1329.67</v>
      </c>
      <c r="X278" s="6">
        <f>IF(ISERROR(VLOOKUP($U$278,'TAR FIN'!$A$1:$O$86,15,0)),0,VLOOKUP($U$278,'TAR FIN'!$A$1:$O$86,15,0))</f>
        <v>0</v>
      </c>
      <c r="Y278" s="6"/>
      <c r="Z278" s="6">
        <f ca="1">('TUSD BE'!$AM$12+'TUSD BF_350'!$AM$12+'TUSD CVA'!$AM$12)*1</f>
        <v>1074.3612836602365</v>
      </c>
      <c r="AA278" s="6"/>
      <c r="AB278" s="6">
        <f>$K$278*$V$278</f>
        <v>0</v>
      </c>
      <c r="AC278" s="6">
        <f>$M$278*$W$278</f>
        <v>135500.88802890602</v>
      </c>
      <c r="AD278" s="6">
        <f>$O$278*$X$278</f>
        <v>0</v>
      </c>
      <c r="AE278" s="6">
        <f>$K$278*$Y$278</f>
        <v>0</v>
      </c>
      <c r="AF278" s="6">
        <f ca="1">$M$278*$Z$278</f>
        <v>109483.48688008109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38</v>
      </c>
      <c r="C279" s="4" t="s">
        <v>40</v>
      </c>
      <c r="D279" s="4" t="s">
        <v>37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44378</v>
      </c>
      <c r="J279" s="6">
        <v>0</v>
      </c>
      <c r="K279" s="6">
        <v>0</v>
      </c>
      <c r="L279" s="6">
        <v>699.19799999999998</v>
      </c>
      <c r="M279" s="6">
        <v>699.19799999999998</v>
      </c>
      <c r="N279" s="6">
        <v>699.19799999999998</v>
      </c>
      <c r="O279" s="6">
        <v>699.19799999999998</v>
      </c>
      <c r="P279" s="6">
        <v>0</v>
      </c>
      <c r="Q279" s="4" t="s">
        <v>26</v>
      </c>
      <c r="R279" s="4">
        <v>0</v>
      </c>
      <c r="S279" s="6">
        <v>0</v>
      </c>
      <c r="T279" s="6">
        <v>14</v>
      </c>
      <c r="U279" s="6">
        <v>42</v>
      </c>
      <c r="V279" s="6">
        <f>IF(ISERROR(VLOOKUP($S$279,'TAR FIN'!$A$1:$O$86,15,0)),0,VLOOKUP($S$279,'TAR FIN'!$A$1:$O$86,15,0))</f>
        <v>0</v>
      </c>
      <c r="W279" s="6">
        <f>IF(ISERROR(VLOOKUP($T$279,'TAR FIN'!$A$1:$O$86,15,0)),0,VLOOKUP($T$279,'TAR FIN'!$A$1:$O$86,15,0))</f>
        <v>78.680000000000007</v>
      </c>
      <c r="X279" s="6">
        <f>IF(ISERROR(VLOOKUP($U$279,'TAR FIN'!$A$1:$O$86,15,0)),0,VLOOKUP($U$279,'TAR FIN'!$A$1:$O$86,15,0))</f>
        <v>246.3</v>
      </c>
      <c r="Y279" s="6"/>
      <c r="Z279" s="6">
        <f ca="1">('TUSD BE'!$AM$13+'TUSD BF_350'!$AM$13+'TUSD CVA'!$AM$13)*1</f>
        <v>100.23755694003805</v>
      </c>
      <c r="AA279" s="6">
        <f ca="1">('TE BE'!$AB$6+'TE BF_350'!$AB$6+'TE CVA'!$AB$6)*1</f>
        <v>219.40364509824883</v>
      </c>
      <c r="AB279" s="6">
        <f>$K$279*$V$279</f>
        <v>0</v>
      </c>
      <c r="AC279" s="6">
        <f>$M$279*$W$279</f>
        <v>55012.898640000007</v>
      </c>
      <c r="AD279" s="6">
        <f>$O$279*$X$279</f>
        <v>172212.46739999999</v>
      </c>
      <c r="AE279" s="6">
        <f>$K$279*$Y$279</f>
        <v>0</v>
      </c>
      <c r="AF279" s="6">
        <f ca="1">$M$279*$Z$279</f>
        <v>70085.899337360723</v>
      </c>
      <c r="AG279" s="6">
        <f ca="1">$O$279*$AA$279</f>
        <v>153406.58984540537</v>
      </c>
    </row>
    <row r="280" spans="1:33" ht="11.25" customHeight="1" x14ac:dyDescent="0.25">
      <c r="A280" s="4" t="s">
        <v>21</v>
      </c>
      <c r="B280" s="4" t="s">
        <v>38</v>
      </c>
      <c r="C280" s="4" t="s">
        <v>40</v>
      </c>
      <c r="D280" s="4" t="s">
        <v>37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44409</v>
      </c>
      <c r="J280" s="6">
        <v>0</v>
      </c>
      <c r="K280" s="6">
        <v>0</v>
      </c>
      <c r="L280" s="6">
        <v>700.65599999999995</v>
      </c>
      <c r="M280" s="6">
        <v>700.65599999999995</v>
      </c>
      <c r="N280" s="6">
        <v>700.65599999999995</v>
      </c>
      <c r="O280" s="6">
        <v>700.65599999999995</v>
      </c>
      <c r="P280" s="6">
        <v>0</v>
      </c>
      <c r="Q280" s="4" t="s">
        <v>26</v>
      </c>
      <c r="R280" s="4">
        <v>0</v>
      </c>
      <c r="S280" s="6">
        <v>0</v>
      </c>
      <c r="T280" s="6">
        <v>14</v>
      </c>
      <c r="U280" s="6">
        <v>42</v>
      </c>
      <c r="V280" s="6">
        <f>IF(ISERROR(VLOOKUP($S$280,'TAR FIN'!$A$1:$O$86,15,0)),0,VLOOKUP($S$280,'TAR FIN'!$A$1:$O$86,15,0))</f>
        <v>0</v>
      </c>
      <c r="W280" s="6">
        <f>IF(ISERROR(VLOOKUP($T$280,'TAR FIN'!$A$1:$O$86,15,0)),0,VLOOKUP($T$280,'TAR FIN'!$A$1:$O$86,15,0))</f>
        <v>78.680000000000007</v>
      </c>
      <c r="X280" s="6">
        <f>IF(ISERROR(VLOOKUP($U$280,'TAR FIN'!$A$1:$O$86,15,0)),0,VLOOKUP($U$280,'TAR FIN'!$A$1:$O$86,15,0))</f>
        <v>246.3</v>
      </c>
      <c r="Y280" s="6"/>
      <c r="Z280" s="6">
        <f ca="1">('TUSD BE'!$AM$13+'TUSD BF_350'!$AM$13+'TUSD CVA'!$AM$13)*1</f>
        <v>100.23755694003805</v>
      </c>
      <c r="AA280" s="6">
        <f ca="1">('TE BE'!$AB$6+'TE BF_350'!$AB$6+'TE CVA'!$AB$6)*1</f>
        <v>219.40364509824883</v>
      </c>
      <c r="AB280" s="6">
        <f>$K$280*$V$280</f>
        <v>0</v>
      </c>
      <c r="AC280" s="6">
        <f>$M$280*$W$280</f>
        <v>55127.614079999999</v>
      </c>
      <c r="AD280" s="6">
        <f>$O$280*$X$280</f>
        <v>172571.57279999999</v>
      </c>
      <c r="AE280" s="6">
        <f>$K$280*$Y$280</f>
        <v>0</v>
      </c>
      <c r="AF280" s="6">
        <f ca="1">$M$280*$Z$280</f>
        <v>70232.045695379289</v>
      </c>
      <c r="AG280" s="6">
        <f ca="1">$O$280*$AA$280</f>
        <v>153726.48035995863</v>
      </c>
    </row>
    <row r="281" spans="1:33" ht="11.25" customHeight="1" x14ac:dyDescent="0.25">
      <c r="A281" s="4" t="s">
        <v>55</v>
      </c>
      <c r="B281" s="4" t="s">
        <v>38</v>
      </c>
      <c r="C281" s="4" t="s">
        <v>40</v>
      </c>
      <c r="D281" s="4" t="s">
        <v>37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44409</v>
      </c>
      <c r="J281" s="6">
        <v>0</v>
      </c>
      <c r="K281" s="6">
        <v>0</v>
      </c>
      <c r="L281" s="6">
        <v>200.49</v>
      </c>
      <c r="M281" s="6">
        <v>200.49</v>
      </c>
      <c r="N281" s="6">
        <v>200.49</v>
      </c>
      <c r="O281" s="6">
        <v>200.49</v>
      </c>
      <c r="P281" s="6">
        <v>0</v>
      </c>
      <c r="Q281" s="4" t="s">
        <v>26</v>
      </c>
      <c r="R281" s="4">
        <v>0</v>
      </c>
      <c r="S281" s="6">
        <v>0</v>
      </c>
      <c r="T281" s="6">
        <v>14</v>
      </c>
      <c r="U281" s="6">
        <v>42</v>
      </c>
      <c r="V281" s="6">
        <f>IF(ISERROR(VLOOKUP($S$281,'TAR FIN'!$A$1:$O$86,15,0)),0,VLOOKUP($S$281,'TAR FIN'!$A$1:$O$86,15,0))</f>
        <v>0</v>
      </c>
      <c r="W281" s="6">
        <f>IF(ISERROR(VLOOKUP($T$281,'TAR FIN'!$A$1:$O$86,15,0)),0,VLOOKUP($T$281,'TAR FIN'!$A$1:$O$86,15,0))</f>
        <v>78.680000000000007</v>
      </c>
      <c r="X281" s="6">
        <f>IF(ISERROR(VLOOKUP($U$281,'TAR FIN'!$A$1:$O$86,15,0)),0,VLOOKUP($U$281,'TAR FIN'!$A$1:$O$86,15,0))</f>
        <v>246.3</v>
      </c>
      <c r="Y281" s="6"/>
      <c r="Z281" s="6">
        <f ca="1">('TUSD BE'!$AM$13+'TUSD BF_350'!$AM$13+'TUSD CVA'!$AM$13)*1</f>
        <v>100.23755694003805</v>
      </c>
      <c r="AA281" s="6">
        <f ca="1">('TE BE'!$AB$6+'TE BF_350'!$AB$6+'TE CVA'!$AB$6)*1</f>
        <v>219.40364509824883</v>
      </c>
      <c r="AB281" s="6">
        <f>$K$281*$V$281</f>
        <v>0</v>
      </c>
      <c r="AC281" s="6">
        <f>$M$281*$W$281</f>
        <v>15774.553200000002</v>
      </c>
      <c r="AD281" s="6">
        <f>$O$281*$X$281</f>
        <v>49380.687000000005</v>
      </c>
      <c r="AE281" s="6">
        <f>$K$281*$Y$281</f>
        <v>0</v>
      </c>
      <c r="AF281" s="6">
        <f ca="1">$M$281*$Z$281</f>
        <v>20096.627790908227</v>
      </c>
      <c r="AG281" s="6">
        <f ca="1">$O$281*$AA$281</f>
        <v>43988.236805747911</v>
      </c>
    </row>
    <row r="282" spans="1:33" ht="11.25" customHeight="1" x14ac:dyDescent="0.25">
      <c r="A282" s="4" t="s">
        <v>21</v>
      </c>
      <c r="B282" s="4" t="s">
        <v>38</v>
      </c>
      <c r="C282" s="4" t="s">
        <v>40</v>
      </c>
      <c r="D282" s="4" t="s">
        <v>37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44440</v>
      </c>
      <c r="J282" s="6">
        <v>0</v>
      </c>
      <c r="K282" s="6">
        <v>0</v>
      </c>
      <c r="L282" s="6">
        <v>685.65599999999995</v>
      </c>
      <c r="M282" s="6">
        <v>685.65599999999995</v>
      </c>
      <c r="N282" s="6">
        <v>685.65599999999995</v>
      </c>
      <c r="O282" s="6">
        <v>685.65599999999995</v>
      </c>
      <c r="P282" s="6">
        <v>0</v>
      </c>
      <c r="Q282" s="4" t="s">
        <v>26</v>
      </c>
      <c r="R282" s="4">
        <v>0</v>
      </c>
      <c r="S282" s="6">
        <v>0</v>
      </c>
      <c r="T282" s="6">
        <v>14</v>
      </c>
      <c r="U282" s="6">
        <v>42</v>
      </c>
      <c r="V282" s="6">
        <f>IF(ISERROR(VLOOKUP($S$282,'TAR FIN'!$A$1:$O$86,15,0)),0,VLOOKUP($S$282,'TAR FIN'!$A$1:$O$86,15,0))</f>
        <v>0</v>
      </c>
      <c r="W282" s="6">
        <f>IF(ISERROR(VLOOKUP($T$282,'TAR FIN'!$A$1:$O$86,15,0)),0,VLOOKUP($T$282,'TAR FIN'!$A$1:$O$86,15,0))</f>
        <v>78.680000000000007</v>
      </c>
      <c r="X282" s="6">
        <f>IF(ISERROR(VLOOKUP($U$282,'TAR FIN'!$A$1:$O$86,15,0)),0,VLOOKUP($U$282,'TAR FIN'!$A$1:$O$86,15,0))</f>
        <v>246.3</v>
      </c>
      <c r="Y282" s="6"/>
      <c r="Z282" s="6">
        <f ca="1">('TUSD BE'!$AM$13+'TUSD BF_350'!$AM$13+'TUSD CVA'!$AM$13)*1</f>
        <v>100.23755694003805</v>
      </c>
      <c r="AA282" s="6">
        <f ca="1">('TE BE'!$AB$6+'TE BF_350'!$AB$6+'TE CVA'!$AB$6)*1</f>
        <v>219.40364509824883</v>
      </c>
      <c r="AB282" s="6">
        <f>$K$282*$V$282</f>
        <v>0</v>
      </c>
      <c r="AC282" s="6">
        <f>$M$282*$W$282</f>
        <v>53947.414080000002</v>
      </c>
      <c r="AD282" s="6">
        <f>$O$282*$X$282</f>
        <v>168877.07279999999</v>
      </c>
      <c r="AE282" s="6">
        <f>$K$282*$Y$282</f>
        <v>0</v>
      </c>
      <c r="AF282" s="6">
        <f ca="1">$M$282*$Z$282</f>
        <v>68728.482341278723</v>
      </c>
      <c r="AG282" s="6">
        <f ca="1">$O$282*$AA$282</f>
        <v>150435.42568348488</v>
      </c>
    </row>
    <row r="283" spans="1:33" ht="11.25" customHeight="1" x14ac:dyDescent="0.25">
      <c r="A283" s="4" t="s">
        <v>55</v>
      </c>
      <c r="B283" s="4" t="s">
        <v>38</v>
      </c>
      <c r="C283" s="4" t="s">
        <v>40</v>
      </c>
      <c r="D283" s="4" t="s">
        <v>37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44440</v>
      </c>
      <c r="J283" s="6">
        <v>0</v>
      </c>
      <c r="K283" s="6">
        <v>0</v>
      </c>
      <c r="L283" s="6">
        <v>190.34100000000001</v>
      </c>
      <c r="M283" s="6">
        <v>190.34100000000001</v>
      </c>
      <c r="N283" s="6">
        <v>190.34100000000001</v>
      </c>
      <c r="O283" s="6">
        <v>190.34100000000001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14</v>
      </c>
      <c r="U283" s="6">
        <v>42</v>
      </c>
      <c r="V283" s="6">
        <f>IF(ISERROR(VLOOKUP($S$283,'TAR FIN'!$A$1:$O$86,15,0)),0,VLOOKUP($S$283,'TAR FIN'!$A$1:$O$86,15,0))</f>
        <v>0</v>
      </c>
      <c r="W283" s="6">
        <f>IF(ISERROR(VLOOKUP($T$283,'TAR FIN'!$A$1:$O$86,15,0)),0,VLOOKUP($T$283,'TAR FIN'!$A$1:$O$86,15,0))</f>
        <v>78.680000000000007</v>
      </c>
      <c r="X283" s="6">
        <f>IF(ISERROR(VLOOKUP($U$283,'TAR FIN'!$A$1:$O$86,15,0)),0,VLOOKUP($U$283,'TAR FIN'!$A$1:$O$86,15,0))</f>
        <v>246.3</v>
      </c>
      <c r="Y283" s="6"/>
      <c r="Z283" s="6">
        <f ca="1">('TUSD BE'!$AM$13+'TUSD BF_350'!$AM$13+'TUSD CVA'!$AM$13)*1</f>
        <v>100.23755694003805</v>
      </c>
      <c r="AA283" s="6">
        <f ca="1">('TE BE'!$AB$6+'TE BF_350'!$AB$6+'TE CVA'!$AB$6)*1</f>
        <v>219.40364509824883</v>
      </c>
      <c r="AB283" s="6">
        <f>$K$283*$V$283</f>
        <v>0</v>
      </c>
      <c r="AC283" s="6">
        <f>$M$283*$W$283</f>
        <v>14976.029880000002</v>
      </c>
      <c r="AD283" s="6">
        <f>$O$283*$X$283</f>
        <v>46880.988300000005</v>
      </c>
      <c r="AE283" s="6">
        <f>$K$283*$Y$283</f>
        <v>0</v>
      </c>
      <c r="AF283" s="6">
        <f ca="1">$M$283*$Z$283</f>
        <v>19079.316825523783</v>
      </c>
      <c r="AG283" s="6">
        <f ca="1">$O$283*$AA$283</f>
        <v>41761.509211645782</v>
      </c>
    </row>
    <row r="284" spans="1:33" ht="11.25" customHeight="1" x14ac:dyDescent="0.25">
      <c r="A284" s="4" t="s">
        <v>21</v>
      </c>
      <c r="B284" s="4" t="s">
        <v>38</v>
      </c>
      <c r="C284" s="4" t="s">
        <v>40</v>
      </c>
      <c r="D284" s="4" t="s">
        <v>37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44470</v>
      </c>
      <c r="J284" s="6">
        <v>0</v>
      </c>
      <c r="K284" s="6">
        <v>0</v>
      </c>
      <c r="L284" s="6">
        <v>630.46100000000001</v>
      </c>
      <c r="M284" s="6">
        <v>630.46100000000001</v>
      </c>
      <c r="N284" s="6">
        <v>630.46100000000001</v>
      </c>
      <c r="O284" s="6">
        <v>630.46100000000001</v>
      </c>
      <c r="P284" s="6">
        <v>0</v>
      </c>
      <c r="Q284" s="4" t="s">
        <v>26</v>
      </c>
      <c r="R284" s="4">
        <v>0</v>
      </c>
      <c r="S284" s="6">
        <v>0</v>
      </c>
      <c r="T284" s="6">
        <v>14</v>
      </c>
      <c r="U284" s="6">
        <v>42</v>
      </c>
      <c r="V284" s="6">
        <f>IF(ISERROR(VLOOKUP($S$284,'TAR FIN'!$A$1:$O$86,15,0)),0,VLOOKUP($S$284,'TAR FIN'!$A$1:$O$86,15,0))</f>
        <v>0</v>
      </c>
      <c r="W284" s="6">
        <f>IF(ISERROR(VLOOKUP($T$284,'TAR FIN'!$A$1:$O$86,15,0)),0,VLOOKUP($T$284,'TAR FIN'!$A$1:$O$86,15,0))</f>
        <v>78.680000000000007</v>
      </c>
      <c r="X284" s="6">
        <f>IF(ISERROR(VLOOKUP($U$284,'TAR FIN'!$A$1:$O$86,15,0)),0,VLOOKUP($U$284,'TAR FIN'!$A$1:$O$86,15,0))</f>
        <v>246.3</v>
      </c>
      <c r="Y284" s="6"/>
      <c r="Z284" s="6">
        <f ca="1">('TUSD BE'!$AM$13+'TUSD BF_350'!$AM$13+'TUSD CVA'!$AM$13)*1</f>
        <v>100.23755694003805</v>
      </c>
      <c r="AA284" s="6">
        <f ca="1">('TE BE'!$AB$6+'TE BF_350'!$AB$6+'TE CVA'!$AB$6)*1</f>
        <v>219.40364509824883</v>
      </c>
      <c r="AB284" s="6">
        <f>$K$284*$V$284</f>
        <v>0</v>
      </c>
      <c r="AC284" s="6">
        <f>$M$284*$W$284</f>
        <v>49604.671480000005</v>
      </c>
      <c r="AD284" s="6">
        <f>$O$284*$X$284</f>
        <v>155282.54430000001</v>
      </c>
      <c r="AE284" s="6">
        <f>$K$284*$Y$284</f>
        <v>0</v>
      </c>
      <c r="AF284" s="6">
        <f ca="1">$M$284*$Z$284</f>
        <v>63195.870385973329</v>
      </c>
      <c r="AG284" s="6">
        <f ca="1">$O$284*$AA$284</f>
        <v>138325.44149228706</v>
      </c>
    </row>
    <row r="285" spans="1:33" ht="11.25" customHeight="1" x14ac:dyDescent="0.25">
      <c r="A285" s="4" t="s">
        <v>55</v>
      </c>
      <c r="B285" s="4" t="s">
        <v>38</v>
      </c>
      <c r="C285" s="4" t="s">
        <v>40</v>
      </c>
      <c r="D285" s="4" t="s">
        <v>37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44470</v>
      </c>
      <c r="J285" s="6">
        <v>0</v>
      </c>
      <c r="K285" s="6">
        <v>0</v>
      </c>
      <c r="L285" s="6">
        <v>195.92599999999999</v>
      </c>
      <c r="M285" s="6">
        <v>195.92599999999999</v>
      </c>
      <c r="N285" s="6">
        <v>195.92599999999999</v>
      </c>
      <c r="O285" s="6">
        <v>195.92599999999999</v>
      </c>
      <c r="P285" s="6">
        <v>0</v>
      </c>
      <c r="Q285" s="4" t="s">
        <v>26</v>
      </c>
      <c r="R285" s="4">
        <v>0</v>
      </c>
      <c r="S285" s="6">
        <v>0</v>
      </c>
      <c r="T285" s="6">
        <v>14</v>
      </c>
      <c r="U285" s="6">
        <v>42</v>
      </c>
      <c r="V285" s="6">
        <f>IF(ISERROR(VLOOKUP($S$285,'TAR FIN'!$A$1:$O$86,15,0)),0,VLOOKUP($S$285,'TAR FIN'!$A$1:$O$86,15,0))</f>
        <v>0</v>
      </c>
      <c r="W285" s="6">
        <f>IF(ISERROR(VLOOKUP($T$285,'TAR FIN'!$A$1:$O$86,15,0)),0,VLOOKUP($T$285,'TAR FIN'!$A$1:$O$86,15,0))</f>
        <v>78.680000000000007</v>
      </c>
      <c r="X285" s="6">
        <f>IF(ISERROR(VLOOKUP($U$285,'TAR FIN'!$A$1:$O$86,15,0)),0,VLOOKUP($U$285,'TAR FIN'!$A$1:$O$86,15,0))</f>
        <v>246.3</v>
      </c>
      <c r="Y285" s="6"/>
      <c r="Z285" s="6">
        <f ca="1">('TUSD BE'!$AM$13+'TUSD BF_350'!$AM$13+'TUSD CVA'!$AM$13)*1</f>
        <v>100.23755694003805</v>
      </c>
      <c r="AA285" s="6">
        <f ca="1">('TE BE'!$AB$6+'TE BF_350'!$AB$6+'TE CVA'!$AB$6)*1</f>
        <v>219.40364509824883</v>
      </c>
      <c r="AB285" s="6">
        <f>$K$285*$V$285</f>
        <v>0</v>
      </c>
      <c r="AC285" s="6">
        <f>$M$285*$W$285</f>
        <v>15415.45768</v>
      </c>
      <c r="AD285" s="6">
        <f>$O$285*$X$285</f>
        <v>48256.573799999998</v>
      </c>
      <c r="AE285" s="6">
        <f>$K$285*$Y$285</f>
        <v>0</v>
      </c>
      <c r="AF285" s="6">
        <f ca="1">$M$285*$Z$285</f>
        <v>19639.143581033892</v>
      </c>
      <c r="AG285" s="6">
        <f ca="1">$O$285*$AA$285</f>
        <v>42986.878569519497</v>
      </c>
    </row>
    <row r="286" spans="1:33" ht="11.25" customHeight="1" x14ac:dyDescent="0.25">
      <c r="A286" s="4" t="s">
        <v>21</v>
      </c>
      <c r="B286" s="4" t="s">
        <v>38</v>
      </c>
      <c r="C286" s="4" t="s">
        <v>40</v>
      </c>
      <c r="D286" s="4" t="s">
        <v>37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44501</v>
      </c>
      <c r="J286" s="6">
        <v>0</v>
      </c>
      <c r="K286" s="6">
        <v>0</v>
      </c>
      <c r="L286" s="6">
        <v>647.51300000000003</v>
      </c>
      <c r="M286" s="6">
        <v>647.51300000000003</v>
      </c>
      <c r="N286" s="6">
        <v>647.51300000000003</v>
      </c>
      <c r="O286" s="6">
        <v>647.51300000000003</v>
      </c>
      <c r="P286" s="6">
        <v>0</v>
      </c>
      <c r="Q286" s="4" t="s">
        <v>26</v>
      </c>
      <c r="R286" s="4">
        <v>0</v>
      </c>
      <c r="S286" s="6">
        <v>0</v>
      </c>
      <c r="T286" s="6">
        <v>14</v>
      </c>
      <c r="U286" s="6">
        <v>42</v>
      </c>
      <c r="V286" s="6">
        <f>IF(ISERROR(VLOOKUP($S$286,'TAR FIN'!$A$1:$O$86,15,0)),0,VLOOKUP($S$286,'TAR FIN'!$A$1:$O$86,15,0))</f>
        <v>0</v>
      </c>
      <c r="W286" s="6">
        <f>IF(ISERROR(VLOOKUP($T$286,'TAR FIN'!$A$1:$O$86,15,0)),0,VLOOKUP($T$286,'TAR FIN'!$A$1:$O$86,15,0))</f>
        <v>78.680000000000007</v>
      </c>
      <c r="X286" s="6">
        <f>IF(ISERROR(VLOOKUP($U$286,'TAR FIN'!$A$1:$O$86,15,0)),0,VLOOKUP($U$286,'TAR FIN'!$A$1:$O$86,15,0))</f>
        <v>246.3</v>
      </c>
      <c r="Y286" s="6"/>
      <c r="Z286" s="6">
        <f ca="1">('TUSD BE'!$AM$13+'TUSD BF_350'!$AM$13+'TUSD CVA'!$AM$13)*1</f>
        <v>100.23755694003805</v>
      </c>
      <c r="AA286" s="6">
        <f ca="1">('TE BE'!$AB$6+'TE BF_350'!$AB$6+'TE CVA'!$AB$6)*1</f>
        <v>219.40364509824883</v>
      </c>
      <c r="AB286" s="6">
        <f>$K$286*$V$286</f>
        <v>0</v>
      </c>
      <c r="AC286" s="6">
        <f>$M$286*$W$286</f>
        <v>50946.322840000008</v>
      </c>
      <c r="AD286" s="6">
        <f>$O$286*$X$286</f>
        <v>159482.45190000001</v>
      </c>
      <c r="AE286" s="6">
        <f>$K$286*$Y$286</f>
        <v>0</v>
      </c>
      <c r="AF286" s="6">
        <f ca="1">$M$286*$Z$286</f>
        <v>64905.121206914861</v>
      </c>
      <c r="AG286" s="6">
        <f ca="1">$O$286*$AA$286</f>
        <v>142066.7124485024</v>
      </c>
    </row>
    <row r="287" spans="1:33" ht="11.25" customHeight="1" x14ac:dyDescent="0.25">
      <c r="A287" s="4" t="s">
        <v>55</v>
      </c>
      <c r="B287" s="4" t="s">
        <v>38</v>
      </c>
      <c r="C287" s="4" t="s">
        <v>40</v>
      </c>
      <c r="D287" s="4" t="s">
        <v>37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44501</v>
      </c>
      <c r="J287" s="6">
        <v>0</v>
      </c>
      <c r="K287" s="6">
        <v>0</v>
      </c>
      <c r="L287" s="6">
        <v>193.21299999999999</v>
      </c>
      <c r="M287" s="6">
        <v>193.21299999999999</v>
      </c>
      <c r="N287" s="6">
        <v>193.21299999999999</v>
      </c>
      <c r="O287" s="6">
        <v>193.21299999999999</v>
      </c>
      <c r="P287" s="6">
        <v>0</v>
      </c>
      <c r="Q287" s="4" t="s">
        <v>26</v>
      </c>
      <c r="R287" s="4">
        <v>0</v>
      </c>
      <c r="S287" s="6">
        <v>0</v>
      </c>
      <c r="T287" s="6">
        <v>14</v>
      </c>
      <c r="U287" s="6">
        <v>42</v>
      </c>
      <c r="V287" s="6">
        <f>IF(ISERROR(VLOOKUP($S$287,'TAR FIN'!$A$1:$O$86,15,0)),0,VLOOKUP($S$287,'TAR FIN'!$A$1:$O$86,15,0))</f>
        <v>0</v>
      </c>
      <c r="W287" s="6">
        <f>IF(ISERROR(VLOOKUP($T$287,'TAR FIN'!$A$1:$O$86,15,0)),0,VLOOKUP($T$287,'TAR FIN'!$A$1:$O$86,15,0))</f>
        <v>78.680000000000007</v>
      </c>
      <c r="X287" s="6">
        <f>IF(ISERROR(VLOOKUP($U$287,'TAR FIN'!$A$1:$O$86,15,0)),0,VLOOKUP($U$287,'TAR FIN'!$A$1:$O$86,15,0))</f>
        <v>246.3</v>
      </c>
      <c r="Y287" s="6"/>
      <c r="Z287" s="6">
        <f ca="1">('TUSD BE'!$AM$13+'TUSD BF_350'!$AM$13+'TUSD CVA'!$AM$13)*1</f>
        <v>100.23755694003805</v>
      </c>
      <c r="AA287" s="6">
        <f ca="1">('TE BE'!$AB$6+'TE BF_350'!$AB$6+'TE CVA'!$AB$6)*1</f>
        <v>219.40364509824883</v>
      </c>
      <c r="AB287" s="6">
        <f>$K$287*$V$287</f>
        <v>0</v>
      </c>
      <c r="AC287" s="6">
        <f>$M$287*$W$287</f>
        <v>15201.99884</v>
      </c>
      <c r="AD287" s="6">
        <f>$O$287*$X$287</f>
        <v>47588.361900000004</v>
      </c>
      <c r="AE287" s="6">
        <f>$K$287*$Y$287</f>
        <v>0</v>
      </c>
      <c r="AF287" s="6">
        <f ca="1">$M$287*$Z$287</f>
        <v>19367.199089055572</v>
      </c>
      <c r="AG287" s="6">
        <f ca="1">$O$287*$AA$287</f>
        <v>42391.636480367953</v>
      </c>
    </row>
    <row r="288" spans="1:33" ht="11.25" customHeight="1" x14ac:dyDescent="0.25">
      <c r="A288" s="4" t="s">
        <v>21</v>
      </c>
      <c r="B288" s="4" t="s">
        <v>38</v>
      </c>
      <c r="C288" s="4" t="s">
        <v>40</v>
      </c>
      <c r="D288" s="4" t="s">
        <v>37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44531</v>
      </c>
      <c r="J288" s="6">
        <v>0</v>
      </c>
      <c r="K288" s="6">
        <v>0</v>
      </c>
      <c r="L288" s="6">
        <v>554.40800000000002</v>
      </c>
      <c r="M288" s="6">
        <v>554.40800000000002</v>
      </c>
      <c r="N288" s="6">
        <v>554.40800000000002</v>
      </c>
      <c r="O288" s="6">
        <v>554.40800000000002</v>
      </c>
      <c r="P288" s="6">
        <v>0</v>
      </c>
      <c r="Q288" s="4" t="s">
        <v>26</v>
      </c>
      <c r="R288" s="4">
        <v>0</v>
      </c>
      <c r="S288" s="6">
        <v>0</v>
      </c>
      <c r="T288" s="6">
        <v>14</v>
      </c>
      <c r="U288" s="6">
        <v>42</v>
      </c>
      <c r="V288" s="6">
        <f>IF(ISERROR(VLOOKUP($S$288,'TAR FIN'!$A$1:$O$86,15,0)),0,VLOOKUP($S$288,'TAR FIN'!$A$1:$O$86,15,0))</f>
        <v>0</v>
      </c>
      <c r="W288" s="6">
        <f>IF(ISERROR(VLOOKUP($T$288,'TAR FIN'!$A$1:$O$86,15,0)),0,VLOOKUP($T$288,'TAR FIN'!$A$1:$O$86,15,0))</f>
        <v>78.680000000000007</v>
      </c>
      <c r="X288" s="6">
        <f>IF(ISERROR(VLOOKUP($U$288,'TAR FIN'!$A$1:$O$86,15,0)),0,VLOOKUP($U$288,'TAR FIN'!$A$1:$O$86,15,0))</f>
        <v>246.3</v>
      </c>
      <c r="Y288" s="6"/>
      <c r="Z288" s="6">
        <f ca="1">('TUSD BE'!$AM$13+'TUSD BF_350'!$AM$13+'TUSD CVA'!$AM$13)*1</f>
        <v>100.23755694003805</v>
      </c>
      <c r="AA288" s="6">
        <f ca="1">('TE BE'!$AB$6+'TE BF_350'!$AB$6+'TE CVA'!$AB$6)*1</f>
        <v>219.40364509824883</v>
      </c>
      <c r="AB288" s="6">
        <f>$K$288*$V$288</f>
        <v>0</v>
      </c>
      <c r="AC288" s="6">
        <f>$M$288*$W$288</f>
        <v>43620.821440000007</v>
      </c>
      <c r="AD288" s="6">
        <f>$O$288*$X$288</f>
        <v>136550.69040000002</v>
      </c>
      <c r="AE288" s="6">
        <f>$K$288*$Y$288</f>
        <v>0</v>
      </c>
      <c r="AF288" s="6">
        <f ca="1">$M$288*$Z$288</f>
        <v>55572.503468012612</v>
      </c>
      <c r="AG288" s="6">
        <f ca="1">$O$288*$AA$288</f>
        <v>121639.13607162994</v>
      </c>
    </row>
    <row r="289" spans="1:33" ht="11.25" customHeight="1" x14ac:dyDescent="0.25">
      <c r="A289" s="4" t="s">
        <v>55</v>
      </c>
      <c r="B289" s="4" t="s">
        <v>38</v>
      </c>
      <c r="C289" s="4" t="s">
        <v>40</v>
      </c>
      <c r="D289" s="4" t="s">
        <v>37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44531</v>
      </c>
      <c r="J289" s="6">
        <v>0</v>
      </c>
      <c r="K289" s="6">
        <v>0</v>
      </c>
      <c r="L289" s="6">
        <v>188.411</v>
      </c>
      <c r="M289" s="6">
        <v>188.411</v>
      </c>
      <c r="N289" s="6">
        <v>188.411</v>
      </c>
      <c r="O289" s="6">
        <v>188.411</v>
      </c>
      <c r="P289" s="6">
        <v>0</v>
      </c>
      <c r="Q289" s="4" t="s">
        <v>26</v>
      </c>
      <c r="R289" s="4">
        <v>0</v>
      </c>
      <c r="S289" s="6">
        <v>0</v>
      </c>
      <c r="T289" s="6">
        <v>14</v>
      </c>
      <c r="U289" s="6">
        <v>42</v>
      </c>
      <c r="V289" s="6">
        <f>IF(ISERROR(VLOOKUP($S$289,'TAR FIN'!$A$1:$O$86,15,0)),0,VLOOKUP($S$289,'TAR FIN'!$A$1:$O$86,15,0))</f>
        <v>0</v>
      </c>
      <c r="W289" s="6">
        <f>IF(ISERROR(VLOOKUP($T$289,'TAR FIN'!$A$1:$O$86,15,0)),0,VLOOKUP($T$289,'TAR FIN'!$A$1:$O$86,15,0))</f>
        <v>78.680000000000007</v>
      </c>
      <c r="X289" s="6">
        <f>IF(ISERROR(VLOOKUP($U$289,'TAR FIN'!$A$1:$O$86,15,0)),0,VLOOKUP($U$289,'TAR FIN'!$A$1:$O$86,15,0))</f>
        <v>246.3</v>
      </c>
      <c r="Y289" s="6"/>
      <c r="Z289" s="6">
        <f ca="1">('TUSD BE'!$AM$13+'TUSD BF_350'!$AM$13+'TUSD CVA'!$AM$13)*1</f>
        <v>100.23755694003805</v>
      </c>
      <c r="AA289" s="6">
        <f ca="1">('TE BE'!$AB$6+'TE BF_350'!$AB$6+'TE CVA'!$AB$6)*1</f>
        <v>219.40364509824883</v>
      </c>
      <c r="AB289" s="6">
        <f>$K$289*$V$289</f>
        <v>0</v>
      </c>
      <c r="AC289" s="6">
        <f>$M$289*$W$289</f>
        <v>14824.177480000002</v>
      </c>
      <c r="AD289" s="6">
        <f>$O$289*$X$289</f>
        <v>46405.629300000001</v>
      </c>
      <c r="AE289" s="6">
        <f>$K$289*$Y$289</f>
        <v>0</v>
      </c>
      <c r="AF289" s="6">
        <f ca="1">$M$289*$Z$289</f>
        <v>18885.858340629507</v>
      </c>
      <c r="AG289" s="6">
        <f ca="1">$O$289*$AA$289</f>
        <v>41338.060176606159</v>
      </c>
    </row>
    <row r="290" spans="1:33" ht="11.25" customHeight="1" x14ac:dyDescent="0.25">
      <c r="A290" s="4" t="s">
        <v>21</v>
      </c>
      <c r="B290" s="4" t="s">
        <v>38</v>
      </c>
      <c r="C290" s="4" t="s">
        <v>40</v>
      </c>
      <c r="D290" s="4" t="s">
        <v>37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44562</v>
      </c>
      <c r="J290" s="6">
        <v>0</v>
      </c>
      <c r="K290" s="6">
        <v>0</v>
      </c>
      <c r="L290" s="6">
        <v>589.08799999999997</v>
      </c>
      <c r="M290" s="6">
        <v>589.08799999999997</v>
      </c>
      <c r="N290" s="6">
        <v>589.08799999999997</v>
      </c>
      <c r="O290" s="6">
        <v>589.08799999999997</v>
      </c>
      <c r="P290" s="6">
        <v>0</v>
      </c>
      <c r="Q290" s="4" t="s">
        <v>26</v>
      </c>
      <c r="R290" s="4">
        <v>0</v>
      </c>
      <c r="S290" s="6">
        <v>0</v>
      </c>
      <c r="T290" s="6">
        <v>14</v>
      </c>
      <c r="U290" s="6">
        <v>42</v>
      </c>
      <c r="V290" s="6">
        <f>IF(ISERROR(VLOOKUP($S$290,'TAR FIN'!$A$1:$O$86,15,0)),0,VLOOKUP($S$290,'TAR FIN'!$A$1:$O$86,15,0))</f>
        <v>0</v>
      </c>
      <c r="W290" s="6">
        <f>IF(ISERROR(VLOOKUP($T$290,'TAR FIN'!$A$1:$O$86,15,0)),0,VLOOKUP($T$290,'TAR FIN'!$A$1:$O$86,15,0))</f>
        <v>78.680000000000007</v>
      </c>
      <c r="X290" s="6">
        <f>IF(ISERROR(VLOOKUP($U$290,'TAR FIN'!$A$1:$O$86,15,0)),0,VLOOKUP($U$290,'TAR FIN'!$A$1:$O$86,15,0))</f>
        <v>246.3</v>
      </c>
      <c r="Y290" s="6"/>
      <c r="Z290" s="6">
        <f ca="1">('TUSD BE'!$AM$13+'TUSD BF_350'!$AM$13+'TUSD CVA'!$AM$13)*1</f>
        <v>100.23755694003805</v>
      </c>
      <c r="AA290" s="6">
        <f ca="1">('TE BE'!$AB$6+'TE BF_350'!$AB$6+'TE CVA'!$AB$6)*1</f>
        <v>219.40364509824883</v>
      </c>
      <c r="AB290" s="6">
        <f>$K$290*$V$290</f>
        <v>0</v>
      </c>
      <c r="AC290" s="6">
        <f>$M$290*$W$290</f>
        <v>46349.44384</v>
      </c>
      <c r="AD290" s="6">
        <f>$O$290*$X$290</f>
        <v>145092.3744</v>
      </c>
      <c r="AE290" s="6">
        <f>$K$290*$Y$290</f>
        <v>0</v>
      </c>
      <c r="AF290" s="6">
        <f ca="1">$M$290*$Z$290</f>
        <v>59048.74194269313</v>
      </c>
      <c r="AG290" s="6">
        <f ca="1">$O$290*$AA$290</f>
        <v>129248.0544836372</v>
      </c>
    </row>
    <row r="291" spans="1:33" ht="11.25" customHeight="1" x14ac:dyDescent="0.25">
      <c r="A291" s="4" t="s">
        <v>55</v>
      </c>
      <c r="B291" s="4" t="s">
        <v>38</v>
      </c>
      <c r="C291" s="4" t="s">
        <v>40</v>
      </c>
      <c r="D291" s="4" t="s">
        <v>37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44562</v>
      </c>
      <c r="J291" s="6">
        <v>0</v>
      </c>
      <c r="K291" s="6">
        <v>0</v>
      </c>
      <c r="L291" s="6">
        <v>179.262</v>
      </c>
      <c r="M291" s="6">
        <v>179.262</v>
      </c>
      <c r="N291" s="6">
        <v>179.262</v>
      </c>
      <c r="O291" s="6">
        <v>179.262</v>
      </c>
      <c r="P291" s="6">
        <v>0</v>
      </c>
      <c r="Q291" s="4" t="s">
        <v>26</v>
      </c>
      <c r="R291" s="4">
        <v>0</v>
      </c>
      <c r="S291" s="6">
        <v>0</v>
      </c>
      <c r="T291" s="6">
        <v>14</v>
      </c>
      <c r="U291" s="6">
        <v>42</v>
      </c>
      <c r="V291" s="6">
        <f>IF(ISERROR(VLOOKUP($S$291,'TAR FIN'!$A$1:$O$86,15,0)),0,VLOOKUP($S$291,'TAR FIN'!$A$1:$O$86,15,0))</f>
        <v>0</v>
      </c>
      <c r="W291" s="6">
        <f>IF(ISERROR(VLOOKUP($T$291,'TAR FIN'!$A$1:$O$86,15,0)),0,VLOOKUP($T$291,'TAR FIN'!$A$1:$O$86,15,0))</f>
        <v>78.680000000000007</v>
      </c>
      <c r="X291" s="6">
        <f>IF(ISERROR(VLOOKUP($U$291,'TAR FIN'!$A$1:$O$86,15,0)),0,VLOOKUP($U$291,'TAR FIN'!$A$1:$O$86,15,0))</f>
        <v>246.3</v>
      </c>
      <c r="Y291" s="6"/>
      <c r="Z291" s="6">
        <f ca="1">('TUSD BE'!$AM$13+'TUSD BF_350'!$AM$13+'TUSD CVA'!$AM$13)*1</f>
        <v>100.23755694003805</v>
      </c>
      <c r="AA291" s="6">
        <f ca="1">('TE BE'!$AB$6+'TE BF_350'!$AB$6+'TE CVA'!$AB$6)*1</f>
        <v>219.40364509824883</v>
      </c>
      <c r="AB291" s="6">
        <f>$K$291*$V$291</f>
        <v>0</v>
      </c>
      <c r="AC291" s="6">
        <f>$M$291*$W$291</f>
        <v>14104.334160000002</v>
      </c>
      <c r="AD291" s="6">
        <f>$O$291*$X$291</f>
        <v>44152.230600000003</v>
      </c>
      <c r="AE291" s="6">
        <f>$K$291*$Y$291</f>
        <v>0</v>
      </c>
      <c r="AF291" s="6">
        <f ca="1">$M$291*$Z$291</f>
        <v>17968.784932185099</v>
      </c>
      <c r="AG291" s="6">
        <f ca="1">$O$291*$AA$291</f>
        <v>39330.736227602283</v>
      </c>
    </row>
    <row r="292" spans="1:33" ht="11.25" customHeight="1" x14ac:dyDescent="0.25">
      <c r="A292" s="4" t="s">
        <v>21</v>
      </c>
      <c r="B292" s="4" t="s">
        <v>38</v>
      </c>
      <c r="C292" s="4" t="s">
        <v>40</v>
      </c>
      <c r="D292" s="4" t="s">
        <v>37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44593</v>
      </c>
      <c r="J292" s="6">
        <v>0</v>
      </c>
      <c r="K292" s="6">
        <v>0</v>
      </c>
      <c r="L292" s="6">
        <v>357.04599999999999</v>
      </c>
      <c r="M292" s="6">
        <v>357.04599999999999</v>
      </c>
      <c r="N292" s="6">
        <v>357.04599999999999</v>
      </c>
      <c r="O292" s="6">
        <v>357.04599999999999</v>
      </c>
      <c r="P292" s="6">
        <v>0</v>
      </c>
      <c r="Q292" s="4" t="s">
        <v>26</v>
      </c>
      <c r="R292" s="4">
        <v>0</v>
      </c>
      <c r="S292" s="6">
        <v>0</v>
      </c>
      <c r="T292" s="6">
        <v>14</v>
      </c>
      <c r="U292" s="6">
        <v>42</v>
      </c>
      <c r="V292" s="6">
        <f>IF(ISERROR(VLOOKUP($S$292,'TAR FIN'!$A$1:$O$86,15,0)),0,VLOOKUP($S$292,'TAR FIN'!$A$1:$O$86,15,0))</f>
        <v>0</v>
      </c>
      <c r="W292" s="6">
        <f>IF(ISERROR(VLOOKUP($T$292,'TAR FIN'!$A$1:$O$86,15,0)),0,VLOOKUP($T$292,'TAR FIN'!$A$1:$O$86,15,0))</f>
        <v>78.680000000000007</v>
      </c>
      <c r="X292" s="6">
        <f>IF(ISERROR(VLOOKUP($U$292,'TAR FIN'!$A$1:$O$86,15,0)),0,VLOOKUP($U$292,'TAR FIN'!$A$1:$O$86,15,0))</f>
        <v>246.3</v>
      </c>
      <c r="Y292" s="6"/>
      <c r="Z292" s="6">
        <f ca="1">('TUSD BE'!$AM$13+'TUSD BF_350'!$AM$13+'TUSD CVA'!$AM$13)*1</f>
        <v>100.23755694003805</v>
      </c>
      <c r="AA292" s="6">
        <f ca="1">('TE BE'!$AB$6+'TE BF_350'!$AB$6+'TE CVA'!$AB$6)*1</f>
        <v>219.40364509824883</v>
      </c>
      <c r="AB292" s="6">
        <f>$K$292*$V$292</f>
        <v>0</v>
      </c>
      <c r="AC292" s="6">
        <f>$M$292*$W$292</f>
        <v>28092.379280000001</v>
      </c>
      <c r="AD292" s="6">
        <f>$O$292*$X$292</f>
        <v>87940.429799999998</v>
      </c>
      <c r="AE292" s="6">
        <f>$K$292*$Y$292</f>
        <v>0</v>
      </c>
      <c r="AF292" s="6">
        <f ca="1">$M$292*$Z$292</f>
        <v>35789.418755212821</v>
      </c>
      <c r="AG292" s="6">
        <f ca="1">$O$292*$AA$292</f>
        <v>78337.193867749345</v>
      </c>
    </row>
    <row r="293" spans="1:33" ht="11.25" customHeight="1" x14ac:dyDescent="0.25">
      <c r="A293" s="4" t="s">
        <v>55</v>
      </c>
      <c r="B293" s="4" t="s">
        <v>38</v>
      </c>
      <c r="C293" s="4" t="s">
        <v>40</v>
      </c>
      <c r="D293" s="4" t="s">
        <v>37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44593</v>
      </c>
      <c r="J293" s="6">
        <v>0</v>
      </c>
      <c r="K293" s="6">
        <v>0</v>
      </c>
      <c r="L293" s="6">
        <v>404.48500000000001</v>
      </c>
      <c r="M293" s="6">
        <v>404.48500000000001</v>
      </c>
      <c r="N293" s="6">
        <v>404.48500000000001</v>
      </c>
      <c r="O293" s="6">
        <v>404.48500000000001</v>
      </c>
      <c r="P293" s="6">
        <v>0</v>
      </c>
      <c r="Q293" s="4" t="s">
        <v>26</v>
      </c>
      <c r="R293" s="4">
        <v>0</v>
      </c>
      <c r="S293" s="6">
        <v>0</v>
      </c>
      <c r="T293" s="6">
        <v>14</v>
      </c>
      <c r="U293" s="6">
        <v>42</v>
      </c>
      <c r="V293" s="6">
        <f>IF(ISERROR(VLOOKUP($S$293,'TAR FIN'!$A$1:$O$86,15,0)),0,VLOOKUP($S$293,'TAR FIN'!$A$1:$O$86,15,0))</f>
        <v>0</v>
      </c>
      <c r="W293" s="6">
        <f>IF(ISERROR(VLOOKUP($T$293,'TAR FIN'!$A$1:$O$86,15,0)),0,VLOOKUP($T$293,'TAR FIN'!$A$1:$O$86,15,0))</f>
        <v>78.680000000000007</v>
      </c>
      <c r="X293" s="6">
        <f>IF(ISERROR(VLOOKUP($U$293,'TAR FIN'!$A$1:$O$86,15,0)),0,VLOOKUP($U$293,'TAR FIN'!$A$1:$O$86,15,0))</f>
        <v>246.3</v>
      </c>
      <c r="Y293" s="6"/>
      <c r="Z293" s="6">
        <f ca="1">('TUSD BE'!$AM$13+'TUSD BF_350'!$AM$13+'TUSD CVA'!$AM$13)*1</f>
        <v>100.23755694003805</v>
      </c>
      <c r="AA293" s="6">
        <f ca="1">('TE BE'!$AB$6+'TE BF_350'!$AB$6+'TE CVA'!$AB$6)*1</f>
        <v>219.40364509824883</v>
      </c>
      <c r="AB293" s="6">
        <f>$K$293*$V$293</f>
        <v>0</v>
      </c>
      <c r="AC293" s="6">
        <f>$M$293*$W$293</f>
        <v>31824.879800000002</v>
      </c>
      <c r="AD293" s="6">
        <f>$O$293*$X$293</f>
        <v>99624.655500000008</v>
      </c>
      <c r="AE293" s="6">
        <f>$K$293*$Y$293</f>
        <v>0</v>
      </c>
      <c r="AF293" s="6">
        <f ca="1">$M$293*$Z$293</f>
        <v>40544.588218891287</v>
      </c>
      <c r="AG293" s="6">
        <f ca="1">$O$293*$AA$293</f>
        <v>88745.483387565182</v>
      </c>
    </row>
    <row r="294" spans="1:33" ht="11.25" customHeight="1" x14ac:dyDescent="0.25">
      <c r="A294" s="4" t="s">
        <v>21</v>
      </c>
      <c r="B294" s="4" t="s">
        <v>38</v>
      </c>
      <c r="C294" s="4" t="s">
        <v>40</v>
      </c>
      <c r="D294" s="4" t="s">
        <v>37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44621</v>
      </c>
      <c r="J294" s="6">
        <v>0</v>
      </c>
      <c r="K294" s="6">
        <v>0</v>
      </c>
      <c r="L294" s="6">
        <v>428.29199999999997</v>
      </c>
      <c r="M294" s="6">
        <v>428.29199999999997</v>
      </c>
      <c r="N294" s="6">
        <v>428.29199999999997</v>
      </c>
      <c r="O294" s="6">
        <v>428.29199999999997</v>
      </c>
      <c r="P294" s="6">
        <v>0</v>
      </c>
      <c r="Q294" s="4" t="s">
        <v>26</v>
      </c>
      <c r="R294" s="4">
        <v>0</v>
      </c>
      <c r="S294" s="6">
        <v>0</v>
      </c>
      <c r="T294" s="6">
        <v>14</v>
      </c>
      <c r="U294" s="6">
        <v>42</v>
      </c>
      <c r="V294" s="6">
        <f>IF(ISERROR(VLOOKUP($S$294,'TAR FIN'!$A$1:$O$86,15,0)),0,VLOOKUP($S$294,'TAR FIN'!$A$1:$O$86,15,0))</f>
        <v>0</v>
      </c>
      <c r="W294" s="6">
        <f>IF(ISERROR(VLOOKUP($T$294,'TAR FIN'!$A$1:$O$86,15,0)),0,VLOOKUP($T$294,'TAR FIN'!$A$1:$O$86,15,0))</f>
        <v>78.680000000000007</v>
      </c>
      <c r="X294" s="6">
        <f>IF(ISERROR(VLOOKUP($U$294,'TAR FIN'!$A$1:$O$86,15,0)),0,VLOOKUP($U$294,'TAR FIN'!$A$1:$O$86,15,0))</f>
        <v>246.3</v>
      </c>
      <c r="Y294" s="6"/>
      <c r="Z294" s="6">
        <f ca="1">('TUSD BE'!$AM$13+'TUSD BF_350'!$AM$13+'TUSD CVA'!$AM$13)*1</f>
        <v>100.23755694003805</v>
      </c>
      <c r="AA294" s="6">
        <f ca="1">('TE BE'!$AB$6+'TE BF_350'!$AB$6+'TE CVA'!$AB$6)*1</f>
        <v>219.40364509824883</v>
      </c>
      <c r="AB294" s="6">
        <f>$K$294*$V$294</f>
        <v>0</v>
      </c>
      <c r="AC294" s="6">
        <f>$M$294*$W$294</f>
        <v>33698.014560000003</v>
      </c>
      <c r="AD294" s="6">
        <f>$O$294*$X$294</f>
        <v>105488.3196</v>
      </c>
      <c r="AE294" s="6">
        <f>$K$294*$Y$294</f>
        <v>0</v>
      </c>
      <c r="AF294" s="6">
        <f ca="1">$M$294*$Z$294</f>
        <v>42930.94373696277</v>
      </c>
      <c r="AG294" s="6">
        <f ca="1">$O$294*$AA$294</f>
        <v>93968.825966419186</v>
      </c>
    </row>
    <row r="295" spans="1:33" ht="11.25" customHeight="1" x14ac:dyDescent="0.25">
      <c r="A295" s="4" t="s">
        <v>55</v>
      </c>
      <c r="B295" s="4" t="s">
        <v>38</v>
      </c>
      <c r="C295" s="4" t="s">
        <v>40</v>
      </c>
      <c r="D295" s="4" t="s">
        <v>37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44621</v>
      </c>
      <c r="J295" s="6">
        <v>0</v>
      </c>
      <c r="K295" s="6">
        <v>0</v>
      </c>
      <c r="L295" s="6">
        <v>279.54599999999999</v>
      </c>
      <c r="M295" s="6">
        <v>279.54599999999999</v>
      </c>
      <c r="N295" s="6">
        <v>279.54599999999999</v>
      </c>
      <c r="O295" s="6">
        <v>279.54599999999999</v>
      </c>
      <c r="P295" s="6">
        <v>0</v>
      </c>
      <c r="Q295" s="4" t="s">
        <v>26</v>
      </c>
      <c r="R295" s="4">
        <v>0</v>
      </c>
      <c r="S295" s="6">
        <v>0</v>
      </c>
      <c r="T295" s="6">
        <v>14</v>
      </c>
      <c r="U295" s="6">
        <v>42</v>
      </c>
      <c r="V295" s="6">
        <f>IF(ISERROR(VLOOKUP($S$295,'TAR FIN'!$A$1:$O$86,15,0)),0,VLOOKUP($S$295,'TAR FIN'!$A$1:$O$86,15,0))</f>
        <v>0</v>
      </c>
      <c r="W295" s="6">
        <f>IF(ISERROR(VLOOKUP($T$295,'TAR FIN'!$A$1:$O$86,15,0)),0,VLOOKUP($T$295,'TAR FIN'!$A$1:$O$86,15,0))</f>
        <v>78.680000000000007</v>
      </c>
      <c r="X295" s="6">
        <f>IF(ISERROR(VLOOKUP($U$295,'TAR FIN'!$A$1:$O$86,15,0)),0,VLOOKUP($U$295,'TAR FIN'!$A$1:$O$86,15,0))</f>
        <v>246.3</v>
      </c>
      <c r="Y295" s="6"/>
      <c r="Z295" s="6">
        <f ca="1">('TUSD BE'!$AM$13+'TUSD BF_350'!$AM$13+'TUSD CVA'!$AM$13)*1</f>
        <v>100.23755694003805</v>
      </c>
      <c r="AA295" s="6">
        <f ca="1">('TE BE'!$AB$6+'TE BF_350'!$AB$6+'TE CVA'!$AB$6)*1</f>
        <v>219.40364509824883</v>
      </c>
      <c r="AB295" s="6">
        <f>$K$295*$V$295</f>
        <v>0</v>
      </c>
      <c r="AC295" s="6">
        <f>$M$295*$W$295</f>
        <v>21994.67928</v>
      </c>
      <c r="AD295" s="6">
        <f>$O$295*$X$295</f>
        <v>68852.179799999998</v>
      </c>
      <c r="AE295" s="6">
        <f>$K$295*$Y$295</f>
        <v>0</v>
      </c>
      <c r="AF295" s="6">
        <f ca="1">$M$295*$Z$295</f>
        <v>28021.008092359876</v>
      </c>
      <c r="AG295" s="6">
        <f ca="1">$O$295*$AA$295</f>
        <v>61333.411372635062</v>
      </c>
    </row>
    <row r="296" spans="1:33" ht="11.25" customHeight="1" x14ac:dyDescent="0.25">
      <c r="A296" s="4" t="s">
        <v>21</v>
      </c>
      <c r="B296" s="4" t="s">
        <v>38</v>
      </c>
      <c r="C296" s="4" t="s">
        <v>40</v>
      </c>
      <c r="D296" s="4" t="s">
        <v>37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44652</v>
      </c>
      <c r="J296" s="6">
        <v>0</v>
      </c>
      <c r="K296" s="6">
        <v>0</v>
      </c>
      <c r="L296" s="6">
        <v>369.57600000000002</v>
      </c>
      <c r="M296" s="6">
        <v>369.57600000000002</v>
      </c>
      <c r="N296" s="6">
        <v>369.57600000000002</v>
      </c>
      <c r="O296" s="6">
        <v>369.57600000000002</v>
      </c>
      <c r="P296" s="6">
        <v>0</v>
      </c>
      <c r="Q296" s="4" t="s">
        <v>26</v>
      </c>
      <c r="R296" s="4">
        <v>0</v>
      </c>
      <c r="S296" s="6">
        <v>0</v>
      </c>
      <c r="T296" s="6">
        <v>14</v>
      </c>
      <c r="U296" s="6">
        <v>42</v>
      </c>
      <c r="V296" s="6">
        <f>IF(ISERROR(VLOOKUP($S$296,'TAR FIN'!$A$1:$O$86,15,0)),0,VLOOKUP($S$296,'TAR FIN'!$A$1:$O$86,15,0))</f>
        <v>0</v>
      </c>
      <c r="W296" s="6">
        <f>IF(ISERROR(VLOOKUP($T$296,'TAR FIN'!$A$1:$O$86,15,0)),0,VLOOKUP($T$296,'TAR FIN'!$A$1:$O$86,15,0))</f>
        <v>78.680000000000007</v>
      </c>
      <c r="X296" s="6">
        <f>IF(ISERROR(VLOOKUP($U$296,'TAR FIN'!$A$1:$O$86,15,0)),0,VLOOKUP($U$296,'TAR FIN'!$A$1:$O$86,15,0))</f>
        <v>246.3</v>
      </c>
      <c r="Y296" s="6"/>
      <c r="Z296" s="6">
        <f ca="1">('TUSD BE'!$AM$13+'TUSD BF_350'!$AM$13+'TUSD CVA'!$AM$13)*1</f>
        <v>100.23755694003805</v>
      </c>
      <c r="AA296" s="6">
        <f ca="1">('TE BE'!$AB$6+'TE BF_350'!$AB$6+'TE CVA'!$AB$6)*1</f>
        <v>219.40364509824883</v>
      </c>
      <c r="AB296" s="6">
        <f>$K$296*$V$296</f>
        <v>0</v>
      </c>
      <c r="AC296" s="6">
        <f>$M$296*$W$296</f>
        <v>29078.239680000006</v>
      </c>
      <c r="AD296" s="6">
        <f>$O$296*$X$296</f>
        <v>91026.568800000008</v>
      </c>
      <c r="AE296" s="6">
        <f>$K$296*$Y$296</f>
        <v>0</v>
      </c>
      <c r="AF296" s="6">
        <f ca="1">$M$296*$Z$296</f>
        <v>37045.395343671502</v>
      </c>
      <c r="AG296" s="6">
        <f ca="1">$O$296*$AA$296</f>
        <v>81086.32154083041</v>
      </c>
    </row>
    <row r="297" spans="1:33" ht="11.25" customHeight="1" x14ac:dyDescent="0.25">
      <c r="A297" s="4" t="s">
        <v>55</v>
      </c>
      <c r="B297" s="4" t="s">
        <v>38</v>
      </c>
      <c r="C297" s="4" t="s">
        <v>40</v>
      </c>
      <c r="D297" s="4" t="s">
        <v>37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44652</v>
      </c>
      <c r="J297" s="6">
        <v>0</v>
      </c>
      <c r="K297" s="6">
        <v>0</v>
      </c>
      <c r="L297" s="6">
        <v>184.70699999999999</v>
      </c>
      <c r="M297" s="6">
        <v>184.70699999999999</v>
      </c>
      <c r="N297" s="6">
        <v>184.70699999999999</v>
      </c>
      <c r="O297" s="6">
        <v>184.70699999999999</v>
      </c>
      <c r="P297" s="6">
        <v>0</v>
      </c>
      <c r="Q297" s="4" t="s">
        <v>26</v>
      </c>
      <c r="R297" s="4">
        <v>0</v>
      </c>
      <c r="S297" s="6">
        <v>0</v>
      </c>
      <c r="T297" s="6">
        <v>14</v>
      </c>
      <c r="U297" s="6">
        <v>42</v>
      </c>
      <c r="V297" s="6">
        <f>IF(ISERROR(VLOOKUP($S$297,'TAR FIN'!$A$1:$O$86,15,0)),0,VLOOKUP($S$297,'TAR FIN'!$A$1:$O$86,15,0))</f>
        <v>0</v>
      </c>
      <c r="W297" s="6">
        <f>IF(ISERROR(VLOOKUP($T$297,'TAR FIN'!$A$1:$O$86,15,0)),0,VLOOKUP($T$297,'TAR FIN'!$A$1:$O$86,15,0))</f>
        <v>78.680000000000007</v>
      </c>
      <c r="X297" s="6">
        <f>IF(ISERROR(VLOOKUP($U$297,'TAR FIN'!$A$1:$O$86,15,0)),0,VLOOKUP($U$297,'TAR FIN'!$A$1:$O$86,15,0))</f>
        <v>246.3</v>
      </c>
      <c r="Y297" s="6"/>
      <c r="Z297" s="6">
        <f ca="1">('TUSD BE'!$AM$13+'TUSD BF_350'!$AM$13+'TUSD CVA'!$AM$13)*1</f>
        <v>100.23755694003805</v>
      </c>
      <c r="AA297" s="6">
        <f ca="1">('TE BE'!$AB$6+'TE BF_350'!$AB$6+'TE CVA'!$AB$6)*1</f>
        <v>219.40364509824883</v>
      </c>
      <c r="AB297" s="6">
        <f>$K$297*$V$297</f>
        <v>0</v>
      </c>
      <c r="AC297" s="6">
        <f>$M$297*$W$297</f>
        <v>14532.74676</v>
      </c>
      <c r="AD297" s="6">
        <f>$O$297*$X$297</f>
        <v>45493.3341</v>
      </c>
      <c r="AE297" s="6">
        <f>$K$297*$Y$297</f>
        <v>0</v>
      </c>
      <c r="AF297" s="6">
        <f ca="1">$M$297*$Z$297</f>
        <v>18514.578429723606</v>
      </c>
      <c r="AG297" s="6">
        <f ca="1">$O$297*$AA$297</f>
        <v>40525.389075162246</v>
      </c>
    </row>
    <row r="298" spans="1:33" ht="11.25" customHeight="1" x14ac:dyDescent="0.25">
      <c r="A298" s="4" t="s">
        <v>21</v>
      </c>
      <c r="B298" s="4" t="s">
        <v>38</v>
      </c>
      <c r="C298" s="4" t="s">
        <v>40</v>
      </c>
      <c r="D298" s="4" t="s">
        <v>37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44682</v>
      </c>
      <c r="J298" s="6">
        <v>0</v>
      </c>
      <c r="K298" s="6">
        <v>0</v>
      </c>
      <c r="L298" s="6">
        <v>338.89</v>
      </c>
      <c r="M298" s="6">
        <v>338.89</v>
      </c>
      <c r="N298" s="6">
        <v>338.89</v>
      </c>
      <c r="O298" s="6">
        <v>338.89</v>
      </c>
      <c r="P298" s="6">
        <v>0</v>
      </c>
      <c r="Q298" s="4" t="s">
        <v>26</v>
      </c>
      <c r="R298" s="4">
        <v>0</v>
      </c>
      <c r="S298" s="6">
        <v>0</v>
      </c>
      <c r="T298" s="6">
        <v>14</v>
      </c>
      <c r="U298" s="6">
        <v>42</v>
      </c>
      <c r="V298" s="6">
        <f>IF(ISERROR(VLOOKUP($S$298,'TAR FIN'!$A$1:$O$86,15,0)),0,VLOOKUP($S$298,'TAR FIN'!$A$1:$O$86,15,0))</f>
        <v>0</v>
      </c>
      <c r="W298" s="6">
        <f>IF(ISERROR(VLOOKUP($T$298,'TAR FIN'!$A$1:$O$86,15,0)),0,VLOOKUP($T$298,'TAR FIN'!$A$1:$O$86,15,0))</f>
        <v>78.680000000000007</v>
      </c>
      <c r="X298" s="6">
        <f>IF(ISERROR(VLOOKUP($U$298,'TAR FIN'!$A$1:$O$86,15,0)),0,VLOOKUP($U$298,'TAR FIN'!$A$1:$O$86,15,0))</f>
        <v>246.3</v>
      </c>
      <c r="Y298" s="6"/>
      <c r="Z298" s="6">
        <f ca="1">('TUSD BE'!$AM$13+'TUSD BF_350'!$AM$13+'TUSD CVA'!$AM$13)*1</f>
        <v>100.23755694003805</v>
      </c>
      <c r="AA298" s="6">
        <f ca="1">('TE BE'!$AB$6+'TE BF_350'!$AB$6+'TE CVA'!$AB$6)*1</f>
        <v>219.40364509824883</v>
      </c>
      <c r="AB298" s="6">
        <f>$K$298*$V$298</f>
        <v>0</v>
      </c>
      <c r="AC298" s="6">
        <f>$M$298*$W$298</f>
        <v>26663.8652</v>
      </c>
      <c r="AD298" s="6">
        <f>$O$298*$X$298</f>
        <v>83468.607000000004</v>
      </c>
      <c r="AE298" s="6">
        <f>$K$298*$Y$298</f>
        <v>0</v>
      </c>
      <c r="AF298" s="6">
        <f ca="1">$M$298*$Z$298</f>
        <v>33969.50567140949</v>
      </c>
      <c r="AG298" s="6">
        <f ca="1">$O$298*$AA$298</f>
        <v>74353.701287345539</v>
      </c>
    </row>
    <row r="299" spans="1:33" ht="11.25" customHeight="1" x14ac:dyDescent="0.25">
      <c r="A299" s="4" t="s">
        <v>55</v>
      </c>
      <c r="B299" s="4" t="s">
        <v>38</v>
      </c>
      <c r="C299" s="4" t="s">
        <v>40</v>
      </c>
      <c r="D299" s="4" t="s">
        <v>37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44682</v>
      </c>
      <c r="J299" s="6">
        <v>0</v>
      </c>
      <c r="K299" s="6">
        <v>0</v>
      </c>
      <c r="L299" s="6">
        <v>309.73599999999999</v>
      </c>
      <c r="M299" s="6">
        <v>309.73599999999999</v>
      </c>
      <c r="N299" s="6">
        <v>309.73599999999999</v>
      </c>
      <c r="O299" s="6">
        <v>309.73599999999999</v>
      </c>
      <c r="P299" s="6">
        <v>0</v>
      </c>
      <c r="Q299" s="4" t="s">
        <v>26</v>
      </c>
      <c r="R299" s="4">
        <v>0</v>
      </c>
      <c r="S299" s="6">
        <v>0</v>
      </c>
      <c r="T299" s="6">
        <v>14</v>
      </c>
      <c r="U299" s="6">
        <v>42</v>
      </c>
      <c r="V299" s="6">
        <f>IF(ISERROR(VLOOKUP($S$299,'TAR FIN'!$A$1:$O$86,15,0)),0,VLOOKUP($S$299,'TAR FIN'!$A$1:$O$86,15,0))</f>
        <v>0</v>
      </c>
      <c r="W299" s="6">
        <f>IF(ISERROR(VLOOKUP($T$299,'TAR FIN'!$A$1:$O$86,15,0)),0,VLOOKUP($T$299,'TAR FIN'!$A$1:$O$86,15,0))</f>
        <v>78.680000000000007</v>
      </c>
      <c r="X299" s="6">
        <f>IF(ISERROR(VLOOKUP($U$299,'TAR FIN'!$A$1:$O$86,15,0)),0,VLOOKUP($U$299,'TAR FIN'!$A$1:$O$86,15,0))</f>
        <v>246.3</v>
      </c>
      <c r="Y299" s="6"/>
      <c r="Z299" s="6">
        <f ca="1">('TUSD BE'!$AM$13+'TUSD BF_350'!$AM$13+'TUSD CVA'!$AM$13)*1</f>
        <v>100.23755694003805</v>
      </c>
      <c r="AA299" s="6">
        <f ca="1">('TE BE'!$AB$6+'TE BF_350'!$AB$6+'TE CVA'!$AB$6)*1</f>
        <v>219.40364509824883</v>
      </c>
      <c r="AB299" s="6">
        <f>$K$299*$V$299</f>
        <v>0</v>
      </c>
      <c r="AC299" s="6">
        <f>$M$299*$W$299</f>
        <v>24370.028480000001</v>
      </c>
      <c r="AD299" s="6">
        <f>$O$299*$X$299</f>
        <v>76287.976800000004</v>
      </c>
      <c r="AE299" s="6">
        <f>$K$299*$Y$299</f>
        <v>0</v>
      </c>
      <c r="AF299" s="6">
        <f ca="1">$M$299*$Z$299</f>
        <v>31047.179936379624</v>
      </c>
      <c r="AG299" s="6">
        <f ca="1">$O$299*$AA$299</f>
        <v>67957.2074181512</v>
      </c>
    </row>
    <row r="300" spans="1:33" ht="11.25" customHeight="1" x14ac:dyDescent="0.25">
      <c r="A300" s="4" t="s">
        <v>56</v>
      </c>
      <c r="B300" s="4" t="s">
        <v>38</v>
      </c>
      <c r="C300" s="4" t="s">
        <v>40</v>
      </c>
      <c r="D300" s="4" t="s">
        <v>37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44713</v>
      </c>
      <c r="J300" s="6">
        <v>0</v>
      </c>
      <c r="K300" s="6">
        <v>0</v>
      </c>
      <c r="L300" s="6">
        <v>338.89</v>
      </c>
      <c r="M300" s="6">
        <v>338.89</v>
      </c>
      <c r="N300" s="6">
        <v>338.89</v>
      </c>
      <c r="O300" s="6">
        <v>338.89</v>
      </c>
      <c r="P300" s="6">
        <v>0</v>
      </c>
      <c r="Q300" s="4" t="s">
        <v>26</v>
      </c>
      <c r="R300" s="4">
        <v>0</v>
      </c>
      <c r="S300" s="6">
        <v>0</v>
      </c>
      <c r="T300" s="6">
        <v>14</v>
      </c>
      <c r="U300" s="6">
        <v>42</v>
      </c>
      <c r="V300" s="6">
        <f>IF(ISERROR(VLOOKUP($S$300,'TAR FIN'!$A$1:$O$86,15,0)),0,VLOOKUP($S$300,'TAR FIN'!$A$1:$O$86,15,0))</f>
        <v>0</v>
      </c>
      <c r="W300" s="6">
        <f>IF(ISERROR(VLOOKUP($T$300,'TAR FIN'!$A$1:$O$86,15,0)),0,VLOOKUP($T$300,'TAR FIN'!$A$1:$O$86,15,0))</f>
        <v>78.680000000000007</v>
      </c>
      <c r="X300" s="6">
        <f>IF(ISERROR(VLOOKUP($U$300,'TAR FIN'!$A$1:$O$86,15,0)),0,VLOOKUP($U$300,'TAR FIN'!$A$1:$O$86,15,0))</f>
        <v>246.3</v>
      </c>
      <c r="Y300" s="6"/>
      <c r="Z300" s="6">
        <f ca="1">('TUSD BE'!$AM$13+'TUSD BF_350'!$AM$13+'TUSD CVA'!$AM$13)*1</f>
        <v>100.23755694003805</v>
      </c>
      <c r="AA300" s="6">
        <f ca="1">('TE BE'!$AB$6+'TE BF_350'!$AB$6+'TE CVA'!$AB$6)*1</f>
        <v>219.40364509824883</v>
      </c>
      <c r="AB300" s="6">
        <f>$K$300*$V$300</f>
        <v>0</v>
      </c>
      <c r="AC300" s="6">
        <f>$M$300*$W$300</f>
        <v>26663.8652</v>
      </c>
      <c r="AD300" s="6">
        <f>$O$300*$X$300</f>
        <v>83468.607000000004</v>
      </c>
      <c r="AE300" s="6">
        <f>$K$300*$Y$300</f>
        <v>0</v>
      </c>
      <c r="AF300" s="6">
        <f ca="1">$M$300*$Z$300</f>
        <v>33969.50567140949</v>
      </c>
      <c r="AG300" s="6">
        <f ca="1">$O$300*$AA$300</f>
        <v>74353.701287345539</v>
      </c>
    </row>
    <row r="301" spans="1:33" ht="11.25" customHeight="1" x14ac:dyDescent="0.25">
      <c r="A301" s="4" t="s">
        <v>56</v>
      </c>
      <c r="B301" s="4" t="s">
        <v>38</v>
      </c>
      <c r="C301" s="4" t="s">
        <v>40</v>
      </c>
      <c r="D301" s="4" t="s">
        <v>37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44713</v>
      </c>
      <c r="J301" s="6">
        <v>0</v>
      </c>
      <c r="K301" s="6">
        <v>0</v>
      </c>
      <c r="L301" s="6">
        <v>309.73599999999999</v>
      </c>
      <c r="M301" s="6">
        <v>309.73599999999999</v>
      </c>
      <c r="N301" s="6">
        <v>309.73599999999999</v>
      </c>
      <c r="O301" s="6">
        <v>309.73599999999999</v>
      </c>
      <c r="P301" s="6">
        <v>0</v>
      </c>
      <c r="Q301" s="4" t="s">
        <v>26</v>
      </c>
      <c r="R301" s="4">
        <v>0</v>
      </c>
      <c r="S301" s="6">
        <v>0</v>
      </c>
      <c r="T301" s="6">
        <v>14</v>
      </c>
      <c r="U301" s="6">
        <v>42</v>
      </c>
      <c r="V301" s="6">
        <f>IF(ISERROR(VLOOKUP($S$301,'TAR FIN'!$A$1:$O$86,15,0)),0,VLOOKUP($S$301,'TAR FIN'!$A$1:$O$86,15,0))</f>
        <v>0</v>
      </c>
      <c r="W301" s="6">
        <f>IF(ISERROR(VLOOKUP($T$301,'TAR FIN'!$A$1:$O$86,15,0)),0,VLOOKUP($T$301,'TAR FIN'!$A$1:$O$86,15,0))</f>
        <v>78.680000000000007</v>
      </c>
      <c r="X301" s="6">
        <f>IF(ISERROR(VLOOKUP($U$301,'TAR FIN'!$A$1:$O$86,15,0)),0,VLOOKUP($U$301,'TAR FIN'!$A$1:$O$86,15,0))</f>
        <v>246.3</v>
      </c>
      <c r="Y301" s="6"/>
      <c r="Z301" s="6">
        <f ca="1">('TUSD BE'!$AM$13+'TUSD BF_350'!$AM$13+'TUSD CVA'!$AM$13)*1</f>
        <v>100.23755694003805</v>
      </c>
      <c r="AA301" s="6">
        <f ca="1">('TE BE'!$AB$6+'TE BF_350'!$AB$6+'TE CVA'!$AB$6)*1</f>
        <v>219.40364509824883</v>
      </c>
      <c r="AB301" s="6">
        <f>$K$301*$V$301</f>
        <v>0</v>
      </c>
      <c r="AC301" s="6">
        <f>$M$301*$W$301</f>
        <v>24370.028480000001</v>
      </c>
      <c r="AD301" s="6">
        <f>$O$301*$X$301</f>
        <v>76287.976800000004</v>
      </c>
      <c r="AE301" s="6">
        <f>$K$301*$Y$301</f>
        <v>0</v>
      </c>
      <c r="AF301" s="6">
        <f ca="1">$M$301*$Z$301</f>
        <v>31047.179936379624</v>
      </c>
      <c r="AG301" s="6">
        <f ca="1">$O$301*$AA$301</f>
        <v>67957.2074181512</v>
      </c>
    </row>
    <row r="302" spans="1:33" ht="11.25" customHeight="1" x14ac:dyDescent="0.25">
      <c r="A302" s="4" t="s">
        <v>21</v>
      </c>
      <c r="B302" s="4" t="s">
        <v>38</v>
      </c>
      <c r="C302" s="4" t="s">
        <v>40</v>
      </c>
      <c r="D302" s="4" t="s">
        <v>37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44378</v>
      </c>
      <c r="J302" s="6">
        <v>5055</v>
      </c>
      <c r="K302" s="6">
        <v>5055</v>
      </c>
      <c r="L302" s="6">
        <v>0</v>
      </c>
      <c r="M302" s="6">
        <v>0</v>
      </c>
      <c r="N302" s="6">
        <v>0</v>
      </c>
      <c r="O302" s="6">
        <v>0</v>
      </c>
      <c r="P302" s="6">
        <v>26</v>
      </c>
      <c r="Q302" s="4" t="s">
        <v>26</v>
      </c>
      <c r="R302" s="4">
        <v>0</v>
      </c>
      <c r="S302" s="6">
        <v>18</v>
      </c>
      <c r="T302" s="6">
        <v>0</v>
      </c>
      <c r="U302" s="6">
        <v>0</v>
      </c>
      <c r="V302" s="6">
        <f>IF(ISERROR(VLOOKUP($S$302,'TAR FIN'!$A$1:$O$86,15,0)),0,VLOOKUP($S$302,'TAR FIN'!$A$1:$O$86,15,0))</f>
        <v>19.239999999999998</v>
      </c>
      <c r="W302" s="6">
        <f>IF(ISERROR(VLOOKUP($T$302,'TAR FIN'!$A$1:$O$86,15,0)),0,VLOOKUP($T$302,'TAR FIN'!$A$1:$O$86,15,0))</f>
        <v>0</v>
      </c>
      <c r="X302" s="6">
        <f>IF(ISERROR(VLOOKUP($U$302,'TAR FIN'!$A$1:$O$86,15,0)),0,VLOOKUP($U$302,'TAR FIN'!$A$1:$O$86,15,0))</f>
        <v>0</v>
      </c>
      <c r="Y302" s="6">
        <f ca="1">('TUSD BE'!$AM$11+'TUSD BF_350'!$AM$11+'TUSD CVA'!$AM$11)*1</f>
        <v>15.19295792072058</v>
      </c>
      <c r="Z302" s="6"/>
      <c r="AA302" s="6"/>
      <c r="AB302" s="6">
        <f>$K$302*$V$302</f>
        <v>97258.2</v>
      </c>
      <c r="AC302" s="6">
        <f>$M$302*$W$302</f>
        <v>0</v>
      </c>
      <c r="AD302" s="6">
        <f>$O$302*$X$302</f>
        <v>0</v>
      </c>
      <c r="AE302" s="6">
        <f ca="1">$K$302*$Y$302</f>
        <v>76800.402289242527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21</v>
      </c>
      <c r="B303" s="4" t="s">
        <v>38</v>
      </c>
      <c r="C303" s="4" t="s">
        <v>40</v>
      </c>
      <c r="D303" s="4" t="s">
        <v>37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44409</v>
      </c>
      <c r="J303" s="6">
        <v>4712</v>
      </c>
      <c r="K303" s="6">
        <v>4712</v>
      </c>
      <c r="L303" s="6">
        <v>0</v>
      </c>
      <c r="M303" s="6">
        <v>0</v>
      </c>
      <c r="N303" s="6">
        <v>0</v>
      </c>
      <c r="O303" s="6">
        <v>0</v>
      </c>
      <c r="P303" s="6">
        <v>26</v>
      </c>
      <c r="Q303" s="4" t="s">
        <v>26</v>
      </c>
      <c r="R303" s="4">
        <v>0</v>
      </c>
      <c r="S303" s="6">
        <v>18</v>
      </c>
      <c r="T303" s="6">
        <v>0</v>
      </c>
      <c r="U303" s="6">
        <v>0</v>
      </c>
      <c r="V303" s="6">
        <f>IF(ISERROR(VLOOKUP($S$303,'TAR FIN'!$A$1:$O$86,15,0)),0,VLOOKUP($S$303,'TAR FIN'!$A$1:$O$86,15,0))</f>
        <v>19.239999999999998</v>
      </c>
      <c r="W303" s="6">
        <f>IF(ISERROR(VLOOKUP($T$303,'TAR FIN'!$A$1:$O$86,15,0)),0,VLOOKUP($T$303,'TAR FIN'!$A$1:$O$86,15,0))</f>
        <v>0</v>
      </c>
      <c r="X303" s="6">
        <f>IF(ISERROR(VLOOKUP($U$303,'TAR FIN'!$A$1:$O$86,15,0)),0,VLOOKUP($U$303,'TAR FIN'!$A$1:$O$86,15,0))</f>
        <v>0</v>
      </c>
      <c r="Y303" s="6">
        <f ca="1">('TUSD BE'!$AM$11+'TUSD BF_350'!$AM$11+'TUSD CVA'!$AM$11)*1</f>
        <v>15.19295792072058</v>
      </c>
      <c r="Z303" s="6"/>
      <c r="AA303" s="6"/>
      <c r="AB303" s="6">
        <f>$K$303*$V$303</f>
        <v>90658.87999999999</v>
      </c>
      <c r="AC303" s="6">
        <f>$M$303*$W$303</f>
        <v>0</v>
      </c>
      <c r="AD303" s="6">
        <f>$O$303*$X$303</f>
        <v>0</v>
      </c>
      <c r="AE303" s="6">
        <f ca="1">$K$303*$Y$303</f>
        <v>71589.21772243538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55</v>
      </c>
      <c r="B304" s="4" t="s">
        <v>38</v>
      </c>
      <c r="C304" s="4" t="s">
        <v>40</v>
      </c>
      <c r="D304" s="4" t="s">
        <v>37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44409</v>
      </c>
      <c r="J304" s="6">
        <v>1162</v>
      </c>
      <c r="K304" s="6">
        <v>1162</v>
      </c>
      <c r="L304" s="6">
        <v>0</v>
      </c>
      <c r="M304" s="6">
        <v>0</v>
      </c>
      <c r="N304" s="6">
        <v>0</v>
      </c>
      <c r="O304" s="6">
        <v>0</v>
      </c>
      <c r="P304" s="6">
        <v>5</v>
      </c>
      <c r="Q304" s="4" t="s">
        <v>26</v>
      </c>
      <c r="R304" s="4">
        <v>0</v>
      </c>
      <c r="S304" s="6">
        <v>18</v>
      </c>
      <c r="T304" s="6">
        <v>0</v>
      </c>
      <c r="U304" s="6">
        <v>0</v>
      </c>
      <c r="V304" s="6">
        <f>IF(ISERROR(VLOOKUP($S$304,'TAR FIN'!$A$1:$O$86,15,0)),0,VLOOKUP($S$304,'TAR FIN'!$A$1:$O$86,15,0))</f>
        <v>19.239999999999998</v>
      </c>
      <c r="W304" s="6">
        <f>IF(ISERROR(VLOOKUP($T$304,'TAR FIN'!$A$1:$O$86,15,0)),0,VLOOKUP($T$304,'TAR FIN'!$A$1:$O$86,15,0))</f>
        <v>0</v>
      </c>
      <c r="X304" s="6">
        <f>IF(ISERROR(VLOOKUP($U$304,'TAR FIN'!$A$1:$O$86,15,0)),0,VLOOKUP($U$304,'TAR FIN'!$A$1:$O$86,15,0))</f>
        <v>0</v>
      </c>
      <c r="Y304" s="6">
        <f ca="1">('TUSD BE'!$AM$11+'TUSD BF_350'!$AM$11+'TUSD CVA'!$AM$11)*1</f>
        <v>15.19295792072058</v>
      </c>
      <c r="Z304" s="6"/>
      <c r="AA304" s="6"/>
      <c r="AB304" s="6">
        <f>$K$304*$V$304</f>
        <v>22356.879999999997</v>
      </c>
      <c r="AC304" s="6">
        <f>$M$304*$W$304</f>
        <v>0</v>
      </c>
      <c r="AD304" s="6">
        <f>$O$304*$X$304</f>
        <v>0</v>
      </c>
      <c r="AE304" s="6">
        <f ca="1">$K$304*$Y$304</f>
        <v>17654.217103877316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38</v>
      </c>
      <c r="C305" s="4" t="s">
        <v>40</v>
      </c>
      <c r="D305" s="4" t="s">
        <v>37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44440</v>
      </c>
      <c r="J305" s="6">
        <v>4690</v>
      </c>
      <c r="K305" s="6">
        <v>4690</v>
      </c>
      <c r="L305" s="6">
        <v>0</v>
      </c>
      <c r="M305" s="6">
        <v>0</v>
      </c>
      <c r="N305" s="6">
        <v>0</v>
      </c>
      <c r="O305" s="6">
        <v>0</v>
      </c>
      <c r="P305" s="6">
        <v>26</v>
      </c>
      <c r="Q305" s="4" t="s">
        <v>26</v>
      </c>
      <c r="R305" s="4">
        <v>0</v>
      </c>
      <c r="S305" s="6">
        <v>18</v>
      </c>
      <c r="T305" s="6">
        <v>0</v>
      </c>
      <c r="U305" s="6">
        <v>0</v>
      </c>
      <c r="V305" s="6">
        <f>IF(ISERROR(VLOOKUP($S$305,'TAR FIN'!$A$1:$O$86,15,0)),0,VLOOKUP($S$305,'TAR FIN'!$A$1:$O$86,15,0))</f>
        <v>19.239999999999998</v>
      </c>
      <c r="W305" s="6">
        <f>IF(ISERROR(VLOOKUP($T$305,'TAR FIN'!$A$1:$O$86,15,0)),0,VLOOKUP($T$305,'TAR FIN'!$A$1:$O$86,15,0))</f>
        <v>0</v>
      </c>
      <c r="X305" s="6">
        <f>IF(ISERROR(VLOOKUP($U$305,'TAR FIN'!$A$1:$O$86,15,0)),0,VLOOKUP($U$305,'TAR FIN'!$A$1:$O$86,15,0))</f>
        <v>0</v>
      </c>
      <c r="Y305" s="6">
        <f ca="1">('TUSD BE'!$AM$11+'TUSD BF_350'!$AM$11+'TUSD CVA'!$AM$11)*1</f>
        <v>15.19295792072058</v>
      </c>
      <c r="Z305" s="6"/>
      <c r="AA305" s="6"/>
      <c r="AB305" s="6">
        <f>$K$305*$V$305</f>
        <v>90235.599999999991</v>
      </c>
      <c r="AC305" s="6">
        <f>$M$305*$W$305</f>
        <v>0</v>
      </c>
      <c r="AD305" s="6">
        <f>$O$305*$X$305</f>
        <v>0</v>
      </c>
      <c r="AE305" s="6">
        <f ca="1">$K$305*$Y$305</f>
        <v>71254.972648179522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55</v>
      </c>
      <c r="B306" s="4" t="s">
        <v>38</v>
      </c>
      <c r="C306" s="4" t="s">
        <v>40</v>
      </c>
      <c r="D306" s="4" t="s">
        <v>37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44440</v>
      </c>
      <c r="J306" s="6">
        <v>1137</v>
      </c>
      <c r="K306" s="6">
        <v>1137</v>
      </c>
      <c r="L306" s="6">
        <v>0</v>
      </c>
      <c r="M306" s="6">
        <v>0</v>
      </c>
      <c r="N306" s="6">
        <v>0</v>
      </c>
      <c r="O306" s="6">
        <v>0</v>
      </c>
      <c r="P306" s="6">
        <v>5</v>
      </c>
      <c r="Q306" s="4" t="s">
        <v>26</v>
      </c>
      <c r="R306" s="4">
        <v>0</v>
      </c>
      <c r="S306" s="6">
        <v>18</v>
      </c>
      <c r="T306" s="6">
        <v>0</v>
      </c>
      <c r="U306" s="6">
        <v>0</v>
      </c>
      <c r="V306" s="6">
        <f>IF(ISERROR(VLOOKUP($S$306,'TAR FIN'!$A$1:$O$86,15,0)),0,VLOOKUP($S$306,'TAR FIN'!$A$1:$O$86,15,0))</f>
        <v>19.239999999999998</v>
      </c>
      <c r="W306" s="6">
        <f>IF(ISERROR(VLOOKUP($T$306,'TAR FIN'!$A$1:$O$86,15,0)),0,VLOOKUP($T$306,'TAR FIN'!$A$1:$O$86,15,0))</f>
        <v>0</v>
      </c>
      <c r="X306" s="6">
        <f>IF(ISERROR(VLOOKUP($U$306,'TAR FIN'!$A$1:$O$86,15,0)),0,VLOOKUP($U$306,'TAR FIN'!$A$1:$O$86,15,0))</f>
        <v>0</v>
      </c>
      <c r="Y306" s="6">
        <f ca="1">('TUSD BE'!$AM$11+'TUSD BF_350'!$AM$11+'TUSD CVA'!$AM$11)*1</f>
        <v>15.19295792072058</v>
      </c>
      <c r="Z306" s="6"/>
      <c r="AA306" s="6"/>
      <c r="AB306" s="6">
        <f>$K$306*$V$306</f>
        <v>21875.879999999997</v>
      </c>
      <c r="AC306" s="6">
        <f>$M$306*$W$306</f>
        <v>0</v>
      </c>
      <c r="AD306" s="6">
        <f>$O$306*$X$306</f>
        <v>0</v>
      </c>
      <c r="AE306" s="6">
        <f ca="1">$K$306*$Y$306</f>
        <v>17274.393155859299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38</v>
      </c>
      <c r="C307" s="4" t="s">
        <v>40</v>
      </c>
      <c r="D307" s="4" t="s">
        <v>37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44470</v>
      </c>
      <c r="J307" s="6">
        <v>4760</v>
      </c>
      <c r="K307" s="6">
        <v>4760</v>
      </c>
      <c r="L307" s="6">
        <v>0</v>
      </c>
      <c r="M307" s="6">
        <v>0</v>
      </c>
      <c r="N307" s="6">
        <v>0</v>
      </c>
      <c r="O307" s="6">
        <v>0</v>
      </c>
      <c r="P307" s="6">
        <v>26</v>
      </c>
      <c r="Q307" s="4" t="s">
        <v>26</v>
      </c>
      <c r="R307" s="4">
        <v>0</v>
      </c>
      <c r="S307" s="6">
        <v>18</v>
      </c>
      <c r="T307" s="6">
        <v>0</v>
      </c>
      <c r="U307" s="6">
        <v>0</v>
      </c>
      <c r="V307" s="6">
        <f>IF(ISERROR(VLOOKUP($S$307,'TAR FIN'!$A$1:$O$86,15,0)),0,VLOOKUP($S$307,'TAR FIN'!$A$1:$O$86,15,0))</f>
        <v>19.239999999999998</v>
      </c>
      <c r="W307" s="6">
        <f>IF(ISERROR(VLOOKUP($T$307,'TAR FIN'!$A$1:$O$86,15,0)),0,VLOOKUP($T$307,'TAR FIN'!$A$1:$O$86,15,0))</f>
        <v>0</v>
      </c>
      <c r="X307" s="6">
        <f>IF(ISERROR(VLOOKUP($U$307,'TAR FIN'!$A$1:$O$86,15,0)),0,VLOOKUP($U$307,'TAR FIN'!$A$1:$O$86,15,0))</f>
        <v>0</v>
      </c>
      <c r="Y307" s="6">
        <f ca="1">('TUSD BE'!$AM$11+'TUSD BF_350'!$AM$11+'TUSD CVA'!$AM$11)*1</f>
        <v>15.19295792072058</v>
      </c>
      <c r="Z307" s="6"/>
      <c r="AA307" s="6"/>
      <c r="AB307" s="6">
        <f>$K$307*$V$307</f>
        <v>91582.399999999994</v>
      </c>
      <c r="AC307" s="6">
        <f>$M$307*$W$307</f>
        <v>0</v>
      </c>
      <c r="AD307" s="6">
        <f>$O$307*$X$307</f>
        <v>0</v>
      </c>
      <c r="AE307" s="6">
        <f ca="1">$K$307*$Y$307</f>
        <v>72318.479702629964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55</v>
      </c>
      <c r="B308" s="4" t="s">
        <v>38</v>
      </c>
      <c r="C308" s="4" t="s">
        <v>40</v>
      </c>
      <c r="D308" s="4" t="s">
        <v>37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44470</v>
      </c>
      <c r="J308" s="6">
        <v>1194</v>
      </c>
      <c r="K308" s="6">
        <v>1194</v>
      </c>
      <c r="L308" s="6">
        <v>0</v>
      </c>
      <c r="M308" s="6">
        <v>0</v>
      </c>
      <c r="N308" s="6">
        <v>0</v>
      </c>
      <c r="O308" s="6">
        <v>0</v>
      </c>
      <c r="P308" s="6">
        <v>5</v>
      </c>
      <c r="Q308" s="4" t="s">
        <v>26</v>
      </c>
      <c r="R308" s="4">
        <v>0</v>
      </c>
      <c r="S308" s="6">
        <v>18</v>
      </c>
      <c r="T308" s="6">
        <v>0</v>
      </c>
      <c r="U308" s="6">
        <v>0</v>
      </c>
      <c r="V308" s="6">
        <f>IF(ISERROR(VLOOKUP($S$308,'TAR FIN'!$A$1:$O$86,15,0)),0,VLOOKUP($S$308,'TAR FIN'!$A$1:$O$86,15,0))</f>
        <v>19.239999999999998</v>
      </c>
      <c r="W308" s="6">
        <f>IF(ISERROR(VLOOKUP($T$308,'TAR FIN'!$A$1:$O$86,15,0)),0,VLOOKUP($T$308,'TAR FIN'!$A$1:$O$86,15,0))</f>
        <v>0</v>
      </c>
      <c r="X308" s="6">
        <f>IF(ISERROR(VLOOKUP($U$308,'TAR FIN'!$A$1:$O$86,15,0)),0,VLOOKUP($U$308,'TAR FIN'!$A$1:$O$86,15,0))</f>
        <v>0</v>
      </c>
      <c r="Y308" s="6">
        <f ca="1">('TUSD BE'!$AM$11+'TUSD BF_350'!$AM$11+'TUSD CVA'!$AM$11)*1</f>
        <v>15.19295792072058</v>
      </c>
      <c r="Z308" s="6"/>
      <c r="AA308" s="6"/>
      <c r="AB308" s="6">
        <f>$K$308*$V$308</f>
        <v>22972.559999999998</v>
      </c>
      <c r="AC308" s="6">
        <f>$M$308*$W$308</f>
        <v>0</v>
      </c>
      <c r="AD308" s="6">
        <f>$O$308*$X$308</f>
        <v>0</v>
      </c>
      <c r="AE308" s="6">
        <f ca="1">$K$308*$Y$308</f>
        <v>18140.391757340374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38</v>
      </c>
      <c r="C309" s="4" t="s">
        <v>40</v>
      </c>
      <c r="D309" s="4" t="s">
        <v>37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44501</v>
      </c>
      <c r="J309" s="6">
        <v>4769</v>
      </c>
      <c r="K309" s="6">
        <v>4769</v>
      </c>
      <c r="L309" s="6">
        <v>0</v>
      </c>
      <c r="M309" s="6">
        <v>0</v>
      </c>
      <c r="N309" s="6">
        <v>0</v>
      </c>
      <c r="O309" s="6">
        <v>0</v>
      </c>
      <c r="P309" s="6">
        <v>26</v>
      </c>
      <c r="Q309" s="4" t="s">
        <v>26</v>
      </c>
      <c r="R309" s="4">
        <v>0</v>
      </c>
      <c r="S309" s="6">
        <v>18</v>
      </c>
      <c r="T309" s="6">
        <v>0</v>
      </c>
      <c r="U309" s="6">
        <v>0</v>
      </c>
      <c r="V309" s="6">
        <f>IF(ISERROR(VLOOKUP($S$309,'TAR FIN'!$A$1:$O$86,15,0)),0,VLOOKUP($S$309,'TAR FIN'!$A$1:$O$86,15,0))</f>
        <v>19.239999999999998</v>
      </c>
      <c r="W309" s="6">
        <f>IF(ISERROR(VLOOKUP($T$309,'TAR FIN'!$A$1:$O$86,15,0)),0,VLOOKUP($T$309,'TAR FIN'!$A$1:$O$86,15,0))</f>
        <v>0</v>
      </c>
      <c r="X309" s="6">
        <f>IF(ISERROR(VLOOKUP($U$309,'TAR FIN'!$A$1:$O$86,15,0)),0,VLOOKUP($U$309,'TAR FIN'!$A$1:$O$86,15,0))</f>
        <v>0</v>
      </c>
      <c r="Y309" s="6">
        <f ca="1">('TUSD BE'!$AM$11+'TUSD BF_350'!$AM$11+'TUSD CVA'!$AM$11)*1</f>
        <v>15.19295792072058</v>
      </c>
      <c r="Z309" s="6"/>
      <c r="AA309" s="6"/>
      <c r="AB309" s="6">
        <f>$K$309*$V$309</f>
        <v>91755.56</v>
      </c>
      <c r="AC309" s="6">
        <f>$M$309*$W$309</f>
        <v>0</v>
      </c>
      <c r="AD309" s="6">
        <f>$O$309*$X$309</f>
        <v>0</v>
      </c>
      <c r="AE309" s="6">
        <f ca="1">$K$309*$Y$309</f>
        <v>72455.216323916451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55</v>
      </c>
      <c r="B310" s="4" t="s">
        <v>38</v>
      </c>
      <c r="C310" s="4" t="s">
        <v>40</v>
      </c>
      <c r="D310" s="4" t="s">
        <v>37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44501</v>
      </c>
      <c r="J310" s="6">
        <v>1245</v>
      </c>
      <c r="K310" s="6">
        <v>1245</v>
      </c>
      <c r="L310" s="6">
        <v>0</v>
      </c>
      <c r="M310" s="6">
        <v>0</v>
      </c>
      <c r="N310" s="6">
        <v>0</v>
      </c>
      <c r="O310" s="6">
        <v>0</v>
      </c>
      <c r="P310" s="6">
        <v>5</v>
      </c>
      <c r="Q310" s="4" t="s">
        <v>26</v>
      </c>
      <c r="R310" s="4">
        <v>0</v>
      </c>
      <c r="S310" s="6">
        <v>18</v>
      </c>
      <c r="T310" s="6">
        <v>0</v>
      </c>
      <c r="U310" s="6">
        <v>0</v>
      </c>
      <c r="V310" s="6">
        <f>IF(ISERROR(VLOOKUP($S$310,'TAR FIN'!$A$1:$O$86,15,0)),0,VLOOKUP($S$310,'TAR FIN'!$A$1:$O$86,15,0))</f>
        <v>19.239999999999998</v>
      </c>
      <c r="W310" s="6">
        <f>IF(ISERROR(VLOOKUP($T$310,'TAR FIN'!$A$1:$O$86,15,0)),0,VLOOKUP($T$310,'TAR FIN'!$A$1:$O$86,15,0))</f>
        <v>0</v>
      </c>
      <c r="X310" s="6">
        <f>IF(ISERROR(VLOOKUP($U$310,'TAR FIN'!$A$1:$O$86,15,0)),0,VLOOKUP($U$310,'TAR FIN'!$A$1:$O$86,15,0))</f>
        <v>0</v>
      </c>
      <c r="Y310" s="6">
        <f ca="1">('TUSD BE'!$AM$11+'TUSD BF_350'!$AM$11+'TUSD CVA'!$AM$11)*1</f>
        <v>15.19295792072058</v>
      </c>
      <c r="Z310" s="6"/>
      <c r="AA310" s="6"/>
      <c r="AB310" s="6">
        <f>$K$310*$V$310</f>
        <v>23953.8</v>
      </c>
      <c r="AC310" s="6">
        <f>$M$310*$W$310</f>
        <v>0</v>
      </c>
      <c r="AD310" s="6">
        <f>$O$310*$X$310</f>
        <v>0</v>
      </c>
      <c r="AE310" s="6">
        <f ca="1">$K$310*$Y$310</f>
        <v>18915.232611297124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38</v>
      </c>
      <c r="C311" s="4" t="s">
        <v>40</v>
      </c>
      <c r="D311" s="4" t="s">
        <v>37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44531</v>
      </c>
      <c r="J311" s="6">
        <v>4786</v>
      </c>
      <c r="K311" s="6">
        <v>4786</v>
      </c>
      <c r="L311" s="6">
        <v>0</v>
      </c>
      <c r="M311" s="6">
        <v>0</v>
      </c>
      <c r="N311" s="6">
        <v>0</v>
      </c>
      <c r="O311" s="6">
        <v>0</v>
      </c>
      <c r="P311" s="6">
        <v>26</v>
      </c>
      <c r="Q311" s="4" t="s">
        <v>26</v>
      </c>
      <c r="R311" s="4">
        <v>0</v>
      </c>
      <c r="S311" s="6">
        <v>18</v>
      </c>
      <c r="T311" s="6">
        <v>0</v>
      </c>
      <c r="U311" s="6">
        <v>0</v>
      </c>
      <c r="V311" s="6">
        <f>IF(ISERROR(VLOOKUP($S$311,'TAR FIN'!$A$1:$O$86,15,0)),0,VLOOKUP($S$311,'TAR FIN'!$A$1:$O$86,15,0))</f>
        <v>19.239999999999998</v>
      </c>
      <c r="W311" s="6">
        <f>IF(ISERROR(VLOOKUP($T$311,'TAR FIN'!$A$1:$O$86,15,0)),0,VLOOKUP($T$311,'TAR FIN'!$A$1:$O$86,15,0))</f>
        <v>0</v>
      </c>
      <c r="X311" s="6">
        <f>IF(ISERROR(VLOOKUP($U$311,'TAR FIN'!$A$1:$O$86,15,0)),0,VLOOKUP($U$311,'TAR FIN'!$A$1:$O$86,15,0))</f>
        <v>0</v>
      </c>
      <c r="Y311" s="6">
        <f ca="1">('TUSD BE'!$AM$11+'TUSD BF_350'!$AM$11+'TUSD CVA'!$AM$11)*1</f>
        <v>15.19295792072058</v>
      </c>
      <c r="Z311" s="6"/>
      <c r="AA311" s="6"/>
      <c r="AB311" s="6">
        <f>$K$311*$V$311</f>
        <v>92082.64</v>
      </c>
      <c r="AC311" s="6">
        <f>$M$311*$W$311</f>
        <v>0</v>
      </c>
      <c r="AD311" s="6">
        <f>$O$311*$X$311</f>
        <v>0</v>
      </c>
      <c r="AE311" s="6">
        <f ca="1">$K$311*$Y$311</f>
        <v>72713.496608568705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55</v>
      </c>
      <c r="B312" s="4" t="s">
        <v>38</v>
      </c>
      <c r="C312" s="4" t="s">
        <v>40</v>
      </c>
      <c r="D312" s="4" t="s">
        <v>37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44531</v>
      </c>
      <c r="J312" s="6">
        <v>1276</v>
      </c>
      <c r="K312" s="6">
        <v>1276</v>
      </c>
      <c r="L312" s="6">
        <v>0</v>
      </c>
      <c r="M312" s="6">
        <v>0</v>
      </c>
      <c r="N312" s="6">
        <v>0</v>
      </c>
      <c r="O312" s="6">
        <v>0</v>
      </c>
      <c r="P312" s="6">
        <v>5</v>
      </c>
      <c r="Q312" s="4" t="s">
        <v>26</v>
      </c>
      <c r="R312" s="4">
        <v>0</v>
      </c>
      <c r="S312" s="6">
        <v>18</v>
      </c>
      <c r="T312" s="6">
        <v>0</v>
      </c>
      <c r="U312" s="6">
        <v>0</v>
      </c>
      <c r="V312" s="6">
        <f>IF(ISERROR(VLOOKUP($S$312,'TAR FIN'!$A$1:$O$86,15,0)),0,VLOOKUP($S$312,'TAR FIN'!$A$1:$O$86,15,0))</f>
        <v>19.239999999999998</v>
      </c>
      <c r="W312" s="6">
        <f>IF(ISERROR(VLOOKUP($T$312,'TAR FIN'!$A$1:$O$86,15,0)),0,VLOOKUP($T$312,'TAR FIN'!$A$1:$O$86,15,0))</f>
        <v>0</v>
      </c>
      <c r="X312" s="6">
        <f>IF(ISERROR(VLOOKUP($U$312,'TAR FIN'!$A$1:$O$86,15,0)),0,VLOOKUP($U$312,'TAR FIN'!$A$1:$O$86,15,0))</f>
        <v>0</v>
      </c>
      <c r="Y312" s="6">
        <f ca="1">('TUSD BE'!$AM$11+'TUSD BF_350'!$AM$11+'TUSD CVA'!$AM$11)*1</f>
        <v>15.19295792072058</v>
      </c>
      <c r="Z312" s="6"/>
      <c r="AA312" s="6"/>
      <c r="AB312" s="6">
        <f>$K$312*$V$312</f>
        <v>24550.239999999998</v>
      </c>
      <c r="AC312" s="6">
        <f>$M$312*$W$312</f>
        <v>0</v>
      </c>
      <c r="AD312" s="6">
        <f>$O$312*$X$312</f>
        <v>0</v>
      </c>
      <c r="AE312" s="6">
        <f ca="1">$K$312*$Y$312</f>
        <v>19386.214306839462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38</v>
      </c>
      <c r="C313" s="4" t="s">
        <v>40</v>
      </c>
      <c r="D313" s="4" t="s">
        <v>37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44562</v>
      </c>
      <c r="J313" s="6">
        <v>4559</v>
      </c>
      <c r="K313" s="6">
        <v>4559</v>
      </c>
      <c r="L313" s="6">
        <v>0</v>
      </c>
      <c r="M313" s="6">
        <v>0</v>
      </c>
      <c r="N313" s="6">
        <v>0</v>
      </c>
      <c r="O313" s="6">
        <v>0</v>
      </c>
      <c r="P313" s="6">
        <v>25</v>
      </c>
      <c r="Q313" s="4" t="s">
        <v>26</v>
      </c>
      <c r="R313" s="4">
        <v>0</v>
      </c>
      <c r="S313" s="6">
        <v>18</v>
      </c>
      <c r="T313" s="6">
        <v>0</v>
      </c>
      <c r="U313" s="6">
        <v>0</v>
      </c>
      <c r="V313" s="6">
        <f>IF(ISERROR(VLOOKUP($S$313,'TAR FIN'!$A$1:$O$86,15,0)),0,VLOOKUP($S$313,'TAR FIN'!$A$1:$O$86,15,0))</f>
        <v>19.239999999999998</v>
      </c>
      <c r="W313" s="6">
        <f>IF(ISERROR(VLOOKUP($T$313,'TAR FIN'!$A$1:$O$86,15,0)),0,VLOOKUP($T$313,'TAR FIN'!$A$1:$O$86,15,0))</f>
        <v>0</v>
      </c>
      <c r="X313" s="6">
        <f>IF(ISERROR(VLOOKUP($U$313,'TAR FIN'!$A$1:$O$86,15,0)),0,VLOOKUP($U$313,'TAR FIN'!$A$1:$O$86,15,0))</f>
        <v>0</v>
      </c>
      <c r="Y313" s="6">
        <f ca="1">('TUSD BE'!$AM$11+'TUSD BF_350'!$AM$11+'TUSD CVA'!$AM$11)*1</f>
        <v>15.19295792072058</v>
      </c>
      <c r="Z313" s="6"/>
      <c r="AA313" s="6"/>
      <c r="AB313" s="6">
        <f>$K$313*$V$313</f>
        <v>87715.159999999989</v>
      </c>
      <c r="AC313" s="6">
        <f>$M$313*$W$313</f>
        <v>0</v>
      </c>
      <c r="AD313" s="6">
        <f>$O$313*$X$313</f>
        <v>0</v>
      </c>
      <c r="AE313" s="6">
        <f ca="1">$K$313*$Y$313</f>
        <v>69264.695160565127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55</v>
      </c>
      <c r="B314" s="4" t="s">
        <v>38</v>
      </c>
      <c r="C314" s="4" t="s">
        <v>40</v>
      </c>
      <c r="D314" s="4" t="s">
        <v>37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44562</v>
      </c>
      <c r="J314" s="6">
        <v>1186</v>
      </c>
      <c r="K314" s="6">
        <v>1186</v>
      </c>
      <c r="L314" s="6">
        <v>0</v>
      </c>
      <c r="M314" s="6">
        <v>0</v>
      </c>
      <c r="N314" s="6">
        <v>0</v>
      </c>
      <c r="O314" s="6">
        <v>0</v>
      </c>
      <c r="P314" s="6">
        <v>5</v>
      </c>
      <c r="Q314" s="4" t="s">
        <v>26</v>
      </c>
      <c r="R314" s="4">
        <v>0</v>
      </c>
      <c r="S314" s="6">
        <v>18</v>
      </c>
      <c r="T314" s="6">
        <v>0</v>
      </c>
      <c r="U314" s="6">
        <v>0</v>
      </c>
      <c r="V314" s="6">
        <f>IF(ISERROR(VLOOKUP($S$314,'TAR FIN'!$A$1:$O$86,15,0)),0,VLOOKUP($S$314,'TAR FIN'!$A$1:$O$86,15,0))</f>
        <v>19.239999999999998</v>
      </c>
      <c r="W314" s="6">
        <f>IF(ISERROR(VLOOKUP($T$314,'TAR FIN'!$A$1:$O$86,15,0)),0,VLOOKUP($T$314,'TAR FIN'!$A$1:$O$86,15,0))</f>
        <v>0</v>
      </c>
      <c r="X314" s="6">
        <f>IF(ISERROR(VLOOKUP($U$314,'TAR FIN'!$A$1:$O$86,15,0)),0,VLOOKUP($U$314,'TAR FIN'!$A$1:$O$86,15,0))</f>
        <v>0</v>
      </c>
      <c r="Y314" s="6">
        <f ca="1">('TUSD BE'!$AM$11+'TUSD BF_350'!$AM$11+'TUSD CVA'!$AM$11)*1</f>
        <v>15.19295792072058</v>
      </c>
      <c r="Z314" s="6"/>
      <c r="AA314" s="6"/>
      <c r="AB314" s="6">
        <f>$K$314*$V$314</f>
        <v>22818.639999999999</v>
      </c>
      <c r="AC314" s="6">
        <f>$M$314*$W$314</f>
        <v>0</v>
      </c>
      <c r="AD314" s="6">
        <f>$O$314*$X$314</f>
        <v>0</v>
      </c>
      <c r="AE314" s="6">
        <f ca="1">$K$314*$Y$314</f>
        <v>18018.848093974608</v>
      </c>
      <c r="AF314" s="6">
        <f>$M$314*$Z$314</f>
        <v>0</v>
      </c>
      <c r="AG314" s="6">
        <f>$O$314*$AA$314</f>
        <v>0</v>
      </c>
    </row>
    <row r="315" spans="1:33" ht="11.25" customHeight="1" x14ac:dyDescent="0.25">
      <c r="A315" s="4" t="s">
        <v>55</v>
      </c>
      <c r="B315" s="4" t="s">
        <v>38</v>
      </c>
      <c r="C315" s="4" t="s">
        <v>40</v>
      </c>
      <c r="D315" s="4" t="s">
        <v>37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44562</v>
      </c>
      <c r="J315" s="6">
        <v>-58</v>
      </c>
      <c r="K315" s="6">
        <v>-58</v>
      </c>
      <c r="L315" s="6">
        <v>0</v>
      </c>
      <c r="M315" s="6">
        <v>0</v>
      </c>
      <c r="N315" s="6">
        <v>0</v>
      </c>
      <c r="O315" s="6">
        <v>0</v>
      </c>
      <c r="P315" s="6">
        <v>2</v>
      </c>
      <c r="Q315" s="4" t="s">
        <v>26</v>
      </c>
      <c r="R315" s="4">
        <v>0</v>
      </c>
      <c r="S315" s="6">
        <v>18</v>
      </c>
      <c r="T315" s="6">
        <v>0</v>
      </c>
      <c r="U315" s="6">
        <v>0</v>
      </c>
      <c r="V315" s="6">
        <f>IF(ISERROR(VLOOKUP($S$315,'TAR FIN'!$A$1:$O$86,15,0)),0,VLOOKUP($S$315,'TAR FIN'!$A$1:$O$86,15,0))</f>
        <v>19.239999999999998</v>
      </c>
      <c r="W315" s="6">
        <f>IF(ISERROR(VLOOKUP($T$315,'TAR FIN'!$A$1:$O$86,15,0)),0,VLOOKUP($T$315,'TAR FIN'!$A$1:$O$86,15,0))</f>
        <v>0</v>
      </c>
      <c r="X315" s="6">
        <f>IF(ISERROR(VLOOKUP($U$315,'TAR FIN'!$A$1:$O$86,15,0)),0,VLOOKUP($U$315,'TAR FIN'!$A$1:$O$86,15,0))</f>
        <v>0</v>
      </c>
      <c r="Y315" s="6">
        <f ca="1">('TUSD BE'!$AM$11+'TUSD BF_350'!$AM$11+'TUSD CVA'!$AM$11)*1</f>
        <v>15.19295792072058</v>
      </c>
      <c r="Z315" s="6"/>
      <c r="AA315" s="6"/>
      <c r="AB315" s="6">
        <f>$K$315*$V$315</f>
        <v>-1115.9199999999998</v>
      </c>
      <c r="AC315" s="6">
        <f>$M$315*$W$315</f>
        <v>0</v>
      </c>
      <c r="AD315" s="6">
        <f>$O$315*$X$315</f>
        <v>0</v>
      </c>
      <c r="AE315" s="6">
        <f ca="1">$K$315*$Y$315</f>
        <v>-881.19155940179371</v>
      </c>
      <c r="AF315" s="6">
        <f>$M$315*$Z$315</f>
        <v>0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38</v>
      </c>
      <c r="C316" s="4" t="s">
        <v>40</v>
      </c>
      <c r="D316" s="4" t="s">
        <v>37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44593</v>
      </c>
      <c r="J316" s="6">
        <v>3137</v>
      </c>
      <c r="K316" s="6">
        <v>3137</v>
      </c>
      <c r="L316" s="6">
        <v>0</v>
      </c>
      <c r="M316" s="6">
        <v>0</v>
      </c>
      <c r="N316" s="6">
        <v>0</v>
      </c>
      <c r="O316" s="6">
        <v>0</v>
      </c>
      <c r="P316" s="6">
        <v>19</v>
      </c>
      <c r="Q316" s="4" t="s">
        <v>26</v>
      </c>
      <c r="R316" s="4">
        <v>0</v>
      </c>
      <c r="S316" s="6">
        <v>18</v>
      </c>
      <c r="T316" s="6">
        <v>0</v>
      </c>
      <c r="U316" s="6">
        <v>0</v>
      </c>
      <c r="V316" s="6">
        <f>IF(ISERROR(VLOOKUP($S$316,'TAR FIN'!$A$1:$O$86,15,0)),0,VLOOKUP($S$316,'TAR FIN'!$A$1:$O$86,15,0))</f>
        <v>19.239999999999998</v>
      </c>
      <c r="W316" s="6">
        <f>IF(ISERROR(VLOOKUP($T$316,'TAR FIN'!$A$1:$O$86,15,0)),0,VLOOKUP($T$316,'TAR FIN'!$A$1:$O$86,15,0))</f>
        <v>0</v>
      </c>
      <c r="X316" s="6">
        <f>IF(ISERROR(VLOOKUP($U$316,'TAR FIN'!$A$1:$O$86,15,0)),0,VLOOKUP($U$316,'TAR FIN'!$A$1:$O$86,15,0))</f>
        <v>0</v>
      </c>
      <c r="Y316" s="6">
        <f ca="1">('TUSD BE'!$AM$11+'TUSD BF_350'!$AM$11+'TUSD CVA'!$AM$11)*1</f>
        <v>15.19295792072058</v>
      </c>
      <c r="Z316" s="6"/>
      <c r="AA316" s="6"/>
      <c r="AB316" s="6">
        <f>$K$316*$V$316</f>
        <v>60355.88</v>
      </c>
      <c r="AC316" s="6">
        <f>$M$316*$W$316</f>
        <v>0</v>
      </c>
      <c r="AD316" s="6">
        <f>$O$316*$X$316</f>
        <v>0</v>
      </c>
      <c r="AE316" s="6">
        <f ca="1">$K$316*$Y$316</f>
        <v>47660.308997300461</v>
      </c>
      <c r="AF316" s="6">
        <f>$M$316*$Z$316</f>
        <v>0</v>
      </c>
      <c r="AG316" s="6">
        <f>$O$316*$AA$316</f>
        <v>0</v>
      </c>
    </row>
    <row r="317" spans="1:33" ht="11.25" customHeight="1" x14ac:dyDescent="0.25">
      <c r="A317" s="4" t="s">
        <v>55</v>
      </c>
      <c r="B317" s="4" t="s">
        <v>38</v>
      </c>
      <c r="C317" s="4" t="s">
        <v>40</v>
      </c>
      <c r="D317" s="4" t="s">
        <v>37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44593</v>
      </c>
      <c r="J317" s="6">
        <v>2576</v>
      </c>
      <c r="K317" s="6">
        <v>2576</v>
      </c>
      <c r="L317" s="6">
        <v>0</v>
      </c>
      <c r="M317" s="6">
        <v>0</v>
      </c>
      <c r="N317" s="6">
        <v>0</v>
      </c>
      <c r="O317" s="6">
        <v>0</v>
      </c>
      <c r="P317" s="6">
        <v>11</v>
      </c>
      <c r="Q317" s="4" t="s">
        <v>26</v>
      </c>
      <c r="R317" s="4">
        <v>0</v>
      </c>
      <c r="S317" s="6">
        <v>18</v>
      </c>
      <c r="T317" s="6">
        <v>0</v>
      </c>
      <c r="U317" s="6">
        <v>0</v>
      </c>
      <c r="V317" s="6">
        <f>IF(ISERROR(VLOOKUP($S$317,'TAR FIN'!$A$1:$O$86,15,0)),0,VLOOKUP($S$317,'TAR FIN'!$A$1:$O$86,15,0))</f>
        <v>19.239999999999998</v>
      </c>
      <c r="W317" s="6">
        <f>IF(ISERROR(VLOOKUP($T$317,'TAR FIN'!$A$1:$O$86,15,0)),0,VLOOKUP($T$317,'TAR FIN'!$A$1:$O$86,15,0))</f>
        <v>0</v>
      </c>
      <c r="X317" s="6">
        <f>IF(ISERROR(VLOOKUP($U$317,'TAR FIN'!$A$1:$O$86,15,0)),0,VLOOKUP($U$317,'TAR FIN'!$A$1:$O$86,15,0))</f>
        <v>0</v>
      </c>
      <c r="Y317" s="6">
        <f ca="1">('TUSD BE'!$AM$11+'TUSD BF_350'!$AM$11+'TUSD CVA'!$AM$11)*1</f>
        <v>15.19295792072058</v>
      </c>
      <c r="Z317" s="6"/>
      <c r="AA317" s="6"/>
      <c r="AB317" s="6">
        <f>$K$317*$V$317</f>
        <v>49562.239999999998</v>
      </c>
      <c r="AC317" s="6">
        <f>$M$317*$W$317</f>
        <v>0</v>
      </c>
      <c r="AD317" s="6">
        <f>$O$317*$X$317</f>
        <v>0</v>
      </c>
      <c r="AE317" s="6">
        <f ca="1">$K$317*$Y$317</f>
        <v>39137.059603776215</v>
      </c>
      <c r="AF317" s="6">
        <f>$M$317*$Z$317</f>
        <v>0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38</v>
      </c>
      <c r="C318" s="4" t="s">
        <v>40</v>
      </c>
      <c r="D318" s="4" t="s">
        <v>37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44621</v>
      </c>
      <c r="J318" s="6">
        <v>3715</v>
      </c>
      <c r="K318" s="6">
        <v>3715</v>
      </c>
      <c r="L318" s="6">
        <v>0</v>
      </c>
      <c r="M318" s="6">
        <v>0</v>
      </c>
      <c r="N318" s="6">
        <v>0</v>
      </c>
      <c r="O318" s="6">
        <v>0</v>
      </c>
      <c r="P318" s="6">
        <v>21</v>
      </c>
      <c r="Q318" s="4" t="s">
        <v>26</v>
      </c>
      <c r="R318" s="4">
        <v>0</v>
      </c>
      <c r="S318" s="6">
        <v>18</v>
      </c>
      <c r="T318" s="6">
        <v>0</v>
      </c>
      <c r="U318" s="6">
        <v>0</v>
      </c>
      <c r="V318" s="6">
        <f>IF(ISERROR(VLOOKUP($S$318,'TAR FIN'!$A$1:$O$86,15,0)),0,VLOOKUP($S$318,'TAR FIN'!$A$1:$O$86,15,0))</f>
        <v>19.239999999999998</v>
      </c>
      <c r="W318" s="6">
        <f>IF(ISERROR(VLOOKUP($T$318,'TAR FIN'!$A$1:$O$86,15,0)),0,VLOOKUP($T$318,'TAR FIN'!$A$1:$O$86,15,0))</f>
        <v>0</v>
      </c>
      <c r="X318" s="6">
        <f>IF(ISERROR(VLOOKUP($U$318,'TAR FIN'!$A$1:$O$86,15,0)),0,VLOOKUP($U$318,'TAR FIN'!$A$1:$O$86,15,0))</f>
        <v>0</v>
      </c>
      <c r="Y318" s="6">
        <f ca="1">('TUSD BE'!$AM$11+'TUSD BF_350'!$AM$11+'TUSD CVA'!$AM$11)*1</f>
        <v>15.19295792072058</v>
      </c>
      <c r="Z318" s="6"/>
      <c r="AA318" s="6"/>
      <c r="AB318" s="6">
        <f>$K$318*$V$318</f>
        <v>71476.599999999991</v>
      </c>
      <c r="AC318" s="6">
        <f>$M$318*$W$318</f>
        <v>0</v>
      </c>
      <c r="AD318" s="6">
        <f>$O$318*$X$318</f>
        <v>0</v>
      </c>
      <c r="AE318" s="6">
        <f ca="1">$K$318*$Y$318</f>
        <v>56441.83867547696</v>
      </c>
      <c r="AF318" s="6">
        <f>$M$318*$Z$318</f>
        <v>0</v>
      </c>
      <c r="AG318" s="6">
        <f>$O$318*$AA$318</f>
        <v>0</v>
      </c>
    </row>
    <row r="319" spans="1:33" ht="11.25" customHeight="1" x14ac:dyDescent="0.25">
      <c r="A319" s="4" t="s">
        <v>55</v>
      </c>
      <c r="B319" s="4" t="s">
        <v>38</v>
      </c>
      <c r="C319" s="4" t="s">
        <v>40</v>
      </c>
      <c r="D319" s="4" t="s">
        <v>37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44621</v>
      </c>
      <c r="J319" s="6">
        <v>3980</v>
      </c>
      <c r="K319" s="6">
        <v>3980</v>
      </c>
      <c r="L319" s="6">
        <v>0</v>
      </c>
      <c r="M319" s="6">
        <v>0</v>
      </c>
      <c r="N319" s="6">
        <v>0</v>
      </c>
      <c r="O319" s="6">
        <v>0</v>
      </c>
      <c r="P319" s="6">
        <v>11</v>
      </c>
      <c r="Q319" s="4" t="s">
        <v>26</v>
      </c>
      <c r="R319" s="4">
        <v>0</v>
      </c>
      <c r="S319" s="6">
        <v>18</v>
      </c>
      <c r="T319" s="6">
        <v>0</v>
      </c>
      <c r="U319" s="6">
        <v>0</v>
      </c>
      <c r="V319" s="6">
        <f>IF(ISERROR(VLOOKUP($S$319,'TAR FIN'!$A$1:$O$86,15,0)),0,VLOOKUP($S$319,'TAR FIN'!$A$1:$O$86,15,0))</f>
        <v>19.239999999999998</v>
      </c>
      <c r="W319" s="6">
        <f>IF(ISERROR(VLOOKUP($T$319,'TAR FIN'!$A$1:$O$86,15,0)),0,VLOOKUP($T$319,'TAR FIN'!$A$1:$O$86,15,0))</f>
        <v>0</v>
      </c>
      <c r="X319" s="6">
        <f>IF(ISERROR(VLOOKUP($U$319,'TAR FIN'!$A$1:$O$86,15,0)),0,VLOOKUP($U$319,'TAR FIN'!$A$1:$O$86,15,0))</f>
        <v>0</v>
      </c>
      <c r="Y319" s="6">
        <f ca="1">('TUSD BE'!$AM$11+'TUSD BF_350'!$AM$11+'TUSD CVA'!$AM$11)*1</f>
        <v>15.19295792072058</v>
      </c>
      <c r="Z319" s="6"/>
      <c r="AA319" s="6"/>
      <c r="AB319" s="6">
        <f>$K$319*$V$319</f>
        <v>76575.199999999997</v>
      </c>
      <c r="AC319" s="6">
        <f>$M$319*$W$319</f>
        <v>0</v>
      </c>
      <c r="AD319" s="6">
        <f>$O$319*$X$319</f>
        <v>0</v>
      </c>
      <c r="AE319" s="6">
        <f ca="1">$K$319*$Y$319</f>
        <v>60467.972524467914</v>
      </c>
      <c r="AF319" s="6">
        <f>$M$319*$Z$319</f>
        <v>0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38</v>
      </c>
      <c r="C320" s="4" t="s">
        <v>40</v>
      </c>
      <c r="D320" s="4" t="s">
        <v>37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44652</v>
      </c>
      <c r="J320" s="6">
        <v>3323</v>
      </c>
      <c r="K320" s="6">
        <v>3323</v>
      </c>
      <c r="L320" s="6">
        <v>0</v>
      </c>
      <c r="M320" s="6">
        <v>0</v>
      </c>
      <c r="N320" s="6">
        <v>0</v>
      </c>
      <c r="O320" s="6">
        <v>0</v>
      </c>
      <c r="P320" s="6">
        <v>20</v>
      </c>
      <c r="Q320" s="4" t="s">
        <v>26</v>
      </c>
      <c r="R320" s="4">
        <v>0</v>
      </c>
      <c r="S320" s="6">
        <v>18</v>
      </c>
      <c r="T320" s="6">
        <v>0</v>
      </c>
      <c r="U320" s="6">
        <v>0</v>
      </c>
      <c r="V320" s="6">
        <f>IF(ISERROR(VLOOKUP($S$320,'TAR FIN'!$A$1:$O$86,15,0)),0,VLOOKUP($S$320,'TAR FIN'!$A$1:$O$86,15,0))</f>
        <v>19.239999999999998</v>
      </c>
      <c r="W320" s="6">
        <f>IF(ISERROR(VLOOKUP($T$320,'TAR FIN'!$A$1:$O$86,15,0)),0,VLOOKUP($T$320,'TAR FIN'!$A$1:$O$86,15,0))</f>
        <v>0</v>
      </c>
      <c r="X320" s="6">
        <f>IF(ISERROR(VLOOKUP($U$320,'TAR FIN'!$A$1:$O$86,15,0)),0,VLOOKUP($U$320,'TAR FIN'!$A$1:$O$86,15,0))</f>
        <v>0</v>
      </c>
      <c r="Y320" s="6">
        <f ca="1">('TUSD BE'!$AM$11+'TUSD BF_350'!$AM$11+'TUSD CVA'!$AM$11)*1</f>
        <v>15.19295792072058</v>
      </c>
      <c r="Z320" s="6"/>
      <c r="AA320" s="6"/>
      <c r="AB320" s="6">
        <f>$K$320*$V$320</f>
        <v>63934.52</v>
      </c>
      <c r="AC320" s="6">
        <f>$M$320*$W$320</f>
        <v>0</v>
      </c>
      <c r="AD320" s="6">
        <f>$O$320*$X$320</f>
        <v>0</v>
      </c>
      <c r="AE320" s="6">
        <f ca="1">$K$320*$Y$320</f>
        <v>50486.199170554486</v>
      </c>
      <c r="AF320" s="6">
        <f>$M$320*$Z$320</f>
        <v>0</v>
      </c>
      <c r="AG320" s="6">
        <f>$O$320*$AA$320</f>
        <v>0</v>
      </c>
    </row>
    <row r="321" spans="1:33" ht="11.25" customHeight="1" x14ac:dyDescent="0.25">
      <c r="A321" s="4" t="s">
        <v>55</v>
      </c>
      <c r="B321" s="4" t="s">
        <v>38</v>
      </c>
      <c r="C321" s="4" t="s">
        <v>40</v>
      </c>
      <c r="D321" s="4" t="s">
        <v>37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44652</v>
      </c>
      <c r="J321" s="6">
        <v>4419</v>
      </c>
      <c r="K321" s="6">
        <v>4419</v>
      </c>
      <c r="L321" s="6">
        <v>0</v>
      </c>
      <c r="M321" s="6">
        <v>0</v>
      </c>
      <c r="N321" s="6">
        <v>0</v>
      </c>
      <c r="O321" s="6">
        <v>0</v>
      </c>
      <c r="P321" s="6">
        <v>13</v>
      </c>
      <c r="Q321" s="4" t="s">
        <v>26</v>
      </c>
      <c r="R321" s="4">
        <v>0</v>
      </c>
      <c r="S321" s="6">
        <v>18</v>
      </c>
      <c r="T321" s="6">
        <v>0</v>
      </c>
      <c r="U321" s="6">
        <v>0</v>
      </c>
      <c r="V321" s="6">
        <f>IF(ISERROR(VLOOKUP($S$321,'TAR FIN'!$A$1:$O$86,15,0)),0,VLOOKUP($S$321,'TAR FIN'!$A$1:$O$86,15,0))</f>
        <v>19.239999999999998</v>
      </c>
      <c r="W321" s="6">
        <f>IF(ISERROR(VLOOKUP($T$321,'TAR FIN'!$A$1:$O$86,15,0)),0,VLOOKUP($T$321,'TAR FIN'!$A$1:$O$86,15,0))</f>
        <v>0</v>
      </c>
      <c r="X321" s="6">
        <f>IF(ISERROR(VLOOKUP($U$321,'TAR FIN'!$A$1:$O$86,15,0)),0,VLOOKUP($U$321,'TAR FIN'!$A$1:$O$86,15,0))</f>
        <v>0</v>
      </c>
      <c r="Y321" s="6">
        <f ca="1">('TUSD BE'!$AM$11+'TUSD BF_350'!$AM$11+'TUSD CVA'!$AM$11)*1</f>
        <v>15.19295792072058</v>
      </c>
      <c r="Z321" s="6"/>
      <c r="AA321" s="6"/>
      <c r="AB321" s="6">
        <f>$K$321*$V$321</f>
        <v>85021.56</v>
      </c>
      <c r="AC321" s="6">
        <f>$M$321*$W$321</f>
        <v>0</v>
      </c>
      <c r="AD321" s="6">
        <f>$O$321*$X$321</f>
        <v>0</v>
      </c>
      <c r="AE321" s="6">
        <f ca="1">$K$321*$Y$321</f>
        <v>67137.681051664244</v>
      </c>
      <c r="AF321" s="6">
        <f>$M$321*$Z$321</f>
        <v>0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38</v>
      </c>
      <c r="C322" s="4" t="s">
        <v>40</v>
      </c>
      <c r="D322" s="4" t="s">
        <v>37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44682</v>
      </c>
      <c r="J322" s="6">
        <v>3170</v>
      </c>
      <c r="K322" s="6">
        <v>3170</v>
      </c>
      <c r="L322" s="6">
        <v>0</v>
      </c>
      <c r="M322" s="6">
        <v>0</v>
      </c>
      <c r="N322" s="6">
        <v>0</v>
      </c>
      <c r="O322" s="6">
        <v>0</v>
      </c>
      <c r="P322" s="6">
        <v>20</v>
      </c>
      <c r="Q322" s="4" t="s">
        <v>26</v>
      </c>
      <c r="R322" s="4">
        <v>0</v>
      </c>
      <c r="S322" s="6">
        <v>18</v>
      </c>
      <c r="T322" s="6">
        <v>0</v>
      </c>
      <c r="U322" s="6">
        <v>0</v>
      </c>
      <c r="V322" s="6">
        <f>IF(ISERROR(VLOOKUP($S$322,'TAR FIN'!$A$1:$O$86,15,0)),0,VLOOKUP($S$322,'TAR FIN'!$A$1:$O$86,15,0))</f>
        <v>19.239999999999998</v>
      </c>
      <c r="W322" s="6">
        <f>IF(ISERROR(VLOOKUP($T$322,'TAR FIN'!$A$1:$O$86,15,0)),0,VLOOKUP($T$322,'TAR FIN'!$A$1:$O$86,15,0))</f>
        <v>0</v>
      </c>
      <c r="X322" s="6">
        <f>IF(ISERROR(VLOOKUP($U$322,'TAR FIN'!$A$1:$O$86,15,0)),0,VLOOKUP($U$322,'TAR FIN'!$A$1:$O$86,15,0))</f>
        <v>0</v>
      </c>
      <c r="Y322" s="6">
        <f ca="1">('TUSD BE'!$AM$11+'TUSD BF_350'!$AM$11+'TUSD CVA'!$AM$11)*1</f>
        <v>15.19295792072058</v>
      </c>
      <c r="Z322" s="6"/>
      <c r="AA322" s="6"/>
      <c r="AB322" s="6">
        <f>$K$322*$V$322</f>
        <v>60990.799999999996</v>
      </c>
      <c r="AC322" s="6">
        <f>$M$322*$W$322</f>
        <v>0</v>
      </c>
      <c r="AD322" s="6">
        <f>$O$322*$X$322</f>
        <v>0</v>
      </c>
      <c r="AE322" s="6">
        <f ca="1">$K$322*$Y$322</f>
        <v>48161.67660868424</v>
      </c>
      <c r="AF322" s="6">
        <f>$M$322*$Z$322</f>
        <v>0</v>
      </c>
      <c r="AG322" s="6">
        <f>$O$322*$AA$322</f>
        <v>0</v>
      </c>
    </row>
    <row r="323" spans="1:33" ht="11.25" customHeight="1" x14ac:dyDescent="0.25">
      <c r="A323" s="4" t="s">
        <v>55</v>
      </c>
      <c r="B323" s="4" t="s">
        <v>38</v>
      </c>
      <c r="C323" s="4" t="s">
        <v>40</v>
      </c>
      <c r="D323" s="4" t="s">
        <v>37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44682</v>
      </c>
      <c r="J323" s="6">
        <v>4129</v>
      </c>
      <c r="K323" s="6">
        <v>4129</v>
      </c>
      <c r="L323" s="6">
        <v>0</v>
      </c>
      <c r="M323" s="6">
        <v>0</v>
      </c>
      <c r="N323" s="6">
        <v>0</v>
      </c>
      <c r="O323" s="6">
        <v>0</v>
      </c>
      <c r="P323" s="6">
        <v>13</v>
      </c>
      <c r="Q323" s="4" t="s">
        <v>26</v>
      </c>
      <c r="R323" s="4">
        <v>0</v>
      </c>
      <c r="S323" s="6">
        <v>18</v>
      </c>
      <c r="T323" s="6">
        <v>0</v>
      </c>
      <c r="U323" s="6">
        <v>0</v>
      </c>
      <c r="V323" s="6">
        <f>IF(ISERROR(VLOOKUP($S$323,'TAR FIN'!$A$1:$O$86,15,0)),0,VLOOKUP($S$323,'TAR FIN'!$A$1:$O$86,15,0))</f>
        <v>19.239999999999998</v>
      </c>
      <c r="W323" s="6">
        <f>IF(ISERROR(VLOOKUP($T$323,'TAR FIN'!$A$1:$O$86,15,0)),0,VLOOKUP($T$323,'TAR FIN'!$A$1:$O$86,15,0))</f>
        <v>0</v>
      </c>
      <c r="X323" s="6">
        <f>IF(ISERROR(VLOOKUP($U$323,'TAR FIN'!$A$1:$O$86,15,0)),0,VLOOKUP($U$323,'TAR FIN'!$A$1:$O$86,15,0))</f>
        <v>0</v>
      </c>
      <c r="Y323" s="6">
        <f ca="1">('TUSD BE'!$AM$11+'TUSD BF_350'!$AM$11+'TUSD CVA'!$AM$11)*1</f>
        <v>15.19295792072058</v>
      </c>
      <c r="Z323" s="6"/>
      <c r="AA323" s="6"/>
      <c r="AB323" s="6">
        <f>$K$323*$V$323</f>
        <v>79441.959999999992</v>
      </c>
      <c r="AC323" s="6">
        <f>$M$323*$W$323</f>
        <v>0</v>
      </c>
      <c r="AD323" s="6">
        <f>$O$323*$X$323</f>
        <v>0</v>
      </c>
      <c r="AE323" s="6">
        <f ca="1">$K$323*$Y$323</f>
        <v>62731.723254655277</v>
      </c>
      <c r="AF323" s="6">
        <f>$M$323*$Z$323</f>
        <v>0</v>
      </c>
      <c r="AG323" s="6">
        <f>$O$323*$AA$323</f>
        <v>0</v>
      </c>
    </row>
    <row r="324" spans="1:33" ht="11.25" customHeight="1" x14ac:dyDescent="0.25">
      <c r="A324" s="4" t="s">
        <v>56</v>
      </c>
      <c r="B324" s="4" t="s">
        <v>38</v>
      </c>
      <c r="C324" s="4" t="s">
        <v>40</v>
      </c>
      <c r="D324" s="4" t="s">
        <v>37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3170</v>
      </c>
      <c r="K324" s="6">
        <v>3170</v>
      </c>
      <c r="L324" s="6">
        <v>0</v>
      </c>
      <c r="M324" s="6">
        <v>0</v>
      </c>
      <c r="N324" s="6">
        <v>0</v>
      </c>
      <c r="O324" s="6">
        <v>0</v>
      </c>
      <c r="P324" s="6">
        <v>20</v>
      </c>
      <c r="Q324" s="4" t="s">
        <v>26</v>
      </c>
      <c r="R324" s="4">
        <v>0</v>
      </c>
      <c r="S324" s="6">
        <v>18</v>
      </c>
      <c r="T324" s="6">
        <v>0</v>
      </c>
      <c r="U324" s="6">
        <v>0</v>
      </c>
      <c r="V324" s="6">
        <f>IF(ISERROR(VLOOKUP($S$324,'TAR FIN'!$A$1:$O$86,15,0)),0,VLOOKUP($S$324,'TAR FIN'!$A$1:$O$86,15,0))</f>
        <v>19.239999999999998</v>
      </c>
      <c r="W324" s="6">
        <f>IF(ISERROR(VLOOKUP($T$324,'TAR FIN'!$A$1:$O$86,15,0)),0,VLOOKUP($T$324,'TAR FIN'!$A$1:$O$86,15,0))</f>
        <v>0</v>
      </c>
      <c r="X324" s="6">
        <f>IF(ISERROR(VLOOKUP($U$324,'TAR FIN'!$A$1:$O$86,15,0)),0,VLOOKUP($U$324,'TAR FIN'!$A$1:$O$86,15,0))</f>
        <v>0</v>
      </c>
      <c r="Y324" s="6">
        <f ca="1">('TUSD BE'!$AM$11+'TUSD BF_350'!$AM$11+'TUSD CVA'!$AM$11)*1</f>
        <v>15.19295792072058</v>
      </c>
      <c r="Z324" s="6"/>
      <c r="AA324" s="6"/>
      <c r="AB324" s="6">
        <f>$K$324*$V$324</f>
        <v>60990.799999999996</v>
      </c>
      <c r="AC324" s="6">
        <f>$M$324*$W$324</f>
        <v>0</v>
      </c>
      <c r="AD324" s="6">
        <f>$O$324*$X$324</f>
        <v>0</v>
      </c>
      <c r="AE324" s="6">
        <f ca="1">$K$324*$Y$324</f>
        <v>48161.67660868424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56</v>
      </c>
      <c r="B325" s="4" t="s">
        <v>38</v>
      </c>
      <c r="C325" s="4" t="s">
        <v>40</v>
      </c>
      <c r="D325" s="4" t="s">
        <v>37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44713</v>
      </c>
      <c r="J325" s="6">
        <v>4129</v>
      </c>
      <c r="K325" s="6">
        <v>4129</v>
      </c>
      <c r="L325" s="6">
        <v>0</v>
      </c>
      <c r="M325" s="6">
        <v>0</v>
      </c>
      <c r="N325" s="6">
        <v>0</v>
      </c>
      <c r="O325" s="6">
        <v>0</v>
      </c>
      <c r="P325" s="6">
        <v>13</v>
      </c>
      <c r="Q325" s="4" t="s">
        <v>26</v>
      </c>
      <c r="R325" s="4">
        <v>0</v>
      </c>
      <c r="S325" s="6">
        <v>18</v>
      </c>
      <c r="T325" s="6">
        <v>0</v>
      </c>
      <c r="U325" s="6">
        <v>0</v>
      </c>
      <c r="V325" s="6">
        <f>IF(ISERROR(VLOOKUP($S$325,'TAR FIN'!$A$1:$O$86,15,0)),0,VLOOKUP($S$325,'TAR FIN'!$A$1:$O$86,15,0))</f>
        <v>19.239999999999998</v>
      </c>
      <c r="W325" s="6">
        <f>IF(ISERROR(VLOOKUP($T$325,'TAR FIN'!$A$1:$O$86,15,0)),0,VLOOKUP($T$325,'TAR FIN'!$A$1:$O$86,15,0))</f>
        <v>0</v>
      </c>
      <c r="X325" s="6">
        <f>IF(ISERROR(VLOOKUP($U$325,'TAR FIN'!$A$1:$O$86,15,0)),0,VLOOKUP($U$325,'TAR FIN'!$A$1:$O$86,15,0))</f>
        <v>0</v>
      </c>
      <c r="Y325" s="6">
        <f ca="1">('TUSD BE'!$AM$11+'TUSD BF_350'!$AM$11+'TUSD CVA'!$AM$11)*1</f>
        <v>15.19295792072058</v>
      </c>
      <c r="Z325" s="6"/>
      <c r="AA325" s="6"/>
      <c r="AB325" s="6">
        <f>$K$325*$V$325</f>
        <v>79441.959999999992</v>
      </c>
      <c r="AC325" s="6">
        <f>$M$325*$W$325</f>
        <v>0</v>
      </c>
      <c r="AD325" s="6">
        <f>$O$325*$X$325</f>
        <v>0</v>
      </c>
      <c r="AE325" s="6">
        <f ca="1">$K$325*$Y$325</f>
        <v>62731.723254655277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38</v>
      </c>
      <c r="C326" s="4" t="s">
        <v>40</v>
      </c>
      <c r="D326" s="4" t="s">
        <v>37</v>
      </c>
      <c r="E326" s="4" t="s">
        <v>25</v>
      </c>
      <c r="F326" s="4" t="s">
        <v>25</v>
      </c>
      <c r="G326" s="4" t="s">
        <v>25</v>
      </c>
      <c r="H326" s="4" t="s">
        <v>33</v>
      </c>
      <c r="I326" s="5">
        <v>44378</v>
      </c>
      <c r="J326" s="6">
        <v>0</v>
      </c>
      <c r="K326" s="6">
        <v>0</v>
      </c>
      <c r="L326" s="6">
        <v>34.518000000000001</v>
      </c>
      <c r="M326" s="6">
        <v>34.518000000000001</v>
      </c>
      <c r="N326" s="6">
        <v>34.518000000000001</v>
      </c>
      <c r="O326" s="6">
        <v>34.518000000000001</v>
      </c>
      <c r="P326" s="6">
        <v>0</v>
      </c>
      <c r="Q326" s="4" t="s">
        <v>26</v>
      </c>
      <c r="R326" s="4">
        <v>0</v>
      </c>
      <c r="S326" s="6">
        <v>0</v>
      </c>
      <c r="T326" s="6">
        <v>16</v>
      </c>
      <c r="U326" s="6">
        <v>47</v>
      </c>
      <c r="V326" s="6">
        <f>IF(ISERROR(VLOOKUP($S$326,'TAR FIN'!$A$1:$O$86,15,0)),0,VLOOKUP($S$326,'TAR FIN'!$A$1:$O$86,15,0))</f>
        <v>0</v>
      </c>
      <c r="W326" s="6">
        <f>IF(ISERROR(VLOOKUP($T$326,'TAR FIN'!$A$1:$O$86,15,0)),0,VLOOKUP($T$326,'TAR FIN'!$A$1:$O$86,15,0))</f>
        <v>1329.67</v>
      </c>
      <c r="X326" s="6">
        <f>IF(ISERROR(VLOOKUP($U$326,'TAR FIN'!$A$1:$O$86,15,0)),0,VLOOKUP($U$326,'TAR FIN'!$A$1:$O$86,15,0))</f>
        <v>389.21</v>
      </c>
      <c r="Y326" s="6"/>
      <c r="Z326" s="6">
        <f ca="1">('TUSD BE'!$AM$12+'TUSD BF_350'!$AM$12+'TUSD CVA'!$AM$12)*1</f>
        <v>1074.3612836602365</v>
      </c>
      <c r="AA326" s="6">
        <f ca="1">('TE BE'!$AB$5+'TE BF_350'!$AB$5+'TE CVA'!$AB$5)*1</f>
        <v>353.55100010229148</v>
      </c>
      <c r="AB326" s="6">
        <f>$K$326*$V$326</f>
        <v>0</v>
      </c>
      <c r="AC326" s="6">
        <f>$M$326*$W$326</f>
        <v>45897.549060000005</v>
      </c>
      <c r="AD326" s="6">
        <f>$O$326*$X$326</f>
        <v>13434.75078</v>
      </c>
      <c r="AE326" s="6">
        <f>$K$326*$Y$326</f>
        <v>0</v>
      </c>
      <c r="AF326" s="6">
        <f ca="1">$M$326*$Z$326</f>
        <v>37084.802789384041</v>
      </c>
      <c r="AG326" s="6">
        <f ca="1">$O$326*$AA$326</f>
        <v>12203.873421530898</v>
      </c>
    </row>
    <row r="327" spans="1:33" ht="11.25" customHeight="1" x14ac:dyDescent="0.25">
      <c r="A327" s="4" t="s">
        <v>21</v>
      </c>
      <c r="B327" s="4" t="s">
        <v>38</v>
      </c>
      <c r="C327" s="4" t="s">
        <v>40</v>
      </c>
      <c r="D327" s="4" t="s">
        <v>37</v>
      </c>
      <c r="E327" s="4" t="s">
        <v>25</v>
      </c>
      <c r="F327" s="4" t="s">
        <v>25</v>
      </c>
      <c r="G327" s="4" t="s">
        <v>25</v>
      </c>
      <c r="H327" s="4" t="s">
        <v>33</v>
      </c>
      <c r="I327" s="5">
        <v>44409</v>
      </c>
      <c r="J327" s="6">
        <v>0</v>
      </c>
      <c r="K327" s="6">
        <v>0</v>
      </c>
      <c r="L327" s="6">
        <v>35.642000000000003</v>
      </c>
      <c r="M327" s="6">
        <v>35.642000000000003</v>
      </c>
      <c r="N327" s="6">
        <v>35.642000000000003</v>
      </c>
      <c r="O327" s="6">
        <v>35.642000000000003</v>
      </c>
      <c r="P327" s="6">
        <v>0</v>
      </c>
      <c r="Q327" s="4" t="s">
        <v>26</v>
      </c>
      <c r="R327" s="4">
        <v>0</v>
      </c>
      <c r="S327" s="6">
        <v>0</v>
      </c>
      <c r="T327" s="6">
        <v>16</v>
      </c>
      <c r="U327" s="6">
        <v>47</v>
      </c>
      <c r="V327" s="6">
        <f>IF(ISERROR(VLOOKUP($S$327,'TAR FIN'!$A$1:$O$86,15,0)),0,VLOOKUP($S$327,'TAR FIN'!$A$1:$O$86,15,0))</f>
        <v>0</v>
      </c>
      <c r="W327" s="6">
        <f>IF(ISERROR(VLOOKUP($T$327,'TAR FIN'!$A$1:$O$86,15,0)),0,VLOOKUP($T$327,'TAR FIN'!$A$1:$O$86,15,0))</f>
        <v>1329.67</v>
      </c>
      <c r="X327" s="6">
        <f>IF(ISERROR(VLOOKUP($U$327,'TAR FIN'!$A$1:$O$86,15,0)),0,VLOOKUP($U$327,'TAR FIN'!$A$1:$O$86,15,0))</f>
        <v>389.21</v>
      </c>
      <c r="Y327" s="6"/>
      <c r="Z327" s="6">
        <f ca="1">('TUSD BE'!$AM$12+'TUSD BF_350'!$AM$12+'TUSD CVA'!$AM$12)*1</f>
        <v>1074.3612836602365</v>
      </c>
      <c r="AA327" s="6">
        <f ca="1">('TE BE'!$AB$5+'TE BF_350'!$AB$5+'TE CVA'!$AB$5)*1</f>
        <v>353.55100010229148</v>
      </c>
      <c r="AB327" s="6">
        <f>$K$327*$V$327</f>
        <v>0</v>
      </c>
      <c r="AC327" s="6">
        <f>$M$327*$W$327</f>
        <v>47392.098140000009</v>
      </c>
      <c r="AD327" s="6">
        <f>$O$327*$X$327</f>
        <v>13872.222820000001</v>
      </c>
      <c r="AE327" s="6">
        <f>$K$327*$Y$327</f>
        <v>0</v>
      </c>
      <c r="AF327" s="6">
        <f ca="1">$M$327*$Z$327</f>
        <v>38292.38487221815</v>
      </c>
      <c r="AG327" s="6">
        <f ca="1">$O$327*$AA$327</f>
        <v>12601.264745645874</v>
      </c>
    </row>
    <row r="328" spans="1:33" ht="11.25" customHeight="1" x14ac:dyDescent="0.25">
      <c r="A328" s="4" t="s">
        <v>55</v>
      </c>
      <c r="B328" s="4" t="s">
        <v>38</v>
      </c>
      <c r="C328" s="4" t="s">
        <v>40</v>
      </c>
      <c r="D328" s="4" t="s">
        <v>37</v>
      </c>
      <c r="E328" s="4" t="s">
        <v>25</v>
      </c>
      <c r="F328" s="4" t="s">
        <v>25</v>
      </c>
      <c r="G328" s="4" t="s">
        <v>25</v>
      </c>
      <c r="H328" s="4" t="s">
        <v>33</v>
      </c>
      <c r="I328" s="5">
        <v>44409</v>
      </c>
      <c r="J328" s="6">
        <v>0</v>
      </c>
      <c r="K328" s="6">
        <v>0</v>
      </c>
      <c r="L328" s="6">
        <v>20.943000000000001</v>
      </c>
      <c r="M328" s="6">
        <v>20.943000000000001</v>
      </c>
      <c r="N328" s="6">
        <v>20.943000000000001</v>
      </c>
      <c r="O328" s="6">
        <v>20.943000000000001</v>
      </c>
      <c r="P328" s="6">
        <v>0</v>
      </c>
      <c r="Q328" s="4" t="s">
        <v>26</v>
      </c>
      <c r="R328" s="4">
        <v>0</v>
      </c>
      <c r="S328" s="6">
        <v>0</v>
      </c>
      <c r="T328" s="6">
        <v>16</v>
      </c>
      <c r="U328" s="6">
        <v>47</v>
      </c>
      <c r="V328" s="6">
        <f>IF(ISERROR(VLOOKUP($S$328,'TAR FIN'!$A$1:$O$86,15,0)),0,VLOOKUP($S$328,'TAR FIN'!$A$1:$O$86,15,0))</f>
        <v>0</v>
      </c>
      <c r="W328" s="6">
        <f>IF(ISERROR(VLOOKUP($T$328,'TAR FIN'!$A$1:$O$86,15,0)),0,VLOOKUP($T$328,'TAR FIN'!$A$1:$O$86,15,0))</f>
        <v>1329.67</v>
      </c>
      <c r="X328" s="6">
        <f>IF(ISERROR(VLOOKUP($U$328,'TAR FIN'!$A$1:$O$86,15,0)),0,VLOOKUP($U$328,'TAR FIN'!$A$1:$O$86,15,0))</f>
        <v>389.21</v>
      </c>
      <c r="Y328" s="6"/>
      <c r="Z328" s="6">
        <f ca="1">('TUSD BE'!$AM$12+'TUSD BF_350'!$AM$12+'TUSD CVA'!$AM$12)*1</f>
        <v>1074.3612836602365</v>
      </c>
      <c r="AA328" s="6">
        <f ca="1">('TE BE'!$AB$5+'TE BF_350'!$AB$5+'TE CVA'!$AB$5)*1</f>
        <v>353.55100010229148</v>
      </c>
      <c r="AB328" s="6">
        <f>$K$328*$V$328</f>
        <v>0</v>
      </c>
      <c r="AC328" s="6">
        <f>$M$328*$W$328</f>
        <v>27847.278810000003</v>
      </c>
      <c r="AD328" s="6">
        <f>$O$328*$X$328</f>
        <v>8151.2250300000005</v>
      </c>
      <c r="AE328" s="6">
        <f>$K$328*$Y$328</f>
        <v>0</v>
      </c>
      <c r="AF328" s="6">
        <f ca="1">$M$328*$Z$328</f>
        <v>22500.348363696336</v>
      </c>
      <c r="AG328" s="6">
        <f ca="1">$O$328*$AA$328</f>
        <v>7404.4185951422915</v>
      </c>
    </row>
    <row r="329" spans="1:33" ht="11.25" customHeight="1" x14ac:dyDescent="0.25">
      <c r="A329" s="4" t="s">
        <v>21</v>
      </c>
      <c r="B329" s="4" t="s">
        <v>38</v>
      </c>
      <c r="C329" s="4" t="s">
        <v>40</v>
      </c>
      <c r="D329" s="4" t="s">
        <v>37</v>
      </c>
      <c r="E329" s="4" t="s">
        <v>25</v>
      </c>
      <c r="F329" s="4" t="s">
        <v>25</v>
      </c>
      <c r="G329" s="4" t="s">
        <v>25</v>
      </c>
      <c r="H329" s="4" t="s">
        <v>33</v>
      </c>
      <c r="I329" s="5">
        <v>44440</v>
      </c>
      <c r="J329" s="6">
        <v>0</v>
      </c>
      <c r="K329" s="6">
        <v>0</v>
      </c>
      <c r="L329" s="6">
        <v>34.057000000000002</v>
      </c>
      <c r="M329" s="6">
        <v>34.057000000000002</v>
      </c>
      <c r="N329" s="6">
        <v>34.057000000000002</v>
      </c>
      <c r="O329" s="6">
        <v>34.057000000000002</v>
      </c>
      <c r="P329" s="6">
        <v>0</v>
      </c>
      <c r="Q329" s="4" t="s">
        <v>26</v>
      </c>
      <c r="R329" s="4">
        <v>0</v>
      </c>
      <c r="S329" s="6">
        <v>0</v>
      </c>
      <c r="T329" s="6">
        <v>16</v>
      </c>
      <c r="U329" s="6">
        <v>47</v>
      </c>
      <c r="V329" s="6">
        <f>IF(ISERROR(VLOOKUP($S$329,'TAR FIN'!$A$1:$O$86,15,0)),0,VLOOKUP($S$329,'TAR FIN'!$A$1:$O$86,15,0))</f>
        <v>0</v>
      </c>
      <c r="W329" s="6">
        <f>IF(ISERROR(VLOOKUP($T$329,'TAR FIN'!$A$1:$O$86,15,0)),0,VLOOKUP($T$329,'TAR FIN'!$A$1:$O$86,15,0))</f>
        <v>1329.67</v>
      </c>
      <c r="X329" s="6">
        <f>IF(ISERROR(VLOOKUP($U$329,'TAR FIN'!$A$1:$O$86,15,0)),0,VLOOKUP($U$329,'TAR FIN'!$A$1:$O$86,15,0))</f>
        <v>389.21</v>
      </c>
      <c r="Y329" s="6"/>
      <c r="Z329" s="6">
        <f ca="1">('TUSD BE'!$AM$12+'TUSD BF_350'!$AM$12+'TUSD CVA'!$AM$12)*1</f>
        <v>1074.3612836602365</v>
      </c>
      <c r="AA329" s="6">
        <f ca="1">('TE BE'!$AB$5+'TE BF_350'!$AB$5+'TE CVA'!$AB$5)*1</f>
        <v>353.55100010229148</v>
      </c>
      <c r="AB329" s="6">
        <f>$K$329*$V$329</f>
        <v>0</v>
      </c>
      <c r="AC329" s="6">
        <f>$M$329*$W$329</f>
        <v>45284.571190000002</v>
      </c>
      <c r="AD329" s="6">
        <f>$O$329*$X$329</f>
        <v>13255.32497</v>
      </c>
      <c r="AE329" s="6">
        <f>$K$329*$Y$329</f>
        <v>0</v>
      </c>
      <c r="AF329" s="6">
        <f ca="1">$M$329*$Z$329</f>
        <v>36589.522237616678</v>
      </c>
      <c r="AG329" s="6">
        <f ca="1">$O$329*$AA$329</f>
        <v>12040.886410483741</v>
      </c>
    </row>
    <row r="330" spans="1:33" ht="11.25" customHeight="1" x14ac:dyDescent="0.25">
      <c r="A330" s="4" t="s">
        <v>55</v>
      </c>
      <c r="B330" s="4" t="s">
        <v>38</v>
      </c>
      <c r="C330" s="4" t="s">
        <v>40</v>
      </c>
      <c r="D330" s="4" t="s">
        <v>37</v>
      </c>
      <c r="E330" s="4" t="s">
        <v>25</v>
      </c>
      <c r="F330" s="4" t="s">
        <v>25</v>
      </c>
      <c r="G330" s="4" t="s">
        <v>25</v>
      </c>
      <c r="H330" s="4" t="s">
        <v>33</v>
      </c>
      <c r="I330" s="5">
        <v>44440</v>
      </c>
      <c r="J330" s="6">
        <v>0</v>
      </c>
      <c r="K330" s="6">
        <v>0</v>
      </c>
      <c r="L330" s="6">
        <v>16.451000000000001</v>
      </c>
      <c r="M330" s="6">
        <v>16.451000000000001</v>
      </c>
      <c r="N330" s="6">
        <v>16.451000000000001</v>
      </c>
      <c r="O330" s="6">
        <v>16.451000000000001</v>
      </c>
      <c r="P330" s="6">
        <v>0</v>
      </c>
      <c r="Q330" s="4" t="s">
        <v>26</v>
      </c>
      <c r="R330" s="4">
        <v>0</v>
      </c>
      <c r="S330" s="6">
        <v>0</v>
      </c>
      <c r="T330" s="6">
        <v>16</v>
      </c>
      <c r="U330" s="6">
        <v>47</v>
      </c>
      <c r="V330" s="6">
        <f>IF(ISERROR(VLOOKUP($S$330,'TAR FIN'!$A$1:$O$86,15,0)),0,VLOOKUP($S$330,'TAR FIN'!$A$1:$O$86,15,0))</f>
        <v>0</v>
      </c>
      <c r="W330" s="6">
        <f>IF(ISERROR(VLOOKUP($T$330,'TAR FIN'!$A$1:$O$86,15,0)),0,VLOOKUP($T$330,'TAR FIN'!$A$1:$O$86,15,0))</f>
        <v>1329.67</v>
      </c>
      <c r="X330" s="6">
        <f>IF(ISERROR(VLOOKUP($U$330,'TAR FIN'!$A$1:$O$86,15,0)),0,VLOOKUP($U$330,'TAR FIN'!$A$1:$O$86,15,0))</f>
        <v>389.21</v>
      </c>
      <c r="Y330" s="6"/>
      <c r="Z330" s="6">
        <f ca="1">('TUSD BE'!$AM$12+'TUSD BF_350'!$AM$12+'TUSD CVA'!$AM$12)*1</f>
        <v>1074.3612836602365</v>
      </c>
      <c r="AA330" s="6">
        <f ca="1">('TE BE'!$AB$5+'TE BF_350'!$AB$5+'TE CVA'!$AB$5)*1</f>
        <v>353.55100010229148</v>
      </c>
      <c r="AB330" s="6">
        <f>$K$330*$V$330</f>
        <v>0</v>
      </c>
      <c r="AC330" s="6">
        <f>$M$330*$W$330</f>
        <v>21874.401170000001</v>
      </c>
      <c r="AD330" s="6">
        <f>$O$330*$X$330</f>
        <v>6402.8937100000003</v>
      </c>
      <c r="AE330" s="6">
        <f>$K$330*$Y$330</f>
        <v>0</v>
      </c>
      <c r="AF330" s="6">
        <f ca="1">$M$330*$Z$330</f>
        <v>17674.317477494551</v>
      </c>
      <c r="AG330" s="6">
        <f ca="1">$O$330*$AA$330</f>
        <v>5816.2675026827974</v>
      </c>
    </row>
    <row r="331" spans="1:33" ht="11.25" customHeight="1" x14ac:dyDescent="0.25">
      <c r="A331" s="4" t="s">
        <v>21</v>
      </c>
      <c r="B331" s="4" t="s">
        <v>38</v>
      </c>
      <c r="C331" s="4" t="s">
        <v>40</v>
      </c>
      <c r="D331" s="4" t="s">
        <v>37</v>
      </c>
      <c r="E331" s="4" t="s">
        <v>25</v>
      </c>
      <c r="F331" s="4" t="s">
        <v>25</v>
      </c>
      <c r="G331" s="4" t="s">
        <v>25</v>
      </c>
      <c r="H331" s="4" t="s">
        <v>33</v>
      </c>
      <c r="I331" s="5">
        <v>44470</v>
      </c>
      <c r="J331" s="6">
        <v>0</v>
      </c>
      <c r="K331" s="6">
        <v>0</v>
      </c>
      <c r="L331" s="6">
        <v>25.83</v>
      </c>
      <c r="M331" s="6">
        <v>25.83</v>
      </c>
      <c r="N331" s="6">
        <v>25.83</v>
      </c>
      <c r="O331" s="6">
        <v>25.83</v>
      </c>
      <c r="P331" s="6">
        <v>0</v>
      </c>
      <c r="Q331" s="4" t="s">
        <v>26</v>
      </c>
      <c r="R331" s="4">
        <v>0</v>
      </c>
      <c r="S331" s="6">
        <v>0</v>
      </c>
      <c r="T331" s="6">
        <v>16</v>
      </c>
      <c r="U331" s="6">
        <v>47</v>
      </c>
      <c r="V331" s="6">
        <f>IF(ISERROR(VLOOKUP($S$331,'TAR FIN'!$A$1:$O$86,15,0)),0,VLOOKUP($S$331,'TAR FIN'!$A$1:$O$86,15,0))</f>
        <v>0</v>
      </c>
      <c r="W331" s="6">
        <f>IF(ISERROR(VLOOKUP($T$331,'TAR FIN'!$A$1:$O$86,15,0)),0,VLOOKUP($T$331,'TAR FIN'!$A$1:$O$86,15,0))</f>
        <v>1329.67</v>
      </c>
      <c r="X331" s="6">
        <f>IF(ISERROR(VLOOKUP($U$331,'TAR FIN'!$A$1:$O$86,15,0)),0,VLOOKUP($U$331,'TAR FIN'!$A$1:$O$86,15,0))</f>
        <v>389.21</v>
      </c>
      <c r="Y331" s="6"/>
      <c r="Z331" s="6">
        <f ca="1">('TUSD BE'!$AM$12+'TUSD BF_350'!$AM$12+'TUSD CVA'!$AM$12)*1</f>
        <v>1074.3612836602365</v>
      </c>
      <c r="AA331" s="6">
        <f ca="1">('TE BE'!$AB$5+'TE BF_350'!$AB$5+'TE CVA'!$AB$5)*1</f>
        <v>353.55100010229148</v>
      </c>
      <c r="AB331" s="6">
        <f>$K$331*$V$331</f>
        <v>0</v>
      </c>
      <c r="AC331" s="6">
        <f>$M$331*$W$331</f>
        <v>34345.376100000001</v>
      </c>
      <c r="AD331" s="6">
        <f>$O$331*$X$331</f>
        <v>10053.2943</v>
      </c>
      <c r="AE331" s="6">
        <f>$K$331*$Y$331</f>
        <v>0</v>
      </c>
      <c r="AF331" s="6">
        <f ca="1">$M$331*$Z$331</f>
        <v>27750.751956943906</v>
      </c>
      <c r="AG331" s="6">
        <f ca="1">$O$331*$AA$331</f>
        <v>9132.2223326421881</v>
      </c>
    </row>
    <row r="332" spans="1:33" ht="11.25" customHeight="1" x14ac:dyDescent="0.25">
      <c r="A332" s="4" t="s">
        <v>55</v>
      </c>
      <c r="B332" s="4" t="s">
        <v>38</v>
      </c>
      <c r="C332" s="4" t="s">
        <v>40</v>
      </c>
      <c r="D332" s="4" t="s">
        <v>37</v>
      </c>
      <c r="E332" s="4" t="s">
        <v>25</v>
      </c>
      <c r="F332" s="4" t="s">
        <v>25</v>
      </c>
      <c r="G332" s="4" t="s">
        <v>25</v>
      </c>
      <c r="H332" s="4" t="s">
        <v>33</v>
      </c>
      <c r="I332" s="5">
        <v>44470</v>
      </c>
      <c r="J332" s="6">
        <v>0</v>
      </c>
      <c r="K332" s="6">
        <v>0</v>
      </c>
      <c r="L332" s="6">
        <v>18.449000000000002</v>
      </c>
      <c r="M332" s="6">
        <v>18.449000000000002</v>
      </c>
      <c r="N332" s="6">
        <v>18.449000000000002</v>
      </c>
      <c r="O332" s="6">
        <v>18.449000000000002</v>
      </c>
      <c r="P332" s="6">
        <v>0</v>
      </c>
      <c r="Q332" s="4" t="s">
        <v>26</v>
      </c>
      <c r="R332" s="4">
        <v>0</v>
      </c>
      <c r="S332" s="6">
        <v>0</v>
      </c>
      <c r="T332" s="6">
        <v>16</v>
      </c>
      <c r="U332" s="6">
        <v>47</v>
      </c>
      <c r="V332" s="6">
        <f>IF(ISERROR(VLOOKUP($S$332,'TAR FIN'!$A$1:$O$86,15,0)),0,VLOOKUP($S$332,'TAR FIN'!$A$1:$O$86,15,0))</f>
        <v>0</v>
      </c>
      <c r="W332" s="6">
        <f>IF(ISERROR(VLOOKUP($T$332,'TAR FIN'!$A$1:$O$86,15,0)),0,VLOOKUP($T$332,'TAR FIN'!$A$1:$O$86,15,0))</f>
        <v>1329.67</v>
      </c>
      <c r="X332" s="6">
        <f>IF(ISERROR(VLOOKUP($U$332,'TAR FIN'!$A$1:$O$86,15,0)),0,VLOOKUP($U$332,'TAR FIN'!$A$1:$O$86,15,0))</f>
        <v>389.21</v>
      </c>
      <c r="Y332" s="6"/>
      <c r="Z332" s="6">
        <f ca="1">('TUSD BE'!$AM$12+'TUSD BF_350'!$AM$12+'TUSD CVA'!$AM$12)*1</f>
        <v>1074.3612836602365</v>
      </c>
      <c r="AA332" s="6">
        <f ca="1">('TE BE'!$AB$5+'TE BF_350'!$AB$5+'TE CVA'!$AB$5)*1</f>
        <v>353.55100010229148</v>
      </c>
      <c r="AB332" s="6">
        <f>$K$332*$V$332</f>
        <v>0</v>
      </c>
      <c r="AC332" s="6">
        <f>$M$332*$W$332</f>
        <v>24531.081830000003</v>
      </c>
      <c r="AD332" s="6">
        <f>$O$332*$X$332</f>
        <v>7180.5352899999998</v>
      </c>
      <c r="AE332" s="6">
        <f>$K$332*$Y$332</f>
        <v>0</v>
      </c>
      <c r="AF332" s="6">
        <f ca="1">$M$332*$Z$332</f>
        <v>19820.891322247706</v>
      </c>
      <c r="AG332" s="6">
        <f ca="1">$O$332*$AA$332</f>
        <v>6522.6624008871759</v>
      </c>
    </row>
    <row r="333" spans="1:33" ht="11.25" customHeight="1" x14ac:dyDescent="0.25">
      <c r="A333" s="4" t="s">
        <v>21</v>
      </c>
      <c r="B333" s="4" t="s">
        <v>38</v>
      </c>
      <c r="C333" s="4" t="s">
        <v>40</v>
      </c>
      <c r="D333" s="4" t="s">
        <v>37</v>
      </c>
      <c r="E333" s="4" t="s">
        <v>25</v>
      </c>
      <c r="F333" s="4" t="s">
        <v>25</v>
      </c>
      <c r="G333" s="4" t="s">
        <v>25</v>
      </c>
      <c r="H333" s="4" t="s">
        <v>33</v>
      </c>
      <c r="I333" s="5">
        <v>44501</v>
      </c>
      <c r="J333" s="6">
        <v>0</v>
      </c>
      <c r="K333" s="6">
        <v>0</v>
      </c>
      <c r="L333" s="6">
        <v>30.093</v>
      </c>
      <c r="M333" s="6">
        <v>30.093</v>
      </c>
      <c r="N333" s="6">
        <v>30.093</v>
      </c>
      <c r="O333" s="6">
        <v>30.093</v>
      </c>
      <c r="P333" s="6">
        <v>0</v>
      </c>
      <c r="Q333" s="4" t="s">
        <v>26</v>
      </c>
      <c r="R333" s="4">
        <v>0</v>
      </c>
      <c r="S333" s="6">
        <v>0</v>
      </c>
      <c r="T333" s="6">
        <v>16</v>
      </c>
      <c r="U333" s="6">
        <v>47</v>
      </c>
      <c r="V333" s="6">
        <f>IF(ISERROR(VLOOKUP($S$333,'TAR FIN'!$A$1:$O$86,15,0)),0,VLOOKUP($S$333,'TAR FIN'!$A$1:$O$86,15,0))</f>
        <v>0</v>
      </c>
      <c r="W333" s="6">
        <f>IF(ISERROR(VLOOKUP($T$333,'TAR FIN'!$A$1:$O$86,15,0)),0,VLOOKUP($T$333,'TAR FIN'!$A$1:$O$86,15,0))</f>
        <v>1329.67</v>
      </c>
      <c r="X333" s="6">
        <f>IF(ISERROR(VLOOKUP($U$333,'TAR FIN'!$A$1:$O$86,15,0)),0,VLOOKUP($U$333,'TAR FIN'!$A$1:$O$86,15,0))</f>
        <v>389.21</v>
      </c>
      <c r="Y333" s="6"/>
      <c r="Z333" s="6">
        <f ca="1">('TUSD BE'!$AM$12+'TUSD BF_350'!$AM$12+'TUSD CVA'!$AM$12)*1</f>
        <v>1074.3612836602365</v>
      </c>
      <c r="AA333" s="6">
        <f ca="1">('TE BE'!$AB$5+'TE BF_350'!$AB$5+'TE CVA'!$AB$5)*1</f>
        <v>353.55100010229148</v>
      </c>
      <c r="AB333" s="6">
        <f>$K$333*$V$333</f>
        <v>0</v>
      </c>
      <c r="AC333" s="6">
        <f>$M$333*$W$333</f>
        <v>40013.759310000001</v>
      </c>
      <c r="AD333" s="6">
        <f>$O$333*$X$333</f>
        <v>11712.496529999999</v>
      </c>
      <c r="AE333" s="6">
        <f>$K$333*$Y$333</f>
        <v>0</v>
      </c>
      <c r="AF333" s="6">
        <f ca="1">$M$333*$Z$333</f>
        <v>32330.754109187495</v>
      </c>
      <c r="AG333" s="6">
        <f ca="1">$O$333*$AA$333</f>
        <v>10639.410246078258</v>
      </c>
    </row>
    <row r="334" spans="1:33" ht="11.25" customHeight="1" x14ac:dyDescent="0.25">
      <c r="A334" s="4" t="s">
        <v>55</v>
      </c>
      <c r="B334" s="4" t="s">
        <v>38</v>
      </c>
      <c r="C334" s="4" t="s">
        <v>40</v>
      </c>
      <c r="D334" s="4" t="s">
        <v>37</v>
      </c>
      <c r="E334" s="4" t="s">
        <v>25</v>
      </c>
      <c r="F334" s="4" t="s">
        <v>25</v>
      </c>
      <c r="G334" s="4" t="s">
        <v>25</v>
      </c>
      <c r="H334" s="4" t="s">
        <v>33</v>
      </c>
      <c r="I334" s="5">
        <v>44501</v>
      </c>
      <c r="J334" s="6">
        <v>0</v>
      </c>
      <c r="K334" s="6">
        <v>0</v>
      </c>
      <c r="L334" s="6">
        <v>17.776</v>
      </c>
      <c r="M334" s="6">
        <v>17.776</v>
      </c>
      <c r="N334" s="6">
        <v>17.776</v>
      </c>
      <c r="O334" s="6">
        <v>17.776</v>
      </c>
      <c r="P334" s="6">
        <v>0</v>
      </c>
      <c r="Q334" s="4" t="s">
        <v>26</v>
      </c>
      <c r="R334" s="4">
        <v>0</v>
      </c>
      <c r="S334" s="6">
        <v>0</v>
      </c>
      <c r="T334" s="6">
        <v>16</v>
      </c>
      <c r="U334" s="6">
        <v>47</v>
      </c>
      <c r="V334" s="6">
        <f>IF(ISERROR(VLOOKUP($S$334,'TAR FIN'!$A$1:$O$86,15,0)),0,VLOOKUP($S$334,'TAR FIN'!$A$1:$O$86,15,0))</f>
        <v>0</v>
      </c>
      <c r="W334" s="6">
        <f>IF(ISERROR(VLOOKUP($T$334,'TAR FIN'!$A$1:$O$86,15,0)),0,VLOOKUP($T$334,'TAR FIN'!$A$1:$O$86,15,0))</f>
        <v>1329.67</v>
      </c>
      <c r="X334" s="6">
        <f>IF(ISERROR(VLOOKUP($U$334,'TAR FIN'!$A$1:$O$86,15,0)),0,VLOOKUP($U$334,'TAR FIN'!$A$1:$O$86,15,0))</f>
        <v>389.21</v>
      </c>
      <c r="Y334" s="6"/>
      <c r="Z334" s="6">
        <f ca="1">('TUSD BE'!$AM$12+'TUSD BF_350'!$AM$12+'TUSD CVA'!$AM$12)*1</f>
        <v>1074.3612836602365</v>
      </c>
      <c r="AA334" s="6">
        <f ca="1">('TE BE'!$AB$5+'TE BF_350'!$AB$5+'TE CVA'!$AB$5)*1</f>
        <v>353.55100010229148</v>
      </c>
      <c r="AB334" s="6">
        <f>$K$334*$V$334</f>
        <v>0</v>
      </c>
      <c r="AC334" s="6">
        <f>$M$334*$W$334</f>
        <v>23636.213920000002</v>
      </c>
      <c r="AD334" s="6">
        <f>$O$334*$X$334</f>
        <v>6918.5969599999999</v>
      </c>
      <c r="AE334" s="6">
        <f>$K$334*$Y$334</f>
        <v>0</v>
      </c>
      <c r="AF334" s="6">
        <f ca="1">$M$334*$Z$334</f>
        <v>19097.846178344364</v>
      </c>
      <c r="AG334" s="6">
        <f ca="1">$O$334*$AA$334</f>
        <v>6284.7225778183329</v>
      </c>
    </row>
    <row r="335" spans="1:33" ht="11.25" customHeight="1" x14ac:dyDescent="0.25">
      <c r="A335" s="4" t="s">
        <v>21</v>
      </c>
      <c r="B335" s="4" t="s">
        <v>38</v>
      </c>
      <c r="C335" s="4" t="s">
        <v>40</v>
      </c>
      <c r="D335" s="4" t="s">
        <v>37</v>
      </c>
      <c r="E335" s="4" t="s">
        <v>25</v>
      </c>
      <c r="F335" s="4" t="s">
        <v>25</v>
      </c>
      <c r="G335" s="4" t="s">
        <v>25</v>
      </c>
      <c r="H335" s="4" t="s">
        <v>33</v>
      </c>
      <c r="I335" s="5">
        <v>44531</v>
      </c>
      <c r="J335" s="6">
        <v>0</v>
      </c>
      <c r="K335" s="6">
        <v>0</v>
      </c>
      <c r="L335" s="6">
        <v>25.414000000000001</v>
      </c>
      <c r="M335" s="6">
        <v>25.414000000000001</v>
      </c>
      <c r="N335" s="6">
        <v>25.414000000000001</v>
      </c>
      <c r="O335" s="6">
        <v>25.414000000000001</v>
      </c>
      <c r="P335" s="6">
        <v>0</v>
      </c>
      <c r="Q335" s="4" t="s">
        <v>26</v>
      </c>
      <c r="R335" s="4">
        <v>0</v>
      </c>
      <c r="S335" s="6">
        <v>0</v>
      </c>
      <c r="T335" s="6">
        <v>16</v>
      </c>
      <c r="U335" s="6">
        <v>47</v>
      </c>
      <c r="V335" s="6">
        <f>IF(ISERROR(VLOOKUP($S$335,'TAR FIN'!$A$1:$O$86,15,0)),0,VLOOKUP($S$335,'TAR FIN'!$A$1:$O$86,15,0))</f>
        <v>0</v>
      </c>
      <c r="W335" s="6">
        <f>IF(ISERROR(VLOOKUP($T$335,'TAR FIN'!$A$1:$O$86,15,0)),0,VLOOKUP($T$335,'TAR FIN'!$A$1:$O$86,15,0))</f>
        <v>1329.67</v>
      </c>
      <c r="X335" s="6">
        <f>IF(ISERROR(VLOOKUP($U$335,'TAR FIN'!$A$1:$O$86,15,0)),0,VLOOKUP($U$335,'TAR FIN'!$A$1:$O$86,15,0))</f>
        <v>389.21</v>
      </c>
      <c r="Y335" s="6"/>
      <c r="Z335" s="6">
        <f ca="1">('TUSD BE'!$AM$12+'TUSD BF_350'!$AM$12+'TUSD CVA'!$AM$12)*1</f>
        <v>1074.3612836602365</v>
      </c>
      <c r="AA335" s="6">
        <f ca="1">('TE BE'!$AB$5+'TE BF_350'!$AB$5+'TE CVA'!$AB$5)*1</f>
        <v>353.55100010229148</v>
      </c>
      <c r="AB335" s="6">
        <f>$K$335*$V$335</f>
        <v>0</v>
      </c>
      <c r="AC335" s="6">
        <f>$M$335*$W$335</f>
        <v>33792.233380000005</v>
      </c>
      <c r="AD335" s="6">
        <f>$O$335*$X$335</f>
        <v>9891.3829399999995</v>
      </c>
      <c r="AE335" s="6">
        <f>$K$335*$Y$335</f>
        <v>0</v>
      </c>
      <c r="AF335" s="6">
        <f ca="1">$M$335*$Z$335</f>
        <v>27303.817662941252</v>
      </c>
      <c r="AG335" s="6">
        <f ca="1">$O$335*$AA$335</f>
        <v>8985.1451165996368</v>
      </c>
    </row>
    <row r="336" spans="1:33" ht="11.25" customHeight="1" x14ac:dyDescent="0.25">
      <c r="A336" s="4" t="s">
        <v>55</v>
      </c>
      <c r="B336" s="4" t="s">
        <v>38</v>
      </c>
      <c r="C336" s="4" t="s">
        <v>40</v>
      </c>
      <c r="D336" s="4" t="s">
        <v>37</v>
      </c>
      <c r="E336" s="4" t="s">
        <v>25</v>
      </c>
      <c r="F336" s="4" t="s">
        <v>25</v>
      </c>
      <c r="G336" s="4" t="s">
        <v>25</v>
      </c>
      <c r="H336" s="4" t="s">
        <v>33</v>
      </c>
      <c r="I336" s="5">
        <v>44531</v>
      </c>
      <c r="J336" s="6">
        <v>0</v>
      </c>
      <c r="K336" s="6">
        <v>0</v>
      </c>
      <c r="L336" s="6">
        <v>21.821999999999999</v>
      </c>
      <c r="M336" s="6">
        <v>21.821999999999999</v>
      </c>
      <c r="N336" s="6">
        <v>21.821999999999999</v>
      </c>
      <c r="O336" s="6">
        <v>21.821999999999999</v>
      </c>
      <c r="P336" s="6">
        <v>0</v>
      </c>
      <c r="Q336" s="4" t="s">
        <v>26</v>
      </c>
      <c r="R336" s="4">
        <v>0</v>
      </c>
      <c r="S336" s="6">
        <v>0</v>
      </c>
      <c r="T336" s="6">
        <v>16</v>
      </c>
      <c r="U336" s="6">
        <v>47</v>
      </c>
      <c r="V336" s="6">
        <f>IF(ISERROR(VLOOKUP($S$336,'TAR FIN'!$A$1:$O$86,15,0)),0,VLOOKUP($S$336,'TAR FIN'!$A$1:$O$86,15,0))</f>
        <v>0</v>
      </c>
      <c r="W336" s="6">
        <f>IF(ISERROR(VLOOKUP($T$336,'TAR FIN'!$A$1:$O$86,15,0)),0,VLOOKUP($T$336,'TAR FIN'!$A$1:$O$86,15,0))</f>
        <v>1329.67</v>
      </c>
      <c r="X336" s="6">
        <f>IF(ISERROR(VLOOKUP($U$336,'TAR FIN'!$A$1:$O$86,15,0)),0,VLOOKUP($U$336,'TAR FIN'!$A$1:$O$86,15,0))</f>
        <v>389.21</v>
      </c>
      <c r="Y336" s="6"/>
      <c r="Z336" s="6">
        <f ca="1">('TUSD BE'!$AM$12+'TUSD BF_350'!$AM$12+'TUSD CVA'!$AM$12)*1</f>
        <v>1074.3612836602365</v>
      </c>
      <c r="AA336" s="6">
        <f ca="1">('TE BE'!$AB$5+'TE BF_350'!$AB$5+'TE CVA'!$AB$5)*1</f>
        <v>353.55100010229148</v>
      </c>
      <c r="AB336" s="6">
        <f>$K$336*$V$336</f>
        <v>0</v>
      </c>
      <c r="AC336" s="6">
        <f>$M$336*$W$336</f>
        <v>29016.05874</v>
      </c>
      <c r="AD336" s="6">
        <f>$O$336*$X$336</f>
        <v>8493.340619999999</v>
      </c>
      <c r="AE336" s="6">
        <f>$K$336*$Y$336</f>
        <v>0</v>
      </c>
      <c r="AF336" s="6">
        <f ca="1">$M$336*$Z$336</f>
        <v>23444.711932033679</v>
      </c>
      <c r="AG336" s="6">
        <f ca="1">$O$336*$AA$336</f>
        <v>7715.1899242322042</v>
      </c>
    </row>
    <row r="337" spans="1:33" ht="11.25" customHeight="1" x14ac:dyDescent="0.25">
      <c r="A337" s="4" t="s">
        <v>21</v>
      </c>
      <c r="B337" s="4" t="s">
        <v>38</v>
      </c>
      <c r="C337" s="4" t="s">
        <v>40</v>
      </c>
      <c r="D337" s="4" t="s">
        <v>37</v>
      </c>
      <c r="E337" s="4" t="s">
        <v>25</v>
      </c>
      <c r="F337" s="4" t="s">
        <v>25</v>
      </c>
      <c r="G337" s="4" t="s">
        <v>25</v>
      </c>
      <c r="H337" s="4" t="s">
        <v>33</v>
      </c>
      <c r="I337" s="5">
        <v>44562</v>
      </c>
      <c r="J337" s="6">
        <v>0</v>
      </c>
      <c r="K337" s="6">
        <v>0</v>
      </c>
      <c r="L337" s="6">
        <v>23.061</v>
      </c>
      <c r="M337" s="6">
        <v>23.061</v>
      </c>
      <c r="N337" s="6">
        <v>23.061</v>
      </c>
      <c r="O337" s="6">
        <v>23.061</v>
      </c>
      <c r="P337" s="6">
        <v>0</v>
      </c>
      <c r="Q337" s="4" t="s">
        <v>26</v>
      </c>
      <c r="R337" s="4">
        <v>0</v>
      </c>
      <c r="S337" s="6">
        <v>0</v>
      </c>
      <c r="T337" s="6">
        <v>16</v>
      </c>
      <c r="U337" s="6">
        <v>47</v>
      </c>
      <c r="V337" s="6">
        <f>IF(ISERROR(VLOOKUP($S$337,'TAR FIN'!$A$1:$O$86,15,0)),0,VLOOKUP($S$337,'TAR FIN'!$A$1:$O$86,15,0))</f>
        <v>0</v>
      </c>
      <c r="W337" s="6">
        <f>IF(ISERROR(VLOOKUP($T$337,'TAR FIN'!$A$1:$O$86,15,0)),0,VLOOKUP($T$337,'TAR FIN'!$A$1:$O$86,15,0))</f>
        <v>1329.67</v>
      </c>
      <c r="X337" s="6">
        <f>IF(ISERROR(VLOOKUP($U$337,'TAR FIN'!$A$1:$O$86,15,0)),0,VLOOKUP($U$337,'TAR FIN'!$A$1:$O$86,15,0))</f>
        <v>389.21</v>
      </c>
      <c r="Y337" s="6"/>
      <c r="Z337" s="6">
        <f ca="1">('TUSD BE'!$AM$12+'TUSD BF_350'!$AM$12+'TUSD CVA'!$AM$12)*1</f>
        <v>1074.3612836602365</v>
      </c>
      <c r="AA337" s="6">
        <f ca="1">('TE BE'!$AB$5+'TE BF_350'!$AB$5+'TE CVA'!$AB$5)*1</f>
        <v>353.55100010229148</v>
      </c>
      <c r="AB337" s="6">
        <f>$K$337*$V$337</f>
        <v>0</v>
      </c>
      <c r="AC337" s="6">
        <f>$M$337*$W$337</f>
        <v>30663.51987</v>
      </c>
      <c r="AD337" s="6">
        <f>$O$337*$X$337</f>
        <v>8975.5718099999995</v>
      </c>
      <c r="AE337" s="6">
        <f>$K$337*$Y$337</f>
        <v>0</v>
      </c>
      <c r="AF337" s="6">
        <f ca="1">$M$337*$Z$337</f>
        <v>24775.845562488714</v>
      </c>
      <c r="AG337" s="6">
        <f ca="1">$O$337*$AA$337</f>
        <v>8153.2396133589436</v>
      </c>
    </row>
    <row r="338" spans="1:33" ht="11.25" customHeight="1" x14ac:dyDescent="0.25">
      <c r="A338" s="4" t="s">
        <v>55</v>
      </c>
      <c r="B338" s="4" t="s">
        <v>38</v>
      </c>
      <c r="C338" s="4" t="s">
        <v>40</v>
      </c>
      <c r="D338" s="4" t="s">
        <v>37</v>
      </c>
      <c r="E338" s="4" t="s">
        <v>25</v>
      </c>
      <c r="F338" s="4" t="s">
        <v>25</v>
      </c>
      <c r="G338" s="4" t="s">
        <v>25</v>
      </c>
      <c r="H338" s="4" t="s">
        <v>33</v>
      </c>
      <c r="I338" s="5">
        <v>44562</v>
      </c>
      <c r="J338" s="6">
        <v>0</v>
      </c>
      <c r="K338" s="6">
        <v>0</v>
      </c>
      <c r="L338" s="6">
        <v>17.661999999999999</v>
      </c>
      <c r="M338" s="6">
        <v>17.661999999999999</v>
      </c>
      <c r="N338" s="6">
        <v>17.661999999999999</v>
      </c>
      <c r="O338" s="6">
        <v>17.661999999999999</v>
      </c>
      <c r="P338" s="6">
        <v>0</v>
      </c>
      <c r="Q338" s="4" t="s">
        <v>26</v>
      </c>
      <c r="R338" s="4">
        <v>0</v>
      </c>
      <c r="S338" s="6">
        <v>0</v>
      </c>
      <c r="T338" s="6">
        <v>16</v>
      </c>
      <c r="U338" s="6">
        <v>47</v>
      </c>
      <c r="V338" s="6">
        <f>IF(ISERROR(VLOOKUP($S$338,'TAR FIN'!$A$1:$O$86,15,0)),0,VLOOKUP($S$338,'TAR FIN'!$A$1:$O$86,15,0))</f>
        <v>0</v>
      </c>
      <c r="W338" s="6">
        <f>IF(ISERROR(VLOOKUP($T$338,'TAR FIN'!$A$1:$O$86,15,0)),0,VLOOKUP($T$338,'TAR FIN'!$A$1:$O$86,15,0))</f>
        <v>1329.67</v>
      </c>
      <c r="X338" s="6">
        <f>IF(ISERROR(VLOOKUP($U$338,'TAR FIN'!$A$1:$O$86,15,0)),0,VLOOKUP($U$338,'TAR FIN'!$A$1:$O$86,15,0))</f>
        <v>389.21</v>
      </c>
      <c r="Y338" s="6"/>
      <c r="Z338" s="6">
        <f ca="1">('TUSD BE'!$AM$12+'TUSD BF_350'!$AM$12+'TUSD CVA'!$AM$12)*1</f>
        <v>1074.3612836602365</v>
      </c>
      <c r="AA338" s="6">
        <f ca="1">('TE BE'!$AB$5+'TE BF_350'!$AB$5+'TE CVA'!$AB$5)*1</f>
        <v>353.55100010229148</v>
      </c>
      <c r="AB338" s="6">
        <f>$K$338*$V$338</f>
        <v>0</v>
      </c>
      <c r="AC338" s="6">
        <f>$M$338*$W$338</f>
        <v>23484.631539999998</v>
      </c>
      <c r="AD338" s="6">
        <f>$O$338*$X$338</f>
        <v>6874.2270199999994</v>
      </c>
      <c r="AE338" s="6">
        <f>$K$338*$Y$338</f>
        <v>0</v>
      </c>
      <c r="AF338" s="6">
        <f ca="1">$M$338*$Z$338</f>
        <v>18975.368992007097</v>
      </c>
      <c r="AG338" s="6">
        <f ca="1">$O$338*$AA$338</f>
        <v>6244.4177638066722</v>
      </c>
    </row>
    <row r="339" spans="1:33" ht="11.25" customHeight="1" x14ac:dyDescent="0.25">
      <c r="A339" s="4" t="s">
        <v>21</v>
      </c>
      <c r="B339" s="4" t="s">
        <v>38</v>
      </c>
      <c r="C339" s="4" t="s">
        <v>40</v>
      </c>
      <c r="D339" s="4" t="s">
        <v>37</v>
      </c>
      <c r="E339" s="4" t="s">
        <v>25</v>
      </c>
      <c r="F339" s="4" t="s">
        <v>25</v>
      </c>
      <c r="G339" s="4" t="s">
        <v>25</v>
      </c>
      <c r="H339" s="4" t="s">
        <v>33</v>
      </c>
      <c r="I339" s="5">
        <v>44593</v>
      </c>
      <c r="J339" s="6">
        <v>0</v>
      </c>
      <c r="K339" s="6">
        <v>0</v>
      </c>
      <c r="L339" s="6">
        <v>24.135999999999999</v>
      </c>
      <c r="M339" s="6">
        <v>24.135999999999999</v>
      </c>
      <c r="N339" s="6">
        <v>24.135999999999999</v>
      </c>
      <c r="O339" s="6">
        <v>24.135999999999999</v>
      </c>
      <c r="P339" s="6">
        <v>0</v>
      </c>
      <c r="Q339" s="4" t="s">
        <v>26</v>
      </c>
      <c r="R339" s="4">
        <v>0</v>
      </c>
      <c r="S339" s="6">
        <v>0</v>
      </c>
      <c r="T339" s="6">
        <v>16</v>
      </c>
      <c r="U339" s="6">
        <v>47</v>
      </c>
      <c r="V339" s="6">
        <f>IF(ISERROR(VLOOKUP($S$339,'TAR FIN'!$A$1:$O$86,15,0)),0,VLOOKUP($S$339,'TAR FIN'!$A$1:$O$86,15,0))</f>
        <v>0</v>
      </c>
      <c r="W339" s="6">
        <f>IF(ISERROR(VLOOKUP($T$339,'TAR FIN'!$A$1:$O$86,15,0)),0,VLOOKUP($T$339,'TAR FIN'!$A$1:$O$86,15,0))</f>
        <v>1329.67</v>
      </c>
      <c r="X339" s="6">
        <f>IF(ISERROR(VLOOKUP($U$339,'TAR FIN'!$A$1:$O$86,15,0)),0,VLOOKUP($U$339,'TAR FIN'!$A$1:$O$86,15,0))</f>
        <v>389.21</v>
      </c>
      <c r="Y339" s="6"/>
      <c r="Z339" s="6">
        <f ca="1">('TUSD BE'!$AM$12+'TUSD BF_350'!$AM$12+'TUSD CVA'!$AM$12)*1</f>
        <v>1074.3612836602365</v>
      </c>
      <c r="AA339" s="6">
        <f ca="1">('TE BE'!$AB$5+'TE BF_350'!$AB$5+'TE CVA'!$AB$5)*1</f>
        <v>353.55100010229148</v>
      </c>
      <c r="AB339" s="6">
        <f>$K$339*$V$339</f>
        <v>0</v>
      </c>
      <c r="AC339" s="6">
        <f>$M$339*$W$339</f>
        <v>32092.915120000001</v>
      </c>
      <c r="AD339" s="6">
        <f>$O$339*$X$339</f>
        <v>9393.9725599999983</v>
      </c>
      <c r="AE339" s="6">
        <f>$K$339*$Y$339</f>
        <v>0</v>
      </c>
      <c r="AF339" s="6">
        <f ca="1">$M$339*$Z$339</f>
        <v>25930.783942423466</v>
      </c>
      <c r="AG339" s="6">
        <f ca="1">$O$339*$AA$339</f>
        <v>8533.3069384689061</v>
      </c>
    </row>
    <row r="340" spans="1:33" ht="11.25" customHeight="1" x14ac:dyDescent="0.25">
      <c r="A340" s="4" t="s">
        <v>55</v>
      </c>
      <c r="B340" s="4" t="s">
        <v>38</v>
      </c>
      <c r="C340" s="4" t="s">
        <v>40</v>
      </c>
      <c r="D340" s="4" t="s">
        <v>37</v>
      </c>
      <c r="E340" s="4" t="s">
        <v>25</v>
      </c>
      <c r="F340" s="4" t="s">
        <v>25</v>
      </c>
      <c r="G340" s="4" t="s">
        <v>25</v>
      </c>
      <c r="H340" s="4" t="s">
        <v>33</v>
      </c>
      <c r="I340" s="5">
        <v>44593</v>
      </c>
      <c r="J340" s="6">
        <v>0</v>
      </c>
      <c r="K340" s="6">
        <v>0</v>
      </c>
      <c r="L340" s="6">
        <v>25.388999999999999</v>
      </c>
      <c r="M340" s="6">
        <v>25.388999999999999</v>
      </c>
      <c r="N340" s="6">
        <v>25.388999999999999</v>
      </c>
      <c r="O340" s="6">
        <v>25.388999999999999</v>
      </c>
      <c r="P340" s="6">
        <v>0</v>
      </c>
      <c r="Q340" s="4" t="s">
        <v>26</v>
      </c>
      <c r="R340" s="4">
        <v>0</v>
      </c>
      <c r="S340" s="6">
        <v>0</v>
      </c>
      <c r="T340" s="6">
        <v>16</v>
      </c>
      <c r="U340" s="6">
        <v>47</v>
      </c>
      <c r="V340" s="6">
        <f>IF(ISERROR(VLOOKUP($S$340,'TAR FIN'!$A$1:$O$86,15,0)),0,VLOOKUP($S$340,'TAR FIN'!$A$1:$O$86,15,0))</f>
        <v>0</v>
      </c>
      <c r="W340" s="6">
        <f>IF(ISERROR(VLOOKUP($T$340,'TAR FIN'!$A$1:$O$86,15,0)),0,VLOOKUP($T$340,'TAR FIN'!$A$1:$O$86,15,0))</f>
        <v>1329.67</v>
      </c>
      <c r="X340" s="6">
        <f>IF(ISERROR(VLOOKUP($U$340,'TAR FIN'!$A$1:$O$86,15,0)),0,VLOOKUP($U$340,'TAR FIN'!$A$1:$O$86,15,0))</f>
        <v>389.21</v>
      </c>
      <c r="Y340" s="6"/>
      <c r="Z340" s="6">
        <f ca="1">('TUSD BE'!$AM$12+'TUSD BF_350'!$AM$12+'TUSD CVA'!$AM$12)*1</f>
        <v>1074.3612836602365</v>
      </c>
      <c r="AA340" s="6">
        <f ca="1">('TE BE'!$AB$5+'TE BF_350'!$AB$5+'TE CVA'!$AB$5)*1</f>
        <v>353.55100010229148</v>
      </c>
      <c r="AB340" s="6">
        <f>$K$340*$V$340</f>
        <v>0</v>
      </c>
      <c r="AC340" s="6">
        <f>$M$340*$W$340</f>
        <v>33758.991630000004</v>
      </c>
      <c r="AD340" s="6">
        <f>$O$340*$X$340</f>
        <v>9881.652689999999</v>
      </c>
      <c r="AE340" s="6">
        <f>$K$340*$Y$340</f>
        <v>0</v>
      </c>
      <c r="AF340" s="6">
        <f ca="1">$M$340*$Z$340</f>
        <v>27276.958630849742</v>
      </c>
      <c r="AG340" s="6">
        <f ca="1">$O$340*$AA$340</f>
        <v>8976.3063415970773</v>
      </c>
    </row>
    <row r="341" spans="1:33" ht="11.25" customHeight="1" x14ac:dyDescent="0.25">
      <c r="A341" s="4" t="s">
        <v>21</v>
      </c>
      <c r="B341" s="4" t="s">
        <v>38</v>
      </c>
      <c r="C341" s="4" t="s">
        <v>40</v>
      </c>
      <c r="D341" s="4" t="s">
        <v>37</v>
      </c>
      <c r="E341" s="4" t="s">
        <v>25</v>
      </c>
      <c r="F341" s="4" t="s">
        <v>25</v>
      </c>
      <c r="G341" s="4" t="s">
        <v>25</v>
      </c>
      <c r="H341" s="4" t="s">
        <v>33</v>
      </c>
      <c r="I341" s="5">
        <v>44621</v>
      </c>
      <c r="J341" s="6">
        <v>0</v>
      </c>
      <c r="K341" s="6">
        <v>0</v>
      </c>
      <c r="L341" s="6">
        <v>20.448</v>
      </c>
      <c r="M341" s="6">
        <v>20.448</v>
      </c>
      <c r="N341" s="6">
        <v>20.448</v>
      </c>
      <c r="O341" s="6">
        <v>20.448</v>
      </c>
      <c r="P341" s="6">
        <v>0</v>
      </c>
      <c r="Q341" s="4" t="s">
        <v>26</v>
      </c>
      <c r="R341" s="4">
        <v>0</v>
      </c>
      <c r="S341" s="6">
        <v>0</v>
      </c>
      <c r="T341" s="6">
        <v>16</v>
      </c>
      <c r="U341" s="6">
        <v>47</v>
      </c>
      <c r="V341" s="6">
        <f>IF(ISERROR(VLOOKUP($S$341,'TAR FIN'!$A$1:$O$86,15,0)),0,VLOOKUP($S$341,'TAR FIN'!$A$1:$O$86,15,0))</f>
        <v>0</v>
      </c>
      <c r="W341" s="6">
        <f>IF(ISERROR(VLOOKUP($T$341,'TAR FIN'!$A$1:$O$86,15,0)),0,VLOOKUP($T$341,'TAR FIN'!$A$1:$O$86,15,0))</f>
        <v>1329.67</v>
      </c>
      <c r="X341" s="6">
        <f>IF(ISERROR(VLOOKUP($U$341,'TAR FIN'!$A$1:$O$86,15,0)),0,VLOOKUP($U$341,'TAR FIN'!$A$1:$O$86,15,0))</f>
        <v>389.21</v>
      </c>
      <c r="Y341" s="6"/>
      <c r="Z341" s="6">
        <f ca="1">('TUSD BE'!$AM$12+'TUSD BF_350'!$AM$12+'TUSD CVA'!$AM$12)*1</f>
        <v>1074.3612836602365</v>
      </c>
      <c r="AA341" s="6">
        <f ca="1">('TE BE'!$AB$5+'TE BF_350'!$AB$5+'TE CVA'!$AB$5)*1</f>
        <v>353.55100010229148</v>
      </c>
      <c r="AB341" s="6">
        <f>$K$341*$V$341</f>
        <v>0</v>
      </c>
      <c r="AC341" s="6">
        <f>$M$341*$W$341</f>
        <v>27189.092160000004</v>
      </c>
      <c r="AD341" s="6">
        <f>$O$341*$X$341</f>
        <v>7958.5660799999996</v>
      </c>
      <c r="AE341" s="6">
        <f>$K$341*$Y$341</f>
        <v>0</v>
      </c>
      <c r="AF341" s="6">
        <f ca="1">$M$341*$Z$341</f>
        <v>21968.539528284517</v>
      </c>
      <c r="AG341" s="6">
        <f ca="1">$O$341*$AA$341</f>
        <v>7229.4108500916564</v>
      </c>
    </row>
    <row r="342" spans="1:33" ht="11.25" customHeight="1" x14ac:dyDescent="0.25">
      <c r="A342" s="4" t="s">
        <v>55</v>
      </c>
      <c r="B342" s="4" t="s">
        <v>38</v>
      </c>
      <c r="C342" s="4" t="s">
        <v>40</v>
      </c>
      <c r="D342" s="4" t="s">
        <v>37</v>
      </c>
      <c r="E342" s="4" t="s">
        <v>25</v>
      </c>
      <c r="F342" s="4" t="s">
        <v>25</v>
      </c>
      <c r="G342" s="4" t="s">
        <v>25</v>
      </c>
      <c r="H342" s="4" t="s">
        <v>33</v>
      </c>
      <c r="I342" s="5">
        <v>44621</v>
      </c>
      <c r="J342" s="6">
        <v>0</v>
      </c>
      <c r="K342" s="6">
        <v>0</v>
      </c>
      <c r="L342" s="6">
        <v>25.614000000000001</v>
      </c>
      <c r="M342" s="6">
        <v>25.614000000000001</v>
      </c>
      <c r="N342" s="6">
        <v>25.614000000000001</v>
      </c>
      <c r="O342" s="6">
        <v>25.614000000000001</v>
      </c>
      <c r="P342" s="6">
        <v>0</v>
      </c>
      <c r="Q342" s="4" t="s">
        <v>26</v>
      </c>
      <c r="R342" s="4">
        <v>0</v>
      </c>
      <c r="S342" s="6">
        <v>0</v>
      </c>
      <c r="T342" s="6">
        <v>16</v>
      </c>
      <c r="U342" s="6">
        <v>47</v>
      </c>
      <c r="V342" s="6">
        <f>IF(ISERROR(VLOOKUP($S$342,'TAR FIN'!$A$1:$O$86,15,0)),0,VLOOKUP($S$342,'TAR FIN'!$A$1:$O$86,15,0))</f>
        <v>0</v>
      </c>
      <c r="W342" s="6">
        <f>IF(ISERROR(VLOOKUP($T$342,'TAR FIN'!$A$1:$O$86,15,0)),0,VLOOKUP($T$342,'TAR FIN'!$A$1:$O$86,15,0))</f>
        <v>1329.67</v>
      </c>
      <c r="X342" s="6">
        <f>IF(ISERROR(VLOOKUP($U$342,'TAR FIN'!$A$1:$O$86,15,0)),0,VLOOKUP($U$342,'TAR FIN'!$A$1:$O$86,15,0))</f>
        <v>389.21</v>
      </c>
      <c r="Y342" s="6"/>
      <c r="Z342" s="6">
        <f ca="1">('TUSD BE'!$AM$12+'TUSD BF_350'!$AM$12+'TUSD CVA'!$AM$12)*1</f>
        <v>1074.3612836602365</v>
      </c>
      <c r="AA342" s="6">
        <f ca="1">('TE BE'!$AB$5+'TE BF_350'!$AB$5+'TE CVA'!$AB$5)*1</f>
        <v>353.55100010229148</v>
      </c>
      <c r="AB342" s="6">
        <f>$K$342*$V$342</f>
        <v>0</v>
      </c>
      <c r="AC342" s="6">
        <f>$M$342*$W$342</f>
        <v>34058.167380000006</v>
      </c>
      <c r="AD342" s="6">
        <f>$O$342*$X$342</f>
        <v>9969.2249400000001</v>
      </c>
      <c r="AE342" s="6">
        <f>$K$342*$Y$342</f>
        <v>0</v>
      </c>
      <c r="AF342" s="6">
        <f ca="1">$M$342*$Z$342</f>
        <v>27518.689919673299</v>
      </c>
      <c r="AG342" s="6">
        <f ca="1">$O$342*$AA$342</f>
        <v>9055.8553166200945</v>
      </c>
    </row>
    <row r="343" spans="1:33" ht="11.25" customHeight="1" x14ac:dyDescent="0.25">
      <c r="A343" s="4" t="s">
        <v>21</v>
      </c>
      <c r="B343" s="4" t="s">
        <v>38</v>
      </c>
      <c r="C343" s="4" t="s">
        <v>40</v>
      </c>
      <c r="D343" s="4" t="s">
        <v>37</v>
      </c>
      <c r="E343" s="4" t="s">
        <v>25</v>
      </c>
      <c r="F343" s="4" t="s">
        <v>25</v>
      </c>
      <c r="G343" s="4" t="s">
        <v>25</v>
      </c>
      <c r="H343" s="4" t="s">
        <v>33</v>
      </c>
      <c r="I343" s="5">
        <v>44652</v>
      </c>
      <c r="J343" s="6">
        <v>0</v>
      </c>
      <c r="K343" s="6">
        <v>0</v>
      </c>
      <c r="L343" s="6">
        <v>23.533000000000001</v>
      </c>
      <c r="M343" s="6">
        <v>23.533000000000001</v>
      </c>
      <c r="N343" s="6">
        <v>23.533000000000001</v>
      </c>
      <c r="O343" s="6">
        <v>23.533000000000001</v>
      </c>
      <c r="P343" s="6">
        <v>0</v>
      </c>
      <c r="Q343" s="4" t="s">
        <v>26</v>
      </c>
      <c r="R343" s="4">
        <v>0</v>
      </c>
      <c r="S343" s="6">
        <v>0</v>
      </c>
      <c r="T343" s="6">
        <v>16</v>
      </c>
      <c r="U343" s="6">
        <v>47</v>
      </c>
      <c r="V343" s="6">
        <f>IF(ISERROR(VLOOKUP($S$343,'TAR FIN'!$A$1:$O$86,15,0)),0,VLOOKUP($S$343,'TAR FIN'!$A$1:$O$86,15,0))</f>
        <v>0</v>
      </c>
      <c r="W343" s="6">
        <f>IF(ISERROR(VLOOKUP($T$343,'TAR FIN'!$A$1:$O$86,15,0)),0,VLOOKUP($T$343,'TAR FIN'!$A$1:$O$86,15,0))</f>
        <v>1329.67</v>
      </c>
      <c r="X343" s="6">
        <f>IF(ISERROR(VLOOKUP($U$343,'TAR FIN'!$A$1:$O$86,15,0)),0,VLOOKUP($U$343,'TAR FIN'!$A$1:$O$86,15,0))</f>
        <v>389.21</v>
      </c>
      <c r="Y343" s="6"/>
      <c r="Z343" s="6">
        <f ca="1">('TUSD BE'!$AM$12+'TUSD BF_350'!$AM$12+'TUSD CVA'!$AM$12)*1</f>
        <v>1074.3612836602365</v>
      </c>
      <c r="AA343" s="6">
        <f ca="1">('TE BE'!$AB$5+'TE BF_350'!$AB$5+'TE CVA'!$AB$5)*1</f>
        <v>353.55100010229148</v>
      </c>
      <c r="AB343" s="6">
        <f>$K$343*$V$343</f>
        <v>0</v>
      </c>
      <c r="AC343" s="6">
        <f>$M$343*$W$343</f>
        <v>31291.124110000004</v>
      </c>
      <c r="AD343" s="6">
        <f>$O$343*$X$343</f>
        <v>9159.2789300000004</v>
      </c>
      <c r="AE343" s="6">
        <f>$K$343*$Y$343</f>
        <v>0</v>
      </c>
      <c r="AF343" s="6">
        <f ca="1">$M$343*$Z$343</f>
        <v>25282.944088376345</v>
      </c>
      <c r="AG343" s="6">
        <f ca="1">$O$343*$AA$343</f>
        <v>8320.1156854072251</v>
      </c>
    </row>
    <row r="344" spans="1:33" ht="11.25" customHeight="1" x14ac:dyDescent="0.25">
      <c r="A344" s="4" t="s">
        <v>55</v>
      </c>
      <c r="B344" s="4" t="s">
        <v>38</v>
      </c>
      <c r="C344" s="4" t="s">
        <v>40</v>
      </c>
      <c r="D344" s="4" t="s">
        <v>37</v>
      </c>
      <c r="E344" s="4" t="s">
        <v>25</v>
      </c>
      <c r="F344" s="4" t="s">
        <v>25</v>
      </c>
      <c r="G344" s="4" t="s">
        <v>25</v>
      </c>
      <c r="H344" s="4" t="s">
        <v>33</v>
      </c>
      <c r="I344" s="5">
        <v>44652</v>
      </c>
      <c r="J344" s="6">
        <v>0</v>
      </c>
      <c r="K344" s="6">
        <v>0</v>
      </c>
      <c r="L344" s="6">
        <v>11.302</v>
      </c>
      <c r="M344" s="6">
        <v>11.302</v>
      </c>
      <c r="N344" s="6">
        <v>11.302</v>
      </c>
      <c r="O344" s="6">
        <v>11.302</v>
      </c>
      <c r="P344" s="6">
        <v>0</v>
      </c>
      <c r="Q344" s="4" t="s">
        <v>26</v>
      </c>
      <c r="R344" s="4">
        <v>0</v>
      </c>
      <c r="S344" s="6">
        <v>0</v>
      </c>
      <c r="T344" s="6">
        <v>16</v>
      </c>
      <c r="U344" s="6">
        <v>47</v>
      </c>
      <c r="V344" s="6">
        <f>IF(ISERROR(VLOOKUP($S$344,'TAR FIN'!$A$1:$O$86,15,0)),0,VLOOKUP($S$344,'TAR FIN'!$A$1:$O$86,15,0))</f>
        <v>0</v>
      </c>
      <c r="W344" s="6">
        <f>IF(ISERROR(VLOOKUP($T$344,'TAR FIN'!$A$1:$O$86,15,0)),0,VLOOKUP($T$344,'TAR FIN'!$A$1:$O$86,15,0))</f>
        <v>1329.67</v>
      </c>
      <c r="X344" s="6">
        <f>IF(ISERROR(VLOOKUP($U$344,'TAR FIN'!$A$1:$O$86,15,0)),0,VLOOKUP($U$344,'TAR FIN'!$A$1:$O$86,15,0))</f>
        <v>389.21</v>
      </c>
      <c r="Y344" s="6"/>
      <c r="Z344" s="6">
        <f ca="1">('TUSD BE'!$AM$12+'TUSD BF_350'!$AM$12+'TUSD CVA'!$AM$12)*1</f>
        <v>1074.3612836602365</v>
      </c>
      <c r="AA344" s="6">
        <f ca="1">('TE BE'!$AB$5+'TE BF_350'!$AB$5+'TE CVA'!$AB$5)*1</f>
        <v>353.55100010229148</v>
      </c>
      <c r="AB344" s="6">
        <f>$K$344*$V$344</f>
        <v>0</v>
      </c>
      <c r="AC344" s="6">
        <f>$M$344*$W$344</f>
        <v>15027.930340000001</v>
      </c>
      <c r="AD344" s="6">
        <f>$O$344*$X$344</f>
        <v>4398.85142</v>
      </c>
      <c r="AE344" s="6">
        <f>$K$344*$Y$344</f>
        <v>0</v>
      </c>
      <c r="AF344" s="6">
        <f ca="1">$M$344*$Z$344</f>
        <v>12142.431227927993</v>
      </c>
      <c r="AG344" s="6">
        <f ca="1">$O$344*$AA$344</f>
        <v>3995.833403156098</v>
      </c>
    </row>
    <row r="345" spans="1:33" ht="11.25" customHeight="1" x14ac:dyDescent="0.25">
      <c r="A345" s="4" t="s">
        <v>21</v>
      </c>
      <c r="B345" s="4" t="s">
        <v>38</v>
      </c>
      <c r="C345" s="4" t="s">
        <v>40</v>
      </c>
      <c r="D345" s="4" t="s">
        <v>37</v>
      </c>
      <c r="E345" s="4" t="s">
        <v>25</v>
      </c>
      <c r="F345" s="4" t="s">
        <v>25</v>
      </c>
      <c r="G345" s="4" t="s">
        <v>25</v>
      </c>
      <c r="H345" s="4" t="s">
        <v>33</v>
      </c>
      <c r="I345" s="5">
        <v>44682</v>
      </c>
      <c r="J345" s="6">
        <v>0</v>
      </c>
      <c r="K345" s="6">
        <v>0</v>
      </c>
      <c r="L345" s="6">
        <v>20.510999999999999</v>
      </c>
      <c r="M345" s="6">
        <v>20.510999999999999</v>
      </c>
      <c r="N345" s="6">
        <v>20.510999999999999</v>
      </c>
      <c r="O345" s="6">
        <v>20.510999999999999</v>
      </c>
      <c r="P345" s="6">
        <v>0</v>
      </c>
      <c r="Q345" s="4" t="s">
        <v>26</v>
      </c>
      <c r="R345" s="4">
        <v>0</v>
      </c>
      <c r="S345" s="6">
        <v>0</v>
      </c>
      <c r="T345" s="6">
        <v>16</v>
      </c>
      <c r="U345" s="6">
        <v>47</v>
      </c>
      <c r="V345" s="6">
        <f>IF(ISERROR(VLOOKUP($S$345,'TAR FIN'!$A$1:$O$86,15,0)),0,VLOOKUP($S$345,'TAR FIN'!$A$1:$O$86,15,0))</f>
        <v>0</v>
      </c>
      <c r="W345" s="6">
        <f>IF(ISERROR(VLOOKUP($T$345,'TAR FIN'!$A$1:$O$86,15,0)),0,VLOOKUP($T$345,'TAR FIN'!$A$1:$O$86,15,0))</f>
        <v>1329.67</v>
      </c>
      <c r="X345" s="6">
        <f>IF(ISERROR(VLOOKUP($U$345,'TAR FIN'!$A$1:$O$86,15,0)),0,VLOOKUP($U$345,'TAR FIN'!$A$1:$O$86,15,0))</f>
        <v>389.21</v>
      </c>
      <c r="Y345" s="6"/>
      <c r="Z345" s="6">
        <f ca="1">('TUSD BE'!$AM$12+'TUSD BF_350'!$AM$12+'TUSD CVA'!$AM$12)*1</f>
        <v>1074.3612836602365</v>
      </c>
      <c r="AA345" s="6">
        <f ca="1">('TE BE'!$AB$5+'TE BF_350'!$AB$5+'TE CVA'!$AB$5)*1</f>
        <v>353.55100010229148</v>
      </c>
      <c r="AB345" s="6">
        <f>$K$345*$V$345</f>
        <v>0</v>
      </c>
      <c r="AC345" s="6">
        <f>$M$345*$W$345</f>
        <v>27272.861369999999</v>
      </c>
      <c r="AD345" s="6">
        <f>$O$345*$X$345</f>
        <v>7983.0863099999997</v>
      </c>
      <c r="AE345" s="6">
        <f>$K$345*$Y$345</f>
        <v>0</v>
      </c>
      <c r="AF345" s="6">
        <f ca="1">$M$345*$Z$345</f>
        <v>22036.22428915511</v>
      </c>
      <c r="AG345" s="6">
        <f ca="1">$O$345*$AA$345</f>
        <v>7251.6845630981006</v>
      </c>
    </row>
    <row r="346" spans="1:33" ht="11.25" customHeight="1" x14ac:dyDescent="0.25">
      <c r="A346" s="4" t="s">
        <v>55</v>
      </c>
      <c r="B346" s="4" t="s">
        <v>38</v>
      </c>
      <c r="C346" s="4" t="s">
        <v>40</v>
      </c>
      <c r="D346" s="4" t="s">
        <v>37</v>
      </c>
      <c r="E346" s="4" t="s">
        <v>25</v>
      </c>
      <c r="F346" s="4" t="s">
        <v>25</v>
      </c>
      <c r="G346" s="4" t="s">
        <v>25</v>
      </c>
      <c r="H346" s="4" t="s">
        <v>33</v>
      </c>
      <c r="I346" s="5">
        <v>44682</v>
      </c>
      <c r="J346" s="6">
        <v>0</v>
      </c>
      <c r="K346" s="6">
        <v>0</v>
      </c>
      <c r="L346" s="6">
        <v>11.206</v>
      </c>
      <c r="M346" s="6">
        <v>11.206</v>
      </c>
      <c r="N346" s="6">
        <v>11.206</v>
      </c>
      <c r="O346" s="6">
        <v>11.206</v>
      </c>
      <c r="P346" s="6">
        <v>0</v>
      </c>
      <c r="Q346" s="4" t="s">
        <v>26</v>
      </c>
      <c r="R346" s="4">
        <v>0</v>
      </c>
      <c r="S346" s="6">
        <v>0</v>
      </c>
      <c r="T346" s="6">
        <v>16</v>
      </c>
      <c r="U346" s="6">
        <v>47</v>
      </c>
      <c r="V346" s="6">
        <f>IF(ISERROR(VLOOKUP($S$346,'TAR FIN'!$A$1:$O$86,15,0)),0,VLOOKUP($S$346,'TAR FIN'!$A$1:$O$86,15,0))</f>
        <v>0</v>
      </c>
      <c r="W346" s="6">
        <f>IF(ISERROR(VLOOKUP($T$346,'TAR FIN'!$A$1:$O$86,15,0)),0,VLOOKUP($T$346,'TAR FIN'!$A$1:$O$86,15,0))</f>
        <v>1329.67</v>
      </c>
      <c r="X346" s="6">
        <f>IF(ISERROR(VLOOKUP($U$346,'TAR FIN'!$A$1:$O$86,15,0)),0,VLOOKUP($U$346,'TAR FIN'!$A$1:$O$86,15,0))</f>
        <v>389.21</v>
      </c>
      <c r="Y346" s="6"/>
      <c r="Z346" s="6">
        <f ca="1">('TUSD BE'!$AM$12+'TUSD BF_350'!$AM$12+'TUSD CVA'!$AM$12)*1</f>
        <v>1074.3612836602365</v>
      </c>
      <c r="AA346" s="6">
        <f ca="1">('TE BE'!$AB$5+'TE BF_350'!$AB$5+'TE CVA'!$AB$5)*1</f>
        <v>353.55100010229148</v>
      </c>
      <c r="AB346" s="6">
        <f>$K$346*$V$346</f>
        <v>0</v>
      </c>
      <c r="AC346" s="6">
        <f>$M$346*$W$346</f>
        <v>14900.282020000001</v>
      </c>
      <c r="AD346" s="6">
        <f>$O$346*$X$346</f>
        <v>4361.4872599999999</v>
      </c>
      <c r="AE346" s="6">
        <f>$K$346*$Y$346</f>
        <v>0</v>
      </c>
      <c r="AF346" s="6">
        <f ca="1">$M$346*$Z$346</f>
        <v>12039.292544696609</v>
      </c>
      <c r="AG346" s="6">
        <f ca="1">$O$346*$AA$346</f>
        <v>3961.8925071462781</v>
      </c>
    </row>
    <row r="347" spans="1:33" ht="11.25" customHeight="1" x14ac:dyDescent="0.25">
      <c r="A347" s="4" t="s">
        <v>56</v>
      </c>
      <c r="B347" s="4" t="s">
        <v>38</v>
      </c>
      <c r="C347" s="4" t="s">
        <v>40</v>
      </c>
      <c r="D347" s="4" t="s">
        <v>37</v>
      </c>
      <c r="E347" s="4" t="s">
        <v>25</v>
      </c>
      <c r="F347" s="4" t="s">
        <v>25</v>
      </c>
      <c r="G347" s="4" t="s">
        <v>25</v>
      </c>
      <c r="H347" s="4" t="s">
        <v>33</v>
      </c>
      <c r="I347" s="5">
        <v>44713</v>
      </c>
      <c r="J347" s="6">
        <v>0</v>
      </c>
      <c r="K347" s="6">
        <v>0</v>
      </c>
      <c r="L347" s="6">
        <v>20.510999999999999</v>
      </c>
      <c r="M347" s="6">
        <v>20.510999999999999</v>
      </c>
      <c r="N347" s="6">
        <v>20.510999999999999</v>
      </c>
      <c r="O347" s="6">
        <v>20.510999999999999</v>
      </c>
      <c r="P347" s="6">
        <v>0</v>
      </c>
      <c r="Q347" s="4" t="s">
        <v>26</v>
      </c>
      <c r="R347" s="4">
        <v>0</v>
      </c>
      <c r="S347" s="6">
        <v>0</v>
      </c>
      <c r="T347" s="6">
        <v>16</v>
      </c>
      <c r="U347" s="6">
        <v>47</v>
      </c>
      <c r="V347" s="6">
        <f>IF(ISERROR(VLOOKUP($S$347,'TAR FIN'!$A$1:$O$86,15,0)),0,VLOOKUP($S$347,'TAR FIN'!$A$1:$O$86,15,0))</f>
        <v>0</v>
      </c>
      <c r="W347" s="6">
        <f>IF(ISERROR(VLOOKUP($T$347,'TAR FIN'!$A$1:$O$86,15,0)),0,VLOOKUP($T$347,'TAR FIN'!$A$1:$O$86,15,0))</f>
        <v>1329.67</v>
      </c>
      <c r="X347" s="6">
        <f>IF(ISERROR(VLOOKUP($U$347,'TAR FIN'!$A$1:$O$86,15,0)),0,VLOOKUP($U$347,'TAR FIN'!$A$1:$O$86,15,0))</f>
        <v>389.21</v>
      </c>
      <c r="Y347" s="6"/>
      <c r="Z347" s="6">
        <f ca="1">('TUSD BE'!$AM$12+'TUSD BF_350'!$AM$12+'TUSD CVA'!$AM$12)*1</f>
        <v>1074.3612836602365</v>
      </c>
      <c r="AA347" s="6">
        <f ca="1">('TE BE'!$AB$5+'TE BF_350'!$AB$5+'TE CVA'!$AB$5)*1</f>
        <v>353.55100010229148</v>
      </c>
      <c r="AB347" s="6">
        <f>$K$347*$V$347</f>
        <v>0</v>
      </c>
      <c r="AC347" s="6">
        <f>$M$347*$W$347</f>
        <v>27272.861369999999</v>
      </c>
      <c r="AD347" s="6">
        <f>$O$347*$X$347</f>
        <v>7983.0863099999997</v>
      </c>
      <c r="AE347" s="6">
        <f>$K$347*$Y$347</f>
        <v>0</v>
      </c>
      <c r="AF347" s="6">
        <f ca="1">$M$347*$Z$347</f>
        <v>22036.22428915511</v>
      </c>
      <c r="AG347" s="6">
        <f ca="1">$O$347*$AA$347</f>
        <v>7251.6845630981006</v>
      </c>
    </row>
    <row r="348" spans="1:33" ht="11.25" customHeight="1" x14ac:dyDescent="0.25">
      <c r="A348" s="4" t="s">
        <v>56</v>
      </c>
      <c r="B348" s="4" t="s">
        <v>38</v>
      </c>
      <c r="C348" s="4" t="s">
        <v>40</v>
      </c>
      <c r="D348" s="4" t="s">
        <v>37</v>
      </c>
      <c r="E348" s="4" t="s">
        <v>25</v>
      </c>
      <c r="F348" s="4" t="s">
        <v>25</v>
      </c>
      <c r="G348" s="4" t="s">
        <v>25</v>
      </c>
      <c r="H348" s="4" t="s">
        <v>33</v>
      </c>
      <c r="I348" s="5">
        <v>44713</v>
      </c>
      <c r="J348" s="6">
        <v>0</v>
      </c>
      <c r="K348" s="6">
        <v>0</v>
      </c>
      <c r="L348" s="6">
        <v>11.206</v>
      </c>
      <c r="M348" s="6">
        <v>11.206</v>
      </c>
      <c r="N348" s="6">
        <v>11.206</v>
      </c>
      <c r="O348" s="6">
        <v>11.206</v>
      </c>
      <c r="P348" s="6">
        <v>0</v>
      </c>
      <c r="Q348" s="4" t="s">
        <v>26</v>
      </c>
      <c r="R348" s="4">
        <v>0</v>
      </c>
      <c r="S348" s="6">
        <v>0</v>
      </c>
      <c r="T348" s="6">
        <v>16</v>
      </c>
      <c r="U348" s="6">
        <v>47</v>
      </c>
      <c r="V348" s="6">
        <f>IF(ISERROR(VLOOKUP($S$348,'TAR FIN'!$A$1:$O$86,15,0)),0,VLOOKUP($S$348,'TAR FIN'!$A$1:$O$86,15,0))</f>
        <v>0</v>
      </c>
      <c r="W348" s="6">
        <f>IF(ISERROR(VLOOKUP($T$348,'TAR FIN'!$A$1:$O$86,15,0)),0,VLOOKUP($T$348,'TAR FIN'!$A$1:$O$86,15,0))</f>
        <v>1329.67</v>
      </c>
      <c r="X348" s="6">
        <f>IF(ISERROR(VLOOKUP($U$348,'TAR FIN'!$A$1:$O$86,15,0)),0,VLOOKUP($U$348,'TAR FIN'!$A$1:$O$86,15,0))</f>
        <v>389.21</v>
      </c>
      <c r="Y348" s="6"/>
      <c r="Z348" s="6">
        <f ca="1">('TUSD BE'!$AM$12+'TUSD BF_350'!$AM$12+'TUSD CVA'!$AM$12)*1</f>
        <v>1074.3612836602365</v>
      </c>
      <c r="AA348" s="6">
        <f ca="1">('TE BE'!$AB$5+'TE BF_350'!$AB$5+'TE CVA'!$AB$5)*1</f>
        <v>353.55100010229148</v>
      </c>
      <c r="AB348" s="6">
        <f>$K$348*$V$348</f>
        <v>0</v>
      </c>
      <c r="AC348" s="6">
        <f>$M$348*$W$348</f>
        <v>14900.282020000001</v>
      </c>
      <c r="AD348" s="6">
        <f>$O$348*$X$348</f>
        <v>4361.4872599999999</v>
      </c>
      <c r="AE348" s="6">
        <f>$K$348*$Y$348</f>
        <v>0</v>
      </c>
      <c r="AF348" s="6">
        <f ca="1">$M$348*$Z$348</f>
        <v>12039.292544696609</v>
      </c>
      <c r="AG348" s="6">
        <f ca="1">$O$348*$AA$348</f>
        <v>3961.8925071462781</v>
      </c>
    </row>
    <row r="349" spans="1:33" ht="11.25" customHeight="1" x14ac:dyDescent="0.25">
      <c r="A349" s="4" t="s">
        <v>21</v>
      </c>
      <c r="B349" s="4" t="s">
        <v>38</v>
      </c>
      <c r="C349" s="4" t="s">
        <v>40</v>
      </c>
      <c r="D349" s="4" t="s">
        <v>44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44378</v>
      </c>
      <c r="J349" s="6">
        <v>0</v>
      </c>
      <c r="K349" s="6">
        <v>0</v>
      </c>
      <c r="L349" s="6">
        <v>36.948999999999998</v>
      </c>
      <c r="M349" s="6">
        <v>36.948999999999998</v>
      </c>
      <c r="N349" s="6">
        <v>36.948999999999998</v>
      </c>
      <c r="O349" s="6">
        <v>36.948999999999998</v>
      </c>
      <c r="P349" s="6">
        <v>0</v>
      </c>
      <c r="Q349" s="4" t="s">
        <v>26</v>
      </c>
      <c r="R349" s="4">
        <v>0</v>
      </c>
      <c r="S349" s="6">
        <v>0</v>
      </c>
      <c r="T349" s="6">
        <v>14</v>
      </c>
      <c r="U349" s="6">
        <v>42</v>
      </c>
      <c r="V349" s="6">
        <f>IF(ISERROR(VLOOKUP($S$349,'TAR FIN'!$A$1:$O$86,15,0)),0,VLOOKUP($S$349,'TAR FIN'!$A$1:$O$86,15,0))</f>
        <v>0</v>
      </c>
      <c r="W349" s="6">
        <f>IF(ISERROR(VLOOKUP($T$349,'TAR FIN'!$A$1:$O$86,15,0)),0,VLOOKUP($T$349,'TAR FIN'!$A$1:$O$86,15,0))</f>
        <v>78.680000000000007</v>
      </c>
      <c r="X349" s="6">
        <f>IF(ISERROR(VLOOKUP($U$349,'TAR FIN'!$A$1:$O$86,15,0)),0,VLOOKUP($U$349,'TAR FIN'!$A$1:$O$86,15,0))</f>
        <v>246.3</v>
      </c>
      <c r="Y349" s="6"/>
      <c r="Z349" s="6">
        <f ca="1">('TUSD BE'!$AM$13+'TUSD BF_350'!$AM$13+'TUSD CVA'!$AM$13)*1</f>
        <v>100.23755694003805</v>
      </c>
      <c r="AA349" s="6">
        <f ca="1">('TE BE'!$AB$6+'TE BF_350'!$AB$6+'TE CVA'!$AB$6)*1</f>
        <v>219.40364509824883</v>
      </c>
      <c r="AB349" s="6">
        <f>$K$349*$V$349</f>
        <v>0</v>
      </c>
      <c r="AC349" s="6">
        <f>$M$349*$W$349</f>
        <v>2907.14732</v>
      </c>
      <c r="AD349" s="6">
        <f>$O$349*$X$349</f>
        <v>9100.5386999999992</v>
      </c>
      <c r="AE349" s="6">
        <f>$K$349*$Y$349</f>
        <v>0</v>
      </c>
      <c r="AF349" s="6">
        <f ca="1">$M$349*$Z$349</f>
        <v>3703.6774913774657</v>
      </c>
      <c r="AG349" s="6">
        <f ca="1">$O$349*$AA$349</f>
        <v>8106.7452827351954</v>
      </c>
    </row>
    <row r="350" spans="1:33" ht="11.25" customHeight="1" x14ac:dyDescent="0.25">
      <c r="A350" s="4" t="s">
        <v>21</v>
      </c>
      <c r="B350" s="4" t="s">
        <v>38</v>
      </c>
      <c r="C350" s="4" t="s">
        <v>40</v>
      </c>
      <c r="D350" s="4" t="s">
        <v>44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44409</v>
      </c>
      <c r="J350" s="6">
        <v>0</v>
      </c>
      <c r="K350" s="6">
        <v>0</v>
      </c>
      <c r="L350" s="6">
        <v>32.012999999999998</v>
      </c>
      <c r="M350" s="6">
        <v>32.012999999999998</v>
      </c>
      <c r="N350" s="6">
        <v>32.012999999999998</v>
      </c>
      <c r="O350" s="6">
        <v>32.012999999999998</v>
      </c>
      <c r="P350" s="6">
        <v>0</v>
      </c>
      <c r="Q350" s="4" t="s">
        <v>26</v>
      </c>
      <c r="R350" s="4">
        <v>0</v>
      </c>
      <c r="S350" s="6">
        <v>0</v>
      </c>
      <c r="T350" s="6">
        <v>14</v>
      </c>
      <c r="U350" s="6">
        <v>42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78.680000000000007</v>
      </c>
      <c r="X350" s="6">
        <f>IF(ISERROR(VLOOKUP($U$350,'TAR FIN'!$A$1:$O$86,15,0)),0,VLOOKUP($U$350,'TAR FIN'!$A$1:$O$86,15,0))</f>
        <v>246.3</v>
      </c>
      <c r="Y350" s="6"/>
      <c r="Z350" s="6">
        <f ca="1">('TUSD BE'!$AM$13+'TUSD BF_350'!$AM$13+'TUSD CVA'!$AM$13)*1</f>
        <v>100.23755694003805</v>
      </c>
      <c r="AA350" s="6">
        <f ca="1">('TE BE'!$AB$6+'TE BF_350'!$AB$6+'TE CVA'!$AB$6)*1</f>
        <v>219.40364509824883</v>
      </c>
      <c r="AB350" s="6">
        <f>$K$350*$V$350</f>
        <v>0</v>
      </c>
      <c r="AC350" s="6">
        <f>$M$350*$W$350</f>
        <v>2518.7828399999999</v>
      </c>
      <c r="AD350" s="6">
        <f>$O$350*$X$350</f>
        <v>7884.8018999999995</v>
      </c>
      <c r="AE350" s="6">
        <f>$K$350*$Y$350</f>
        <v>0</v>
      </c>
      <c r="AF350" s="6">
        <f ca="1">$M$350*$Z$350</f>
        <v>3208.9049103214379</v>
      </c>
      <c r="AG350" s="6">
        <f ca="1">$O$350*$AA$350</f>
        <v>7023.7688905302393</v>
      </c>
    </row>
    <row r="351" spans="1:33" ht="11.25" customHeight="1" x14ac:dyDescent="0.25">
      <c r="A351" s="4" t="s">
        <v>21</v>
      </c>
      <c r="B351" s="4" t="s">
        <v>38</v>
      </c>
      <c r="C351" s="4" t="s">
        <v>40</v>
      </c>
      <c r="D351" s="4" t="s">
        <v>44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44440</v>
      </c>
      <c r="J351" s="6">
        <v>0</v>
      </c>
      <c r="K351" s="6">
        <v>0</v>
      </c>
      <c r="L351" s="6">
        <v>28.440999999999999</v>
      </c>
      <c r="M351" s="6">
        <v>28.440999999999999</v>
      </c>
      <c r="N351" s="6">
        <v>28.440999999999999</v>
      </c>
      <c r="O351" s="6">
        <v>28.440999999999999</v>
      </c>
      <c r="P351" s="6">
        <v>0</v>
      </c>
      <c r="Q351" s="4" t="s">
        <v>26</v>
      </c>
      <c r="R351" s="4">
        <v>0</v>
      </c>
      <c r="S351" s="6">
        <v>0</v>
      </c>
      <c r="T351" s="6">
        <v>14</v>
      </c>
      <c r="U351" s="6">
        <v>42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78.680000000000007</v>
      </c>
      <c r="X351" s="6">
        <f>IF(ISERROR(VLOOKUP($U$351,'TAR FIN'!$A$1:$O$86,15,0)),0,VLOOKUP($U$351,'TAR FIN'!$A$1:$O$86,15,0))</f>
        <v>246.3</v>
      </c>
      <c r="Y351" s="6"/>
      <c r="Z351" s="6">
        <f ca="1">('TUSD BE'!$AM$13+'TUSD BF_350'!$AM$13+'TUSD CVA'!$AM$13)*1</f>
        <v>100.23755694003805</v>
      </c>
      <c r="AA351" s="6">
        <f ca="1">('TE BE'!$AB$6+'TE BF_350'!$AB$6+'TE CVA'!$AB$6)*1</f>
        <v>219.40364509824883</v>
      </c>
      <c r="AB351" s="6">
        <f>$K$351*$V$351</f>
        <v>0</v>
      </c>
      <c r="AC351" s="6">
        <f>$M$351*$W$351</f>
        <v>2237.7378800000001</v>
      </c>
      <c r="AD351" s="6">
        <f>$O$351*$X$351</f>
        <v>7005.0182999999997</v>
      </c>
      <c r="AE351" s="6">
        <f>$K$351*$Y$351</f>
        <v>0</v>
      </c>
      <c r="AF351" s="6">
        <f ca="1">$M$351*$Z$351</f>
        <v>2850.856356931622</v>
      </c>
      <c r="AG351" s="6">
        <f ca="1">$O$351*$AA$351</f>
        <v>6240.0590702392947</v>
      </c>
    </row>
    <row r="352" spans="1:33" ht="11.25" customHeight="1" x14ac:dyDescent="0.25">
      <c r="A352" s="4" t="s">
        <v>21</v>
      </c>
      <c r="B352" s="4" t="s">
        <v>38</v>
      </c>
      <c r="C352" s="4" t="s">
        <v>40</v>
      </c>
      <c r="D352" s="4" t="s">
        <v>44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44470</v>
      </c>
      <c r="J352" s="6">
        <v>0</v>
      </c>
      <c r="K352" s="6">
        <v>0</v>
      </c>
      <c r="L352" s="6">
        <v>28.876999999999999</v>
      </c>
      <c r="M352" s="6">
        <v>28.876999999999999</v>
      </c>
      <c r="N352" s="6">
        <v>28.876999999999999</v>
      </c>
      <c r="O352" s="6">
        <v>28.876999999999999</v>
      </c>
      <c r="P352" s="6">
        <v>0</v>
      </c>
      <c r="Q352" s="4" t="s">
        <v>26</v>
      </c>
      <c r="R352" s="4">
        <v>0</v>
      </c>
      <c r="S352" s="6">
        <v>0</v>
      </c>
      <c r="T352" s="6">
        <v>14</v>
      </c>
      <c r="U352" s="6">
        <v>42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78.680000000000007</v>
      </c>
      <c r="X352" s="6">
        <f>IF(ISERROR(VLOOKUP($U$352,'TAR FIN'!$A$1:$O$86,15,0)),0,VLOOKUP($U$352,'TAR FIN'!$A$1:$O$86,15,0))</f>
        <v>246.3</v>
      </c>
      <c r="Y352" s="6"/>
      <c r="Z352" s="6">
        <f ca="1">('TUSD BE'!$AM$13+'TUSD BF_350'!$AM$13+'TUSD CVA'!$AM$13)*1</f>
        <v>100.23755694003805</v>
      </c>
      <c r="AA352" s="6">
        <f ca="1">('TE BE'!$AB$6+'TE BF_350'!$AB$6+'TE CVA'!$AB$6)*1</f>
        <v>219.40364509824883</v>
      </c>
      <c r="AB352" s="6">
        <f>$K$352*$V$352</f>
        <v>0</v>
      </c>
      <c r="AC352" s="6">
        <f>$M$352*$W$352</f>
        <v>2272.0423599999999</v>
      </c>
      <c r="AD352" s="6">
        <f>$O$352*$X$352</f>
        <v>7112.4050999999999</v>
      </c>
      <c r="AE352" s="6">
        <f>$K$352*$Y$352</f>
        <v>0</v>
      </c>
      <c r="AF352" s="6">
        <f ca="1">$M$352*$Z$352</f>
        <v>2894.5599317574784</v>
      </c>
      <c r="AG352" s="6">
        <f ca="1">$O$352*$AA$352</f>
        <v>6335.7190595021311</v>
      </c>
    </row>
    <row r="353" spans="1:33" ht="11.25" customHeight="1" x14ac:dyDescent="0.25">
      <c r="A353" s="4" t="s">
        <v>21</v>
      </c>
      <c r="B353" s="4" t="s">
        <v>38</v>
      </c>
      <c r="C353" s="4" t="s">
        <v>40</v>
      </c>
      <c r="D353" s="4" t="s">
        <v>44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44501</v>
      </c>
      <c r="J353" s="6">
        <v>0</v>
      </c>
      <c r="K353" s="6">
        <v>0</v>
      </c>
      <c r="L353" s="6">
        <v>35.542999999999999</v>
      </c>
      <c r="M353" s="6">
        <v>35.542999999999999</v>
      </c>
      <c r="N353" s="6">
        <v>35.542999999999999</v>
      </c>
      <c r="O353" s="6">
        <v>35.542999999999999</v>
      </c>
      <c r="P353" s="6">
        <v>0</v>
      </c>
      <c r="Q353" s="4" t="s">
        <v>26</v>
      </c>
      <c r="R353" s="4">
        <v>0</v>
      </c>
      <c r="S353" s="6">
        <v>0</v>
      </c>
      <c r="T353" s="6">
        <v>14</v>
      </c>
      <c r="U353" s="6">
        <v>42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78.680000000000007</v>
      </c>
      <c r="X353" s="6">
        <f>IF(ISERROR(VLOOKUP($U$353,'TAR FIN'!$A$1:$O$86,15,0)),0,VLOOKUP($U$353,'TAR FIN'!$A$1:$O$86,15,0))</f>
        <v>246.3</v>
      </c>
      <c r="Y353" s="6"/>
      <c r="Z353" s="6">
        <f ca="1">('TUSD BE'!$AM$13+'TUSD BF_350'!$AM$13+'TUSD CVA'!$AM$13)*1</f>
        <v>100.23755694003805</v>
      </c>
      <c r="AA353" s="6">
        <f ca="1">('TE BE'!$AB$6+'TE BF_350'!$AB$6+'TE CVA'!$AB$6)*1</f>
        <v>219.40364509824883</v>
      </c>
      <c r="AB353" s="6">
        <f>$K$353*$V$353</f>
        <v>0</v>
      </c>
      <c r="AC353" s="6">
        <f>$M$353*$W$353</f>
        <v>2796.52324</v>
      </c>
      <c r="AD353" s="6">
        <f>$O$353*$X$353</f>
        <v>8754.2409000000007</v>
      </c>
      <c r="AE353" s="6">
        <f>$K$353*$Y$353</f>
        <v>0</v>
      </c>
      <c r="AF353" s="6">
        <f ca="1">$M$353*$Z$353</f>
        <v>3562.7434863197723</v>
      </c>
      <c r="AG353" s="6">
        <f ca="1">$O$353*$AA$353</f>
        <v>7798.263757727058</v>
      </c>
    </row>
    <row r="354" spans="1:33" ht="11.25" customHeight="1" x14ac:dyDescent="0.25">
      <c r="A354" s="4" t="s">
        <v>21</v>
      </c>
      <c r="B354" s="4" t="s">
        <v>38</v>
      </c>
      <c r="C354" s="4" t="s">
        <v>40</v>
      </c>
      <c r="D354" s="4" t="s">
        <v>44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44531</v>
      </c>
      <c r="J354" s="6">
        <v>0</v>
      </c>
      <c r="K354" s="6">
        <v>0</v>
      </c>
      <c r="L354" s="6">
        <v>37.052</v>
      </c>
      <c r="M354" s="6">
        <v>37.052</v>
      </c>
      <c r="N354" s="6">
        <v>37.052</v>
      </c>
      <c r="O354" s="6">
        <v>37.052</v>
      </c>
      <c r="P354" s="6">
        <v>0</v>
      </c>
      <c r="Q354" s="4" t="s">
        <v>26</v>
      </c>
      <c r="R354" s="4">
        <v>0</v>
      </c>
      <c r="S354" s="6">
        <v>0</v>
      </c>
      <c r="T354" s="6">
        <v>14</v>
      </c>
      <c r="U354" s="6">
        <v>42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78.680000000000007</v>
      </c>
      <c r="X354" s="6">
        <f>IF(ISERROR(VLOOKUP($U$354,'TAR FIN'!$A$1:$O$86,15,0)),0,VLOOKUP($U$354,'TAR FIN'!$A$1:$O$86,15,0))</f>
        <v>246.3</v>
      </c>
      <c r="Y354" s="6"/>
      <c r="Z354" s="6">
        <f ca="1">('TUSD BE'!$AM$13+'TUSD BF_350'!$AM$13+'TUSD CVA'!$AM$13)*1</f>
        <v>100.23755694003805</v>
      </c>
      <c r="AA354" s="6">
        <f ca="1">('TE BE'!$AB$6+'TE BF_350'!$AB$6+'TE CVA'!$AB$6)*1</f>
        <v>219.40364509824883</v>
      </c>
      <c r="AB354" s="6">
        <f>$K$354*$V$354</f>
        <v>0</v>
      </c>
      <c r="AC354" s="6">
        <f>$M$354*$W$354</f>
        <v>2915.2513600000002</v>
      </c>
      <c r="AD354" s="6">
        <f>$O$354*$X$354</f>
        <v>9125.9076000000005</v>
      </c>
      <c r="AE354" s="6">
        <f>$K$354*$Y$354</f>
        <v>0</v>
      </c>
      <c r="AF354" s="6">
        <f ca="1">$M$354*$Z$354</f>
        <v>3714.0019597422897</v>
      </c>
      <c r="AG354" s="6">
        <f ca="1">$O$354*$AA$354</f>
        <v>8129.3438581803157</v>
      </c>
    </row>
    <row r="355" spans="1:33" ht="11.25" customHeight="1" x14ac:dyDescent="0.25">
      <c r="A355" s="4" t="s">
        <v>21</v>
      </c>
      <c r="B355" s="4" t="s">
        <v>38</v>
      </c>
      <c r="C355" s="4" t="s">
        <v>40</v>
      </c>
      <c r="D355" s="4" t="s">
        <v>44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44562</v>
      </c>
      <c r="J355" s="6">
        <v>0</v>
      </c>
      <c r="K355" s="6">
        <v>0</v>
      </c>
      <c r="L355" s="6">
        <v>37.652999999999999</v>
      </c>
      <c r="M355" s="6">
        <v>37.652999999999999</v>
      </c>
      <c r="N355" s="6">
        <v>37.652999999999999</v>
      </c>
      <c r="O355" s="6">
        <v>37.652999999999999</v>
      </c>
      <c r="P355" s="6">
        <v>0</v>
      </c>
      <c r="Q355" s="4" t="s">
        <v>26</v>
      </c>
      <c r="R355" s="4">
        <v>0</v>
      </c>
      <c r="S355" s="6">
        <v>0</v>
      </c>
      <c r="T355" s="6">
        <v>14</v>
      </c>
      <c r="U355" s="6">
        <v>42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78.680000000000007</v>
      </c>
      <c r="X355" s="6">
        <f>IF(ISERROR(VLOOKUP($U$355,'TAR FIN'!$A$1:$O$86,15,0)),0,VLOOKUP($U$355,'TAR FIN'!$A$1:$O$86,15,0))</f>
        <v>246.3</v>
      </c>
      <c r="Y355" s="6"/>
      <c r="Z355" s="6">
        <f ca="1">('TUSD BE'!$AM$13+'TUSD BF_350'!$AM$13+'TUSD CVA'!$AM$13)*1</f>
        <v>100.23755694003805</v>
      </c>
      <c r="AA355" s="6">
        <f ca="1">('TE BE'!$AB$6+'TE BF_350'!$AB$6+'TE CVA'!$AB$6)*1</f>
        <v>219.40364509824883</v>
      </c>
      <c r="AB355" s="6">
        <f>$K$355*$V$355</f>
        <v>0</v>
      </c>
      <c r="AC355" s="6">
        <f>$M$355*$W$355</f>
        <v>2962.5380400000004</v>
      </c>
      <c r="AD355" s="6">
        <f>$O$355*$X$355</f>
        <v>9273.9339</v>
      </c>
      <c r="AE355" s="6">
        <f>$K$355*$Y$355</f>
        <v>0</v>
      </c>
      <c r="AF355" s="6">
        <f ca="1">$M$355*$Z$355</f>
        <v>3774.2447314632523</v>
      </c>
      <c r="AG355" s="6">
        <f ca="1">$O$355*$AA$355</f>
        <v>8261.2054488843623</v>
      </c>
    </row>
    <row r="356" spans="1:33" ht="11.25" customHeight="1" x14ac:dyDescent="0.25">
      <c r="A356" s="4" t="s">
        <v>21</v>
      </c>
      <c r="B356" s="4" t="s">
        <v>38</v>
      </c>
      <c r="C356" s="4" t="s">
        <v>40</v>
      </c>
      <c r="D356" s="4" t="s">
        <v>44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44593</v>
      </c>
      <c r="J356" s="6">
        <v>0</v>
      </c>
      <c r="K356" s="6">
        <v>0</v>
      </c>
      <c r="L356" s="6">
        <v>48.042000000000002</v>
      </c>
      <c r="M356" s="6">
        <v>48.042000000000002</v>
      </c>
      <c r="N356" s="6">
        <v>48.042000000000002</v>
      </c>
      <c r="O356" s="6">
        <v>48.042000000000002</v>
      </c>
      <c r="P356" s="6">
        <v>0</v>
      </c>
      <c r="Q356" s="4" t="s">
        <v>26</v>
      </c>
      <c r="R356" s="4">
        <v>0</v>
      </c>
      <c r="S356" s="6">
        <v>0</v>
      </c>
      <c r="T356" s="6">
        <v>14</v>
      </c>
      <c r="U356" s="6">
        <v>42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78.680000000000007</v>
      </c>
      <c r="X356" s="6">
        <f>IF(ISERROR(VLOOKUP($U$356,'TAR FIN'!$A$1:$O$86,15,0)),0,VLOOKUP($U$356,'TAR FIN'!$A$1:$O$86,15,0))</f>
        <v>246.3</v>
      </c>
      <c r="Y356" s="6"/>
      <c r="Z356" s="6">
        <f ca="1">('TUSD BE'!$AM$13+'TUSD BF_350'!$AM$13+'TUSD CVA'!$AM$13)*1</f>
        <v>100.23755694003805</v>
      </c>
      <c r="AA356" s="6">
        <f ca="1">('TE BE'!$AB$6+'TE BF_350'!$AB$6+'TE CVA'!$AB$6)*1</f>
        <v>219.40364509824883</v>
      </c>
      <c r="AB356" s="6">
        <f>$K$356*$V$356</f>
        <v>0</v>
      </c>
      <c r="AC356" s="6">
        <f>$M$356*$W$356</f>
        <v>3779.9445600000004</v>
      </c>
      <c r="AD356" s="6">
        <f>$O$356*$X$356</f>
        <v>11832.744600000002</v>
      </c>
      <c r="AE356" s="6">
        <f>$K$356*$Y$356</f>
        <v>0</v>
      </c>
      <c r="AF356" s="6">
        <f ca="1">$M$356*$Z$356</f>
        <v>4815.6127105133082</v>
      </c>
      <c r="AG356" s="6">
        <f ca="1">$O$356*$AA$356</f>
        <v>10540.58991781007</v>
      </c>
    </row>
    <row r="357" spans="1:33" ht="11.25" customHeight="1" x14ac:dyDescent="0.25">
      <c r="A357" s="4" t="s">
        <v>21</v>
      </c>
      <c r="B357" s="4" t="s">
        <v>38</v>
      </c>
      <c r="C357" s="4" t="s">
        <v>40</v>
      </c>
      <c r="D357" s="4" t="s">
        <v>44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44621</v>
      </c>
      <c r="J357" s="6">
        <v>0</v>
      </c>
      <c r="K357" s="6">
        <v>0</v>
      </c>
      <c r="L357" s="6">
        <v>54.744</v>
      </c>
      <c r="M357" s="6">
        <v>54.744</v>
      </c>
      <c r="N357" s="6">
        <v>54.744</v>
      </c>
      <c r="O357" s="6">
        <v>54.744</v>
      </c>
      <c r="P357" s="6">
        <v>0</v>
      </c>
      <c r="Q357" s="4" t="s">
        <v>26</v>
      </c>
      <c r="R357" s="4">
        <v>0</v>
      </c>
      <c r="S357" s="6">
        <v>0</v>
      </c>
      <c r="T357" s="6">
        <v>14</v>
      </c>
      <c r="U357" s="6">
        <v>42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78.680000000000007</v>
      </c>
      <c r="X357" s="6">
        <f>IF(ISERROR(VLOOKUP($U$357,'TAR FIN'!$A$1:$O$86,15,0)),0,VLOOKUP($U$357,'TAR FIN'!$A$1:$O$86,15,0))</f>
        <v>246.3</v>
      </c>
      <c r="Y357" s="6"/>
      <c r="Z357" s="6">
        <f ca="1">('TUSD BE'!$AM$13+'TUSD BF_350'!$AM$13+'TUSD CVA'!$AM$13)*1</f>
        <v>100.23755694003805</v>
      </c>
      <c r="AA357" s="6">
        <f ca="1">('TE BE'!$AB$6+'TE BF_350'!$AB$6+'TE CVA'!$AB$6)*1</f>
        <v>219.40364509824883</v>
      </c>
      <c r="AB357" s="6">
        <f>$K$357*$V$357</f>
        <v>0</v>
      </c>
      <c r="AC357" s="6">
        <f>$M$357*$W$357</f>
        <v>4307.25792</v>
      </c>
      <c r="AD357" s="6">
        <f>$O$357*$X$357</f>
        <v>13483.447200000001</v>
      </c>
      <c r="AE357" s="6">
        <f>$K$357*$Y$357</f>
        <v>0</v>
      </c>
      <c r="AF357" s="6">
        <f ca="1">$M$357*$Z$357</f>
        <v>5487.4048171254426</v>
      </c>
      <c r="AG357" s="6">
        <f ca="1">$O$357*$AA$357</f>
        <v>12011.033147258533</v>
      </c>
    </row>
    <row r="358" spans="1:33" ht="11.25" customHeight="1" x14ac:dyDescent="0.25">
      <c r="A358" s="4" t="s">
        <v>21</v>
      </c>
      <c r="B358" s="4" t="s">
        <v>38</v>
      </c>
      <c r="C358" s="4" t="s">
        <v>40</v>
      </c>
      <c r="D358" s="4" t="s">
        <v>44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44652</v>
      </c>
      <c r="J358" s="6">
        <v>0</v>
      </c>
      <c r="K358" s="6">
        <v>0</v>
      </c>
      <c r="L358" s="6">
        <v>42.78</v>
      </c>
      <c r="M358" s="6">
        <v>42.78</v>
      </c>
      <c r="N358" s="6">
        <v>42.78</v>
      </c>
      <c r="O358" s="6">
        <v>42.78</v>
      </c>
      <c r="P358" s="6">
        <v>0</v>
      </c>
      <c r="Q358" s="4" t="s">
        <v>26</v>
      </c>
      <c r="R358" s="4">
        <v>0</v>
      </c>
      <c r="S358" s="6">
        <v>0</v>
      </c>
      <c r="T358" s="6">
        <v>14</v>
      </c>
      <c r="U358" s="6">
        <v>42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78.680000000000007</v>
      </c>
      <c r="X358" s="6">
        <f>IF(ISERROR(VLOOKUP($U$358,'TAR FIN'!$A$1:$O$86,15,0)),0,VLOOKUP($U$358,'TAR FIN'!$A$1:$O$86,15,0))</f>
        <v>246.3</v>
      </c>
      <c r="Y358" s="6"/>
      <c r="Z358" s="6">
        <f ca="1">('TUSD BE'!$AM$13+'TUSD BF_350'!$AM$13+'TUSD CVA'!$AM$13)*1</f>
        <v>100.23755694003805</v>
      </c>
      <c r="AA358" s="6">
        <f ca="1">('TE BE'!$AB$6+'TE BF_350'!$AB$6+'TE CVA'!$AB$6)*1</f>
        <v>219.40364509824883</v>
      </c>
      <c r="AB358" s="6">
        <f>$K$358*$V$358</f>
        <v>0</v>
      </c>
      <c r="AC358" s="6">
        <f>$M$358*$W$358</f>
        <v>3365.9304000000002</v>
      </c>
      <c r="AD358" s="6">
        <f>$O$358*$X$358</f>
        <v>10536.714</v>
      </c>
      <c r="AE358" s="6">
        <f>$K$358*$Y$358</f>
        <v>0</v>
      </c>
      <c r="AF358" s="6">
        <f ca="1">$M$358*$Z$358</f>
        <v>4288.1626858948275</v>
      </c>
      <c r="AG358" s="6">
        <f ca="1">$O$358*$AA$358</f>
        <v>9386.0879373030857</v>
      </c>
    </row>
    <row r="359" spans="1:33" ht="11.25" customHeight="1" x14ac:dyDescent="0.25">
      <c r="A359" s="4" t="s">
        <v>21</v>
      </c>
      <c r="B359" s="4" t="s">
        <v>38</v>
      </c>
      <c r="C359" s="4" t="s">
        <v>40</v>
      </c>
      <c r="D359" s="4" t="s">
        <v>44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44682</v>
      </c>
      <c r="J359" s="6">
        <v>0</v>
      </c>
      <c r="K359" s="6">
        <v>0</v>
      </c>
      <c r="L359" s="6">
        <v>50.999000000000002</v>
      </c>
      <c r="M359" s="6">
        <v>50.999000000000002</v>
      </c>
      <c r="N359" s="6">
        <v>50.999000000000002</v>
      </c>
      <c r="O359" s="6">
        <v>50.999000000000002</v>
      </c>
      <c r="P359" s="6">
        <v>0</v>
      </c>
      <c r="Q359" s="4" t="s">
        <v>26</v>
      </c>
      <c r="R359" s="4">
        <v>0</v>
      </c>
      <c r="S359" s="6">
        <v>0</v>
      </c>
      <c r="T359" s="6">
        <v>14</v>
      </c>
      <c r="U359" s="6">
        <v>42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78.680000000000007</v>
      </c>
      <c r="X359" s="6">
        <f>IF(ISERROR(VLOOKUP($U$359,'TAR FIN'!$A$1:$O$86,15,0)),0,VLOOKUP($U$359,'TAR FIN'!$A$1:$O$86,15,0))</f>
        <v>246.3</v>
      </c>
      <c r="Y359" s="6"/>
      <c r="Z359" s="6">
        <f ca="1">('TUSD BE'!$AM$13+'TUSD BF_350'!$AM$13+'TUSD CVA'!$AM$13)*1</f>
        <v>100.23755694003805</v>
      </c>
      <c r="AA359" s="6">
        <f ca="1">('TE BE'!$AB$6+'TE BF_350'!$AB$6+'TE CVA'!$AB$6)*1</f>
        <v>219.40364509824883</v>
      </c>
      <c r="AB359" s="6">
        <f>$K$359*$V$359</f>
        <v>0</v>
      </c>
      <c r="AC359" s="6">
        <f>$M$359*$W$359</f>
        <v>4012.6013200000007</v>
      </c>
      <c r="AD359" s="6">
        <f>$O$359*$X$359</f>
        <v>12561.0537</v>
      </c>
      <c r="AE359" s="6">
        <f>$K$359*$Y$359</f>
        <v>0</v>
      </c>
      <c r="AF359" s="6">
        <f ca="1">$M$359*$Z$359</f>
        <v>5112.0151663850002</v>
      </c>
      <c r="AG359" s="6">
        <f ca="1">$O$359*$AA$359</f>
        <v>11189.366496365592</v>
      </c>
    </row>
    <row r="360" spans="1:33" ht="11.25" customHeight="1" x14ac:dyDescent="0.25">
      <c r="A360" s="4" t="s">
        <v>56</v>
      </c>
      <c r="B360" s="4" t="s">
        <v>38</v>
      </c>
      <c r="C360" s="4" t="s">
        <v>40</v>
      </c>
      <c r="D360" s="4" t="s">
        <v>44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44713</v>
      </c>
      <c r="J360" s="6">
        <v>0</v>
      </c>
      <c r="K360" s="6">
        <v>0</v>
      </c>
      <c r="L360" s="6">
        <v>50.999000000000002</v>
      </c>
      <c r="M360" s="6">
        <v>50.999000000000002</v>
      </c>
      <c r="N360" s="6">
        <v>50.999000000000002</v>
      </c>
      <c r="O360" s="6">
        <v>50.999000000000002</v>
      </c>
      <c r="P360" s="6">
        <v>0</v>
      </c>
      <c r="Q360" s="4" t="s">
        <v>26</v>
      </c>
      <c r="R360" s="4">
        <v>0</v>
      </c>
      <c r="S360" s="6">
        <v>0</v>
      </c>
      <c r="T360" s="6">
        <v>14</v>
      </c>
      <c r="U360" s="6">
        <v>42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78.680000000000007</v>
      </c>
      <c r="X360" s="6">
        <f>IF(ISERROR(VLOOKUP($U$360,'TAR FIN'!$A$1:$O$86,15,0)),0,VLOOKUP($U$360,'TAR FIN'!$A$1:$O$86,15,0))</f>
        <v>246.3</v>
      </c>
      <c r="Y360" s="6"/>
      <c r="Z360" s="6">
        <f ca="1">('TUSD BE'!$AM$13+'TUSD BF_350'!$AM$13+'TUSD CVA'!$AM$13)*1</f>
        <v>100.23755694003805</v>
      </c>
      <c r="AA360" s="6">
        <f ca="1">('TE BE'!$AB$6+'TE BF_350'!$AB$6+'TE CVA'!$AB$6)*1</f>
        <v>219.40364509824883</v>
      </c>
      <c r="AB360" s="6">
        <f>$K$360*$V$360</f>
        <v>0</v>
      </c>
      <c r="AC360" s="6">
        <f>$M$360*$W$360</f>
        <v>4012.6013200000007</v>
      </c>
      <c r="AD360" s="6">
        <f>$O$360*$X$360</f>
        <v>12561.0537</v>
      </c>
      <c r="AE360" s="6">
        <f>$K$360*$Y$360</f>
        <v>0</v>
      </c>
      <c r="AF360" s="6">
        <f ca="1">$M$360*$Z$360</f>
        <v>5112.0151663850002</v>
      </c>
      <c r="AG360" s="6">
        <f ca="1">$O$360*$AA$360</f>
        <v>11189.366496365592</v>
      </c>
    </row>
    <row r="361" spans="1:33" ht="11.25" customHeight="1" x14ac:dyDescent="0.25">
      <c r="A361" s="4" t="s">
        <v>21</v>
      </c>
      <c r="B361" s="4" t="s">
        <v>38</v>
      </c>
      <c r="C361" s="4" t="s">
        <v>40</v>
      </c>
      <c r="D361" s="4" t="s">
        <v>44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44378</v>
      </c>
      <c r="J361" s="6">
        <v>388</v>
      </c>
      <c r="K361" s="6">
        <v>388</v>
      </c>
      <c r="L361" s="6">
        <v>0</v>
      </c>
      <c r="M361" s="6">
        <v>0</v>
      </c>
      <c r="N361" s="6">
        <v>0</v>
      </c>
      <c r="O361" s="6">
        <v>0</v>
      </c>
      <c r="P361" s="6">
        <v>8</v>
      </c>
      <c r="Q361" s="4" t="s">
        <v>26</v>
      </c>
      <c r="R361" s="4">
        <v>0</v>
      </c>
      <c r="S361" s="6">
        <v>18</v>
      </c>
      <c r="T361" s="6">
        <v>0</v>
      </c>
      <c r="U361" s="6">
        <v>0</v>
      </c>
      <c r="V361" s="6">
        <f>IF(ISERROR(VLOOKUP($S$361,'TAR FIN'!$A$1:$O$86,15,0)),0,VLOOKUP($S$361,'TAR FIN'!$A$1:$O$86,15,0))</f>
        <v>19.239999999999998</v>
      </c>
      <c r="W361" s="6">
        <f>IF(ISERROR(VLOOKUP($T$361,'TAR FIN'!$A$1:$O$86,15,0)),0,VLOOKUP($T$361,'TAR FIN'!$A$1:$O$86,15,0))</f>
        <v>0</v>
      </c>
      <c r="X361" s="6">
        <f>IF(ISERROR(VLOOKUP($U$361,'TAR FIN'!$A$1:$O$86,15,0)),0,VLOOKUP($U$361,'TAR FIN'!$A$1:$O$86,15,0))</f>
        <v>0</v>
      </c>
      <c r="Y361" s="6">
        <f ca="1">('TUSD BE'!$AM$11+'TUSD BF_350'!$AM$11+'TUSD CVA'!$AM$11)*1</f>
        <v>15.19295792072058</v>
      </c>
      <c r="Z361" s="6"/>
      <c r="AA361" s="6"/>
      <c r="AB361" s="6">
        <f>$K$361*$V$361</f>
        <v>7465.119999999999</v>
      </c>
      <c r="AC361" s="6">
        <f>$M$361*$W$361</f>
        <v>0</v>
      </c>
      <c r="AD361" s="6">
        <f>$O$361*$X$361</f>
        <v>0</v>
      </c>
      <c r="AE361" s="6">
        <f ca="1">$K$361*$Y$361</f>
        <v>5894.8676732395852</v>
      </c>
      <c r="AF361" s="6">
        <f>$M$361*$Z$361</f>
        <v>0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38</v>
      </c>
      <c r="C362" s="4" t="s">
        <v>40</v>
      </c>
      <c r="D362" s="4" t="s">
        <v>44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44409</v>
      </c>
      <c r="J362" s="6">
        <v>382</v>
      </c>
      <c r="K362" s="6">
        <v>382</v>
      </c>
      <c r="L362" s="6">
        <v>0</v>
      </c>
      <c r="M362" s="6">
        <v>0</v>
      </c>
      <c r="N362" s="6">
        <v>0</v>
      </c>
      <c r="O362" s="6">
        <v>0</v>
      </c>
      <c r="P362" s="6">
        <v>8</v>
      </c>
      <c r="Q362" s="4" t="s">
        <v>26</v>
      </c>
      <c r="R362" s="4">
        <v>0</v>
      </c>
      <c r="S362" s="6">
        <v>18</v>
      </c>
      <c r="T362" s="6">
        <v>0</v>
      </c>
      <c r="U362" s="6">
        <v>0</v>
      </c>
      <c r="V362" s="6">
        <f>IF(ISERROR(VLOOKUP($S$362,'TAR FIN'!$A$1:$O$86,15,0)),0,VLOOKUP($S$362,'TAR FIN'!$A$1:$O$86,15,0))</f>
        <v>19.239999999999998</v>
      </c>
      <c r="W362" s="6">
        <f>IF(ISERROR(VLOOKUP($T$362,'TAR FIN'!$A$1:$O$86,15,0)),0,VLOOKUP($T$362,'TAR FIN'!$A$1:$O$86,15,0))</f>
        <v>0</v>
      </c>
      <c r="X362" s="6">
        <f>IF(ISERROR(VLOOKUP($U$362,'TAR FIN'!$A$1:$O$86,15,0)),0,VLOOKUP($U$362,'TAR FIN'!$A$1:$O$86,15,0))</f>
        <v>0</v>
      </c>
      <c r="Y362" s="6">
        <f ca="1">('TUSD BE'!$AM$11+'TUSD BF_350'!$AM$11+'TUSD CVA'!$AM$11)*1</f>
        <v>15.19295792072058</v>
      </c>
      <c r="Z362" s="6"/>
      <c r="AA362" s="6"/>
      <c r="AB362" s="6">
        <f>$K$362*$V$362</f>
        <v>7349.6799999999994</v>
      </c>
      <c r="AC362" s="6">
        <f>$M$362*$W$362</f>
        <v>0</v>
      </c>
      <c r="AD362" s="6">
        <f>$O$362*$X$362</f>
        <v>0</v>
      </c>
      <c r="AE362" s="6">
        <f ca="1">$K$362*$Y$362</f>
        <v>5803.7099257152613</v>
      </c>
      <c r="AF362" s="6">
        <f>$M$362*$Z$362</f>
        <v>0</v>
      </c>
      <c r="AG362" s="6">
        <f>$O$362*$AA$362</f>
        <v>0</v>
      </c>
    </row>
    <row r="363" spans="1:33" ht="11.25" customHeight="1" x14ac:dyDescent="0.25">
      <c r="A363" s="4" t="s">
        <v>21</v>
      </c>
      <c r="B363" s="4" t="s">
        <v>38</v>
      </c>
      <c r="C363" s="4" t="s">
        <v>40</v>
      </c>
      <c r="D363" s="4" t="s">
        <v>44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44440</v>
      </c>
      <c r="J363" s="6">
        <v>378</v>
      </c>
      <c r="K363" s="6">
        <v>378</v>
      </c>
      <c r="L363" s="6">
        <v>0</v>
      </c>
      <c r="M363" s="6">
        <v>0</v>
      </c>
      <c r="N363" s="6">
        <v>0</v>
      </c>
      <c r="O363" s="6">
        <v>0</v>
      </c>
      <c r="P363" s="6">
        <v>8</v>
      </c>
      <c r="Q363" s="4" t="s">
        <v>26</v>
      </c>
      <c r="R363" s="4">
        <v>0</v>
      </c>
      <c r="S363" s="6">
        <v>18</v>
      </c>
      <c r="T363" s="6">
        <v>0</v>
      </c>
      <c r="U363" s="6">
        <v>0</v>
      </c>
      <c r="V363" s="6">
        <f>IF(ISERROR(VLOOKUP($S$363,'TAR FIN'!$A$1:$O$86,15,0)),0,VLOOKUP($S$363,'TAR FIN'!$A$1:$O$86,15,0))</f>
        <v>19.239999999999998</v>
      </c>
      <c r="W363" s="6">
        <f>IF(ISERROR(VLOOKUP($T$363,'TAR FIN'!$A$1:$O$86,15,0)),0,VLOOKUP($T$363,'TAR FIN'!$A$1:$O$86,15,0))</f>
        <v>0</v>
      </c>
      <c r="X363" s="6">
        <f>IF(ISERROR(VLOOKUP($U$363,'TAR FIN'!$A$1:$O$86,15,0)),0,VLOOKUP($U$363,'TAR FIN'!$A$1:$O$86,15,0))</f>
        <v>0</v>
      </c>
      <c r="Y363" s="6">
        <f ca="1">('TUSD BE'!$AM$11+'TUSD BF_350'!$AM$11+'TUSD CVA'!$AM$11)*1</f>
        <v>15.19295792072058</v>
      </c>
      <c r="Z363" s="6"/>
      <c r="AA363" s="6"/>
      <c r="AB363" s="6">
        <f>$K$363*$V$363</f>
        <v>7272.7199999999993</v>
      </c>
      <c r="AC363" s="6">
        <f>$M$363*$W$363</f>
        <v>0</v>
      </c>
      <c r="AD363" s="6">
        <f>$O$363*$X$363</f>
        <v>0</v>
      </c>
      <c r="AE363" s="6">
        <f ca="1">$K$363*$Y$363</f>
        <v>5742.938094032379</v>
      </c>
      <c r="AF363" s="6">
        <f>$M$363*$Z$363</f>
        <v>0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38</v>
      </c>
      <c r="C364" s="4" t="s">
        <v>40</v>
      </c>
      <c r="D364" s="4" t="s">
        <v>44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44470</v>
      </c>
      <c r="J364" s="6">
        <v>381</v>
      </c>
      <c r="K364" s="6">
        <v>381</v>
      </c>
      <c r="L364" s="6">
        <v>0</v>
      </c>
      <c r="M364" s="6">
        <v>0</v>
      </c>
      <c r="N364" s="6">
        <v>0</v>
      </c>
      <c r="O364" s="6">
        <v>0</v>
      </c>
      <c r="P364" s="6">
        <v>8</v>
      </c>
      <c r="Q364" s="4" t="s">
        <v>26</v>
      </c>
      <c r="R364" s="4">
        <v>0</v>
      </c>
      <c r="S364" s="6">
        <v>18</v>
      </c>
      <c r="T364" s="6">
        <v>0</v>
      </c>
      <c r="U364" s="6">
        <v>0</v>
      </c>
      <c r="V364" s="6">
        <f>IF(ISERROR(VLOOKUP($S$364,'TAR FIN'!$A$1:$O$86,15,0)),0,VLOOKUP($S$364,'TAR FIN'!$A$1:$O$86,15,0))</f>
        <v>19.239999999999998</v>
      </c>
      <c r="W364" s="6">
        <f>IF(ISERROR(VLOOKUP($T$364,'TAR FIN'!$A$1:$O$86,15,0)),0,VLOOKUP($T$364,'TAR FIN'!$A$1:$O$86,15,0))</f>
        <v>0</v>
      </c>
      <c r="X364" s="6">
        <f>IF(ISERROR(VLOOKUP($U$364,'TAR FIN'!$A$1:$O$86,15,0)),0,VLOOKUP($U$364,'TAR FIN'!$A$1:$O$86,15,0))</f>
        <v>0</v>
      </c>
      <c r="Y364" s="6">
        <f ca="1">('TUSD BE'!$AM$11+'TUSD BF_350'!$AM$11+'TUSD CVA'!$AM$11)*1</f>
        <v>15.19295792072058</v>
      </c>
      <c r="Z364" s="6"/>
      <c r="AA364" s="6"/>
      <c r="AB364" s="6">
        <f>$K$364*$V$364</f>
        <v>7330.44</v>
      </c>
      <c r="AC364" s="6">
        <f>$M$364*$W$364</f>
        <v>0</v>
      </c>
      <c r="AD364" s="6">
        <f>$O$364*$X$364</f>
        <v>0</v>
      </c>
      <c r="AE364" s="6">
        <f ca="1">$K$364*$Y$364</f>
        <v>5788.5169677945414</v>
      </c>
      <c r="AF364" s="6">
        <f>$M$364*$Z$364</f>
        <v>0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38</v>
      </c>
      <c r="C365" s="4" t="s">
        <v>40</v>
      </c>
      <c r="D365" s="4" t="s">
        <v>44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44501</v>
      </c>
      <c r="J365" s="6">
        <v>381</v>
      </c>
      <c r="K365" s="6">
        <v>381</v>
      </c>
      <c r="L365" s="6">
        <v>0</v>
      </c>
      <c r="M365" s="6">
        <v>0</v>
      </c>
      <c r="N365" s="6">
        <v>0</v>
      </c>
      <c r="O365" s="6">
        <v>0</v>
      </c>
      <c r="P365" s="6">
        <v>8</v>
      </c>
      <c r="Q365" s="4" t="s">
        <v>26</v>
      </c>
      <c r="R365" s="4">
        <v>0</v>
      </c>
      <c r="S365" s="6">
        <v>18</v>
      </c>
      <c r="T365" s="6">
        <v>0</v>
      </c>
      <c r="U365" s="6">
        <v>0</v>
      </c>
      <c r="V365" s="6">
        <f>IF(ISERROR(VLOOKUP($S$365,'TAR FIN'!$A$1:$O$86,15,0)),0,VLOOKUP($S$365,'TAR FIN'!$A$1:$O$86,15,0))</f>
        <v>19.239999999999998</v>
      </c>
      <c r="W365" s="6">
        <f>IF(ISERROR(VLOOKUP($T$365,'TAR FIN'!$A$1:$O$86,15,0)),0,VLOOKUP($T$365,'TAR FIN'!$A$1:$O$86,15,0))</f>
        <v>0</v>
      </c>
      <c r="X365" s="6">
        <f>IF(ISERROR(VLOOKUP($U$365,'TAR FIN'!$A$1:$O$86,15,0)),0,VLOOKUP($U$365,'TAR FIN'!$A$1:$O$86,15,0))</f>
        <v>0</v>
      </c>
      <c r="Y365" s="6">
        <f ca="1">('TUSD BE'!$AM$11+'TUSD BF_350'!$AM$11+'TUSD CVA'!$AM$11)*1</f>
        <v>15.19295792072058</v>
      </c>
      <c r="Z365" s="6"/>
      <c r="AA365" s="6"/>
      <c r="AB365" s="6">
        <f>$K$365*$V$365</f>
        <v>7330.44</v>
      </c>
      <c r="AC365" s="6">
        <f>$M$365*$W$365</f>
        <v>0</v>
      </c>
      <c r="AD365" s="6">
        <f>$O$365*$X$365</f>
        <v>0</v>
      </c>
      <c r="AE365" s="6">
        <f ca="1">$K$365*$Y$365</f>
        <v>5788.5169677945414</v>
      </c>
      <c r="AF365" s="6">
        <f>$M$365*$Z$365</f>
        <v>0</v>
      </c>
      <c r="AG365" s="6">
        <f>$O$365*$AA$365</f>
        <v>0</v>
      </c>
    </row>
    <row r="366" spans="1:33" ht="11.25" customHeight="1" x14ac:dyDescent="0.25">
      <c r="A366" s="4" t="s">
        <v>21</v>
      </c>
      <c r="B366" s="4" t="s">
        <v>38</v>
      </c>
      <c r="C366" s="4" t="s">
        <v>40</v>
      </c>
      <c r="D366" s="4" t="s">
        <v>44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44531</v>
      </c>
      <c r="J366" s="6">
        <v>396</v>
      </c>
      <c r="K366" s="6">
        <v>396</v>
      </c>
      <c r="L366" s="6">
        <v>0</v>
      </c>
      <c r="M366" s="6">
        <v>0</v>
      </c>
      <c r="N366" s="6">
        <v>0</v>
      </c>
      <c r="O366" s="6">
        <v>0</v>
      </c>
      <c r="P366" s="6">
        <v>8</v>
      </c>
      <c r="Q366" s="4" t="s">
        <v>26</v>
      </c>
      <c r="R366" s="4">
        <v>0</v>
      </c>
      <c r="S366" s="6">
        <v>18</v>
      </c>
      <c r="T366" s="6">
        <v>0</v>
      </c>
      <c r="U366" s="6">
        <v>0</v>
      </c>
      <c r="V366" s="6">
        <f>IF(ISERROR(VLOOKUP($S$366,'TAR FIN'!$A$1:$O$86,15,0)),0,VLOOKUP($S$366,'TAR FIN'!$A$1:$O$86,15,0))</f>
        <v>19.239999999999998</v>
      </c>
      <c r="W366" s="6">
        <f>IF(ISERROR(VLOOKUP($T$366,'TAR FIN'!$A$1:$O$86,15,0)),0,VLOOKUP($T$366,'TAR FIN'!$A$1:$O$86,15,0))</f>
        <v>0</v>
      </c>
      <c r="X366" s="6">
        <f>IF(ISERROR(VLOOKUP($U$366,'TAR FIN'!$A$1:$O$86,15,0)),0,VLOOKUP($U$366,'TAR FIN'!$A$1:$O$86,15,0))</f>
        <v>0</v>
      </c>
      <c r="Y366" s="6">
        <f ca="1">('TUSD BE'!$AM$11+'TUSD BF_350'!$AM$11+'TUSD CVA'!$AM$11)*1</f>
        <v>15.19295792072058</v>
      </c>
      <c r="Z366" s="6"/>
      <c r="AA366" s="6"/>
      <c r="AB366" s="6">
        <f>$K$366*$V$366</f>
        <v>7619.0399999999991</v>
      </c>
      <c r="AC366" s="6">
        <f>$M$366*$W$366</f>
        <v>0</v>
      </c>
      <c r="AD366" s="6">
        <f>$O$366*$X$366</f>
        <v>0</v>
      </c>
      <c r="AE366" s="6">
        <f ca="1">$K$366*$Y$366</f>
        <v>6016.4113366053498</v>
      </c>
      <c r="AF366" s="6">
        <f>$M$366*$Z$366</f>
        <v>0</v>
      </c>
      <c r="AG366" s="6">
        <f>$O$366*$AA$366</f>
        <v>0</v>
      </c>
    </row>
    <row r="367" spans="1:33" ht="11.25" customHeight="1" x14ac:dyDescent="0.25">
      <c r="A367" s="4" t="s">
        <v>21</v>
      </c>
      <c r="B367" s="4" t="s">
        <v>38</v>
      </c>
      <c r="C367" s="4" t="s">
        <v>40</v>
      </c>
      <c r="D367" s="4" t="s">
        <v>44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44562</v>
      </c>
      <c r="J367" s="6">
        <v>401</v>
      </c>
      <c r="K367" s="6">
        <v>401</v>
      </c>
      <c r="L367" s="6">
        <v>0</v>
      </c>
      <c r="M367" s="6">
        <v>0</v>
      </c>
      <c r="N367" s="6">
        <v>0</v>
      </c>
      <c r="O367" s="6">
        <v>0</v>
      </c>
      <c r="P367" s="6">
        <v>8</v>
      </c>
      <c r="Q367" s="4" t="s">
        <v>26</v>
      </c>
      <c r="R367" s="4">
        <v>0</v>
      </c>
      <c r="S367" s="6">
        <v>18</v>
      </c>
      <c r="T367" s="6">
        <v>0</v>
      </c>
      <c r="U367" s="6">
        <v>0</v>
      </c>
      <c r="V367" s="6">
        <f>IF(ISERROR(VLOOKUP($S$367,'TAR FIN'!$A$1:$O$86,15,0)),0,VLOOKUP($S$367,'TAR FIN'!$A$1:$O$86,15,0))</f>
        <v>19.239999999999998</v>
      </c>
      <c r="W367" s="6">
        <f>IF(ISERROR(VLOOKUP($T$367,'TAR FIN'!$A$1:$O$86,15,0)),0,VLOOKUP($T$367,'TAR FIN'!$A$1:$O$86,15,0))</f>
        <v>0</v>
      </c>
      <c r="X367" s="6">
        <f>IF(ISERROR(VLOOKUP($U$367,'TAR FIN'!$A$1:$O$86,15,0)),0,VLOOKUP($U$367,'TAR FIN'!$A$1:$O$86,15,0))</f>
        <v>0</v>
      </c>
      <c r="Y367" s="6">
        <f ca="1">('TUSD BE'!$AM$11+'TUSD BF_350'!$AM$11+'TUSD CVA'!$AM$11)*1</f>
        <v>15.19295792072058</v>
      </c>
      <c r="Z367" s="6"/>
      <c r="AA367" s="6"/>
      <c r="AB367" s="6">
        <f>$K$367*$V$367</f>
        <v>7715.24</v>
      </c>
      <c r="AC367" s="6">
        <f>$M$367*$W$367</f>
        <v>0</v>
      </c>
      <c r="AD367" s="6">
        <f>$O$367*$X$367</f>
        <v>0</v>
      </c>
      <c r="AE367" s="6">
        <f ca="1">$K$367*$Y$367</f>
        <v>6092.3761262089529</v>
      </c>
      <c r="AF367" s="6">
        <f>$M$367*$Z$367</f>
        <v>0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38</v>
      </c>
      <c r="C368" s="4" t="s">
        <v>40</v>
      </c>
      <c r="D368" s="4" t="s">
        <v>44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44593</v>
      </c>
      <c r="J368" s="6">
        <v>474</v>
      </c>
      <c r="K368" s="6">
        <v>474</v>
      </c>
      <c r="L368" s="6">
        <v>0</v>
      </c>
      <c r="M368" s="6">
        <v>0</v>
      </c>
      <c r="N368" s="6">
        <v>0</v>
      </c>
      <c r="O368" s="6">
        <v>0</v>
      </c>
      <c r="P368" s="6">
        <v>9</v>
      </c>
      <c r="Q368" s="4" t="s">
        <v>26</v>
      </c>
      <c r="R368" s="4">
        <v>0</v>
      </c>
      <c r="S368" s="6">
        <v>18</v>
      </c>
      <c r="T368" s="6">
        <v>0</v>
      </c>
      <c r="U368" s="6">
        <v>0</v>
      </c>
      <c r="V368" s="6">
        <f>IF(ISERROR(VLOOKUP($S$368,'TAR FIN'!$A$1:$O$86,15,0)),0,VLOOKUP($S$368,'TAR FIN'!$A$1:$O$86,15,0))</f>
        <v>19.239999999999998</v>
      </c>
      <c r="W368" s="6">
        <f>IF(ISERROR(VLOOKUP($T$368,'TAR FIN'!$A$1:$O$86,15,0)),0,VLOOKUP($T$368,'TAR FIN'!$A$1:$O$86,15,0))</f>
        <v>0</v>
      </c>
      <c r="X368" s="6">
        <f>IF(ISERROR(VLOOKUP($U$368,'TAR FIN'!$A$1:$O$86,15,0)),0,VLOOKUP($U$368,'TAR FIN'!$A$1:$O$86,15,0))</f>
        <v>0</v>
      </c>
      <c r="Y368" s="6">
        <f ca="1">('TUSD BE'!$AM$11+'TUSD BF_350'!$AM$11+'TUSD CVA'!$AM$11)*1</f>
        <v>15.19295792072058</v>
      </c>
      <c r="Z368" s="6"/>
      <c r="AA368" s="6"/>
      <c r="AB368" s="6">
        <f>$K$368*$V$368</f>
        <v>9119.7599999999984</v>
      </c>
      <c r="AC368" s="6">
        <f>$M$368*$W$368</f>
        <v>0</v>
      </c>
      <c r="AD368" s="6">
        <f>$O$368*$X$368</f>
        <v>0</v>
      </c>
      <c r="AE368" s="6">
        <f ca="1">$K$368*$Y$368</f>
        <v>7201.462054421555</v>
      </c>
      <c r="AF368" s="6">
        <f>$M$368*$Z$368</f>
        <v>0</v>
      </c>
      <c r="AG368" s="6">
        <f>$O$368*$AA$368</f>
        <v>0</v>
      </c>
    </row>
    <row r="369" spans="1:33" ht="11.25" customHeight="1" x14ac:dyDescent="0.25">
      <c r="A369" s="4" t="s">
        <v>21</v>
      </c>
      <c r="B369" s="4" t="s">
        <v>38</v>
      </c>
      <c r="C369" s="4" t="s">
        <v>40</v>
      </c>
      <c r="D369" s="4" t="s">
        <v>44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44621</v>
      </c>
      <c r="J369" s="6">
        <v>501</v>
      </c>
      <c r="K369" s="6">
        <v>501</v>
      </c>
      <c r="L369" s="6">
        <v>0</v>
      </c>
      <c r="M369" s="6">
        <v>0</v>
      </c>
      <c r="N369" s="6">
        <v>0</v>
      </c>
      <c r="O369" s="6">
        <v>0</v>
      </c>
      <c r="P369" s="6">
        <v>9</v>
      </c>
      <c r="Q369" s="4" t="s">
        <v>26</v>
      </c>
      <c r="R369" s="4">
        <v>0</v>
      </c>
      <c r="S369" s="6">
        <v>18</v>
      </c>
      <c r="T369" s="6">
        <v>0</v>
      </c>
      <c r="U369" s="6">
        <v>0</v>
      </c>
      <c r="V369" s="6">
        <f>IF(ISERROR(VLOOKUP($S$369,'TAR FIN'!$A$1:$O$86,15,0)),0,VLOOKUP($S$369,'TAR FIN'!$A$1:$O$86,15,0))</f>
        <v>19.239999999999998</v>
      </c>
      <c r="W369" s="6">
        <f>IF(ISERROR(VLOOKUP($T$369,'TAR FIN'!$A$1:$O$86,15,0)),0,VLOOKUP($T$369,'TAR FIN'!$A$1:$O$86,15,0))</f>
        <v>0</v>
      </c>
      <c r="X369" s="6">
        <f>IF(ISERROR(VLOOKUP($U$369,'TAR FIN'!$A$1:$O$86,15,0)),0,VLOOKUP($U$369,'TAR FIN'!$A$1:$O$86,15,0))</f>
        <v>0</v>
      </c>
      <c r="Y369" s="6">
        <f ca="1">('TUSD BE'!$AM$11+'TUSD BF_350'!$AM$11+'TUSD CVA'!$AM$11)*1</f>
        <v>15.19295792072058</v>
      </c>
      <c r="Z369" s="6"/>
      <c r="AA369" s="6"/>
      <c r="AB369" s="6">
        <f>$K$369*$V$369</f>
        <v>9639.24</v>
      </c>
      <c r="AC369" s="6">
        <f>$M$369*$W$369</f>
        <v>0</v>
      </c>
      <c r="AD369" s="6">
        <f>$O$369*$X$369</f>
        <v>0</v>
      </c>
      <c r="AE369" s="6">
        <f ca="1">$K$369*$Y$369</f>
        <v>7611.6719182810111</v>
      </c>
      <c r="AF369" s="6">
        <f>$M$369*$Z$369</f>
        <v>0</v>
      </c>
      <c r="AG369" s="6">
        <f>$O$369*$AA$369</f>
        <v>0</v>
      </c>
    </row>
    <row r="370" spans="1:33" ht="11.25" customHeight="1" x14ac:dyDescent="0.25">
      <c r="A370" s="4" t="s">
        <v>21</v>
      </c>
      <c r="B370" s="4" t="s">
        <v>38</v>
      </c>
      <c r="C370" s="4" t="s">
        <v>40</v>
      </c>
      <c r="D370" s="4" t="s">
        <v>44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44652</v>
      </c>
      <c r="J370" s="6">
        <v>495</v>
      </c>
      <c r="K370" s="6">
        <v>495</v>
      </c>
      <c r="L370" s="6">
        <v>0</v>
      </c>
      <c r="M370" s="6">
        <v>0</v>
      </c>
      <c r="N370" s="6">
        <v>0</v>
      </c>
      <c r="O370" s="6">
        <v>0</v>
      </c>
      <c r="P370" s="6">
        <v>9</v>
      </c>
      <c r="Q370" s="4" t="s">
        <v>26</v>
      </c>
      <c r="R370" s="4">
        <v>0</v>
      </c>
      <c r="S370" s="6">
        <v>18</v>
      </c>
      <c r="T370" s="6">
        <v>0</v>
      </c>
      <c r="U370" s="6">
        <v>0</v>
      </c>
      <c r="V370" s="6">
        <f>IF(ISERROR(VLOOKUP($S$370,'TAR FIN'!$A$1:$O$86,15,0)),0,VLOOKUP($S$370,'TAR FIN'!$A$1:$O$86,15,0))</f>
        <v>19.239999999999998</v>
      </c>
      <c r="W370" s="6">
        <f>IF(ISERROR(VLOOKUP($T$370,'TAR FIN'!$A$1:$O$86,15,0)),0,VLOOKUP($T$370,'TAR FIN'!$A$1:$O$86,15,0))</f>
        <v>0</v>
      </c>
      <c r="X370" s="6">
        <f>IF(ISERROR(VLOOKUP($U$370,'TAR FIN'!$A$1:$O$86,15,0)),0,VLOOKUP($U$370,'TAR FIN'!$A$1:$O$86,15,0))</f>
        <v>0</v>
      </c>
      <c r="Y370" s="6">
        <f ca="1">('TUSD BE'!$AM$11+'TUSD BF_350'!$AM$11+'TUSD CVA'!$AM$11)*1</f>
        <v>15.19295792072058</v>
      </c>
      <c r="Z370" s="6"/>
      <c r="AA370" s="6"/>
      <c r="AB370" s="6">
        <f>$K$370*$V$370</f>
        <v>9523.7999999999993</v>
      </c>
      <c r="AC370" s="6">
        <f>$M$370*$W$370</f>
        <v>0</v>
      </c>
      <c r="AD370" s="6">
        <f>$O$370*$X$370</f>
        <v>0</v>
      </c>
      <c r="AE370" s="6">
        <f ca="1">$K$370*$Y$370</f>
        <v>7520.5141707566872</v>
      </c>
      <c r="AF370" s="6">
        <f>$M$370*$Z$370</f>
        <v>0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38</v>
      </c>
      <c r="C371" s="4" t="s">
        <v>40</v>
      </c>
      <c r="D371" s="4" t="s">
        <v>44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44682</v>
      </c>
      <c r="J371" s="6">
        <v>494</v>
      </c>
      <c r="K371" s="6">
        <v>494</v>
      </c>
      <c r="L371" s="6">
        <v>0</v>
      </c>
      <c r="M371" s="6">
        <v>0</v>
      </c>
      <c r="N371" s="6">
        <v>0</v>
      </c>
      <c r="O371" s="6">
        <v>0</v>
      </c>
      <c r="P371" s="6">
        <v>9</v>
      </c>
      <c r="Q371" s="4" t="s">
        <v>26</v>
      </c>
      <c r="R371" s="4">
        <v>0</v>
      </c>
      <c r="S371" s="6">
        <v>18</v>
      </c>
      <c r="T371" s="6">
        <v>0</v>
      </c>
      <c r="U371" s="6">
        <v>0</v>
      </c>
      <c r="V371" s="6">
        <f>IF(ISERROR(VLOOKUP($S$371,'TAR FIN'!$A$1:$O$86,15,0)),0,VLOOKUP($S$371,'TAR FIN'!$A$1:$O$86,15,0))</f>
        <v>19.239999999999998</v>
      </c>
      <c r="W371" s="6">
        <f>IF(ISERROR(VLOOKUP($T$371,'TAR FIN'!$A$1:$O$86,15,0)),0,VLOOKUP($T$371,'TAR FIN'!$A$1:$O$86,15,0))</f>
        <v>0</v>
      </c>
      <c r="X371" s="6">
        <f>IF(ISERROR(VLOOKUP($U$371,'TAR FIN'!$A$1:$O$86,15,0)),0,VLOOKUP($U$371,'TAR FIN'!$A$1:$O$86,15,0))</f>
        <v>0</v>
      </c>
      <c r="Y371" s="6">
        <f ca="1">('TUSD BE'!$AM$11+'TUSD BF_350'!$AM$11+'TUSD CVA'!$AM$11)*1</f>
        <v>15.19295792072058</v>
      </c>
      <c r="Z371" s="6"/>
      <c r="AA371" s="6"/>
      <c r="AB371" s="6">
        <f>$K$371*$V$371</f>
        <v>9504.56</v>
      </c>
      <c r="AC371" s="6">
        <f>$M$371*$W$371</f>
        <v>0</v>
      </c>
      <c r="AD371" s="6">
        <f>$O$371*$X$371</f>
        <v>0</v>
      </c>
      <c r="AE371" s="6">
        <f ca="1">$K$371*$Y$371</f>
        <v>7505.3212128359664</v>
      </c>
      <c r="AF371" s="6">
        <f>$M$371*$Z$371</f>
        <v>0</v>
      </c>
      <c r="AG371" s="6">
        <f>$O$371*$AA$371</f>
        <v>0</v>
      </c>
    </row>
    <row r="372" spans="1:33" ht="11.25" customHeight="1" x14ac:dyDescent="0.25">
      <c r="A372" s="4" t="s">
        <v>56</v>
      </c>
      <c r="B372" s="4" t="s">
        <v>38</v>
      </c>
      <c r="C372" s="4" t="s">
        <v>40</v>
      </c>
      <c r="D372" s="4" t="s">
        <v>44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44713</v>
      </c>
      <c r="J372" s="6">
        <v>494</v>
      </c>
      <c r="K372" s="6">
        <v>494</v>
      </c>
      <c r="L372" s="6">
        <v>0</v>
      </c>
      <c r="M372" s="6">
        <v>0</v>
      </c>
      <c r="N372" s="6">
        <v>0</v>
      </c>
      <c r="O372" s="6">
        <v>0</v>
      </c>
      <c r="P372" s="6">
        <v>9</v>
      </c>
      <c r="Q372" s="4" t="s">
        <v>26</v>
      </c>
      <c r="R372" s="4">
        <v>0</v>
      </c>
      <c r="S372" s="6">
        <v>18</v>
      </c>
      <c r="T372" s="6">
        <v>0</v>
      </c>
      <c r="U372" s="6">
        <v>0</v>
      </c>
      <c r="V372" s="6">
        <f>IF(ISERROR(VLOOKUP($S$372,'TAR FIN'!$A$1:$O$86,15,0)),0,VLOOKUP($S$372,'TAR FIN'!$A$1:$O$86,15,0))</f>
        <v>19.239999999999998</v>
      </c>
      <c r="W372" s="6">
        <f>IF(ISERROR(VLOOKUP($T$372,'TAR FIN'!$A$1:$O$86,15,0)),0,VLOOKUP($T$372,'TAR FIN'!$A$1:$O$86,15,0))</f>
        <v>0</v>
      </c>
      <c r="X372" s="6">
        <f>IF(ISERROR(VLOOKUP($U$372,'TAR FIN'!$A$1:$O$86,15,0)),0,VLOOKUP($U$372,'TAR FIN'!$A$1:$O$86,15,0))</f>
        <v>0</v>
      </c>
      <c r="Y372" s="6">
        <f ca="1">('TUSD BE'!$AM$11+'TUSD BF_350'!$AM$11+'TUSD CVA'!$AM$11)*1</f>
        <v>15.19295792072058</v>
      </c>
      <c r="Z372" s="6"/>
      <c r="AA372" s="6"/>
      <c r="AB372" s="6">
        <f>$K$372*$V$372</f>
        <v>9504.56</v>
      </c>
      <c r="AC372" s="6">
        <f>$M$372*$W$372</f>
        <v>0</v>
      </c>
      <c r="AD372" s="6">
        <f>$O$372*$X$372</f>
        <v>0</v>
      </c>
      <c r="AE372" s="6">
        <f ca="1">$K$372*$Y$372</f>
        <v>7505.3212128359664</v>
      </c>
      <c r="AF372" s="6">
        <f>$M$372*$Z$372</f>
        <v>0</v>
      </c>
      <c r="AG372" s="6">
        <f>$O$372*$AA$372</f>
        <v>0</v>
      </c>
    </row>
    <row r="373" spans="1:33" ht="11.25" customHeight="1" x14ac:dyDescent="0.25">
      <c r="A373" s="4" t="s">
        <v>21</v>
      </c>
      <c r="B373" s="4" t="s">
        <v>38</v>
      </c>
      <c r="C373" s="4" t="s">
        <v>40</v>
      </c>
      <c r="D373" s="4" t="s">
        <v>44</v>
      </c>
      <c r="E373" s="4" t="s">
        <v>25</v>
      </c>
      <c r="F373" s="4" t="s">
        <v>25</v>
      </c>
      <c r="G373" s="4" t="s">
        <v>25</v>
      </c>
      <c r="H373" s="4" t="s">
        <v>33</v>
      </c>
      <c r="I373" s="5">
        <v>44378</v>
      </c>
      <c r="J373" s="6">
        <v>0</v>
      </c>
      <c r="K373" s="6">
        <v>0</v>
      </c>
      <c r="L373" s="6">
        <v>3.0659999999999998</v>
      </c>
      <c r="M373" s="6">
        <v>3.0659999999999998</v>
      </c>
      <c r="N373" s="6">
        <v>3.0659999999999998</v>
      </c>
      <c r="O373" s="6">
        <v>3.0659999999999998</v>
      </c>
      <c r="P373" s="6">
        <v>0</v>
      </c>
      <c r="Q373" s="4" t="s">
        <v>26</v>
      </c>
      <c r="R373" s="4">
        <v>0</v>
      </c>
      <c r="S373" s="6">
        <v>0</v>
      </c>
      <c r="T373" s="6">
        <v>16</v>
      </c>
      <c r="U373" s="6">
        <v>47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1329.67</v>
      </c>
      <c r="X373" s="6">
        <f>IF(ISERROR(VLOOKUP($U$373,'TAR FIN'!$A$1:$O$86,15,0)),0,VLOOKUP($U$373,'TAR FIN'!$A$1:$O$86,15,0))</f>
        <v>389.21</v>
      </c>
      <c r="Y373" s="6"/>
      <c r="Z373" s="6">
        <f ca="1">('TUSD BE'!$AM$12+'TUSD BF_350'!$AM$12+'TUSD CVA'!$AM$12)*1</f>
        <v>1074.3612836602365</v>
      </c>
      <c r="AA373" s="6">
        <f ca="1">('TE BE'!$AB$5+'TE BF_350'!$AB$5+'TE CVA'!$AB$5)*1</f>
        <v>353.55100010229148</v>
      </c>
      <c r="AB373" s="6">
        <f>$K$373*$V$373</f>
        <v>0</v>
      </c>
      <c r="AC373" s="6">
        <f>$M$373*$W$373</f>
        <v>4076.7682199999999</v>
      </c>
      <c r="AD373" s="6">
        <f>$O$373*$X$373</f>
        <v>1193.3178599999999</v>
      </c>
      <c r="AE373" s="6">
        <f>$K$373*$Y$373</f>
        <v>0</v>
      </c>
      <c r="AF373" s="6">
        <f ca="1">$M$373*$Z$373</f>
        <v>3293.9916957022851</v>
      </c>
      <c r="AG373" s="6">
        <f ca="1">$O$373*$AA$373</f>
        <v>1083.9873663136257</v>
      </c>
    </row>
    <row r="374" spans="1:33" ht="11.25" customHeight="1" x14ac:dyDescent="0.25">
      <c r="A374" s="4" t="s">
        <v>21</v>
      </c>
      <c r="B374" s="4" t="s">
        <v>38</v>
      </c>
      <c r="C374" s="4" t="s">
        <v>40</v>
      </c>
      <c r="D374" s="4" t="s">
        <v>44</v>
      </c>
      <c r="E374" s="4" t="s">
        <v>25</v>
      </c>
      <c r="F374" s="4" t="s">
        <v>25</v>
      </c>
      <c r="G374" s="4" t="s">
        <v>25</v>
      </c>
      <c r="H374" s="4" t="s">
        <v>33</v>
      </c>
      <c r="I374" s="5">
        <v>44409</v>
      </c>
      <c r="J374" s="6">
        <v>0</v>
      </c>
      <c r="K374" s="6">
        <v>0</v>
      </c>
      <c r="L374" s="6">
        <v>2.851</v>
      </c>
      <c r="M374" s="6">
        <v>2.851</v>
      </c>
      <c r="N374" s="6">
        <v>2.851</v>
      </c>
      <c r="O374" s="6">
        <v>2.851</v>
      </c>
      <c r="P374" s="6">
        <v>0</v>
      </c>
      <c r="Q374" s="4" t="s">
        <v>26</v>
      </c>
      <c r="R374" s="4">
        <v>0</v>
      </c>
      <c r="S374" s="6">
        <v>0</v>
      </c>
      <c r="T374" s="6">
        <v>16</v>
      </c>
      <c r="U374" s="6">
        <v>47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1329.67</v>
      </c>
      <c r="X374" s="6">
        <f>IF(ISERROR(VLOOKUP($U$374,'TAR FIN'!$A$1:$O$86,15,0)),0,VLOOKUP($U$374,'TAR FIN'!$A$1:$O$86,15,0))</f>
        <v>389.21</v>
      </c>
      <c r="Y374" s="6"/>
      <c r="Z374" s="6">
        <f ca="1">('TUSD BE'!$AM$12+'TUSD BF_350'!$AM$12+'TUSD CVA'!$AM$12)*1</f>
        <v>1074.3612836602365</v>
      </c>
      <c r="AA374" s="6">
        <f ca="1">('TE BE'!$AB$5+'TE BF_350'!$AB$5+'TE CVA'!$AB$5)*1</f>
        <v>353.55100010229148</v>
      </c>
      <c r="AB374" s="6">
        <f>$K$374*$V$374</f>
        <v>0</v>
      </c>
      <c r="AC374" s="6">
        <f>$M$374*$W$374</f>
        <v>3790.8891700000004</v>
      </c>
      <c r="AD374" s="6">
        <f>$O$374*$X$374</f>
        <v>1109.63771</v>
      </c>
      <c r="AE374" s="6">
        <f>$K$374*$Y$374</f>
        <v>0</v>
      </c>
      <c r="AF374" s="6">
        <f ca="1">$M$374*$Z$374</f>
        <v>3063.0040197153344</v>
      </c>
      <c r="AG374" s="6">
        <f ca="1">$O$374*$AA$374</f>
        <v>1007.973901291633</v>
      </c>
    </row>
    <row r="375" spans="1:33" ht="11.25" customHeight="1" x14ac:dyDescent="0.25">
      <c r="A375" s="4" t="s">
        <v>21</v>
      </c>
      <c r="B375" s="4" t="s">
        <v>38</v>
      </c>
      <c r="C375" s="4" t="s">
        <v>40</v>
      </c>
      <c r="D375" s="4" t="s">
        <v>44</v>
      </c>
      <c r="E375" s="4" t="s">
        <v>25</v>
      </c>
      <c r="F375" s="4" t="s">
        <v>25</v>
      </c>
      <c r="G375" s="4" t="s">
        <v>25</v>
      </c>
      <c r="H375" s="4" t="s">
        <v>33</v>
      </c>
      <c r="I375" s="5">
        <v>44440</v>
      </c>
      <c r="J375" s="6">
        <v>0</v>
      </c>
      <c r="K375" s="6">
        <v>0</v>
      </c>
      <c r="L375" s="6">
        <v>2.589</v>
      </c>
      <c r="M375" s="6">
        <v>2.589</v>
      </c>
      <c r="N375" s="6">
        <v>2.589</v>
      </c>
      <c r="O375" s="6">
        <v>2.589</v>
      </c>
      <c r="P375" s="6">
        <v>0</v>
      </c>
      <c r="Q375" s="4" t="s">
        <v>26</v>
      </c>
      <c r="R375" s="4">
        <v>0</v>
      </c>
      <c r="S375" s="6">
        <v>0</v>
      </c>
      <c r="T375" s="6">
        <v>16</v>
      </c>
      <c r="U375" s="6">
        <v>47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1329.67</v>
      </c>
      <c r="X375" s="6">
        <f>IF(ISERROR(VLOOKUP($U$375,'TAR FIN'!$A$1:$O$86,15,0)),0,VLOOKUP($U$375,'TAR FIN'!$A$1:$O$86,15,0))</f>
        <v>389.21</v>
      </c>
      <c r="Y375" s="6"/>
      <c r="Z375" s="6">
        <f ca="1">('TUSD BE'!$AM$12+'TUSD BF_350'!$AM$12+'TUSD CVA'!$AM$12)*1</f>
        <v>1074.3612836602365</v>
      </c>
      <c r="AA375" s="6">
        <f ca="1">('TE BE'!$AB$5+'TE BF_350'!$AB$5+'TE CVA'!$AB$5)*1</f>
        <v>353.55100010229148</v>
      </c>
      <c r="AB375" s="6">
        <f>$K$375*$V$375</f>
        <v>0</v>
      </c>
      <c r="AC375" s="6">
        <f>$M$375*$W$375</f>
        <v>3442.5156300000003</v>
      </c>
      <c r="AD375" s="6">
        <f>$O$375*$X$375</f>
        <v>1007.66469</v>
      </c>
      <c r="AE375" s="6">
        <f>$K$375*$Y$375</f>
        <v>0</v>
      </c>
      <c r="AF375" s="6">
        <f ca="1">$M$375*$Z$375</f>
        <v>2781.5213633963522</v>
      </c>
      <c r="AG375" s="6">
        <f ca="1">$O$375*$AA$375</f>
        <v>915.34353926483266</v>
      </c>
    </row>
    <row r="376" spans="1:33" ht="11.25" customHeight="1" x14ac:dyDescent="0.25">
      <c r="A376" s="4" t="s">
        <v>21</v>
      </c>
      <c r="B376" s="4" t="s">
        <v>38</v>
      </c>
      <c r="C376" s="4" t="s">
        <v>40</v>
      </c>
      <c r="D376" s="4" t="s">
        <v>44</v>
      </c>
      <c r="E376" s="4" t="s">
        <v>25</v>
      </c>
      <c r="F376" s="4" t="s">
        <v>25</v>
      </c>
      <c r="G376" s="4" t="s">
        <v>25</v>
      </c>
      <c r="H376" s="4" t="s">
        <v>33</v>
      </c>
      <c r="I376" s="5">
        <v>44470</v>
      </c>
      <c r="J376" s="6">
        <v>0</v>
      </c>
      <c r="K376" s="6">
        <v>0</v>
      </c>
      <c r="L376" s="6">
        <v>2.4740000000000002</v>
      </c>
      <c r="M376" s="6">
        <v>2.4740000000000002</v>
      </c>
      <c r="N376" s="6">
        <v>2.4740000000000002</v>
      </c>
      <c r="O376" s="6">
        <v>2.4740000000000002</v>
      </c>
      <c r="P376" s="6">
        <v>0</v>
      </c>
      <c r="Q376" s="4" t="s">
        <v>26</v>
      </c>
      <c r="R376" s="4">
        <v>0</v>
      </c>
      <c r="S376" s="6">
        <v>0</v>
      </c>
      <c r="T376" s="6">
        <v>16</v>
      </c>
      <c r="U376" s="6">
        <v>47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1329.67</v>
      </c>
      <c r="X376" s="6">
        <f>IF(ISERROR(VLOOKUP($U$376,'TAR FIN'!$A$1:$O$86,15,0)),0,VLOOKUP($U$376,'TAR FIN'!$A$1:$O$86,15,0))</f>
        <v>389.21</v>
      </c>
      <c r="Y376" s="6"/>
      <c r="Z376" s="6">
        <f ca="1">('TUSD BE'!$AM$12+'TUSD BF_350'!$AM$12+'TUSD CVA'!$AM$12)*1</f>
        <v>1074.3612836602365</v>
      </c>
      <c r="AA376" s="6">
        <f ca="1">('TE BE'!$AB$5+'TE BF_350'!$AB$5+'TE CVA'!$AB$5)*1</f>
        <v>353.55100010229148</v>
      </c>
      <c r="AB376" s="6">
        <f>$K$376*$V$376</f>
        <v>0</v>
      </c>
      <c r="AC376" s="6">
        <f>$M$376*$W$376</f>
        <v>3289.6035800000004</v>
      </c>
      <c r="AD376" s="6">
        <f>$O$376*$X$376</f>
        <v>962.90553999999997</v>
      </c>
      <c r="AE376" s="6">
        <f>$K$376*$Y$376</f>
        <v>0</v>
      </c>
      <c r="AF376" s="6">
        <f ca="1">$M$376*$Z$376</f>
        <v>2657.9698157754251</v>
      </c>
      <c r="AG376" s="6">
        <f ca="1">$O$376*$AA$376</f>
        <v>874.68517425306925</v>
      </c>
    </row>
    <row r="377" spans="1:33" ht="11.25" customHeight="1" x14ac:dyDescent="0.25">
      <c r="A377" s="4" t="s">
        <v>21</v>
      </c>
      <c r="B377" s="4" t="s">
        <v>38</v>
      </c>
      <c r="C377" s="4" t="s">
        <v>40</v>
      </c>
      <c r="D377" s="4" t="s">
        <v>44</v>
      </c>
      <c r="E377" s="4" t="s">
        <v>25</v>
      </c>
      <c r="F377" s="4" t="s">
        <v>25</v>
      </c>
      <c r="G377" s="4" t="s">
        <v>25</v>
      </c>
      <c r="H377" s="4" t="s">
        <v>33</v>
      </c>
      <c r="I377" s="5">
        <v>44501</v>
      </c>
      <c r="J377" s="6">
        <v>0</v>
      </c>
      <c r="K377" s="6">
        <v>0</v>
      </c>
      <c r="L377" s="6">
        <v>2.9470000000000001</v>
      </c>
      <c r="M377" s="6">
        <v>2.9470000000000001</v>
      </c>
      <c r="N377" s="6">
        <v>2.9470000000000001</v>
      </c>
      <c r="O377" s="6">
        <v>2.9470000000000001</v>
      </c>
      <c r="P377" s="6">
        <v>0</v>
      </c>
      <c r="Q377" s="4" t="s">
        <v>26</v>
      </c>
      <c r="R377" s="4">
        <v>0</v>
      </c>
      <c r="S377" s="6">
        <v>0</v>
      </c>
      <c r="T377" s="6">
        <v>16</v>
      </c>
      <c r="U377" s="6">
        <v>47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1329.67</v>
      </c>
      <c r="X377" s="6">
        <f>IF(ISERROR(VLOOKUP($U$377,'TAR FIN'!$A$1:$O$86,15,0)),0,VLOOKUP($U$377,'TAR FIN'!$A$1:$O$86,15,0))</f>
        <v>389.21</v>
      </c>
      <c r="Y377" s="6"/>
      <c r="Z377" s="6">
        <f ca="1">('TUSD BE'!$AM$12+'TUSD BF_350'!$AM$12+'TUSD CVA'!$AM$12)*1</f>
        <v>1074.3612836602365</v>
      </c>
      <c r="AA377" s="6">
        <f ca="1">('TE BE'!$AB$5+'TE BF_350'!$AB$5+'TE CVA'!$AB$5)*1</f>
        <v>353.55100010229148</v>
      </c>
      <c r="AB377" s="6">
        <f>$K$377*$V$377</f>
        <v>0</v>
      </c>
      <c r="AC377" s="6">
        <f>$M$377*$W$377</f>
        <v>3918.5374900000002</v>
      </c>
      <c r="AD377" s="6">
        <f>$O$377*$X$377</f>
        <v>1147.0018700000001</v>
      </c>
      <c r="AE377" s="6">
        <f>$K$377*$Y$377</f>
        <v>0</v>
      </c>
      <c r="AF377" s="6">
        <f ca="1">$M$377*$Z$377</f>
        <v>3166.1427029467172</v>
      </c>
      <c r="AG377" s="6">
        <f ca="1">$O$377*$AA$377</f>
        <v>1041.9147973014531</v>
      </c>
    </row>
    <row r="378" spans="1:33" ht="11.25" customHeight="1" x14ac:dyDescent="0.25">
      <c r="A378" s="4" t="s">
        <v>21</v>
      </c>
      <c r="B378" s="4" t="s">
        <v>38</v>
      </c>
      <c r="C378" s="4" t="s">
        <v>40</v>
      </c>
      <c r="D378" s="4" t="s">
        <v>44</v>
      </c>
      <c r="E378" s="4" t="s">
        <v>25</v>
      </c>
      <c r="F378" s="4" t="s">
        <v>25</v>
      </c>
      <c r="G378" s="4" t="s">
        <v>25</v>
      </c>
      <c r="H378" s="4" t="s">
        <v>33</v>
      </c>
      <c r="I378" s="5">
        <v>44531</v>
      </c>
      <c r="J378" s="6">
        <v>0</v>
      </c>
      <c r="K378" s="6">
        <v>0</v>
      </c>
      <c r="L378" s="6">
        <v>3.286</v>
      </c>
      <c r="M378" s="6">
        <v>3.286</v>
      </c>
      <c r="N378" s="6">
        <v>3.286</v>
      </c>
      <c r="O378" s="6">
        <v>3.286</v>
      </c>
      <c r="P378" s="6">
        <v>0</v>
      </c>
      <c r="Q378" s="4" t="s">
        <v>26</v>
      </c>
      <c r="R378" s="4">
        <v>0</v>
      </c>
      <c r="S378" s="6">
        <v>0</v>
      </c>
      <c r="T378" s="6">
        <v>16</v>
      </c>
      <c r="U378" s="6">
        <v>47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1329.67</v>
      </c>
      <c r="X378" s="6">
        <f>IF(ISERROR(VLOOKUP($U$378,'TAR FIN'!$A$1:$O$86,15,0)),0,VLOOKUP($U$378,'TAR FIN'!$A$1:$O$86,15,0))</f>
        <v>389.21</v>
      </c>
      <c r="Y378" s="6"/>
      <c r="Z378" s="6">
        <f ca="1">('TUSD BE'!$AM$12+'TUSD BF_350'!$AM$12+'TUSD CVA'!$AM$12)*1</f>
        <v>1074.3612836602365</v>
      </c>
      <c r="AA378" s="6">
        <f ca="1">('TE BE'!$AB$5+'TE BF_350'!$AB$5+'TE CVA'!$AB$5)*1</f>
        <v>353.55100010229148</v>
      </c>
      <c r="AB378" s="6">
        <f>$K$378*$V$378</f>
        <v>0</v>
      </c>
      <c r="AC378" s="6">
        <f>$M$378*$W$378</f>
        <v>4369.2956199999999</v>
      </c>
      <c r="AD378" s="6">
        <f>$O$378*$X$378</f>
        <v>1278.94406</v>
      </c>
      <c r="AE378" s="6">
        <f>$K$378*$Y$378</f>
        <v>0</v>
      </c>
      <c r="AF378" s="6">
        <f ca="1">$M$378*$Z$378</f>
        <v>3530.3511781075372</v>
      </c>
      <c r="AG378" s="6">
        <f ca="1">$O$378*$AA$378</f>
        <v>1161.7685863361298</v>
      </c>
    </row>
    <row r="379" spans="1:33" ht="11.25" customHeight="1" x14ac:dyDescent="0.25">
      <c r="A379" s="4" t="s">
        <v>21</v>
      </c>
      <c r="B379" s="4" t="s">
        <v>38</v>
      </c>
      <c r="C379" s="4" t="s">
        <v>40</v>
      </c>
      <c r="D379" s="4" t="s">
        <v>44</v>
      </c>
      <c r="E379" s="4" t="s">
        <v>25</v>
      </c>
      <c r="F379" s="4" t="s">
        <v>25</v>
      </c>
      <c r="G379" s="4" t="s">
        <v>25</v>
      </c>
      <c r="H379" s="4" t="s">
        <v>33</v>
      </c>
      <c r="I379" s="5">
        <v>44562</v>
      </c>
      <c r="J379" s="6">
        <v>0</v>
      </c>
      <c r="K379" s="6">
        <v>0</v>
      </c>
      <c r="L379" s="6">
        <v>3.45</v>
      </c>
      <c r="M379" s="6">
        <v>3.45</v>
      </c>
      <c r="N379" s="6">
        <v>3.45</v>
      </c>
      <c r="O379" s="6">
        <v>3.45</v>
      </c>
      <c r="P379" s="6">
        <v>0</v>
      </c>
      <c r="Q379" s="4" t="s">
        <v>26</v>
      </c>
      <c r="R379" s="4">
        <v>0</v>
      </c>
      <c r="S379" s="6">
        <v>0</v>
      </c>
      <c r="T379" s="6">
        <v>16</v>
      </c>
      <c r="U379" s="6">
        <v>47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1329.67</v>
      </c>
      <c r="X379" s="6">
        <f>IF(ISERROR(VLOOKUP($U$379,'TAR FIN'!$A$1:$O$86,15,0)),0,VLOOKUP($U$379,'TAR FIN'!$A$1:$O$86,15,0))</f>
        <v>389.21</v>
      </c>
      <c r="Y379" s="6"/>
      <c r="Z379" s="6">
        <f ca="1">('TUSD BE'!$AM$12+'TUSD BF_350'!$AM$12+'TUSD CVA'!$AM$12)*1</f>
        <v>1074.3612836602365</v>
      </c>
      <c r="AA379" s="6">
        <f ca="1">('TE BE'!$AB$5+'TE BF_350'!$AB$5+'TE CVA'!$AB$5)*1</f>
        <v>353.55100010229148</v>
      </c>
      <c r="AB379" s="6">
        <f>$K$379*$V$379</f>
        <v>0</v>
      </c>
      <c r="AC379" s="6">
        <f>$M$379*$W$379</f>
        <v>4587.3615000000009</v>
      </c>
      <c r="AD379" s="6">
        <f>$O$379*$X$379</f>
        <v>1342.7745</v>
      </c>
      <c r="AE379" s="6">
        <f>$K$379*$Y$379</f>
        <v>0</v>
      </c>
      <c r="AF379" s="6">
        <f ca="1">$M$379*$Z$379</f>
        <v>3706.5464286278161</v>
      </c>
      <c r="AG379" s="6">
        <f ca="1">$O$379*$AA$379</f>
        <v>1219.7509503529056</v>
      </c>
    </row>
    <row r="380" spans="1:33" ht="11.25" customHeight="1" x14ac:dyDescent="0.25">
      <c r="A380" s="4" t="s">
        <v>21</v>
      </c>
      <c r="B380" s="4" t="s">
        <v>38</v>
      </c>
      <c r="C380" s="4" t="s">
        <v>40</v>
      </c>
      <c r="D380" s="4" t="s">
        <v>44</v>
      </c>
      <c r="E380" s="4" t="s">
        <v>25</v>
      </c>
      <c r="F380" s="4" t="s">
        <v>25</v>
      </c>
      <c r="G380" s="4" t="s">
        <v>25</v>
      </c>
      <c r="H380" s="4" t="s">
        <v>33</v>
      </c>
      <c r="I380" s="5">
        <v>44593</v>
      </c>
      <c r="J380" s="6">
        <v>0</v>
      </c>
      <c r="K380" s="6">
        <v>0</v>
      </c>
      <c r="L380" s="6">
        <v>4.9450000000000003</v>
      </c>
      <c r="M380" s="6">
        <v>4.9450000000000003</v>
      </c>
      <c r="N380" s="6">
        <v>4.9450000000000003</v>
      </c>
      <c r="O380" s="6">
        <v>4.9450000000000003</v>
      </c>
      <c r="P380" s="6">
        <v>0</v>
      </c>
      <c r="Q380" s="4" t="s">
        <v>26</v>
      </c>
      <c r="R380" s="4">
        <v>0</v>
      </c>
      <c r="S380" s="6">
        <v>0</v>
      </c>
      <c r="T380" s="6">
        <v>16</v>
      </c>
      <c r="U380" s="6">
        <v>47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1329.67</v>
      </c>
      <c r="X380" s="6">
        <f>IF(ISERROR(VLOOKUP($U$380,'TAR FIN'!$A$1:$O$86,15,0)),0,VLOOKUP($U$380,'TAR FIN'!$A$1:$O$86,15,0))</f>
        <v>389.21</v>
      </c>
      <c r="Y380" s="6"/>
      <c r="Z380" s="6">
        <f ca="1">('TUSD BE'!$AM$12+'TUSD BF_350'!$AM$12+'TUSD CVA'!$AM$12)*1</f>
        <v>1074.3612836602365</v>
      </c>
      <c r="AA380" s="6">
        <f ca="1">('TE BE'!$AB$5+'TE BF_350'!$AB$5+'TE CVA'!$AB$5)*1</f>
        <v>353.55100010229148</v>
      </c>
      <c r="AB380" s="6">
        <f>$K$380*$V$380</f>
        <v>0</v>
      </c>
      <c r="AC380" s="6">
        <f>$M$380*$W$380</f>
        <v>6575.2181500000006</v>
      </c>
      <c r="AD380" s="6">
        <f>$O$380*$X$380</f>
        <v>1924.64345</v>
      </c>
      <c r="AE380" s="6">
        <f>$K$380*$Y$380</f>
        <v>0</v>
      </c>
      <c r="AF380" s="6">
        <f ca="1">$M$380*$Z$380</f>
        <v>5312.7165476998698</v>
      </c>
      <c r="AG380" s="6">
        <f ca="1">$O$380*$AA$380</f>
        <v>1748.3096955058315</v>
      </c>
    </row>
    <row r="381" spans="1:33" ht="11.25" customHeight="1" x14ac:dyDescent="0.25">
      <c r="A381" s="4" t="s">
        <v>21</v>
      </c>
      <c r="B381" s="4" t="s">
        <v>38</v>
      </c>
      <c r="C381" s="4" t="s">
        <v>40</v>
      </c>
      <c r="D381" s="4" t="s">
        <v>44</v>
      </c>
      <c r="E381" s="4" t="s">
        <v>25</v>
      </c>
      <c r="F381" s="4" t="s">
        <v>25</v>
      </c>
      <c r="G381" s="4" t="s">
        <v>25</v>
      </c>
      <c r="H381" s="4" t="s">
        <v>33</v>
      </c>
      <c r="I381" s="5">
        <v>44621</v>
      </c>
      <c r="J381" s="6">
        <v>0</v>
      </c>
      <c r="K381" s="6">
        <v>0</v>
      </c>
      <c r="L381" s="6">
        <v>6.1059999999999999</v>
      </c>
      <c r="M381" s="6">
        <v>6.1059999999999999</v>
      </c>
      <c r="N381" s="6">
        <v>6.1059999999999999</v>
      </c>
      <c r="O381" s="6">
        <v>6.1059999999999999</v>
      </c>
      <c r="P381" s="6">
        <v>0</v>
      </c>
      <c r="Q381" s="4" t="s">
        <v>26</v>
      </c>
      <c r="R381" s="4">
        <v>0</v>
      </c>
      <c r="S381" s="6">
        <v>0</v>
      </c>
      <c r="T381" s="6">
        <v>16</v>
      </c>
      <c r="U381" s="6">
        <v>47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1329.67</v>
      </c>
      <c r="X381" s="6">
        <f>IF(ISERROR(VLOOKUP($U$381,'TAR FIN'!$A$1:$O$86,15,0)),0,VLOOKUP($U$381,'TAR FIN'!$A$1:$O$86,15,0))</f>
        <v>389.21</v>
      </c>
      <c r="Y381" s="6"/>
      <c r="Z381" s="6">
        <f ca="1">('TUSD BE'!$AM$12+'TUSD BF_350'!$AM$12+'TUSD CVA'!$AM$12)*1</f>
        <v>1074.3612836602365</v>
      </c>
      <c r="AA381" s="6">
        <f ca="1">('TE BE'!$AB$5+'TE BF_350'!$AB$5+'TE CVA'!$AB$5)*1</f>
        <v>353.55100010229148</v>
      </c>
      <c r="AB381" s="6">
        <f>$K$381*$V$381</f>
        <v>0</v>
      </c>
      <c r="AC381" s="6">
        <f>$M$381*$W$381</f>
        <v>8118.9650200000005</v>
      </c>
      <c r="AD381" s="6">
        <f>$O$381*$X$381</f>
        <v>2376.5162599999999</v>
      </c>
      <c r="AE381" s="6">
        <f>$K$381*$Y$381</f>
        <v>0</v>
      </c>
      <c r="AF381" s="6">
        <f ca="1">$M$381*$Z$381</f>
        <v>6560.0499980294035</v>
      </c>
      <c r="AG381" s="6">
        <f ca="1">$O$381*$AA$381</f>
        <v>2158.7824066245917</v>
      </c>
    </row>
    <row r="382" spans="1:33" ht="11.25" customHeight="1" x14ac:dyDescent="0.25">
      <c r="A382" s="4" t="s">
        <v>21</v>
      </c>
      <c r="B382" s="4" t="s">
        <v>38</v>
      </c>
      <c r="C382" s="4" t="s">
        <v>40</v>
      </c>
      <c r="D382" s="4" t="s">
        <v>44</v>
      </c>
      <c r="E382" s="4" t="s">
        <v>25</v>
      </c>
      <c r="F382" s="4" t="s">
        <v>25</v>
      </c>
      <c r="G382" s="4" t="s">
        <v>25</v>
      </c>
      <c r="H382" s="4" t="s">
        <v>33</v>
      </c>
      <c r="I382" s="5">
        <v>44652</v>
      </c>
      <c r="J382" s="6">
        <v>0</v>
      </c>
      <c r="K382" s="6">
        <v>0</v>
      </c>
      <c r="L382" s="6">
        <v>4.4820000000000002</v>
      </c>
      <c r="M382" s="6">
        <v>4.4820000000000002</v>
      </c>
      <c r="N382" s="6">
        <v>4.4820000000000002</v>
      </c>
      <c r="O382" s="6">
        <v>4.4820000000000002</v>
      </c>
      <c r="P382" s="6">
        <v>0</v>
      </c>
      <c r="Q382" s="4" t="s">
        <v>26</v>
      </c>
      <c r="R382" s="4">
        <v>0</v>
      </c>
      <c r="S382" s="6">
        <v>0</v>
      </c>
      <c r="T382" s="6">
        <v>16</v>
      </c>
      <c r="U382" s="6">
        <v>47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1329.67</v>
      </c>
      <c r="X382" s="6">
        <f>IF(ISERROR(VLOOKUP($U$382,'TAR FIN'!$A$1:$O$86,15,0)),0,VLOOKUP($U$382,'TAR FIN'!$A$1:$O$86,15,0))</f>
        <v>389.21</v>
      </c>
      <c r="Y382" s="6"/>
      <c r="Z382" s="6">
        <f ca="1">('TUSD BE'!$AM$12+'TUSD BF_350'!$AM$12+'TUSD CVA'!$AM$12)*1</f>
        <v>1074.3612836602365</v>
      </c>
      <c r="AA382" s="6">
        <f ca="1">('TE BE'!$AB$5+'TE BF_350'!$AB$5+'TE CVA'!$AB$5)*1</f>
        <v>353.55100010229148</v>
      </c>
      <c r="AB382" s="6">
        <f>$K$382*$V$382</f>
        <v>0</v>
      </c>
      <c r="AC382" s="6">
        <f>$M$382*$W$382</f>
        <v>5959.5809400000007</v>
      </c>
      <c r="AD382" s="6">
        <f>$O$382*$X$382</f>
        <v>1744.43922</v>
      </c>
      <c r="AE382" s="6">
        <f>$K$382*$Y$382</f>
        <v>0</v>
      </c>
      <c r="AF382" s="6">
        <f ca="1">$M$382*$Z$382</f>
        <v>4815.2872733651802</v>
      </c>
      <c r="AG382" s="6">
        <f ca="1">$O$382*$AA$382</f>
        <v>1584.6155824584705</v>
      </c>
    </row>
    <row r="383" spans="1:33" ht="11.25" customHeight="1" x14ac:dyDescent="0.25">
      <c r="A383" s="4" t="s">
        <v>21</v>
      </c>
      <c r="B383" s="4" t="s">
        <v>38</v>
      </c>
      <c r="C383" s="4" t="s">
        <v>40</v>
      </c>
      <c r="D383" s="4" t="s">
        <v>44</v>
      </c>
      <c r="E383" s="4" t="s">
        <v>25</v>
      </c>
      <c r="F383" s="4" t="s">
        <v>25</v>
      </c>
      <c r="G383" s="4" t="s">
        <v>25</v>
      </c>
      <c r="H383" s="4" t="s">
        <v>33</v>
      </c>
      <c r="I383" s="5">
        <v>44682</v>
      </c>
      <c r="J383" s="6">
        <v>0</v>
      </c>
      <c r="K383" s="6">
        <v>0</v>
      </c>
      <c r="L383" s="6">
        <v>5.7409999999999997</v>
      </c>
      <c r="M383" s="6">
        <v>5.7409999999999997</v>
      </c>
      <c r="N383" s="6">
        <v>5.7409999999999997</v>
      </c>
      <c r="O383" s="6">
        <v>5.7409999999999997</v>
      </c>
      <c r="P383" s="6">
        <v>0</v>
      </c>
      <c r="Q383" s="4" t="s">
        <v>26</v>
      </c>
      <c r="R383" s="4">
        <v>0</v>
      </c>
      <c r="S383" s="6">
        <v>0</v>
      </c>
      <c r="T383" s="6">
        <v>16</v>
      </c>
      <c r="U383" s="6">
        <v>47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1329.67</v>
      </c>
      <c r="X383" s="6">
        <f>IF(ISERROR(VLOOKUP($U$383,'TAR FIN'!$A$1:$O$86,15,0)),0,VLOOKUP($U$383,'TAR FIN'!$A$1:$O$86,15,0))</f>
        <v>389.21</v>
      </c>
      <c r="Y383" s="6"/>
      <c r="Z383" s="6">
        <f ca="1">('TUSD BE'!$AM$12+'TUSD BF_350'!$AM$12+'TUSD CVA'!$AM$12)*1</f>
        <v>1074.3612836602365</v>
      </c>
      <c r="AA383" s="6">
        <f ca="1">('TE BE'!$AB$5+'TE BF_350'!$AB$5+'TE CVA'!$AB$5)*1</f>
        <v>353.55100010229148</v>
      </c>
      <c r="AB383" s="6">
        <f>$K$383*$V$383</f>
        <v>0</v>
      </c>
      <c r="AC383" s="6">
        <f>$M$383*$W$383</f>
        <v>7633.6354700000002</v>
      </c>
      <c r="AD383" s="6">
        <f>$O$383*$X$383</f>
        <v>2234.4546099999998</v>
      </c>
      <c r="AE383" s="6">
        <f>$K$383*$Y$383</f>
        <v>0</v>
      </c>
      <c r="AF383" s="6">
        <f ca="1">$M$383*$Z$383</f>
        <v>6167.9081294934176</v>
      </c>
      <c r="AG383" s="6">
        <f ca="1">$O$383*$AA$383</f>
        <v>2029.7362915872552</v>
      </c>
    </row>
    <row r="384" spans="1:33" ht="11.25" customHeight="1" x14ac:dyDescent="0.25">
      <c r="A384" s="4" t="s">
        <v>56</v>
      </c>
      <c r="B384" s="4" t="s">
        <v>38</v>
      </c>
      <c r="C384" s="4" t="s">
        <v>40</v>
      </c>
      <c r="D384" s="4" t="s">
        <v>44</v>
      </c>
      <c r="E384" s="4" t="s">
        <v>25</v>
      </c>
      <c r="F384" s="4" t="s">
        <v>25</v>
      </c>
      <c r="G384" s="4" t="s">
        <v>25</v>
      </c>
      <c r="H384" s="4" t="s">
        <v>33</v>
      </c>
      <c r="I384" s="5">
        <v>44713</v>
      </c>
      <c r="J384" s="6">
        <v>0</v>
      </c>
      <c r="K384" s="6">
        <v>0</v>
      </c>
      <c r="L384" s="6">
        <v>5.7409999999999997</v>
      </c>
      <c r="M384" s="6">
        <v>5.7409999999999997</v>
      </c>
      <c r="N384" s="6">
        <v>5.7409999999999997</v>
      </c>
      <c r="O384" s="6">
        <v>5.7409999999999997</v>
      </c>
      <c r="P384" s="6">
        <v>0</v>
      </c>
      <c r="Q384" s="4" t="s">
        <v>26</v>
      </c>
      <c r="R384" s="4">
        <v>0</v>
      </c>
      <c r="S384" s="6">
        <v>0</v>
      </c>
      <c r="T384" s="6">
        <v>16</v>
      </c>
      <c r="U384" s="6">
        <v>47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1329.67</v>
      </c>
      <c r="X384" s="6">
        <f>IF(ISERROR(VLOOKUP($U$384,'TAR FIN'!$A$1:$O$86,15,0)),0,VLOOKUP($U$384,'TAR FIN'!$A$1:$O$86,15,0))</f>
        <v>389.21</v>
      </c>
      <c r="Y384" s="6"/>
      <c r="Z384" s="6">
        <f ca="1">('TUSD BE'!$AM$12+'TUSD BF_350'!$AM$12+'TUSD CVA'!$AM$12)*1</f>
        <v>1074.3612836602365</v>
      </c>
      <c r="AA384" s="6">
        <f ca="1">('TE BE'!$AB$5+'TE BF_350'!$AB$5+'TE CVA'!$AB$5)*1</f>
        <v>353.55100010229148</v>
      </c>
      <c r="AB384" s="6">
        <f>$K$384*$V$384</f>
        <v>0</v>
      </c>
      <c r="AC384" s="6">
        <f>$M$384*$W$384</f>
        <v>7633.6354700000002</v>
      </c>
      <c r="AD384" s="6">
        <f>$O$384*$X$384</f>
        <v>2234.4546099999998</v>
      </c>
      <c r="AE384" s="6">
        <f>$K$384*$Y$384</f>
        <v>0</v>
      </c>
      <c r="AF384" s="6">
        <f ca="1">$M$384*$Z$384</f>
        <v>6167.9081294934176</v>
      </c>
      <c r="AG384" s="6">
        <f ca="1">$O$384*$AA$384</f>
        <v>2029.7362915872552</v>
      </c>
    </row>
    <row r="385" spans="1:33" ht="11.25" customHeight="1" x14ac:dyDescent="0.25">
      <c r="A385" s="4" t="s">
        <v>21</v>
      </c>
      <c r="B385" s="4" t="s">
        <v>38</v>
      </c>
      <c r="C385" s="4" t="s">
        <v>40</v>
      </c>
      <c r="D385" s="4" t="s">
        <v>43</v>
      </c>
      <c r="E385" s="4" t="s">
        <v>51</v>
      </c>
      <c r="F385" s="4" t="s">
        <v>53</v>
      </c>
      <c r="G385" s="4" t="s">
        <v>25</v>
      </c>
      <c r="H385" s="4" t="s">
        <v>34</v>
      </c>
      <c r="I385" s="5">
        <v>44378</v>
      </c>
      <c r="J385" s="6">
        <v>0</v>
      </c>
      <c r="K385" s="6">
        <v>0</v>
      </c>
      <c r="L385" s="6">
        <v>9.0150000000000006</v>
      </c>
      <c r="M385" s="6">
        <v>2.7044999999999999</v>
      </c>
      <c r="N385" s="6">
        <v>9.0150000000000006</v>
      </c>
      <c r="O385" s="6">
        <v>2.7044999999999999</v>
      </c>
      <c r="P385" s="6">
        <v>0</v>
      </c>
      <c r="Q385" s="4" t="s">
        <v>26</v>
      </c>
      <c r="R385" s="4">
        <v>0</v>
      </c>
      <c r="S385" s="6">
        <v>0</v>
      </c>
      <c r="T385" s="6">
        <v>14</v>
      </c>
      <c r="U385" s="6">
        <v>42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78.680000000000007</v>
      </c>
      <c r="X385" s="6">
        <f>IF(ISERROR(VLOOKUP($U$385,'TAR FIN'!$A$1:$O$86,15,0)),0,VLOOKUP($U$385,'TAR FIN'!$A$1:$O$86,15,0))</f>
        <v>246.3</v>
      </c>
      <c r="Y385" s="6"/>
      <c r="Z385" s="6">
        <f ca="1">('TUSD BE'!$AM$13+'TUSD BF_350'!$AM$13+'TUSD CVA'!$AM$13)*1</f>
        <v>100.23755694003805</v>
      </c>
      <c r="AA385" s="6">
        <f ca="1">('TE BE'!$AB$6+'TE BF_350'!$AB$6+'TE CVA'!$AB$6)*1</f>
        <v>219.40364509824883</v>
      </c>
      <c r="AB385" s="6">
        <f>$K$385*$V$385</f>
        <v>0</v>
      </c>
      <c r="AC385" s="6">
        <f>$M$385*$W$385</f>
        <v>212.79006000000001</v>
      </c>
      <c r="AD385" s="6">
        <f>$O$385*$X$385</f>
        <v>666.11834999999996</v>
      </c>
      <c r="AE385" s="6">
        <f>$K$385*$Y$385</f>
        <v>0</v>
      </c>
      <c r="AF385" s="6">
        <f ca="1">$M$385*$Z$385</f>
        <v>271.09247274433289</v>
      </c>
      <c r="AG385" s="6">
        <f ca="1">$O$385*$AA$385</f>
        <v>593.3771581682139</v>
      </c>
    </row>
    <row r="386" spans="1:33" ht="11.25" customHeight="1" x14ac:dyDescent="0.25">
      <c r="A386" s="4" t="s">
        <v>21</v>
      </c>
      <c r="B386" s="4" t="s">
        <v>38</v>
      </c>
      <c r="C386" s="4" t="s">
        <v>40</v>
      </c>
      <c r="D386" s="4" t="s">
        <v>43</v>
      </c>
      <c r="E386" s="4" t="s">
        <v>51</v>
      </c>
      <c r="F386" s="4" t="s">
        <v>53</v>
      </c>
      <c r="G386" s="4" t="s">
        <v>25</v>
      </c>
      <c r="H386" s="4" t="s">
        <v>34</v>
      </c>
      <c r="I386" s="5">
        <v>44409</v>
      </c>
      <c r="J386" s="6">
        <v>0</v>
      </c>
      <c r="K386" s="6">
        <v>0</v>
      </c>
      <c r="L386" s="6">
        <v>9.0830000000000002</v>
      </c>
      <c r="M386" s="6">
        <v>2.7248999999999999</v>
      </c>
      <c r="N386" s="6">
        <v>9.0830000000000002</v>
      </c>
      <c r="O386" s="6">
        <v>2.7248999999999999</v>
      </c>
      <c r="P386" s="6">
        <v>0</v>
      </c>
      <c r="Q386" s="4" t="s">
        <v>26</v>
      </c>
      <c r="R386" s="4">
        <v>0</v>
      </c>
      <c r="S386" s="6">
        <v>0</v>
      </c>
      <c r="T386" s="6">
        <v>14</v>
      </c>
      <c r="U386" s="6">
        <v>42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78.680000000000007</v>
      </c>
      <c r="X386" s="6">
        <f>IF(ISERROR(VLOOKUP($U$386,'TAR FIN'!$A$1:$O$86,15,0)),0,VLOOKUP($U$386,'TAR FIN'!$A$1:$O$86,15,0))</f>
        <v>246.3</v>
      </c>
      <c r="Y386" s="6"/>
      <c r="Z386" s="6">
        <f ca="1">('TUSD BE'!$AM$13+'TUSD BF_350'!$AM$13+'TUSD CVA'!$AM$13)*1</f>
        <v>100.23755694003805</v>
      </c>
      <c r="AA386" s="6">
        <f ca="1">('TE BE'!$AB$6+'TE BF_350'!$AB$6+'TE CVA'!$AB$6)*1</f>
        <v>219.40364509824883</v>
      </c>
      <c r="AB386" s="6">
        <f>$K$386*$V$386</f>
        <v>0</v>
      </c>
      <c r="AC386" s="6">
        <f>$M$386*$W$386</f>
        <v>214.39513200000002</v>
      </c>
      <c r="AD386" s="6">
        <f>$O$386*$X$386</f>
        <v>671.14287000000002</v>
      </c>
      <c r="AE386" s="6">
        <f>$K$386*$Y$386</f>
        <v>0</v>
      </c>
      <c r="AF386" s="6">
        <f ca="1">$M$386*$Z$386</f>
        <v>273.13731890590964</v>
      </c>
      <c r="AG386" s="6">
        <f ca="1">$O$386*$AA$386</f>
        <v>597.85299252821824</v>
      </c>
    </row>
    <row r="387" spans="1:33" ht="11.25" customHeight="1" x14ac:dyDescent="0.25">
      <c r="A387" s="4" t="s">
        <v>21</v>
      </c>
      <c r="B387" s="4" t="s">
        <v>38</v>
      </c>
      <c r="C387" s="4" t="s">
        <v>40</v>
      </c>
      <c r="D387" s="4" t="s">
        <v>43</v>
      </c>
      <c r="E387" s="4" t="s">
        <v>51</v>
      </c>
      <c r="F387" s="4" t="s">
        <v>53</v>
      </c>
      <c r="G387" s="4" t="s">
        <v>25</v>
      </c>
      <c r="H387" s="4" t="s">
        <v>34</v>
      </c>
      <c r="I387" s="5">
        <v>44440</v>
      </c>
      <c r="J387" s="6">
        <v>0</v>
      </c>
      <c r="K387" s="6">
        <v>0</v>
      </c>
      <c r="L387" s="6">
        <v>8.0559999999999992</v>
      </c>
      <c r="M387" s="6">
        <v>2.4167999999999998</v>
      </c>
      <c r="N387" s="6">
        <v>8.0559999999999992</v>
      </c>
      <c r="O387" s="6">
        <v>2.4167999999999998</v>
      </c>
      <c r="P387" s="6">
        <v>0</v>
      </c>
      <c r="Q387" s="4" t="s">
        <v>26</v>
      </c>
      <c r="R387" s="4">
        <v>0</v>
      </c>
      <c r="S387" s="6">
        <v>0</v>
      </c>
      <c r="T387" s="6">
        <v>14</v>
      </c>
      <c r="U387" s="6">
        <v>42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78.680000000000007</v>
      </c>
      <c r="X387" s="6">
        <f>IF(ISERROR(VLOOKUP($U$387,'TAR FIN'!$A$1:$O$86,15,0)),0,VLOOKUP($U$387,'TAR FIN'!$A$1:$O$86,15,0))</f>
        <v>246.3</v>
      </c>
      <c r="Y387" s="6"/>
      <c r="Z387" s="6">
        <f ca="1">('TUSD BE'!$AM$13+'TUSD BF_350'!$AM$13+'TUSD CVA'!$AM$13)*1</f>
        <v>100.23755694003805</v>
      </c>
      <c r="AA387" s="6">
        <f ca="1">('TE BE'!$AB$6+'TE BF_350'!$AB$6+'TE CVA'!$AB$6)*1</f>
        <v>219.40364509824883</v>
      </c>
      <c r="AB387" s="6">
        <f>$K$387*$V$387</f>
        <v>0</v>
      </c>
      <c r="AC387" s="6">
        <f>$M$387*$W$387</f>
        <v>190.15382400000001</v>
      </c>
      <c r="AD387" s="6">
        <f>$O$387*$X$387</f>
        <v>595.25783999999999</v>
      </c>
      <c r="AE387" s="6">
        <f>$K$387*$Y$387</f>
        <v>0</v>
      </c>
      <c r="AF387" s="6">
        <f ca="1">$M$387*$Z$387</f>
        <v>242.25412761268393</v>
      </c>
      <c r="AG387" s="6">
        <f ca="1">$O$387*$AA$387</f>
        <v>530.2547294734477</v>
      </c>
    </row>
    <row r="388" spans="1:33" ht="11.25" customHeight="1" x14ac:dyDescent="0.25">
      <c r="A388" s="4" t="s">
        <v>21</v>
      </c>
      <c r="B388" s="4" t="s">
        <v>38</v>
      </c>
      <c r="C388" s="4" t="s">
        <v>40</v>
      </c>
      <c r="D388" s="4" t="s">
        <v>43</v>
      </c>
      <c r="E388" s="4" t="s">
        <v>51</v>
      </c>
      <c r="F388" s="4" t="s">
        <v>53</v>
      </c>
      <c r="G388" s="4" t="s">
        <v>25</v>
      </c>
      <c r="H388" s="4" t="s">
        <v>34</v>
      </c>
      <c r="I388" s="5">
        <v>44470</v>
      </c>
      <c r="J388" s="6">
        <v>0</v>
      </c>
      <c r="K388" s="6">
        <v>0</v>
      </c>
      <c r="L388" s="6">
        <v>18.600999999999999</v>
      </c>
      <c r="M388" s="6">
        <v>5.5803000000000003</v>
      </c>
      <c r="N388" s="6">
        <v>18.600999999999999</v>
      </c>
      <c r="O388" s="6">
        <v>5.5803000000000003</v>
      </c>
      <c r="P388" s="6">
        <v>0</v>
      </c>
      <c r="Q388" s="4" t="s">
        <v>26</v>
      </c>
      <c r="R388" s="4">
        <v>0</v>
      </c>
      <c r="S388" s="6">
        <v>0</v>
      </c>
      <c r="T388" s="6">
        <v>14</v>
      </c>
      <c r="U388" s="6">
        <v>42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78.680000000000007</v>
      </c>
      <c r="X388" s="6">
        <f>IF(ISERROR(VLOOKUP($U$388,'TAR FIN'!$A$1:$O$86,15,0)),0,VLOOKUP($U$388,'TAR FIN'!$A$1:$O$86,15,0))</f>
        <v>246.3</v>
      </c>
      <c r="Y388" s="6"/>
      <c r="Z388" s="6">
        <f ca="1">('TUSD BE'!$AM$13+'TUSD BF_350'!$AM$13+'TUSD CVA'!$AM$13)*1</f>
        <v>100.23755694003805</v>
      </c>
      <c r="AA388" s="6">
        <f ca="1">('TE BE'!$AB$6+'TE BF_350'!$AB$6+'TE CVA'!$AB$6)*1</f>
        <v>219.40364509824883</v>
      </c>
      <c r="AB388" s="6">
        <f>$K$388*$V$388</f>
        <v>0</v>
      </c>
      <c r="AC388" s="6">
        <f>$M$388*$W$388</f>
        <v>439.05800400000004</v>
      </c>
      <c r="AD388" s="6">
        <f>$O$388*$X$388</f>
        <v>1374.4278900000002</v>
      </c>
      <c r="AE388" s="6">
        <f>$K$388*$Y$388</f>
        <v>0</v>
      </c>
      <c r="AF388" s="6">
        <f ca="1">$M$388*$Z$388</f>
        <v>559.35563899249439</v>
      </c>
      <c r="AG388" s="6">
        <f ca="1">$O$388*$AA$388</f>
        <v>1224.338160741758</v>
      </c>
    </row>
    <row r="389" spans="1:33" ht="11.25" customHeight="1" x14ac:dyDescent="0.25">
      <c r="A389" s="4" t="s">
        <v>21</v>
      </c>
      <c r="B389" s="4" t="s">
        <v>38</v>
      </c>
      <c r="C389" s="4" t="s">
        <v>40</v>
      </c>
      <c r="D389" s="4" t="s">
        <v>43</v>
      </c>
      <c r="E389" s="4" t="s">
        <v>51</v>
      </c>
      <c r="F389" s="4" t="s">
        <v>53</v>
      </c>
      <c r="G389" s="4" t="s">
        <v>25</v>
      </c>
      <c r="H389" s="4" t="s">
        <v>34</v>
      </c>
      <c r="I389" s="5">
        <v>44501</v>
      </c>
      <c r="J389" s="6">
        <v>0</v>
      </c>
      <c r="K389" s="6">
        <v>0</v>
      </c>
      <c r="L389" s="6">
        <v>197.976</v>
      </c>
      <c r="M389" s="6">
        <v>59.392800000000001</v>
      </c>
      <c r="N389" s="6">
        <v>197.976</v>
      </c>
      <c r="O389" s="6">
        <v>59.392800000000001</v>
      </c>
      <c r="P389" s="6">
        <v>0</v>
      </c>
      <c r="Q389" s="4" t="s">
        <v>26</v>
      </c>
      <c r="R389" s="4">
        <v>0</v>
      </c>
      <c r="S389" s="6">
        <v>0</v>
      </c>
      <c r="T389" s="6">
        <v>14</v>
      </c>
      <c r="U389" s="6">
        <v>42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78.680000000000007</v>
      </c>
      <c r="X389" s="6">
        <f>IF(ISERROR(VLOOKUP($U$389,'TAR FIN'!$A$1:$O$86,15,0)),0,VLOOKUP($U$389,'TAR FIN'!$A$1:$O$86,15,0))</f>
        <v>246.3</v>
      </c>
      <c r="Y389" s="6"/>
      <c r="Z389" s="6">
        <f ca="1">('TUSD BE'!$AM$13+'TUSD BF_350'!$AM$13+'TUSD CVA'!$AM$13)*1</f>
        <v>100.23755694003805</v>
      </c>
      <c r="AA389" s="6">
        <f ca="1">('TE BE'!$AB$6+'TE BF_350'!$AB$6+'TE CVA'!$AB$6)*1</f>
        <v>219.40364509824883</v>
      </c>
      <c r="AB389" s="6">
        <f>$K$389*$V$389</f>
        <v>0</v>
      </c>
      <c r="AC389" s="6">
        <f>$M$389*$W$389</f>
        <v>4673.0255040000002</v>
      </c>
      <c r="AD389" s="6">
        <f>$O$389*$X$389</f>
        <v>14628.44664</v>
      </c>
      <c r="AE389" s="6">
        <f>$K$389*$Y$389</f>
        <v>0</v>
      </c>
      <c r="AF389" s="6">
        <f ca="1">$M$389*$Z$389</f>
        <v>5953.3891718282921</v>
      </c>
      <c r="AG389" s="6">
        <f ca="1">$O$389*$AA$389</f>
        <v>13030.996812591273</v>
      </c>
    </row>
    <row r="390" spans="1:33" ht="11.25" customHeight="1" x14ac:dyDescent="0.25">
      <c r="A390" s="4" t="s">
        <v>21</v>
      </c>
      <c r="B390" s="4" t="s">
        <v>38</v>
      </c>
      <c r="C390" s="4" t="s">
        <v>40</v>
      </c>
      <c r="D390" s="4" t="s">
        <v>43</v>
      </c>
      <c r="E390" s="4" t="s">
        <v>51</v>
      </c>
      <c r="F390" s="4" t="s">
        <v>53</v>
      </c>
      <c r="G390" s="4" t="s">
        <v>25</v>
      </c>
      <c r="H390" s="4" t="s">
        <v>34</v>
      </c>
      <c r="I390" s="5">
        <v>44531</v>
      </c>
      <c r="J390" s="6">
        <v>0</v>
      </c>
      <c r="K390" s="6">
        <v>0</v>
      </c>
      <c r="L390" s="6">
        <v>482.69099999999997</v>
      </c>
      <c r="M390" s="6">
        <v>144.8073</v>
      </c>
      <c r="N390" s="6">
        <v>482.69099999999997</v>
      </c>
      <c r="O390" s="6">
        <v>144.8073</v>
      </c>
      <c r="P390" s="6">
        <v>0</v>
      </c>
      <c r="Q390" s="4" t="s">
        <v>26</v>
      </c>
      <c r="R390" s="4">
        <v>0</v>
      </c>
      <c r="S390" s="6">
        <v>0</v>
      </c>
      <c r="T390" s="6">
        <v>14</v>
      </c>
      <c r="U390" s="6">
        <v>42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78.680000000000007</v>
      </c>
      <c r="X390" s="6">
        <f>IF(ISERROR(VLOOKUP($U$390,'TAR FIN'!$A$1:$O$86,15,0)),0,VLOOKUP($U$390,'TAR FIN'!$A$1:$O$86,15,0))</f>
        <v>246.3</v>
      </c>
      <c r="Y390" s="6"/>
      <c r="Z390" s="6">
        <f ca="1">('TUSD BE'!$AM$13+'TUSD BF_350'!$AM$13+'TUSD CVA'!$AM$13)*1</f>
        <v>100.23755694003805</v>
      </c>
      <c r="AA390" s="6">
        <f ca="1">('TE BE'!$AB$6+'TE BF_350'!$AB$6+'TE CVA'!$AB$6)*1</f>
        <v>219.40364509824883</v>
      </c>
      <c r="AB390" s="6">
        <f>$K$390*$V$390</f>
        <v>0</v>
      </c>
      <c r="AC390" s="6">
        <f>$M$390*$W$390</f>
        <v>11393.438364000001</v>
      </c>
      <c r="AD390" s="6">
        <f>$O$390*$X$390</f>
        <v>35666.037990000004</v>
      </c>
      <c r="AE390" s="6">
        <f>$K$390*$Y$390</f>
        <v>0</v>
      </c>
      <c r="AF390" s="6">
        <f ca="1">$M$390*$Z$390</f>
        <v>14515.129979083171</v>
      </c>
      <c r="AG390" s="6">
        <f ca="1">$O$390*$AA$390</f>
        <v>31771.249456835649</v>
      </c>
    </row>
    <row r="391" spans="1:33" ht="11.25" customHeight="1" x14ac:dyDescent="0.25">
      <c r="A391" s="4" t="s">
        <v>21</v>
      </c>
      <c r="B391" s="4" t="s">
        <v>38</v>
      </c>
      <c r="C391" s="4" t="s">
        <v>40</v>
      </c>
      <c r="D391" s="4" t="s">
        <v>43</v>
      </c>
      <c r="E391" s="4" t="s">
        <v>51</v>
      </c>
      <c r="F391" s="4" t="s">
        <v>53</v>
      </c>
      <c r="G391" s="4" t="s">
        <v>25</v>
      </c>
      <c r="H391" s="4" t="s">
        <v>34</v>
      </c>
      <c r="I391" s="5">
        <v>44562</v>
      </c>
      <c r="J391" s="6">
        <v>0</v>
      </c>
      <c r="K391" s="6">
        <v>0</v>
      </c>
      <c r="L391" s="6">
        <v>304.947</v>
      </c>
      <c r="M391" s="6">
        <v>91.484099999999998</v>
      </c>
      <c r="N391" s="6">
        <v>304.947</v>
      </c>
      <c r="O391" s="6">
        <v>91.484099999999998</v>
      </c>
      <c r="P391" s="6">
        <v>0</v>
      </c>
      <c r="Q391" s="4" t="s">
        <v>26</v>
      </c>
      <c r="R391" s="4">
        <v>0</v>
      </c>
      <c r="S391" s="6">
        <v>0</v>
      </c>
      <c r="T391" s="6">
        <v>14</v>
      </c>
      <c r="U391" s="6">
        <v>42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78.680000000000007</v>
      </c>
      <c r="X391" s="6">
        <f>IF(ISERROR(VLOOKUP($U$391,'TAR FIN'!$A$1:$O$86,15,0)),0,VLOOKUP($U$391,'TAR FIN'!$A$1:$O$86,15,0))</f>
        <v>246.3</v>
      </c>
      <c r="Y391" s="6"/>
      <c r="Z391" s="6">
        <f ca="1">('TUSD BE'!$AM$13+'TUSD BF_350'!$AM$13+'TUSD CVA'!$AM$13)*1</f>
        <v>100.23755694003805</v>
      </c>
      <c r="AA391" s="6">
        <f ca="1">('TE BE'!$AB$6+'TE BF_350'!$AB$6+'TE CVA'!$AB$6)*1</f>
        <v>219.40364509824883</v>
      </c>
      <c r="AB391" s="6">
        <f>$K$391*$V$391</f>
        <v>0</v>
      </c>
      <c r="AC391" s="6">
        <f>$M$391*$W$391</f>
        <v>7197.9689880000005</v>
      </c>
      <c r="AD391" s="6">
        <f>$O$391*$X$391</f>
        <v>22532.53383</v>
      </c>
      <c r="AE391" s="6">
        <f>$K$391*$Y$391</f>
        <v>0</v>
      </c>
      <c r="AF391" s="6">
        <f ca="1">$M$391*$Z$391</f>
        <v>9170.1426828581352</v>
      </c>
      <c r="AG391" s="6">
        <f ca="1">$O$391*$AA$391</f>
        <v>20071.945008532704</v>
      </c>
    </row>
    <row r="392" spans="1:33" ht="11.25" customHeight="1" x14ac:dyDescent="0.25">
      <c r="A392" s="4" t="s">
        <v>21</v>
      </c>
      <c r="B392" s="4" t="s">
        <v>38</v>
      </c>
      <c r="C392" s="4" t="s">
        <v>40</v>
      </c>
      <c r="D392" s="4" t="s">
        <v>43</v>
      </c>
      <c r="E392" s="4" t="s">
        <v>51</v>
      </c>
      <c r="F392" s="4" t="s">
        <v>53</v>
      </c>
      <c r="G392" s="4" t="s">
        <v>25</v>
      </c>
      <c r="H392" s="4" t="s">
        <v>34</v>
      </c>
      <c r="I392" s="5">
        <v>44593</v>
      </c>
      <c r="J392" s="6">
        <v>0</v>
      </c>
      <c r="K392" s="6">
        <v>0</v>
      </c>
      <c r="L392" s="6">
        <v>176.97200000000001</v>
      </c>
      <c r="M392" s="6">
        <v>53.0916</v>
      </c>
      <c r="N392" s="6">
        <v>176.97200000000001</v>
      </c>
      <c r="O392" s="6">
        <v>53.0916</v>
      </c>
      <c r="P392" s="6">
        <v>0</v>
      </c>
      <c r="Q392" s="4" t="s">
        <v>26</v>
      </c>
      <c r="R392" s="4">
        <v>0</v>
      </c>
      <c r="S392" s="6">
        <v>0</v>
      </c>
      <c r="T392" s="6">
        <v>14</v>
      </c>
      <c r="U392" s="6">
        <v>42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78.680000000000007</v>
      </c>
      <c r="X392" s="6">
        <f>IF(ISERROR(VLOOKUP($U$392,'TAR FIN'!$A$1:$O$86,15,0)),0,VLOOKUP($U$392,'TAR FIN'!$A$1:$O$86,15,0))</f>
        <v>246.3</v>
      </c>
      <c r="Y392" s="6"/>
      <c r="Z392" s="6">
        <f ca="1">('TUSD BE'!$AM$13+'TUSD BF_350'!$AM$13+'TUSD CVA'!$AM$13)*1</f>
        <v>100.23755694003805</v>
      </c>
      <c r="AA392" s="6">
        <f ca="1">('TE BE'!$AB$6+'TE BF_350'!$AB$6+'TE CVA'!$AB$6)*1</f>
        <v>219.40364509824883</v>
      </c>
      <c r="AB392" s="6">
        <f>$K$392*$V$392</f>
        <v>0</v>
      </c>
      <c r="AC392" s="6">
        <f>$M$392*$W$392</f>
        <v>4177.2470880000001</v>
      </c>
      <c r="AD392" s="6">
        <f>$O$392*$X$392</f>
        <v>13076.461080000001</v>
      </c>
      <c r="AE392" s="6">
        <f>$K$392*$Y$392</f>
        <v>0</v>
      </c>
      <c r="AF392" s="6">
        <f ca="1">$M$392*$Z$392</f>
        <v>5321.7722780377244</v>
      </c>
      <c r="AG392" s="6">
        <f ca="1">$O$392*$AA$392</f>
        <v>11648.490564098187</v>
      </c>
    </row>
    <row r="393" spans="1:33" ht="11.25" customHeight="1" x14ac:dyDescent="0.25">
      <c r="A393" s="4" t="s">
        <v>21</v>
      </c>
      <c r="B393" s="4" t="s">
        <v>38</v>
      </c>
      <c r="C393" s="4" t="s">
        <v>40</v>
      </c>
      <c r="D393" s="4" t="s">
        <v>43</v>
      </c>
      <c r="E393" s="4" t="s">
        <v>51</v>
      </c>
      <c r="F393" s="4" t="s">
        <v>53</v>
      </c>
      <c r="G393" s="4" t="s">
        <v>25</v>
      </c>
      <c r="H393" s="4" t="s">
        <v>34</v>
      </c>
      <c r="I393" s="5">
        <v>44621</v>
      </c>
      <c r="J393" s="6">
        <v>0</v>
      </c>
      <c r="K393" s="6">
        <v>0</v>
      </c>
      <c r="L393" s="6">
        <v>15.061999999999999</v>
      </c>
      <c r="M393" s="6">
        <v>4.5186000000000002</v>
      </c>
      <c r="N393" s="6">
        <v>15.061999999999999</v>
      </c>
      <c r="O393" s="6">
        <v>4.5186000000000002</v>
      </c>
      <c r="P393" s="6">
        <v>0</v>
      </c>
      <c r="Q393" s="4" t="s">
        <v>26</v>
      </c>
      <c r="R393" s="4">
        <v>0</v>
      </c>
      <c r="S393" s="6">
        <v>0</v>
      </c>
      <c r="T393" s="6">
        <v>14</v>
      </c>
      <c r="U393" s="6">
        <v>42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78.680000000000007</v>
      </c>
      <c r="X393" s="6">
        <f>IF(ISERROR(VLOOKUP($U$393,'TAR FIN'!$A$1:$O$86,15,0)),0,VLOOKUP($U$393,'TAR FIN'!$A$1:$O$86,15,0))</f>
        <v>246.3</v>
      </c>
      <c r="Y393" s="6"/>
      <c r="Z393" s="6">
        <f ca="1">('TUSD BE'!$AM$13+'TUSD BF_350'!$AM$13+'TUSD CVA'!$AM$13)*1</f>
        <v>100.23755694003805</v>
      </c>
      <c r="AA393" s="6">
        <f ca="1">('TE BE'!$AB$6+'TE BF_350'!$AB$6+'TE CVA'!$AB$6)*1</f>
        <v>219.40364509824883</v>
      </c>
      <c r="AB393" s="6">
        <f>$K$393*$V$393</f>
        <v>0</v>
      </c>
      <c r="AC393" s="6">
        <f>$M$393*$W$393</f>
        <v>355.52344800000003</v>
      </c>
      <c r="AD393" s="6">
        <f>$O$393*$X$393</f>
        <v>1112.93118</v>
      </c>
      <c r="AE393" s="6">
        <f>$K$393*$Y$393</f>
        <v>0</v>
      </c>
      <c r="AF393" s="6">
        <f ca="1">$M$393*$Z$393</f>
        <v>452.93342478925592</v>
      </c>
      <c r="AG393" s="6">
        <f ca="1">$O$393*$AA$393</f>
        <v>991.3973107409472</v>
      </c>
    </row>
    <row r="394" spans="1:33" ht="11.25" customHeight="1" x14ac:dyDescent="0.25">
      <c r="A394" s="4" t="s">
        <v>21</v>
      </c>
      <c r="B394" s="4" t="s">
        <v>38</v>
      </c>
      <c r="C394" s="4" t="s">
        <v>40</v>
      </c>
      <c r="D394" s="4" t="s">
        <v>43</v>
      </c>
      <c r="E394" s="4" t="s">
        <v>51</v>
      </c>
      <c r="F394" s="4" t="s">
        <v>53</v>
      </c>
      <c r="G394" s="4" t="s">
        <v>25</v>
      </c>
      <c r="H394" s="4" t="s">
        <v>34</v>
      </c>
      <c r="I394" s="5">
        <v>44652</v>
      </c>
      <c r="J394" s="6">
        <v>0</v>
      </c>
      <c r="K394" s="6">
        <v>0</v>
      </c>
      <c r="L394" s="6">
        <v>6.9829999999999997</v>
      </c>
      <c r="M394" s="6">
        <v>2.0949</v>
      </c>
      <c r="N394" s="6">
        <v>6.9829999999999997</v>
      </c>
      <c r="O394" s="6">
        <v>2.0949</v>
      </c>
      <c r="P394" s="6">
        <v>0</v>
      </c>
      <c r="Q394" s="4" t="s">
        <v>26</v>
      </c>
      <c r="R394" s="4">
        <v>0</v>
      </c>
      <c r="S394" s="6">
        <v>0</v>
      </c>
      <c r="T394" s="6">
        <v>14</v>
      </c>
      <c r="U394" s="6">
        <v>42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78.680000000000007</v>
      </c>
      <c r="X394" s="6">
        <f>IF(ISERROR(VLOOKUP($U$394,'TAR FIN'!$A$1:$O$86,15,0)),0,VLOOKUP($U$394,'TAR FIN'!$A$1:$O$86,15,0))</f>
        <v>246.3</v>
      </c>
      <c r="Y394" s="6"/>
      <c r="Z394" s="6">
        <f ca="1">('TUSD BE'!$AM$13+'TUSD BF_350'!$AM$13+'TUSD CVA'!$AM$13)*1</f>
        <v>100.23755694003805</v>
      </c>
      <c r="AA394" s="6">
        <f ca="1">('TE BE'!$AB$6+'TE BF_350'!$AB$6+'TE CVA'!$AB$6)*1</f>
        <v>219.40364509824883</v>
      </c>
      <c r="AB394" s="6">
        <f>$K$394*$V$394</f>
        <v>0</v>
      </c>
      <c r="AC394" s="6">
        <f>$M$394*$W$394</f>
        <v>164.82673200000002</v>
      </c>
      <c r="AD394" s="6">
        <f>$O$394*$X$394</f>
        <v>515.97387000000003</v>
      </c>
      <c r="AE394" s="6">
        <f>$K$394*$Y$394</f>
        <v>0</v>
      </c>
      <c r="AF394" s="6">
        <f ca="1">$M$394*$Z$394</f>
        <v>209.9876580336857</v>
      </c>
      <c r="AG394" s="6">
        <f ca="1">$O$394*$AA$394</f>
        <v>459.62869611632146</v>
      </c>
    </row>
    <row r="395" spans="1:33" ht="11.25" customHeight="1" x14ac:dyDescent="0.25">
      <c r="A395" s="4" t="s">
        <v>21</v>
      </c>
      <c r="B395" s="4" t="s">
        <v>38</v>
      </c>
      <c r="C395" s="4" t="s">
        <v>40</v>
      </c>
      <c r="D395" s="4" t="s">
        <v>43</v>
      </c>
      <c r="E395" s="4" t="s">
        <v>51</v>
      </c>
      <c r="F395" s="4" t="s">
        <v>53</v>
      </c>
      <c r="G395" s="4" t="s">
        <v>25</v>
      </c>
      <c r="H395" s="4" t="s">
        <v>34</v>
      </c>
      <c r="I395" s="5">
        <v>44682</v>
      </c>
      <c r="J395" s="6">
        <v>0</v>
      </c>
      <c r="K395" s="6">
        <v>0</v>
      </c>
      <c r="L395" s="6">
        <v>12.044</v>
      </c>
      <c r="M395" s="6">
        <v>3.6132</v>
      </c>
      <c r="N395" s="6">
        <v>12.044</v>
      </c>
      <c r="O395" s="6">
        <v>3.6132</v>
      </c>
      <c r="P395" s="6">
        <v>0</v>
      </c>
      <c r="Q395" s="4" t="s">
        <v>26</v>
      </c>
      <c r="R395" s="4">
        <v>0</v>
      </c>
      <c r="S395" s="6">
        <v>0</v>
      </c>
      <c r="T395" s="6">
        <v>14</v>
      </c>
      <c r="U395" s="6">
        <v>42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78.680000000000007</v>
      </c>
      <c r="X395" s="6">
        <f>IF(ISERROR(VLOOKUP($U$395,'TAR FIN'!$A$1:$O$86,15,0)),0,VLOOKUP($U$395,'TAR FIN'!$A$1:$O$86,15,0))</f>
        <v>246.3</v>
      </c>
      <c r="Y395" s="6"/>
      <c r="Z395" s="6">
        <f ca="1">('TUSD BE'!$AM$13+'TUSD BF_350'!$AM$13+'TUSD CVA'!$AM$13)*1</f>
        <v>100.23755694003805</v>
      </c>
      <c r="AA395" s="6">
        <f ca="1">('TE BE'!$AB$6+'TE BF_350'!$AB$6+'TE CVA'!$AB$6)*1</f>
        <v>219.40364509824883</v>
      </c>
      <c r="AB395" s="6">
        <f>$K$395*$V$395</f>
        <v>0</v>
      </c>
      <c r="AC395" s="6">
        <f>$M$395*$W$395</f>
        <v>284.28657600000003</v>
      </c>
      <c r="AD395" s="6">
        <f>$O$395*$X$395</f>
        <v>889.93115999999998</v>
      </c>
      <c r="AE395" s="6">
        <f>$K$395*$Y$395</f>
        <v>0</v>
      </c>
      <c r="AF395" s="6">
        <f ca="1">$M$395*$Z$395</f>
        <v>362.17834073574545</v>
      </c>
      <c r="AG395" s="6">
        <f ca="1">$O$395*$AA$395</f>
        <v>792.74925046899261</v>
      </c>
    </row>
    <row r="396" spans="1:33" ht="11.25" customHeight="1" x14ac:dyDescent="0.25">
      <c r="A396" s="4" t="s">
        <v>56</v>
      </c>
      <c r="B396" s="4" t="s">
        <v>38</v>
      </c>
      <c r="C396" s="4" t="s">
        <v>40</v>
      </c>
      <c r="D396" s="4" t="s">
        <v>43</v>
      </c>
      <c r="E396" s="4" t="s">
        <v>51</v>
      </c>
      <c r="F396" s="4" t="s">
        <v>53</v>
      </c>
      <c r="G396" s="4" t="s">
        <v>25</v>
      </c>
      <c r="H396" s="4" t="s">
        <v>34</v>
      </c>
      <c r="I396" s="5">
        <v>44713</v>
      </c>
      <c r="J396" s="6">
        <v>0</v>
      </c>
      <c r="K396" s="6">
        <v>0</v>
      </c>
      <c r="L396" s="6">
        <v>12.044</v>
      </c>
      <c r="M396" s="6">
        <v>3.6132</v>
      </c>
      <c r="N396" s="6">
        <v>12.044</v>
      </c>
      <c r="O396" s="6">
        <v>3.6132</v>
      </c>
      <c r="P396" s="6">
        <v>0</v>
      </c>
      <c r="Q396" s="4" t="s">
        <v>26</v>
      </c>
      <c r="R396" s="4">
        <v>0</v>
      </c>
      <c r="S396" s="6">
        <v>0</v>
      </c>
      <c r="T396" s="6">
        <v>14</v>
      </c>
      <c r="U396" s="6">
        <v>42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78.680000000000007</v>
      </c>
      <c r="X396" s="6">
        <f>IF(ISERROR(VLOOKUP($U$396,'TAR FIN'!$A$1:$O$86,15,0)),0,VLOOKUP($U$396,'TAR FIN'!$A$1:$O$86,15,0))</f>
        <v>246.3</v>
      </c>
      <c r="Y396" s="6"/>
      <c r="Z396" s="6">
        <f ca="1">('TUSD BE'!$AM$13+'TUSD BF_350'!$AM$13+'TUSD CVA'!$AM$13)*1</f>
        <v>100.23755694003805</v>
      </c>
      <c r="AA396" s="6">
        <f ca="1">('TE BE'!$AB$6+'TE BF_350'!$AB$6+'TE CVA'!$AB$6)*1</f>
        <v>219.40364509824883</v>
      </c>
      <c r="AB396" s="6">
        <f>$K$396*$V$396</f>
        <v>0</v>
      </c>
      <c r="AC396" s="6">
        <f>$M$396*$W$396</f>
        <v>284.28657600000003</v>
      </c>
      <c r="AD396" s="6">
        <f>$O$396*$X$396</f>
        <v>889.93115999999998</v>
      </c>
      <c r="AE396" s="6">
        <f>$K$396*$Y$396</f>
        <v>0</v>
      </c>
      <c r="AF396" s="6">
        <f ca="1">$M$396*$Z$396</f>
        <v>362.17834073574545</v>
      </c>
      <c r="AG396" s="6">
        <f ca="1">$O$396*$AA$396</f>
        <v>792.74925046899261</v>
      </c>
    </row>
    <row r="397" spans="1:33" ht="11.25" customHeight="1" x14ac:dyDescent="0.25">
      <c r="A397" s="4" t="s">
        <v>21</v>
      </c>
      <c r="B397" s="4" t="s">
        <v>38</v>
      </c>
      <c r="C397" s="4" t="s">
        <v>40</v>
      </c>
      <c r="D397" s="4" t="s">
        <v>43</v>
      </c>
      <c r="E397" s="4" t="s">
        <v>51</v>
      </c>
      <c r="F397" s="4" t="s">
        <v>25</v>
      </c>
      <c r="G397" s="4" t="s">
        <v>25</v>
      </c>
      <c r="H397" s="4" t="s">
        <v>34</v>
      </c>
      <c r="I397" s="5">
        <v>44378</v>
      </c>
      <c r="J397" s="6">
        <v>0</v>
      </c>
      <c r="K397" s="97">
        <v>0</v>
      </c>
      <c r="L397" s="6">
        <v>12.837</v>
      </c>
      <c r="M397" s="97">
        <v>12.837</v>
      </c>
      <c r="N397" s="6">
        <v>12.837</v>
      </c>
      <c r="O397" s="97">
        <v>12.837</v>
      </c>
      <c r="P397" s="6">
        <v>0</v>
      </c>
      <c r="Q397" s="4" t="s">
        <v>26</v>
      </c>
      <c r="R397" s="4">
        <v>0</v>
      </c>
      <c r="S397" s="6">
        <v>0</v>
      </c>
      <c r="T397" s="6">
        <v>14</v>
      </c>
      <c r="U397" s="6">
        <v>42</v>
      </c>
      <c r="V397" s="97">
        <f>IF(ISERROR(VLOOKUP($S$397,'TAR FIN'!$A$1:$O$86,15,0)),0,VLOOKUP($S$397,'TAR FIN'!$A$1:$O$86,15,0))</f>
        <v>0</v>
      </c>
      <c r="W397" s="97">
        <f>IF(ISERROR(VLOOKUP($T$397,'TAR FIN'!$A$1:$O$86,15,0)),0,VLOOKUP($T$397,'TAR FIN'!$A$1:$O$86,15,0))*(1-0.04)</f>
        <v>75.532800000000009</v>
      </c>
      <c r="X397" s="97">
        <f>IF(ISERROR(VLOOKUP($U$397,'TAR FIN'!$A$1:$O$86,15,0)),0,VLOOKUP($U$397,'TAR FIN'!$A$1:$O$86,15,0))*(1-0.04)</f>
        <v>236.44800000000001</v>
      </c>
      <c r="Y397" s="97"/>
      <c r="Z397" s="97">
        <f ca="1">('TUSD BE'!$AM$13+'TUSD BF_350'!$AM$13+'TUSD CVA'!$AM$13)*1*(1-0.02)</f>
        <v>98.232805801237291</v>
      </c>
      <c r="AA397" s="97">
        <f ca="1">('TE BE'!$AB$6+'TE BF_350'!$AB$6+'TE CVA'!$AB$6)*1*(1-0.02)</f>
        <v>215.01557219628384</v>
      </c>
      <c r="AB397" s="6">
        <f>$K$397*$V$397</f>
        <v>0</v>
      </c>
      <c r="AC397" s="6">
        <f>$M$397*$W$397</f>
        <v>969.61455360000014</v>
      </c>
      <c r="AD397" s="6">
        <f>$O$397*$X$397</f>
        <v>3035.282976</v>
      </c>
      <c r="AE397" s="6">
        <f>$K$397*$Y$397</f>
        <v>0</v>
      </c>
      <c r="AF397" s="6">
        <f ca="1">$M$397*$Z$397</f>
        <v>1261.014528070483</v>
      </c>
      <c r="AG397" s="6">
        <f ca="1">$O$397*$AA$397</f>
        <v>2760.1549002836955</v>
      </c>
    </row>
    <row r="398" spans="1:33" ht="11.25" customHeight="1" x14ac:dyDescent="0.25">
      <c r="A398" s="4" t="s">
        <v>21</v>
      </c>
      <c r="B398" s="4" t="s">
        <v>38</v>
      </c>
      <c r="C398" s="4" t="s">
        <v>40</v>
      </c>
      <c r="D398" s="4" t="s">
        <v>43</v>
      </c>
      <c r="E398" s="4" t="s">
        <v>51</v>
      </c>
      <c r="F398" s="4" t="s">
        <v>25</v>
      </c>
      <c r="G398" s="4" t="s">
        <v>25</v>
      </c>
      <c r="H398" s="4" t="s">
        <v>34</v>
      </c>
      <c r="I398" s="5">
        <v>44409</v>
      </c>
      <c r="J398" s="6">
        <v>0</v>
      </c>
      <c r="K398" s="97">
        <v>0</v>
      </c>
      <c r="L398" s="6">
        <v>16.324000000000002</v>
      </c>
      <c r="M398" s="97">
        <v>16.324000000000002</v>
      </c>
      <c r="N398" s="6">
        <v>16.324000000000002</v>
      </c>
      <c r="O398" s="97">
        <v>16.324000000000002</v>
      </c>
      <c r="P398" s="6">
        <v>0</v>
      </c>
      <c r="Q398" s="4" t="s">
        <v>26</v>
      </c>
      <c r="R398" s="4">
        <v>0</v>
      </c>
      <c r="S398" s="6">
        <v>0</v>
      </c>
      <c r="T398" s="6">
        <v>14</v>
      </c>
      <c r="U398" s="6">
        <v>42</v>
      </c>
      <c r="V398" s="97">
        <f>IF(ISERROR(VLOOKUP($S$398,'TAR FIN'!$A$1:$O$86,15,0)),0,VLOOKUP($S$398,'TAR FIN'!$A$1:$O$86,15,0))</f>
        <v>0</v>
      </c>
      <c r="W398" s="97">
        <f>IF(ISERROR(VLOOKUP($T$398,'TAR FIN'!$A$1:$O$86,15,0)),0,VLOOKUP($T$398,'TAR FIN'!$A$1:$O$86,15,0))*(1-0.04)</f>
        <v>75.532800000000009</v>
      </c>
      <c r="X398" s="97">
        <f>IF(ISERROR(VLOOKUP($U$398,'TAR FIN'!$A$1:$O$86,15,0)),0,VLOOKUP($U$398,'TAR FIN'!$A$1:$O$86,15,0))*(1-0.04)</f>
        <v>236.44800000000001</v>
      </c>
      <c r="Y398" s="97"/>
      <c r="Z398" s="97">
        <f ca="1">('TUSD BE'!$AM$13+'TUSD BF_350'!$AM$13+'TUSD CVA'!$AM$13)*1*(1-0.02)</f>
        <v>98.232805801237291</v>
      </c>
      <c r="AA398" s="97">
        <f ca="1">('TE BE'!$AB$6+'TE BF_350'!$AB$6+'TE CVA'!$AB$6)*1*(1-0.02)</f>
        <v>215.01557219628384</v>
      </c>
      <c r="AB398" s="6">
        <f>$K$398*$V$398</f>
        <v>0</v>
      </c>
      <c r="AC398" s="6">
        <f>$M$398*$W$398</f>
        <v>1232.9974272000002</v>
      </c>
      <c r="AD398" s="6">
        <f>$O$398*$X$398</f>
        <v>3859.7771520000006</v>
      </c>
      <c r="AE398" s="6">
        <f>$K$398*$Y$398</f>
        <v>0</v>
      </c>
      <c r="AF398" s="6">
        <f ca="1">$M$398*$Z$398</f>
        <v>1603.5523218993976</v>
      </c>
      <c r="AG398" s="6">
        <f ca="1">$O$398*$AA$398</f>
        <v>3509.9142005321378</v>
      </c>
    </row>
    <row r="399" spans="1:33" ht="11.25" customHeight="1" x14ac:dyDescent="0.25">
      <c r="A399" s="4" t="s">
        <v>55</v>
      </c>
      <c r="B399" s="4" t="s">
        <v>38</v>
      </c>
      <c r="C399" s="4" t="s">
        <v>40</v>
      </c>
      <c r="D399" s="4" t="s">
        <v>43</v>
      </c>
      <c r="E399" s="4" t="s">
        <v>51</v>
      </c>
      <c r="F399" s="4" t="s">
        <v>25</v>
      </c>
      <c r="G399" s="4" t="s">
        <v>25</v>
      </c>
      <c r="H399" s="4" t="s">
        <v>34</v>
      </c>
      <c r="I399" s="5">
        <v>44409</v>
      </c>
      <c r="J399" s="6">
        <v>0</v>
      </c>
      <c r="K399" s="97">
        <v>0</v>
      </c>
      <c r="L399" s="6">
        <v>0.70899999999999996</v>
      </c>
      <c r="M399" s="97">
        <v>0.70899999999999996</v>
      </c>
      <c r="N399" s="6">
        <v>0.70899999999999996</v>
      </c>
      <c r="O399" s="97">
        <v>0.70899999999999996</v>
      </c>
      <c r="P399" s="6">
        <v>0</v>
      </c>
      <c r="Q399" s="4" t="s">
        <v>26</v>
      </c>
      <c r="R399" s="4">
        <v>0</v>
      </c>
      <c r="S399" s="6">
        <v>0</v>
      </c>
      <c r="T399" s="6">
        <v>14</v>
      </c>
      <c r="U399" s="6">
        <v>42</v>
      </c>
      <c r="V399" s="97">
        <f>IF(ISERROR(VLOOKUP($S$399,'TAR FIN'!$A$1:$O$86,15,0)),0,VLOOKUP($S$399,'TAR FIN'!$A$1:$O$86,15,0))</f>
        <v>0</v>
      </c>
      <c r="W399" s="97">
        <f>IF(ISERROR(VLOOKUP($T$399,'TAR FIN'!$A$1:$O$86,15,0)),0,VLOOKUP($T$399,'TAR FIN'!$A$1:$O$86,15,0))*(1-0.04)</f>
        <v>75.532800000000009</v>
      </c>
      <c r="X399" s="97">
        <f>IF(ISERROR(VLOOKUP($U$399,'TAR FIN'!$A$1:$O$86,15,0)),0,VLOOKUP($U$399,'TAR FIN'!$A$1:$O$86,15,0))*(1-0.04)</f>
        <v>236.44800000000001</v>
      </c>
      <c r="Y399" s="97"/>
      <c r="Z399" s="97">
        <f ca="1">('TUSD BE'!$AM$13+'TUSD BF_350'!$AM$13+'TUSD CVA'!$AM$13)*1*(1-0.02)</f>
        <v>98.232805801237291</v>
      </c>
      <c r="AA399" s="97">
        <f ca="1">('TE BE'!$AB$6+'TE BF_350'!$AB$6+'TE CVA'!$AB$6)*1*(1-0.02)</f>
        <v>215.01557219628384</v>
      </c>
      <c r="AB399" s="6">
        <f>$K$399*$V$399</f>
        <v>0</v>
      </c>
      <c r="AC399" s="6">
        <f>$M$399*$W$399</f>
        <v>53.5527552</v>
      </c>
      <c r="AD399" s="6">
        <f>$O$399*$X$399</f>
        <v>167.64163199999999</v>
      </c>
      <c r="AE399" s="6">
        <f>$K$399*$Y$399</f>
        <v>0</v>
      </c>
      <c r="AF399" s="6">
        <f ca="1">$M$399*$Z$399</f>
        <v>69.647059313077236</v>
      </c>
      <c r="AG399" s="6">
        <f ca="1">$O$399*$AA$399</f>
        <v>152.44604068716524</v>
      </c>
    </row>
    <row r="400" spans="1:33" ht="11.25" customHeight="1" x14ac:dyDescent="0.25">
      <c r="A400" s="4" t="s">
        <v>21</v>
      </c>
      <c r="B400" s="4" t="s">
        <v>38</v>
      </c>
      <c r="C400" s="4" t="s">
        <v>40</v>
      </c>
      <c r="D400" s="4" t="s">
        <v>43</v>
      </c>
      <c r="E400" s="4" t="s">
        <v>51</v>
      </c>
      <c r="F400" s="4" t="s">
        <v>25</v>
      </c>
      <c r="G400" s="4" t="s">
        <v>25</v>
      </c>
      <c r="H400" s="4" t="s">
        <v>34</v>
      </c>
      <c r="I400" s="5">
        <v>44440</v>
      </c>
      <c r="J400" s="6">
        <v>0</v>
      </c>
      <c r="K400" s="97">
        <v>0</v>
      </c>
      <c r="L400" s="6">
        <v>13.708</v>
      </c>
      <c r="M400" s="97">
        <v>13.708</v>
      </c>
      <c r="N400" s="6">
        <v>13.708</v>
      </c>
      <c r="O400" s="97">
        <v>13.708</v>
      </c>
      <c r="P400" s="6">
        <v>0</v>
      </c>
      <c r="Q400" s="4" t="s">
        <v>26</v>
      </c>
      <c r="R400" s="4">
        <v>0</v>
      </c>
      <c r="S400" s="6">
        <v>0</v>
      </c>
      <c r="T400" s="6">
        <v>14</v>
      </c>
      <c r="U400" s="6">
        <v>42</v>
      </c>
      <c r="V400" s="97">
        <f>IF(ISERROR(VLOOKUP($S$400,'TAR FIN'!$A$1:$O$86,15,0)),0,VLOOKUP($S$400,'TAR FIN'!$A$1:$O$86,15,0))</f>
        <v>0</v>
      </c>
      <c r="W400" s="97">
        <f>IF(ISERROR(VLOOKUP($T$400,'TAR FIN'!$A$1:$O$86,15,0)),0,VLOOKUP($T$400,'TAR FIN'!$A$1:$O$86,15,0))*(1-0.04)</f>
        <v>75.532800000000009</v>
      </c>
      <c r="X400" s="97">
        <f>IF(ISERROR(VLOOKUP($U$400,'TAR FIN'!$A$1:$O$86,15,0)),0,VLOOKUP($U$400,'TAR FIN'!$A$1:$O$86,15,0))*(1-0.04)</f>
        <v>236.44800000000001</v>
      </c>
      <c r="Y400" s="97"/>
      <c r="Z400" s="97">
        <f ca="1">('TUSD BE'!$AM$13+'TUSD BF_350'!$AM$13+'TUSD CVA'!$AM$13)*1*(1-0.02)</f>
        <v>98.232805801237291</v>
      </c>
      <c r="AA400" s="97">
        <f ca="1">('TE BE'!$AB$6+'TE BF_350'!$AB$6+'TE CVA'!$AB$6)*1*(1-0.02)</f>
        <v>215.01557219628384</v>
      </c>
      <c r="AB400" s="6">
        <f>$K$400*$V$400</f>
        <v>0</v>
      </c>
      <c r="AC400" s="6">
        <f>$M$400*$W$400</f>
        <v>1035.4036224000001</v>
      </c>
      <c r="AD400" s="6">
        <f>$O$400*$X$400</f>
        <v>3241.2291840000003</v>
      </c>
      <c r="AE400" s="6">
        <f>$K$400*$Y$400</f>
        <v>0</v>
      </c>
      <c r="AF400" s="6">
        <f ca="1">$M$400*$Z$400</f>
        <v>1346.5753019233607</v>
      </c>
      <c r="AG400" s="6">
        <f ca="1">$O$400*$AA$400</f>
        <v>2947.433463666659</v>
      </c>
    </row>
    <row r="401" spans="1:33" ht="11.25" customHeight="1" x14ac:dyDescent="0.25">
      <c r="A401" s="4" t="s">
        <v>55</v>
      </c>
      <c r="B401" s="4" t="s">
        <v>38</v>
      </c>
      <c r="C401" s="4" t="s">
        <v>40</v>
      </c>
      <c r="D401" s="4" t="s">
        <v>43</v>
      </c>
      <c r="E401" s="4" t="s">
        <v>51</v>
      </c>
      <c r="F401" s="4" t="s">
        <v>25</v>
      </c>
      <c r="G401" s="4" t="s">
        <v>25</v>
      </c>
      <c r="H401" s="4" t="s">
        <v>34</v>
      </c>
      <c r="I401" s="5">
        <v>44440</v>
      </c>
      <c r="J401" s="6">
        <v>0</v>
      </c>
      <c r="K401" s="97">
        <v>0</v>
      </c>
      <c r="L401" s="6">
        <v>2.2109999999999999</v>
      </c>
      <c r="M401" s="97">
        <v>2.2109999999999999</v>
      </c>
      <c r="N401" s="6">
        <v>2.2109999999999999</v>
      </c>
      <c r="O401" s="97">
        <v>2.2109999999999999</v>
      </c>
      <c r="P401" s="6">
        <v>0</v>
      </c>
      <c r="Q401" s="4" t="s">
        <v>26</v>
      </c>
      <c r="R401" s="4">
        <v>0</v>
      </c>
      <c r="S401" s="6">
        <v>0</v>
      </c>
      <c r="T401" s="6">
        <v>14</v>
      </c>
      <c r="U401" s="6">
        <v>42</v>
      </c>
      <c r="V401" s="97">
        <f>IF(ISERROR(VLOOKUP($S$401,'TAR FIN'!$A$1:$O$86,15,0)),0,VLOOKUP($S$401,'TAR FIN'!$A$1:$O$86,15,0))</f>
        <v>0</v>
      </c>
      <c r="W401" s="97">
        <f>IF(ISERROR(VLOOKUP($T$401,'TAR FIN'!$A$1:$O$86,15,0)),0,VLOOKUP($T$401,'TAR FIN'!$A$1:$O$86,15,0))*(1-0.04)</f>
        <v>75.532800000000009</v>
      </c>
      <c r="X401" s="97">
        <f>IF(ISERROR(VLOOKUP($U$401,'TAR FIN'!$A$1:$O$86,15,0)),0,VLOOKUP($U$401,'TAR FIN'!$A$1:$O$86,15,0))*(1-0.04)</f>
        <v>236.44800000000001</v>
      </c>
      <c r="Y401" s="97"/>
      <c r="Z401" s="97">
        <f ca="1">('TUSD BE'!$AM$13+'TUSD BF_350'!$AM$13+'TUSD CVA'!$AM$13)*1*(1-0.02)</f>
        <v>98.232805801237291</v>
      </c>
      <c r="AA401" s="97">
        <f ca="1">('TE BE'!$AB$6+'TE BF_350'!$AB$6+'TE CVA'!$AB$6)*1*(1-0.02)</f>
        <v>215.01557219628384</v>
      </c>
      <c r="AB401" s="6">
        <f>$K$401*$V$401</f>
        <v>0</v>
      </c>
      <c r="AC401" s="6">
        <f>$M$401*$W$401</f>
        <v>167.0030208</v>
      </c>
      <c r="AD401" s="6">
        <f>$O$401*$X$401</f>
        <v>522.78652799999998</v>
      </c>
      <c r="AE401" s="6">
        <f>$K$401*$Y$401</f>
        <v>0</v>
      </c>
      <c r="AF401" s="6">
        <f ca="1">$M$401*$Z$401</f>
        <v>217.19273362653564</v>
      </c>
      <c r="AG401" s="6">
        <f ca="1">$O$401*$AA$401</f>
        <v>475.39943012598354</v>
      </c>
    </row>
    <row r="402" spans="1:33" ht="11.25" customHeight="1" x14ac:dyDescent="0.25">
      <c r="A402" s="4" t="s">
        <v>21</v>
      </c>
      <c r="B402" s="4" t="s">
        <v>38</v>
      </c>
      <c r="C402" s="4" t="s">
        <v>40</v>
      </c>
      <c r="D402" s="4" t="s">
        <v>43</v>
      </c>
      <c r="E402" s="4" t="s">
        <v>51</v>
      </c>
      <c r="F402" s="4" t="s">
        <v>25</v>
      </c>
      <c r="G402" s="4" t="s">
        <v>25</v>
      </c>
      <c r="H402" s="4" t="s">
        <v>34</v>
      </c>
      <c r="I402" s="5">
        <v>44470</v>
      </c>
      <c r="J402" s="6">
        <v>0</v>
      </c>
      <c r="K402" s="97">
        <v>0</v>
      </c>
      <c r="L402" s="6">
        <v>23.190999999999999</v>
      </c>
      <c r="M402" s="97">
        <v>23.190999999999999</v>
      </c>
      <c r="N402" s="6">
        <v>23.190999999999999</v>
      </c>
      <c r="O402" s="97">
        <v>23.190999999999999</v>
      </c>
      <c r="P402" s="6">
        <v>0</v>
      </c>
      <c r="Q402" s="4" t="s">
        <v>26</v>
      </c>
      <c r="R402" s="4">
        <v>0</v>
      </c>
      <c r="S402" s="6">
        <v>0</v>
      </c>
      <c r="T402" s="6">
        <v>14</v>
      </c>
      <c r="U402" s="6">
        <v>42</v>
      </c>
      <c r="V402" s="97">
        <f>IF(ISERROR(VLOOKUP($S$402,'TAR FIN'!$A$1:$O$86,15,0)),0,VLOOKUP($S$402,'TAR FIN'!$A$1:$O$86,15,0))</f>
        <v>0</v>
      </c>
      <c r="W402" s="97">
        <f>IF(ISERROR(VLOOKUP($T$402,'TAR FIN'!$A$1:$O$86,15,0)),0,VLOOKUP($T$402,'TAR FIN'!$A$1:$O$86,15,0))*(1-0.04)</f>
        <v>75.532800000000009</v>
      </c>
      <c r="X402" s="97">
        <f>IF(ISERROR(VLOOKUP($U$402,'TAR FIN'!$A$1:$O$86,15,0)),0,VLOOKUP($U$402,'TAR FIN'!$A$1:$O$86,15,0))*(1-0.04)</f>
        <v>236.44800000000001</v>
      </c>
      <c r="Y402" s="97"/>
      <c r="Z402" s="97">
        <f ca="1">('TUSD BE'!$AM$13+'TUSD BF_350'!$AM$13+'TUSD CVA'!$AM$13)*1*(1-0.02)</f>
        <v>98.232805801237291</v>
      </c>
      <c r="AA402" s="97">
        <f ca="1">('TE BE'!$AB$6+'TE BF_350'!$AB$6+'TE CVA'!$AB$6)*1*(1-0.02)</f>
        <v>215.01557219628384</v>
      </c>
      <c r="AB402" s="6">
        <f>$K$402*$V$402</f>
        <v>0</v>
      </c>
      <c r="AC402" s="6">
        <f>$M$402*$W$402</f>
        <v>1751.6811648</v>
      </c>
      <c r="AD402" s="6">
        <f>$O$402*$X$402</f>
        <v>5483.4655679999996</v>
      </c>
      <c r="AE402" s="6">
        <f>$K$402*$Y$402</f>
        <v>0</v>
      </c>
      <c r="AF402" s="6">
        <f ca="1">$M$402*$Z$402</f>
        <v>2278.1169993364938</v>
      </c>
      <c r="AG402" s="6">
        <f ca="1">$O$402*$AA$402</f>
        <v>4986.4261348040181</v>
      </c>
    </row>
    <row r="403" spans="1:33" ht="11.25" customHeight="1" x14ac:dyDescent="0.25">
      <c r="A403" s="4" t="s">
        <v>55</v>
      </c>
      <c r="B403" s="4" t="s">
        <v>38</v>
      </c>
      <c r="C403" s="4" t="s">
        <v>40</v>
      </c>
      <c r="D403" s="4" t="s">
        <v>43</v>
      </c>
      <c r="E403" s="4" t="s">
        <v>51</v>
      </c>
      <c r="F403" s="4" t="s">
        <v>25</v>
      </c>
      <c r="G403" s="4" t="s">
        <v>25</v>
      </c>
      <c r="H403" s="4" t="s">
        <v>34</v>
      </c>
      <c r="I403" s="5">
        <v>44470</v>
      </c>
      <c r="J403" s="6">
        <v>0</v>
      </c>
      <c r="K403" s="97">
        <v>0</v>
      </c>
      <c r="L403" s="6">
        <v>3.04</v>
      </c>
      <c r="M403" s="97">
        <v>3.04</v>
      </c>
      <c r="N403" s="6">
        <v>3.04</v>
      </c>
      <c r="O403" s="97">
        <v>3.04</v>
      </c>
      <c r="P403" s="6">
        <v>0</v>
      </c>
      <c r="Q403" s="4" t="s">
        <v>26</v>
      </c>
      <c r="R403" s="4">
        <v>0</v>
      </c>
      <c r="S403" s="6">
        <v>0</v>
      </c>
      <c r="T403" s="6">
        <v>14</v>
      </c>
      <c r="U403" s="6">
        <v>42</v>
      </c>
      <c r="V403" s="97">
        <f>IF(ISERROR(VLOOKUP($S$403,'TAR FIN'!$A$1:$O$86,15,0)),0,VLOOKUP($S$403,'TAR FIN'!$A$1:$O$86,15,0))</f>
        <v>0</v>
      </c>
      <c r="W403" s="97">
        <f>IF(ISERROR(VLOOKUP($T$403,'TAR FIN'!$A$1:$O$86,15,0)),0,VLOOKUP($T$403,'TAR FIN'!$A$1:$O$86,15,0))*(1-0.04)</f>
        <v>75.532800000000009</v>
      </c>
      <c r="X403" s="97">
        <f>IF(ISERROR(VLOOKUP($U$403,'TAR FIN'!$A$1:$O$86,15,0)),0,VLOOKUP($U$403,'TAR FIN'!$A$1:$O$86,15,0))*(1-0.04)</f>
        <v>236.44800000000001</v>
      </c>
      <c r="Y403" s="97"/>
      <c r="Z403" s="97">
        <f ca="1">('TUSD BE'!$AM$13+'TUSD BF_350'!$AM$13+'TUSD CVA'!$AM$13)*1*(1-0.02)</f>
        <v>98.232805801237291</v>
      </c>
      <c r="AA403" s="97">
        <f ca="1">('TE BE'!$AB$6+'TE BF_350'!$AB$6+'TE CVA'!$AB$6)*1*(1-0.02)</f>
        <v>215.01557219628384</v>
      </c>
      <c r="AB403" s="6">
        <f>$K$403*$V$403</f>
        <v>0</v>
      </c>
      <c r="AC403" s="6">
        <f>$M$403*$W$403</f>
        <v>229.61971200000002</v>
      </c>
      <c r="AD403" s="6">
        <f>$O$403*$X$403</f>
        <v>718.80192</v>
      </c>
      <c r="AE403" s="6">
        <f>$K$403*$Y$403</f>
        <v>0</v>
      </c>
      <c r="AF403" s="6">
        <f ca="1">$M$403*$Z$403</f>
        <v>298.62772963576134</v>
      </c>
      <c r="AG403" s="6">
        <f ca="1">$O$403*$AA$403</f>
        <v>653.64733947670288</v>
      </c>
    </row>
    <row r="404" spans="1:33" ht="11.25" customHeight="1" x14ac:dyDescent="0.25">
      <c r="A404" s="4" t="s">
        <v>21</v>
      </c>
      <c r="B404" s="4" t="s">
        <v>38</v>
      </c>
      <c r="C404" s="4" t="s">
        <v>40</v>
      </c>
      <c r="D404" s="4" t="s">
        <v>43</v>
      </c>
      <c r="E404" s="4" t="s">
        <v>51</v>
      </c>
      <c r="F404" s="4" t="s">
        <v>25</v>
      </c>
      <c r="G404" s="4" t="s">
        <v>25</v>
      </c>
      <c r="H404" s="4" t="s">
        <v>34</v>
      </c>
      <c r="I404" s="5">
        <v>44501</v>
      </c>
      <c r="J404" s="6">
        <v>0</v>
      </c>
      <c r="K404" s="97">
        <v>0</v>
      </c>
      <c r="L404" s="6">
        <v>177.87</v>
      </c>
      <c r="M404" s="97">
        <v>177.87</v>
      </c>
      <c r="N404" s="6">
        <v>177.87</v>
      </c>
      <c r="O404" s="97">
        <v>177.87</v>
      </c>
      <c r="P404" s="6">
        <v>0</v>
      </c>
      <c r="Q404" s="4" t="s">
        <v>26</v>
      </c>
      <c r="R404" s="4">
        <v>0</v>
      </c>
      <c r="S404" s="6">
        <v>0</v>
      </c>
      <c r="T404" s="6">
        <v>14</v>
      </c>
      <c r="U404" s="6">
        <v>42</v>
      </c>
      <c r="V404" s="97">
        <f>IF(ISERROR(VLOOKUP($S$404,'TAR FIN'!$A$1:$O$86,15,0)),0,VLOOKUP($S$404,'TAR FIN'!$A$1:$O$86,15,0))</f>
        <v>0</v>
      </c>
      <c r="W404" s="97">
        <f>IF(ISERROR(VLOOKUP($T$404,'TAR FIN'!$A$1:$O$86,15,0)),0,VLOOKUP($T$404,'TAR FIN'!$A$1:$O$86,15,0))*(1-0.04)</f>
        <v>75.532800000000009</v>
      </c>
      <c r="X404" s="97">
        <f>IF(ISERROR(VLOOKUP($U$404,'TAR FIN'!$A$1:$O$86,15,0)),0,VLOOKUP($U$404,'TAR FIN'!$A$1:$O$86,15,0))*(1-0.04)</f>
        <v>236.44800000000001</v>
      </c>
      <c r="Y404" s="97"/>
      <c r="Z404" s="97">
        <f ca="1">('TUSD BE'!$AM$13+'TUSD BF_350'!$AM$13+'TUSD CVA'!$AM$13)*1*(1-0.02)</f>
        <v>98.232805801237291</v>
      </c>
      <c r="AA404" s="97">
        <f ca="1">('TE BE'!$AB$6+'TE BF_350'!$AB$6+'TE CVA'!$AB$6)*1*(1-0.02)</f>
        <v>215.01557219628384</v>
      </c>
      <c r="AB404" s="6">
        <f>$K$404*$V$404</f>
        <v>0</v>
      </c>
      <c r="AC404" s="6">
        <f>$M$404*$W$404</f>
        <v>13435.019136000003</v>
      </c>
      <c r="AD404" s="6">
        <f>$O$404*$X$404</f>
        <v>42057.00576</v>
      </c>
      <c r="AE404" s="6">
        <f>$K$404*$Y$404</f>
        <v>0</v>
      </c>
      <c r="AF404" s="6">
        <f ca="1">$M$404*$Z$404</f>
        <v>17472.669167866079</v>
      </c>
      <c r="AG404" s="6">
        <f ca="1">$O$404*$AA$404</f>
        <v>38244.819826553008</v>
      </c>
    </row>
    <row r="405" spans="1:33" ht="11.25" customHeight="1" x14ac:dyDescent="0.25">
      <c r="A405" s="4" t="s">
        <v>55</v>
      </c>
      <c r="B405" s="4" t="s">
        <v>38</v>
      </c>
      <c r="C405" s="4" t="s">
        <v>40</v>
      </c>
      <c r="D405" s="4" t="s">
        <v>43</v>
      </c>
      <c r="E405" s="4" t="s">
        <v>51</v>
      </c>
      <c r="F405" s="4" t="s">
        <v>25</v>
      </c>
      <c r="G405" s="4" t="s">
        <v>25</v>
      </c>
      <c r="H405" s="4" t="s">
        <v>34</v>
      </c>
      <c r="I405" s="5">
        <v>44501</v>
      </c>
      <c r="J405" s="6">
        <v>0</v>
      </c>
      <c r="K405" s="97">
        <v>0</v>
      </c>
      <c r="L405" s="6">
        <v>55.423000000000002</v>
      </c>
      <c r="M405" s="97">
        <v>55.423000000000002</v>
      </c>
      <c r="N405" s="6">
        <v>55.423000000000002</v>
      </c>
      <c r="O405" s="97">
        <v>55.423000000000002</v>
      </c>
      <c r="P405" s="6">
        <v>0</v>
      </c>
      <c r="Q405" s="4" t="s">
        <v>26</v>
      </c>
      <c r="R405" s="4">
        <v>0</v>
      </c>
      <c r="S405" s="6">
        <v>0</v>
      </c>
      <c r="T405" s="6">
        <v>14</v>
      </c>
      <c r="U405" s="6">
        <v>42</v>
      </c>
      <c r="V405" s="97">
        <f>IF(ISERROR(VLOOKUP($S$405,'TAR FIN'!$A$1:$O$86,15,0)),0,VLOOKUP($S$405,'TAR FIN'!$A$1:$O$86,15,0))</f>
        <v>0</v>
      </c>
      <c r="W405" s="97">
        <f>IF(ISERROR(VLOOKUP($T$405,'TAR FIN'!$A$1:$O$86,15,0)),0,VLOOKUP($T$405,'TAR FIN'!$A$1:$O$86,15,0))*(1-0.04)</f>
        <v>75.532800000000009</v>
      </c>
      <c r="X405" s="97">
        <f>IF(ISERROR(VLOOKUP($U$405,'TAR FIN'!$A$1:$O$86,15,0)),0,VLOOKUP($U$405,'TAR FIN'!$A$1:$O$86,15,0))*(1-0.04)</f>
        <v>236.44800000000001</v>
      </c>
      <c r="Y405" s="97"/>
      <c r="Z405" s="97">
        <f ca="1">('TUSD BE'!$AM$13+'TUSD BF_350'!$AM$13+'TUSD CVA'!$AM$13)*1*(1-0.02)</f>
        <v>98.232805801237291</v>
      </c>
      <c r="AA405" s="97">
        <f ca="1">('TE BE'!$AB$6+'TE BF_350'!$AB$6+'TE CVA'!$AB$6)*1*(1-0.02)</f>
        <v>215.01557219628384</v>
      </c>
      <c r="AB405" s="6">
        <f>$K$405*$V$405</f>
        <v>0</v>
      </c>
      <c r="AC405" s="6">
        <f>$M$405*$W$405</f>
        <v>4186.2543744000004</v>
      </c>
      <c r="AD405" s="6">
        <f>$O$405*$X$405</f>
        <v>13104.657504000001</v>
      </c>
      <c r="AE405" s="6">
        <f>$K$405*$Y$405</f>
        <v>0</v>
      </c>
      <c r="AF405" s="6">
        <f ca="1">$M$405*$Z$405</f>
        <v>5444.3567959219745</v>
      </c>
      <c r="AG405" s="6">
        <f ca="1">$O$405*$AA$405</f>
        <v>11916.80805783464</v>
      </c>
    </row>
    <row r="406" spans="1:33" ht="11.25" customHeight="1" x14ac:dyDescent="0.25">
      <c r="A406" s="4" t="s">
        <v>21</v>
      </c>
      <c r="B406" s="4" t="s">
        <v>38</v>
      </c>
      <c r="C406" s="4" t="s">
        <v>40</v>
      </c>
      <c r="D406" s="4" t="s">
        <v>43</v>
      </c>
      <c r="E406" s="4" t="s">
        <v>51</v>
      </c>
      <c r="F406" s="4" t="s">
        <v>25</v>
      </c>
      <c r="G406" s="4" t="s">
        <v>25</v>
      </c>
      <c r="H406" s="4" t="s">
        <v>34</v>
      </c>
      <c r="I406" s="5">
        <v>44531</v>
      </c>
      <c r="J406" s="6">
        <v>0</v>
      </c>
      <c r="K406" s="97">
        <v>0</v>
      </c>
      <c r="L406" s="6">
        <v>379.16300000000001</v>
      </c>
      <c r="M406" s="97">
        <v>379.16300000000001</v>
      </c>
      <c r="N406" s="6">
        <v>379.16300000000001</v>
      </c>
      <c r="O406" s="97">
        <v>379.16300000000001</v>
      </c>
      <c r="P406" s="6">
        <v>0</v>
      </c>
      <c r="Q406" s="4" t="s">
        <v>26</v>
      </c>
      <c r="R406" s="4">
        <v>0</v>
      </c>
      <c r="S406" s="6">
        <v>0</v>
      </c>
      <c r="T406" s="6">
        <v>14</v>
      </c>
      <c r="U406" s="6">
        <v>42</v>
      </c>
      <c r="V406" s="97">
        <f>IF(ISERROR(VLOOKUP($S$406,'TAR FIN'!$A$1:$O$86,15,0)),0,VLOOKUP($S$406,'TAR FIN'!$A$1:$O$86,15,0))</f>
        <v>0</v>
      </c>
      <c r="W406" s="97">
        <f>IF(ISERROR(VLOOKUP($T$406,'TAR FIN'!$A$1:$O$86,15,0)),0,VLOOKUP($T$406,'TAR FIN'!$A$1:$O$86,15,0))*(1-0.04)</f>
        <v>75.532800000000009</v>
      </c>
      <c r="X406" s="97">
        <f>IF(ISERROR(VLOOKUP($U$406,'TAR FIN'!$A$1:$O$86,15,0)),0,VLOOKUP($U$406,'TAR FIN'!$A$1:$O$86,15,0))*(1-0.04)</f>
        <v>236.44800000000001</v>
      </c>
      <c r="Y406" s="97"/>
      <c r="Z406" s="97">
        <f ca="1">('TUSD BE'!$AM$13+'TUSD BF_350'!$AM$13+'TUSD CVA'!$AM$13)*1*(1-0.02)</f>
        <v>98.232805801237291</v>
      </c>
      <c r="AA406" s="97">
        <f ca="1">('TE BE'!$AB$6+'TE BF_350'!$AB$6+'TE CVA'!$AB$6)*1*(1-0.02)</f>
        <v>215.01557219628384</v>
      </c>
      <c r="AB406" s="6">
        <f>$K$406*$V$406</f>
        <v>0</v>
      </c>
      <c r="AC406" s="6">
        <f>$M$406*$W$406</f>
        <v>28639.243046400003</v>
      </c>
      <c r="AD406" s="6">
        <f>$O$406*$X$406</f>
        <v>89652.333024000007</v>
      </c>
      <c r="AE406" s="6">
        <f>$K$406*$Y$406</f>
        <v>0</v>
      </c>
      <c r="AF406" s="6">
        <f ca="1">$M$406*$Z$406</f>
        <v>37246.245346014533</v>
      </c>
      <c r="AG406" s="6">
        <f ca="1">$O$406*$AA$406</f>
        <v>81525.949400659578</v>
      </c>
    </row>
    <row r="407" spans="1:33" ht="11.25" customHeight="1" x14ac:dyDescent="0.25">
      <c r="A407" s="4" t="s">
        <v>55</v>
      </c>
      <c r="B407" s="4" t="s">
        <v>38</v>
      </c>
      <c r="C407" s="4" t="s">
        <v>40</v>
      </c>
      <c r="D407" s="4" t="s">
        <v>43</v>
      </c>
      <c r="E407" s="4" t="s">
        <v>51</v>
      </c>
      <c r="F407" s="4" t="s">
        <v>25</v>
      </c>
      <c r="G407" s="4" t="s">
        <v>25</v>
      </c>
      <c r="H407" s="4" t="s">
        <v>34</v>
      </c>
      <c r="I407" s="5">
        <v>44531</v>
      </c>
      <c r="J407" s="6">
        <v>0</v>
      </c>
      <c r="K407" s="97">
        <v>0</v>
      </c>
      <c r="L407" s="6">
        <v>77.055999999999997</v>
      </c>
      <c r="M407" s="97">
        <v>77.055999999999997</v>
      </c>
      <c r="N407" s="6">
        <v>77.055999999999997</v>
      </c>
      <c r="O407" s="97">
        <v>77.055999999999997</v>
      </c>
      <c r="P407" s="6">
        <v>0</v>
      </c>
      <c r="Q407" s="4" t="s">
        <v>26</v>
      </c>
      <c r="R407" s="4">
        <v>0</v>
      </c>
      <c r="S407" s="6">
        <v>0</v>
      </c>
      <c r="T407" s="6">
        <v>14</v>
      </c>
      <c r="U407" s="6">
        <v>42</v>
      </c>
      <c r="V407" s="97">
        <f>IF(ISERROR(VLOOKUP($S$407,'TAR FIN'!$A$1:$O$86,15,0)),0,VLOOKUP($S$407,'TAR FIN'!$A$1:$O$86,15,0))</f>
        <v>0</v>
      </c>
      <c r="W407" s="97">
        <f>IF(ISERROR(VLOOKUP($T$407,'TAR FIN'!$A$1:$O$86,15,0)),0,VLOOKUP($T$407,'TAR FIN'!$A$1:$O$86,15,0))*(1-0.04)</f>
        <v>75.532800000000009</v>
      </c>
      <c r="X407" s="97">
        <f>IF(ISERROR(VLOOKUP($U$407,'TAR FIN'!$A$1:$O$86,15,0)),0,VLOOKUP($U$407,'TAR FIN'!$A$1:$O$86,15,0))*(1-0.04)</f>
        <v>236.44800000000001</v>
      </c>
      <c r="Y407" s="97"/>
      <c r="Z407" s="97">
        <f ca="1">('TUSD BE'!$AM$13+'TUSD BF_350'!$AM$13+'TUSD CVA'!$AM$13)*1*(1-0.02)</f>
        <v>98.232805801237291</v>
      </c>
      <c r="AA407" s="97">
        <f ca="1">('TE BE'!$AB$6+'TE BF_350'!$AB$6+'TE CVA'!$AB$6)*1*(1-0.02)</f>
        <v>215.01557219628384</v>
      </c>
      <c r="AB407" s="6">
        <f>$K$407*$V$407</f>
        <v>0</v>
      </c>
      <c r="AC407" s="6">
        <f>$M$407*$W$407</f>
        <v>5820.2554368000001</v>
      </c>
      <c r="AD407" s="6">
        <f>$O$407*$X$407</f>
        <v>18219.737088000002</v>
      </c>
      <c r="AE407" s="6">
        <f>$K$407*$Y$407</f>
        <v>0</v>
      </c>
      <c r="AF407" s="6">
        <f ca="1">$M$407*$Z$407</f>
        <v>7569.4270838201401</v>
      </c>
      <c r="AG407" s="6">
        <f ca="1">$O$407*$AA$407</f>
        <v>16568.239931156848</v>
      </c>
    </row>
    <row r="408" spans="1:33" ht="11.25" customHeight="1" x14ac:dyDescent="0.25">
      <c r="A408" s="4" t="s">
        <v>21</v>
      </c>
      <c r="B408" s="4" t="s">
        <v>38</v>
      </c>
      <c r="C408" s="4" t="s">
        <v>40</v>
      </c>
      <c r="D408" s="4" t="s">
        <v>43</v>
      </c>
      <c r="E408" s="4" t="s">
        <v>51</v>
      </c>
      <c r="F408" s="4" t="s">
        <v>25</v>
      </c>
      <c r="G408" s="4" t="s">
        <v>25</v>
      </c>
      <c r="H408" s="4" t="s">
        <v>34</v>
      </c>
      <c r="I408" s="5">
        <v>44562</v>
      </c>
      <c r="J408" s="6">
        <v>0</v>
      </c>
      <c r="K408" s="97">
        <v>0</v>
      </c>
      <c r="L408" s="6">
        <v>248.77</v>
      </c>
      <c r="M408" s="97">
        <v>248.77</v>
      </c>
      <c r="N408" s="6">
        <v>248.77</v>
      </c>
      <c r="O408" s="97">
        <v>248.77</v>
      </c>
      <c r="P408" s="6">
        <v>0</v>
      </c>
      <c r="Q408" s="4" t="s">
        <v>26</v>
      </c>
      <c r="R408" s="4">
        <v>0</v>
      </c>
      <c r="S408" s="6">
        <v>0</v>
      </c>
      <c r="T408" s="6">
        <v>14</v>
      </c>
      <c r="U408" s="6">
        <v>42</v>
      </c>
      <c r="V408" s="97">
        <f>IF(ISERROR(VLOOKUP($S$408,'TAR FIN'!$A$1:$O$86,15,0)),0,VLOOKUP($S$408,'TAR FIN'!$A$1:$O$86,15,0))</f>
        <v>0</v>
      </c>
      <c r="W408" s="97">
        <f>IF(ISERROR(VLOOKUP($T$408,'TAR FIN'!$A$1:$O$86,15,0)),0,VLOOKUP($T$408,'TAR FIN'!$A$1:$O$86,15,0))*(1-0.04)</f>
        <v>75.532800000000009</v>
      </c>
      <c r="X408" s="97">
        <f>IF(ISERROR(VLOOKUP($U$408,'TAR FIN'!$A$1:$O$86,15,0)),0,VLOOKUP($U$408,'TAR FIN'!$A$1:$O$86,15,0))*(1-0.04)</f>
        <v>236.44800000000001</v>
      </c>
      <c r="Y408" s="97"/>
      <c r="Z408" s="97">
        <f ca="1">('TUSD BE'!$AM$13+'TUSD BF_350'!$AM$13+'TUSD CVA'!$AM$13)*1*(1-0.02)</f>
        <v>98.232805801237291</v>
      </c>
      <c r="AA408" s="97">
        <f ca="1">('TE BE'!$AB$6+'TE BF_350'!$AB$6+'TE CVA'!$AB$6)*1*(1-0.02)</f>
        <v>215.01557219628384</v>
      </c>
      <c r="AB408" s="6">
        <f>$K$408*$V$408</f>
        <v>0</v>
      </c>
      <c r="AC408" s="6">
        <f>$M$408*$W$408</f>
        <v>18790.294656000002</v>
      </c>
      <c r="AD408" s="6">
        <f>$O$408*$X$408</f>
        <v>58821.168960000003</v>
      </c>
      <c r="AE408" s="6">
        <f>$K$408*$Y$408</f>
        <v>0</v>
      </c>
      <c r="AF408" s="6">
        <f ca="1">$M$408*$Z$408</f>
        <v>24437.375099173802</v>
      </c>
      <c r="AG408" s="6">
        <f ca="1">$O$408*$AA$408</f>
        <v>53489.42389526953</v>
      </c>
    </row>
    <row r="409" spans="1:33" ht="11.25" customHeight="1" x14ac:dyDescent="0.25">
      <c r="A409" s="4" t="s">
        <v>55</v>
      </c>
      <c r="B409" s="4" t="s">
        <v>38</v>
      </c>
      <c r="C409" s="4" t="s">
        <v>40</v>
      </c>
      <c r="D409" s="4" t="s">
        <v>43</v>
      </c>
      <c r="E409" s="4" t="s">
        <v>51</v>
      </c>
      <c r="F409" s="4" t="s">
        <v>25</v>
      </c>
      <c r="G409" s="4" t="s">
        <v>25</v>
      </c>
      <c r="H409" s="4" t="s">
        <v>34</v>
      </c>
      <c r="I409" s="5">
        <v>44562</v>
      </c>
      <c r="J409" s="6">
        <v>0</v>
      </c>
      <c r="K409" s="97">
        <v>0</v>
      </c>
      <c r="L409" s="6">
        <v>9.4329999999999998</v>
      </c>
      <c r="M409" s="97">
        <v>9.4329999999999998</v>
      </c>
      <c r="N409" s="6">
        <v>9.4329999999999998</v>
      </c>
      <c r="O409" s="97">
        <v>9.4329999999999998</v>
      </c>
      <c r="P409" s="6">
        <v>0</v>
      </c>
      <c r="Q409" s="4" t="s">
        <v>26</v>
      </c>
      <c r="R409" s="4">
        <v>0</v>
      </c>
      <c r="S409" s="6">
        <v>0</v>
      </c>
      <c r="T409" s="6">
        <v>14</v>
      </c>
      <c r="U409" s="6">
        <v>42</v>
      </c>
      <c r="V409" s="97">
        <f>IF(ISERROR(VLOOKUP($S$409,'TAR FIN'!$A$1:$O$86,15,0)),0,VLOOKUP($S$409,'TAR FIN'!$A$1:$O$86,15,0))</f>
        <v>0</v>
      </c>
      <c r="W409" s="97">
        <f>IF(ISERROR(VLOOKUP($T$409,'TAR FIN'!$A$1:$O$86,15,0)),0,VLOOKUP($T$409,'TAR FIN'!$A$1:$O$86,15,0))*(1-0.04)</f>
        <v>75.532800000000009</v>
      </c>
      <c r="X409" s="97">
        <f>IF(ISERROR(VLOOKUP($U$409,'TAR FIN'!$A$1:$O$86,15,0)),0,VLOOKUP($U$409,'TAR FIN'!$A$1:$O$86,15,0))*(1-0.04)</f>
        <v>236.44800000000001</v>
      </c>
      <c r="Y409" s="97"/>
      <c r="Z409" s="97">
        <f ca="1">('TUSD BE'!$AM$13+'TUSD BF_350'!$AM$13+'TUSD CVA'!$AM$13)*1*(1-0.02)</f>
        <v>98.232805801237291</v>
      </c>
      <c r="AA409" s="97">
        <f ca="1">('TE BE'!$AB$6+'TE BF_350'!$AB$6+'TE CVA'!$AB$6)*1*(1-0.02)</f>
        <v>215.01557219628384</v>
      </c>
      <c r="AB409" s="6">
        <f>$K$409*$V$409</f>
        <v>0</v>
      </c>
      <c r="AC409" s="6">
        <f>$M$409*$W$409</f>
        <v>712.50090240000009</v>
      </c>
      <c r="AD409" s="6">
        <f>$O$409*$X$409</f>
        <v>2230.4139840000003</v>
      </c>
      <c r="AE409" s="6">
        <f>$K$409*$Y$409</f>
        <v>0</v>
      </c>
      <c r="AF409" s="6">
        <f ca="1">$M$409*$Z$409</f>
        <v>926.63005712307131</v>
      </c>
      <c r="AG409" s="6">
        <f ca="1">$O$409*$AA$409</f>
        <v>2028.2418925275454</v>
      </c>
    </row>
    <row r="410" spans="1:33" ht="11.25" customHeight="1" x14ac:dyDescent="0.25">
      <c r="A410" s="4" t="s">
        <v>21</v>
      </c>
      <c r="B410" s="4" t="s">
        <v>38</v>
      </c>
      <c r="C410" s="4" t="s">
        <v>40</v>
      </c>
      <c r="D410" s="4" t="s">
        <v>43</v>
      </c>
      <c r="E410" s="4" t="s">
        <v>51</v>
      </c>
      <c r="F410" s="4" t="s">
        <v>25</v>
      </c>
      <c r="G410" s="4" t="s">
        <v>25</v>
      </c>
      <c r="H410" s="4" t="s">
        <v>34</v>
      </c>
      <c r="I410" s="5">
        <v>44593</v>
      </c>
      <c r="J410" s="6">
        <v>0</v>
      </c>
      <c r="K410" s="97">
        <v>0</v>
      </c>
      <c r="L410" s="6">
        <v>125.352</v>
      </c>
      <c r="M410" s="97">
        <v>125.352</v>
      </c>
      <c r="N410" s="6">
        <v>125.352</v>
      </c>
      <c r="O410" s="97">
        <v>125.352</v>
      </c>
      <c r="P410" s="6">
        <v>0</v>
      </c>
      <c r="Q410" s="4" t="s">
        <v>26</v>
      </c>
      <c r="R410" s="4">
        <v>0</v>
      </c>
      <c r="S410" s="6">
        <v>0</v>
      </c>
      <c r="T410" s="6">
        <v>14</v>
      </c>
      <c r="U410" s="6">
        <v>42</v>
      </c>
      <c r="V410" s="97">
        <f>IF(ISERROR(VLOOKUP($S$410,'TAR FIN'!$A$1:$O$86,15,0)),0,VLOOKUP($S$410,'TAR FIN'!$A$1:$O$86,15,0))</f>
        <v>0</v>
      </c>
      <c r="W410" s="97">
        <f>IF(ISERROR(VLOOKUP($T$410,'TAR FIN'!$A$1:$O$86,15,0)),0,VLOOKUP($T$410,'TAR FIN'!$A$1:$O$86,15,0))*(1-0.04)</f>
        <v>75.532800000000009</v>
      </c>
      <c r="X410" s="97">
        <f>IF(ISERROR(VLOOKUP($U$410,'TAR FIN'!$A$1:$O$86,15,0)),0,VLOOKUP($U$410,'TAR FIN'!$A$1:$O$86,15,0))*(1-0.04)</f>
        <v>236.44800000000001</v>
      </c>
      <c r="Y410" s="97"/>
      <c r="Z410" s="97">
        <f ca="1">('TUSD BE'!$AM$13+'TUSD BF_350'!$AM$13+'TUSD CVA'!$AM$13)*1*(1-0.02)</f>
        <v>98.232805801237291</v>
      </c>
      <c r="AA410" s="97">
        <f ca="1">('TE BE'!$AB$6+'TE BF_350'!$AB$6+'TE CVA'!$AB$6)*1*(1-0.02)</f>
        <v>215.01557219628384</v>
      </c>
      <c r="AB410" s="6">
        <f>$K$410*$V$410</f>
        <v>0</v>
      </c>
      <c r="AC410" s="6">
        <f>$M$410*$W$410</f>
        <v>9468.1875456000016</v>
      </c>
      <c r="AD410" s="6">
        <f>$O$410*$X$410</f>
        <v>29639.229696000002</v>
      </c>
      <c r="AE410" s="6">
        <f>$K$410*$Y$410</f>
        <v>0</v>
      </c>
      <c r="AF410" s="6">
        <f ca="1">$M$410*$Z$410</f>
        <v>12313.678672796697</v>
      </c>
      <c r="AG410" s="6">
        <f ca="1">$O$410*$AA$410</f>
        <v>26952.632005948573</v>
      </c>
    </row>
    <row r="411" spans="1:33" ht="11.25" customHeight="1" x14ac:dyDescent="0.25">
      <c r="A411" s="4" t="s">
        <v>55</v>
      </c>
      <c r="B411" s="4" t="s">
        <v>38</v>
      </c>
      <c r="C411" s="4" t="s">
        <v>40</v>
      </c>
      <c r="D411" s="4" t="s">
        <v>43</v>
      </c>
      <c r="E411" s="4" t="s">
        <v>51</v>
      </c>
      <c r="F411" s="4" t="s">
        <v>25</v>
      </c>
      <c r="G411" s="4" t="s">
        <v>25</v>
      </c>
      <c r="H411" s="4" t="s">
        <v>34</v>
      </c>
      <c r="I411" s="5">
        <v>44593</v>
      </c>
      <c r="J411" s="6">
        <v>0</v>
      </c>
      <c r="K411" s="97">
        <v>0</v>
      </c>
      <c r="L411" s="6">
        <v>0.67400000000000004</v>
      </c>
      <c r="M411" s="97">
        <v>0.67400000000000004</v>
      </c>
      <c r="N411" s="6">
        <v>0.67400000000000004</v>
      </c>
      <c r="O411" s="97">
        <v>0.67400000000000004</v>
      </c>
      <c r="P411" s="6">
        <v>0</v>
      </c>
      <c r="Q411" s="4" t="s">
        <v>26</v>
      </c>
      <c r="R411" s="4">
        <v>0</v>
      </c>
      <c r="S411" s="6">
        <v>0</v>
      </c>
      <c r="T411" s="6">
        <v>14</v>
      </c>
      <c r="U411" s="6">
        <v>42</v>
      </c>
      <c r="V411" s="97">
        <f>IF(ISERROR(VLOOKUP($S$411,'TAR FIN'!$A$1:$O$86,15,0)),0,VLOOKUP($S$411,'TAR FIN'!$A$1:$O$86,15,0))</f>
        <v>0</v>
      </c>
      <c r="W411" s="97">
        <f>IF(ISERROR(VLOOKUP($T$411,'TAR FIN'!$A$1:$O$86,15,0)),0,VLOOKUP($T$411,'TAR FIN'!$A$1:$O$86,15,0))*(1-0.04)</f>
        <v>75.532800000000009</v>
      </c>
      <c r="X411" s="97">
        <f>IF(ISERROR(VLOOKUP($U$411,'TAR FIN'!$A$1:$O$86,15,0)),0,VLOOKUP($U$411,'TAR FIN'!$A$1:$O$86,15,0))*(1-0.04)</f>
        <v>236.44800000000001</v>
      </c>
      <c r="Y411" s="97"/>
      <c r="Z411" s="97">
        <f ca="1">('TUSD BE'!$AM$13+'TUSD BF_350'!$AM$13+'TUSD CVA'!$AM$13)*1*(1-0.02)</f>
        <v>98.232805801237291</v>
      </c>
      <c r="AA411" s="97">
        <f ca="1">('TE BE'!$AB$6+'TE BF_350'!$AB$6+'TE CVA'!$AB$6)*1*(1-0.02)</f>
        <v>215.01557219628384</v>
      </c>
      <c r="AB411" s="6">
        <f>$K$411*$V$411</f>
        <v>0</v>
      </c>
      <c r="AC411" s="6">
        <f>$M$411*$W$411</f>
        <v>50.909107200000008</v>
      </c>
      <c r="AD411" s="6">
        <f>$O$411*$X$411</f>
        <v>159.36595200000002</v>
      </c>
      <c r="AE411" s="6">
        <f>$K$411*$Y$411</f>
        <v>0</v>
      </c>
      <c r="AF411" s="6">
        <f ca="1">$M$411*$Z$411</f>
        <v>66.208911110033938</v>
      </c>
      <c r="AG411" s="6">
        <f ca="1">$O$411*$AA$411</f>
        <v>144.92049566029533</v>
      </c>
    </row>
    <row r="412" spans="1:33" ht="11.25" customHeight="1" x14ac:dyDescent="0.25">
      <c r="A412" s="4" t="s">
        <v>21</v>
      </c>
      <c r="B412" s="4" t="s">
        <v>38</v>
      </c>
      <c r="C412" s="4" t="s">
        <v>40</v>
      </c>
      <c r="D412" s="4" t="s">
        <v>43</v>
      </c>
      <c r="E412" s="4" t="s">
        <v>51</v>
      </c>
      <c r="F412" s="4" t="s">
        <v>25</v>
      </c>
      <c r="G412" s="4" t="s">
        <v>25</v>
      </c>
      <c r="H412" s="4" t="s">
        <v>34</v>
      </c>
      <c r="I412" s="5">
        <v>44621</v>
      </c>
      <c r="J412" s="6">
        <v>0</v>
      </c>
      <c r="K412" s="97">
        <v>0</v>
      </c>
      <c r="L412" s="6">
        <v>22.298999999999999</v>
      </c>
      <c r="M412" s="97">
        <v>22.298999999999999</v>
      </c>
      <c r="N412" s="6">
        <v>22.298999999999999</v>
      </c>
      <c r="O412" s="97">
        <v>22.298999999999999</v>
      </c>
      <c r="P412" s="6">
        <v>0</v>
      </c>
      <c r="Q412" s="4" t="s">
        <v>26</v>
      </c>
      <c r="R412" s="4">
        <v>0</v>
      </c>
      <c r="S412" s="6">
        <v>0</v>
      </c>
      <c r="T412" s="6">
        <v>14</v>
      </c>
      <c r="U412" s="6">
        <v>42</v>
      </c>
      <c r="V412" s="97">
        <f>IF(ISERROR(VLOOKUP($S$412,'TAR FIN'!$A$1:$O$86,15,0)),0,VLOOKUP($S$412,'TAR FIN'!$A$1:$O$86,15,0))</f>
        <v>0</v>
      </c>
      <c r="W412" s="97">
        <f>IF(ISERROR(VLOOKUP($T$412,'TAR FIN'!$A$1:$O$86,15,0)),0,VLOOKUP($T$412,'TAR FIN'!$A$1:$O$86,15,0))*(1-0.04)</f>
        <v>75.532800000000009</v>
      </c>
      <c r="X412" s="97">
        <f>IF(ISERROR(VLOOKUP($U$412,'TAR FIN'!$A$1:$O$86,15,0)),0,VLOOKUP($U$412,'TAR FIN'!$A$1:$O$86,15,0))*(1-0.04)</f>
        <v>236.44800000000001</v>
      </c>
      <c r="Y412" s="97"/>
      <c r="Z412" s="97">
        <f ca="1">('TUSD BE'!$AM$13+'TUSD BF_350'!$AM$13+'TUSD CVA'!$AM$13)*1*(1-0.02)</f>
        <v>98.232805801237291</v>
      </c>
      <c r="AA412" s="97">
        <f ca="1">('TE BE'!$AB$6+'TE BF_350'!$AB$6+'TE CVA'!$AB$6)*1*(1-0.02)</f>
        <v>215.01557219628384</v>
      </c>
      <c r="AB412" s="6">
        <f>$K$412*$V$412</f>
        <v>0</v>
      </c>
      <c r="AC412" s="6">
        <f>$M$412*$W$412</f>
        <v>1684.3059072000001</v>
      </c>
      <c r="AD412" s="6">
        <f>$O$412*$X$412</f>
        <v>5272.5539520000002</v>
      </c>
      <c r="AE412" s="6">
        <f>$K$412*$Y$412</f>
        <v>0</v>
      </c>
      <c r="AF412" s="6">
        <f ca="1">$M$412*$Z$412</f>
        <v>2190.4933365617903</v>
      </c>
      <c r="AG412" s="6">
        <f ca="1">$O$412*$AA$412</f>
        <v>4794.6322444049329</v>
      </c>
    </row>
    <row r="413" spans="1:33" ht="11.25" customHeight="1" x14ac:dyDescent="0.25">
      <c r="A413" s="4" t="s">
        <v>55</v>
      </c>
      <c r="B413" s="4" t="s">
        <v>38</v>
      </c>
      <c r="C413" s="4" t="s">
        <v>40</v>
      </c>
      <c r="D413" s="4" t="s">
        <v>43</v>
      </c>
      <c r="E413" s="4" t="s">
        <v>51</v>
      </c>
      <c r="F413" s="4" t="s">
        <v>25</v>
      </c>
      <c r="G413" s="4" t="s">
        <v>25</v>
      </c>
      <c r="H413" s="4" t="s">
        <v>34</v>
      </c>
      <c r="I413" s="5">
        <v>44621</v>
      </c>
      <c r="J413" s="6">
        <v>0</v>
      </c>
      <c r="K413" s="97">
        <v>0</v>
      </c>
      <c r="L413" s="6">
        <v>0.441</v>
      </c>
      <c r="M413" s="97">
        <v>0.441</v>
      </c>
      <c r="N413" s="6">
        <v>0.441</v>
      </c>
      <c r="O413" s="97">
        <v>0.441</v>
      </c>
      <c r="P413" s="6">
        <v>0</v>
      </c>
      <c r="Q413" s="4" t="s">
        <v>26</v>
      </c>
      <c r="R413" s="4">
        <v>0</v>
      </c>
      <c r="S413" s="6">
        <v>0</v>
      </c>
      <c r="T413" s="6">
        <v>14</v>
      </c>
      <c r="U413" s="6">
        <v>42</v>
      </c>
      <c r="V413" s="97">
        <f>IF(ISERROR(VLOOKUP($S$413,'TAR FIN'!$A$1:$O$86,15,0)),0,VLOOKUP($S$413,'TAR FIN'!$A$1:$O$86,15,0))</f>
        <v>0</v>
      </c>
      <c r="W413" s="97">
        <f>IF(ISERROR(VLOOKUP($T$413,'TAR FIN'!$A$1:$O$86,15,0)),0,VLOOKUP($T$413,'TAR FIN'!$A$1:$O$86,15,0))*(1-0.04)</f>
        <v>75.532800000000009</v>
      </c>
      <c r="X413" s="97">
        <f>IF(ISERROR(VLOOKUP($U$413,'TAR FIN'!$A$1:$O$86,15,0)),0,VLOOKUP($U$413,'TAR FIN'!$A$1:$O$86,15,0))*(1-0.04)</f>
        <v>236.44800000000001</v>
      </c>
      <c r="Y413" s="97"/>
      <c r="Z413" s="97">
        <f ca="1">('TUSD BE'!$AM$13+'TUSD BF_350'!$AM$13+'TUSD CVA'!$AM$13)*1*(1-0.02)</f>
        <v>98.232805801237291</v>
      </c>
      <c r="AA413" s="97">
        <f ca="1">('TE BE'!$AB$6+'TE BF_350'!$AB$6+'TE CVA'!$AB$6)*1*(1-0.02)</f>
        <v>215.01557219628384</v>
      </c>
      <c r="AB413" s="6">
        <f>$K$413*$V$413</f>
        <v>0</v>
      </c>
      <c r="AC413" s="6">
        <f>$M$413*$W$413</f>
        <v>33.309964800000003</v>
      </c>
      <c r="AD413" s="6">
        <f>$O$413*$X$413</f>
        <v>104.273568</v>
      </c>
      <c r="AE413" s="6">
        <f>$K$413*$Y$413</f>
        <v>0</v>
      </c>
      <c r="AF413" s="6">
        <f ca="1">$M$413*$Z$413</f>
        <v>43.320667358345645</v>
      </c>
      <c r="AG413" s="6">
        <f ca="1">$O$413*$AA$413</f>
        <v>94.821867338561177</v>
      </c>
    </row>
    <row r="414" spans="1:33" ht="11.25" customHeight="1" x14ac:dyDescent="0.25">
      <c r="A414" s="4" t="s">
        <v>21</v>
      </c>
      <c r="B414" s="4" t="s">
        <v>38</v>
      </c>
      <c r="C414" s="4" t="s">
        <v>40</v>
      </c>
      <c r="D414" s="4" t="s">
        <v>43</v>
      </c>
      <c r="E414" s="4" t="s">
        <v>51</v>
      </c>
      <c r="F414" s="4" t="s">
        <v>25</v>
      </c>
      <c r="G414" s="4" t="s">
        <v>25</v>
      </c>
      <c r="H414" s="4" t="s">
        <v>34</v>
      </c>
      <c r="I414" s="5">
        <v>44652</v>
      </c>
      <c r="J414" s="6">
        <v>0</v>
      </c>
      <c r="K414" s="97">
        <v>0</v>
      </c>
      <c r="L414" s="6">
        <v>9.8059999999999992</v>
      </c>
      <c r="M414" s="97">
        <v>9.8059999999999992</v>
      </c>
      <c r="N414" s="6">
        <v>9.8059999999999992</v>
      </c>
      <c r="O414" s="97">
        <v>9.8059999999999992</v>
      </c>
      <c r="P414" s="6">
        <v>0</v>
      </c>
      <c r="Q414" s="4" t="s">
        <v>26</v>
      </c>
      <c r="R414" s="4">
        <v>0</v>
      </c>
      <c r="S414" s="6">
        <v>0</v>
      </c>
      <c r="T414" s="6">
        <v>14</v>
      </c>
      <c r="U414" s="6">
        <v>42</v>
      </c>
      <c r="V414" s="97">
        <f>IF(ISERROR(VLOOKUP($S$414,'TAR FIN'!$A$1:$O$86,15,0)),0,VLOOKUP($S$414,'TAR FIN'!$A$1:$O$86,15,0))</f>
        <v>0</v>
      </c>
      <c r="W414" s="97">
        <f>IF(ISERROR(VLOOKUP($T$414,'TAR FIN'!$A$1:$O$86,15,0)),0,VLOOKUP($T$414,'TAR FIN'!$A$1:$O$86,15,0))*(1-0.04)</f>
        <v>75.532800000000009</v>
      </c>
      <c r="X414" s="97">
        <f>IF(ISERROR(VLOOKUP($U$414,'TAR FIN'!$A$1:$O$86,15,0)),0,VLOOKUP($U$414,'TAR FIN'!$A$1:$O$86,15,0))*(1-0.04)</f>
        <v>236.44800000000001</v>
      </c>
      <c r="Y414" s="97"/>
      <c r="Z414" s="97">
        <f ca="1">('TUSD BE'!$AM$13+'TUSD BF_350'!$AM$13+'TUSD CVA'!$AM$13)*1*(1-0.02)</f>
        <v>98.232805801237291</v>
      </c>
      <c r="AA414" s="97">
        <f ca="1">('TE BE'!$AB$6+'TE BF_350'!$AB$6+'TE CVA'!$AB$6)*1*(1-0.02)</f>
        <v>215.01557219628384</v>
      </c>
      <c r="AB414" s="6">
        <f>$K$414*$V$414</f>
        <v>0</v>
      </c>
      <c r="AC414" s="6">
        <f>$M$414*$W$414</f>
        <v>740.67463680000003</v>
      </c>
      <c r="AD414" s="6">
        <f>$O$414*$X$414</f>
        <v>2318.6090879999997</v>
      </c>
      <c r="AE414" s="6">
        <f>$K$414*$Y$414</f>
        <v>0</v>
      </c>
      <c r="AF414" s="6">
        <f ca="1">$M$414*$Z$414</f>
        <v>963.27089368693282</v>
      </c>
      <c r="AG414" s="6">
        <f ca="1">$O$414*$AA$414</f>
        <v>2108.4427009567594</v>
      </c>
    </row>
    <row r="415" spans="1:33" ht="11.25" customHeight="1" x14ac:dyDescent="0.25">
      <c r="A415" s="4" t="s">
        <v>55</v>
      </c>
      <c r="B415" s="4" t="s">
        <v>38</v>
      </c>
      <c r="C415" s="4" t="s">
        <v>40</v>
      </c>
      <c r="D415" s="4" t="s">
        <v>43</v>
      </c>
      <c r="E415" s="4" t="s">
        <v>51</v>
      </c>
      <c r="F415" s="4" t="s">
        <v>25</v>
      </c>
      <c r="G415" s="4" t="s">
        <v>25</v>
      </c>
      <c r="H415" s="4" t="s">
        <v>34</v>
      </c>
      <c r="I415" s="5">
        <v>44652</v>
      </c>
      <c r="J415" s="6">
        <v>0</v>
      </c>
      <c r="K415" s="97">
        <v>0</v>
      </c>
      <c r="L415" s="6">
        <v>0.32100000000000001</v>
      </c>
      <c r="M415" s="97">
        <v>0.32100000000000001</v>
      </c>
      <c r="N415" s="6">
        <v>0.32100000000000001</v>
      </c>
      <c r="O415" s="97">
        <v>0.32100000000000001</v>
      </c>
      <c r="P415" s="6">
        <v>0</v>
      </c>
      <c r="Q415" s="4" t="s">
        <v>26</v>
      </c>
      <c r="R415" s="4">
        <v>0</v>
      </c>
      <c r="S415" s="6">
        <v>0</v>
      </c>
      <c r="T415" s="6">
        <v>14</v>
      </c>
      <c r="U415" s="6">
        <v>42</v>
      </c>
      <c r="V415" s="97">
        <f>IF(ISERROR(VLOOKUP($S$415,'TAR FIN'!$A$1:$O$86,15,0)),0,VLOOKUP($S$415,'TAR FIN'!$A$1:$O$86,15,0))</f>
        <v>0</v>
      </c>
      <c r="W415" s="97">
        <f>IF(ISERROR(VLOOKUP($T$415,'TAR FIN'!$A$1:$O$86,15,0)),0,VLOOKUP($T$415,'TAR FIN'!$A$1:$O$86,15,0))*(1-0.04)</f>
        <v>75.532800000000009</v>
      </c>
      <c r="X415" s="97">
        <f>IF(ISERROR(VLOOKUP($U$415,'TAR FIN'!$A$1:$O$86,15,0)),0,VLOOKUP($U$415,'TAR FIN'!$A$1:$O$86,15,0))*(1-0.04)</f>
        <v>236.44800000000001</v>
      </c>
      <c r="Y415" s="97"/>
      <c r="Z415" s="97">
        <f ca="1">('TUSD BE'!$AM$13+'TUSD BF_350'!$AM$13+'TUSD CVA'!$AM$13)*1*(1-0.02)</f>
        <v>98.232805801237291</v>
      </c>
      <c r="AA415" s="97">
        <f ca="1">('TE BE'!$AB$6+'TE BF_350'!$AB$6+'TE CVA'!$AB$6)*1*(1-0.02)</f>
        <v>215.01557219628384</v>
      </c>
      <c r="AB415" s="6">
        <f>$K$415*$V$415</f>
        <v>0</v>
      </c>
      <c r="AC415" s="6">
        <f>$M$415*$W$415</f>
        <v>24.246028800000005</v>
      </c>
      <c r="AD415" s="6">
        <f>$O$415*$X$415</f>
        <v>75.899808000000007</v>
      </c>
      <c r="AE415" s="6">
        <f>$K$415*$Y$415</f>
        <v>0</v>
      </c>
      <c r="AF415" s="6">
        <f ca="1">$M$415*$Z$415</f>
        <v>31.532730662197171</v>
      </c>
      <c r="AG415" s="6">
        <f ca="1">$O$415*$AA$415</f>
        <v>69.019998675007116</v>
      </c>
    </row>
    <row r="416" spans="1:33" ht="11.25" customHeight="1" x14ac:dyDescent="0.25">
      <c r="A416" s="4" t="s">
        <v>21</v>
      </c>
      <c r="B416" s="4" t="s">
        <v>38</v>
      </c>
      <c r="C416" s="4" t="s">
        <v>40</v>
      </c>
      <c r="D416" s="4" t="s">
        <v>43</v>
      </c>
      <c r="E416" s="4" t="s">
        <v>51</v>
      </c>
      <c r="F416" s="4" t="s">
        <v>25</v>
      </c>
      <c r="G416" s="4" t="s">
        <v>25</v>
      </c>
      <c r="H416" s="4" t="s">
        <v>34</v>
      </c>
      <c r="I416" s="5">
        <v>44682</v>
      </c>
      <c r="J416" s="6">
        <v>0</v>
      </c>
      <c r="K416" s="97">
        <v>0</v>
      </c>
      <c r="L416" s="6">
        <v>15.609</v>
      </c>
      <c r="M416" s="97">
        <v>15.609</v>
      </c>
      <c r="N416" s="6">
        <v>15.609</v>
      </c>
      <c r="O416" s="97">
        <v>15.609</v>
      </c>
      <c r="P416" s="6">
        <v>0</v>
      </c>
      <c r="Q416" s="4" t="s">
        <v>26</v>
      </c>
      <c r="R416" s="4">
        <v>0</v>
      </c>
      <c r="S416" s="6">
        <v>0</v>
      </c>
      <c r="T416" s="6">
        <v>14</v>
      </c>
      <c r="U416" s="6">
        <v>42</v>
      </c>
      <c r="V416" s="97">
        <f>IF(ISERROR(VLOOKUP($S$416,'TAR FIN'!$A$1:$O$86,15,0)),0,VLOOKUP($S$416,'TAR FIN'!$A$1:$O$86,15,0))</f>
        <v>0</v>
      </c>
      <c r="W416" s="97">
        <f>IF(ISERROR(VLOOKUP($T$416,'TAR FIN'!$A$1:$O$86,15,0)),0,VLOOKUP($T$416,'TAR FIN'!$A$1:$O$86,15,0))*(1-0.04)</f>
        <v>75.532800000000009</v>
      </c>
      <c r="X416" s="97">
        <f>IF(ISERROR(VLOOKUP($U$416,'TAR FIN'!$A$1:$O$86,15,0)),0,VLOOKUP($U$416,'TAR FIN'!$A$1:$O$86,15,0))*(1-0.04)</f>
        <v>236.44800000000001</v>
      </c>
      <c r="Y416" s="97"/>
      <c r="Z416" s="97">
        <f ca="1">('TUSD BE'!$AM$13+'TUSD BF_350'!$AM$13+'TUSD CVA'!$AM$13)*1*(1-0.02)</f>
        <v>98.232805801237291</v>
      </c>
      <c r="AA416" s="97">
        <f ca="1">('TE BE'!$AB$6+'TE BF_350'!$AB$6+'TE CVA'!$AB$6)*1*(1-0.02)</f>
        <v>215.01557219628384</v>
      </c>
      <c r="AB416" s="6">
        <f>$K$416*$V$416</f>
        <v>0</v>
      </c>
      <c r="AC416" s="6">
        <f>$M$416*$W$416</f>
        <v>1178.9914752000002</v>
      </c>
      <c r="AD416" s="6">
        <f>$O$416*$X$416</f>
        <v>3690.7168320000001</v>
      </c>
      <c r="AE416" s="6">
        <f>$K$416*$Y$416</f>
        <v>0</v>
      </c>
      <c r="AF416" s="6">
        <f ca="1">$M$416*$Z$416</f>
        <v>1533.3158657515128</v>
      </c>
      <c r="AG416" s="6">
        <f ca="1">$O$416*$AA$416</f>
        <v>3356.1780664117946</v>
      </c>
    </row>
    <row r="417" spans="1:33" ht="11.25" customHeight="1" x14ac:dyDescent="0.25">
      <c r="A417" s="4" t="s">
        <v>55</v>
      </c>
      <c r="B417" s="4" t="s">
        <v>38</v>
      </c>
      <c r="C417" s="4" t="s">
        <v>40</v>
      </c>
      <c r="D417" s="4" t="s">
        <v>43</v>
      </c>
      <c r="E417" s="4" t="s">
        <v>51</v>
      </c>
      <c r="F417" s="4" t="s">
        <v>25</v>
      </c>
      <c r="G417" s="4" t="s">
        <v>25</v>
      </c>
      <c r="H417" s="4" t="s">
        <v>34</v>
      </c>
      <c r="I417" s="5">
        <v>44682</v>
      </c>
      <c r="J417" s="6">
        <v>0</v>
      </c>
      <c r="K417" s="97">
        <v>0</v>
      </c>
      <c r="L417" s="6">
        <v>0.33300000000000002</v>
      </c>
      <c r="M417" s="97">
        <v>0.33300000000000002</v>
      </c>
      <c r="N417" s="6">
        <v>0.33300000000000002</v>
      </c>
      <c r="O417" s="97">
        <v>0.33300000000000002</v>
      </c>
      <c r="P417" s="6">
        <v>0</v>
      </c>
      <c r="Q417" s="4" t="s">
        <v>26</v>
      </c>
      <c r="R417" s="4">
        <v>0</v>
      </c>
      <c r="S417" s="6">
        <v>0</v>
      </c>
      <c r="T417" s="6">
        <v>14</v>
      </c>
      <c r="U417" s="6">
        <v>42</v>
      </c>
      <c r="V417" s="97">
        <f>IF(ISERROR(VLOOKUP($S$417,'TAR FIN'!$A$1:$O$86,15,0)),0,VLOOKUP($S$417,'TAR FIN'!$A$1:$O$86,15,0))</f>
        <v>0</v>
      </c>
      <c r="W417" s="97">
        <f>IF(ISERROR(VLOOKUP($T$417,'TAR FIN'!$A$1:$O$86,15,0)),0,VLOOKUP($T$417,'TAR FIN'!$A$1:$O$86,15,0))*(1-0.04)</f>
        <v>75.532800000000009</v>
      </c>
      <c r="X417" s="97">
        <f>IF(ISERROR(VLOOKUP($U$417,'TAR FIN'!$A$1:$O$86,15,0)),0,VLOOKUP($U$417,'TAR FIN'!$A$1:$O$86,15,0))*(1-0.04)</f>
        <v>236.44800000000001</v>
      </c>
      <c r="Y417" s="97"/>
      <c r="Z417" s="97">
        <f ca="1">('TUSD BE'!$AM$13+'TUSD BF_350'!$AM$13+'TUSD CVA'!$AM$13)*1*(1-0.02)</f>
        <v>98.232805801237291</v>
      </c>
      <c r="AA417" s="97">
        <f ca="1">('TE BE'!$AB$6+'TE BF_350'!$AB$6+'TE CVA'!$AB$6)*1*(1-0.02)</f>
        <v>215.01557219628384</v>
      </c>
      <c r="AB417" s="6">
        <f>$K$417*$V$417</f>
        <v>0</v>
      </c>
      <c r="AC417" s="6">
        <f>$M$417*$W$417</f>
        <v>25.152422400000006</v>
      </c>
      <c r="AD417" s="6">
        <f>$O$417*$X$417</f>
        <v>78.737184000000013</v>
      </c>
      <c r="AE417" s="6">
        <f>$K$417*$Y$417</f>
        <v>0</v>
      </c>
      <c r="AF417" s="6">
        <f ca="1">$M$417*$Z$417</f>
        <v>32.711524331812022</v>
      </c>
      <c r="AG417" s="6">
        <f ca="1">$O$417*$AA$417</f>
        <v>71.600185541362521</v>
      </c>
    </row>
    <row r="418" spans="1:33" ht="11.25" customHeight="1" x14ac:dyDescent="0.25">
      <c r="A418" s="4" t="s">
        <v>56</v>
      </c>
      <c r="B418" s="4" t="s">
        <v>38</v>
      </c>
      <c r="C418" s="4" t="s">
        <v>40</v>
      </c>
      <c r="D418" s="4" t="s">
        <v>43</v>
      </c>
      <c r="E418" s="4" t="s">
        <v>51</v>
      </c>
      <c r="F418" s="4" t="s">
        <v>25</v>
      </c>
      <c r="G418" s="4" t="s">
        <v>25</v>
      </c>
      <c r="H418" s="4" t="s">
        <v>34</v>
      </c>
      <c r="I418" s="5">
        <v>44713</v>
      </c>
      <c r="J418" s="6">
        <v>0</v>
      </c>
      <c r="K418" s="97">
        <v>0</v>
      </c>
      <c r="L418" s="6">
        <v>15.609</v>
      </c>
      <c r="M418" s="97">
        <v>15.609</v>
      </c>
      <c r="N418" s="6">
        <v>15.609</v>
      </c>
      <c r="O418" s="97">
        <v>15.609</v>
      </c>
      <c r="P418" s="6">
        <v>0</v>
      </c>
      <c r="Q418" s="4" t="s">
        <v>26</v>
      </c>
      <c r="R418" s="4">
        <v>0</v>
      </c>
      <c r="S418" s="6">
        <v>0</v>
      </c>
      <c r="T418" s="6">
        <v>14</v>
      </c>
      <c r="U418" s="6">
        <v>42</v>
      </c>
      <c r="V418" s="97">
        <f>IF(ISERROR(VLOOKUP($S$418,'TAR FIN'!$A$1:$O$86,15,0)),0,VLOOKUP($S$418,'TAR FIN'!$A$1:$O$86,15,0))</f>
        <v>0</v>
      </c>
      <c r="W418" s="97">
        <f>IF(ISERROR(VLOOKUP($T$418,'TAR FIN'!$A$1:$O$86,15,0)),0,VLOOKUP($T$418,'TAR FIN'!$A$1:$O$86,15,0))*(1-0.04)</f>
        <v>75.532800000000009</v>
      </c>
      <c r="X418" s="97">
        <f>IF(ISERROR(VLOOKUP($U$418,'TAR FIN'!$A$1:$O$86,15,0)),0,VLOOKUP($U$418,'TAR FIN'!$A$1:$O$86,15,0))*(1-0.04)</f>
        <v>236.44800000000001</v>
      </c>
      <c r="Y418" s="97"/>
      <c r="Z418" s="97">
        <f ca="1">('TUSD BE'!$AM$13+'TUSD BF_350'!$AM$13+'TUSD CVA'!$AM$13)*1*(1-0.02)</f>
        <v>98.232805801237291</v>
      </c>
      <c r="AA418" s="97">
        <f ca="1">('TE BE'!$AB$6+'TE BF_350'!$AB$6+'TE CVA'!$AB$6)*1*(1-0.02)</f>
        <v>215.01557219628384</v>
      </c>
      <c r="AB418" s="6">
        <f>$K$418*$V$418</f>
        <v>0</v>
      </c>
      <c r="AC418" s="6">
        <f>$M$418*$W$418</f>
        <v>1178.9914752000002</v>
      </c>
      <c r="AD418" s="6">
        <f>$O$418*$X$418</f>
        <v>3690.7168320000001</v>
      </c>
      <c r="AE418" s="6">
        <f>$K$418*$Y$418</f>
        <v>0</v>
      </c>
      <c r="AF418" s="6">
        <f ca="1">$M$418*$Z$418</f>
        <v>1533.3158657515128</v>
      </c>
      <c r="AG418" s="6">
        <f ca="1">$O$418*$AA$418</f>
        <v>3356.1780664117946</v>
      </c>
    </row>
    <row r="419" spans="1:33" ht="11.25" customHeight="1" x14ac:dyDescent="0.25">
      <c r="A419" s="4" t="s">
        <v>56</v>
      </c>
      <c r="B419" s="4" t="s">
        <v>38</v>
      </c>
      <c r="C419" s="4" t="s">
        <v>40</v>
      </c>
      <c r="D419" s="4" t="s">
        <v>43</v>
      </c>
      <c r="E419" s="4" t="s">
        <v>51</v>
      </c>
      <c r="F419" s="4" t="s">
        <v>25</v>
      </c>
      <c r="G419" s="4" t="s">
        <v>25</v>
      </c>
      <c r="H419" s="4" t="s">
        <v>34</v>
      </c>
      <c r="I419" s="5">
        <v>44713</v>
      </c>
      <c r="J419" s="6">
        <v>0</v>
      </c>
      <c r="K419" s="97">
        <v>0</v>
      </c>
      <c r="L419" s="6">
        <v>0.33300000000000002</v>
      </c>
      <c r="M419" s="97">
        <v>0.33300000000000002</v>
      </c>
      <c r="N419" s="6">
        <v>0.33300000000000002</v>
      </c>
      <c r="O419" s="97">
        <v>0.33300000000000002</v>
      </c>
      <c r="P419" s="6">
        <v>0</v>
      </c>
      <c r="Q419" s="4" t="s">
        <v>26</v>
      </c>
      <c r="R419" s="4">
        <v>0</v>
      </c>
      <c r="S419" s="6">
        <v>0</v>
      </c>
      <c r="T419" s="6">
        <v>14</v>
      </c>
      <c r="U419" s="6">
        <v>42</v>
      </c>
      <c r="V419" s="97">
        <f>IF(ISERROR(VLOOKUP($S$419,'TAR FIN'!$A$1:$O$86,15,0)),0,VLOOKUP($S$419,'TAR FIN'!$A$1:$O$86,15,0))</f>
        <v>0</v>
      </c>
      <c r="W419" s="97">
        <f>IF(ISERROR(VLOOKUP($T$419,'TAR FIN'!$A$1:$O$86,15,0)),0,VLOOKUP($T$419,'TAR FIN'!$A$1:$O$86,15,0))*(1-0.04)</f>
        <v>75.532800000000009</v>
      </c>
      <c r="X419" s="97">
        <f>IF(ISERROR(VLOOKUP($U$419,'TAR FIN'!$A$1:$O$86,15,0)),0,VLOOKUP($U$419,'TAR FIN'!$A$1:$O$86,15,0))*(1-0.04)</f>
        <v>236.44800000000001</v>
      </c>
      <c r="Y419" s="97"/>
      <c r="Z419" s="97">
        <f ca="1">('TUSD BE'!$AM$13+'TUSD BF_350'!$AM$13+'TUSD CVA'!$AM$13)*1*(1-0.02)</f>
        <v>98.232805801237291</v>
      </c>
      <c r="AA419" s="97">
        <f ca="1">('TE BE'!$AB$6+'TE BF_350'!$AB$6+'TE CVA'!$AB$6)*1*(1-0.02)</f>
        <v>215.01557219628384</v>
      </c>
      <c r="AB419" s="6">
        <f>$K$419*$V$419</f>
        <v>0</v>
      </c>
      <c r="AC419" s="6">
        <f>$M$419*$W$419</f>
        <v>25.152422400000006</v>
      </c>
      <c r="AD419" s="6">
        <f>$O$419*$X$419</f>
        <v>78.737184000000013</v>
      </c>
      <c r="AE419" s="6">
        <f>$K$419*$Y$419</f>
        <v>0</v>
      </c>
      <c r="AF419" s="6">
        <f ca="1">$M$419*$Z$419</f>
        <v>32.711524331812022</v>
      </c>
      <c r="AG419" s="6">
        <f ca="1">$O$419*$AA$419</f>
        <v>71.600185541362521</v>
      </c>
    </row>
    <row r="420" spans="1:33" ht="11.25" customHeight="1" x14ac:dyDescent="0.25">
      <c r="A420" s="4" t="s">
        <v>21</v>
      </c>
      <c r="B420" s="4" t="s">
        <v>38</v>
      </c>
      <c r="C420" s="4" t="s">
        <v>40</v>
      </c>
      <c r="D420" s="4" t="s">
        <v>43</v>
      </c>
      <c r="E420" s="4" t="s">
        <v>51</v>
      </c>
      <c r="F420" s="4" t="s">
        <v>25</v>
      </c>
      <c r="G420" s="4" t="s">
        <v>25</v>
      </c>
      <c r="H420" s="4" t="s">
        <v>25</v>
      </c>
      <c r="I420" s="5">
        <v>44378</v>
      </c>
      <c r="J420" s="6">
        <v>450</v>
      </c>
      <c r="K420" s="97">
        <v>450</v>
      </c>
      <c r="L420" s="6">
        <v>0</v>
      </c>
      <c r="M420" s="97">
        <v>0</v>
      </c>
      <c r="N420" s="6">
        <v>0</v>
      </c>
      <c r="O420" s="97">
        <v>0</v>
      </c>
      <c r="P420" s="6">
        <v>8</v>
      </c>
      <c r="Q420" s="4" t="s">
        <v>26</v>
      </c>
      <c r="R420" s="4">
        <v>0</v>
      </c>
      <c r="S420" s="6">
        <v>18</v>
      </c>
      <c r="T420" s="6">
        <v>0</v>
      </c>
      <c r="U420" s="6">
        <v>0</v>
      </c>
      <c r="V420" s="97">
        <f>IF(ISERROR(VLOOKUP($S$420,'TAR FIN'!$A$1:$O$86,15,0)),0,VLOOKUP($S$420,'TAR FIN'!$A$1:$O$86,15,0))*(1-0.04)</f>
        <v>18.470399999999998</v>
      </c>
      <c r="W420" s="97">
        <f>IF(ISERROR(VLOOKUP($T$420,'TAR FIN'!$A$1:$O$86,15,0)),0,VLOOKUP($T$420,'TAR FIN'!$A$1:$O$86,15,0))</f>
        <v>0</v>
      </c>
      <c r="X420" s="97">
        <f>IF(ISERROR(VLOOKUP($U$420,'TAR FIN'!$A$1:$O$86,15,0)),0,VLOOKUP($U$420,'TAR FIN'!$A$1:$O$86,15,0))</f>
        <v>0</v>
      </c>
      <c r="Y420" s="97">
        <f ca="1">('TUSD BE'!$AM$11+'TUSD BF_350'!$AM$11+'TUSD CVA'!$AM$11)*1*(1-0.02)</f>
        <v>14.889098762306169</v>
      </c>
      <c r="Z420" s="97"/>
      <c r="AA420" s="97"/>
      <c r="AB420" s="6">
        <f>$K$420*$V$420</f>
        <v>8311.6799999999985</v>
      </c>
      <c r="AC420" s="6">
        <f>$M$420*$W$420</f>
        <v>0</v>
      </c>
      <c r="AD420" s="6">
        <f>$O$420*$X$420</f>
        <v>0</v>
      </c>
      <c r="AE420" s="6">
        <f ca="1">$K$420*$Y$420</f>
        <v>6700.0944430377758</v>
      </c>
      <c r="AF420" s="6">
        <f>$M$420*$Z$420</f>
        <v>0</v>
      </c>
      <c r="AG420" s="6">
        <f>$O$420*$AA$420</f>
        <v>0</v>
      </c>
    </row>
    <row r="421" spans="1:33" ht="11.25" customHeight="1" x14ac:dyDescent="0.25">
      <c r="A421" s="4" t="s">
        <v>21</v>
      </c>
      <c r="B421" s="4" t="s">
        <v>38</v>
      </c>
      <c r="C421" s="4" t="s">
        <v>40</v>
      </c>
      <c r="D421" s="4" t="s">
        <v>43</v>
      </c>
      <c r="E421" s="4" t="s">
        <v>51</v>
      </c>
      <c r="F421" s="4" t="s">
        <v>25</v>
      </c>
      <c r="G421" s="4" t="s">
        <v>25</v>
      </c>
      <c r="H421" s="4" t="s">
        <v>25</v>
      </c>
      <c r="I421" s="5">
        <v>44409</v>
      </c>
      <c r="J421" s="6">
        <v>628</v>
      </c>
      <c r="K421" s="97">
        <v>628</v>
      </c>
      <c r="L421" s="6">
        <v>0</v>
      </c>
      <c r="M421" s="97">
        <v>0</v>
      </c>
      <c r="N421" s="6">
        <v>0</v>
      </c>
      <c r="O421" s="97">
        <v>0</v>
      </c>
      <c r="P421" s="6">
        <v>8</v>
      </c>
      <c r="Q421" s="4" t="s">
        <v>26</v>
      </c>
      <c r="R421" s="4">
        <v>0</v>
      </c>
      <c r="S421" s="6">
        <v>18</v>
      </c>
      <c r="T421" s="6">
        <v>0</v>
      </c>
      <c r="U421" s="6">
        <v>0</v>
      </c>
      <c r="V421" s="97">
        <f>IF(ISERROR(VLOOKUP($S$421,'TAR FIN'!$A$1:$O$86,15,0)),0,VLOOKUP($S$421,'TAR FIN'!$A$1:$O$86,15,0))*(1-0.04)</f>
        <v>18.470399999999998</v>
      </c>
      <c r="W421" s="97">
        <f>IF(ISERROR(VLOOKUP($T$421,'TAR FIN'!$A$1:$O$86,15,0)),0,VLOOKUP($T$421,'TAR FIN'!$A$1:$O$86,15,0))</f>
        <v>0</v>
      </c>
      <c r="X421" s="97">
        <f>IF(ISERROR(VLOOKUP($U$421,'TAR FIN'!$A$1:$O$86,15,0)),0,VLOOKUP($U$421,'TAR FIN'!$A$1:$O$86,15,0))</f>
        <v>0</v>
      </c>
      <c r="Y421" s="97">
        <f ca="1">('TUSD BE'!$AM$11+'TUSD BF_350'!$AM$11+'TUSD CVA'!$AM$11)*1*(1-0.02)</f>
        <v>14.889098762306169</v>
      </c>
      <c r="Z421" s="97"/>
      <c r="AA421" s="97"/>
      <c r="AB421" s="6">
        <f>$K$421*$V$421</f>
        <v>11599.411199999999</v>
      </c>
      <c r="AC421" s="6">
        <f>$M$421*$W$421</f>
        <v>0</v>
      </c>
      <c r="AD421" s="6">
        <f>$O$421*$X$421</f>
        <v>0</v>
      </c>
      <c r="AE421" s="6">
        <f ca="1">$K$421*$Y$421</f>
        <v>9350.3540227282738</v>
      </c>
      <c r="AF421" s="6">
        <f>$M$421*$Z$421</f>
        <v>0</v>
      </c>
      <c r="AG421" s="6">
        <f>$O$421*$AA$421</f>
        <v>0</v>
      </c>
    </row>
    <row r="422" spans="1:33" ht="11.25" customHeight="1" x14ac:dyDescent="0.25">
      <c r="A422" s="4" t="s">
        <v>55</v>
      </c>
      <c r="B422" s="4" t="s">
        <v>38</v>
      </c>
      <c r="C422" s="4" t="s">
        <v>40</v>
      </c>
      <c r="D422" s="4" t="s">
        <v>43</v>
      </c>
      <c r="E422" s="4" t="s">
        <v>51</v>
      </c>
      <c r="F422" s="4" t="s">
        <v>25</v>
      </c>
      <c r="G422" s="4" t="s">
        <v>25</v>
      </c>
      <c r="H422" s="4" t="s">
        <v>25</v>
      </c>
      <c r="I422" s="5">
        <v>44409</v>
      </c>
      <c r="J422" s="6">
        <v>31</v>
      </c>
      <c r="K422" s="97">
        <v>31</v>
      </c>
      <c r="L422" s="6">
        <v>0</v>
      </c>
      <c r="M422" s="97">
        <v>0</v>
      </c>
      <c r="N422" s="6">
        <v>0</v>
      </c>
      <c r="O422" s="97">
        <v>0</v>
      </c>
      <c r="P422" s="6">
        <v>1</v>
      </c>
      <c r="Q422" s="4" t="s">
        <v>26</v>
      </c>
      <c r="R422" s="4">
        <v>0</v>
      </c>
      <c r="S422" s="6">
        <v>18</v>
      </c>
      <c r="T422" s="6">
        <v>0</v>
      </c>
      <c r="U422" s="6">
        <v>0</v>
      </c>
      <c r="V422" s="97">
        <f>IF(ISERROR(VLOOKUP($S$422,'TAR FIN'!$A$1:$O$86,15,0)),0,VLOOKUP($S$422,'TAR FIN'!$A$1:$O$86,15,0))*(1-0.04)</f>
        <v>18.470399999999998</v>
      </c>
      <c r="W422" s="97">
        <f>IF(ISERROR(VLOOKUP($T$422,'TAR FIN'!$A$1:$O$86,15,0)),0,VLOOKUP($T$422,'TAR FIN'!$A$1:$O$86,15,0))</f>
        <v>0</v>
      </c>
      <c r="X422" s="97">
        <f>IF(ISERROR(VLOOKUP($U$422,'TAR FIN'!$A$1:$O$86,15,0)),0,VLOOKUP($U$422,'TAR FIN'!$A$1:$O$86,15,0))</f>
        <v>0</v>
      </c>
      <c r="Y422" s="97">
        <f ca="1">('TUSD BE'!$AM$11+'TUSD BF_350'!$AM$11+'TUSD CVA'!$AM$11)*1*(1-0.02)</f>
        <v>14.889098762306169</v>
      </c>
      <c r="Z422" s="97"/>
      <c r="AA422" s="97"/>
      <c r="AB422" s="6">
        <f>$K$422*$V$422</f>
        <v>572.58239999999989</v>
      </c>
      <c r="AC422" s="6">
        <f>$M$422*$W$422</f>
        <v>0</v>
      </c>
      <c r="AD422" s="6">
        <f>$O$422*$X$422</f>
        <v>0</v>
      </c>
      <c r="AE422" s="6">
        <f ca="1">$K$422*$Y$422</f>
        <v>461.56206163149125</v>
      </c>
      <c r="AF422" s="6">
        <f>$M$422*$Z$422</f>
        <v>0</v>
      </c>
      <c r="AG422" s="6">
        <f>$O$422*$AA$422</f>
        <v>0</v>
      </c>
    </row>
    <row r="423" spans="1:33" ht="11.25" customHeight="1" x14ac:dyDescent="0.25">
      <c r="A423" s="4" t="s">
        <v>21</v>
      </c>
      <c r="B423" s="4" t="s">
        <v>38</v>
      </c>
      <c r="C423" s="4" t="s">
        <v>40</v>
      </c>
      <c r="D423" s="4" t="s">
        <v>43</v>
      </c>
      <c r="E423" s="4" t="s">
        <v>51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759</v>
      </c>
      <c r="K423" s="97">
        <v>759</v>
      </c>
      <c r="L423" s="6">
        <v>0</v>
      </c>
      <c r="M423" s="97">
        <v>0</v>
      </c>
      <c r="N423" s="6">
        <v>0</v>
      </c>
      <c r="O423" s="97">
        <v>0</v>
      </c>
      <c r="P423" s="6">
        <v>8</v>
      </c>
      <c r="Q423" s="4" t="s">
        <v>26</v>
      </c>
      <c r="R423" s="4">
        <v>0</v>
      </c>
      <c r="S423" s="6">
        <v>18</v>
      </c>
      <c r="T423" s="6">
        <v>0</v>
      </c>
      <c r="U423" s="6">
        <v>0</v>
      </c>
      <c r="V423" s="97">
        <f>IF(ISERROR(VLOOKUP($S$423,'TAR FIN'!$A$1:$O$86,15,0)),0,VLOOKUP($S$423,'TAR FIN'!$A$1:$O$86,15,0))*(1-0.04)</f>
        <v>18.470399999999998</v>
      </c>
      <c r="W423" s="97">
        <f>IF(ISERROR(VLOOKUP($T$423,'TAR FIN'!$A$1:$O$86,15,0)),0,VLOOKUP($T$423,'TAR FIN'!$A$1:$O$86,15,0))</f>
        <v>0</v>
      </c>
      <c r="X423" s="97">
        <f>IF(ISERROR(VLOOKUP($U$423,'TAR FIN'!$A$1:$O$86,15,0)),0,VLOOKUP($U$423,'TAR FIN'!$A$1:$O$86,15,0))</f>
        <v>0</v>
      </c>
      <c r="Y423" s="97">
        <f ca="1">('TUSD BE'!$AM$11+'TUSD BF_350'!$AM$11+'TUSD CVA'!$AM$11)*1*(1-0.02)</f>
        <v>14.889098762306169</v>
      </c>
      <c r="Z423" s="97"/>
      <c r="AA423" s="97"/>
      <c r="AB423" s="6">
        <f>$K$423*$V$423</f>
        <v>14019.033599999999</v>
      </c>
      <c r="AC423" s="6">
        <f>$M$423*$W$423</f>
        <v>0</v>
      </c>
      <c r="AD423" s="6">
        <f>$O$423*$X$423</f>
        <v>0</v>
      </c>
      <c r="AE423" s="6">
        <f ca="1">$K$423*$Y$423</f>
        <v>11300.825960590382</v>
      </c>
      <c r="AF423" s="6">
        <f>$M$423*$Z$423</f>
        <v>0</v>
      </c>
      <c r="AG423" s="6">
        <f>$O$423*$AA$423</f>
        <v>0</v>
      </c>
    </row>
    <row r="424" spans="1:33" ht="11.25" customHeight="1" x14ac:dyDescent="0.25">
      <c r="A424" s="4" t="s">
        <v>55</v>
      </c>
      <c r="B424" s="4" t="s">
        <v>38</v>
      </c>
      <c r="C424" s="4" t="s">
        <v>40</v>
      </c>
      <c r="D424" s="4" t="s">
        <v>43</v>
      </c>
      <c r="E424" s="4" t="s">
        <v>51</v>
      </c>
      <c r="F424" s="4" t="s">
        <v>25</v>
      </c>
      <c r="G424" s="4" t="s">
        <v>25</v>
      </c>
      <c r="H424" s="4" t="s">
        <v>25</v>
      </c>
      <c r="I424" s="5">
        <v>44440</v>
      </c>
      <c r="J424" s="6">
        <v>131</v>
      </c>
      <c r="K424" s="97">
        <v>131</v>
      </c>
      <c r="L424" s="6">
        <v>0</v>
      </c>
      <c r="M424" s="97">
        <v>0</v>
      </c>
      <c r="N424" s="6">
        <v>0</v>
      </c>
      <c r="O424" s="97">
        <v>0</v>
      </c>
      <c r="P424" s="6">
        <v>1</v>
      </c>
      <c r="Q424" s="4" t="s">
        <v>26</v>
      </c>
      <c r="R424" s="4">
        <v>0</v>
      </c>
      <c r="S424" s="6">
        <v>18</v>
      </c>
      <c r="T424" s="6">
        <v>0</v>
      </c>
      <c r="U424" s="6">
        <v>0</v>
      </c>
      <c r="V424" s="97">
        <f>IF(ISERROR(VLOOKUP($S$424,'TAR FIN'!$A$1:$O$86,15,0)),0,VLOOKUP($S$424,'TAR FIN'!$A$1:$O$86,15,0))*(1-0.04)</f>
        <v>18.470399999999998</v>
      </c>
      <c r="W424" s="97">
        <f>IF(ISERROR(VLOOKUP($T$424,'TAR FIN'!$A$1:$O$86,15,0)),0,VLOOKUP($T$424,'TAR FIN'!$A$1:$O$86,15,0))</f>
        <v>0</v>
      </c>
      <c r="X424" s="97">
        <f>IF(ISERROR(VLOOKUP($U$424,'TAR FIN'!$A$1:$O$86,15,0)),0,VLOOKUP($U$424,'TAR FIN'!$A$1:$O$86,15,0))</f>
        <v>0</v>
      </c>
      <c r="Y424" s="97">
        <f ca="1">('TUSD BE'!$AM$11+'TUSD BF_350'!$AM$11+'TUSD CVA'!$AM$11)*1*(1-0.02)</f>
        <v>14.889098762306169</v>
      </c>
      <c r="Z424" s="97"/>
      <c r="AA424" s="97"/>
      <c r="AB424" s="6">
        <f>$K$424*$V$424</f>
        <v>2419.6223999999997</v>
      </c>
      <c r="AC424" s="6">
        <f>$M$424*$W$424</f>
        <v>0</v>
      </c>
      <c r="AD424" s="6">
        <f>$O$424*$X$424</f>
        <v>0</v>
      </c>
      <c r="AE424" s="6">
        <f ca="1">$K$424*$Y$424</f>
        <v>1950.4719378621082</v>
      </c>
      <c r="AF424" s="6">
        <f>$M$424*$Z$424</f>
        <v>0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38</v>
      </c>
      <c r="C425" s="4" t="s">
        <v>40</v>
      </c>
      <c r="D425" s="4" t="s">
        <v>43</v>
      </c>
      <c r="E425" s="4" t="s">
        <v>51</v>
      </c>
      <c r="F425" s="4" t="s">
        <v>25</v>
      </c>
      <c r="G425" s="4" t="s">
        <v>25</v>
      </c>
      <c r="H425" s="4" t="s">
        <v>25</v>
      </c>
      <c r="I425" s="5">
        <v>44470</v>
      </c>
      <c r="J425" s="6">
        <v>1132</v>
      </c>
      <c r="K425" s="97">
        <v>1132</v>
      </c>
      <c r="L425" s="6">
        <v>0</v>
      </c>
      <c r="M425" s="97">
        <v>0</v>
      </c>
      <c r="N425" s="6">
        <v>0</v>
      </c>
      <c r="O425" s="97">
        <v>0</v>
      </c>
      <c r="P425" s="6">
        <v>8</v>
      </c>
      <c r="Q425" s="4" t="s">
        <v>26</v>
      </c>
      <c r="R425" s="4">
        <v>0</v>
      </c>
      <c r="S425" s="6">
        <v>18</v>
      </c>
      <c r="T425" s="6">
        <v>0</v>
      </c>
      <c r="U425" s="6">
        <v>0</v>
      </c>
      <c r="V425" s="97">
        <f>IF(ISERROR(VLOOKUP($S$425,'TAR FIN'!$A$1:$O$86,15,0)),0,VLOOKUP($S$425,'TAR FIN'!$A$1:$O$86,15,0))*(1-0.04)</f>
        <v>18.470399999999998</v>
      </c>
      <c r="W425" s="97">
        <f>IF(ISERROR(VLOOKUP($T$425,'TAR FIN'!$A$1:$O$86,15,0)),0,VLOOKUP($T$425,'TAR FIN'!$A$1:$O$86,15,0))</f>
        <v>0</v>
      </c>
      <c r="X425" s="97">
        <f>IF(ISERROR(VLOOKUP($U$425,'TAR FIN'!$A$1:$O$86,15,0)),0,VLOOKUP($U$425,'TAR FIN'!$A$1:$O$86,15,0))</f>
        <v>0</v>
      </c>
      <c r="Y425" s="97">
        <f ca="1">('TUSD BE'!$AM$11+'TUSD BF_350'!$AM$11+'TUSD CVA'!$AM$11)*1*(1-0.02)</f>
        <v>14.889098762306169</v>
      </c>
      <c r="Z425" s="97"/>
      <c r="AA425" s="97"/>
      <c r="AB425" s="6">
        <f>$K$425*$V$425</f>
        <v>20908.492799999996</v>
      </c>
      <c r="AC425" s="6">
        <f>$M$425*$W$425</f>
        <v>0</v>
      </c>
      <c r="AD425" s="6">
        <f>$O$425*$X$425</f>
        <v>0</v>
      </c>
      <c r="AE425" s="6">
        <f ca="1">$K$425*$Y$425</f>
        <v>16854.459798930584</v>
      </c>
      <c r="AF425" s="6">
        <f>$M$425*$Z$425</f>
        <v>0</v>
      </c>
      <c r="AG425" s="6">
        <f>$O$425*$AA$425</f>
        <v>0</v>
      </c>
    </row>
    <row r="426" spans="1:33" ht="11.25" customHeight="1" x14ac:dyDescent="0.25">
      <c r="A426" s="4" t="s">
        <v>55</v>
      </c>
      <c r="B426" s="4" t="s">
        <v>38</v>
      </c>
      <c r="C426" s="4" t="s">
        <v>40</v>
      </c>
      <c r="D426" s="4" t="s">
        <v>43</v>
      </c>
      <c r="E426" s="4" t="s">
        <v>51</v>
      </c>
      <c r="F426" s="4" t="s">
        <v>25</v>
      </c>
      <c r="G426" s="4" t="s">
        <v>25</v>
      </c>
      <c r="H426" s="4" t="s">
        <v>25</v>
      </c>
      <c r="I426" s="5">
        <v>44470</v>
      </c>
      <c r="J426" s="6">
        <v>251</v>
      </c>
      <c r="K426" s="97">
        <v>251</v>
      </c>
      <c r="L426" s="6">
        <v>0</v>
      </c>
      <c r="M426" s="97">
        <v>0</v>
      </c>
      <c r="N426" s="6">
        <v>0</v>
      </c>
      <c r="O426" s="97">
        <v>0</v>
      </c>
      <c r="P426" s="6">
        <v>1</v>
      </c>
      <c r="Q426" s="4" t="s">
        <v>26</v>
      </c>
      <c r="R426" s="4">
        <v>0</v>
      </c>
      <c r="S426" s="6">
        <v>18</v>
      </c>
      <c r="T426" s="6">
        <v>0</v>
      </c>
      <c r="U426" s="6">
        <v>0</v>
      </c>
      <c r="V426" s="97">
        <f>IF(ISERROR(VLOOKUP($S$426,'TAR FIN'!$A$1:$O$86,15,0)),0,VLOOKUP($S$426,'TAR FIN'!$A$1:$O$86,15,0))*(1-0.04)</f>
        <v>18.470399999999998</v>
      </c>
      <c r="W426" s="97">
        <f>IF(ISERROR(VLOOKUP($T$426,'TAR FIN'!$A$1:$O$86,15,0)),0,VLOOKUP($T$426,'TAR FIN'!$A$1:$O$86,15,0))</f>
        <v>0</v>
      </c>
      <c r="X426" s="97">
        <f>IF(ISERROR(VLOOKUP($U$426,'TAR FIN'!$A$1:$O$86,15,0)),0,VLOOKUP($U$426,'TAR FIN'!$A$1:$O$86,15,0))</f>
        <v>0</v>
      </c>
      <c r="Y426" s="97">
        <f ca="1">('TUSD BE'!$AM$11+'TUSD BF_350'!$AM$11+'TUSD CVA'!$AM$11)*1*(1-0.02)</f>
        <v>14.889098762306169</v>
      </c>
      <c r="Z426" s="97"/>
      <c r="AA426" s="97"/>
      <c r="AB426" s="6">
        <f>$K$426*$V$426</f>
        <v>4636.0703999999996</v>
      </c>
      <c r="AC426" s="6">
        <f>$M$426*$W$426</f>
        <v>0</v>
      </c>
      <c r="AD426" s="6">
        <f>$O$426*$X$426</f>
        <v>0</v>
      </c>
      <c r="AE426" s="6">
        <f ca="1">$K$426*$Y$426</f>
        <v>3737.1637893388483</v>
      </c>
      <c r="AF426" s="6">
        <f>$M$426*$Z$426</f>
        <v>0</v>
      </c>
      <c r="AG426" s="6">
        <f>$O$426*$AA$426</f>
        <v>0</v>
      </c>
    </row>
    <row r="427" spans="1:33" ht="11.25" customHeight="1" x14ac:dyDescent="0.25">
      <c r="A427" s="4" t="s">
        <v>21</v>
      </c>
      <c r="B427" s="4" t="s">
        <v>38</v>
      </c>
      <c r="C427" s="4" t="s">
        <v>40</v>
      </c>
      <c r="D427" s="4" t="s">
        <v>43</v>
      </c>
      <c r="E427" s="4" t="s">
        <v>51</v>
      </c>
      <c r="F427" s="4" t="s">
        <v>25</v>
      </c>
      <c r="G427" s="4" t="s">
        <v>25</v>
      </c>
      <c r="H427" s="4" t="s">
        <v>25</v>
      </c>
      <c r="I427" s="5">
        <v>44501</v>
      </c>
      <c r="J427" s="6">
        <v>2857</v>
      </c>
      <c r="K427" s="97">
        <v>2857</v>
      </c>
      <c r="L427" s="6">
        <v>0</v>
      </c>
      <c r="M427" s="97">
        <v>0</v>
      </c>
      <c r="N427" s="6">
        <v>0</v>
      </c>
      <c r="O427" s="97">
        <v>0</v>
      </c>
      <c r="P427" s="6">
        <v>8</v>
      </c>
      <c r="Q427" s="4" t="s">
        <v>26</v>
      </c>
      <c r="R427" s="4">
        <v>0</v>
      </c>
      <c r="S427" s="6">
        <v>18</v>
      </c>
      <c r="T427" s="6">
        <v>0</v>
      </c>
      <c r="U427" s="6">
        <v>0</v>
      </c>
      <c r="V427" s="97">
        <f>IF(ISERROR(VLOOKUP($S$427,'TAR FIN'!$A$1:$O$86,15,0)),0,VLOOKUP($S$427,'TAR FIN'!$A$1:$O$86,15,0))*(1-0.04)</f>
        <v>18.470399999999998</v>
      </c>
      <c r="W427" s="97">
        <f>IF(ISERROR(VLOOKUP($T$427,'TAR FIN'!$A$1:$O$86,15,0)),0,VLOOKUP($T$427,'TAR FIN'!$A$1:$O$86,15,0))</f>
        <v>0</v>
      </c>
      <c r="X427" s="97">
        <f>IF(ISERROR(VLOOKUP($U$427,'TAR FIN'!$A$1:$O$86,15,0)),0,VLOOKUP($U$427,'TAR FIN'!$A$1:$O$86,15,0))</f>
        <v>0</v>
      </c>
      <c r="Y427" s="97">
        <f ca="1">('TUSD BE'!$AM$11+'TUSD BF_350'!$AM$11+'TUSD CVA'!$AM$11)*1*(1-0.02)</f>
        <v>14.889098762306169</v>
      </c>
      <c r="Z427" s="97"/>
      <c r="AA427" s="97"/>
      <c r="AB427" s="6">
        <f>$K$427*$V$427</f>
        <v>52769.932799999995</v>
      </c>
      <c r="AC427" s="6">
        <f>$M$427*$W$427</f>
        <v>0</v>
      </c>
      <c r="AD427" s="6">
        <f>$O$427*$X$427</f>
        <v>0</v>
      </c>
      <c r="AE427" s="6">
        <f ca="1">$K$427*$Y$427</f>
        <v>42538.155163908727</v>
      </c>
      <c r="AF427" s="6">
        <f>$M$427*$Z$427</f>
        <v>0</v>
      </c>
      <c r="AG427" s="6">
        <f>$O$427*$AA$427</f>
        <v>0</v>
      </c>
    </row>
    <row r="428" spans="1:33" ht="11.25" customHeight="1" x14ac:dyDescent="0.25">
      <c r="A428" s="4" t="s">
        <v>55</v>
      </c>
      <c r="B428" s="4" t="s">
        <v>38</v>
      </c>
      <c r="C428" s="4" t="s">
        <v>40</v>
      </c>
      <c r="D428" s="4" t="s">
        <v>43</v>
      </c>
      <c r="E428" s="4" t="s">
        <v>51</v>
      </c>
      <c r="F428" s="4" t="s">
        <v>25</v>
      </c>
      <c r="G428" s="4" t="s">
        <v>25</v>
      </c>
      <c r="H428" s="4" t="s">
        <v>25</v>
      </c>
      <c r="I428" s="5">
        <v>44501</v>
      </c>
      <c r="J428" s="6">
        <v>259</v>
      </c>
      <c r="K428" s="97">
        <v>259</v>
      </c>
      <c r="L428" s="6">
        <v>0</v>
      </c>
      <c r="M428" s="97">
        <v>0</v>
      </c>
      <c r="N428" s="6">
        <v>0</v>
      </c>
      <c r="O428" s="97">
        <v>0</v>
      </c>
      <c r="P428" s="6">
        <v>1</v>
      </c>
      <c r="Q428" s="4" t="s">
        <v>26</v>
      </c>
      <c r="R428" s="4">
        <v>0</v>
      </c>
      <c r="S428" s="6">
        <v>18</v>
      </c>
      <c r="T428" s="6">
        <v>0</v>
      </c>
      <c r="U428" s="6">
        <v>0</v>
      </c>
      <c r="V428" s="97">
        <f>IF(ISERROR(VLOOKUP($S$428,'TAR FIN'!$A$1:$O$86,15,0)),0,VLOOKUP($S$428,'TAR FIN'!$A$1:$O$86,15,0))*(1-0.04)</f>
        <v>18.470399999999998</v>
      </c>
      <c r="W428" s="97">
        <f>IF(ISERROR(VLOOKUP($T$428,'TAR FIN'!$A$1:$O$86,15,0)),0,VLOOKUP($T$428,'TAR FIN'!$A$1:$O$86,15,0))</f>
        <v>0</v>
      </c>
      <c r="X428" s="97">
        <f>IF(ISERROR(VLOOKUP($U$428,'TAR FIN'!$A$1:$O$86,15,0)),0,VLOOKUP($U$428,'TAR FIN'!$A$1:$O$86,15,0))</f>
        <v>0</v>
      </c>
      <c r="Y428" s="97">
        <f ca="1">('TUSD BE'!$AM$11+'TUSD BF_350'!$AM$11+'TUSD CVA'!$AM$11)*1*(1-0.02)</f>
        <v>14.889098762306169</v>
      </c>
      <c r="Z428" s="97"/>
      <c r="AA428" s="97"/>
      <c r="AB428" s="6">
        <f>$K$428*$V$428</f>
        <v>4783.833599999999</v>
      </c>
      <c r="AC428" s="6">
        <f>$M$428*$W$428</f>
        <v>0</v>
      </c>
      <c r="AD428" s="6">
        <f>$O$428*$X$428</f>
        <v>0</v>
      </c>
      <c r="AE428" s="6">
        <f ca="1">$K$428*$Y$428</f>
        <v>3856.2765794372976</v>
      </c>
      <c r="AF428" s="6">
        <f>$M$428*$Z$428</f>
        <v>0</v>
      </c>
      <c r="AG428" s="6">
        <f>$O$428*$AA$428</f>
        <v>0</v>
      </c>
    </row>
    <row r="429" spans="1:33" ht="11.25" customHeight="1" x14ac:dyDescent="0.25">
      <c r="A429" s="4" t="s">
        <v>21</v>
      </c>
      <c r="B429" s="4" t="s">
        <v>38</v>
      </c>
      <c r="C429" s="4" t="s">
        <v>40</v>
      </c>
      <c r="D429" s="4" t="s">
        <v>43</v>
      </c>
      <c r="E429" s="4" t="s">
        <v>51</v>
      </c>
      <c r="F429" s="4" t="s">
        <v>25</v>
      </c>
      <c r="G429" s="4" t="s">
        <v>25</v>
      </c>
      <c r="H429" s="4" t="s">
        <v>25</v>
      </c>
      <c r="I429" s="5">
        <v>44531</v>
      </c>
      <c r="J429" s="6">
        <v>3618</v>
      </c>
      <c r="K429" s="97">
        <v>3618</v>
      </c>
      <c r="L429" s="6">
        <v>0</v>
      </c>
      <c r="M429" s="97">
        <v>0</v>
      </c>
      <c r="N429" s="6">
        <v>0</v>
      </c>
      <c r="O429" s="97">
        <v>0</v>
      </c>
      <c r="P429" s="6">
        <v>8</v>
      </c>
      <c r="Q429" s="4" t="s">
        <v>26</v>
      </c>
      <c r="R429" s="4">
        <v>0</v>
      </c>
      <c r="S429" s="6">
        <v>18</v>
      </c>
      <c r="T429" s="6">
        <v>0</v>
      </c>
      <c r="U429" s="6">
        <v>0</v>
      </c>
      <c r="V429" s="97">
        <f>IF(ISERROR(VLOOKUP($S$429,'TAR FIN'!$A$1:$O$86,15,0)),0,VLOOKUP($S$429,'TAR FIN'!$A$1:$O$86,15,0))*(1-0.04)</f>
        <v>18.470399999999998</v>
      </c>
      <c r="W429" s="97">
        <f>IF(ISERROR(VLOOKUP($T$429,'TAR FIN'!$A$1:$O$86,15,0)),0,VLOOKUP($T$429,'TAR FIN'!$A$1:$O$86,15,0))</f>
        <v>0</v>
      </c>
      <c r="X429" s="97">
        <f>IF(ISERROR(VLOOKUP($U$429,'TAR FIN'!$A$1:$O$86,15,0)),0,VLOOKUP($U$429,'TAR FIN'!$A$1:$O$86,15,0))</f>
        <v>0</v>
      </c>
      <c r="Y429" s="97">
        <f ca="1">('TUSD BE'!$AM$11+'TUSD BF_350'!$AM$11+'TUSD CVA'!$AM$11)*1*(1-0.02)</f>
        <v>14.889098762306169</v>
      </c>
      <c r="Z429" s="97"/>
      <c r="AA429" s="97"/>
      <c r="AB429" s="6">
        <f>$K$429*$V$429</f>
        <v>66825.907199999987</v>
      </c>
      <c r="AC429" s="6">
        <f>$M$429*$W$429</f>
        <v>0</v>
      </c>
      <c r="AD429" s="6">
        <f>$O$429*$X$429</f>
        <v>0</v>
      </c>
      <c r="AE429" s="6">
        <f ca="1">$K$429*$Y$429</f>
        <v>53868.759322023718</v>
      </c>
      <c r="AF429" s="6">
        <f>$M$429*$Z$429</f>
        <v>0</v>
      </c>
      <c r="AG429" s="6">
        <f>$O$429*$AA$429</f>
        <v>0</v>
      </c>
    </row>
    <row r="430" spans="1:33" ht="11.25" customHeight="1" x14ac:dyDescent="0.25">
      <c r="A430" s="4" t="s">
        <v>55</v>
      </c>
      <c r="B430" s="4" t="s">
        <v>38</v>
      </c>
      <c r="C430" s="4" t="s">
        <v>40</v>
      </c>
      <c r="D430" s="4" t="s">
        <v>43</v>
      </c>
      <c r="E430" s="4" t="s">
        <v>51</v>
      </c>
      <c r="F430" s="4" t="s">
        <v>25</v>
      </c>
      <c r="G430" s="4" t="s">
        <v>25</v>
      </c>
      <c r="H430" s="4" t="s">
        <v>25</v>
      </c>
      <c r="I430" s="5">
        <v>44531</v>
      </c>
      <c r="J430" s="6">
        <v>254</v>
      </c>
      <c r="K430" s="97">
        <v>254</v>
      </c>
      <c r="L430" s="6">
        <v>0</v>
      </c>
      <c r="M430" s="97">
        <v>0</v>
      </c>
      <c r="N430" s="6">
        <v>0</v>
      </c>
      <c r="O430" s="97">
        <v>0</v>
      </c>
      <c r="P430" s="6">
        <v>1</v>
      </c>
      <c r="Q430" s="4" t="s">
        <v>26</v>
      </c>
      <c r="R430" s="4">
        <v>0</v>
      </c>
      <c r="S430" s="6">
        <v>18</v>
      </c>
      <c r="T430" s="6">
        <v>0</v>
      </c>
      <c r="U430" s="6">
        <v>0</v>
      </c>
      <c r="V430" s="97">
        <f>IF(ISERROR(VLOOKUP($S$430,'TAR FIN'!$A$1:$O$86,15,0)),0,VLOOKUP($S$430,'TAR FIN'!$A$1:$O$86,15,0))*(1-0.04)</f>
        <v>18.470399999999998</v>
      </c>
      <c r="W430" s="97">
        <f>IF(ISERROR(VLOOKUP($T$430,'TAR FIN'!$A$1:$O$86,15,0)),0,VLOOKUP($T$430,'TAR FIN'!$A$1:$O$86,15,0))</f>
        <v>0</v>
      </c>
      <c r="X430" s="97">
        <f>IF(ISERROR(VLOOKUP($U$430,'TAR FIN'!$A$1:$O$86,15,0)),0,VLOOKUP($U$430,'TAR FIN'!$A$1:$O$86,15,0))</f>
        <v>0</v>
      </c>
      <c r="Y430" s="97">
        <f ca="1">('TUSD BE'!$AM$11+'TUSD BF_350'!$AM$11+'TUSD CVA'!$AM$11)*1*(1-0.02)</f>
        <v>14.889098762306169</v>
      </c>
      <c r="Z430" s="97"/>
      <c r="AA430" s="97"/>
      <c r="AB430" s="6">
        <f>$K$430*$V$430</f>
        <v>4691.4815999999992</v>
      </c>
      <c r="AC430" s="6">
        <f>$M$430*$W$430</f>
        <v>0</v>
      </c>
      <c r="AD430" s="6">
        <f>$O$430*$X$430</f>
        <v>0</v>
      </c>
      <c r="AE430" s="6">
        <f ca="1">$K$430*$Y$430</f>
        <v>3781.8310856257667</v>
      </c>
      <c r="AF430" s="6">
        <f>$M$430*$Z$430</f>
        <v>0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38</v>
      </c>
      <c r="C431" s="4" t="s">
        <v>40</v>
      </c>
      <c r="D431" s="4" t="s">
        <v>43</v>
      </c>
      <c r="E431" s="4" t="s">
        <v>51</v>
      </c>
      <c r="F431" s="4" t="s">
        <v>25</v>
      </c>
      <c r="G431" s="4" t="s">
        <v>25</v>
      </c>
      <c r="H431" s="4" t="s">
        <v>25</v>
      </c>
      <c r="I431" s="5">
        <v>44562</v>
      </c>
      <c r="J431" s="6">
        <v>3650</v>
      </c>
      <c r="K431" s="97">
        <v>3650</v>
      </c>
      <c r="L431" s="6">
        <v>0</v>
      </c>
      <c r="M431" s="97">
        <v>0</v>
      </c>
      <c r="N431" s="6">
        <v>0</v>
      </c>
      <c r="O431" s="97">
        <v>0</v>
      </c>
      <c r="P431" s="6">
        <v>8</v>
      </c>
      <c r="Q431" s="4" t="s">
        <v>26</v>
      </c>
      <c r="R431" s="4">
        <v>0</v>
      </c>
      <c r="S431" s="6">
        <v>18</v>
      </c>
      <c r="T431" s="6">
        <v>0</v>
      </c>
      <c r="U431" s="6">
        <v>0</v>
      </c>
      <c r="V431" s="97">
        <f>IF(ISERROR(VLOOKUP($S$431,'TAR FIN'!$A$1:$O$86,15,0)),0,VLOOKUP($S$431,'TAR FIN'!$A$1:$O$86,15,0))*(1-0.04)</f>
        <v>18.470399999999998</v>
      </c>
      <c r="W431" s="97">
        <f>IF(ISERROR(VLOOKUP($T$431,'TAR FIN'!$A$1:$O$86,15,0)),0,VLOOKUP($T$431,'TAR FIN'!$A$1:$O$86,15,0))</f>
        <v>0</v>
      </c>
      <c r="X431" s="97">
        <f>IF(ISERROR(VLOOKUP($U$431,'TAR FIN'!$A$1:$O$86,15,0)),0,VLOOKUP($U$431,'TAR FIN'!$A$1:$O$86,15,0))</f>
        <v>0</v>
      </c>
      <c r="Y431" s="97">
        <f ca="1">('TUSD BE'!$AM$11+'TUSD BF_350'!$AM$11+'TUSD CVA'!$AM$11)*1*(1-0.02)</f>
        <v>14.889098762306169</v>
      </c>
      <c r="Z431" s="97"/>
      <c r="AA431" s="97"/>
      <c r="AB431" s="6">
        <f>$K$431*$V$431</f>
        <v>67416.959999999992</v>
      </c>
      <c r="AC431" s="6">
        <f>$M$431*$W$431</f>
        <v>0</v>
      </c>
      <c r="AD431" s="6">
        <f>$O$431*$X$431</f>
        <v>0</v>
      </c>
      <c r="AE431" s="6">
        <f ca="1">$K$431*$Y$431</f>
        <v>54345.210482417519</v>
      </c>
      <c r="AF431" s="6">
        <f>$M$431*$Z$431</f>
        <v>0</v>
      </c>
      <c r="AG431" s="6">
        <f>$O$431*$AA$431</f>
        <v>0</v>
      </c>
    </row>
    <row r="432" spans="1:33" ht="11.25" customHeight="1" x14ac:dyDescent="0.25">
      <c r="A432" s="4" t="s">
        <v>55</v>
      </c>
      <c r="B432" s="4" t="s">
        <v>38</v>
      </c>
      <c r="C432" s="4" t="s">
        <v>40</v>
      </c>
      <c r="D432" s="4" t="s">
        <v>43</v>
      </c>
      <c r="E432" s="4" t="s">
        <v>51</v>
      </c>
      <c r="F432" s="4" t="s">
        <v>25</v>
      </c>
      <c r="G432" s="4" t="s">
        <v>25</v>
      </c>
      <c r="H432" s="4" t="s">
        <v>25</v>
      </c>
      <c r="I432" s="5">
        <v>44562</v>
      </c>
      <c r="J432" s="6">
        <v>154</v>
      </c>
      <c r="K432" s="97">
        <v>154</v>
      </c>
      <c r="L432" s="6">
        <v>0</v>
      </c>
      <c r="M432" s="97">
        <v>0</v>
      </c>
      <c r="N432" s="6">
        <v>0</v>
      </c>
      <c r="O432" s="97">
        <v>0</v>
      </c>
      <c r="P432" s="6">
        <v>1</v>
      </c>
      <c r="Q432" s="4" t="s">
        <v>26</v>
      </c>
      <c r="R432" s="4">
        <v>0</v>
      </c>
      <c r="S432" s="6">
        <v>18</v>
      </c>
      <c r="T432" s="6">
        <v>0</v>
      </c>
      <c r="U432" s="6">
        <v>0</v>
      </c>
      <c r="V432" s="97">
        <f>IF(ISERROR(VLOOKUP($S$432,'TAR FIN'!$A$1:$O$86,15,0)),0,VLOOKUP($S$432,'TAR FIN'!$A$1:$O$86,15,0))*(1-0.04)</f>
        <v>18.470399999999998</v>
      </c>
      <c r="W432" s="97">
        <f>IF(ISERROR(VLOOKUP($T$432,'TAR FIN'!$A$1:$O$86,15,0)),0,VLOOKUP($T$432,'TAR FIN'!$A$1:$O$86,15,0))</f>
        <v>0</v>
      </c>
      <c r="X432" s="97">
        <f>IF(ISERROR(VLOOKUP($U$432,'TAR FIN'!$A$1:$O$86,15,0)),0,VLOOKUP($U$432,'TAR FIN'!$A$1:$O$86,15,0))</f>
        <v>0</v>
      </c>
      <c r="Y432" s="97">
        <f ca="1">('TUSD BE'!$AM$11+'TUSD BF_350'!$AM$11+'TUSD CVA'!$AM$11)*1*(1-0.02)</f>
        <v>14.889098762306169</v>
      </c>
      <c r="Z432" s="97"/>
      <c r="AA432" s="97"/>
      <c r="AB432" s="6">
        <f>$K$432*$V$432</f>
        <v>2844.4415999999997</v>
      </c>
      <c r="AC432" s="6">
        <f>$M$432*$W$432</f>
        <v>0</v>
      </c>
      <c r="AD432" s="6">
        <f>$O$432*$X$432</f>
        <v>0</v>
      </c>
      <c r="AE432" s="6">
        <f ca="1">$K$432*$Y$432</f>
        <v>2292.9212093951501</v>
      </c>
      <c r="AF432" s="6">
        <f>$M$432*$Z$432</f>
        <v>0</v>
      </c>
      <c r="AG432" s="6">
        <f>$O$432*$AA$432</f>
        <v>0</v>
      </c>
    </row>
    <row r="433" spans="1:33" ht="11.25" customHeight="1" x14ac:dyDescent="0.25">
      <c r="A433" s="4" t="s">
        <v>21</v>
      </c>
      <c r="B433" s="4" t="s">
        <v>38</v>
      </c>
      <c r="C433" s="4" t="s">
        <v>40</v>
      </c>
      <c r="D433" s="4" t="s">
        <v>43</v>
      </c>
      <c r="E433" s="4" t="s">
        <v>51</v>
      </c>
      <c r="F433" s="4" t="s">
        <v>25</v>
      </c>
      <c r="G433" s="4" t="s">
        <v>25</v>
      </c>
      <c r="H433" s="4" t="s">
        <v>25</v>
      </c>
      <c r="I433" s="5">
        <v>44593</v>
      </c>
      <c r="J433" s="6">
        <v>3033</v>
      </c>
      <c r="K433" s="97">
        <v>3033</v>
      </c>
      <c r="L433" s="6">
        <v>0</v>
      </c>
      <c r="M433" s="97">
        <v>0</v>
      </c>
      <c r="N433" s="6">
        <v>0</v>
      </c>
      <c r="O433" s="97">
        <v>0</v>
      </c>
      <c r="P433" s="6">
        <v>8</v>
      </c>
      <c r="Q433" s="4" t="s">
        <v>26</v>
      </c>
      <c r="R433" s="4">
        <v>0</v>
      </c>
      <c r="S433" s="6">
        <v>18</v>
      </c>
      <c r="T433" s="6">
        <v>0</v>
      </c>
      <c r="U433" s="6">
        <v>0</v>
      </c>
      <c r="V433" s="97">
        <f>IF(ISERROR(VLOOKUP($S$433,'TAR FIN'!$A$1:$O$86,15,0)),0,VLOOKUP($S$433,'TAR FIN'!$A$1:$O$86,15,0))*(1-0.04)</f>
        <v>18.470399999999998</v>
      </c>
      <c r="W433" s="97">
        <f>IF(ISERROR(VLOOKUP($T$433,'TAR FIN'!$A$1:$O$86,15,0)),0,VLOOKUP($T$433,'TAR FIN'!$A$1:$O$86,15,0))</f>
        <v>0</v>
      </c>
      <c r="X433" s="97">
        <f>IF(ISERROR(VLOOKUP($U$433,'TAR FIN'!$A$1:$O$86,15,0)),0,VLOOKUP($U$433,'TAR FIN'!$A$1:$O$86,15,0))</f>
        <v>0</v>
      </c>
      <c r="Y433" s="97">
        <f ca="1">('TUSD BE'!$AM$11+'TUSD BF_350'!$AM$11+'TUSD CVA'!$AM$11)*1*(1-0.02)</f>
        <v>14.889098762306169</v>
      </c>
      <c r="Z433" s="97"/>
      <c r="AA433" s="97"/>
      <c r="AB433" s="6">
        <f>$K$433*$V$433</f>
        <v>56020.723199999993</v>
      </c>
      <c r="AC433" s="6">
        <f>$M$433*$W$433</f>
        <v>0</v>
      </c>
      <c r="AD433" s="6">
        <f>$O$433*$X$433</f>
        <v>0</v>
      </c>
      <c r="AE433" s="6">
        <f ca="1">$K$433*$Y$433</f>
        <v>45158.636546074609</v>
      </c>
      <c r="AF433" s="6">
        <f>$M$433*$Z$433</f>
        <v>0</v>
      </c>
      <c r="AG433" s="6">
        <f>$O$433*$AA$433</f>
        <v>0</v>
      </c>
    </row>
    <row r="434" spans="1:33" ht="11.25" customHeight="1" x14ac:dyDescent="0.25">
      <c r="A434" s="4" t="s">
        <v>55</v>
      </c>
      <c r="B434" s="4" t="s">
        <v>38</v>
      </c>
      <c r="C434" s="4" t="s">
        <v>40</v>
      </c>
      <c r="D434" s="4" t="s">
        <v>43</v>
      </c>
      <c r="E434" s="4" t="s">
        <v>51</v>
      </c>
      <c r="F434" s="4" t="s">
        <v>25</v>
      </c>
      <c r="G434" s="4" t="s">
        <v>25</v>
      </c>
      <c r="H434" s="4" t="s">
        <v>25</v>
      </c>
      <c r="I434" s="5">
        <v>44593</v>
      </c>
      <c r="J434" s="6">
        <v>149</v>
      </c>
      <c r="K434" s="97">
        <v>149</v>
      </c>
      <c r="L434" s="6">
        <v>0</v>
      </c>
      <c r="M434" s="97">
        <v>0</v>
      </c>
      <c r="N434" s="6">
        <v>0</v>
      </c>
      <c r="O434" s="97">
        <v>0</v>
      </c>
      <c r="P434" s="6">
        <v>1</v>
      </c>
      <c r="Q434" s="4" t="s">
        <v>26</v>
      </c>
      <c r="R434" s="4">
        <v>0</v>
      </c>
      <c r="S434" s="6">
        <v>18</v>
      </c>
      <c r="T434" s="6">
        <v>0</v>
      </c>
      <c r="U434" s="6">
        <v>0</v>
      </c>
      <c r="V434" s="97">
        <f>IF(ISERROR(VLOOKUP($S$434,'TAR FIN'!$A$1:$O$86,15,0)),0,VLOOKUP($S$434,'TAR FIN'!$A$1:$O$86,15,0))*(1-0.04)</f>
        <v>18.470399999999998</v>
      </c>
      <c r="W434" s="97">
        <f>IF(ISERROR(VLOOKUP($T$434,'TAR FIN'!$A$1:$O$86,15,0)),0,VLOOKUP($T$434,'TAR FIN'!$A$1:$O$86,15,0))</f>
        <v>0</v>
      </c>
      <c r="X434" s="97">
        <f>IF(ISERROR(VLOOKUP($U$434,'TAR FIN'!$A$1:$O$86,15,0)),0,VLOOKUP($U$434,'TAR FIN'!$A$1:$O$86,15,0))</f>
        <v>0</v>
      </c>
      <c r="Y434" s="97">
        <f ca="1">('TUSD BE'!$AM$11+'TUSD BF_350'!$AM$11+'TUSD CVA'!$AM$11)*1*(1-0.02)</f>
        <v>14.889098762306169</v>
      </c>
      <c r="Z434" s="97"/>
      <c r="AA434" s="97"/>
      <c r="AB434" s="6">
        <f>$K$434*$V$434</f>
        <v>2752.0895999999998</v>
      </c>
      <c r="AC434" s="6">
        <f>$M$434*$W$434</f>
        <v>0</v>
      </c>
      <c r="AD434" s="6">
        <f>$O$434*$X$434</f>
        <v>0</v>
      </c>
      <c r="AE434" s="6">
        <f ca="1">$K$434*$Y$434</f>
        <v>2218.4757155836191</v>
      </c>
      <c r="AF434" s="6">
        <f>$M$434*$Z$434</f>
        <v>0</v>
      </c>
      <c r="AG434" s="6">
        <f>$O$434*$AA$434</f>
        <v>0</v>
      </c>
    </row>
    <row r="435" spans="1:33" ht="11.25" customHeight="1" x14ac:dyDescent="0.25">
      <c r="A435" s="4" t="s">
        <v>21</v>
      </c>
      <c r="B435" s="4" t="s">
        <v>38</v>
      </c>
      <c r="C435" s="4" t="s">
        <v>40</v>
      </c>
      <c r="D435" s="4" t="s">
        <v>43</v>
      </c>
      <c r="E435" s="4" t="s">
        <v>51</v>
      </c>
      <c r="F435" s="4" t="s">
        <v>25</v>
      </c>
      <c r="G435" s="4" t="s">
        <v>25</v>
      </c>
      <c r="H435" s="4" t="s">
        <v>25</v>
      </c>
      <c r="I435" s="5">
        <v>44621</v>
      </c>
      <c r="J435" s="6">
        <v>1042</v>
      </c>
      <c r="K435" s="97">
        <v>1042</v>
      </c>
      <c r="L435" s="6">
        <v>0</v>
      </c>
      <c r="M435" s="97">
        <v>0</v>
      </c>
      <c r="N435" s="6">
        <v>0</v>
      </c>
      <c r="O435" s="97">
        <v>0</v>
      </c>
      <c r="P435" s="6">
        <v>8</v>
      </c>
      <c r="Q435" s="4" t="s">
        <v>26</v>
      </c>
      <c r="R435" s="4">
        <v>0</v>
      </c>
      <c r="S435" s="6">
        <v>18</v>
      </c>
      <c r="T435" s="6">
        <v>0</v>
      </c>
      <c r="U435" s="6">
        <v>0</v>
      </c>
      <c r="V435" s="97">
        <f>IF(ISERROR(VLOOKUP($S$435,'TAR FIN'!$A$1:$O$86,15,0)),0,VLOOKUP($S$435,'TAR FIN'!$A$1:$O$86,15,0))*(1-0.04)</f>
        <v>18.470399999999998</v>
      </c>
      <c r="W435" s="97">
        <f>IF(ISERROR(VLOOKUP($T$435,'TAR FIN'!$A$1:$O$86,15,0)),0,VLOOKUP($T$435,'TAR FIN'!$A$1:$O$86,15,0))</f>
        <v>0</v>
      </c>
      <c r="X435" s="97">
        <f>IF(ISERROR(VLOOKUP($U$435,'TAR FIN'!$A$1:$O$86,15,0)),0,VLOOKUP($U$435,'TAR FIN'!$A$1:$O$86,15,0))</f>
        <v>0</v>
      </c>
      <c r="Y435" s="97">
        <f ca="1">('TUSD BE'!$AM$11+'TUSD BF_350'!$AM$11+'TUSD CVA'!$AM$11)*1*(1-0.02)</f>
        <v>14.889098762306169</v>
      </c>
      <c r="Z435" s="97"/>
      <c r="AA435" s="97"/>
      <c r="AB435" s="6">
        <f>$K$435*$V$435</f>
        <v>19246.156799999997</v>
      </c>
      <c r="AC435" s="6">
        <f>$M$435*$W$435</f>
        <v>0</v>
      </c>
      <c r="AD435" s="6">
        <f>$O$435*$X$435</f>
        <v>0</v>
      </c>
      <c r="AE435" s="6">
        <f ca="1">$K$435*$Y$435</f>
        <v>15514.440910323028</v>
      </c>
      <c r="AF435" s="6">
        <f>$M$435*$Z$435</f>
        <v>0</v>
      </c>
      <c r="AG435" s="6">
        <f>$O$435*$AA$435</f>
        <v>0</v>
      </c>
    </row>
    <row r="436" spans="1:33" ht="11.25" customHeight="1" x14ac:dyDescent="0.25">
      <c r="A436" s="4" t="s">
        <v>55</v>
      </c>
      <c r="B436" s="4" t="s">
        <v>38</v>
      </c>
      <c r="C436" s="4" t="s">
        <v>40</v>
      </c>
      <c r="D436" s="4" t="s">
        <v>43</v>
      </c>
      <c r="E436" s="4" t="s">
        <v>51</v>
      </c>
      <c r="F436" s="4" t="s">
        <v>25</v>
      </c>
      <c r="G436" s="4" t="s">
        <v>25</v>
      </c>
      <c r="H436" s="4" t="s">
        <v>25</v>
      </c>
      <c r="I436" s="5">
        <v>44621</v>
      </c>
      <c r="J436" s="6">
        <v>31</v>
      </c>
      <c r="K436" s="97">
        <v>31</v>
      </c>
      <c r="L436" s="6">
        <v>0</v>
      </c>
      <c r="M436" s="97">
        <v>0</v>
      </c>
      <c r="N436" s="6">
        <v>0</v>
      </c>
      <c r="O436" s="97">
        <v>0</v>
      </c>
      <c r="P436" s="6">
        <v>1</v>
      </c>
      <c r="Q436" s="4" t="s">
        <v>26</v>
      </c>
      <c r="R436" s="4">
        <v>0</v>
      </c>
      <c r="S436" s="6">
        <v>18</v>
      </c>
      <c r="T436" s="6">
        <v>0</v>
      </c>
      <c r="U436" s="6">
        <v>0</v>
      </c>
      <c r="V436" s="97">
        <f>IF(ISERROR(VLOOKUP($S$436,'TAR FIN'!$A$1:$O$86,15,0)),0,VLOOKUP($S$436,'TAR FIN'!$A$1:$O$86,15,0))*(1-0.04)</f>
        <v>18.470399999999998</v>
      </c>
      <c r="W436" s="97">
        <f>IF(ISERROR(VLOOKUP($T$436,'TAR FIN'!$A$1:$O$86,15,0)),0,VLOOKUP($T$436,'TAR FIN'!$A$1:$O$86,15,0))</f>
        <v>0</v>
      </c>
      <c r="X436" s="97">
        <f>IF(ISERROR(VLOOKUP($U$436,'TAR FIN'!$A$1:$O$86,15,0)),0,VLOOKUP($U$436,'TAR FIN'!$A$1:$O$86,15,0))</f>
        <v>0</v>
      </c>
      <c r="Y436" s="97">
        <f ca="1">('TUSD BE'!$AM$11+'TUSD BF_350'!$AM$11+'TUSD CVA'!$AM$11)*1*(1-0.02)</f>
        <v>14.889098762306169</v>
      </c>
      <c r="Z436" s="97"/>
      <c r="AA436" s="97"/>
      <c r="AB436" s="6">
        <f>$K$436*$V$436</f>
        <v>572.58239999999989</v>
      </c>
      <c r="AC436" s="6">
        <f>$M$436*$W$436</f>
        <v>0</v>
      </c>
      <c r="AD436" s="6">
        <f>$O$436*$X$436</f>
        <v>0</v>
      </c>
      <c r="AE436" s="6">
        <f ca="1">$K$436*$Y$436</f>
        <v>461.56206163149125</v>
      </c>
      <c r="AF436" s="6">
        <f>$M$436*$Z$436</f>
        <v>0</v>
      </c>
      <c r="AG436" s="6">
        <f>$O$436*$AA$436</f>
        <v>0</v>
      </c>
    </row>
    <row r="437" spans="1:33" ht="11.25" customHeight="1" x14ac:dyDescent="0.25">
      <c r="A437" s="4" t="s">
        <v>21</v>
      </c>
      <c r="B437" s="4" t="s">
        <v>38</v>
      </c>
      <c r="C437" s="4" t="s">
        <v>40</v>
      </c>
      <c r="D437" s="4" t="s">
        <v>43</v>
      </c>
      <c r="E437" s="4" t="s">
        <v>51</v>
      </c>
      <c r="F437" s="4" t="s">
        <v>25</v>
      </c>
      <c r="G437" s="4" t="s">
        <v>25</v>
      </c>
      <c r="H437" s="4" t="s">
        <v>25</v>
      </c>
      <c r="I437" s="5">
        <v>44652</v>
      </c>
      <c r="J437" s="6">
        <v>443</v>
      </c>
      <c r="K437" s="97">
        <v>443</v>
      </c>
      <c r="L437" s="6">
        <v>0</v>
      </c>
      <c r="M437" s="97">
        <v>0</v>
      </c>
      <c r="N437" s="6">
        <v>0</v>
      </c>
      <c r="O437" s="97">
        <v>0</v>
      </c>
      <c r="P437" s="6">
        <v>8</v>
      </c>
      <c r="Q437" s="4" t="s">
        <v>26</v>
      </c>
      <c r="R437" s="4">
        <v>0</v>
      </c>
      <c r="S437" s="6">
        <v>18</v>
      </c>
      <c r="T437" s="6">
        <v>0</v>
      </c>
      <c r="U437" s="6">
        <v>0</v>
      </c>
      <c r="V437" s="97">
        <f>IF(ISERROR(VLOOKUP($S$437,'TAR FIN'!$A$1:$O$86,15,0)),0,VLOOKUP($S$437,'TAR FIN'!$A$1:$O$86,15,0))*(1-0.04)</f>
        <v>18.470399999999998</v>
      </c>
      <c r="W437" s="97">
        <f>IF(ISERROR(VLOOKUP($T$437,'TAR FIN'!$A$1:$O$86,15,0)),0,VLOOKUP($T$437,'TAR FIN'!$A$1:$O$86,15,0))</f>
        <v>0</v>
      </c>
      <c r="X437" s="97">
        <f>IF(ISERROR(VLOOKUP($U$437,'TAR FIN'!$A$1:$O$86,15,0)),0,VLOOKUP($U$437,'TAR FIN'!$A$1:$O$86,15,0))</f>
        <v>0</v>
      </c>
      <c r="Y437" s="97">
        <f ca="1">('TUSD BE'!$AM$11+'TUSD BF_350'!$AM$11+'TUSD CVA'!$AM$11)*1*(1-0.02)</f>
        <v>14.889098762306169</v>
      </c>
      <c r="Z437" s="97"/>
      <c r="AA437" s="97"/>
      <c r="AB437" s="6">
        <f>$K$437*$V$437</f>
        <v>8182.3871999999992</v>
      </c>
      <c r="AC437" s="6">
        <f>$M$437*$W$437</f>
        <v>0</v>
      </c>
      <c r="AD437" s="6">
        <f>$O$437*$X$437</f>
        <v>0</v>
      </c>
      <c r="AE437" s="6">
        <f ca="1">$K$437*$Y$437</f>
        <v>6595.8707517016328</v>
      </c>
      <c r="AF437" s="6">
        <f>$M$437*$Z$437</f>
        <v>0</v>
      </c>
      <c r="AG437" s="6">
        <f>$O$437*$AA$437</f>
        <v>0</v>
      </c>
    </row>
    <row r="438" spans="1:33" ht="11.25" customHeight="1" x14ac:dyDescent="0.25">
      <c r="A438" s="4" t="s">
        <v>55</v>
      </c>
      <c r="B438" s="4" t="s">
        <v>38</v>
      </c>
      <c r="C438" s="4" t="s">
        <v>40</v>
      </c>
      <c r="D438" s="4" t="s">
        <v>43</v>
      </c>
      <c r="E438" s="4" t="s">
        <v>51</v>
      </c>
      <c r="F438" s="4" t="s">
        <v>25</v>
      </c>
      <c r="G438" s="4" t="s">
        <v>25</v>
      </c>
      <c r="H438" s="4" t="s">
        <v>25</v>
      </c>
      <c r="I438" s="5">
        <v>44652</v>
      </c>
      <c r="J438" s="6">
        <v>30</v>
      </c>
      <c r="K438" s="97">
        <v>30</v>
      </c>
      <c r="L438" s="6">
        <v>0</v>
      </c>
      <c r="M438" s="97">
        <v>0</v>
      </c>
      <c r="N438" s="6">
        <v>0</v>
      </c>
      <c r="O438" s="97">
        <v>0</v>
      </c>
      <c r="P438" s="6">
        <v>1</v>
      </c>
      <c r="Q438" s="4" t="s">
        <v>26</v>
      </c>
      <c r="R438" s="4">
        <v>0</v>
      </c>
      <c r="S438" s="6">
        <v>18</v>
      </c>
      <c r="T438" s="6">
        <v>0</v>
      </c>
      <c r="U438" s="6">
        <v>0</v>
      </c>
      <c r="V438" s="97">
        <f>IF(ISERROR(VLOOKUP($S$438,'TAR FIN'!$A$1:$O$86,15,0)),0,VLOOKUP($S$438,'TAR FIN'!$A$1:$O$86,15,0))*(1-0.04)</f>
        <v>18.470399999999998</v>
      </c>
      <c r="W438" s="97">
        <f>IF(ISERROR(VLOOKUP($T$438,'TAR FIN'!$A$1:$O$86,15,0)),0,VLOOKUP($T$438,'TAR FIN'!$A$1:$O$86,15,0))</f>
        <v>0</v>
      </c>
      <c r="X438" s="97">
        <f>IF(ISERROR(VLOOKUP($U$438,'TAR FIN'!$A$1:$O$86,15,0)),0,VLOOKUP($U$438,'TAR FIN'!$A$1:$O$86,15,0))</f>
        <v>0</v>
      </c>
      <c r="Y438" s="97">
        <f ca="1">('TUSD BE'!$AM$11+'TUSD BF_350'!$AM$11+'TUSD CVA'!$AM$11)*1*(1-0.02)</f>
        <v>14.889098762306169</v>
      </c>
      <c r="Z438" s="97"/>
      <c r="AA438" s="97"/>
      <c r="AB438" s="6">
        <f>$K$438*$V$438</f>
        <v>554.11199999999997</v>
      </c>
      <c r="AC438" s="6">
        <f>$M$438*$W$438</f>
        <v>0</v>
      </c>
      <c r="AD438" s="6">
        <f>$O$438*$X$438</f>
        <v>0</v>
      </c>
      <c r="AE438" s="6">
        <f ca="1">$K$438*$Y$438</f>
        <v>446.67296286918508</v>
      </c>
      <c r="AF438" s="6">
        <f>$M$438*$Z$438</f>
        <v>0</v>
      </c>
      <c r="AG438" s="6">
        <f>$O$438*$AA$438</f>
        <v>0</v>
      </c>
    </row>
    <row r="439" spans="1:33" ht="11.25" customHeight="1" x14ac:dyDescent="0.25">
      <c r="A439" s="4" t="s">
        <v>21</v>
      </c>
      <c r="B439" s="4" t="s">
        <v>38</v>
      </c>
      <c r="C439" s="4" t="s">
        <v>40</v>
      </c>
      <c r="D439" s="4" t="s">
        <v>43</v>
      </c>
      <c r="E439" s="4" t="s">
        <v>51</v>
      </c>
      <c r="F439" s="4" t="s">
        <v>25</v>
      </c>
      <c r="G439" s="4" t="s">
        <v>25</v>
      </c>
      <c r="H439" s="4" t="s">
        <v>25</v>
      </c>
      <c r="I439" s="5">
        <v>44682</v>
      </c>
      <c r="J439" s="6">
        <v>642</v>
      </c>
      <c r="K439" s="97">
        <v>642</v>
      </c>
      <c r="L439" s="6">
        <v>0</v>
      </c>
      <c r="M439" s="97">
        <v>0</v>
      </c>
      <c r="N439" s="6">
        <v>0</v>
      </c>
      <c r="O439" s="97">
        <v>0</v>
      </c>
      <c r="P439" s="6">
        <v>8</v>
      </c>
      <c r="Q439" s="4" t="s">
        <v>26</v>
      </c>
      <c r="R439" s="4">
        <v>0</v>
      </c>
      <c r="S439" s="6">
        <v>18</v>
      </c>
      <c r="T439" s="6">
        <v>0</v>
      </c>
      <c r="U439" s="6">
        <v>0</v>
      </c>
      <c r="V439" s="97">
        <f>IF(ISERROR(VLOOKUP($S$439,'TAR FIN'!$A$1:$O$86,15,0)),0,VLOOKUP($S$439,'TAR FIN'!$A$1:$O$86,15,0))*(1-0.04)</f>
        <v>18.470399999999998</v>
      </c>
      <c r="W439" s="97">
        <f>IF(ISERROR(VLOOKUP($T$439,'TAR FIN'!$A$1:$O$86,15,0)),0,VLOOKUP($T$439,'TAR FIN'!$A$1:$O$86,15,0))</f>
        <v>0</v>
      </c>
      <c r="X439" s="97">
        <f>IF(ISERROR(VLOOKUP($U$439,'TAR FIN'!$A$1:$O$86,15,0)),0,VLOOKUP($U$439,'TAR FIN'!$A$1:$O$86,15,0))</f>
        <v>0</v>
      </c>
      <c r="Y439" s="97">
        <f ca="1">('TUSD BE'!$AM$11+'TUSD BF_350'!$AM$11+'TUSD CVA'!$AM$11)*1*(1-0.02)</f>
        <v>14.889098762306169</v>
      </c>
      <c r="Z439" s="97"/>
      <c r="AA439" s="97"/>
      <c r="AB439" s="6">
        <f>$K$439*$V$439</f>
        <v>11857.996799999999</v>
      </c>
      <c r="AC439" s="6">
        <f>$M$439*$W$439</f>
        <v>0</v>
      </c>
      <c r="AD439" s="6">
        <f>$O$439*$X$439</f>
        <v>0</v>
      </c>
      <c r="AE439" s="6">
        <f ca="1">$K$439*$Y$439</f>
        <v>9558.8014054005598</v>
      </c>
      <c r="AF439" s="6">
        <f>$M$439*$Z$439</f>
        <v>0</v>
      </c>
      <c r="AG439" s="6">
        <f>$O$439*$AA$439</f>
        <v>0</v>
      </c>
    </row>
    <row r="440" spans="1:33" ht="11.25" customHeight="1" x14ac:dyDescent="0.25">
      <c r="A440" s="4" t="s">
        <v>55</v>
      </c>
      <c r="B440" s="4" t="s">
        <v>38</v>
      </c>
      <c r="C440" s="4" t="s">
        <v>40</v>
      </c>
      <c r="D440" s="4" t="s">
        <v>43</v>
      </c>
      <c r="E440" s="4" t="s">
        <v>51</v>
      </c>
      <c r="F440" s="4" t="s">
        <v>25</v>
      </c>
      <c r="G440" s="4" t="s">
        <v>25</v>
      </c>
      <c r="H440" s="4" t="s">
        <v>25</v>
      </c>
      <c r="I440" s="5">
        <v>44682</v>
      </c>
      <c r="J440" s="6">
        <v>26</v>
      </c>
      <c r="K440" s="97">
        <v>26</v>
      </c>
      <c r="L440" s="6">
        <v>0</v>
      </c>
      <c r="M440" s="97">
        <v>0</v>
      </c>
      <c r="N440" s="6">
        <v>0</v>
      </c>
      <c r="O440" s="97">
        <v>0</v>
      </c>
      <c r="P440" s="6">
        <v>1</v>
      </c>
      <c r="Q440" s="4" t="s">
        <v>26</v>
      </c>
      <c r="R440" s="4">
        <v>0</v>
      </c>
      <c r="S440" s="6">
        <v>18</v>
      </c>
      <c r="T440" s="6">
        <v>0</v>
      </c>
      <c r="U440" s="6">
        <v>0</v>
      </c>
      <c r="V440" s="97">
        <f>IF(ISERROR(VLOOKUP($S$440,'TAR FIN'!$A$1:$O$86,15,0)),0,VLOOKUP($S$440,'TAR FIN'!$A$1:$O$86,15,0))*(1-0.04)</f>
        <v>18.470399999999998</v>
      </c>
      <c r="W440" s="97">
        <f>IF(ISERROR(VLOOKUP($T$440,'TAR FIN'!$A$1:$O$86,15,0)),0,VLOOKUP($T$440,'TAR FIN'!$A$1:$O$86,15,0))</f>
        <v>0</v>
      </c>
      <c r="X440" s="97">
        <f>IF(ISERROR(VLOOKUP($U$440,'TAR FIN'!$A$1:$O$86,15,0)),0,VLOOKUP($U$440,'TAR FIN'!$A$1:$O$86,15,0))</f>
        <v>0</v>
      </c>
      <c r="Y440" s="97">
        <f ca="1">('TUSD BE'!$AM$11+'TUSD BF_350'!$AM$11+'TUSD CVA'!$AM$11)*1*(1-0.02)</f>
        <v>14.889098762306169</v>
      </c>
      <c r="Z440" s="97"/>
      <c r="AA440" s="97"/>
      <c r="AB440" s="6">
        <f>$K$440*$V$440</f>
        <v>480.23039999999992</v>
      </c>
      <c r="AC440" s="6">
        <f>$M$440*$W$440</f>
        <v>0</v>
      </c>
      <c r="AD440" s="6">
        <f>$O$440*$X$440</f>
        <v>0</v>
      </c>
      <c r="AE440" s="6">
        <f ca="1">$K$440*$Y$440</f>
        <v>387.11656781996038</v>
      </c>
      <c r="AF440" s="6">
        <f>$M$440*$Z$440</f>
        <v>0</v>
      </c>
      <c r="AG440" s="6">
        <f>$O$440*$AA$440</f>
        <v>0</v>
      </c>
    </row>
    <row r="441" spans="1:33" ht="11.25" customHeight="1" x14ac:dyDescent="0.25">
      <c r="A441" s="4" t="s">
        <v>56</v>
      </c>
      <c r="B441" s="4" t="s">
        <v>38</v>
      </c>
      <c r="C441" s="4" t="s">
        <v>40</v>
      </c>
      <c r="D441" s="4" t="s">
        <v>43</v>
      </c>
      <c r="E441" s="4" t="s">
        <v>51</v>
      </c>
      <c r="F441" s="4" t="s">
        <v>25</v>
      </c>
      <c r="G441" s="4" t="s">
        <v>25</v>
      </c>
      <c r="H441" s="4" t="s">
        <v>25</v>
      </c>
      <c r="I441" s="5">
        <v>44713</v>
      </c>
      <c r="J441" s="6">
        <v>642</v>
      </c>
      <c r="K441" s="97">
        <v>642</v>
      </c>
      <c r="L441" s="6">
        <v>0</v>
      </c>
      <c r="M441" s="97">
        <v>0</v>
      </c>
      <c r="N441" s="6">
        <v>0</v>
      </c>
      <c r="O441" s="97">
        <v>0</v>
      </c>
      <c r="P441" s="6">
        <v>8</v>
      </c>
      <c r="Q441" s="4" t="s">
        <v>26</v>
      </c>
      <c r="R441" s="4">
        <v>0</v>
      </c>
      <c r="S441" s="6">
        <v>18</v>
      </c>
      <c r="T441" s="6">
        <v>0</v>
      </c>
      <c r="U441" s="6">
        <v>0</v>
      </c>
      <c r="V441" s="97">
        <f>IF(ISERROR(VLOOKUP($S$441,'TAR FIN'!$A$1:$O$86,15,0)),0,VLOOKUP($S$441,'TAR FIN'!$A$1:$O$86,15,0))*(1-0.04)</f>
        <v>18.470399999999998</v>
      </c>
      <c r="W441" s="97">
        <f>IF(ISERROR(VLOOKUP($T$441,'TAR FIN'!$A$1:$O$86,15,0)),0,VLOOKUP($T$441,'TAR FIN'!$A$1:$O$86,15,0))</f>
        <v>0</v>
      </c>
      <c r="X441" s="97">
        <f>IF(ISERROR(VLOOKUP($U$441,'TAR FIN'!$A$1:$O$86,15,0)),0,VLOOKUP($U$441,'TAR FIN'!$A$1:$O$86,15,0))</f>
        <v>0</v>
      </c>
      <c r="Y441" s="97">
        <f ca="1">('TUSD BE'!$AM$11+'TUSD BF_350'!$AM$11+'TUSD CVA'!$AM$11)*1*(1-0.02)</f>
        <v>14.889098762306169</v>
      </c>
      <c r="Z441" s="97"/>
      <c r="AA441" s="97"/>
      <c r="AB441" s="6">
        <f>$K$441*$V$441</f>
        <v>11857.996799999999</v>
      </c>
      <c r="AC441" s="6">
        <f>$M$441*$W$441</f>
        <v>0</v>
      </c>
      <c r="AD441" s="6">
        <f>$O$441*$X$441</f>
        <v>0</v>
      </c>
      <c r="AE441" s="6">
        <f ca="1">$K$441*$Y$441</f>
        <v>9558.8014054005598</v>
      </c>
      <c r="AF441" s="6">
        <f>$M$441*$Z$441</f>
        <v>0</v>
      </c>
      <c r="AG441" s="6">
        <f>$O$441*$AA$441</f>
        <v>0</v>
      </c>
    </row>
    <row r="442" spans="1:33" ht="11.25" customHeight="1" x14ac:dyDescent="0.25">
      <c r="A442" s="4" t="s">
        <v>56</v>
      </c>
      <c r="B442" s="4" t="s">
        <v>38</v>
      </c>
      <c r="C442" s="4" t="s">
        <v>40</v>
      </c>
      <c r="D442" s="4" t="s">
        <v>43</v>
      </c>
      <c r="E442" s="4" t="s">
        <v>51</v>
      </c>
      <c r="F442" s="4" t="s">
        <v>25</v>
      </c>
      <c r="G442" s="4" t="s">
        <v>25</v>
      </c>
      <c r="H442" s="4" t="s">
        <v>25</v>
      </c>
      <c r="I442" s="5">
        <v>44713</v>
      </c>
      <c r="J442" s="6">
        <v>26</v>
      </c>
      <c r="K442" s="97">
        <v>26</v>
      </c>
      <c r="L442" s="6">
        <v>0</v>
      </c>
      <c r="M442" s="97">
        <v>0</v>
      </c>
      <c r="N442" s="6">
        <v>0</v>
      </c>
      <c r="O442" s="97">
        <v>0</v>
      </c>
      <c r="P442" s="6">
        <v>1</v>
      </c>
      <c r="Q442" s="4" t="s">
        <v>26</v>
      </c>
      <c r="R442" s="4">
        <v>0</v>
      </c>
      <c r="S442" s="6">
        <v>18</v>
      </c>
      <c r="T442" s="6">
        <v>0</v>
      </c>
      <c r="U442" s="6">
        <v>0</v>
      </c>
      <c r="V442" s="97">
        <f>IF(ISERROR(VLOOKUP($S$442,'TAR FIN'!$A$1:$O$86,15,0)),0,VLOOKUP($S$442,'TAR FIN'!$A$1:$O$86,15,0))*(1-0.04)</f>
        <v>18.470399999999998</v>
      </c>
      <c r="W442" s="97">
        <f>IF(ISERROR(VLOOKUP($T$442,'TAR FIN'!$A$1:$O$86,15,0)),0,VLOOKUP($T$442,'TAR FIN'!$A$1:$O$86,15,0))</f>
        <v>0</v>
      </c>
      <c r="X442" s="97">
        <f>IF(ISERROR(VLOOKUP($U$442,'TAR FIN'!$A$1:$O$86,15,0)),0,VLOOKUP($U$442,'TAR FIN'!$A$1:$O$86,15,0))</f>
        <v>0</v>
      </c>
      <c r="Y442" s="97">
        <f ca="1">('TUSD BE'!$AM$11+'TUSD BF_350'!$AM$11+'TUSD CVA'!$AM$11)*1*(1-0.02)</f>
        <v>14.889098762306169</v>
      </c>
      <c r="Z442" s="97"/>
      <c r="AA442" s="97"/>
      <c r="AB442" s="6">
        <f>$K$442*$V$442</f>
        <v>480.23039999999992</v>
      </c>
      <c r="AC442" s="6">
        <f>$M$442*$W$442</f>
        <v>0</v>
      </c>
      <c r="AD442" s="6">
        <f>$O$442*$X$442</f>
        <v>0</v>
      </c>
      <c r="AE442" s="6">
        <f ca="1">$K$442*$Y$442</f>
        <v>387.11656781996038</v>
      </c>
      <c r="AF442" s="6">
        <f>$M$442*$Z$442</f>
        <v>0</v>
      </c>
      <c r="AG442" s="6">
        <f>$O$442*$AA$442</f>
        <v>0</v>
      </c>
    </row>
    <row r="443" spans="1:33" ht="11.25" customHeight="1" x14ac:dyDescent="0.25">
      <c r="A443" s="4" t="s">
        <v>21</v>
      </c>
      <c r="B443" s="4" t="s">
        <v>38</v>
      </c>
      <c r="C443" s="4" t="s">
        <v>40</v>
      </c>
      <c r="D443" s="4" t="s">
        <v>43</v>
      </c>
      <c r="E443" s="4" t="s">
        <v>51</v>
      </c>
      <c r="F443" s="4" t="s">
        <v>25</v>
      </c>
      <c r="G443" s="4" t="s">
        <v>25</v>
      </c>
      <c r="H443" s="4" t="s">
        <v>33</v>
      </c>
      <c r="I443" s="5">
        <v>44378</v>
      </c>
      <c r="J443" s="6">
        <v>0</v>
      </c>
      <c r="K443" s="97">
        <v>0</v>
      </c>
      <c r="L443" s="6">
        <v>1.4430000000000001</v>
      </c>
      <c r="M443" s="97">
        <v>1.4430000000000001</v>
      </c>
      <c r="N443" s="6">
        <v>1.4430000000000001</v>
      </c>
      <c r="O443" s="97">
        <v>1.4430000000000001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16</v>
      </c>
      <c r="U443" s="6">
        <v>47</v>
      </c>
      <c r="V443" s="97">
        <f>IF(ISERROR(VLOOKUP($S$443,'TAR FIN'!$A$1:$O$86,15,0)),0,VLOOKUP($S$443,'TAR FIN'!$A$1:$O$86,15,0))</f>
        <v>0</v>
      </c>
      <c r="W443" s="97">
        <f>IF(ISERROR(VLOOKUP($T$443,'TAR FIN'!$A$1:$O$86,15,0)),0,VLOOKUP($T$443,'TAR FIN'!$A$1:$O$86,15,0))*(1-0.04)</f>
        <v>1276.4832000000001</v>
      </c>
      <c r="X443" s="97">
        <f>IF(ISERROR(VLOOKUP($U$443,'TAR FIN'!$A$1:$O$86,15,0)),0,VLOOKUP($U$443,'TAR FIN'!$A$1:$O$86,15,0))*(1-0.04)</f>
        <v>373.64159999999998</v>
      </c>
      <c r="Y443" s="97"/>
      <c r="Z443" s="97">
        <f ca="1">('TUSD BE'!$AM$12+'TUSD BF_350'!$AM$12+'TUSD CVA'!$AM$12)*1*(1-0.02)</f>
        <v>1052.8740579870318</v>
      </c>
      <c r="AA443" s="97">
        <f ca="1">('TE BE'!$AB$5+'TE BF_350'!$AB$5+'TE CVA'!$AB$5)*1*(1-0.02)</f>
        <v>346.47998010024565</v>
      </c>
      <c r="AB443" s="6">
        <f>$K$443*$V$443</f>
        <v>0</v>
      </c>
      <c r="AC443" s="6">
        <f>$M$443*$W$443</f>
        <v>1841.9652576000003</v>
      </c>
      <c r="AD443" s="6">
        <f>$O$443*$X$443</f>
        <v>539.16482880000001</v>
      </c>
      <c r="AE443" s="6">
        <f>$K$443*$Y$443</f>
        <v>0</v>
      </c>
      <c r="AF443" s="6">
        <f ca="1">$M$443*$Z$443</f>
        <v>1519.297265675287</v>
      </c>
      <c r="AG443" s="6">
        <f ca="1">$O$443*$AA$443</f>
        <v>499.97061128465452</v>
      </c>
    </row>
    <row r="444" spans="1:33" ht="11.25" customHeight="1" x14ac:dyDescent="0.25">
      <c r="A444" s="4" t="s">
        <v>21</v>
      </c>
      <c r="B444" s="4" t="s">
        <v>38</v>
      </c>
      <c r="C444" s="4" t="s">
        <v>40</v>
      </c>
      <c r="D444" s="4" t="s">
        <v>43</v>
      </c>
      <c r="E444" s="4" t="s">
        <v>51</v>
      </c>
      <c r="F444" s="4" t="s">
        <v>25</v>
      </c>
      <c r="G444" s="4" t="s">
        <v>25</v>
      </c>
      <c r="H444" s="4" t="s">
        <v>33</v>
      </c>
      <c r="I444" s="5">
        <v>44409</v>
      </c>
      <c r="J444" s="6">
        <v>0</v>
      </c>
      <c r="K444" s="97">
        <v>0</v>
      </c>
      <c r="L444" s="6">
        <v>1.7410000000000001</v>
      </c>
      <c r="M444" s="97">
        <v>1.7410000000000001</v>
      </c>
      <c r="N444" s="6">
        <v>1.7410000000000001</v>
      </c>
      <c r="O444" s="97">
        <v>1.7410000000000001</v>
      </c>
      <c r="P444" s="6">
        <v>0</v>
      </c>
      <c r="Q444" s="4" t="s">
        <v>26</v>
      </c>
      <c r="R444" s="4">
        <v>0</v>
      </c>
      <c r="S444" s="6">
        <v>0</v>
      </c>
      <c r="T444" s="6">
        <v>16</v>
      </c>
      <c r="U444" s="6">
        <v>47</v>
      </c>
      <c r="V444" s="97">
        <f>IF(ISERROR(VLOOKUP($S$444,'TAR FIN'!$A$1:$O$86,15,0)),0,VLOOKUP($S$444,'TAR FIN'!$A$1:$O$86,15,0))</f>
        <v>0</v>
      </c>
      <c r="W444" s="97">
        <f>IF(ISERROR(VLOOKUP($T$444,'TAR FIN'!$A$1:$O$86,15,0)),0,VLOOKUP($T$444,'TAR FIN'!$A$1:$O$86,15,0))*(1-0.04)</f>
        <v>1276.4832000000001</v>
      </c>
      <c r="X444" s="97">
        <f>IF(ISERROR(VLOOKUP($U$444,'TAR FIN'!$A$1:$O$86,15,0)),0,VLOOKUP($U$444,'TAR FIN'!$A$1:$O$86,15,0))*(1-0.04)</f>
        <v>373.64159999999998</v>
      </c>
      <c r="Y444" s="97"/>
      <c r="Z444" s="97">
        <f ca="1">('TUSD BE'!$AM$12+'TUSD BF_350'!$AM$12+'TUSD CVA'!$AM$12)*1*(1-0.02)</f>
        <v>1052.8740579870318</v>
      </c>
      <c r="AA444" s="97">
        <f ca="1">('TE BE'!$AB$5+'TE BF_350'!$AB$5+'TE CVA'!$AB$5)*1*(1-0.02)</f>
        <v>346.47998010024565</v>
      </c>
      <c r="AB444" s="6">
        <f>$K$444*$V$444</f>
        <v>0</v>
      </c>
      <c r="AC444" s="6">
        <f>$M$444*$W$444</f>
        <v>2222.3572512000005</v>
      </c>
      <c r="AD444" s="6">
        <f>$O$444*$X$444</f>
        <v>650.51002560000006</v>
      </c>
      <c r="AE444" s="6">
        <f>$K$444*$Y$444</f>
        <v>0</v>
      </c>
      <c r="AF444" s="6">
        <f ca="1">$M$444*$Z$444</f>
        <v>1833.0537349554224</v>
      </c>
      <c r="AG444" s="6">
        <f ca="1">$O$444*$AA$444</f>
        <v>603.22164535452771</v>
      </c>
    </row>
    <row r="445" spans="1:33" ht="11.25" customHeight="1" x14ac:dyDescent="0.25">
      <c r="A445" s="4" t="s">
        <v>55</v>
      </c>
      <c r="B445" s="4" t="s">
        <v>38</v>
      </c>
      <c r="C445" s="4" t="s">
        <v>40</v>
      </c>
      <c r="D445" s="4" t="s">
        <v>43</v>
      </c>
      <c r="E445" s="4" t="s">
        <v>51</v>
      </c>
      <c r="F445" s="4" t="s">
        <v>25</v>
      </c>
      <c r="G445" s="4" t="s">
        <v>25</v>
      </c>
      <c r="H445" s="4" t="s">
        <v>33</v>
      </c>
      <c r="I445" s="5">
        <v>44409</v>
      </c>
      <c r="J445" s="6">
        <v>0</v>
      </c>
      <c r="K445" s="97">
        <v>0</v>
      </c>
      <c r="L445" s="6">
        <v>7.6999999999999999E-2</v>
      </c>
      <c r="M445" s="97">
        <v>7.6999999999999999E-2</v>
      </c>
      <c r="N445" s="6">
        <v>7.6999999999999999E-2</v>
      </c>
      <c r="O445" s="97">
        <v>7.6999999999999999E-2</v>
      </c>
      <c r="P445" s="6">
        <v>0</v>
      </c>
      <c r="Q445" s="4" t="s">
        <v>26</v>
      </c>
      <c r="R445" s="4">
        <v>0</v>
      </c>
      <c r="S445" s="6">
        <v>0</v>
      </c>
      <c r="T445" s="6">
        <v>16</v>
      </c>
      <c r="U445" s="6">
        <v>47</v>
      </c>
      <c r="V445" s="97">
        <f>IF(ISERROR(VLOOKUP($S$445,'TAR FIN'!$A$1:$O$86,15,0)),0,VLOOKUP($S$445,'TAR FIN'!$A$1:$O$86,15,0))</f>
        <v>0</v>
      </c>
      <c r="W445" s="97">
        <f>IF(ISERROR(VLOOKUP($T$445,'TAR FIN'!$A$1:$O$86,15,0)),0,VLOOKUP($T$445,'TAR FIN'!$A$1:$O$86,15,0))*(1-0.04)</f>
        <v>1276.4832000000001</v>
      </c>
      <c r="X445" s="97">
        <f>IF(ISERROR(VLOOKUP($U$445,'TAR FIN'!$A$1:$O$86,15,0)),0,VLOOKUP($U$445,'TAR FIN'!$A$1:$O$86,15,0))*(1-0.04)</f>
        <v>373.64159999999998</v>
      </c>
      <c r="Y445" s="97"/>
      <c r="Z445" s="97">
        <f ca="1">('TUSD BE'!$AM$12+'TUSD BF_350'!$AM$12+'TUSD CVA'!$AM$12)*1*(1-0.02)</f>
        <v>1052.8740579870318</v>
      </c>
      <c r="AA445" s="97">
        <f ca="1">('TE BE'!$AB$5+'TE BF_350'!$AB$5+'TE CVA'!$AB$5)*1*(1-0.02)</f>
        <v>346.47998010024565</v>
      </c>
      <c r="AB445" s="6">
        <f>$K$445*$V$445</f>
        <v>0</v>
      </c>
      <c r="AC445" s="6">
        <f>$M$445*$W$445</f>
        <v>98.289206400000012</v>
      </c>
      <c r="AD445" s="6">
        <f>$O$445*$X$445</f>
        <v>28.770403199999997</v>
      </c>
      <c r="AE445" s="6">
        <f>$K$445*$Y$445</f>
        <v>0</v>
      </c>
      <c r="AF445" s="6">
        <f ca="1">$M$445*$Z$445</f>
        <v>81.071302465001452</v>
      </c>
      <c r="AG445" s="6">
        <f ca="1">$O$445*$AA$445</f>
        <v>26.678958467718914</v>
      </c>
    </row>
    <row r="446" spans="1:33" ht="11.25" customHeight="1" x14ac:dyDescent="0.25">
      <c r="A446" s="4" t="s">
        <v>21</v>
      </c>
      <c r="B446" s="4" t="s">
        <v>38</v>
      </c>
      <c r="C446" s="4" t="s">
        <v>40</v>
      </c>
      <c r="D446" s="4" t="s">
        <v>43</v>
      </c>
      <c r="E446" s="4" t="s">
        <v>51</v>
      </c>
      <c r="F446" s="4" t="s">
        <v>25</v>
      </c>
      <c r="G446" s="4" t="s">
        <v>25</v>
      </c>
      <c r="H446" s="4" t="s">
        <v>33</v>
      </c>
      <c r="I446" s="5">
        <v>44440</v>
      </c>
      <c r="J446" s="6">
        <v>0</v>
      </c>
      <c r="K446" s="97">
        <v>0</v>
      </c>
      <c r="L446" s="6">
        <v>1.625</v>
      </c>
      <c r="M446" s="97">
        <v>1.625</v>
      </c>
      <c r="N446" s="6">
        <v>1.625</v>
      </c>
      <c r="O446" s="97">
        <v>1.625</v>
      </c>
      <c r="P446" s="6">
        <v>0</v>
      </c>
      <c r="Q446" s="4" t="s">
        <v>26</v>
      </c>
      <c r="R446" s="4">
        <v>0</v>
      </c>
      <c r="S446" s="6">
        <v>0</v>
      </c>
      <c r="T446" s="6">
        <v>16</v>
      </c>
      <c r="U446" s="6">
        <v>47</v>
      </c>
      <c r="V446" s="97">
        <f>IF(ISERROR(VLOOKUP($S$446,'TAR FIN'!$A$1:$O$86,15,0)),0,VLOOKUP($S$446,'TAR FIN'!$A$1:$O$86,15,0))</f>
        <v>0</v>
      </c>
      <c r="W446" s="97">
        <f>IF(ISERROR(VLOOKUP($T$446,'TAR FIN'!$A$1:$O$86,15,0)),0,VLOOKUP($T$446,'TAR FIN'!$A$1:$O$86,15,0))*(1-0.04)</f>
        <v>1276.4832000000001</v>
      </c>
      <c r="X446" s="97">
        <f>IF(ISERROR(VLOOKUP($U$446,'TAR FIN'!$A$1:$O$86,15,0)),0,VLOOKUP($U$446,'TAR FIN'!$A$1:$O$86,15,0))*(1-0.04)</f>
        <v>373.64159999999998</v>
      </c>
      <c r="Y446" s="97"/>
      <c r="Z446" s="97">
        <f ca="1">('TUSD BE'!$AM$12+'TUSD BF_350'!$AM$12+'TUSD CVA'!$AM$12)*1*(1-0.02)</f>
        <v>1052.8740579870318</v>
      </c>
      <c r="AA446" s="97">
        <f ca="1">('TE BE'!$AB$5+'TE BF_350'!$AB$5+'TE CVA'!$AB$5)*1*(1-0.02)</f>
        <v>346.47998010024565</v>
      </c>
      <c r="AB446" s="6">
        <f>$K$446*$V$446</f>
        <v>0</v>
      </c>
      <c r="AC446" s="6">
        <f>$M$446*$W$446</f>
        <v>2074.2852000000003</v>
      </c>
      <c r="AD446" s="6">
        <f>$O$446*$X$446</f>
        <v>607.16759999999999</v>
      </c>
      <c r="AE446" s="6">
        <f>$K$446*$Y$446</f>
        <v>0</v>
      </c>
      <c r="AF446" s="6">
        <f ca="1">$M$446*$Z$446</f>
        <v>1710.9203442289268</v>
      </c>
      <c r="AG446" s="6">
        <f ca="1">$O$446*$AA$446</f>
        <v>563.02996766289914</v>
      </c>
    </row>
    <row r="447" spans="1:33" ht="11.25" customHeight="1" x14ac:dyDescent="0.25">
      <c r="A447" s="4" t="s">
        <v>55</v>
      </c>
      <c r="B447" s="4" t="s">
        <v>38</v>
      </c>
      <c r="C447" s="4" t="s">
        <v>40</v>
      </c>
      <c r="D447" s="4" t="s">
        <v>43</v>
      </c>
      <c r="E447" s="4" t="s">
        <v>51</v>
      </c>
      <c r="F447" s="4" t="s">
        <v>25</v>
      </c>
      <c r="G447" s="4" t="s">
        <v>25</v>
      </c>
      <c r="H447" s="4" t="s">
        <v>33</v>
      </c>
      <c r="I447" s="5">
        <v>44440</v>
      </c>
      <c r="J447" s="6">
        <v>0</v>
      </c>
      <c r="K447" s="97">
        <v>0</v>
      </c>
      <c r="L447" s="6">
        <v>0.16700000000000001</v>
      </c>
      <c r="M447" s="97">
        <v>0.16700000000000001</v>
      </c>
      <c r="N447" s="6">
        <v>0.16700000000000001</v>
      </c>
      <c r="O447" s="97">
        <v>0.16700000000000001</v>
      </c>
      <c r="P447" s="6">
        <v>0</v>
      </c>
      <c r="Q447" s="4" t="s">
        <v>26</v>
      </c>
      <c r="R447" s="4">
        <v>0</v>
      </c>
      <c r="S447" s="6">
        <v>0</v>
      </c>
      <c r="T447" s="6">
        <v>16</v>
      </c>
      <c r="U447" s="6">
        <v>47</v>
      </c>
      <c r="V447" s="97">
        <f>IF(ISERROR(VLOOKUP($S$447,'TAR FIN'!$A$1:$O$86,15,0)),0,VLOOKUP($S$447,'TAR FIN'!$A$1:$O$86,15,0))</f>
        <v>0</v>
      </c>
      <c r="W447" s="97">
        <f>IF(ISERROR(VLOOKUP($T$447,'TAR FIN'!$A$1:$O$86,15,0)),0,VLOOKUP($T$447,'TAR FIN'!$A$1:$O$86,15,0))*(1-0.04)</f>
        <v>1276.4832000000001</v>
      </c>
      <c r="X447" s="97">
        <f>IF(ISERROR(VLOOKUP($U$447,'TAR FIN'!$A$1:$O$86,15,0)),0,VLOOKUP($U$447,'TAR FIN'!$A$1:$O$86,15,0))*(1-0.04)</f>
        <v>373.64159999999998</v>
      </c>
      <c r="Y447" s="97"/>
      <c r="Z447" s="97">
        <f ca="1">('TUSD BE'!$AM$12+'TUSD BF_350'!$AM$12+'TUSD CVA'!$AM$12)*1*(1-0.02)</f>
        <v>1052.8740579870318</v>
      </c>
      <c r="AA447" s="97">
        <f ca="1">('TE BE'!$AB$5+'TE BF_350'!$AB$5+'TE CVA'!$AB$5)*1*(1-0.02)</f>
        <v>346.47998010024565</v>
      </c>
      <c r="AB447" s="6">
        <f>$K$447*$V$447</f>
        <v>0</v>
      </c>
      <c r="AC447" s="6">
        <f>$M$447*$W$447</f>
        <v>213.17269440000004</v>
      </c>
      <c r="AD447" s="6">
        <f>$O$447*$X$447</f>
        <v>62.398147200000004</v>
      </c>
      <c r="AE447" s="6">
        <f>$K$447*$Y$447</f>
        <v>0</v>
      </c>
      <c r="AF447" s="6">
        <f ca="1">$M$447*$Z$447</f>
        <v>175.82996768383433</v>
      </c>
      <c r="AG447" s="6">
        <f ca="1">$O$447*$AA$447</f>
        <v>57.86215667674103</v>
      </c>
    </row>
    <row r="448" spans="1:33" ht="11.25" customHeight="1" x14ac:dyDescent="0.25">
      <c r="A448" s="4" t="s">
        <v>21</v>
      </c>
      <c r="B448" s="4" t="s">
        <v>38</v>
      </c>
      <c r="C448" s="4" t="s">
        <v>40</v>
      </c>
      <c r="D448" s="4" t="s">
        <v>43</v>
      </c>
      <c r="E448" s="4" t="s">
        <v>51</v>
      </c>
      <c r="F448" s="4" t="s">
        <v>25</v>
      </c>
      <c r="G448" s="4" t="s">
        <v>25</v>
      </c>
      <c r="H448" s="4" t="s">
        <v>33</v>
      </c>
      <c r="I448" s="5">
        <v>44470</v>
      </c>
      <c r="J448" s="6">
        <v>0</v>
      </c>
      <c r="K448" s="97">
        <v>0</v>
      </c>
      <c r="L448" s="6">
        <v>1.6020000000000001</v>
      </c>
      <c r="M448" s="97">
        <v>1.6020000000000001</v>
      </c>
      <c r="N448" s="6">
        <v>1.6020000000000001</v>
      </c>
      <c r="O448" s="97">
        <v>1.6020000000000001</v>
      </c>
      <c r="P448" s="6">
        <v>0</v>
      </c>
      <c r="Q448" s="4" t="s">
        <v>26</v>
      </c>
      <c r="R448" s="4">
        <v>0</v>
      </c>
      <c r="S448" s="6">
        <v>0</v>
      </c>
      <c r="T448" s="6">
        <v>16</v>
      </c>
      <c r="U448" s="6">
        <v>47</v>
      </c>
      <c r="V448" s="97">
        <f>IF(ISERROR(VLOOKUP($S$448,'TAR FIN'!$A$1:$O$86,15,0)),0,VLOOKUP($S$448,'TAR FIN'!$A$1:$O$86,15,0))</f>
        <v>0</v>
      </c>
      <c r="W448" s="97">
        <f>IF(ISERROR(VLOOKUP($T$448,'TAR FIN'!$A$1:$O$86,15,0)),0,VLOOKUP($T$448,'TAR FIN'!$A$1:$O$86,15,0))*(1-0.04)</f>
        <v>1276.4832000000001</v>
      </c>
      <c r="X448" s="97">
        <f>IF(ISERROR(VLOOKUP($U$448,'TAR FIN'!$A$1:$O$86,15,0)),0,VLOOKUP($U$448,'TAR FIN'!$A$1:$O$86,15,0))*(1-0.04)</f>
        <v>373.64159999999998</v>
      </c>
      <c r="Y448" s="97"/>
      <c r="Z448" s="97">
        <f ca="1">('TUSD BE'!$AM$12+'TUSD BF_350'!$AM$12+'TUSD CVA'!$AM$12)*1*(1-0.02)</f>
        <v>1052.8740579870318</v>
      </c>
      <c r="AA448" s="97">
        <f ca="1">('TE BE'!$AB$5+'TE BF_350'!$AB$5+'TE CVA'!$AB$5)*1*(1-0.02)</f>
        <v>346.47998010024565</v>
      </c>
      <c r="AB448" s="6">
        <f>$K$448*$V$448</f>
        <v>0</v>
      </c>
      <c r="AC448" s="6">
        <f>$M$448*$W$448</f>
        <v>2044.9260864000003</v>
      </c>
      <c r="AD448" s="6">
        <f>$O$448*$X$448</f>
        <v>598.57384320000006</v>
      </c>
      <c r="AE448" s="6">
        <f>$K$448*$Y$448</f>
        <v>0</v>
      </c>
      <c r="AF448" s="6">
        <f ca="1">$M$448*$Z$448</f>
        <v>1686.7042408952252</v>
      </c>
      <c r="AG448" s="6">
        <f ca="1">$O$448*$AA$448</f>
        <v>555.06092812059353</v>
      </c>
    </row>
    <row r="449" spans="1:33" ht="11.25" customHeight="1" x14ac:dyDescent="0.25">
      <c r="A449" s="4" t="s">
        <v>55</v>
      </c>
      <c r="B449" s="4" t="s">
        <v>38</v>
      </c>
      <c r="C449" s="4" t="s">
        <v>40</v>
      </c>
      <c r="D449" s="4" t="s">
        <v>43</v>
      </c>
      <c r="E449" s="4" t="s">
        <v>51</v>
      </c>
      <c r="F449" s="4" t="s">
        <v>25</v>
      </c>
      <c r="G449" s="4" t="s">
        <v>25</v>
      </c>
      <c r="H449" s="4" t="s">
        <v>33</v>
      </c>
      <c r="I449" s="5">
        <v>44470</v>
      </c>
      <c r="J449" s="6">
        <v>0</v>
      </c>
      <c r="K449" s="97">
        <v>0</v>
      </c>
      <c r="L449" s="6">
        <v>0.17499999999999999</v>
      </c>
      <c r="M449" s="97">
        <v>0.17499999999999999</v>
      </c>
      <c r="N449" s="6">
        <v>0.17499999999999999</v>
      </c>
      <c r="O449" s="97">
        <v>0.17499999999999999</v>
      </c>
      <c r="P449" s="6">
        <v>0</v>
      </c>
      <c r="Q449" s="4" t="s">
        <v>26</v>
      </c>
      <c r="R449" s="4">
        <v>0</v>
      </c>
      <c r="S449" s="6">
        <v>0</v>
      </c>
      <c r="T449" s="6">
        <v>16</v>
      </c>
      <c r="U449" s="6">
        <v>47</v>
      </c>
      <c r="V449" s="97">
        <f>IF(ISERROR(VLOOKUP($S$449,'TAR FIN'!$A$1:$O$86,15,0)),0,VLOOKUP($S$449,'TAR FIN'!$A$1:$O$86,15,0))</f>
        <v>0</v>
      </c>
      <c r="W449" s="97">
        <f>IF(ISERROR(VLOOKUP($T$449,'TAR FIN'!$A$1:$O$86,15,0)),0,VLOOKUP($T$449,'TAR FIN'!$A$1:$O$86,15,0))*(1-0.04)</f>
        <v>1276.4832000000001</v>
      </c>
      <c r="X449" s="97">
        <f>IF(ISERROR(VLOOKUP($U$449,'TAR FIN'!$A$1:$O$86,15,0)),0,VLOOKUP($U$449,'TAR FIN'!$A$1:$O$86,15,0))*(1-0.04)</f>
        <v>373.64159999999998</v>
      </c>
      <c r="Y449" s="97"/>
      <c r="Z449" s="97">
        <f ca="1">('TUSD BE'!$AM$12+'TUSD BF_350'!$AM$12+'TUSD CVA'!$AM$12)*1*(1-0.02)</f>
        <v>1052.8740579870318</v>
      </c>
      <c r="AA449" s="97">
        <f ca="1">('TE BE'!$AB$5+'TE BF_350'!$AB$5+'TE CVA'!$AB$5)*1*(1-0.02)</f>
        <v>346.47998010024565</v>
      </c>
      <c r="AB449" s="6">
        <f>$K$449*$V$449</f>
        <v>0</v>
      </c>
      <c r="AC449" s="6">
        <f>$M$449*$W$449</f>
        <v>223.38456000000002</v>
      </c>
      <c r="AD449" s="6">
        <f>$O$449*$X$449</f>
        <v>65.38727999999999</v>
      </c>
      <c r="AE449" s="6">
        <f>$K$449*$Y$449</f>
        <v>0</v>
      </c>
      <c r="AF449" s="6">
        <f ca="1">$M$449*$Z$449</f>
        <v>184.25296014773056</v>
      </c>
      <c r="AG449" s="6">
        <f ca="1">$O$449*$AA$449</f>
        <v>60.633996517542982</v>
      </c>
    </row>
    <row r="450" spans="1:33" ht="11.25" customHeight="1" x14ac:dyDescent="0.25">
      <c r="A450" s="4" t="s">
        <v>21</v>
      </c>
      <c r="B450" s="4" t="s">
        <v>38</v>
      </c>
      <c r="C450" s="4" t="s">
        <v>40</v>
      </c>
      <c r="D450" s="4" t="s">
        <v>43</v>
      </c>
      <c r="E450" s="4" t="s">
        <v>51</v>
      </c>
      <c r="F450" s="4" t="s">
        <v>25</v>
      </c>
      <c r="G450" s="4" t="s">
        <v>25</v>
      </c>
      <c r="H450" s="4" t="s">
        <v>33</v>
      </c>
      <c r="I450" s="5">
        <v>44501</v>
      </c>
      <c r="J450" s="6">
        <v>0</v>
      </c>
      <c r="K450" s="97">
        <v>0</v>
      </c>
      <c r="L450" s="6">
        <v>3.5369999999999999</v>
      </c>
      <c r="M450" s="97">
        <v>3.5369999999999999</v>
      </c>
      <c r="N450" s="6">
        <v>3.5369999999999999</v>
      </c>
      <c r="O450" s="97">
        <v>3.5369999999999999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16</v>
      </c>
      <c r="U450" s="6">
        <v>47</v>
      </c>
      <c r="V450" s="97">
        <f>IF(ISERROR(VLOOKUP($S$450,'TAR FIN'!$A$1:$O$86,15,0)),0,VLOOKUP($S$450,'TAR FIN'!$A$1:$O$86,15,0))</f>
        <v>0</v>
      </c>
      <c r="W450" s="97">
        <f>IF(ISERROR(VLOOKUP($T$450,'TAR FIN'!$A$1:$O$86,15,0)),0,VLOOKUP($T$450,'TAR FIN'!$A$1:$O$86,15,0))*(1-0.04)</f>
        <v>1276.4832000000001</v>
      </c>
      <c r="X450" s="97">
        <f>IF(ISERROR(VLOOKUP($U$450,'TAR FIN'!$A$1:$O$86,15,0)),0,VLOOKUP($U$450,'TAR FIN'!$A$1:$O$86,15,0))*(1-0.04)</f>
        <v>373.64159999999998</v>
      </c>
      <c r="Y450" s="97"/>
      <c r="Z450" s="97">
        <f ca="1">('TUSD BE'!$AM$12+'TUSD BF_350'!$AM$12+'TUSD CVA'!$AM$12)*1*(1-0.02)</f>
        <v>1052.8740579870318</v>
      </c>
      <c r="AA450" s="97">
        <f ca="1">('TE BE'!$AB$5+'TE BF_350'!$AB$5+'TE CVA'!$AB$5)*1*(1-0.02)</f>
        <v>346.47998010024565</v>
      </c>
      <c r="AB450" s="6">
        <f>$K$450*$V$450</f>
        <v>0</v>
      </c>
      <c r="AC450" s="6">
        <f>$M$450*$W$450</f>
        <v>4514.9210784000006</v>
      </c>
      <c r="AD450" s="6">
        <f>$O$450*$X$450</f>
        <v>1321.5703391999998</v>
      </c>
      <c r="AE450" s="6">
        <f>$K$450*$Y$450</f>
        <v>0</v>
      </c>
      <c r="AF450" s="6">
        <f ca="1">$M$450*$Z$450</f>
        <v>3724.0155431001317</v>
      </c>
      <c r="AG450" s="6">
        <f ca="1">$O$450*$AA$450</f>
        <v>1225.4996896145688</v>
      </c>
    </row>
    <row r="451" spans="1:33" ht="11.25" customHeight="1" x14ac:dyDescent="0.25">
      <c r="A451" s="4" t="s">
        <v>55</v>
      </c>
      <c r="B451" s="4" t="s">
        <v>38</v>
      </c>
      <c r="C451" s="4" t="s">
        <v>40</v>
      </c>
      <c r="D451" s="4" t="s">
        <v>43</v>
      </c>
      <c r="E451" s="4" t="s">
        <v>51</v>
      </c>
      <c r="F451" s="4" t="s">
        <v>25</v>
      </c>
      <c r="G451" s="4" t="s">
        <v>25</v>
      </c>
      <c r="H451" s="4" t="s">
        <v>33</v>
      </c>
      <c r="I451" s="5">
        <v>44501</v>
      </c>
      <c r="J451" s="6">
        <v>0</v>
      </c>
      <c r="K451" s="97">
        <v>0</v>
      </c>
      <c r="L451" s="6">
        <v>1.5620000000000001</v>
      </c>
      <c r="M451" s="97">
        <v>1.5620000000000001</v>
      </c>
      <c r="N451" s="6">
        <v>1.5620000000000001</v>
      </c>
      <c r="O451" s="97">
        <v>1.5620000000000001</v>
      </c>
      <c r="P451" s="6">
        <v>0</v>
      </c>
      <c r="Q451" s="4" t="s">
        <v>26</v>
      </c>
      <c r="R451" s="4">
        <v>0</v>
      </c>
      <c r="S451" s="6">
        <v>0</v>
      </c>
      <c r="T451" s="6">
        <v>16</v>
      </c>
      <c r="U451" s="6">
        <v>47</v>
      </c>
      <c r="V451" s="97">
        <f>IF(ISERROR(VLOOKUP($S$451,'TAR FIN'!$A$1:$O$86,15,0)),0,VLOOKUP($S$451,'TAR FIN'!$A$1:$O$86,15,0))</f>
        <v>0</v>
      </c>
      <c r="W451" s="97">
        <f>IF(ISERROR(VLOOKUP($T$451,'TAR FIN'!$A$1:$O$86,15,0)),0,VLOOKUP($T$451,'TAR FIN'!$A$1:$O$86,15,0))*(1-0.04)</f>
        <v>1276.4832000000001</v>
      </c>
      <c r="X451" s="97">
        <f>IF(ISERROR(VLOOKUP($U$451,'TAR FIN'!$A$1:$O$86,15,0)),0,VLOOKUP($U$451,'TAR FIN'!$A$1:$O$86,15,0))*(1-0.04)</f>
        <v>373.64159999999998</v>
      </c>
      <c r="Y451" s="97"/>
      <c r="Z451" s="97">
        <f ca="1">('TUSD BE'!$AM$12+'TUSD BF_350'!$AM$12+'TUSD CVA'!$AM$12)*1*(1-0.02)</f>
        <v>1052.8740579870318</v>
      </c>
      <c r="AA451" s="97">
        <f ca="1">('TE BE'!$AB$5+'TE BF_350'!$AB$5+'TE CVA'!$AB$5)*1*(1-0.02)</f>
        <v>346.47998010024565</v>
      </c>
      <c r="AB451" s="6">
        <f>$K$451*$V$451</f>
        <v>0</v>
      </c>
      <c r="AC451" s="6">
        <f>$M$451*$W$451</f>
        <v>1993.8667584000002</v>
      </c>
      <c r="AD451" s="6">
        <f>$O$451*$X$451</f>
        <v>583.62817919999998</v>
      </c>
      <c r="AE451" s="6">
        <f>$K$451*$Y$451</f>
        <v>0</v>
      </c>
      <c r="AF451" s="6">
        <f ca="1">$M$451*$Z$451</f>
        <v>1644.5892785757437</v>
      </c>
      <c r="AG451" s="6">
        <f ca="1">$O$451*$AA$451</f>
        <v>541.20172891658376</v>
      </c>
    </row>
    <row r="452" spans="1:33" ht="11.25" customHeight="1" x14ac:dyDescent="0.25">
      <c r="A452" s="4" t="s">
        <v>21</v>
      </c>
      <c r="B452" s="4" t="s">
        <v>38</v>
      </c>
      <c r="C452" s="4" t="s">
        <v>40</v>
      </c>
      <c r="D452" s="4" t="s">
        <v>43</v>
      </c>
      <c r="E452" s="4" t="s">
        <v>51</v>
      </c>
      <c r="F452" s="4" t="s">
        <v>25</v>
      </c>
      <c r="G452" s="4" t="s">
        <v>25</v>
      </c>
      <c r="H452" s="4" t="s">
        <v>33</v>
      </c>
      <c r="I452" s="5">
        <v>44531</v>
      </c>
      <c r="J452" s="6">
        <v>0</v>
      </c>
      <c r="K452" s="97">
        <v>0</v>
      </c>
      <c r="L452" s="6">
        <v>17.158000000000001</v>
      </c>
      <c r="M452" s="97">
        <v>17.158000000000001</v>
      </c>
      <c r="N452" s="6">
        <v>17.158000000000001</v>
      </c>
      <c r="O452" s="97">
        <v>17.158000000000001</v>
      </c>
      <c r="P452" s="6">
        <v>0</v>
      </c>
      <c r="Q452" s="4" t="s">
        <v>26</v>
      </c>
      <c r="R452" s="4">
        <v>0</v>
      </c>
      <c r="S452" s="6">
        <v>0</v>
      </c>
      <c r="T452" s="6">
        <v>16</v>
      </c>
      <c r="U452" s="6">
        <v>47</v>
      </c>
      <c r="V452" s="97">
        <f>IF(ISERROR(VLOOKUP($S$452,'TAR FIN'!$A$1:$O$86,15,0)),0,VLOOKUP($S$452,'TAR FIN'!$A$1:$O$86,15,0))</f>
        <v>0</v>
      </c>
      <c r="W452" s="97">
        <f>IF(ISERROR(VLOOKUP($T$452,'TAR FIN'!$A$1:$O$86,15,0)),0,VLOOKUP($T$452,'TAR FIN'!$A$1:$O$86,15,0))*(1-0.04)</f>
        <v>1276.4832000000001</v>
      </c>
      <c r="X452" s="97">
        <f>IF(ISERROR(VLOOKUP($U$452,'TAR FIN'!$A$1:$O$86,15,0)),0,VLOOKUP($U$452,'TAR FIN'!$A$1:$O$86,15,0))*(1-0.04)</f>
        <v>373.64159999999998</v>
      </c>
      <c r="Y452" s="97"/>
      <c r="Z452" s="97">
        <f ca="1">('TUSD BE'!$AM$12+'TUSD BF_350'!$AM$12+'TUSD CVA'!$AM$12)*1*(1-0.02)</f>
        <v>1052.8740579870318</v>
      </c>
      <c r="AA452" s="97">
        <f ca="1">('TE BE'!$AB$5+'TE BF_350'!$AB$5+'TE CVA'!$AB$5)*1*(1-0.02)</f>
        <v>346.47998010024565</v>
      </c>
      <c r="AB452" s="6">
        <f>$K$452*$V$452</f>
        <v>0</v>
      </c>
      <c r="AC452" s="6">
        <f>$M$452*$W$452</f>
        <v>21901.898745600003</v>
      </c>
      <c r="AD452" s="6">
        <f>$O$452*$X$452</f>
        <v>6410.9425728000006</v>
      </c>
      <c r="AE452" s="6">
        <f>$K$452*$Y$452</f>
        <v>0</v>
      </c>
      <c r="AF452" s="6">
        <f ca="1">$M$452*$Z$452</f>
        <v>18065.213086941494</v>
      </c>
      <c r="AG452" s="6">
        <f ca="1">$O$452*$AA$452</f>
        <v>5944.9034985600156</v>
      </c>
    </row>
    <row r="453" spans="1:33" ht="11.25" customHeight="1" x14ac:dyDescent="0.25">
      <c r="A453" s="4" t="s">
        <v>55</v>
      </c>
      <c r="B453" s="4" t="s">
        <v>38</v>
      </c>
      <c r="C453" s="4" t="s">
        <v>40</v>
      </c>
      <c r="D453" s="4" t="s">
        <v>43</v>
      </c>
      <c r="E453" s="4" t="s">
        <v>51</v>
      </c>
      <c r="F453" s="4" t="s">
        <v>25</v>
      </c>
      <c r="G453" s="4" t="s">
        <v>25</v>
      </c>
      <c r="H453" s="4" t="s">
        <v>33</v>
      </c>
      <c r="I453" s="5">
        <v>44531</v>
      </c>
      <c r="J453" s="6">
        <v>0</v>
      </c>
      <c r="K453" s="97">
        <v>0</v>
      </c>
      <c r="L453" s="6">
        <v>1.4259999999999999</v>
      </c>
      <c r="M453" s="97">
        <v>1.4259999999999999</v>
      </c>
      <c r="N453" s="6">
        <v>1.4259999999999999</v>
      </c>
      <c r="O453" s="97">
        <v>1.4259999999999999</v>
      </c>
      <c r="P453" s="6">
        <v>0</v>
      </c>
      <c r="Q453" s="4" t="s">
        <v>26</v>
      </c>
      <c r="R453" s="4">
        <v>0</v>
      </c>
      <c r="S453" s="6">
        <v>0</v>
      </c>
      <c r="T453" s="6">
        <v>16</v>
      </c>
      <c r="U453" s="6">
        <v>47</v>
      </c>
      <c r="V453" s="97">
        <f>IF(ISERROR(VLOOKUP($S$453,'TAR FIN'!$A$1:$O$86,15,0)),0,VLOOKUP($S$453,'TAR FIN'!$A$1:$O$86,15,0))</f>
        <v>0</v>
      </c>
      <c r="W453" s="97">
        <f>IF(ISERROR(VLOOKUP($T$453,'TAR FIN'!$A$1:$O$86,15,0)),0,VLOOKUP($T$453,'TAR FIN'!$A$1:$O$86,15,0))*(1-0.04)</f>
        <v>1276.4832000000001</v>
      </c>
      <c r="X453" s="97">
        <f>IF(ISERROR(VLOOKUP($U$453,'TAR FIN'!$A$1:$O$86,15,0)),0,VLOOKUP($U$453,'TAR FIN'!$A$1:$O$86,15,0))*(1-0.04)</f>
        <v>373.64159999999998</v>
      </c>
      <c r="Y453" s="97"/>
      <c r="Z453" s="97">
        <f ca="1">('TUSD BE'!$AM$12+'TUSD BF_350'!$AM$12+'TUSD CVA'!$AM$12)*1*(1-0.02)</f>
        <v>1052.8740579870318</v>
      </c>
      <c r="AA453" s="97">
        <f ca="1">('TE BE'!$AB$5+'TE BF_350'!$AB$5+'TE CVA'!$AB$5)*1*(1-0.02)</f>
        <v>346.47998010024565</v>
      </c>
      <c r="AB453" s="6">
        <f>$K$453*$V$453</f>
        <v>0</v>
      </c>
      <c r="AC453" s="6">
        <f>$M$453*$W$453</f>
        <v>1820.2650432</v>
      </c>
      <c r="AD453" s="6">
        <f>$O$453*$X$453</f>
        <v>532.81292159999998</v>
      </c>
      <c r="AE453" s="6">
        <f>$K$453*$Y$453</f>
        <v>0</v>
      </c>
      <c r="AF453" s="6">
        <f ca="1">$M$453*$Z$453</f>
        <v>1501.3984066895073</v>
      </c>
      <c r="AG453" s="6">
        <f ca="1">$O$453*$AA$453</f>
        <v>494.08045162295031</v>
      </c>
    </row>
    <row r="454" spans="1:33" ht="11.25" customHeight="1" x14ac:dyDescent="0.25">
      <c r="A454" s="4" t="s">
        <v>21</v>
      </c>
      <c r="B454" s="4" t="s">
        <v>38</v>
      </c>
      <c r="C454" s="4" t="s">
        <v>40</v>
      </c>
      <c r="D454" s="4" t="s">
        <v>43</v>
      </c>
      <c r="E454" s="4" t="s">
        <v>51</v>
      </c>
      <c r="F454" s="4" t="s">
        <v>25</v>
      </c>
      <c r="G454" s="4" t="s">
        <v>25</v>
      </c>
      <c r="H454" s="4" t="s">
        <v>33</v>
      </c>
      <c r="I454" s="5">
        <v>44562</v>
      </c>
      <c r="J454" s="6">
        <v>0</v>
      </c>
      <c r="K454" s="97">
        <v>0</v>
      </c>
      <c r="L454" s="6">
        <v>10.287000000000001</v>
      </c>
      <c r="M454" s="97">
        <v>10.287000000000001</v>
      </c>
      <c r="N454" s="6">
        <v>10.287000000000001</v>
      </c>
      <c r="O454" s="97">
        <v>10.287000000000001</v>
      </c>
      <c r="P454" s="6">
        <v>0</v>
      </c>
      <c r="Q454" s="4" t="s">
        <v>26</v>
      </c>
      <c r="R454" s="4">
        <v>0</v>
      </c>
      <c r="S454" s="6">
        <v>0</v>
      </c>
      <c r="T454" s="6">
        <v>16</v>
      </c>
      <c r="U454" s="6">
        <v>47</v>
      </c>
      <c r="V454" s="97">
        <f>IF(ISERROR(VLOOKUP($S$454,'TAR FIN'!$A$1:$O$86,15,0)),0,VLOOKUP($S$454,'TAR FIN'!$A$1:$O$86,15,0))</f>
        <v>0</v>
      </c>
      <c r="W454" s="97">
        <f>IF(ISERROR(VLOOKUP($T$454,'TAR FIN'!$A$1:$O$86,15,0)),0,VLOOKUP($T$454,'TAR FIN'!$A$1:$O$86,15,0))*(1-0.04)</f>
        <v>1276.4832000000001</v>
      </c>
      <c r="X454" s="97">
        <f>IF(ISERROR(VLOOKUP($U$454,'TAR FIN'!$A$1:$O$86,15,0)),0,VLOOKUP($U$454,'TAR FIN'!$A$1:$O$86,15,0))*(1-0.04)</f>
        <v>373.64159999999998</v>
      </c>
      <c r="Y454" s="97"/>
      <c r="Z454" s="97">
        <f ca="1">('TUSD BE'!$AM$12+'TUSD BF_350'!$AM$12+'TUSD CVA'!$AM$12)*1*(1-0.02)</f>
        <v>1052.8740579870318</v>
      </c>
      <c r="AA454" s="97">
        <f ca="1">('TE BE'!$AB$5+'TE BF_350'!$AB$5+'TE CVA'!$AB$5)*1*(1-0.02)</f>
        <v>346.47998010024565</v>
      </c>
      <c r="AB454" s="6">
        <f>$K$454*$V$454</f>
        <v>0</v>
      </c>
      <c r="AC454" s="6">
        <f>$M$454*$W$454</f>
        <v>13131.182678400002</v>
      </c>
      <c r="AD454" s="6">
        <f>$O$454*$X$454</f>
        <v>3843.6511392000002</v>
      </c>
      <c r="AE454" s="6">
        <f>$K$454*$Y$454</f>
        <v>0</v>
      </c>
      <c r="AF454" s="6">
        <f ca="1">$M$454*$Z$454</f>
        <v>10830.915434512597</v>
      </c>
      <c r="AG454" s="6">
        <f ca="1">$O$454*$AA$454</f>
        <v>3564.2395552912271</v>
      </c>
    </row>
    <row r="455" spans="1:33" ht="11.25" customHeight="1" x14ac:dyDescent="0.25">
      <c r="A455" s="4" t="s">
        <v>55</v>
      </c>
      <c r="B455" s="4" t="s">
        <v>38</v>
      </c>
      <c r="C455" s="4" t="s">
        <v>40</v>
      </c>
      <c r="D455" s="4" t="s">
        <v>43</v>
      </c>
      <c r="E455" s="4" t="s">
        <v>51</v>
      </c>
      <c r="F455" s="4" t="s">
        <v>25</v>
      </c>
      <c r="G455" s="4" t="s">
        <v>25</v>
      </c>
      <c r="H455" s="4" t="s">
        <v>33</v>
      </c>
      <c r="I455" s="5">
        <v>44562</v>
      </c>
      <c r="J455" s="6">
        <v>0</v>
      </c>
      <c r="K455" s="97">
        <v>0</v>
      </c>
      <c r="L455" s="6">
        <v>0.22500000000000001</v>
      </c>
      <c r="M455" s="97">
        <v>0.22500000000000001</v>
      </c>
      <c r="N455" s="6">
        <v>0.22500000000000001</v>
      </c>
      <c r="O455" s="97">
        <v>0.22500000000000001</v>
      </c>
      <c r="P455" s="6">
        <v>0</v>
      </c>
      <c r="Q455" s="4" t="s">
        <v>26</v>
      </c>
      <c r="R455" s="4">
        <v>0</v>
      </c>
      <c r="S455" s="6">
        <v>0</v>
      </c>
      <c r="T455" s="6">
        <v>16</v>
      </c>
      <c r="U455" s="6">
        <v>47</v>
      </c>
      <c r="V455" s="97">
        <f>IF(ISERROR(VLOOKUP($S$455,'TAR FIN'!$A$1:$O$86,15,0)),0,VLOOKUP($S$455,'TAR FIN'!$A$1:$O$86,15,0))</f>
        <v>0</v>
      </c>
      <c r="W455" s="97">
        <f>IF(ISERROR(VLOOKUP($T$455,'TAR FIN'!$A$1:$O$86,15,0)),0,VLOOKUP($T$455,'TAR FIN'!$A$1:$O$86,15,0))*(1-0.04)</f>
        <v>1276.4832000000001</v>
      </c>
      <c r="X455" s="97">
        <f>IF(ISERROR(VLOOKUP($U$455,'TAR FIN'!$A$1:$O$86,15,0)),0,VLOOKUP($U$455,'TAR FIN'!$A$1:$O$86,15,0))*(1-0.04)</f>
        <v>373.64159999999998</v>
      </c>
      <c r="Y455" s="97"/>
      <c r="Z455" s="97">
        <f ca="1">('TUSD BE'!$AM$12+'TUSD BF_350'!$AM$12+'TUSD CVA'!$AM$12)*1*(1-0.02)</f>
        <v>1052.8740579870318</v>
      </c>
      <c r="AA455" s="97">
        <f ca="1">('TE BE'!$AB$5+'TE BF_350'!$AB$5+'TE CVA'!$AB$5)*1*(1-0.02)</f>
        <v>346.47998010024565</v>
      </c>
      <c r="AB455" s="6">
        <f>$K$455*$V$455</f>
        <v>0</v>
      </c>
      <c r="AC455" s="6">
        <f>$M$455*$W$455</f>
        <v>287.20872000000003</v>
      </c>
      <c r="AD455" s="6">
        <f>$O$455*$X$455</f>
        <v>84.069360000000003</v>
      </c>
      <c r="AE455" s="6">
        <f>$K$455*$Y$455</f>
        <v>0</v>
      </c>
      <c r="AF455" s="6">
        <f ca="1">$M$455*$Z$455</f>
        <v>236.89666304708217</v>
      </c>
      <c r="AG455" s="6">
        <f ca="1">$O$455*$AA$455</f>
        <v>77.957995522555279</v>
      </c>
    </row>
    <row r="456" spans="1:33" ht="11.25" customHeight="1" x14ac:dyDescent="0.25">
      <c r="A456" s="4" t="s">
        <v>21</v>
      </c>
      <c r="B456" s="4" t="s">
        <v>38</v>
      </c>
      <c r="C456" s="4" t="s">
        <v>40</v>
      </c>
      <c r="D456" s="4" t="s">
        <v>43</v>
      </c>
      <c r="E456" s="4" t="s">
        <v>51</v>
      </c>
      <c r="F456" s="4" t="s">
        <v>25</v>
      </c>
      <c r="G456" s="4" t="s">
        <v>25</v>
      </c>
      <c r="H456" s="4" t="s">
        <v>33</v>
      </c>
      <c r="I456" s="5">
        <v>44593</v>
      </c>
      <c r="J456" s="6">
        <v>0</v>
      </c>
      <c r="K456" s="97">
        <v>0</v>
      </c>
      <c r="L456" s="6">
        <v>7.0919999999999996</v>
      </c>
      <c r="M456" s="97">
        <v>7.0919999999999996</v>
      </c>
      <c r="N456" s="6">
        <v>7.0919999999999996</v>
      </c>
      <c r="O456" s="97">
        <v>7.0919999999999996</v>
      </c>
      <c r="P456" s="6">
        <v>0</v>
      </c>
      <c r="Q456" s="4" t="s">
        <v>26</v>
      </c>
      <c r="R456" s="4">
        <v>0</v>
      </c>
      <c r="S456" s="6">
        <v>0</v>
      </c>
      <c r="T456" s="6">
        <v>16</v>
      </c>
      <c r="U456" s="6">
        <v>47</v>
      </c>
      <c r="V456" s="97">
        <f>IF(ISERROR(VLOOKUP($S$456,'TAR FIN'!$A$1:$O$86,15,0)),0,VLOOKUP($S$456,'TAR FIN'!$A$1:$O$86,15,0))</f>
        <v>0</v>
      </c>
      <c r="W456" s="97">
        <f>IF(ISERROR(VLOOKUP($T$456,'TAR FIN'!$A$1:$O$86,15,0)),0,VLOOKUP($T$456,'TAR FIN'!$A$1:$O$86,15,0))*(1-0.04)</f>
        <v>1276.4832000000001</v>
      </c>
      <c r="X456" s="97">
        <f>IF(ISERROR(VLOOKUP($U$456,'TAR FIN'!$A$1:$O$86,15,0)),0,VLOOKUP($U$456,'TAR FIN'!$A$1:$O$86,15,0))*(1-0.04)</f>
        <v>373.64159999999998</v>
      </c>
      <c r="Y456" s="97"/>
      <c r="Z456" s="97">
        <f ca="1">('TUSD BE'!$AM$12+'TUSD BF_350'!$AM$12+'TUSD CVA'!$AM$12)*1*(1-0.02)</f>
        <v>1052.8740579870318</v>
      </c>
      <c r="AA456" s="97">
        <f ca="1">('TE BE'!$AB$5+'TE BF_350'!$AB$5+'TE CVA'!$AB$5)*1*(1-0.02)</f>
        <v>346.47998010024565</v>
      </c>
      <c r="AB456" s="6">
        <f>$K$456*$V$456</f>
        <v>0</v>
      </c>
      <c r="AC456" s="6">
        <f>$M$456*$W$456</f>
        <v>9052.8188544000004</v>
      </c>
      <c r="AD456" s="6">
        <f>$O$456*$X$456</f>
        <v>2649.8662271999997</v>
      </c>
      <c r="AE456" s="6">
        <f>$K$456*$Y$456</f>
        <v>0</v>
      </c>
      <c r="AF456" s="6">
        <f ca="1">$M$456*$Z$456</f>
        <v>7466.9828192440291</v>
      </c>
      <c r="AG456" s="6">
        <f ca="1">$O$456*$AA$456</f>
        <v>2457.2360188709422</v>
      </c>
    </row>
    <row r="457" spans="1:33" ht="11.25" customHeight="1" x14ac:dyDescent="0.25">
      <c r="A457" s="4" t="s">
        <v>55</v>
      </c>
      <c r="B457" s="4" t="s">
        <v>38</v>
      </c>
      <c r="C457" s="4" t="s">
        <v>40</v>
      </c>
      <c r="D457" s="4" t="s">
        <v>43</v>
      </c>
      <c r="E457" s="4" t="s">
        <v>51</v>
      </c>
      <c r="F457" s="4" t="s">
        <v>25</v>
      </c>
      <c r="G457" s="4" t="s">
        <v>25</v>
      </c>
      <c r="H457" s="4" t="s">
        <v>33</v>
      </c>
      <c r="I457" s="5">
        <v>44593</v>
      </c>
      <c r="J457" s="6">
        <v>0</v>
      </c>
      <c r="K457" s="97">
        <v>0</v>
      </c>
      <c r="L457" s="6">
        <v>0.104</v>
      </c>
      <c r="M457" s="97">
        <v>0.104</v>
      </c>
      <c r="N457" s="6">
        <v>0.104</v>
      </c>
      <c r="O457" s="97">
        <v>0.104</v>
      </c>
      <c r="P457" s="6">
        <v>0</v>
      </c>
      <c r="Q457" s="4" t="s">
        <v>26</v>
      </c>
      <c r="R457" s="4">
        <v>0</v>
      </c>
      <c r="S457" s="6">
        <v>0</v>
      </c>
      <c r="T457" s="6">
        <v>16</v>
      </c>
      <c r="U457" s="6">
        <v>47</v>
      </c>
      <c r="V457" s="97">
        <f>IF(ISERROR(VLOOKUP($S$457,'TAR FIN'!$A$1:$O$86,15,0)),0,VLOOKUP($S$457,'TAR FIN'!$A$1:$O$86,15,0))</f>
        <v>0</v>
      </c>
      <c r="W457" s="97">
        <f>IF(ISERROR(VLOOKUP($T$457,'TAR FIN'!$A$1:$O$86,15,0)),0,VLOOKUP($T$457,'TAR FIN'!$A$1:$O$86,15,0))*(1-0.04)</f>
        <v>1276.4832000000001</v>
      </c>
      <c r="X457" s="97">
        <f>IF(ISERROR(VLOOKUP($U$457,'TAR FIN'!$A$1:$O$86,15,0)),0,VLOOKUP($U$457,'TAR FIN'!$A$1:$O$86,15,0))*(1-0.04)</f>
        <v>373.64159999999998</v>
      </c>
      <c r="Y457" s="97"/>
      <c r="Z457" s="97">
        <f ca="1">('TUSD BE'!$AM$12+'TUSD BF_350'!$AM$12+'TUSD CVA'!$AM$12)*1*(1-0.02)</f>
        <v>1052.8740579870318</v>
      </c>
      <c r="AA457" s="97">
        <f ca="1">('TE BE'!$AB$5+'TE BF_350'!$AB$5+'TE CVA'!$AB$5)*1*(1-0.02)</f>
        <v>346.47998010024565</v>
      </c>
      <c r="AB457" s="6">
        <f>$K$457*$V$457</f>
        <v>0</v>
      </c>
      <c r="AC457" s="6">
        <f>$M$457*$W$457</f>
        <v>132.75425280000002</v>
      </c>
      <c r="AD457" s="6">
        <f>$O$457*$X$457</f>
        <v>38.858726399999995</v>
      </c>
      <c r="AE457" s="6">
        <f>$K$457*$Y$457</f>
        <v>0</v>
      </c>
      <c r="AF457" s="6">
        <f ca="1">$M$457*$Z$457</f>
        <v>109.49890203065131</v>
      </c>
      <c r="AG457" s="6">
        <f ca="1">$O$457*$AA$457</f>
        <v>36.033917930425545</v>
      </c>
    </row>
    <row r="458" spans="1:33" ht="11.25" customHeight="1" x14ac:dyDescent="0.25">
      <c r="A458" s="4" t="s">
        <v>21</v>
      </c>
      <c r="B458" s="4" t="s">
        <v>38</v>
      </c>
      <c r="C458" s="4" t="s">
        <v>40</v>
      </c>
      <c r="D458" s="4" t="s">
        <v>43</v>
      </c>
      <c r="E458" s="4" t="s">
        <v>51</v>
      </c>
      <c r="F458" s="4" t="s">
        <v>25</v>
      </c>
      <c r="G458" s="4" t="s">
        <v>25</v>
      </c>
      <c r="H458" s="4" t="s">
        <v>33</v>
      </c>
      <c r="I458" s="5">
        <v>44621</v>
      </c>
      <c r="J458" s="6">
        <v>0</v>
      </c>
      <c r="K458" s="97">
        <v>0</v>
      </c>
      <c r="L458" s="6">
        <v>1.716</v>
      </c>
      <c r="M458" s="97">
        <v>1.716</v>
      </c>
      <c r="N458" s="6">
        <v>1.716</v>
      </c>
      <c r="O458" s="97">
        <v>1.716</v>
      </c>
      <c r="P458" s="6">
        <v>0</v>
      </c>
      <c r="Q458" s="4" t="s">
        <v>26</v>
      </c>
      <c r="R458" s="4">
        <v>0</v>
      </c>
      <c r="S458" s="6">
        <v>0</v>
      </c>
      <c r="T458" s="6">
        <v>16</v>
      </c>
      <c r="U458" s="6">
        <v>47</v>
      </c>
      <c r="V458" s="97">
        <f>IF(ISERROR(VLOOKUP($S$458,'TAR FIN'!$A$1:$O$86,15,0)),0,VLOOKUP($S$458,'TAR FIN'!$A$1:$O$86,15,0))</f>
        <v>0</v>
      </c>
      <c r="W458" s="97">
        <f>IF(ISERROR(VLOOKUP($T$458,'TAR FIN'!$A$1:$O$86,15,0)),0,VLOOKUP($T$458,'TAR FIN'!$A$1:$O$86,15,0))*(1-0.04)</f>
        <v>1276.4832000000001</v>
      </c>
      <c r="X458" s="97">
        <f>IF(ISERROR(VLOOKUP($U$458,'TAR FIN'!$A$1:$O$86,15,0)),0,VLOOKUP($U$458,'TAR FIN'!$A$1:$O$86,15,0))*(1-0.04)</f>
        <v>373.64159999999998</v>
      </c>
      <c r="Y458" s="97"/>
      <c r="Z458" s="97">
        <f ca="1">('TUSD BE'!$AM$12+'TUSD BF_350'!$AM$12+'TUSD CVA'!$AM$12)*1*(1-0.02)</f>
        <v>1052.8740579870318</v>
      </c>
      <c r="AA458" s="97">
        <f ca="1">('TE BE'!$AB$5+'TE BF_350'!$AB$5+'TE CVA'!$AB$5)*1*(1-0.02)</f>
        <v>346.47998010024565</v>
      </c>
      <c r="AB458" s="6">
        <f>$K$458*$V$458</f>
        <v>0</v>
      </c>
      <c r="AC458" s="6">
        <f>$M$458*$W$458</f>
        <v>2190.4451712</v>
      </c>
      <c r="AD458" s="6">
        <f>$O$458*$X$458</f>
        <v>641.16898559999993</v>
      </c>
      <c r="AE458" s="6">
        <f>$K$458*$Y$458</f>
        <v>0</v>
      </c>
      <c r="AF458" s="6">
        <f ca="1">$M$458*$Z$458</f>
        <v>1806.7318835057465</v>
      </c>
      <c r="AG458" s="6">
        <f ca="1">$O$458*$AA$458</f>
        <v>594.5596458520215</v>
      </c>
    </row>
    <row r="459" spans="1:33" ht="11.25" customHeight="1" x14ac:dyDescent="0.25">
      <c r="A459" s="4" t="s">
        <v>55</v>
      </c>
      <c r="B459" s="4" t="s">
        <v>38</v>
      </c>
      <c r="C459" s="4" t="s">
        <v>40</v>
      </c>
      <c r="D459" s="4" t="s">
        <v>43</v>
      </c>
      <c r="E459" s="4" t="s">
        <v>51</v>
      </c>
      <c r="F459" s="4" t="s">
        <v>25</v>
      </c>
      <c r="G459" s="4" t="s">
        <v>25</v>
      </c>
      <c r="H459" s="4" t="s">
        <v>33</v>
      </c>
      <c r="I459" s="5">
        <v>44621</v>
      </c>
      <c r="J459" s="6">
        <v>0</v>
      </c>
      <c r="K459" s="97">
        <v>0</v>
      </c>
      <c r="L459" s="6">
        <v>0.10199999999999999</v>
      </c>
      <c r="M459" s="97">
        <v>0.10199999999999999</v>
      </c>
      <c r="N459" s="6">
        <v>0.10199999999999999</v>
      </c>
      <c r="O459" s="97">
        <v>0.10199999999999999</v>
      </c>
      <c r="P459" s="6">
        <v>0</v>
      </c>
      <c r="Q459" s="4" t="s">
        <v>26</v>
      </c>
      <c r="R459" s="4">
        <v>0</v>
      </c>
      <c r="S459" s="6">
        <v>0</v>
      </c>
      <c r="T459" s="6">
        <v>16</v>
      </c>
      <c r="U459" s="6">
        <v>47</v>
      </c>
      <c r="V459" s="97">
        <f>IF(ISERROR(VLOOKUP($S$459,'TAR FIN'!$A$1:$O$86,15,0)),0,VLOOKUP($S$459,'TAR FIN'!$A$1:$O$86,15,0))</f>
        <v>0</v>
      </c>
      <c r="W459" s="97">
        <f>IF(ISERROR(VLOOKUP($T$459,'TAR FIN'!$A$1:$O$86,15,0)),0,VLOOKUP($T$459,'TAR FIN'!$A$1:$O$86,15,0))*(1-0.04)</f>
        <v>1276.4832000000001</v>
      </c>
      <c r="X459" s="97">
        <f>IF(ISERROR(VLOOKUP($U$459,'TAR FIN'!$A$1:$O$86,15,0)),0,VLOOKUP($U$459,'TAR FIN'!$A$1:$O$86,15,0))*(1-0.04)</f>
        <v>373.64159999999998</v>
      </c>
      <c r="Y459" s="97"/>
      <c r="Z459" s="97">
        <f ca="1">('TUSD BE'!$AM$12+'TUSD BF_350'!$AM$12+'TUSD CVA'!$AM$12)*1*(1-0.02)</f>
        <v>1052.8740579870318</v>
      </c>
      <c r="AA459" s="97">
        <f ca="1">('TE BE'!$AB$5+'TE BF_350'!$AB$5+'TE CVA'!$AB$5)*1*(1-0.02)</f>
        <v>346.47998010024565</v>
      </c>
      <c r="AB459" s="6">
        <f>$K$459*$V$459</f>
        <v>0</v>
      </c>
      <c r="AC459" s="6">
        <f>$M$459*$W$459</f>
        <v>130.20128640000001</v>
      </c>
      <c r="AD459" s="6">
        <f>$O$459*$X$459</f>
        <v>38.111443199999997</v>
      </c>
      <c r="AE459" s="6">
        <f>$K$459*$Y$459</f>
        <v>0</v>
      </c>
      <c r="AF459" s="6">
        <f ca="1">$M$459*$Z$459</f>
        <v>107.39315391467724</v>
      </c>
      <c r="AG459" s="6">
        <f ca="1">$O$459*$AA$459</f>
        <v>35.340957970225055</v>
      </c>
    </row>
    <row r="460" spans="1:33" ht="11.25" customHeight="1" x14ac:dyDescent="0.25">
      <c r="A460" s="4" t="s">
        <v>21</v>
      </c>
      <c r="B460" s="4" t="s">
        <v>38</v>
      </c>
      <c r="C460" s="4" t="s">
        <v>40</v>
      </c>
      <c r="D460" s="4" t="s">
        <v>43</v>
      </c>
      <c r="E460" s="4" t="s">
        <v>51</v>
      </c>
      <c r="F460" s="4" t="s">
        <v>25</v>
      </c>
      <c r="G460" s="4" t="s">
        <v>25</v>
      </c>
      <c r="H460" s="4" t="s">
        <v>33</v>
      </c>
      <c r="I460" s="5">
        <v>44652</v>
      </c>
      <c r="J460" s="6">
        <v>0</v>
      </c>
      <c r="K460" s="97">
        <v>0</v>
      </c>
      <c r="L460" s="6">
        <v>1.379</v>
      </c>
      <c r="M460" s="97">
        <v>1.379</v>
      </c>
      <c r="N460" s="6">
        <v>1.379</v>
      </c>
      <c r="O460" s="97">
        <v>1.379</v>
      </c>
      <c r="P460" s="6">
        <v>0</v>
      </c>
      <c r="Q460" s="4" t="s">
        <v>26</v>
      </c>
      <c r="R460" s="4">
        <v>0</v>
      </c>
      <c r="S460" s="6">
        <v>0</v>
      </c>
      <c r="T460" s="6">
        <v>16</v>
      </c>
      <c r="U460" s="6">
        <v>47</v>
      </c>
      <c r="V460" s="97">
        <f>IF(ISERROR(VLOOKUP($S$460,'TAR FIN'!$A$1:$O$86,15,0)),0,VLOOKUP($S$460,'TAR FIN'!$A$1:$O$86,15,0))</f>
        <v>0</v>
      </c>
      <c r="W460" s="97">
        <f>IF(ISERROR(VLOOKUP($T$460,'TAR FIN'!$A$1:$O$86,15,0)),0,VLOOKUP($T$460,'TAR FIN'!$A$1:$O$86,15,0))*(1-0.04)</f>
        <v>1276.4832000000001</v>
      </c>
      <c r="X460" s="97">
        <f>IF(ISERROR(VLOOKUP($U$460,'TAR FIN'!$A$1:$O$86,15,0)),0,VLOOKUP($U$460,'TAR FIN'!$A$1:$O$86,15,0))*(1-0.04)</f>
        <v>373.64159999999998</v>
      </c>
      <c r="Y460" s="97"/>
      <c r="Z460" s="97">
        <f ca="1">('TUSD BE'!$AM$12+'TUSD BF_350'!$AM$12+'TUSD CVA'!$AM$12)*1*(1-0.02)</f>
        <v>1052.8740579870318</v>
      </c>
      <c r="AA460" s="97">
        <f ca="1">('TE BE'!$AB$5+'TE BF_350'!$AB$5+'TE CVA'!$AB$5)*1*(1-0.02)</f>
        <v>346.47998010024565</v>
      </c>
      <c r="AB460" s="6">
        <f>$K$460*$V$460</f>
        <v>0</v>
      </c>
      <c r="AC460" s="6">
        <f>$M$460*$W$460</f>
        <v>1760.2703328000002</v>
      </c>
      <c r="AD460" s="6">
        <f>$O$460*$X$460</f>
        <v>515.25176639999995</v>
      </c>
      <c r="AE460" s="6">
        <f>$K$460*$Y$460</f>
        <v>0</v>
      </c>
      <c r="AF460" s="6">
        <f ca="1">$M$460*$Z$460</f>
        <v>1451.9133259641169</v>
      </c>
      <c r="AG460" s="6">
        <f ca="1">$O$460*$AA$460</f>
        <v>477.79589255823873</v>
      </c>
    </row>
    <row r="461" spans="1:33" ht="11.25" customHeight="1" x14ac:dyDescent="0.25">
      <c r="A461" s="4" t="s">
        <v>55</v>
      </c>
      <c r="B461" s="4" t="s">
        <v>38</v>
      </c>
      <c r="C461" s="4" t="s">
        <v>40</v>
      </c>
      <c r="D461" s="4" t="s">
        <v>43</v>
      </c>
      <c r="E461" s="4" t="s">
        <v>51</v>
      </c>
      <c r="F461" s="4" t="s">
        <v>25</v>
      </c>
      <c r="G461" s="4" t="s">
        <v>25</v>
      </c>
      <c r="H461" s="4" t="s">
        <v>33</v>
      </c>
      <c r="I461" s="5">
        <v>44652</v>
      </c>
      <c r="J461" s="6">
        <v>0</v>
      </c>
      <c r="K461" s="97">
        <v>0</v>
      </c>
      <c r="L461" s="6">
        <v>6.9000000000000006E-2</v>
      </c>
      <c r="M461" s="97">
        <v>6.9000000000000006E-2</v>
      </c>
      <c r="N461" s="6">
        <v>6.9000000000000006E-2</v>
      </c>
      <c r="O461" s="97">
        <v>6.9000000000000006E-2</v>
      </c>
      <c r="P461" s="6">
        <v>0</v>
      </c>
      <c r="Q461" s="4" t="s">
        <v>26</v>
      </c>
      <c r="R461" s="4">
        <v>0</v>
      </c>
      <c r="S461" s="6">
        <v>0</v>
      </c>
      <c r="T461" s="6">
        <v>16</v>
      </c>
      <c r="U461" s="6">
        <v>47</v>
      </c>
      <c r="V461" s="97">
        <f>IF(ISERROR(VLOOKUP($S$461,'TAR FIN'!$A$1:$O$86,15,0)),0,VLOOKUP($S$461,'TAR FIN'!$A$1:$O$86,15,0))</f>
        <v>0</v>
      </c>
      <c r="W461" s="97">
        <f>IF(ISERROR(VLOOKUP($T$461,'TAR FIN'!$A$1:$O$86,15,0)),0,VLOOKUP($T$461,'TAR FIN'!$A$1:$O$86,15,0))*(1-0.04)</f>
        <v>1276.4832000000001</v>
      </c>
      <c r="X461" s="97">
        <f>IF(ISERROR(VLOOKUP($U$461,'TAR FIN'!$A$1:$O$86,15,0)),0,VLOOKUP($U$461,'TAR FIN'!$A$1:$O$86,15,0))*(1-0.04)</f>
        <v>373.64159999999998</v>
      </c>
      <c r="Y461" s="97"/>
      <c r="Z461" s="97">
        <f ca="1">('TUSD BE'!$AM$12+'TUSD BF_350'!$AM$12+'TUSD CVA'!$AM$12)*1*(1-0.02)</f>
        <v>1052.8740579870318</v>
      </c>
      <c r="AA461" s="97">
        <f ca="1">('TE BE'!$AB$5+'TE BF_350'!$AB$5+'TE CVA'!$AB$5)*1*(1-0.02)</f>
        <v>346.47998010024565</v>
      </c>
      <c r="AB461" s="6">
        <f>$K$461*$V$461</f>
        <v>0</v>
      </c>
      <c r="AC461" s="6">
        <f>$M$461*$W$461</f>
        <v>88.077340800000016</v>
      </c>
      <c r="AD461" s="6">
        <f>$O$461*$X$461</f>
        <v>25.7812704</v>
      </c>
      <c r="AE461" s="6">
        <f>$K$461*$Y$461</f>
        <v>0</v>
      </c>
      <c r="AF461" s="6">
        <f ca="1">$M$461*$Z$461</f>
        <v>72.648310001105202</v>
      </c>
      <c r="AG461" s="6">
        <f ca="1">$O$461*$AA$461</f>
        <v>23.907118626916951</v>
      </c>
    </row>
    <row r="462" spans="1:33" ht="11.25" customHeight="1" x14ac:dyDescent="0.25">
      <c r="A462" s="4" t="s">
        <v>21</v>
      </c>
      <c r="B462" s="4" t="s">
        <v>38</v>
      </c>
      <c r="C462" s="4" t="s">
        <v>40</v>
      </c>
      <c r="D462" s="4" t="s">
        <v>43</v>
      </c>
      <c r="E462" s="4" t="s">
        <v>51</v>
      </c>
      <c r="F462" s="4" t="s">
        <v>25</v>
      </c>
      <c r="G462" s="4" t="s">
        <v>25</v>
      </c>
      <c r="H462" s="4" t="s">
        <v>33</v>
      </c>
      <c r="I462" s="5">
        <v>44682</v>
      </c>
      <c r="J462" s="6">
        <v>0</v>
      </c>
      <c r="K462" s="97">
        <v>0</v>
      </c>
      <c r="L462" s="6">
        <v>2.895</v>
      </c>
      <c r="M462" s="97">
        <v>2.895</v>
      </c>
      <c r="N462" s="6">
        <v>2.895</v>
      </c>
      <c r="O462" s="97">
        <v>2.895</v>
      </c>
      <c r="P462" s="6">
        <v>0</v>
      </c>
      <c r="Q462" s="4" t="s">
        <v>26</v>
      </c>
      <c r="R462" s="4">
        <v>0</v>
      </c>
      <c r="S462" s="6">
        <v>0</v>
      </c>
      <c r="T462" s="6">
        <v>16</v>
      </c>
      <c r="U462" s="6">
        <v>47</v>
      </c>
      <c r="V462" s="97">
        <f>IF(ISERROR(VLOOKUP($S$462,'TAR FIN'!$A$1:$O$86,15,0)),0,VLOOKUP($S$462,'TAR FIN'!$A$1:$O$86,15,0))</f>
        <v>0</v>
      </c>
      <c r="W462" s="97">
        <f>IF(ISERROR(VLOOKUP($T$462,'TAR FIN'!$A$1:$O$86,15,0)),0,VLOOKUP($T$462,'TAR FIN'!$A$1:$O$86,15,0))*(1-0.04)</f>
        <v>1276.4832000000001</v>
      </c>
      <c r="X462" s="97">
        <f>IF(ISERROR(VLOOKUP($U$462,'TAR FIN'!$A$1:$O$86,15,0)),0,VLOOKUP($U$462,'TAR FIN'!$A$1:$O$86,15,0))*(1-0.04)</f>
        <v>373.64159999999998</v>
      </c>
      <c r="Y462" s="97"/>
      <c r="Z462" s="97">
        <f ca="1">('TUSD BE'!$AM$12+'TUSD BF_350'!$AM$12+'TUSD CVA'!$AM$12)*1*(1-0.02)</f>
        <v>1052.8740579870318</v>
      </c>
      <c r="AA462" s="97">
        <f ca="1">('TE BE'!$AB$5+'TE BF_350'!$AB$5+'TE CVA'!$AB$5)*1*(1-0.02)</f>
        <v>346.47998010024565</v>
      </c>
      <c r="AB462" s="6">
        <f>$K$462*$V$462</f>
        <v>0</v>
      </c>
      <c r="AC462" s="6">
        <f>$M$462*$W$462</f>
        <v>3695.4188640000002</v>
      </c>
      <c r="AD462" s="6">
        <f>$O$462*$X$462</f>
        <v>1081.6924320000001</v>
      </c>
      <c r="AE462" s="6">
        <f>$K$462*$Y$462</f>
        <v>0</v>
      </c>
      <c r="AF462" s="6">
        <f ca="1">$M$462*$Z$462</f>
        <v>3048.0703978724573</v>
      </c>
      <c r="AG462" s="6">
        <f ca="1">$O$462*$AA$462</f>
        <v>1003.0595423902112</v>
      </c>
    </row>
    <row r="463" spans="1:33" ht="11.25" customHeight="1" x14ac:dyDescent="0.25">
      <c r="A463" s="4" t="s">
        <v>55</v>
      </c>
      <c r="B463" s="4" t="s">
        <v>38</v>
      </c>
      <c r="C463" s="4" t="s">
        <v>40</v>
      </c>
      <c r="D463" s="4" t="s">
        <v>43</v>
      </c>
      <c r="E463" s="4" t="s">
        <v>51</v>
      </c>
      <c r="F463" s="4" t="s">
        <v>25</v>
      </c>
      <c r="G463" s="4" t="s">
        <v>25</v>
      </c>
      <c r="H463" s="4" t="s">
        <v>33</v>
      </c>
      <c r="I463" s="5">
        <v>44682</v>
      </c>
      <c r="J463" s="6">
        <v>0</v>
      </c>
      <c r="K463" s="97">
        <v>0</v>
      </c>
      <c r="L463" s="6">
        <v>0.08</v>
      </c>
      <c r="M463" s="97">
        <v>0.08</v>
      </c>
      <c r="N463" s="6">
        <v>0.08</v>
      </c>
      <c r="O463" s="97">
        <v>0.08</v>
      </c>
      <c r="P463" s="6">
        <v>0</v>
      </c>
      <c r="Q463" s="4" t="s">
        <v>26</v>
      </c>
      <c r="R463" s="4">
        <v>0</v>
      </c>
      <c r="S463" s="6">
        <v>0</v>
      </c>
      <c r="T463" s="6">
        <v>16</v>
      </c>
      <c r="U463" s="6">
        <v>47</v>
      </c>
      <c r="V463" s="97">
        <f>IF(ISERROR(VLOOKUP($S$463,'TAR FIN'!$A$1:$O$86,15,0)),0,VLOOKUP($S$463,'TAR FIN'!$A$1:$O$86,15,0))</f>
        <v>0</v>
      </c>
      <c r="W463" s="97">
        <f>IF(ISERROR(VLOOKUP($T$463,'TAR FIN'!$A$1:$O$86,15,0)),0,VLOOKUP($T$463,'TAR FIN'!$A$1:$O$86,15,0))*(1-0.04)</f>
        <v>1276.4832000000001</v>
      </c>
      <c r="X463" s="97">
        <f>IF(ISERROR(VLOOKUP($U$463,'TAR FIN'!$A$1:$O$86,15,0)),0,VLOOKUP($U$463,'TAR FIN'!$A$1:$O$86,15,0))*(1-0.04)</f>
        <v>373.64159999999998</v>
      </c>
      <c r="Y463" s="97"/>
      <c r="Z463" s="97">
        <f ca="1">('TUSD BE'!$AM$12+'TUSD BF_350'!$AM$12+'TUSD CVA'!$AM$12)*1*(1-0.02)</f>
        <v>1052.8740579870318</v>
      </c>
      <c r="AA463" s="97">
        <f ca="1">('TE BE'!$AB$5+'TE BF_350'!$AB$5+'TE CVA'!$AB$5)*1*(1-0.02)</f>
        <v>346.47998010024565</v>
      </c>
      <c r="AB463" s="6">
        <f>$K$463*$V$463</f>
        <v>0</v>
      </c>
      <c r="AC463" s="6">
        <f>$M$463*$W$463</f>
        <v>102.11865600000002</v>
      </c>
      <c r="AD463" s="6">
        <f>$O$463*$X$463</f>
        <v>29.891327999999998</v>
      </c>
      <c r="AE463" s="6">
        <f>$K$463*$Y$463</f>
        <v>0</v>
      </c>
      <c r="AF463" s="6">
        <f ca="1">$M$463*$Z$463</f>
        <v>84.229924638962544</v>
      </c>
      <c r="AG463" s="6">
        <f ca="1">$O$463*$AA$463</f>
        <v>27.718398408019652</v>
      </c>
    </row>
    <row r="464" spans="1:33" ht="11.25" customHeight="1" x14ac:dyDescent="0.25">
      <c r="A464" s="4" t="s">
        <v>56</v>
      </c>
      <c r="B464" s="4" t="s">
        <v>38</v>
      </c>
      <c r="C464" s="4" t="s">
        <v>40</v>
      </c>
      <c r="D464" s="4" t="s">
        <v>43</v>
      </c>
      <c r="E464" s="4" t="s">
        <v>51</v>
      </c>
      <c r="F464" s="4" t="s">
        <v>25</v>
      </c>
      <c r="G464" s="4" t="s">
        <v>25</v>
      </c>
      <c r="H464" s="4" t="s">
        <v>33</v>
      </c>
      <c r="I464" s="5">
        <v>44713</v>
      </c>
      <c r="J464" s="6">
        <v>0</v>
      </c>
      <c r="K464" s="97">
        <v>0</v>
      </c>
      <c r="L464" s="6">
        <v>2.895</v>
      </c>
      <c r="M464" s="97">
        <v>2.895</v>
      </c>
      <c r="N464" s="6">
        <v>2.895</v>
      </c>
      <c r="O464" s="97">
        <v>2.895</v>
      </c>
      <c r="P464" s="6">
        <v>0</v>
      </c>
      <c r="Q464" s="4" t="s">
        <v>26</v>
      </c>
      <c r="R464" s="4">
        <v>0</v>
      </c>
      <c r="S464" s="6">
        <v>0</v>
      </c>
      <c r="T464" s="6">
        <v>16</v>
      </c>
      <c r="U464" s="6">
        <v>47</v>
      </c>
      <c r="V464" s="97">
        <f>IF(ISERROR(VLOOKUP($S$464,'TAR FIN'!$A$1:$O$86,15,0)),0,VLOOKUP($S$464,'TAR FIN'!$A$1:$O$86,15,0))</f>
        <v>0</v>
      </c>
      <c r="W464" s="97">
        <f>IF(ISERROR(VLOOKUP($T$464,'TAR FIN'!$A$1:$O$86,15,0)),0,VLOOKUP($T$464,'TAR FIN'!$A$1:$O$86,15,0))*(1-0.04)</f>
        <v>1276.4832000000001</v>
      </c>
      <c r="X464" s="97">
        <f>IF(ISERROR(VLOOKUP($U$464,'TAR FIN'!$A$1:$O$86,15,0)),0,VLOOKUP($U$464,'TAR FIN'!$A$1:$O$86,15,0))*(1-0.04)</f>
        <v>373.64159999999998</v>
      </c>
      <c r="Y464" s="97"/>
      <c r="Z464" s="97">
        <f ca="1">('TUSD BE'!$AM$12+'TUSD BF_350'!$AM$12+'TUSD CVA'!$AM$12)*1*(1-0.02)</f>
        <v>1052.8740579870318</v>
      </c>
      <c r="AA464" s="97">
        <f ca="1">('TE BE'!$AB$5+'TE BF_350'!$AB$5+'TE CVA'!$AB$5)*1*(1-0.02)</f>
        <v>346.47998010024565</v>
      </c>
      <c r="AB464" s="6">
        <f>$K$464*$V$464</f>
        <v>0</v>
      </c>
      <c r="AC464" s="6">
        <f>$M$464*$W$464</f>
        <v>3695.4188640000002</v>
      </c>
      <c r="AD464" s="6">
        <f>$O$464*$X$464</f>
        <v>1081.6924320000001</v>
      </c>
      <c r="AE464" s="6">
        <f>$K$464*$Y$464</f>
        <v>0</v>
      </c>
      <c r="AF464" s="6">
        <f ca="1">$M$464*$Z$464</f>
        <v>3048.0703978724573</v>
      </c>
      <c r="AG464" s="6">
        <f ca="1">$O$464*$AA$464</f>
        <v>1003.0595423902112</v>
      </c>
    </row>
    <row r="465" spans="1:33" ht="11.25" customHeight="1" x14ac:dyDescent="0.25">
      <c r="A465" s="4" t="s">
        <v>56</v>
      </c>
      <c r="B465" s="4" t="s">
        <v>38</v>
      </c>
      <c r="C465" s="4" t="s">
        <v>40</v>
      </c>
      <c r="D465" s="4" t="s">
        <v>43</v>
      </c>
      <c r="E465" s="4" t="s">
        <v>51</v>
      </c>
      <c r="F465" s="4" t="s">
        <v>25</v>
      </c>
      <c r="G465" s="4" t="s">
        <v>25</v>
      </c>
      <c r="H465" s="4" t="s">
        <v>33</v>
      </c>
      <c r="I465" s="5">
        <v>44713</v>
      </c>
      <c r="J465" s="6">
        <v>0</v>
      </c>
      <c r="K465" s="97">
        <v>0</v>
      </c>
      <c r="L465" s="6">
        <v>0.08</v>
      </c>
      <c r="M465" s="97">
        <v>0.08</v>
      </c>
      <c r="N465" s="6">
        <v>0.08</v>
      </c>
      <c r="O465" s="97">
        <v>0.08</v>
      </c>
      <c r="P465" s="6">
        <v>0</v>
      </c>
      <c r="Q465" s="4" t="s">
        <v>26</v>
      </c>
      <c r="R465" s="4">
        <v>0</v>
      </c>
      <c r="S465" s="6">
        <v>0</v>
      </c>
      <c r="T465" s="6">
        <v>16</v>
      </c>
      <c r="U465" s="6">
        <v>47</v>
      </c>
      <c r="V465" s="97">
        <f>IF(ISERROR(VLOOKUP($S$465,'TAR FIN'!$A$1:$O$86,15,0)),0,VLOOKUP($S$465,'TAR FIN'!$A$1:$O$86,15,0))</f>
        <v>0</v>
      </c>
      <c r="W465" s="97">
        <f>IF(ISERROR(VLOOKUP($T$465,'TAR FIN'!$A$1:$O$86,15,0)),0,VLOOKUP($T$465,'TAR FIN'!$A$1:$O$86,15,0))*(1-0.04)</f>
        <v>1276.4832000000001</v>
      </c>
      <c r="X465" s="97">
        <f>IF(ISERROR(VLOOKUP($U$465,'TAR FIN'!$A$1:$O$86,15,0)),0,VLOOKUP($U$465,'TAR FIN'!$A$1:$O$86,15,0))*(1-0.04)</f>
        <v>373.64159999999998</v>
      </c>
      <c r="Y465" s="97"/>
      <c r="Z465" s="97">
        <f ca="1">('TUSD BE'!$AM$12+'TUSD BF_350'!$AM$12+'TUSD CVA'!$AM$12)*1*(1-0.02)</f>
        <v>1052.8740579870318</v>
      </c>
      <c r="AA465" s="97">
        <f ca="1">('TE BE'!$AB$5+'TE BF_350'!$AB$5+'TE CVA'!$AB$5)*1*(1-0.02)</f>
        <v>346.47998010024565</v>
      </c>
      <c r="AB465" s="6">
        <f>$K$465*$V$465</f>
        <v>0</v>
      </c>
      <c r="AC465" s="6">
        <f>$M$465*$W$465</f>
        <v>102.11865600000002</v>
      </c>
      <c r="AD465" s="6">
        <f>$O$465*$X$465</f>
        <v>29.891327999999998</v>
      </c>
      <c r="AE465" s="6">
        <f>$K$465*$Y$465</f>
        <v>0</v>
      </c>
      <c r="AF465" s="6">
        <f ca="1">$M$465*$Z$465</f>
        <v>84.229924638962544</v>
      </c>
      <c r="AG465" s="6">
        <f ca="1">$O$465*$AA$465</f>
        <v>27.718398408019652</v>
      </c>
    </row>
    <row r="466" spans="1:33" ht="11.25" customHeight="1" x14ac:dyDescent="0.25">
      <c r="A466" s="4" t="s">
        <v>21</v>
      </c>
      <c r="B466" s="4" t="s">
        <v>38</v>
      </c>
      <c r="C466" s="4" t="s">
        <v>40</v>
      </c>
      <c r="D466" s="4" t="s">
        <v>43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44378</v>
      </c>
      <c r="J466" s="6">
        <v>0</v>
      </c>
      <c r="K466" s="97">
        <v>0</v>
      </c>
      <c r="L466" s="6">
        <v>60.76</v>
      </c>
      <c r="M466" s="97">
        <v>60.76</v>
      </c>
      <c r="N466" s="6">
        <v>60.76</v>
      </c>
      <c r="O466" s="97">
        <v>60.76</v>
      </c>
      <c r="P466" s="6">
        <v>0</v>
      </c>
      <c r="Q466" s="4" t="s">
        <v>26</v>
      </c>
      <c r="R466" s="4">
        <v>0</v>
      </c>
      <c r="S466" s="6">
        <v>0</v>
      </c>
      <c r="T466" s="6">
        <v>14</v>
      </c>
      <c r="U466" s="6">
        <v>42</v>
      </c>
      <c r="V466" s="97">
        <f>IF(ISERROR(VLOOKUP($S$466,'TAR FIN'!$A$1:$O$86,15,0)),0,VLOOKUP($S$466,'TAR FIN'!$A$1:$O$86,15,0))</f>
        <v>0</v>
      </c>
      <c r="W466" s="97">
        <f>IF(ISERROR(VLOOKUP($T$466,'TAR FIN'!$A$1:$O$86,15,0)),0,VLOOKUP($T$466,'TAR FIN'!$A$1:$O$86,15,0))*(1-0.04)</f>
        <v>75.532800000000009</v>
      </c>
      <c r="X466" s="97">
        <f>IF(ISERROR(VLOOKUP($U$466,'TAR FIN'!$A$1:$O$86,15,0)),0,VLOOKUP($U$466,'TAR FIN'!$A$1:$O$86,15,0))*(1-0.04)</f>
        <v>236.44800000000001</v>
      </c>
      <c r="Y466" s="97"/>
      <c r="Z466" s="97">
        <f ca="1">('TUSD BE'!$AM$13+'TUSD BF_350'!$AM$13+'TUSD CVA'!$AM$13)*1*(1-0.02)</f>
        <v>98.232805801237291</v>
      </c>
      <c r="AA466" s="97">
        <f ca="1">('TE BE'!$AB$6+'TE BF_350'!$AB$6+'TE CVA'!$AB$6)*1*(1-0.02)</f>
        <v>215.01557219628384</v>
      </c>
      <c r="AB466" s="6">
        <f>$K$466*$V$466</f>
        <v>0</v>
      </c>
      <c r="AC466" s="6">
        <f>$M$466*$W$466</f>
        <v>4589.3729280000007</v>
      </c>
      <c r="AD466" s="6">
        <f>$O$466*$X$466</f>
        <v>14366.580480000001</v>
      </c>
      <c r="AE466" s="6">
        <f>$K$466*$Y$466</f>
        <v>0</v>
      </c>
      <c r="AF466" s="6">
        <f ca="1">$M$466*$Z$466</f>
        <v>5968.6252804831774</v>
      </c>
      <c r="AG466" s="6">
        <f ca="1">$O$466*$AA$466</f>
        <v>13064.346166646206</v>
      </c>
    </row>
    <row r="467" spans="1:33" ht="11.25" customHeight="1" x14ac:dyDescent="0.25">
      <c r="A467" s="4" t="s">
        <v>21</v>
      </c>
      <c r="B467" s="4" t="s">
        <v>38</v>
      </c>
      <c r="C467" s="4" t="s">
        <v>40</v>
      </c>
      <c r="D467" s="4" t="s">
        <v>43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44409</v>
      </c>
      <c r="J467" s="6">
        <v>0</v>
      </c>
      <c r="K467" s="97">
        <v>0</v>
      </c>
      <c r="L467" s="6">
        <v>38.04</v>
      </c>
      <c r="M467" s="97">
        <v>38.04</v>
      </c>
      <c r="N467" s="6">
        <v>38.04</v>
      </c>
      <c r="O467" s="97">
        <v>38.04</v>
      </c>
      <c r="P467" s="6">
        <v>0</v>
      </c>
      <c r="Q467" s="4" t="s">
        <v>26</v>
      </c>
      <c r="R467" s="4">
        <v>0</v>
      </c>
      <c r="S467" s="6">
        <v>0</v>
      </c>
      <c r="T467" s="6">
        <v>14</v>
      </c>
      <c r="U467" s="6">
        <v>42</v>
      </c>
      <c r="V467" s="97">
        <f>IF(ISERROR(VLOOKUP($S$467,'TAR FIN'!$A$1:$O$86,15,0)),0,VLOOKUP($S$467,'TAR FIN'!$A$1:$O$86,15,0))</f>
        <v>0</v>
      </c>
      <c r="W467" s="97">
        <f>IF(ISERROR(VLOOKUP($T$467,'TAR FIN'!$A$1:$O$86,15,0)),0,VLOOKUP($T$467,'TAR FIN'!$A$1:$O$86,15,0))*(1-0.04)</f>
        <v>75.532800000000009</v>
      </c>
      <c r="X467" s="97">
        <f>IF(ISERROR(VLOOKUP($U$467,'TAR FIN'!$A$1:$O$86,15,0)),0,VLOOKUP($U$467,'TAR FIN'!$A$1:$O$86,15,0))*(1-0.04)</f>
        <v>236.44800000000001</v>
      </c>
      <c r="Y467" s="97"/>
      <c r="Z467" s="97">
        <f ca="1">('TUSD BE'!$AM$13+'TUSD BF_350'!$AM$13+'TUSD CVA'!$AM$13)*1*(1-0.02)</f>
        <v>98.232805801237291</v>
      </c>
      <c r="AA467" s="97">
        <f ca="1">('TE BE'!$AB$6+'TE BF_350'!$AB$6+'TE CVA'!$AB$6)*1*(1-0.02)</f>
        <v>215.01557219628384</v>
      </c>
      <c r="AB467" s="6">
        <f>$K$467*$V$467</f>
        <v>0</v>
      </c>
      <c r="AC467" s="6">
        <f>$M$467*$W$467</f>
        <v>2873.2677120000003</v>
      </c>
      <c r="AD467" s="6">
        <f>$O$467*$X$467</f>
        <v>8994.4819200000002</v>
      </c>
      <c r="AE467" s="6">
        <f>$K$467*$Y$467</f>
        <v>0</v>
      </c>
      <c r="AF467" s="6">
        <f ca="1">$M$467*$Z$467</f>
        <v>3736.7759326790665</v>
      </c>
      <c r="AG467" s="6">
        <f ca="1">$O$467*$AA$467</f>
        <v>8179.1923663466368</v>
      </c>
    </row>
    <row r="468" spans="1:33" ht="11.25" customHeight="1" x14ac:dyDescent="0.25">
      <c r="A468" s="4" t="s">
        <v>21</v>
      </c>
      <c r="B468" s="4" t="s">
        <v>38</v>
      </c>
      <c r="C468" s="4" t="s">
        <v>40</v>
      </c>
      <c r="D468" s="4" t="s">
        <v>43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44440</v>
      </c>
      <c r="J468" s="6">
        <v>0</v>
      </c>
      <c r="K468" s="97">
        <v>0</v>
      </c>
      <c r="L468" s="6">
        <v>37.301000000000002</v>
      </c>
      <c r="M468" s="97">
        <v>37.301000000000002</v>
      </c>
      <c r="N468" s="6">
        <v>37.301000000000002</v>
      </c>
      <c r="O468" s="97">
        <v>37.301000000000002</v>
      </c>
      <c r="P468" s="6">
        <v>0</v>
      </c>
      <c r="Q468" s="4" t="s">
        <v>26</v>
      </c>
      <c r="R468" s="4">
        <v>0</v>
      </c>
      <c r="S468" s="6">
        <v>0</v>
      </c>
      <c r="T468" s="6">
        <v>14</v>
      </c>
      <c r="U468" s="6">
        <v>42</v>
      </c>
      <c r="V468" s="97">
        <f>IF(ISERROR(VLOOKUP($S$468,'TAR FIN'!$A$1:$O$86,15,0)),0,VLOOKUP($S$468,'TAR FIN'!$A$1:$O$86,15,0))</f>
        <v>0</v>
      </c>
      <c r="W468" s="97">
        <f>IF(ISERROR(VLOOKUP($T$468,'TAR FIN'!$A$1:$O$86,15,0)),0,VLOOKUP($T$468,'TAR FIN'!$A$1:$O$86,15,0))*(1-0.04)</f>
        <v>75.532800000000009</v>
      </c>
      <c r="X468" s="97">
        <f>IF(ISERROR(VLOOKUP($U$468,'TAR FIN'!$A$1:$O$86,15,0)),0,VLOOKUP($U$468,'TAR FIN'!$A$1:$O$86,15,0))*(1-0.04)</f>
        <v>236.44800000000001</v>
      </c>
      <c r="Y468" s="97"/>
      <c r="Z468" s="97">
        <f ca="1">('TUSD BE'!$AM$13+'TUSD BF_350'!$AM$13+'TUSD CVA'!$AM$13)*1*(1-0.02)</f>
        <v>98.232805801237291</v>
      </c>
      <c r="AA468" s="97">
        <f ca="1">('TE BE'!$AB$6+'TE BF_350'!$AB$6+'TE CVA'!$AB$6)*1*(1-0.02)</f>
        <v>215.01557219628384</v>
      </c>
      <c r="AB468" s="6">
        <f>$K$468*$V$468</f>
        <v>0</v>
      </c>
      <c r="AC468" s="6">
        <f>$M$468*$W$468</f>
        <v>2817.4489728000003</v>
      </c>
      <c r="AD468" s="6">
        <f>$O$468*$X$468</f>
        <v>8819.7468480000007</v>
      </c>
      <c r="AE468" s="6">
        <f>$K$468*$Y$468</f>
        <v>0</v>
      </c>
      <c r="AF468" s="6">
        <f ca="1">$M$468*$Z$468</f>
        <v>3664.1818891919525</v>
      </c>
      <c r="AG468" s="6">
        <f ca="1">$O$468*$AA$468</f>
        <v>8020.2958584935841</v>
      </c>
    </row>
    <row r="469" spans="1:33" ht="11.25" customHeight="1" x14ac:dyDescent="0.25">
      <c r="A469" s="4" t="s">
        <v>21</v>
      </c>
      <c r="B469" s="4" t="s">
        <v>38</v>
      </c>
      <c r="C469" s="4" t="s">
        <v>40</v>
      </c>
      <c r="D469" s="4" t="s">
        <v>43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44470</v>
      </c>
      <c r="J469" s="6">
        <v>0</v>
      </c>
      <c r="K469" s="97">
        <v>0</v>
      </c>
      <c r="L469" s="6">
        <v>60.843000000000004</v>
      </c>
      <c r="M469" s="97">
        <v>60.843000000000004</v>
      </c>
      <c r="N469" s="6">
        <v>60.843000000000004</v>
      </c>
      <c r="O469" s="97">
        <v>60.843000000000004</v>
      </c>
      <c r="P469" s="6">
        <v>0</v>
      </c>
      <c r="Q469" s="4" t="s">
        <v>26</v>
      </c>
      <c r="R469" s="4">
        <v>0</v>
      </c>
      <c r="S469" s="6">
        <v>0</v>
      </c>
      <c r="T469" s="6">
        <v>14</v>
      </c>
      <c r="U469" s="6">
        <v>42</v>
      </c>
      <c r="V469" s="97">
        <f>IF(ISERROR(VLOOKUP($S$469,'TAR FIN'!$A$1:$O$86,15,0)),0,VLOOKUP($S$469,'TAR FIN'!$A$1:$O$86,15,0))</f>
        <v>0</v>
      </c>
      <c r="W469" s="97">
        <f>IF(ISERROR(VLOOKUP($T$469,'TAR FIN'!$A$1:$O$86,15,0)),0,VLOOKUP($T$469,'TAR FIN'!$A$1:$O$86,15,0))*(1-0.04)</f>
        <v>75.532800000000009</v>
      </c>
      <c r="X469" s="97">
        <f>IF(ISERROR(VLOOKUP($U$469,'TAR FIN'!$A$1:$O$86,15,0)),0,VLOOKUP($U$469,'TAR FIN'!$A$1:$O$86,15,0))*(1-0.04)</f>
        <v>236.44800000000001</v>
      </c>
      <c r="Y469" s="97"/>
      <c r="Z469" s="97">
        <f ca="1">('TUSD BE'!$AM$13+'TUSD BF_350'!$AM$13+'TUSD CVA'!$AM$13)*1*(1-0.02)</f>
        <v>98.232805801237291</v>
      </c>
      <c r="AA469" s="97">
        <f ca="1">('TE BE'!$AB$6+'TE BF_350'!$AB$6+'TE CVA'!$AB$6)*1*(1-0.02)</f>
        <v>215.01557219628384</v>
      </c>
      <c r="AB469" s="6">
        <f>$K$469*$V$469</f>
        <v>0</v>
      </c>
      <c r="AC469" s="6">
        <f>$M$469*$W$469</f>
        <v>4595.6421504000009</v>
      </c>
      <c r="AD469" s="6">
        <f>$O$469*$X$469</f>
        <v>14386.205664000001</v>
      </c>
      <c r="AE469" s="6">
        <f>$K$469*$Y$469</f>
        <v>0</v>
      </c>
      <c r="AF469" s="6">
        <f ca="1">$M$469*$Z$469</f>
        <v>5976.7786033646807</v>
      </c>
      <c r="AG469" s="6">
        <f ca="1">$O$469*$AA$469</f>
        <v>13082.192459138498</v>
      </c>
    </row>
    <row r="470" spans="1:33" ht="11.25" customHeight="1" x14ac:dyDescent="0.25">
      <c r="A470" s="4" t="s">
        <v>21</v>
      </c>
      <c r="B470" s="4" t="s">
        <v>38</v>
      </c>
      <c r="C470" s="4" t="s">
        <v>40</v>
      </c>
      <c r="D470" s="4" t="s">
        <v>43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44501</v>
      </c>
      <c r="J470" s="6">
        <v>0</v>
      </c>
      <c r="K470" s="97">
        <v>0</v>
      </c>
      <c r="L470" s="6">
        <v>113.77</v>
      </c>
      <c r="M470" s="97">
        <v>113.77</v>
      </c>
      <c r="N470" s="6">
        <v>113.77</v>
      </c>
      <c r="O470" s="97">
        <v>113.77</v>
      </c>
      <c r="P470" s="6">
        <v>0</v>
      </c>
      <c r="Q470" s="4" t="s">
        <v>26</v>
      </c>
      <c r="R470" s="4">
        <v>0</v>
      </c>
      <c r="S470" s="6">
        <v>0</v>
      </c>
      <c r="T470" s="6">
        <v>14</v>
      </c>
      <c r="U470" s="6">
        <v>42</v>
      </c>
      <c r="V470" s="97">
        <f>IF(ISERROR(VLOOKUP($S$470,'TAR FIN'!$A$1:$O$86,15,0)),0,VLOOKUP($S$470,'TAR FIN'!$A$1:$O$86,15,0))</f>
        <v>0</v>
      </c>
      <c r="W470" s="97">
        <f>IF(ISERROR(VLOOKUP($T$470,'TAR FIN'!$A$1:$O$86,15,0)),0,VLOOKUP($T$470,'TAR FIN'!$A$1:$O$86,15,0))*(1-0.04)</f>
        <v>75.532800000000009</v>
      </c>
      <c r="X470" s="97">
        <f>IF(ISERROR(VLOOKUP($U$470,'TAR FIN'!$A$1:$O$86,15,0)),0,VLOOKUP($U$470,'TAR FIN'!$A$1:$O$86,15,0))*(1-0.04)</f>
        <v>236.44800000000001</v>
      </c>
      <c r="Y470" s="97"/>
      <c r="Z470" s="97">
        <f ca="1">('TUSD BE'!$AM$13+'TUSD BF_350'!$AM$13+'TUSD CVA'!$AM$13)*1*(1-0.02)</f>
        <v>98.232805801237291</v>
      </c>
      <c r="AA470" s="97">
        <f ca="1">('TE BE'!$AB$6+'TE BF_350'!$AB$6+'TE CVA'!$AB$6)*1*(1-0.02)</f>
        <v>215.01557219628384</v>
      </c>
      <c r="AB470" s="6">
        <f>$K$470*$V$470</f>
        <v>0</v>
      </c>
      <c r="AC470" s="6">
        <f>$M$470*$W$470</f>
        <v>8593.3666560000001</v>
      </c>
      <c r="AD470" s="6">
        <f>$O$470*$X$470</f>
        <v>26900.688959999999</v>
      </c>
      <c r="AE470" s="6">
        <f>$K$470*$Y$470</f>
        <v>0</v>
      </c>
      <c r="AF470" s="6">
        <f ca="1">$M$470*$Z$470</f>
        <v>11175.946316006766</v>
      </c>
      <c r="AG470" s="6">
        <f ca="1">$O$470*$AA$470</f>
        <v>24462.321648771212</v>
      </c>
    </row>
    <row r="471" spans="1:33" ht="11.25" customHeight="1" x14ac:dyDescent="0.25">
      <c r="A471" s="4" t="s">
        <v>21</v>
      </c>
      <c r="B471" s="4" t="s">
        <v>38</v>
      </c>
      <c r="C471" s="4" t="s">
        <v>40</v>
      </c>
      <c r="D471" s="4" t="s">
        <v>43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44531</v>
      </c>
      <c r="J471" s="6">
        <v>0</v>
      </c>
      <c r="K471" s="97">
        <v>0</v>
      </c>
      <c r="L471" s="6">
        <v>60.024999999999999</v>
      </c>
      <c r="M471" s="97">
        <v>60.024999999999999</v>
      </c>
      <c r="N471" s="6">
        <v>60.024999999999999</v>
      </c>
      <c r="O471" s="97">
        <v>60.024999999999999</v>
      </c>
      <c r="P471" s="6">
        <v>0</v>
      </c>
      <c r="Q471" s="4" t="s">
        <v>26</v>
      </c>
      <c r="R471" s="4">
        <v>0</v>
      </c>
      <c r="S471" s="6">
        <v>0</v>
      </c>
      <c r="T471" s="6">
        <v>14</v>
      </c>
      <c r="U471" s="6">
        <v>42</v>
      </c>
      <c r="V471" s="97">
        <f>IF(ISERROR(VLOOKUP($S$471,'TAR FIN'!$A$1:$O$86,15,0)),0,VLOOKUP($S$471,'TAR FIN'!$A$1:$O$86,15,0))</f>
        <v>0</v>
      </c>
      <c r="W471" s="97">
        <f>IF(ISERROR(VLOOKUP($T$471,'TAR FIN'!$A$1:$O$86,15,0)),0,VLOOKUP($T$471,'TAR FIN'!$A$1:$O$86,15,0))*(1-0.04)</f>
        <v>75.532800000000009</v>
      </c>
      <c r="X471" s="97">
        <f>IF(ISERROR(VLOOKUP($U$471,'TAR FIN'!$A$1:$O$86,15,0)),0,VLOOKUP($U$471,'TAR FIN'!$A$1:$O$86,15,0))*(1-0.04)</f>
        <v>236.44800000000001</v>
      </c>
      <c r="Y471" s="97"/>
      <c r="Z471" s="97">
        <f ca="1">('TUSD BE'!$AM$13+'TUSD BF_350'!$AM$13+'TUSD CVA'!$AM$13)*1*(1-0.02)</f>
        <v>98.232805801237291</v>
      </c>
      <c r="AA471" s="97">
        <f ca="1">('TE BE'!$AB$6+'TE BF_350'!$AB$6+'TE CVA'!$AB$6)*1*(1-0.02)</f>
        <v>215.01557219628384</v>
      </c>
      <c r="AB471" s="6">
        <f>$K$471*$V$471</f>
        <v>0</v>
      </c>
      <c r="AC471" s="6">
        <f>$M$471*$W$471</f>
        <v>4533.8563200000008</v>
      </c>
      <c r="AD471" s="6">
        <f>$O$471*$X$471</f>
        <v>14192.7912</v>
      </c>
      <c r="AE471" s="6">
        <f>$K$471*$Y$471</f>
        <v>0</v>
      </c>
      <c r="AF471" s="6">
        <f ca="1">$M$471*$Z$471</f>
        <v>5896.4241682192678</v>
      </c>
      <c r="AG471" s="6">
        <f ca="1">$O$471*$AA$471</f>
        <v>12906.309721081938</v>
      </c>
    </row>
    <row r="472" spans="1:33" ht="11.25" customHeight="1" x14ac:dyDescent="0.25">
      <c r="A472" s="4" t="s">
        <v>21</v>
      </c>
      <c r="B472" s="4" t="s">
        <v>38</v>
      </c>
      <c r="C472" s="4" t="s">
        <v>40</v>
      </c>
      <c r="D472" s="4" t="s">
        <v>43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44562</v>
      </c>
      <c r="J472" s="6">
        <v>0</v>
      </c>
      <c r="K472" s="97">
        <v>0</v>
      </c>
      <c r="L472" s="6">
        <v>72.953999999999994</v>
      </c>
      <c r="M472" s="97">
        <v>72.953999999999994</v>
      </c>
      <c r="N472" s="6">
        <v>72.953999999999994</v>
      </c>
      <c r="O472" s="97">
        <v>72.953999999999994</v>
      </c>
      <c r="P472" s="6">
        <v>0</v>
      </c>
      <c r="Q472" s="4" t="s">
        <v>26</v>
      </c>
      <c r="R472" s="4">
        <v>0</v>
      </c>
      <c r="S472" s="6">
        <v>0</v>
      </c>
      <c r="T472" s="6">
        <v>14</v>
      </c>
      <c r="U472" s="6">
        <v>42</v>
      </c>
      <c r="V472" s="97">
        <f>IF(ISERROR(VLOOKUP($S$472,'TAR FIN'!$A$1:$O$86,15,0)),0,VLOOKUP($S$472,'TAR FIN'!$A$1:$O$86,15,0))</f>
        <v>0</v>
      </c>
      <c r="W472" s="97">
        <f>IF(ISERROR(VLOOKUP($T$472,'TAR FIN'!$A$1:$O$86,15,0)),0,VLOOKUP($T$472,'TAR FIN'!$A$1:$O$86,15,0))*(1-0.04)</f>
        <v>75.532800000000009</v>
      </c>
      <c r="X472" s="97">
        <f>IF(ISERROR(VLOOKUP($U$472,'TAR FIN'!$A$1:$O$86,15,0)),0,VLOOKUP($U$472,'TAR FIN'!$A$1:$O$86,15,0))*(1-0.04)</f>
        <v>236.44800000000001</v>
      </c>
      <c r="Y472" s="97"/>
      <c r="Z472" s="97">
        <f ca="1">('TUSD BE'!$AM$13+'TUSD BF_350'!$AM$13+'TUSD CVA'!$AM$13)*1*(1-0.02)</f>
        <v>98.232805801237291</v>
      </c>
      <c r="AA472" s="97">
        <f ca="1">('TE BE'!$AB$6+'TE BF_350'!$AB$6+'TE CVA'!$AB$6)*1*(1-0.02)</f>
        <v>215.01557219628384</v>
      </c>
      <c r="AB472" s="6">
        <f>$K$472*$V$472</f>
        <v>0</v>
      </c>
      <c r="AC472" s="6">
        <f>$M$472*$W$472</f>
        <v>5510.4198912000002</v>
      </c>
      <c r="AD472" s="6">
        <f>$O$472*$X$472</f>
        <v>17249.827391999999</v>
      </c>
      <c r="AE472" s="6">
        <f>$K$472*$Y$472</f>
        <v>0</v>
      </c>
      <c r="AF472" s="6">
        <f ca="1">$M$472*$Z$472</f>
        <v>7166.4761144234644</v>
      </c>
      <c r="AG472" s="6">
        <f ca="1">$O$472*$AA$472</f>
        <v>15686.24605400769</v>
      </c>
    </row>
    <row r="473" spans="1:33" ht="11.25" customHeight="1" x14ac:dyDescent="0.25">
      <c r="A473" s="4" t="s">
        <v>27</v>
      </c>
      <c r="B473" s="4" t="s">
        <v>38</v>
      </c>
      <c r="C473" s="4" t="s">
        <v>40</v>
      </c>
      <c r="D473" s="4" t="s">
        <v>43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44562</v>
      </c>
      <c r="J473" s="6">
        <v>0</v>
      </c>
      <c r="K473" s="97">
        <v>0</v>
      </c>
      <c r="L473" s="6">
        <v>91.900999999999996</v>
      </c>
      <c r="M473" s="97">
        <v>91.900999999999996</v>
      </c>
      <c r="N473" s="6">
        <v>91.900999999999996</v>
      </c>
      <c r="O473" s="97">
        <v>91.900999999999996</v>
      </c>
      <c r="P473" s="6">
        <v>0</v>
      </c>
      <c r="Q473" s="4" t="s">
        <v>26</v>
      </c>
      <c r="R473" s="4">
        <v>0</v>
      </c>
      <c r="S473" s="6">
        <v>0</v>
      </c>
      <c r="T473" s="6">
        <v>14</v>
      </c>
      <c r="U473" s="6">
        <v>42</v>
      </c>
      <c r="V473" s="97">
        <f>IF(ISERROR(VLOOKUP($S$473,'TAR FIN'!$A$1:$O$86,15,0)),0,VLOOKUP($S$473,'TAR FIN'!$A$1:$O$86,15,0))</f>
        <v>0</v>
      </c>
      <c r="W473" s="97">
        <f>IF(ISERROR(VLOOKUP($T$473,'TAR FIN'!$A$1:$O$86,15,0)),0,VLOOKUP($T$473,'TAR FIN'!$A$1:$O$86,15,0))*(1-0.04)</f>
        <v>75.532800000000009</v>
      </c>
      <c r="X473" s="97">
        <f>IF(ISERROR(VLOOKUP($U$473,'TAR FIN'!$A$1:$O$86,15,0)),0,VLOOKUP($U$473,'TAR FIN'!$A$1:$O$86,15,0))*(1-0.04)</f>
        <v>236.44800000000001</v>
      </c>
      <c r="Y473" s="97"/>
      <c r="Z473" s="97">
        <f ca="1">('TUSD BE'!$AM$13+'TUSD BF_350'!$AM$13+'TUSD CVA'!$AM$13)*1*(1-0.02)</f>
        <v>98.232805801237291</v>
      </c>
      <c r="AA473" s="97">
        <f ca="1">('TE BE'!$AB$6+'TE BF_350'!$AB$6+'TE CVA'!$AB$6)*1*(1-0.02)</f>
        <v>215.01557219628384</v>
      </c>
      <c r="AB473" s="6">
        <f>$K$473*$V$473</f>
        <v>0</v>
      </c>
      <c r="AC473" s="6">
        <f>$M$473*$W$473</f>
        <v>6941.5398528000005</v>
      </c>
      <c r="AD473" s="6">
        <f>$O$473*$X$473</f>
        <v>21729.807647999998</v>
      </c>
      <c r="AE473" s="6">
        <f>$K$473*$Y$473</f>
        <v>0</v>
      </c>
      <c r="AF473" s="6">
        <f ca="1">$M$473*$Z$473</f>
        <v>9027.693085939507</v>
      </c>
      <c r="AG473" s="6">
        <f ca="1">$O$473*$AA$473</f>
        <v>19760.146100410682</v>
      </c>
    </row>
    <row r="474" spans="1:33" ht="11.25" customHeight="1" x14ac:dyDescent="0.25">
      <c r="A474" s="4" t="s">
        <v>21</v>
      </c>
      <c r="B474" s="4" t="s">
        <v>38</v>
      </c>
      <c r="C474" s="4" t="s">
        <v>40</v>
      </c>
      <c r="D474" s="4" t="s">
        <v>43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44593</v>
      </c>
      <c r="J474" s="6">
        <v>0</v>
      </c>
      <c r="K474" s="97">
        <v>0</v>
      </c>
      <c r="L474" s="6">
        <v>44.546999999999997</v>
      </c>
      <c r="M474" s="97">
        <v>44.546999999999997</v>
      </c>
      <c r="N474" s="6">
        <v>44.546999999999997</v>
      </c>
      <c r="O474" s="97">
        <v>44.546999999999997</v>
      </c>
      <c r="P474" s="6">
        <v>0</v>
      </c>
      <c r="Q474" s="4" t="s">
        <v>26</v>
      </c>
      <c r="R474" s="4">
        <v>0</v>
      </c>
      <c r="S474" s="6">
        <v>0</v>
      </c>
      <c r="T474" s="6">
        <v>14</v>
      </c>
      <c r="U474" s="6">
        <v>42</v>
      </c>
      <c r="V474" s="97">
        <f>IF(ISERROR(VLOOKUP($S$474,'TAR FIN'!$A$1:$O$86,15,0)),0,VLOOKUP($S$474,'TAR FIN'!$A$1:$O$86,15,0))</f>
        <v>0</v>
      </c>
      <c r="W474" s="97">
        <f>IF(ISERROR(VLOOKUP($T$474,'TAR FIN'!$A$1:$O$86,15,0)),0,VLOOKUP($T$474,'TAR FIN'!$A$1:$O$86,15,0))*(1-0.04)</f>
        <v>75.532800000000009</v>
      </c>
      <c r="X474" s="97">
        <f>IF(ISERROR(VLOOKUP($U$474,'TAR FIN'!$A$1:$O$86,15,0)),0,VLOOKUP($U$474,'TAR FIN'!$A$1:$O$86,15,0))*(1-0.04)</f>
        <v>236.44800000000001</v>
      </c>
      <c r="Y474" s="97"/>
      <c r="Z474" s="97">
        <f ca="1">('TUSD BE'!$AM$13+'TUSD BF_350'!$AM$13+'TUSD CVA'!$AM$13)*1*(1-0.02)</f>
        <v>98.232805801237291</v>
      </c>
      <c r="AA474" s="97">
        <f ca="1">('TE BE'!$AB$6+'TE BF_350'!$AB$6+'TE CVA'!$AB$6)*1*(1-0.02)</f>
        <v>215.01557219628384</v>
      </c>
      <c r="AB474" s="6">
        <f>$K$474*$V$474</f>
        <v>0</v>
      </c>
      <c r="AC474" s="6">
        <f>$M$474*$W$474</f>
        <v>3364.7596416000001</v>
      </c>
      <c r="AD474" s="6">
        <f>$O$474*$X$474</f>
        <v>10533.049056</v>
      </c>
      <c r="AE474" s="6">
        <f>$K$474*$Y$474</f>
        <v>0</v>
      </c>
      <c r="AF474" s="6">
        <f ca="1">$M$474*$Z$474</f>
        <v>4375.9768000277172</v>
      </c>
      <c r="AG474" s="6">
        <f ca="1">$O$474*$AA$474</f>
        <v>9578.2986946278561</v>
      </c>
    </row>
    <row r="475" spans="1:33" ht="11.25" customHeight="1" x14ac:dyDescent="0.25">
      <c r="A475" s="4" t="s">
        <v>21</v>
      </c>
      <c r="B475" s="4" t="s">
        <v>38</v>
      </c>
      <c r="C475" s="4" t="s">
        <v>40</v>
      </c>
      <c r="D475" s="4" t="s">
        <v>43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44621</v>
      </c>
      <c r="J475" s="6">
        <v>0</v>
      </c>
      <c r="K475" s="97">
        <v>0</v>
      </c>
      <c r="L475" s="6">
        <v>70.852999999999994</v>
      </c>
      <c r="M475" s="97">
        <v>70.852999999999994</v>
      </c>
      <c r="N475" s="6">
        <v>70.852999999999994</v>
      </c>
      <c r="O475" s="97">
        <v>70.852999999999994</v>
      </c>
      <c r="P475" s="6">
        <v>0</v>
      </c>
      <c r="Q475" s="4" t="s">
        <v>26</v>
      </c>
      <c r="R475" s="4">
        <v>0</v>
      </c>
      <c r="S475" s="6">
        <v>0</v>
      </c>
      <c r="T475" s="6">
        <v>14</v>
      </c>
      <c r="U475" s="6">
        <v>42</v>
      </c>
      <c r="V475" s="97">
        <f>IF(ISERROR(VLOOKUP($S$475,'TAR FIN'!$A$1:$O$86,15,0)),0,VLOOKUP($S$475,'TAR FIN'!$A$1:$O$86,15,0))</f>
        <v>0</v>
      </c>
      <c r="W475" s="97">
        <f>IF(ISERROR(VLOOKUP($T$475,'TAR FIN'!$A$1:$O$86,15,0)),0,VLOOKUP($T$475,'TAR FIN'!$A$1:$O$86,15,0))*(1-0.04)</f>
        <v>75.532800000000009</v>
      </c>
      <c r="X475" s="97">
        <f>IF(ISERROR(VLOOKUP($U$475,'TAR FIN'!$A$1:$O$86,15,0)),0,VLOOKUP($U$475,'TAR FIN'!$A$1:$O$86,15,0))*(1-0.04)</f>
        <v>236.44800000000001</v>
      </c>
      <c r="Y475" s="97"/>
      <c r="Z475" s="97">
        <f ca="1">('TUSD BE'!$AM$13+'TUSD BF_350'!$AM$13+'TUSD CVA'!$AM$13)*1*(1-0.02)</f>
        <v>98.232805801237291</v>
      </c>
      <c r="AA475" s="97">
        <f ca="1">('TE BE'!$AB$6+'TE BF_350'!$AB$6+'TE CVA'!$AB$6)*1*(1-0.02)</f>
        <v>215.01557219628384</v>
      </c>
      <c r="AB475" s="6">
        <f>$K$475*$V$475</f>
        <v>0</v>
      </c>
      <c r="AC475" s="6">
        <f>$M$475*$W$475</f>
        <v>5351.7254784000006</v>
      </c>
      <c r="AD475" s="6">
        <f>$O$475*$X$475</f>
        <v>16753.050144000001</v>
      </c>
      <c r="AE475" s="6">
        <f>$K$475*$Y$475</f>
        <v>0</v>
      </c>
      <c r="AF475" s="6">
        <f ca="1">$M$475*$Z$475</f>
        <v>6960.0889894350648</v>
      </c>
      <c r="AG475" s="6">
        <f ca="1">$O$475*$AA$475</f>
        <v>15234.498336823297</v>
      </c>
    </row>
    <row r="476" spans="1:33" ht="11.25" customHeight="1" x14ac:dyDescent="0.25">
      <c r="A476" s="4" t="s">
        <v>21</v>
      </c>
      <c r="B476" s="4" t="s">
        <v>38</v>
      </c>
      <c r="C476" s="4" t="s">
        <v>40</v>
      </c>
      <c r="D476" s="4" t="s">
        <v>43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44652</v>
      </c>
      <c r="J476" s="6">
        <v>0</v>
      </c>
      <c r="K476" s="97">
        <v>0</v>
      </c>
      <c r="L476" s="6">
        <v>154.92699999999999</v>
      </c>
      <c r="M476" s="97">
        <v>154.92699999999999</v>
      </c>
      <c r="N476" s="6">
        <v>154.92699999999999</v>
      </c>
      <c r="O476" s="97">
        <v>154.92699999999999</v>
      </c>
      <c r="P476" s="6">
        <v>0</v>
      </c>
      <c r="Q476" s="4" t="s">
        <v>26</v>
      </c>
      <c r="R476" s="4">
        <v>0</v>
      </c>
      <c r="S476" s="6">
        <v>0</v>
      </c>
      <c r="T476" s="6">
        <v>14</v>
      </c>
      <c r="U476" s="6">
        <v>42</v>
      </c>
      <c r="V476" s="97">
        <f>IF(ISERROR(VLOOKUP($S$476,'TAR FIN'!$A$1:$O$86,15,0)),0,VLOOKUP($S$476,'TAR FIN'!$A$1:$O$86,15,0))</f>
        <v>0</v>
      </c>
      <c r="W476" s="97">
        <f>IF(ISERROR(VLOOKUP($T$476,'TAR FIN'!$A$1:$O$86,15,0)),0,VLOOKUP($T$476,'TAR FIN'!$A$1:$O$86,15,0))*(1-0.04)</f>
        <v>75.532800000000009</v>
      </c>
      <c r="X476" s="97">
        <f>IF(ISERROR(VLOOKUP($U$476,'TAR FIN'!$A$1:$O$86,15,0)),0,VLOOKUP($U$476,'TAR FIN'!$A$1:$O$86,15,0))*(1-0.04)</f>
        <v>236.44800000000001</v>
      </c>
      <c r="Y476" s="97"/>
      <c r="Z476" s="97">
        <f ca="1">('TUSD BE'!$AM$13+'TUSD BF_350'!$AM$13+'TUSD CVA'!$AM$13)*1*(1-0.02)</f>
        <v>98.232805801237291</v>
      </c>
      <c r="AA476" s="97">
        <f ca="1">('TE BE'!$AB$6+'TE BF_350'!$AB$6+'TE CVA'!$AB$6)*1*(1-0.02)</f>
        <v>215.01557219628384</v>
      </c>
      <c r="AB476" s="6">
        <f>$K$476*$V$476</f>
        <v>0</v>
      </c>
      <c r="AC476" s="6">
        <f>$M$476*$W$476</f>
        <v>11702.070105600002</v>
      </c>
      <c r="AD476" s="6">
        <f>$O$476*$X$476</f>
        <v>36632.179296000002</v>
      </c>
      <c r="AE476" s="6">
        <f>$K$476*$Y$476</f>
        <v>0</v>
      </c>
      <c r="AF476" s="6">
        <f ca="1">$M$476*$Z$476</f>
        <v>15218.91390436829</v>
      </c>
      <c r="AG476" s="6">
        <f ca="1">$O$476*$AA$476</f>
        <v>33311.717553653667</v>
      </c>
    </row>
    <row r="477" spans="1:33" ht="11.25" customHeight="1" x14ac:dyDescent="0.25">
      <c r="A477" s="4" t="s">
        <v>21</v>
      </c>
      <c r="B477" s="4" t="s">
        <v>38</v>
      </c>
      <c r="C477" s="4" t="s">
        <v>40</v>
      </c>
      <c r="D477" s="4" t="s">
        <v>43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97">
        <v>0</v>
      </c>
      <c r="L477" s="6">
        <v>77.64</v>
      </c>
      <c r="M477" s="97">
        <v>77.64</v>
      </c>
      <c r="N477" s="6">
        <v>77.64</v>
      </c>
      <c r="O477" s="97">
        <v>77.64</v>
      </c>
      <c r="P477" s="6">
        <v>0</v>
      </c>
      <c r="Q477" s="4" t="s">
        <v>26</v>
      </c>
      <c r="R477" s="4">
        <v>0</v>
      </c>
      <c r="S477" s="6">
        <v>0</v>
      </c>
      <c r="T477" s="6">
        <v>14</v>
      </c>
      <c r="U477" s="6">
        <v>42</v>
      </c>
      <c r="V477" s="97">
        <f>IF(ISERROR(VLOOKUP($S$477,'TAR FIN'!$A$1:$O$86,15,0)),0,VLOOKUP($S$477,'TAR FIN'!$A$1:$O$86,15,0))</f>
        <v>0</v>
      </c>
      <c r="W477" s="97">
        <f>IF(ISERROR(VLOOKUP($T$477,'TAR FIN'!$A$1:$O$86,15,0)),0,VLOOKUP($T$477,'TAR FIN'!$A$1:$O$86,15,0))*(1-0.04)</f>
        <v>75.532800000000009</v>
      </c>
      <c r="X477" s="97">
        <f>IF(ISERROR(VLOOKUP($U$477,'TAR FIN'!$A$1:$O$86,15,0)),0,VLOOKUP($U$477,'TAR FIN'!$A$1:$O$86,15,0))*(1-0.04)</f>
        <v>236.44800000000001</v>
      </c>
      <c r="Y477" s="97"/>
      <c r="Z477" s="97">
        <f ca="1">('TUSD BE'!$AM$13+'TUSD BF_350'!$AM$13+'TUSD CVA'!$AM$13)*1*(1-0.02)</f>
        <v>98.232805801237291</v>
      </c>
      <c r="AA477" s="97">
        <f ca="1">('TE BE'!$AB$6+'TE BF_350'!$AB$6+'TE CVA'!$AB$6)*1*(1-0.02)</f>
        <v>215.01557219628384</v>
      </c>
      <c r="AB477" s="6">
        <f>$K$477*$V$477</f>
        <v>0</v>
      </c>
      <c r="AC477" s="6">
        <f>$M$477*$W$477</f>
        <v>5864.3665920000003</v>
      </c>
      <c r="AD477" s="6">
        <f>$O$477*$X$477</f>
        <v>18357.82272</v>
      </c>
      <c r="AE477" s="6">
        <f>$K$477*$Y$477</f>
        <v>0</v>
      </c>
      <c r="AF477" s="6">
        <f ca="1">$M$477*$Z$477</f>
        <v>7626.7950424080636</v>
      </c>
      <c r="AG477" s="6">
        <f ca="1">$O$477*$AA$477</f>
        <v>16693.809025319479</v>
      </c>
    </row>
    <row r="478" spans="1:33" ht="11.25" customHeight="1" x14ac:dyDescent="0.25">
      <c r="A478" s="4" t="s">
        <v>56</v>
      </c>
      <c r="B478" s="4" t="s">
        <v>38</v>
      </c>
      <c r="C478" s="4" t="s">
        <v>40</v>
      </c>
      <c r="D478" s="4" t="s">
        <v>43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44713</v>
      </c>
      <c r="J478" s="6">
        <v>0</v>
      </c>
      <c r="K478" s="97">
        <v>0</v>
      </c>
      <c r="L478" s="6">
        <v>77.64</v>
      </c>
      <c r="M478" s="97">
        <v>77.64</v>
      </c>
      <c r="N478" s="6">
        <v>77.64</v>
      </c>
      <c r="O478" s="97">
        <v>77.64</v>
      </c>
      <c r="P478" s="6">
        <v>0</v>
      </c>
      <c r="Q478" s="4" t="s">
        <v>26</v>
      </c>
      <c r="R478" s="4">
        <v>0</v>
      </c>
      <c r="S478" s="6">
        <v>0</v>
      </c>
      <c r="T478" s="6">
        <v>14</v>
      </c>
      <c r="U478" s="6">
        <v>42</v>
      </c>
      <c r="V478" s="97">
        <f>IF(ISERROR(VLOOKUP($S$478,'TAR FIN'!$A$1:$O$86,15,0)),0,VLOOKUP($S$478,'TAR FIN'!$A$1:$O$86,15,0))</f>
        <v>0</v>
      </c>
      <c r="W478" s="97">
        <f>IF(ISERROR(VLOOKUP($T$478,'TAR FIN'!$A$1:$O$86,15,0)),0,VLOOKUP($T$478,'TAR FIN'!$A$1:$O$86,15,0))*(1-0.04)</f>
        <v>75.532800000000009</v>
      </c>
      <c r="X478" s="97">
        <f>IF(ISERROR(VLOOKUP($U$478,'TAR FIN'!$A$1:$O$86,15,0)),0,VLOOKUP($U$478,'TAR FIN'!$A$1:$O$86,15,0))*(1-0.04)</f>
        <v>236.44800000000001</v>
      </c>
      <c r="Y478" s="97"/>
      <c r="Z478" s="97">
        <f ca="1">('TUSD BE'!$AM$13+'TUSD BF_350'!$AM$13+'TUSD CVA'!$AM$13)*1*(1-0.02)</f>
        <v>98.232805801237291</v>
      </c>
      <c r="AA478" s="97">
        <f ca="1">('TE BE'!$AB$6+'TE BF_350'!$AB$6+'TE CVA'!$AB$6)*1*(1-0.02)</f>
        <v>215.01557219628384</v>
      </c>
      <c r="AB478" s="6">
        <f>$K$478*$V$478</f>
        <v>0</v>
      </c>
      <c r="AC478" s="6">
        <f>$M$478*$W$478</f>
        <v>5864.3665920000003</v>
      </c>
      <c r="AD478" s="6">
        <f>$O$478*$X$478</f>
        <v>18357.82272</v>
      </c>
      <c r="AE478" s="6">
        <f>$K$478*$Y$478</f>
        <v>0</v>
      </c>
      <c r="AF478" s="6">
        <f ca="1">$M$478*$Z$478</f>
        <v>7626.7950424080636</v>
      </c>
      <c r="AG478" s="6">
        <f ca="1">$O$478*$AA$478</f>
        <v>16693.809025319479</v>
      </c>
    </row>
    <row r="479" spans="1:33" ht="11.25" customHeight="1" x14ac:dyDescent="0.25">
      <c r="A479" s="4" t="s">
        <v>21</v>
      </c>
      <c r="B479" s="4" t="s">
        <v>38</v>
      </c>
      <c r="C479" s="4" t="s">
        <v>40</v>
      </c>
      <c r="D479" s="4" t="s">
        <v>43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44378</v>
      </c>
      <c r="J479" s="6">
        <v>553</v>
      </c>
      <c r="K479" s="97">
        <v>553</v>
      </c>
      <c r="L479" s="6">
        <v>0</v>
      </c>
      <c r="M479" s="97">
        <v>0</v>
      </c>
      <c r="N479" s="6">
        <v>0</v>
      </c>
      <c r="O479" s="97">
        <v>0</v>
      </c>
      <c r="P479" s="6">
        <v>5</v>
      </c>
      <c r="Q479" s="4" t="s">
        <v>26</v>
      </c>
      <c r="R479" s="4">
        <v>0</v>
      </c>
      <c r="S479" s="6">
        <v>18</v>
      </c>
      <c r="T479" s="6">
        <v>0</v>
      </c>
      <c r="U479" s="6">
        <v>0</v>
      </c>
      <c r="V479" s="97">
        <f>IF(ISERROR(VLOOKUP($S$479,'TAR FIN'!$A$1:$O$86,15,0)),0,VLOOKUP($S$479,'TAR FIN'!$A$1:$O$86,15,0))*(1-0.04)</f>
        <v>18.470399999999998</v>
      </c>
      <c r="W479" s="97">
        <f>IF(ISERROR(VLOOKUP($T$479,'TAR FIN'!$A$1:$O$86,15,0)),0,VLOOKUP($T$479,'TAR FIN'!$A$1:$O$86,15,0))</f>
        <v>0</v>
      </c>
      <c r="X479" s="97">
        <f>IF(ISERROR(VLOOKUP($U$479,'TAR FIN'!$A$1:$O$86,15,0)),0,VLOOKUP($U$479,'TAR FIN'!$A$1:$O$86,15,0))</f>
        <v>0</v>
      </c>
      <c r="Y479" s="97">
        <f ca="1">('TUSD BE'!$AM$11+'TUSD BF_350'!$AM$11+'TUSD CVA'!$AM$11)*1*(1-0.02)</f>
        <v>14.889098762306169</v>
      </c>
      <c r="Z479" s="97"/>
      <c r="AA479" s="97"/>
      <c r="AB479" s="6">
        <f>$K$479*$V$479</f>
        <v>10214.131199999998</v>
      </c>
      <c r="AC479" s="6">
        <f>$M$479*$W$479</f>
        <v>0</v>
      </c>
      <c r="AD479" s="6">
        <f>$O$479*$X$479</f>
        <v>0</v>
      </c>
      <c r="AE479" s="6">
        <f ca="1">$K$479*$Y$479</f>
        <v>8233.6716155553113</v>
      </c>
      <c r="AF479" s="6">
        <f>$M$479*$Z$479</f>
        <v>0</v>
      </c>
      <c r="AG479" s="6">
        <f>$O$479*$AA$479</f>
        <v>0</v>
      </c>
    </row>
    <row r="480" spans="1:33" ht="11.25" customHeight="1" x14ac:dyDescent="0.25">
      <c r="A480" s="4" t="s">
        <v>21</v>
      </c>
      <c r="B480" s="4" t="s">
        <v>38</v>
      </c>
      <c r="C480" s="4" t="s">
        <v>40</v>
      </c>
      <c r="D480" s="4" t="s">
        <v>43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44409</v>
      </c>
      <c r="J480" s="6">
        <v>564</v>
      </c>
      <c r="K480" s="97">
        <v>564</v>
      </c>
      <c r="L480" s="6">
        <v>0</v>
      </c>
      <c r="M480" s="97">
        <v>0</v>
      </c>
      <c r="N480" s="6">
        <v>0</v>
      </c>
      <c r="O480" s="97">
        <v>0</v>
      </c>
      <c r="P480" s="6">
        <v>5</v>
      </c>
      <c r="Q480" s="4" t="s">
        <v>26</v>
      </c>
      <c r="R480" s="4">
        <v>0</v>
      </c>
      <c r="S480" s="6">
        <v>18</v>
      </c>
      <c r="T480" s="6">
        <v>0</v>
      </c>
      <c r="U480" s="6">
        <v>0</v>
      </c>
      <c r="V480" s="97">
        <f>IF(ISERROR(VLOOKUP($S$480,'TAR FIN'!$A$1:$O$86,15,0)),0,VLOOKUP($S$480,'TAR FIN'!$A$1:$O$86,15,0))*(1-0.04)</f>
        <v>18.470399999999998</v>
      </c>
      <c r="W480" s="97">
        <f>IF(ISERROR(VLOOKUP($T$480,'TAR FIN'!$A$1:$O$86,15,0)),0,VLOOKUP($T$480,'TAR FIN'!$A$1:$O$86,15,0))</f>
        <v>0</v>
      </c>
      <c r="X480" s="97">
        <f>IF(ISERROR(VLOOKUP($U$480,'TAR FIN'!$A$1:$O$86,15,0)),0,VLOOKUP($U$480,'TAR FIN'!$A$1:$O$86,15,0))</f>
        <v>0</v>
      </c>
      <c r="Y480" s="97">
        <f ca="1">('TUSD BE'!$AM$11+'TUSD BF_350'!$AM$11+'TUSD CVA'!$AM$11)*1*(1-0.02)</f>
        <v>14.889098762306169</v>
      </c>
      <c r="Z480" s="97"/>
      <c r="AA480" s="97"/>
      <c r="AB480" s="6">
        <f>$K$480*$V$480</f>
        <v>10417.3056</v>
      </c>
      <c r="AC480" s="6">
        <f>$M$480*$W$480</f>
        <v>0</v>
      </c>
      <c r="AD480" s="6">
        <f>$O$480*$X$480</f>
        <v>0</v>
      </c>
      <c r="AE480" s="6">
        <f ca="1">$K$480*$Y$480</f>
        <v>8397.4517019406794</v>
      </c>
      <c r="AF480" s="6">
        <f>$M$480*$Z$480</f>
        <v>0</v>
      </c>
      <c r="AG480" s="6">
        <f>$O$480*$AA$480</f>
        <v>0</v>
      </c>
    </row>
    <row r="481" spans="1:33" ht="11.25" customHeight="1" x14ac:dyDescent="0.25">
      <c r="A481" s="4" t="s">
        <v>21</v>
      </c>
      <c r="B481" s="4" t="s">
        <v>38</v>
      </c>
      <c r="C481" s="4" t="s">
        <v>40</v>
      </c>
      <c r="D481" s="4" t="s">
        <v>43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44440</v>
      </c>
      <c r="J481" s="6">
        <v>549</v>
      </c>
      <c r="K481" s="97">
        <v>549</v>
      </c>
      <c r="L481" s="6">
        <v>0</v>
      </c>
      <c r="M481" s="97">
        <v>0</v>
      </c>
      <c r="N481" s="6">
        <v>0</v>
      </c>
      <c r="O481" s="97">
        <v>0</v>
      </c>
      <c r="P481" s="6">
        <v>5</v>
      </c>
      <c r="Q481" s="4" t="s">
        <v>26</v>
      </c>
      <c r="R481" s="4">
        <v>0</v>
      </c>
      <c r="S481" s="6">
        <v>18</v>
      </c>
      <c r="T481" s="6">
        <v>0</v>
      </c>
      <c r="U481" s="6">
        <v>0</v>
      </c>
      <c r="V481" s="97">
        <f>IF(ISERROR(VLOOKUP($S$481,'TAR FIN'!$A$1:$O$86,15,0)),0,VLOOKUP($S$481,'TAR FIN'!$A$1:$O$86,15,0))*(1-0.04)</f>
        <v>18.470399999999998</v>
      </c>
      <c r="W481" s="97">
        <f>IF(ISERROR(VLOOKUP($T$481,'TAR FIN'!$A$1:$O$86,15,0)),0,VLOOKUP($T$481,'TAR FIN'!$A$1:$O$86,15,0))</f>
        <v>0</v>
      </c>
      <c r="X481" s="97">
        <f>IF(ISERROR(VLOOKUP($U$481,'TAR FIN'!$A$1:$O$86,15,0)),0,VLOOKUP($U$481,'TAR FIN'!$A$1:$O$86,15,0))</f>
        <v>0</v>
      </c>
      <c r="Y481" s="97">
        <f ca="1">('TUSD BE'!$AM$11+'TUSD BF_350'!$AM$11+'TUSD CVA'!$AM$11)*1*(1-0.02)</f>
        <v>14.889098762306169</v>
      </c>
      <c r="Z481" s="97"/>
      <c r="AA481" s="97"/>
      <c r="AB481" s="6">
        <f>$K$481*$V$481</f>
        <v>10140.249599999999</v>
      </c>
      <c r="AC481" s="6">
        <f>$M$481*$W$481</f>
        <v>0</v>
      </c>
      <c r="AD481" s="6">
        <f>$O$481*$X$481</f>
        <v>0</v>
      </c>
      <c r="AE481" s="6">
        <f ca="1">$K$481*$Y$481</f>
        <v>8174.1152205060871</v>
      </c>
      <c r="AF481" s="6">
        <f>$M$481*$Z$481</f>
        <v>0</v>
      </c>
      <c r="AG481" s="6">
        <f>$O$481*$AA$481</f>
        <v>0</v>
      </c>
    </row>
    <row r="482" spans="1:33" ht="11.25" customHeight="1" x14ac:dyDescent="0.25">
      <c r="A482" s="4" t="s">
        <v>21</v>
      </c>
      <c r="B482" s="4" t="s">
        <v>38</v>
      </c>
      <c r="C482" s="4" t="s">
        <v>40</v>
      </c>
      <c r="D482" s="4" t="s">
        <v>43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44470</v>
      </c>
      <c r="J482" s="6">
        <v>561</v>
      </c>
      <c r="K482" s="97">
        <v>561</v>
      </c>
      <c r="L482" s="6">
        <v>0</v>
      </c>
      <c r="M482" s="97">
        <v>0</v>
      </c>
      <c r="N482" s="6">
        <v>0</v>
      </c>
      <c r="O482" s="97">
        <v>0</v>
      </c>
      <c r="P482" s="6">
        <v>5</v>
      </c>
      <c r="Q482" s="4" t="s">
        <v>26</v>
      </c>
      <c r="R482" s="4">
        <v>0</v>
      </c>
      <c r="S482" s="6">
        <v>18</v>
      </c>
      <c r="T482" s="6">
        <v>0</v>
      </c>
      <c r="U482" s="6">
        <v>0</v>
      </c>
      <c r="V482" s="97">
        <f>IF(ISERROR(VLOOKUP($S$482,'TAR FIN'!$A$1:$O$86,15,0)),0,VLOOKUP($S$482,'TAR FIN'!$A$1:$O$86,15,0))*(1-0.04)</f>
        <v>18.470399999999998</v>
      </c>
      <c r="W482" s="97">
        <f>IF(ISERROR(VLOOKUP($T$482,'TAR FIN'!$A$1:$O$86,15,0)),0,VLOOKUP($T$482,'TAR FIN'!$A$1:$O$86,15,0))</f>
        <v>0</v>
      </c>
      <c r="X482" s="97">
        <f>IF(ISERROR(VLOOKUP($U$482,'TAR FIN'!$A$1:$O$86,15,0)),0,VLOOKUP($U$482,'TAR FIN'!$A$1:$O$86,15,0))</f>
        <v>0</v>
      </c>
      <c r="Y482" s="97">
        <f ca="1">('TUSD BE'!$AM$11+'TUSD BF_350'!$AM$11+'TUSD CVA'!$AM$11)*1*(1-0.02)</f>
        <v>14.889098762306169</v>
      </c>
      <c r="Z482" s="97"/>
      <c r="AA482" s="97"/>
      <c r="AB482" s="6">
        <f>$K$482*$V$482</f>
        <v>10361.894399999999</v>
      </c>
      <c r="AC482" s="6">
        <f>$M$482*$W$482</f>
        <v>0</v>
      </c>
      <c r="AD482" s="6">
        <f>$O$482*$X$482</f>
        <v>0</v>
      </c>
      <c r="AE482" s="6">
        <f ca="1">$K$482*$Y$482</f>
        <v>8352.7844056537615</v>
      </c>
      <c r="AF482" s="6">
        <f>$M$482*$Z$482</f>
        <v>0</v>
      </c>
      <c r="AG482" s="6">
        <f>$O$482*$AA$482</f>
        <v>0</v>
      </c>
    </row>
    <row r="483" spans="1:33" ht="11.25" customHeight="1" x14ac:dyDescent="0.25">
      <c r="A483" s="4" t="s">
        <v>21</v>
      </c>
      <c r="B483" s="4" t="s">
        <v>38</v>
      </c>
      <c r="C483" s="4" t="s">
        <v>40</v>
      </c>
      <c r="D483" s="4" t="s">
        <v>43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44501</v>
      </c>
      <c r="J483" s="6">
        <v>658</v>
      </c>
      <c r="K483" s="97">
        <v>658</v>
      </c>
      <c r="L483" s="6">
        <v>0</v>
      </c>
      <c r="M483" s="97">
        <v>0</v>
      </c>
      <c r="N483" s="6">
        <v>0</v>
      </c>
      <c r="O483" s="97">
        <v>0</v>
      </c>
      <c r="P483" s="6">
        <v>5</v>
      </c>
      <c r="Q483" s="4" t="s">
        <v>26</v>
      </c>
      <c r="R483" s="4">
        <v>0</v>
      </c>
      <c r="S483" s="6">
        <v>18</v>
      </c>
      <c r="T483" s="6">
        <v>0</v>
      </c>
      <c r="U483" s="6">
        <v>0</v>
      </c>
      <c r="V483" s="97">
        <f>IF(ISERROR(VLOOKUP($S$483,'TAR FIN'!$A$1:$O$86,15,0)),0,VLOOKUP($S$483,'TAR FIN'!$A$1:$O$86,15,0))*(1-0.04)</f>
        <v>18.470399999999998</v>
      </c>
      <c r="W483" s="97">
        <f>IF(ISERROR(VLOOKUP($T$483,'TAR FIN'!$A$1:$O$86,15,0)),0,VLOOKUP($T$483,'TAR FIN'!$A$1:$O$86,15,0))</f>
        <v>0</v>
      </c>
      <c r="X483" s="97">
        <f>IF(ISERROR(VLOOKUP($U$483,'TAR FIN'!$A$1:$O$86,15,0)),0,VLOOKUP($U$483,'TAR FIN'!$A$1:$O$86,15,0))</f>
        <v>0</v>
      </c>
      <c r="Y483" s="97">
        <f ca="1">('TUSD BE'!$AM$11+'TUSD BF_350'!$AM$11+'TUSD CVA'!$AM$11)*1*(1-0.02)</f>
        <v>14.889098762306169</v>
      </c>
      <c r="Z483" s="97"/>
      <c r="AA483" s="97"/>
      <c r="AB483" s="6">
        <f>$K$483*$V$483</f>
        <v>12153.523199999998</v>
      </c>
      <c r="AC483" s="6">
        <f>$M$483*$W$483</f>
        <v>0</v>
      </c>
      <c r="AD483" s="6">
        <f>$O$483*$X$483</f>
        <v>0</v>
      </c>
      <c r="AE483" s="6">
        <f ca="1">$K$483*$Y$483</f>
        <v>9797.0269855974584</v>
      </c>
      <c r="AF483" s="6">
        <f>$M$483*$Z$483</f>
        <v>0</v>
      </c>
      <c r="AG483" s="6">
        <f>$O$483*$AA$483</f>
        <v>0</v>
      </c>
    </row>
    <row r="484" spans="1:33" ht="11.25" customHeight="1" x14ac:dyDescent="0.25">
      <c r="A484" s="4" t="s">
        <v>21</v>
      </c>
      <c r="B484" s="4" t="s">
        <v>38</v>
      </c>
      <c r="C484" s="4" t="s">
        <v>40</v>
      </c>
      <c r="D484" s="4" t="s">
        <v>43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44531</v>
      </c>
      <c r="J484" s="6">
        <v>584</v>
      </c>
      <c r="K484" s="97">
        <v>584</v>
      </c>
      <c r="L484" s="6">
        <v>0</v>
      </c>
      <c r="M484" s="97">
        <v>0</v>
      </c>
      <c r="N484" s="6">
        <v>0</v>
      </c>
      <c r="O484" s="97">
        <v>0</v>
      </c>
      <c r="P484" s="6">
        <v>5</v>
      </c>
      <c r="Q484" s="4" t="s">
        <v>26</v>
      </c>
      <c r="R484" s="4">
        <v>0</v>
      </c>
      <c r="S484" s="6">
        <v>18</v>
      </c>
      <c r="T484" s="6">
        <v>0</v>
      </c>
      <c r="U484" s="6">
        <v>0</v>
      </c>
      <c r="V484" s="97">
        <f>IF(ISERROR(VLOOKUP($S$484,'TAR FIN'!$A$1:$O$86,15,0)),0,VLOOKUP($S$484,'TAR FIN'!$A$1:$O$86,15,0))*(1-0.04)</f>
        <v>18.470399999999998</v>
      </c>
      <c r="W484" s="97">
        <f>IF(ISERROR(VLOOKUP($T$484,'TAR FIN'!$A$1:$O$86,15,0)),0,VLOOKUP($T$484,'TAR FIN'!$A$1:$O$86,15,0))</f>
        <v>0</v>
      </c>
      <c r="X484" s="97">
        <f>IF(ISERROR(VLOOKUP($U$484,'TAR FIN'!$A$1:$O$86,15,0)),0,VLOOKUP($U$484,'TAR FIN'!$A$1:$O$86,15,0))</f>
        <v>0</v>
      </c>
      <c r="Y484" s="97">
        <f ca="1">('TUSD BE'!$AM$11+'TUSD BF_350'!$AM$11+'TUSD CVA'!$AM$11)*1*(1-0.02)</f>
        <v>14.889098762306169</v>
      </c>
      <c r="Z484" s="97"/>
      <c r="AA484" s="97"/>
      <c r="AB484" s="6">
        <f>$K$484*$V$484</f>
        <v>10786.713599999999</v>
      </c>
      <c r="AC484" s="6">
        <f>$M$484*$W$484</f>
        <v>0</v>
      </c>
      <c r="AD484" s="6">
        <f>$O$484*$X$484</f>
        <v>0</v>
      </c>
      <c r="AE484" s="6">
        <f ca="1">$K$484*$Y$484</f>
        <v>8695.2336771868031</v>
      </c>
      <c r="AF484" s="6">
        <f>$M$484*$Z$484</f>
        <v>0</v>
      </c>
      <c r="AG484" s="6">
        <f>$O$484*$AA$484</f>
        <v>0</v>
      </c>
    </row>
    <row r="485" spans="1:33" ht="11.25" customHeight="1" x14ac:dyDescent="0.25">
      <c r="A485" s="4" t="s">
        <v>21</v>
      </c>
      <c r="B485" s="4" t="s">
        <v>38</v>
      </c>
      <c r="C485" s="4" t="s">
        <v>40</v>
      </c>
      <c r="D485" s="4" t="s">
        <v>43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44562</v>
      </c>
      <c r="J485" s="6">
        <v>564</v>
      </c>
      <c r="K485" s="97">
        <v>564</v>
      </c>
      <c r="L485" s="6">
        <v>0</v>
      </c>
      <c r="M485" s="97">
        <v>0</v>
      </c>
      <c r="N485" s="6">
        <v>0</v>
      </c>
      <c r="O485" s="97">
        <v>0</v>
      </c>
      <c r="P485" s="6">
        <v>5</v>
      </c>
      <c r="Q485" s="4" t="s">
        <v>26</v>
      </c>
      <c r="R485" s="4">
        <v>0</v>
      </c>
      <c r="S485" s="6">
        <v>18</v>
      </c>
      <c r="T485" s="6">
        <v>0</v>
      </c>
      <c r="U485" s="6">
        <v>0</v>
      </c>
      <c r="V485" s="97">
        <f>IF(ISERROR(VLOOKUP($S$485,'TAR FIN'!$A$1:$O$86,15,0)),0,VLOOKUP($S$485,'TAR FIN'!$A$1:$O$86,15,0))*(1-0.04)</f>
        <v>18.470399999999998</v>
      </c>
      <c r="W485" s="97">
        <f>IF(ISERROR(VLOOKUP($T$485,'TAR FIN'!$A$1:$O$86,15,0)),0,VLOOKUP($T$485,'TAR FIN'!$A$1:$O$86,15,0))</f>
        <v>0</v>
      </c>
      <c r="X485" s="97">
        <f>IF(ISERROR(VLOOKUP($U$485,'TAR FIN'!$A$1:$O$86,15,0)),0,VLOOKUP($U$485,'TAR FIN'!$A$1:$O$86,15,0))</f>
        <v>0</v>
      </c>
      <c r="Y485" s="97">
        <f ca="1">('TUSD BE'!$AM$11+'TUSD BF_350'!$AM$11+'TUSD CVA'!$AM$11)*1*(1-0.02)</f>
        <v>14.889098762306169</v>
      </c>
      <c r="Z485" s="97"/>
      <c r="AA485" s="97"/>
      <c r="AB485" s="6">
        <f>$K$485*$V$485</f>
        <v>10417.3056</v>
      </c>
      <c r="AC485" s="6">
        <f>$M$485*$W$485</f>
        <v>0</v>
      </c>
      <c r="AD485" s="6">
        <f>$O$485*$X$485</f>
        <v>0</v>
      </c>
      <c r="AE485" s="6">
        <f ca="1">$K$485*$Y$485</f>
        <v>8397.4517019406794</v>
      </c>
      <c r="AF485" s="6">
        <f>$M$485*$Z$485</f>
        <v>0</v>
      </c>
      <c r="AG485" s="6">
        <f>$O$485*$AA$485</f>
        <v>0</v>
      </c>
    </row>
    <row r="486" spans="1:33" ht="11.25" customHeight="1" x14ac:dyDescent="0.25">
      <c r="A486" s="4" t="s">
        <v>27</v>
      </c>
      <c r="B486" s="4" t="s">
        <v>38</v>
      </c>
      <c r="C486" s="4" t="s">
        <v>40</v>
      </c>
      <c r="D486" s="4" t="s">
        <v>43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44562</v>
      </c>
      <c r="J486" s="6">
        <v>1053</v>
      </c>
      <c r="K486" s="97">
        <v>1053</v>
      </c>
      <c r="L486" s="6">
        <v>0</v>
      </c>
      <c r="M486" s="97">
        <v>0</v>
      </c>
      <c r="N486" s="6">
        <v>0</v>
      </c>
      <c r="O486" s="97">
        <v>0</v>
      </c>
      <c r="P486" s="6">
        <v>0</v>
      </c>
      <c r="Q486" s="4" t="s">
        <v>26</v>
      </c>
      <c r="R486" s="4">
        <v>0</v>
      </c>
      <c r="S486" s="6">
        <v>18</v>
      </c>
      <c r="T486" s="6">
        <v>0</v>
      </c>
      <c r="U486" s="6">
        <v>0</v>
      </c>
      <c r="V486" s="97">
        <f>IF(ISERROR(VLOOKUP($S$486,'TAR FIN'!$A$1:$O$86,15,0)),0,VLOOKUP($S$486,'TAR FIN'!$A$1:$O$86,15,0))*(1-0.04)</f>
        <v>18.470399999999998</v>
      </c>
      <c r="W486" s="97">
        <f>IF(ISERROR(VLOOKUP($T$486,'TAR FIN'!$A$1:$O$86,15,0)),0,VLOOKUP($T$486,'TAR FIN'!$A$1:$O$86,15,0))</f>
        <v>0</v>
      </c>
      <c r="X486" s="97">
        <f>IF(ISERROR(VLOOKUP($U$486,'TAR FIN'!$A$1:$O$86,15,0)),0,VLOOKUP($U$486,'TAR FIN'!$A$1:$O$86,15,0))</f>
        <v>0</v>
      </c>
      <c r="Y486" s="97">
        <f ca="1">('TUSD BE'!$AM$11+'TUSD BF_350'!$AM$11+'TUSD CVA'!$AM$11)*1*(1-0.02)</f>
        <v>14.889098762306169</v>
      </c>
      <c r="Z486" s="97"/>
      <c r="AA486" s="97"/>
      <c r="AB486" s="6">
        <f>$K$486*$V$486</f>
        <v>19449.331199999997</v>
      </c>
      <c r="AC486" s="6">
        <f>$M$486*$W$486</f>
        <v>0</v>
      </c>
      <c r="AD486" s="6">
        <f>$O$486*$X$486</f>
        <v>0</v>
      </c>
      <c r="AE486" s="6">
        <f ca="1">$K$486*$Y$486</f>
        <v>15678.220996708396</v>
      </c>
      <c r="AF486" s="6">
        <f>$M$486*$Z$486</f>
        <v>0</v>
      </c>
      <c r="AG486" s="6">
        <f>$O$486*$AA$486</f>
        <v>0</v>
      </c>
    </row>
    <row r="487" spans="1:33" ht="11.25" customHeight="1" x14ac:dyDescent="0.25">
      <c r="A487" s="4" t="s">
        <v>21</v>
      </c>
      <c r="B487" s="4" t="s">
        <v>38</v>
      </c>
      <c r="C487" s="4" t="s">
        <v>40</v>
      </c>
      <c r="D487" s="4" t="s">
        <v>43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44593</v>
      </c>
      <c r="J487" s="6">
        <v>461</v>
      </c>
      <c r="K487" s="97">
        <v>461</v>
      </c>
      <c r="L487" s="6">
        <v>0</v>
      </c>
      <c r="M487" s="97">
        <v>0</v>
      </c>
      <c r="N487" s="6">
        <v>0</v>
      </c>
      <c r="O487" s="97">
        <v>0</v>
      </c>
      <c r="P487" s="6">
        <v>4</v>
      </c>
      <c r="Q487" s="4" t="s">
        <v>26</v>
      </c>
      <c r="R487" s="4">
        <v>0</v>
      </c>
      <c r="S487" s="6">
        <v>18</v>
      </c>
      <c r="T487" s="6">
        <v>0</v>
      </c>
      <c r="U487" s="6">
        <v>0</v>
      </c>
      <c r="V487" s="97">
        <f>IF(ISERROR(VLOOKUP($S$487,'TAR FIN'!$A$1:$O$86,15,0)),0,VLOOKUP($S$487,'TAR FIN'!$A$1:$O$86,15,0))*(1-0.04)</f>
        <v>18.470399999999998</v>
      </c>
      <c r="W487" s="97">
        <f>IF(ISERROR(VLOOKUP($T$487,'TAR FIN'!$A$1:$O$86,15,0)),0,VLOOKUP($T$487,'TAR FIN'!$A$1:$O$86,15,0))</f>
        <v>0</v>
      </c>
      <c r="X487" s="97">
        <f>IF(ISERROR(VLOOKUP($U$487,'TAR FIN'!$A$1:$O$86,15,0)),0,VLOOKUP($U$487,'TAR FIN'!$A$1:$O$86,15,0))</f>
        <v>0</v>
      </c>
      <c r="Y487" s="97">
        <f ca="1">('TUSD BE'!$AM$11+'TUSD BF_350'!$AM$11+'TUSD CVA'!$AM$11)*1*(1-0.02)</f>
        <v>14.889098762306169</v>
      </c>
      <c r="Z487" s="97"/>
      <c r="AA487" s="97"/>
      <c r="AB487" s="6">
        <f>$K$487*$V$487</f>
        <v>8514.8543999999983</v>
      </c>
      <c r="AC487" s="6">
        <f>$M$487*$W$487</f>
        <v>0</v>
      </c>
      <c r="AD487" s="6">
        <f>$O$487*$X$487</f>
        <v>0</v>
      </c>
      <c r="AE487" s="6">
        <f ca="1">$K$487*$Y$487</f>
        <v>6863.8745294231439</v>
      </c>
      <c r="AF487" s="6">
        <f>$M$487*$Z$487</f>
        <v>0</v>
      </c>
      <c r="AG487" s="6">
        <f>$O$487*$AA$487</f>
        <v>0</v>
      </c>
    </row>
    <row r="488" spans="1:33" ht="11.25" customHeight="1" x14ac:dyDescent="0.25">
      <c r="A488" s="4" t="s">
        <v>21</v>
      </c>
      <c r="B488" s="4" t="s">
        <v>38</v>
      </c>
      <c r="C488" s="4" t="s">
        <v>40</v>
      </c>
      <c r="D488" s="4" t="s">
        <v>43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44621</v>
      </c>
      <c r="J488" s="6">
        <v>526</v>
      </c>
      <c r="K488" s="97">
        <v>526</v>
      </c>
      <c r="L488" s="6">
        <v>0</v>
      </c>
      <c r="M488" s="97">
        <v>0</v>
      </c>
      <c r="N488" s="6">
        <v>0</v>
      </c>
      <c r="O488" s="97">
        <v>0</v>
      </c>
      <c r="P488" s="6">
        <v>4</v>
      </c>
      <c r="Q488" s="4" t="s">
        <v>26</v>
      </c>
      <c r="R488" s="4">
        <v>0</v>
      </c>
      <c r="S488" s="6">
        <v>18</v>
      </c>
      <c r="T488" s="6">
        <v>0</v>
      </c>
      <c r="U488" s="6">
        <v>0</v>
      </c>
      <c r="V488" s="97">
        <f>IF(ISERROR(VLOOKUP($S$488,'TAR FIN'!$A$1:$O$86,15,0)),0,VLOOKUP($S$488,'TAR FIN'!$A$1:$O$86,15,0))*(1-0.04)</f>
        <v>18.470399999999998</v>
      </c>
      <c r="W488" s="97">
        <f>IF(ISERROR(VLOOKUP($T$488,'TAR FIN'!$A$1:$O$86,15,0)),0,VLOOKUP($T$488,'TAR FIN'!$A$1:$O$86,15,0))</f>
        <v>0</v>
      </c>
      <c r="X488" s="97">
        <f>IF(ISERROR(VLOOKUP($U$488,'TAR FIN'!$A$1:$O$86,15,0)),0,VLOOKUP($U$488,'TAR FIN'!$A$1:$O$86,15,0))</f>
        <v>0</v>
      </c>
      <c r="Y488" s="97">
        <f ca="1">('TUSD BE'!$AM$11+'TUSD BF_350'!$AM$11+'TUSD CVA'!$AM$11)*1*(1-0.02)</f>
        <v>14.889098762306169</v>
      </c>
      <c r="Z488" s="97"/>
      <c r="AA488" s="97"/>
      <c r="AB488" s="6">
        <f>$K$488*$V$488</f>
        <v>9715.4303999999993</v>
      </c>
      <c r="AC488" s="6">
        <f>$M$488*$W$488</f>
        <v>0</v>
      </c>
      <c r="AD488" s="6">
        <f>$O$488*$X$488</f>
        <v>0</v>
      </c>
      <c r="AE488" s="6">
        <f ca="1">$K$488*$Y$488</f>
        <v>7831.6659489730446</v>
      </c>
      <c r="AF488" s="6">
        <f>$M$488*$Z$488</f>
        <v>0</v>
      </c>
      <c r="AG488" s="6">
        <f>$O$488*$AA$488</f>
        <v>0</v>
      </c>
    </row>
    <row r="489" spans="1:33" ht="11.25" customHeight="1" x14ac:dyDescent="0.25">
      <c r="A489" s="4" t="s">
        <v>21</v>
      </c>
      <c r="B489" s="4" t="s">
        <v>38</v>
      </c>
      <c r="C489" s="4" t="s">
        <v>40</v>
      </c>
      <c r="D489" s="4" t="s">
        <v>43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44652</v>
      </c>
      <c r="J489" s="6">
        <v>554</v>
      </c>
      <c r="K489" s="97">
        <v>554</v>
      </c>
      <c r="L489" s="6">
        <v>0</v>
      </c>
      <c r="M489" s="97">
        <v>0</v>
      </c>
      <c r="N489" s="6">
        <v>0</v>
      </c>
      <c r="O489" s="97">
        <v>0</v>
      </c>
      <c r="P489" s="6">
        <v>4</v>
      </c>
      <c r="Q489" s="4" t="s">
        <v>26</v>
      </c>
      <c r="R489" s="4">
        <v>0</v>
      </c>
      <c r="S489" s="6">
        <v>18</v>
      </c>
      <c r="T489" s="6">
        <v>0</v>
      </c>
      <c r="U489" s="6">
        <v>0</v>
      </c>
      <c r="V489" s="97">
        <f>IF(ISERROR(VLOOKUP($S$489,'TAR FIN'!$A$1:$O$86,15,0)),0,VLOOKUP($S$489,'TAR FIN'!$A$1:$O$86,15,0))*(1-0.04)</f>
        <v>18.470399999999998</v>
      </c>
      <c r="W489" s="97">
        <f>IF(ISERROR(VLOOKUP($T$489,'TAR FIN'!$A$1:$O$86,15,0)),0,VLOOKUP($T$489,'TAR FIN'!$A$1:$O$86,15,0))</f>
        <v>0</v>
      </c>
      <c r="X489" s="97">
        <f>IF(ISERROR(VLOOKUP($U$489,'TAR FIN'!$A$1:$O$86,15,0)),0,VLOOKUP($U$489,'TAR FIN'!$A$1:$O$86,15,0))</f>
        <v>0</v>
      </c>
      <c r="Y489" s="97">
        <f ca="1">('TUSD BE'!$AM$11+'TUSD BF_350'!$AM$11+'TUSD CVA'!$AM$11)*1*(1-0.02)</f>
        <v>14.889098762306169</v>
      </c>
      <c r="Z489" s="97"/>
      <c r="AA489" s="97"/>
      <c r="AB489" s="6">
        <f>$K$489*$V$489</f>
        <v>10232.601599999998</v>
      </c>
      <c r="AC489" s="6">
        <f>$M$489*$W$489</f>
        <v>0</v>
      </c>
      <c r="AD489" s="6">
        <f>$O$489*$X$489</f>
        <v>0</v>
      </c>
      <c r="AE489" s="6">
        <f ca="1">$K$489*$Y$489</f>
        <v>8248.5607143176185</v>
      </c>
      <c r="AF489" s="6">
        <f>$M$489*$Z$489</f>
        <v>0</v>
      </c>
      <c r="AG489" s="6">
        <f>$O$489*$AA$489</f>
        <v>0</v>
      </c>
    </row>
    <row r="490" spans="1:33" ht="11.25" customHeight="1" x14ac:dyDescent="0.25">
      <c r="A490" s="4" t="s">
        <v>21</v>
      </c>
      <c r="B490" s="4" t="s">
        <v>38</v>
      </c>
      <c r="C490" s="4" t="s">
        <v>40</v>
      </c>
      <c r="D490" s="4" t="s">
        <v>43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44682</v>
      </c>
      <c r="J490" s="6">
        <v>599</v>
      </c>
      <c r="K490" s="97">
        <v>599</v>
      </c>
      <c r="L490" s="6">
        <v>0</v>
      </c>
      <c r="M490" s="97">
        <v>0</v>
      </c>
      <c r="N490" s="6">
        <v>0</v>
      </c>
      <c r="O490" s="97">
        <v>0</v>
      </c>
      <c r="P490" s="6">
        <v>5</v>
      </c>
      <c r="Q490" s="4" t="s">
        <v>26</v>
      </c>
      <c r="R490" s="4">
        <v>0</v>
      </c>
      <c r="S490" s="6">
        <v>18</v>
      </c>
      <c r="T490" s="6">
        <v>0</v>
      </c>
      <c r="U490" s="6">
        <v>0</v>
      </c>
      <c r="V490" s="97">
        <f>IF(ISERROR(VLOOKUP($S$490,'TAR FIN'!$A$1:$O$86,15,0)),0,VLOOKUP($S$490,'TAR FIN'!$A$1:$O$86,15,0))*(1-0.04)</f>
        <v>18.470399999999998</v>
      </c>
      <c r="W490" s="97">
        <f>IF(ISERROR(VLOOKUP($T$490,'TAR FIN'!$A$1:$O$86,15,0)),0,VLOOKUP($T$490,'TAR FIN'!$A$1:$O$86,15,0))</f>
        <v>0</v>
      </c>
      <c r="X490" s="97">
        <f>IF(ISERROR(VLOOKUP($U$490,'TAR FIN'!$A$1:$O$86,15,0)),0,VLOOKUP($U$490,'TAR FIN'!$A$1:$O$86,15,0))</f>
        <v>0</v>
      </c>
      <c r="Y490" s="97">
        <f ca="1">('TUSD BE'!$AM$11+'TUSD BF_350'!$AM$11+'TUSD CVA'!$AM$11)*1*(1-0.02)</f>
        <v>14.889098762306169</v>
      </c>
      <c r="Z490" s="97"/>
      <c r="AA490" s="97"/>
      <c r="AB490" s="6">
        <f>$K$490*$V$490</f>
        <v>11063.7696</v>
      </c>
      <c r="AC490" s="6">
        <f>$M$490*$W$490</f>
        <v>0</v>
      </c>
      <c r="AD490" s="6">
        <f>$O$490*$X$490</f>
        <v>0</v>
      </c>
      <c r="AE490" s="6">
        <f ca="1">$K$490*$Y$490</f>
        <v>8918.5701586213945</v>
      </c>
      <c r="AF490" s="6">
        <f>$M$490*$Z$490</f>
        <v>0</v>
      </c>
      <c r="AG490" s="6">
        <f>$O$490*$AA$490</f>
        <v>0</v>
      </c>
    </row>
    <row r="491" spans="1:33" ht="11.25" customHeight="1" x14ac:dyDescent="0.25">
      <c r="A491" s="4" t="s">
        <v>56</v>
      </c>
      <c r="B491" s="4" t="s">
        <v>38</v>
      </c>
      <c r="C491" s="4" t="s">
        <v>40</v>
      </c>
      <c r="D491" s="4" t="s">
        <v>43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44713</v>
      </c>
      <c r="J491" s="6">
        <v>599</v>
      </c>
      <c r="K491" s="97">
        <v>599</v>
      </c>
      <c r="L491" s="6">
        <v>0</v>
      </c>
      <c r="M491" s="97">
        <v>0</v>
      </c>
      <c r="N491" s="6">
        <v>0</v>
      </c>
      <c r="O491" s="97">
        <v>0</v>
      </c>
      <c r="P491" s="6">
        <v>5</v>
      </c>
      <c r="Q491" s="4" t="s">
        <v>26</v>
      </c>
      <c r="R491" s="4">
        <v>0</v>
      </c>
      <c r="S491" s="6">
        <v>18</v>
      </c>
      <c r="T491" s="6">
        <v>0</v>
      </c>
      <c r="U491" s="6">
        <v>0</v>
      </c>
      <c r="V491" s="97">
        <f>IF(ISERROR(VLOOKUP($S$491,'TAR FIN'!$A$1:$O$86,15,0)),0,VLOOKUP($S$491,'TAR FIN'!$A$1:$O$86,15,0))*(1-0.04)</f>
        <v>18.470399999999998</v>
      </c>
      <c r="W491" s="97">
        <f>IF(ISERROR(VLOOKUP($T$491,'TAR FIN'!$A$1:$O$86,15,0)),0,VLOOKUP($T$491,'TAR FIN'!$A$1:$O$86,15,0))</f>
        <v>0</v>
      </c>
      <c r="X491" s="97">
        <f>IF(ISERROR(VLOOKUP($U$491,'TAR FIN'!$A$1:$O$86,15,0)),0,VLOOKUP($U$491,'TAR FIN'!$A$1:$O$86,15,0))</f>
        <v>0</v>
      </c>
      <c r="Y491" s="97">
        <f ca="1">('TUSD BE'!$AM$11+'TUSD BF_350'!$AM$11+'TUSD CVA'!$AM$11)*1*(1-0.02)</f>
        <v>14.889098762306169</v>
      </c>
      <c r="Z491" s="97"/>
      <c r="AA491" s="97"/>
      <c r="AB491" s="6">
        <f>$K$491*$V$491</f>
        <v>11063.7696</v>
      </c>
      <c r="AC491" s="6">
        <f>$M$491*$W$491</f>
        <v>0</v>
      </c>
      <c r="AD491" s="6">
        <f>$O$491*$X$491</f>
        <v>0</v>
      </c>
      <c r="AE491" s="6">
        <f ca="1">$K$491*$Y$491</f>
        <v>8918.5701586213945</v>
      </c>
      <c r="AF491" s="6">
        <f>$M$491*$Z$491</f>
        <v>0</v>
      </c>
      <c r="AG491" s="6">
        <f>$O$491*$AA$491</f>
        <v>0</v>
      </c>
    </row>
    <row r="492" spans="1:33" ht="11.25" customHeight="1" x14ac:dyDescent="0.25">
      <c r="A492" s="4" t="s">
        <v>21</v>
      </c>
      <c r="B492" s="4" t="s">
        <v>38</v>
      </c>
      <c r="C492" s="4" t="s">
        <v>40</v>
      </c>
      <c r="D492" s="4" t="s">
        <v>43</v>
      </c>
      <c r="E492" s="4" t="s">
        <v>25</v>
      </c>
      <c r="F492" s="4" t="s">
        <v>25</v>
      </c>
      <c r="G492" s="4" t="s">
        <v>25</v>
      </c>
      <c r="H492" s="4" t="s">
        <v>33</v>
      </c>
      <c r="I492" s="5">
        <v>44378</v>
      </c>
      <c r="J492" s="6">
        <v>0</v>
      </c>
      <c r="K492" s="97">
        <v>0</v>
      </c>
      <c r="L492" s="6">
        <v>5.2389999999999999</v>
      </c>
      <c r="M492" s="97">
        <v>5.2389999999999999</v>
      </c>
      <c r="N492" s="6">
        <v>5.2389999999999999</v>
      </c>
      <c r="O492" s="97">
        <v>5.2389999999999999</v>
      </c>
      <c r="P492" s="6">
        <v>0</v>
      </c>
      <c r="Q492" s="4" t="s">
        <v>26</v>
      </c>
      <c r="R492" s="4">
        <v>0</v>
      </c>
      <c r="S492" s="6">
        <v>0</v>
      </c>
      <c r="T492" s="6">
        <v>16</v>
      </c>
      <c r="U492" s="6">
        <v>47</v>
      </c>
      <c r="V492" s="97">
        <f>IF(ISERROR(VLOOKUP($S$492,'TAR FIN'!$A$1:$O$86,15,0)),0,VLOOKUP($S$492,'TAR FIN'!$A$1:$O$86,15,0))</f>
        <v>0</v>
      </c>
      <c r="W492" s="97">
        <f>IF(ISERROR(VLOOKUP($T$492,'TAR FIN'!$A$1:$O$86,15,0)),0,VLOOKUP($T$492,'TAR FIN'!$A$1:$O$86,15,0))*(1-0.04)</f>
        <v>1276.4832000000001</v>
      </c>
      <c r="X492" s="97">
        <f>IF(ISERROR(VLOOKUP($U$492,'TAR FIN'!$A$1:$O$86,15,0)),0,VLOOKUP($U$492,'TAR FIN'!$A$1:$O$86,15,0))*(1-0.04)</f>
        <v>373.64159999999998</v>
      </c>
      <c r="Y492" s="97"/>
      <c r="Z492" s="97">
        <f ca="1">('TUSD BE'!$AM$12+'TUSD BF_350'!$AM$12+'TUSD CVA'!$AM$12)*1*(1-0.02)</f>
        <v>1052.8740579870318</v>
      </c>
      <c r="AA492" s="97">
        <f ca="1">('TE BE'!$AB$5+'TE BF_350'!$AB$5+'TE CVA'!$AB$5)*1*(1-0.02)</f>
        <v>346.47998010024565</v>
      </c>
      <c r="AB492" s="6">
        <f>$K$492*$V$492</f>
        <v>0</v>
      </c>
      <c r="AC492" s="6">
        <f>$M$492*$W$492</f>
        <v>6687.4954848000007</v>
      </c>
      <c r="AD492" s="6">
        <f>$O$492*$X$492</f>
        <v>1957.5083423999999</v>
      </c>
      <c r="AE492" s="6">
        <f>$K$492*$Y$492</f>
        <v>0</v>
      </c>
      <c r="AF492" s="6">
        <f ca="1">$M$492*$Z$492</f>
        <v>5516.0071897940597</v>
      </c>
      <c r="AG492" s="6">
        <f ca="1">$O$492*$AA$492</f>
        <v>1815.208615745187</v>
      </c>
    </row>
    <row r="493" spans="1:33" ht="11.25" customHeight="1" x14ac:dyDescent="0.25">
      <c r="A493" s="4" t="s">
        <v>21</v>
      </c>
      <c r="B493" s="4" t="s">
        <v>38</v>
      </c>
      <c r="C493" s="4" t="s">
        <v>40</v>
      </c>
      <c r="D493" s="4" t="s">
        <v>43</v>
      </c>
      <c r="E493" s="4" t="s">
        <v>25</v>
      </c>
      <c r="F493" s="4" t="s">
        <v>25</v>
      </c>
      <c r="G493" s="4" t="s">
        <v>25</v>
      </c>
      <c r="H493" s="4" t="s">
        <v>33</v>
      </c>
      <c r="I493" s="5">
        <v>44409</v>
      </c>
      <c r="J493" s="6">
        <v>0</v>
      </c>
      <c r="K493" s="97">
        <v>0</v>
      </c>
      <c r="L493" s="6">
        <v>4.5449999999999999</v>
      </c>
      <c r="M493" s="97">
        <v>4.5449999999999999</v>
      </c>
      <c r="N493" s="6">
        <v>4.5449999999999999</v>
      </c>
      <c r="O493" s="97">
        <v>4.5449999999999999</v>
      </c>
      <c r="P493" s="6">
        <v>0</v>
      </c>
      <c r="Q493" s="4" t="s">
        <v>26</v>
      </c>
      <c r="R493" s="4">
        <v>0</v>
      </c>
      <c r="S493" s="6">
        <v>0</v>
      </c>
      <c r="T493" s="6">
        <v>16</v>
      </c>
      <c r="U493" s="6">
        <v>47</v>
      </c>
      <c r="V493" s="97">
        <f>IF(ISERROR(VLOOKUP($S$493,'TAR FIN'!$A$1:$O$86,15,0)),0,VLOOKUP($S$493,'TAR FIN'!$A$1:$O$86,15,0))</f>
        <v>0</v>
      </c>
      <c r="W493" s="97">
        <f>IF(ISERROR(VLOOKUP($T$493,'TAR FIN'!$A$1:$O$86,15,0)),0,VLOOKUP($T$493,'TAR FIN'!$A$1:$O$86,15,0))*(1-0.04)</f>
        <v>1276.4832000000001</v>
      </c>
      <c r="X493" s="97">
        <f>IF(ISERROR(VLOOKUP($U$493,'TAR FIN'!$A$1:$O$86,15,0)),0,VLOOKUP($U$493,'TAR FIN'!$A$1:$O$86,15,0))*(1-0.04)</f>
        <v>373.64159999999998</v>
      </c>
      <c r="Y493" s="97"/>
      <c r="Z493" s="97">
        <f ca="1">('TUSD BE'!$AM$12+'TUSD BF_350'!$AM$12+'TUSD CVA'!$AM$12)*1*(1-0.02)</f>
        <v>1052.8740579870318</v>
      </c>
      <c r="AA493" s="97">
        <f ca="1">('TE BE'!$AB$5+'TE BF_350'!$AB$5+'TE CVA'!$AB$5)*1*(1-0.02)</f>
        <v>346.47998010024565</v>
      </c>
      <c r="AB493" s="6">
        <f>$K$493*$V$493</f>
        <v>0</v>
      </c>
      <c r="AC493" s="6">
        <f>$M$493*$W$493</f>
        <v>5801.6161440000005</v>
      </c>
      <c r="AD493" s="6">
        <f>$O$493*$X$493</f>
        <v>1698.2010719999998</v>
      </c>
      <c r="AE493" s="6">
        <f>$K$493*$Y$493</f>
        <v>0</v>
      </c>
      <c r="AF493" s="6">
        <f ca="1">$M$493*$Z$493</f>
        <v>4785.3125935510598</v>
      </c>
      <c r="AG493" s="6">
        <f ca="1">$O$493*$AA$493</f>
        <v>1574.7515095556164</v>
      </c>
    </row>
    <row r="494" spans="1:33" ht="11.25" customHeight="1" x14ac:dyDescent="0.25">
      <c r="A494" s="4" t="s">
        <v>21</v>
      </c>
      <c r="B494" s="4" t="s">
        <v>38</v>
      </c>
      <c r="C494" s="4" t="s">
        <v>40</v>
      </c>
      <c r="D494" s="4" t="s">
        <v>43</v>
      </c>
      <c r="E494" s="4" t="s">
        <v>25</v>
      </c>
      <c r="F494" s="4" t="s">
        <v>25</v>
      </c>
      <c r="G494" s="4" t="s">
        <v>25</v>
      </c>
      <c r="H494" s="4" t="s">
        <v>33</v>
      </c>
      <c r="I494" s="5">
        <v>44440</v>
      </c>
      <c r="J494" s="6">
        <v>0</v>
      </c>
      <c r="K494" s="97">
        <v>0</v>
      </c>
      <c r="L494" s="6">
        <v>4.774</v>
      </c>
      <c r="M494" s="97">
        <v>4.774</v>
      </c>
      <c r="N494" s="6">
        <v>4.774</v>
      </c>
      <c r="O494" s="97">
        <v>4.774</v>
      </c>
      <c r="P494" s="6">
        <v>0</v>
      </c>
      <c r="Q494" s="4" t="s">
        <v>26</v>
      </c>
      <c r="R494" s="4">
        <v>0</v>
      </c>
      <c r="S494" s="6">
        <v>0</v>
      </c>
      <c r="T494" s="6">
        <v>16</v>
      </c>
      <c r="U494" s="6">
        <v>47</v>
      </c>
      <c r="V494" s="97">
        <f>IF(ISERROR(VLOOKUP($S$494,'TAR FIN'!$A$1:$O$86,15,0)),0,VLOOKUP($S$494,'TAR FIN'!$A$1:$O$86,15,0))</f>
        <v>0</v>
      </c>
      <c r="W494" s="97">
        <f>IF(ISERROR(VLOOKUP($T$494,'TAR FIN'!$A$1:$O$86,15,0)),0,VLOOKUP($T$494,'TAR FIN'!$A$1:$O$86,15,0))*(1-0.04)</f>
        <v>1276.4832000000001</v>
      </c>
      <c r="X494" s="97">
        <f>IF(ISERROR(VLOOKUP($U$494,'TAR FIN'!$A$1:$O$86,15,0)),0,VLOOKUP($U$494,'TAR FIN'!$A$1:$O$86,15,0))*(1-0.04)</f>
        <v>373.64159999999998</v>
      </c>
      <c r="Y494" s="97"/>
      <c r="Z494" s="97">
        <f ca="1">('TUSD BE'!$AM$12+'TUSD BF_350'!$AM$12+'TUSD CVA'!$AM$12)*1*(1-0.02)</f>
        <v>1052.8740579870318</v>
      </c>
      <c r="AA494" s="97">
        <f ca="1">('TE BE'!$AB$5+'TE BF_350'!$AB$5+'TE CVA'!$AB$5)*1*(1-0.02)</f>
        <v>346.47998010024565</v>
      </c>
      <c r="AB494" s="6">
        <f>$K$494*$V$494</f>
        <v>0</v>
      </c>
      <c r="AC494" s="6">
        <f>$M$494*$W$494</f>
        <v>6093.9307968000003</v>
      </c>
      <c r="AD494" s="6">
        <f>$O$494*$X$494</f>
        <v>1783.7649984</v>
      </c>
      <c r="AE494" s="6">
        <f>$K$494*$Y$494</f>
        <v>0</v>
      </c>
      <c r="AF494" s="6">
        <f ca="1">$M$494*$Z$494</f>
        <v>5026.4207528300904</v>
      </c>
      <c r="AG494" s="6">
        <f ca="1">$O$494*$AA$494</f>
        <v>1654.0954249985728</v>
      </c>
    </row>
    <row r="495" spans="1:33" ht="11.25" customHeight="1" x14ac:dyDescent="0.25">
      <c r="A495" s="4" t="s">
        <v>21</v>
      </c>
      <c r="B495" s="4" t="s">
        <v>38</v>
      </c>
      <c r="C495" s="4" t="s">
        <v>40</v>
      </c>
      <c r="D495" s="4" t="s">
        <v>43</v>
      </c>
      <c r="E495" s="4" t="s">
        <v>25</v>
      </c>
      <c r="F495" s="4" t="s">
        <v>25</v>
      </c>
      <c r="G495" s="4" t="s">
        <v>25</v>
      </c>
      <c r="H495" s="4" t="s">
        <v>33</v>
      </c>
      <c r="I495" s="5">
        <v>44470</v>
      </c>
      <c r="J495" s="6">
        <v>0</v>
      </c>
      <c r="K495" s="97">
        <v>0</v>
      </c>
      <c r="L495" s="6">
        <v>8.2390000000000008</v>
      </c>
      <c r="M495" s="97">
        <v>8.2390000000000008</v>
      </c>
      <c r="N495" s="6">
        <v>8.2390000000000008</v>
      </c>
      <c r="O495" s="97">
        <v>8.2390000000000008</v>
      </c>
      <c r="P495" s="6">
        <v>0</v>
      </c>
      <c r="Q495" s="4" t="s">
        <v>26</v>
      </c>
      <c r="R495" s="4">
        <v>0</v>
      </c>
      <c r="S495" s="6">
        <v>0</v>
      </c>
      <c r="T495" s="6">
        <v>16</v>
      </c>
      <c r="U495" s="6">
        <v>47</v>
      </c>
      <c r="V495" s="97">
        <f>IF(ISERROR(VLOOKUP($S$495,'TAR FIN'!$A$1:$O$86,15,0)),0,VLOOKUP($S$495,'TAR FIN'!$A$1:$O$86,15,0))</f>
        <v>0</v>
      </c>
      <c r="W495" s="97">
        <f>IF(ISERROR(VLOOKUP($T$495,'TAR FIN'!$A$1:$O$86,15,0)),0,VLOOKUP($T$495,'TAR FIN'!$A$1:$O$86,15,0))*(1-0.04)</f>
        <v>1276.4832000000001</v>
      </c>
      <c r="X495" s="97">
        <f>IF(ISERROR(VLOOKUP($U$495,'TAR FIN'!$A$1:$O$86,15,0)),0,VLOOKUP($U$495,'TAR FIN'!$A$1:$O$86,15,0))*(1-0.04)</f>
        <v>373.64159999999998</v>
      </c>
      <c r="Y495" s="97"/>
      <c r="Z495" s="97">
        <f ca="1">('TUSD BE'!$AM$12+'TUSD BF_350'!$AM$12+'TUSD CVA'!$AM$12)*1*(1-0.02)</f>
        <v>1052.8740579870318</v>
      </c>
      <c r="AA495" s="97">
        <f ca="1">('TE BE'!$AB$5+'TE BF_350'!$AB$5+'TE CVA'!$AB$5)*1*(1-0.02)</f>
        <v>346.47998010024565</v>
      </c>
      <c r="AB495" s="6">
        <f>$K$495*$V$495</f>
        <v>0</v>
      </c>
      <c r="AC495" s="6">
        <f>$M$495*$W$495</f>
        <v>10516.945084800001</v>
      </c>
      <c r="AD495" s="6">
        <f>$O$495*$X$495</f>
        <v>3078.4331424000002</v>
      </c>
      <c r="AE495" s="6">
        <f>$K$495*$Y$495</f>
        <v>0</v>
      </c>
      <c r="AF495" s="6">
        <f ca="1">$M$495*$Z$495</f>
        <v>8674.6293637551571</v>
      </c>
      <c r="AG495" s="6">
        <f ca="1">$O$495*$AA$495</f>
        <v>2854.6485560459241</v>
      </c>
    </row>
    <row r="496" spans="1:33" ht="11.25" customHeight="1" x14ac:dyDescent="0.25">
      <c r="A496" s="4" t="s">
        <v>21</v>
      </c>
      <c r="B496" s="4" t="s">
        <v>38</v>
      </c>
      <c r="C496" s="4" t="s">
        <v>40</v>
      </c>
      <c r="D496" s="4" t="s">
        <v>43</v>
      </c>
      <c r="E496" s="4" t="s">
        <v>25</v>
      </c>
      <c r="F496" s="4" t="s">
        <v>25</v>
      </c>
      <c r="G496" s="4" t="s">
        <v>25</v>
      </c>
      <c r="H496" s="4" t="s">
        <v>33</v>
      </c>
      <c r="I496" s="5">
        <v>44501</v>
      </c>
      <c r="J496" s="6">
        <v>0</v>
      </c>
      <c r="K496" s="97">
        <v>0</v>
      </c>
      <c r="L496" s="6">
        <v>11.343999999999999</v>
      </c>
      <c r="M496" s="97">
        <v>11.343999999999999</v>
      </c>
      <c r="N496" s="6">
        <v>11.343999999999999</v>
      </c>
      <c r="O496" s="97">
        <v>11.343999999999999</v>
      </c>
      <c r="P496" s="6">
        <v>0</v>
      </c>
      <c r="Q496" s="4" t="s">
        <v>26</v>
      </c>
      <c r="R496" s="4">
        <v>0</v>
      </c>
      <c r="S496" s="6">
        <v>0</v>
      </c>
      <c r="T496" s="6">
        <v>16</v>
      </c>
      <c r="U496" s="6">
        <v>47</v>
      </c>
      <c r="V496" s="97">
        <f>IF(ISERROR(VLOOKUP($S$496,'TAR FIN'!$A$1:$O$86,15,0)),0,VLOOKUP($S$496,'TAR FIN'!$A$1:$O$86,15,0))</f>
        <v>0</v>
      </c>
      <c r="W496" s="97">
        <f>IF(ISERROR(VLOOKUP($T$496,'TAR FIN'!$A$1:$O$86,15,0)),0,VLOOKUP($T$496,'TAR FIN'!$A$1:$O$86,15,0))*(1-0.04)</f>
        <v>1276.4832000000001</v>
      </c>
      <c r="X496" s="97">
        <f>IF(ISERROR(VLOOKUP($U$496,'TAR FIN'!$A$1:$O$86,15,0)),0,VLOOKUP($U$496,'TAR FIN'!$A$1:$O$86,15,0))*(1-0.04)</f>
        <v>373.64159999999998</v>
      </c>
      <c r="Y496" s="97"/>
      <c r="Z496" s="97">
        <f ca="1">('TUSD BE'!$AM$12+'TUSD BF_350'!$AM$12+'TUSD CVA'!$AM$12)*1*(1-0.02)</f>
        <v>1052.8740579870318</v>
      </c>
      <c r="AA496" s="97">
        <f ca="1">('TE BE'!$AB$5+'TE BF_350'!$AB$5+'TE CVA'!$AB$5)*1*(1-0.02)</f>
        <v>346.47998010024565</v>
      </c>
      <c r="AB496" s="6">
        <f>$K$496*$V$496</f>
        <v>0</v>
      </c>
      <c r="AC496" s="6">
        <f>$M$496*$W$496</f>
        <v>14480.4254208</v>
      </c>
      <c r="AD496" s="6">
        <f>$O$496*$X$496</f>
        <v>4238.5903103999999</v>
      </c>
      <c r="AE496" s="6">
        <f>$K$496*$Y$496</f>
        <v>0</v>
      </c>
      <c r="AF496" s="6">
        <f ca="1">$M$496*$Z$496</f>
        <v>11943.803313804889</v>
      </c>
      <c r="AG496" s="6">
        <f ca="1">$O$496*$AA$496</f>
        <v>3930.4688942571865</v>
      </c>
    </row>
    <row r="497" spans="1:33" ht="11.25" customHeight="1" x14ac:dyDescent="0.25">
      <c r="A497" s="4" t="s">
        <v>21</v>
      </c>
      <c r="B497" s="4" t="s">
        <v>38</v>
      </c>
      <c r="C497" s="4" t="s">
        <v>40</v>
      </c>
      <c r="D497" s="4" t="s">
        <v>43</v>
      </c>
      <c r="E497" s="4" t="s">
        <v>25</v>
      </c>
      <c r="F497" s="4" t="s">
        <v>25</v>
      </c>
      <c r="G497" s="4" t="s">
        <v>25</v>
      </c>
      <c r="H497" s="4" t="s">
        <v>33</v>
      </c>
      <c r="I497" s="5">
        <v>44531</v>
      </c>
      <c r="J497" s="6">
        <v>0</v>
      </c>
      <c r="K497" s="97">
        <v>0</v>
      </c>
      <c r="L497" s="6">
        <v>7.3520000000000003</v>
      </c>
      <c r="M497" s="97">
        <v>7.3520000000000003</v>
      </c>
      <c r="N497" s="6">
        <v>7.3520000000000003</v>
      </c>
      <c r="O497" s="97">
        <v>7.3520000000000003</v>
      </c>
      <c r="P497" s="6">
        <v>0</v>
      </c>
      <c r="Q497" s="4" t="s">
        <v>26</v>
      </c>
      <c r="R497" s="4">
        <v>0</v>
      </c>
      <c r="S497" s="6">
        <v>0</v>
      </c>
      <c r="T497" s="6">
        <v>16</v>
      </c>
      <c r="U497" s="6">
        <v>47</v>
      </c>
      <c r="V497" s="97">
        <f>IF(ISERROR(VLOOKUP($S$497,'TAR FIN'!$A$1:$O$86,15,0)),0,VLOOKUP($S$497,'TAR FIN'!$A$1:$O$86,15,0))</f>
        <v>0</v>
      </c>
      <c r="W497" s="97">
        <f>IF(ISERROR(VLOOKUP($T$497,'TAR FIN'!$A$1:$O$86,15,0)),0,VLOOKUP($T$497,'TAR FIN'!$A$1:$O$86,15,0))*(1-0.04)</f>
        <v>1276.4832000000001</v>
      </c>
      <c r="X497" s="97">
        <f>IF(ISERROR(VLOOKUP($U$497,'TAR FIN'!$A$1:$O$86,15,0)),0,VLOOKUP($U$497,'TAR FIN'!$A$1:$O$86,15,0))*(1-0.04)</f>
        <v>373.64159999999998</v>
      </c>
      <c r="Y497" s="97"/>
      <c r="Z497" s="97">
        <f ca="1">('TUSD BE'!$AM$12+'TUSD BF_350'!$AM$12+'TUSD CVA'!$AM$12)*1*(1-0.02)</f>
        <v>1052.8740579870318</v>
      </c>
      <c r="AA497" s="97">
        <f ca="1">('TE BE'!$AB$5+'TE BF_350'!$AB$5+'TE CVA'!$AB$5)*1*(1-0.02)</f>
        <v>346.47998010024565</v>
      </c>
      <c r="AB497" s="6">
        <f>$K$497*$V$497</f>
        <v>0</v>
      </c>
      <c r="AC497" s="6">
        <f>$M$497*$W$497</f>
        <v>9384.7044864000018</v>
      </c>
      <c r="AD497" s="6">
        <f>$O$497*$X$497</f>
        <v>2747.0130432000001</v>
      </c>
      <c r="AE497" s="6">
        <f>$K$497*$Y$497</f>
        <v>0</v>
      </c>
      <c r="AF497" s="6">
        <f ca="1">$M$497*$Z$497</f>
        <v>7740.7300743206588</v>
      </c>
      <c r="AG497" s="6">
        <f ca="1">$O$497*$AA$497</f>
        <v>2547.3208136970061</v>
      </c>
    </row>
    <row r="498" spans="1:33" ht="11.25" customHeight="1" x14ac:dyDescent="0.25">
      <c r="A498" s="4" t="s">
        <v>21</v>
      </c>
      <c r="B498" s="4" t="s">
        <v>38</v>
      </c>
      <c r="C498" s="4" t="s">
        <v>40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33</v>
      </c>
      <c r="I498" s="5">
        <v>44562</v>
      </c>
      <c r="J498" s="6">
        <v>0</v>
      </c>
      <c r="K498" s="97">
        <v>0</v>
      </c>
      <c r="L498" s="6">
        <v>9.4760000000000009</v>
      </c>
      <c r="M498" s="97">
        <v>9.4760000000000009</v>
      </c>
      <c r="N498" s="6">
        <v>9.4760000000000009</v>
      </c>
      <c r="O498" s="97">
        <v>9.4760000000000009</v>
      </c>
      <c r="P498" s="6">
        <v>0</v>
      </c>
      <c r="Q498" s="4" t="s">
        <v>26</v>
      </c>
      <c r="R498" s="4">
        <v>0</v>
      </c>
      <c r="S498" s="6">
        <v>0</v>
      </c>
      <c r="T498" s="6">
        <v>16</v>
      </c>
      <c r="U498" s="6">
        <v>47</v>
      </c>
      <c r="V498" s="97">
        <f>IF(ISERROR(VLOOKUP($S$498,'TAR FIN'!$A$1:$O$86,15,0)),0,VLOOKUP($S$498,'TAR FIN'!$A$1:$O$86,15,0))</f>
        <v>0</v>
      </c>
      <c r="W498" s="97">
        <f>IF(ISERROR(VLOOKUP($T$498,'TAR FIN'!$A$1:$O$86,15,0)),0,VLOOKUP($T$498,'TAR FIN'!$A$1:$O$86,15,0))*(1-0.04)</f>
        <v>1276.4832000000001</v>
      </c>
      <c r="X498" s="97">
        <f>IF(ISERROR(VLOOKUP($U$498,'TAR FIN'!$A$1:$O$86,15,0)),0,VLOOKUP($U$498,'TAR FIN'!$A$1:$O$86,15,0))*(1-0.04)</f>
        <v>373.64159999999998</v>
      </c>
      <c r="Y498" s="97"/>
      <c r="Z498" s="97">
        <f ca="1">('TUSD BE'!$AM$12+'TUSD BF_350'!$AM$12+'TUSD CVA'!$AM$12)*1*(1-0.02)</f>
        <v>1052.8740579870318</v>
      </c>
      <c r="AA498" s="97">
        <f ca="1">('TE BE'!$AB$5+'TE BF_350'!$AB$5+'TE CVA'!$AB$5)*1*(1-0.02)</f>
        <v>346.47998010024565</v>
      </c>
      <c r="AB498" s="6">
        <f>$K$498*$V$498</f>
        <v>0</v>
      </c>
      <c r="AC498" s="6">
        <f>$M$498*$W$498</f>
        <v>12095.954803200002</v>
      </c>
      <c r="AD498" s="6">
        <f>$O$498*$X$498</f>
        <v>3540.6278016000001</v>
      </c>
      <c r="AE498" s="6">
        <f>$K$498*$Y$498</f>
        <v>0</v>
      </c>
      <c r="AF498" s="6">
        <f ca="1">$M$498*$Z$498</f>
        <v>9977.0345734851144</v>
      </c>
      <c r="AG498" s="6">
        <f ca="1">$O$498*$AA$498</f>
        <v>3283.2442914299281</v>
      </c>
    </row>
    <row r="499" spans="1:33" ht="11.25" customHeight="1" x14ac:dyDescent="0.25">
      <c r="A499" s="4" t="s">
        <v>27</v>
      </c>
      <c r="B499" s="4" t="s">
        <v>38</v>
      </c>
      <c r="C499" s="4" t="s">
        <v>40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33</v>
      </c>
      <c r="I499" s="5">
        <v>44562</v>
      </c>
      <c r="J499" s="6">
        <v>0</v>
      </c>
      <c r="K499" s="97">
        <v>0</v>
      </c>
      <c r="L499" s="6">
        <v>8.0869999999999997</v>
      </c>
      <c r="M499" s="97">
        <v>8.0869999999999997</v>
      </c>
      <c r="N499" s="6">
        <v>8.0869999999999997</v>
      </c>
      <c r="O499" s="97">
        <v>8.0869999999999997</v>
      </c>
      <c r="P499" s="6">
        <v>0</v>
      </c>
      <c r="Q499" s="4" t="s">
        <v>26</v>
      </c>
      <c r="R499" s="4">
        <v>0</v>
      </c>
      <c r="S499" s="6">
        <v>0</v>
      </c>
      <c r="T499" s="6">
        <v>16</v>
      </c>
      <c r="U499" s="6">
        <v>47</v>
      </c>
      <c r="V499" s="97">
        <f>IF(ISERROR(VLOOKUP($S$499,'TAR FIN'!$A$1:$O$86,15,0)),0,VLOOKUP($S$499,'TAR FIN'!$A$1:$O$86,15,0))</f>
        <v>0</v>
      </c>
      <c r="W499" s="97">
        <f>IF(ISERROR(VLOOKUP($T$499,'TAR FIN'!$A$1:$O$86,15,0)),0,VLOOKUP($T$499,'TAR FIN'!$A$1:$O$86,15,0))*(1-0.04)</f>
        <v>1276.4832000000001</v>
      </c>
      <c r="X499" s="97">
        <f>IF(ISERROR(VLOOKUP($U$499,'TAR FIN'!$A$1:$O$86,15,0)),0,VLOOKUP($U$499,'TAR FIN'!$A$1:$O$86,15,0))*(1-0.04)</f>
        <v>373.64159999999998</v>
      </c>
      <c r="Y499" s="97"/>
      <c r="Z499" s="97">
        <f ca="1">('TUSD BE'!$AM$12+'TUSD BF_350'!$AM$12+'TUSD CVA'!$AM$12)*1*(1-0.02)</f>
        <v>1052.8740579870318</v>
      </c>
      <c r="AA499" s="97">
        <f ca="1">('TE BE'!$AB$5+'TE BF_350'!$AB$5+'TE CVA'!$AB$5)*1*(1-0.02)</f>
        <v>346.47998010024565</v>
      </c>
      <c r="AB499" s="6">
        <f>$K$499*$V$499</f>
        <v>0</v>
      </c>
      <c r="AC499" s="6">
        <f>$M$499*$W$499</f>
        <v>10322.919638400001</v>
      </c>
      <c r="AD499" s="6">
        <f>$O$499*$X$499</f>
        <v>3021.6396191999997</v>
      </c>
      <c r="AE499" s="6">
        <f>$K$499*$Y$499</f>
        <v>0</v>
      </c>
      <c r="AF499" s="6">
        <f ca="1">$M$499*$Z$499</f>
        <v>8514.592506941126</v>
      </c>
      <c r="AG499" s="6">
        <f ca="1">$O$499*$AA$499</f>
        <v>2801.9835990706865</v>
      </c>
    </row>
    <row r="500" spans="1:33" ht="11.25" customHeight="1" x14ac:dyDescent="0.25">
      <c r="A500" s="4" t="s">
        <v>21</v>
      </c>
      <c r="B500" s="4" t="s">
        <v>38</v>
      </c>
      <c r="C500" s="4" t="s">
        <v>40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33</v>
      </c>
      <c r="I500" s="5">
        <v>44593</v>
      </c>
      <c r="J500" s="6">
        <v>0</v>
      </c>
      <c r="K500" s="97">
        <v>0</v>
      </c>
      <c r="L500" s="6">
        <v>5.8570000000000002</v>
      </c>
      <c r="M500" s="97">
        <v>5.8570000000000002</v>
      </c>
      <c r="N500" s="6">
        <v>5.8570000000000002</v>
      </c>
      <c r="O500" s="97">
        <v>5.8570000000000002</v>
      </c>
      <c r="P500" s="6">
        <v>0</v>
      </c>
      <c r="Q500" s="4" t="s">
        <v>26</v>
      </c>
      <c r="R500" s="4">
        <v>0</v>
      </c>
      <c r="S500" s="6">
        <v>0</v>
      </c>
      <c r="T500" s="6">
        <v>16</v>
      </c>
      <c r="U500" s="6">
        <v>47</v>
      </c>
      <c r="V500" s="97">
        <f>IF(ISERROR(VLOOKUP($S$500,'TAR FIN'!$A$1:$O$86,15,0)),0,VLOOKUP($S$500,'TAR FIN'!$A$1:$O$86,15,0))</f>
        <v>0</v>
      </c>
      <c r="W500" s="97">
        <f>IF(ISERROR(VLOOKUP($T$500,'TAR FIN'!$A$1:$O$86,15,0)),0,VLOOKUP($T$500,'TAR FIN'!$A$1:$O$86,15,0))*(1-0.04)</f>
        <v>1276.4832000000001</v>
      </c>
      <c r="X500" s="97">
        <f>IF(ISERROR(VLOOKUP($U$500,'TAR FIN'!$A$1:$O$86,15,0)),0,VLOOKUP($U$500,'TAR FIN'!$A$1:$O$86,15,0))*(1-0.04)</f>
        <v>373.64159999999998</v>
      </c>
      <c r="Y500" s="97"/>
      <c r="Z500" s="97">
        <f ca="1">('TUSD BE'!$AM$12+'TUSD BF_350'!$AM$12+'TUSD CVA'!$AM$12)*1*(1-0.02)</f>
        <v>1052.8740579870318</v>
      </c>
      <c r="AA500" s="97">
        <f ca="1">('TE BE'!$AB$5+'TE BF_350'!$AB$5+'TE CVA'!$AB$5)*1*(1-0.02)</f>
        <v>346.47998010024565</v>
      </c>
      <c r="AB500" s="6">
        <f>$K$500*$V$500</f>
        <v>0</v>
      </c>
      <c r="AC500" s="6">
        <f>$M$500*$W$500</f>
        <v>7476.3621024000013</v>
      </c>
      <c r="AD500" s="6">
        <f>$O$500*$X$500</f>
        <v>2188.4188512000001</v>
      </c>
      <c r="AE500" s="6">
        <f>$K$500*$Y$500</f>
        <v>0</v>
      </c>
      <c r="AF500" s="6">
        <f ca="1">$M$500*$Z$500</f>
        <v>6166.683357630046</v>
      </c>
      <c r="AG500" s="6">
        <f ca="1">$O$500*$AA$500</f>
        <v>2029.3332434471388</v>
      </c>
    </row>
    <row r="501" spans="1:33" ht="11.25" customHeight="1" x14ac:dyDescent="0.25">
      <c r="A501" s="4" t="s">
        <v>21</v>
      </c>
      <c r="B501" s="4" t="s">
        <v>38</v>
      </c>
      <c r="C501" s="4" t="s">
        <v>40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33</v>
      </c>
      <c r="I501" s="5">
        <v>44621</v>
      </c>
      <c r="J501" s="6">
        <v>0</v>
      </c>
      <c r="K501" s="97">
        <v>0</v>
      </c>
      <c r="L501" s="6">
        <v>9.6010000000000009</v>
      </c>
      <c r="M501" s="97">
        <v>9.6010000000000009</v>
      </c>
      <c r="N501" s="6">
        <v>9.6010000000000009</v>
      </c>
      <c r="O501" s="97">
        <v>9.6010000000000009</v>
      </c>
      <c r="P501" s="6">
        <v>0</v>
      </c>
      <c r="Q501" s="4" t="s">
        <v>26</v>
      </c>
      <c r="R501" s="4">
        <v>0</v>
      </c>
      <c r="S501" s="6">
        <v>0</v>
      </c>
      <c r="T501" s="6">
        <v>16</v>
      </c>
      <c r="U501" s="6">
        <v>47</v>
      </c>
      <c r="V501" s="97">
        <f>IF(ISERROR(VLOOKUP($S$501,'TAR FIN'!$A$1:$O$86,15,0)),0,VLOOKUP($S$501,'TAR FIN'!$A$1:$O$86,15,0))</f>
        <v>0</v>
      </c>
      <c r="W501" s="97">
        <f>IF(ISERROR(VLOOKUP($T$501,'TAR FIN'!$A$1:$O$86,15,0)),0,VLOOKUP($T$501,'TAR FIN'!$A$1:$O$86,15,0))*(1-0.04)</f>
        <v>1276.4832000000001</v>
      </c>
      <c r="X501" s="97">
        <f>IF(ISERROR(VLOOKUP($U$501,'TAR FIN'!$A$1:$O$86,15,0)),0,VLOOKUP($U$501,'TAR FIN'!$A$1:$O$86,15,0))*(1-0.04)</f>
        <v>373.64159999999998</v>
      </c>
      <c r="Y501" s="97"/>
      <c r="Z501" s="97">
        <f ca="1">('TUSD BE'!$AM$12+'TUSD BF_350'!$AM$12+'TUSD CVA'!$AM$12)*1*(1-0.02)</f>
        <v>1052.8740579870318</v>
      </c>
      <c r="AA501" s="97">
        <f ca="1">('TE BE'!$AB$5+'TE BF_350'!$AB$5+'TE CVA'!$AB$5)*1*(1-0.02)</f>
        <v>346.47998010024565</v>
      </c>
      <c r="AB501" s="6">
        <f>$K$501*$V$501</f>
        <v>0</v>
      </c>
      <c r="AC501" s="6">
        <f>$M$501*$W$501</f>
        <v>12255.515203200002</v>
      </c>
      <c r="AD501" s="6">
        <f>$O$501*$X$501</f>
        <v>3587.3330016</v>
      </c>
      <c r="AE501" s="6">
        <f>$K$501*$Y$501</f>
        <v>0</v>
      </c>
      <c r="AF501" s="6">
        <f ca="1">$M$501*$Z$501</f>
        <v>10108.643830733494</v>
      </c>
      <c r="AG501" s="6">
        <f ca="1">$O$501*$AA$501</f>
        <v>3326.5542889424587</v>
      </c>
    </row>
    <row r="502" spans="1:33" ht="11.25" customHeight="1" x14ac:dyDescent="0.25">
      <c r="A502" s="4" t="s">
        <v>21</v>
      </c>
      <c r="B502" s="4" t="s">
        <v>38</v>
      </c>
      <c r="C502" s="4" t="s">
        <v>40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33</v>
      </c>
      <c r="I502" s="5">
        <v>44652</v>
      </c>
      <c r="J502" s="6">
        <v>0</v>
      </c>
      <c r="K502" s="97">
        <v>0</v>
      </c>
      <c r="L502" s="6">
        <v>14.144</v>
      </c>
      <c r="M502" s="97">
        <v>14.144</v>
      </c>
      <c r="N502" s="6">
        <v>14.144</v>
      </c>
      <c r="O502" s="97">
        <v>14.144</v>
      </c>
      <c r="P502" s="6">
        <v>0</v>
      </c>
      <c r="Q502" s="4" t="s">
        <v>26</v>
      </c>
      <c r="R502" s="4">
        <v>0</v>
      </c>
      <c r="S502" s="6">
        <v>0</v>
      </c>
      <c r="T502" s="6">
        <v>16</v>
      </c>
      <c r="U502" s="6">
        <v>47</v>
      </c>
      <c r="V502" s="97">
        <f>IF(ISERROR(VLOOKUP($S$502,'TAR FIN'!$A$1:$O$86,15,0)),0,VLOOKUP($S$502,'TAR FIN'!$A$1:$O$86,15,0))</f>
        <v>0</v>
      </c>
      <c r="W502" s="97">
        <f>IF(ISERROR(VLOOKUP($T$502,'TAR FIN'!$A$1:$O$86,15,0)),0,VLOOKUP($T$502,'TAR FIN'!$A$1:$O$86,15,0))*(1-0.04)</f>
        <v>1276.4832000000001</v>
      </c>
      <c r="X502" s="97">
        <f>IF(ISERROR(VLOOKUP($U$502,'TAR FIN'!$A$1:$O$86,15,0)),0,VLOOKUP($U$502,'TAR FIN'!$A$1:$O$86,15,0))*(1-0.04)</f>
        <v>373.64159999999998</v>
      </c>
      <c r="Y502" s="97"/>
      <c r="Z502" s="97">
        <f ca="1">('TUSD BE'!$AM$12+'TUSD BF_350'!$AM$12+'TUSD CVA'!$AM$12)*1*(1-0.02)</f>
        <v>1052.8740579870318</v>
      </c>
      <c r="AA502" s="97">
        <f ca="1">('TE BE'!$AB$5+'TE BF_350'!$AB$5+'TE CVA'!$AB$5)*1*(1-0.02)</f>
        <v>346.47998010024565</v>
      </c>
      <c r="AB502" s="6">
        <f>$K$502*$V$502</f>
        <v>0</v>
      </c>
      <c r="AC502" s="6">
        <f>$M$502*$W$502</f>
        <v>18054.578380800001</v>
      </c>
      <c r="AD502" s="6">
        <f>$O$502*$X$502</f>
        <v>5284.7867903999995</v>
      </c>
      <c r="AE502" s="6">
        <f>$K$502*$Y$502</f>
        <v>0</v>
      </c>
      <c r="AF502" s="6">
        <f ca="1">$M$502*$Z$502</f>
        <v>14891.850676168579</v>
      </c>
      <c r="AG502" s="6">
        <f ca="1">$O$502*$AA$502</f>
        <v>4900.6128385378743</v>
      </c>
    </row>
    <row r="503" spans="1:33" ht="11.25" customHeight="1" x14ac:dyDescent="0.25">
      <c r="A503" s="4" t="s">
        <v>21</v>
      </c>
      <c r="B503" s="4" t="s">
        <v>38</v>
      </c>
      <c r="C503" s="4" t="s">
        <v>40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33</v>
      </c>
      <c r="I503" s="5">
        <v>44682</v>
      </c>
      <c r="J503" s="6">
        <v>0</v>
      </c>
      <c r="K503" s="97">
        <v>0</v>
      </c>
      <c r="L503" s="6">
        <v>10.738</v>
      </c>
      <c r="M503" s="97">
        <v>10.738</v>
      </c>
      <c r="N503" s="6">
        <v>10.738</v>
      </c>
      <c r="O503" s="97">
        <v>10.738</v>
      </c>
      <c r="P503" s="6">
        <v>0</v>
      </c>
      <c r="Q503" s="4" t="s">
        <v>26</v>
      </c>
      <c r="R503" s="4">
        <v>0</v>
      </c>
      <c r="S503" s="6">
        <v>0</v>
      </c>
      <c r="T503" s="6">
        <v>16</v>
      </c>
      <c r="U503" s="6">
        <v>47</v>
      </c>
      <c r="V503" s="97">
        <f>IF(ISERROR(VLOOKUP($S$503,'TAR FIN'!$A$1:$O$86,15,0)),0,VLOOKUP($S$503,'TAR FIN'!$A$1:$O$86,15,0))</f>
        <v>0</v>
      </c>
      <c r="W503" s="97">
        <f>IF(ISERROR(VLOOKUP($T$503,'TAR FIN'!$A$1:$O$86,15,0)),0,VLOOKUP($T$503,'TAR FIN'!$A$1:$O$86,15,0))*(1-0.04)</f>
        <v>1276.4832000000001</v>
      </c>
      <c r="X503" s="97">
        <f>IF(ISERROR(VLOOKUP($U$503,'TAR FIN'!$A$1:$O$86,15,0)),0,VLOOKUP($U$503,'TAR FIN'!$A$1:$O$86,15,0))*(1-0.04)</f>
        <v>373.64159999999998</v>
      </c>
      <c r="Y503" s="97"/>
      <c r="Z503" s="97">
        <f ca="1">('TUSD BE'!$AM$12+'TUSD BF_350'!$AM$12+'TUSD CVA'!$AM$12)*1*(1-0.02)</f>
        <v>1052.8740579870318</v>
      </c>
      <c r="AA503" s="97">
        <f ca="1">('TE BE'!$AB$5+'TE BF_350'!$AB$5+'TE CVA'!$AB$5)*1*(1-0.02)</f>
        <v>346.47998010024565</v>
      </c>
      <c r="AB503" s="6">
        <f>$K$503*$V$503</f>
        <v>0</v>
      </c>
      <c r="AC503" s="6">
        <f>$M$503*$W$503</f>
        <v>13706.876601600001</v>
      </c>
      <c r="AD503" s="6">
        <f>$O$503*$X$503</f>
        <v>4012.1635007999998</v>
      </c>
      <c r="AE503" s="6">
        <f>$K$503*$Y$503</f>
        <v>0</v>
      </c>
      <c r="AF503" s="6">
        <f ca="1">$M$503*$Z$503</f>
        <v>11305.761634664748</v>
      </c>
      <c r="AG503" s="6">
        <f ca="1">$O$503*$AA$503</f>
        <v>3720.5020263164379</v>
      </c>
    </row>
    <row r="504" spans="1:33" ht="11.25" customHeight="1" x14ac:dyDescent="0.25">
      <c r="A504" s="4" t="s">
        <v>56</v>
      </c>
      <c r="B504" s="4" t="s">
        <v>38</v>
      </c>
      <c r="C504" s="4" t="s">
        <v>40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33</v>
      </c>
      <c r="I504" s="5">
        <v>44713</v>
      </c>
      <c r="J504" s="6">
        <v>0</v>
      </c>
      <c r="K504" s="97">
        <v>0</v>
      </c>
      <c r="L504" s="6">
        <v>10.738</v>
      </c>
      <c r="M504" s="97">
        <v>10.738</v>
      </c>
      <c r="N504" s="6">
        <v>10.738</v>
      </c>
      <c r="O504" s="97">
        <v>10.738</v>
      </c>
      <c r="P504" s="6">
        <v>0</v>
      </c>
      <c r="Q504" s="4" t="s">
        <v>26</v>
      </c>
      <c r="R504" s="4">
        <v>0</v>
      </c>
      <c r="S504" s="6">
        <v>0</v>
      </c>
      <c r="T504" s="6">
        <v>16</v>
      </c>
      <c r="U504" s="6">
        <v>47</v>
      </c>
      <c r="V504" s="97">
        <f>IF(ISERROR(VLOOKUP($S$504,'TAR FIN'!$A$1:$O$86,15,0)),0,VLOOKUP($S$504,'TAR FIN'!$A$1:$O$86,15,0))</f>
        <v>0</v>
      </c>
      <c r="W504" s="97">
        <f>IF(ISERROR(VLOOKUP($T$504,'TAR FIN'!$A$1:$O$86,15,0)),0,VLOOKUP($T$504,'TAR FIN'!$A$1:$O$86,15,0))*(1-0.04)</f>
        <v>1276.4832000000001</v>
      </c>
      <c r="X504" s="97">
        <f>IF(ISERROR(VLOOKUP($U$504,'TAR FIN'!$A$1:$O$86,15,0)),0,VLOOKUP($U$504,'TAR FIN'!$A$1:$O$86,15,0))*(1-0.04)</f>
        <v>373.64159999999998</v>
      </c>
      <c r="Y504" s="97"/>
      <c r="Z504" s="97">
        <f ca="1">('TUSD BE'!$AM$12+'TUSD BF_350'!$AM$12+'TUSD CVA'!$AM$12)*1*(1-0.02)</f>
        <v>1052.8740579870318</v>
      </c>
      <c r="AA504" s="97">
        <f ca="1">('TE BE'!$AB$5+'TE BF_350'!$AB$5+'TE CVA'!$AB$5)*1*(1-0.02)</f>
        <v>346.47998010024565</v>
      </c>
      <c r="AB504" s="6">
        <f>$K$504*$V$504</f>
        <v>0</v>
      </c>
      <c r="AC504" s="6">
        <f>$M$504*$W$504</f>
        <v>13706.876601600001</v>
      </c>
      <c r="AD504" s="6">
        <f>$O$504*$X$504</f>
        <v>4012.1635007999998</v>
      </c>
      <c r="AE504" s="6">
        <f>$K$504*$Y$504</f>
        <v>0</v>
      </c>
      <c r="AF504" s="6">
        <f ca="1">$M$504*$Z$504</f>
        <v>11305.761634664748</v>
      </c>
      <c r="AG504" s="6">
        <f ca="1">$O$504*$AA$504</f>
        <v>3720.5020263164379</v>
      </c>
    </row>
    <row r="505" spans="1:33" ht="11.25" customHeight="1" x14ac:dyDescent="0.25">
      <c r="A505" s="4" t="s">
        <v>21</v>
      </c>
      <c r="B505" s="4" t="s">
        <v>22</v>
      </c>
      <c r="C505" s="4" t="s">
        <v>32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34</v>
      </c>
      <c r="I505" s="5">
        <v>44378</v>
      </c>
      <c r="J505" s="6">
        <v>0</v>
      </c>
      <c r="K505" s="6">
        <v>0</v>
      </c>
      <c r="L505" s="6">
        <v>1.181</v>
      </c>
      <c r="M505" s="6">
        <v>1.181</v>
      </c>
      <c r="N505" s="6">
        <v>1.181</v>
      </c>
      <c r="O505" s="6">
        <v>1.181</v>
      </c>
      <c r="P505" s="6">
        <v>0</v>
      </c>
      <c r="Q505" s="4" t="s">
        <v>26</v>
      </c>
      <c r="R505" s="4">
        <v>0</v>
      </c>
      <c r="S505" s="6">
        <v>0</v>
      </c>
      <c r="T505" s="6">
        <v>23</v>
      </c>
      <c r="U505" s="6">
        <v>56</v>
      </c>
      <c r="V505" s="6">
        <f>IF(ISERROR(VLOOKUP($S$505,'TAR FIN'!$A$1:$O$86,15,0)),0,VLOOKUP($S$505,'TAR FIN'!$A$1:$O$86,15,0))</f>
        <v>0</v>
      </c>
      <c r="W505" s="6">
        <f>IF(ISERROR(VLOOKUP($T$505,'TAR FIN'!$A$1:$O$86,15,0)),0,VLOOKUP($T$505,'TAR FIN'!$A$1:$O$86,15,0))</f>
        <v>196.18</v>
      </c>
      <c r="X505" s="6">
        <f>IF(ISERROR(VLOOKUP($U$505,'TAR FIN'!$A$1:$O$86,15,0)),0,VLOOKUP($U$505,'TAR FIN'!$A$1:$O$86,15,0))</f>
        <v>246.3</v>
      </c>
      <c r="Y505" s="6"/>
      <c r="Z505" s="6">
        <f ca="1">('TUSD BE'!$AM$20+'TUSD BF_350'!$AM$20+'TUSD CVA'!$AM$20)*1</f>
        <v>198.60138395404957</v>
      </c>
      <c r="AA505" s="6">
        <f ca="1">('TE BE'!$AB$10+'TE BF_350'!$AB$10+'TE CVA'!$AB$10)*1</f>
        <v>219.40364509824883</v>
      </c>
      <c r="AB505" s="6">
        <f>$K$505*$V$505</f>
        <v>0</v>
      </c>
      <c r="AC505" s="6">
        <f>$M$505*$W$505</f>
        <v>231.68858000000003</v>
      </c>
      <c r="AD505" s="6">
        <f>$O$505*$X$505</f>
        <v>290.88030000000003</v>
      </c>
      <c r="AE505" s="6">
        <f>$K$505*$Y$505</f>
        <v>0</v>
      </c>
      <c r="AF505" s="6">
        <f ca="1">$M$505*$Z$505</f>
        <v>234.54823444973255</v>
      </c>
      <c r="AG505" s="6">
        <f ca="1">$O$505*$AA$505</f>
        <v>259.11570486103187</v>
      </c>
    </row>
    <row r="506" spans="1:33" ht="11.25" customHeight="1" x14ac:dyDescent="0.25">
      <c r="A506" s="4" t="s">
        <v>21</v>
      </c>
      <c r="B506" s="4" t="s">
        <v>22</v>
      </c>
      <c r="C506" s="4" t="s">
        <v>32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34</v>
      </c>
      <c r="I506" s="5">
        <v>44409</v>
      </c>
      <c r="J506" s="6">
        <v>0</v>
      </c>
      <c r="K506" s="6">
        <v>0</v>
      </c>
      <c r="L506" s="6">
        <v>2.4350000000000001</v>
      </c>
      <c r="M506" s="6">
        <v>2.4350000000000001</v>
      </c>
      <c r="N506" s="6">
        <v>2.4350000000000001</v>
      </c>
      <c r="O506" s="6">
        <v>2.4350000000000001</v>
      </c>
      <c r="P506" s="6">
        <v>0</v>
      </c>
      <c r="Q506" s="4" t="s">
        <v>26</v>
      </c>
      <c r="R506" s="4">
        <v>0</v>
      </c>
      <c r="S506" s="6">
        <v>0</v>
      </c>
      <c r="T506" s="6">
        <v>23</v>
      </c>
      <c r="U506" s="6">
        <v>56</v>
      </c>
      <c r="V506" s="6">
        <f>IF(ISERROR(VLOOKUP($S$506,'TAR FIN'!$A$1:$O$86,15,0)),0,VLOOKUP($S$506,'TAR FIN'!$A$1:$O$86,15,0))</f>
        <v>0</v>
      </c>
      <c r="W506" s="6">
        <f>IF(ISERROR(VLOOKUP($T$506,'TAR FIN'!$A$1:$O$86,15,0)),0,VLOOKUP($T$506,'TAR FIN'!$A$1:$O$86,15,0))</f>
        <v>196.18</v>
      </c>
      <c r="X506" s="6">
        <f>IF(ISERROR(VLOOKUP($U$506,'TAR FIN'!$A$1:$O$86,15,0)),0,VLOOKUP($U$506,'TAR FIN'!$A$1:$O$86,15,0))</f>
        <v>246.3</v>
      </c>
      <c r="Y506" s="6"/>
      <c r="Z506" s="6">
        <f ca="1">('TUSD BE'!$AM$20+'TUSD BF_350'!$AM$20+'TUSD CVA'!$AM$20)*1</f>
        <v>198.60138395404957</v>
      </c>
      <c r="AA506" s="6">
        <f ca="1">('TE BE'!$AB$10+'TE BF_350'!$AB$10+'TE CVA'!$AB$10)*1</f>
        <v>219.40364509824883</v>
      </c>
      <c r="AB506" s="6">
        <f>$K$506*$V$506</f>
        <v>0</v>
      </c>
      <c r="AC506" s="6">
        <f>$M$506*$W$506</f>
        <v>477.69830000000002</v>
      </c>
      <c r="AD506" s="6">
        <f>$O$506*$X$506</f>
        <v>599.7405</v>
      </c>
      <c r="AE506" s="6">
        <f>$K$506*$Y$506</f>
        <v>0</v>
      </c>
      <c r="AF506" s="6">
        <f ca="1">$M$506*$Z$506</f>
        <v>483.59436992811072</v>
      </c>
      <c r="AG506" s="6">
        <f ca="1">$O$506*$AA$506</f>
        <v>534.24787581423595</v>
      </c>
    </row>
    <row r="507" spans="1:33" ht="11.25" customHeight="1" x14ac:dyDescent="0.25">
      <c r="A507" s="4" t="s">
        <v>21</v>
      </c>
      <c r="B507" s="4" t="s">
        <v>22</v>
      </c>
      <c r="C507" s="4" t="s">
        <v>32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34</v>
      </c>
      <c r="I507" s="5">
        <v>44440</v>
      </c>
      <c r="J507" s="6">
        <v>0</v>
      </c>
      <c r="K507" s="6">
        <v>0</v>
      </c>
      <c r="L507" s="6">
        <v>0.71899999999999997</v>
      </c>
      <c r="M507" s="6">
        <v>0.71899999999999997</v>
      </c>
      <c r="N507" s="6">
        <v>0.71899999999999997</v>
      </c>
      <c r="O507" s="6">
        <v>0.71899999999999997</v>
      </c>
      <c r="P507" s="6">
        <v>0</v>
      </c>
      <c r="Q507" s="4" t="s">
        <v>26</v>
      </c>
      <c r="R507" s="4">
        <v>0</v>
      </c>
      <c r="S507" s="6">
        <v>0</v>
      </c>
      <c r="T507" s="6">
        <v>23</v>
      </c>
      <c r="U507" s="6">
        <v>56</v>
      </c>
      <c r="V507" s="6">
        <f>IF(ISERROR(VLOOKUP($S$507,'TAR FIN'!$A$1:$O$86,15,0)),0,VLOOKUP($S$507,'TAR FIN'!$A$1:$O$86,15,0))</f>
        <v>0</v>
      </c>
      <c r="W507" s="6">
        <f>IF(ISERROR(VLOOKUP($T$507,'TAR FIN'!$A$1:$O$86,15,0)),0,VLOOKUP($T$507,'TAR FIN'!$A$1:$O$86,15,0))</f>
        <v>196.18</v>
      </c>
      <c r="X507" s="6">
        <f>IF(ISERROR(VLOOKUP($U$507,'TAR FIN'!$A$1:$O$86,15,0)),0,VLOOKUP($U$507,'TAR FIN'!$A$1:$O$86,15,0))</f>
        <v>246.3</v>
      </c>
      <c r="Y507" s="6"/>
      <c r="Z507" s="6">
        <f ca="1">('TUSD BE'!$AM$20+'TUSD BF_350'!$AM$20+'TUSD CVA'!$AM$20)*1</f>
        <v>198.60138395404957</v>
      </c>
      <c r="AA507" s="6">
        <f ca="1">('TE BE'!$AB$10+'TE BF_350'!$AB$10+'TE CVA'!$AB$10)*1</f>
        <v>219.40364509824883</v>
      </c>
      <c r="AB507" s="6">
        <f>$K$507*$V$507</f>
        <v>0</v>
      </c>
      <c r="AC507" s="6">
        <f>$M$507*$W$507</f>
        <v>141.05341999999999</v>
      </c>
      <c r="AD507" s="6">
        <f>$O$507*$X$507</f>
        <v>177.08969999999999</v>
      </c>
      <c r="AE507" s="6">
        <f>$K$507*$Y$507</f>
        <v>0</v>
      </c>
      <c r="AF507" s="6">
        <f ca="1">$M$507*$Z$507</f>
        <v>142.79439506296163</v>
      </c>
      <c r="AG507" s="6">
        <f ca="1">$O$507*$AA$507</f>
        <v>157.7512208256409</v>
      </c>
    </row>
    <row r="508" spans="1:33" ht="11.25" customHeight="1" x14ac:dyDescent="0.25">
      <c r="A508" s="4" t="s">
        <v>21</v>
      </c>
      <c r="B508" s="4" t="s">
        <v>22</v>
      </c>
      <c r="C508" s="4" t="s">
        <v>32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34</v>
      </c>
      <c r="I508" s="5">
        <v>44470</v>
      </c>
      <c r="J508" s="6">
        <v>0</v>
      </c>
      <c r="K508" s="6">
        <v>0</v>
      </c>
      <c r="L508" s="6">
        <v>0.75900000000000001</v>
      </c>
      <c r="M508" s="6">
        <v>0.75900000000000001</v>
      </c>
      <c r="N508" s="6">
        <v>0.75900000000000001</v>
      </c>
      <c r="O508" s="6">
        <v>0.75900000000000001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23</v>
      </c>
      <c r="U508" s="6">
        <v>56</v>
      </c>
      <c r="V508" s="6">
        <f>IF(ISERROR(VLOOKUP($S$508,'TAR FIN'!$A$1:$O$86,15,0)),0,VLOOKUP($S$508,'TAR FIN'!$A$1:$O$86,15,0))</f>
        <v>0</v>
      </c>
      <c r="W508" s="6">
        <f>IF(ISERROR(VLOOKUP($T$508,'TAR FIN'!$A$1:$O$86,15,0)),0,VLOOKUP($T$508,'TAR FIN'!$A$1:$O$86,15,0))</f>
        <v>196.18</v>
      </c>
      <c r="X508" s="6">
        <f>IF(ISERROR(VLOOKUP($U$508,'TAR FIN'!$A$1:$O$86,15,0)),0,VLOOKUP($U$508,'TAR FIN'!$A$1:$O$86,15,0))</f>
        <v>246.3</v>
      </c>
      <c r="Y508" s="6"/>
      <c r="Z508" s="6">
        <f ca="1">('TUSD BE'!$AM$20+'TUSD BF_350'!$AM$20+'TUSD CVA'!$AM$20)*1</f>
        <v>198.60138395404957</v>
      </c>
      <c r="AA508" s="6">
        <f ca="1">('TE BE'!$AB$10+'TE BF_350'!$AB$10+'TE CVA'!$AB$10)*1</f>
        <v>219.40364509824883</v>
      </c>
      <c r="AB508" s="6">
        <f>$K$508*$V$508</f>
        <v>0</v>
      </c>
      <c r="AC508" s="6">
        <f>$M$508*$W$508</f>
        <v>148.90062</v>
      </c>
      <c r="AD508" s="6">
        <f>$O$508*$X$508</f>
        <v>186.9417</v>
      </c>
      <c r="AE508" s="6">
        <f>$K$508*$Y$508</f>
        <v>0</v>
      </c>
      <c r="AF508" s="6">
        <f ca="1">$M$508*$Z$508</f>
        <v>150.73845042112362</v>
      </c>
      <c r="AG508" s="6">
        <f ca="1">$O$508*$AA$508</f>
        <v>166.52736662957088</v>
      </c>
    </row>
    <row r="509" spans="1:33" ht="11.25" customHeight="1" x14ac:dyDescent="0.25">
      <c r="A509" s="4" t="s">
        <v>21</v>
      </c>
      <c r="B509" s="4" t="s">
        <v>22</v>
      </c>
      <c r="C509" s="4" t="s">
        <v>32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34</v>
      </c>
      <c r="I509" s="5">
        <v>44501</v>
      </c>
      <c r="J509" s="6">
        <v>0</v>
      </c>
      <c r="K509" s="6">
        <v>0</v>
      </c>
      <c r="L509" s="6">
        <v>0.91500000000000004</v>
      </c>
      <c r="M509" s="6">
        <v>0.91500000000000004</v>
      </c>
      <c r="N509" s="6">
        <v>0.91500000000000004</v>
      </c>
      <c r="O509" s="6">
        <v>0.91500000000000004</v>
      </c>
      <c r="P509" s="6">
        <v>0</v>
      </c>
      <c r="Q509" s="4" t="s">
        <v>26</v>
      </c>
      <c r="R509" s="4">
        <v>0</v>
      </c>
      <c r="S509" s="6">
        <v>0</v>
      </c>
      <c r="T509" s="6">
        <v>23</v>
      </c>
      <c r="U509" s="6">
        <v>56</v>
      </c>
      <c r="V509" s="6">
        <f>IF(ISERROR(VLOOKUP($S$509,'TAR FIN'!$A$1:$O$86,15,0)),0,VLOOKUP($S$509,'TAR FIN'!$A$1:$O$86,15,0))</f>
        <v>0</v>
      </c>
      <c r="W509" s="6">
        <f>IF(ISERROR(VLOOKUP($T$509,'TAR FIN'!$A$1:$O$86,15,0)),0,VLOOKUP($T$509,'TAR FIN'!$A$1:$O$86,15,0))</f>
        <v>196.18</v>
      </c>
      <c r="X509" s="6">
        <f>IF(ISERROR(VLOOKUP($U$509,'TAR FIN'!$A$1:$O$86,15,0)),0,VLOOKUP($U$509,'TAR FIN'!$A$1:$O$86,15,0))</f>
        <v>246.3</v>
      </c>
      <c r="Y509" s="6"/>
      <c r="Z509" s="6">
        <f ca="1">('TUSD BE'!$AM$20+'TUSD BF_350'!$AM$20+'TUSD CVA'!$AM$20)*1</f>
        <v>198.60138395404957</v>
      </c>
      <c r="AA509" s="6">
        <f ca="1">('TE BE'!$AB$10+'TE BF_350'!$AB$10+'TE CVA'!$AB$10)*1</f>
        <v>219.40364509824883</v>
      </c>
      <c r="AB509" s="6">
        <f>$K$509*$V$509</f>
        <v>0</v>
      </c>
      <c r="AC509" s="6">
        <f>$M$509*$W$509</f>
        <v>179.50470000000001</v>
      </c>
      <c r="AD509" s="6">
        <f>$O$509*$X$509</f>
        <v>225.36450000000002</v>
      </c>
      <c r="AE509" s="6">
        <f>$K$509*$Y$509</f>
        <v>0</v>
      </c>
      <c r="AF509" s="6">
        <f ca="1">$M$509*$Z$509</f>
        <v>181.72026631795535</v>
      </c>
      <c r="AG509" s="6">
        <f ca="1">$O$509*$AA$509</f>
        <v>200.75433526489769</v>
      </c>
    </row>
    <row r="510" spans="1:33" ht="11.25" customHeight="1" x14ac:dyDescent="0.25">
      <c r="A510" s="4" t="s">
        <v>21</v>
      </c>
      <c r="B510" s="4" t="s">
        <v>22</v>
      </c>
      <c r="C510" s="4" t="s">
        <v>32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34</v>
      </c>
      <c r="I510" s="5">
        <v>44531</v>
      </c>
      <c r="J510" s="6">
        <v>0</v>
      </c>
      <c r="K510" s="6">
        <v>0</v>
      </c>
      <c r="L510" s="6">
        <v>1.01</v>
      </c>
      <c r="M510" s="6">
        <v>1.01</v>
      </c>
      <c r="N510" s="6">
        <v>1.01</v>
      </c>
      <c r="O510" s="6">
        <v>1.01</v>
      </c>
      <c r="P510" s="6">
        <v>0</v>
      </c>
      <c r="Q510" s="4" t="s">
        <v>26</v>
      </c>
      <c r="R510" s="4">
        <v>0</v>
      </c>
      <c r="S510" s="6">
        <v>0</v>
      </c>
      <c r="T510" s="6">
        <v>23</v>
      </c>
      <c r="U510" s="6">
        <v>56</v>
      </c>
      <c r="V510" s="6">
        <f>IF(ISERROR(VLOOKUP($S$510,'TAR FIN'!$A$1:$O$86,15,0)),0,VLOOKUP($S$510,'TAR FIN'!$A$1:$O$86,15,0))</f>
        <v>0</v>
      </c>
      <c r="W510" s="6">
        <f>IF(ISERROR(VLOOKUP($T$510,'TAR FIN'!$A$1:$O$86,15,0)),0,VLOOKUP($T$510,'TAR FIN'!$A$1:$O$86,15,0))</f>
        <v>196.18</v>
      </c>
      <c r="X510" s="6">
        <f>IF(ISERROR(VLOOKUP($U$510,'TAR FIN'!$A$1:$O$86,15,0)),0,VLOOKUP($U$510,'TAR FIN'!$A$1:$O$86,15,0))</f>
        <v>246.3</v>
      </c>
      <c r="Y510" s="6"/>
      <c r="Z510" s="6">
        <f ca="1">('TUSD BE'!$AM$20+'TUSD BF_350'!$AM$20+'TUSD CVA'!$AM$20)*1</f>
        <v>198.60138395404957</v>
      </c>
      <c r="AA510" s="6">
        <f ca="1">('TE BE'!$AB$10+'TE BF_350'!$AB$10+'TE CVA'!$AB$10)*1</f>
        <v>219.40364509824883</v>
      </c>
      <c r="AB510" s="6">
        <f>$K$510*$V$510</f>
        <v>0</v>
      </c>
      <c r="AC510" s="6">
        <f>$M$510*$W$510</f>
        <v>198.14180000000002</v>
      </c>
      <c r="AD510" s="6">
        <f>$O$510*$X$510</f>
        <v>248.76300000000001</v>
      </c>
      <c r="AE510" s="6">
        <f>$K$510*$Y$510</f>
        <v>0</v>
      </c>
      <c r="AF510" s="6">
        <f ca="1">$M$510*$Z$510</f>
        <v>200.58739779359007</v>
      </c>
      <c r="AG510" s="6">
        <f ca="1">$O$510*$AA$510</f>
        <v>221.59768154923131</v>
      </c>
    </row>
    <row r="511" spans="1:33" ht="11.25" customHeight="1" x14ac:dyDescent="0.25">
      <c r="A511" s="4" t="s">
        <v>21</v>
      </c>
      <c r="B511" s="4" t="s">
        <v>22</v>
      </c>
      <c r="C511" s="4" t="s">
        <v>32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34</v>
      </c>
      <c r="I511" s="5">
        <v>44562</v>
      </c>
      <c r="J511" s="6">
        <v>0</v>
      </c>
      <c r="K511" s="6">
        <v>0</v>
      </c>
      <c r="L511" s="6">
        <v>1.4059999999999999</v>
      </c>
      <c r="M511" s="6">
        <v>1.4059999999999999</v>
      </c>
      <c r="N511" s="6">
        <v>1.4059999999999999</v>
      </c>
      <c r="O511" s="6">
        <v>1.4059999999999999</v>
      </c>
      <c r="P511" s="6">
        <v>0</v>
      </c>
      <c r="Q511" s="4" t="s">
        <v>26</v>
      </c>
      <c r="R511" s="4">
        <v>0</v>
      </c>
      <c r="S511" s="6">
        <v>0</v>
      </c>
      <c r="T511" s="6">
        <v>23</v>
      </c>
      <c r="U511" s="6">
        <v>56</v>
      </c>
      <c r="V511" s="6">
        <f>IF(ISERROR(VLOOKUP($S$511,'TAR FIN'!$A$1:$O$86,15,0)),0,VLOOKUP($S$511,'TAR FIN'!$A$1:$O$86,15,0))</f>
        <v>0</v>
      </c>
      <c r="W511" s="6">
        <f>IF(ISERROR(VLOOKUP($T$511,'TAR FIN'!$A$1:$O$86,15,0)),0,VLOOKUP($T$511,'TAR FIN'!$A$1:$O$86,15,0))</f>
        <v>196.18</v>
      </c>
      <c r="X511" s="6">
        <f>IF(ISERROR(VLOOKUP($U$511,'TAR FIN'!$A$1:$O$86,15,0)),0,VLOOKUP($U$511,'TAR FIN'!$A$1:$O$86,15,0))</f>
        <v>246.3</v>
      </c>
      <c r="Y511" s="6"/>
      <c r="Z511" s="6">
        <f ca="1">('TUSD BE'!$AM$20+'TUSD BF_350'!$AM$20+'TUSD CVA'!$AM$20)*1</f>
        <v>198.60138395404957</v>
      </c>
      <c r="AA511" s="6">
        <f ca="1">('TE BE'!$AB$10+'TE BF_350'!$AB$10+'TE CVA'!$AB$10)*1</f>
        <v>219.40364509824883</v>
      </c>
      <c r="AB511" s="6">
        <f>$K$511*$V$511</f>
        <v>0</v>
      </c>
      <c r="AC511" s="6">
        <f>$M$511*$W$511</f>
        <v>275.82907999999998</v>
      </c>
      <c r="AD511" s="6">
        <f>$O$511*$X$511</f>
        <v>346.2978</v>
      </c>
      <c r="AE511" s="6">
        <f>$K$511*$Y$511</f>
        <v>0</v>
      </c>
      <c r="AF511" s="6">
        <f ca="1">$M$511*$Z$511</f>
        <v>279.23354583939368</v>
      </c>
      <c r="AG511" s="6">
        <f ca="1">$O$511*$AA$511</f>
        <v>308.48152500813785</v>
      </c>
    </row>
    <row r="512" spans="1:33" ht="11.25" customHeight="1" x14ac:dyDescent="0.25">
      <c r="A512" s="4" t="s">
        <v>21</v>
      </c>
      <c r="B512" s="4" t="s">
        <v>22</v>
      </c>
      <c r="C512" s="4" t="s">
        <v>32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34</v>
      </c>
      <c r="I512" s="5">
        <v>44593</v>
      </c>
      <c r="J512" s="6">
        <v>0</v>
      </c>
      <c r="K512" s="6">
        <v>0</v>
      </c>
      <c r="L512" s="6">
        <v>0.307</v>
      </c>
      <c r="M512" s="6">
        <v>0.307</v>
      </c>
      <c r="N512" s="6">
        <v>0.307</v>
      </c>
      <c r="O512" s="6">
        <v>0.307</v>
      </c>
      <c r="P512" s="6">
        <v>0</v>
      </c>
      <c r="Q512" s="4" t="s">
        <v>26</v>
      </c>
      <c r="R512" s="4">
        <v>0</v>
      </c>
      <c r="S512" s="6">
        <v>0</v>
      </c>
      <c r="T512" s="6">
        <v>23</v>
      </c>
      <c r="U512" s="6">
        <v>56</v>
      </c>
      <c r="V512" s="6">
        <f>IF(ISERROR(VLOOKUP($S$512,'TAR FIN'!$A$1:$O$86,15,0)),0,VLOOKUP($S$512,'TAR FIN'!$A$1:$O$86,15,0))</f>
        <v>0</v>
      </c>
      <c r="W512" s="6">
        <f>IF(ISERROR(VLOOKUP($T$512,'TAR FIN'!$A$1:$O$86,15,0)),0,VLOOKUP($T$512,'TAR FIN'!$A$1:$O$86,15,0))</f>
        <v>196.18</v>
      </c>
      <c r="X512" s="6">
        <f>IF(ISERROR(VLOOKUP($U$512,'TAR FIN'!$A$1:$O$86,15,0)),0,VLOOKUP($U$512,'TAR FIN'!$A$1:$O$86,15,0))</f>
        <v>246.3</v>
      </c>
      <c r="Y512" s="6"/>
      <c r="Z512" s="6">
        <f ca="1">('TUSD BE'!$AM$20+'TUSD BF_350'!$AM$20+'TUSD CVA'!$AM$20)*1</f>
        <v>198.60138395404957</v>
      </c>
      <c r="AA512" s="6">
        <f ca="1">('TE BE'!$AB$10+'TE BF_350'!$AB$10+'TE CVA'!$AB$10)*1</f>
        <v>219.40364509824883</v>
      </c>
      <c r="AB512" s="6">
        <f>$K$512*$V$512</f>
        <v>0</v>
      </c>
      <c r="AC512" s="6">
        <f>$M$512*$W$512</f>
        <v>60.227260000000001</v>
      </c>
      <c r="AD512" s="6">
        <f>$O$512*$X$512</f>
        <v>75.614100000000008</v>
      </c>
      <c r="AE512" s="6">
        <f>$K$512*$Y$512</f>
        <v>0</v>
      </c>
      <c r="AF512" s="6">
        <f ca="1">$M$512*$Z$512</f>
        <v>60.970624873893215</v>
      </c>
      <c r="AG512" s="6">
        <f ca="1">$O$512*$AA$512</f>
        <v>67.356919045162385</v>
      </c>
    </row>
    <row r="513" spans="1:33" ht="11.25" customHeight="1" x14ac:dyDescent="0.25">
      <c r="A513" s="4" t="s">
        <v>21</v>
      </c>
      <c r="B513" s="4" t="s">
        <v>22</v>
      </c>
      <c r="C513" s="4" t="s">
        <v>32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34</v>
      </c>
      <c r="I513" s="5">
        <v>44621</v>
      </c>
      <c r="J513" s="6">
        <v>0</v>
      </c>
      <c r="K513" s="6">
        <v>0</v>
      </c>
      <c r="L513" s="6">
        <v>0.92500000000000004</v>
      </c>
      <c r="M513" s="6">
        <v>0.92500000000000004</v>
      </c>
      <c r="N513" s="6">
        <v>0.92500000000000004</v>
      </c>
      <c r="O513" s="6">
        <v>0.92500000000000004</v>
      </c>
      <c r="P513" s="6">
        <v>0</v>
      </c>
      <c r="Q513" s="4" t="s">
        <v>26</v>
      </c>
      <c r="R513" s="4">
        <v>0</v>
      </c>
      <c r="S513" s="6">
        <v>0</v>
      </c>
      <c r="T513" s="6">
        <v>23</v>
      </c>
      <c r="U513" s="6">
        <v>56</v>
      </c>
      <c r="V513" s="6">
        <f>IF(ISERROR(VLOOKUP($S$513,'TAR FIN'!$A$1:$O$86,15,0)),0,VLOOKUP($S$513,'TAR FIN'!$A$1:$O$86,15,0))</f>
        <v>0</v>
      </c>
      <c r="W513" s="6">
        <f>IF(ISERROR(VLOOKUP($T$513,'TAR FIN'!$A$1:$O$86,15,0)),0,VLOOKUP($T$513,'TAR FIN'!$A$1:$O$86,15,0))</f>
        <v>196.18</v>
      </c>
      <c r="X513" s="6">
        <f>IF(ISERROR(VLOOKUP($U$513,'TAR FIN'!$A$1:$O$86,15,0)),0,VLOOKUP($U$513,'TAR FIN'!$A$1:$O$86,15,0))</f>
        <v>246.3</v>
      </c>
      <c r="Y513" s="6"/>
      <c r="Z513" s="6">
        <f ca="1">('TUSD BE'!$AM$20+'TUSD BF_350'!$AM$20+'TUSD CVA'!$AM$20)*1</f>
        <v>198.60138395404957</v>
      </c>
      <c r="AA513" s="6">
        <f ca="1">('TE BE'!$AB$10+'TE BF_350'!$AB$10+'TE CVA'!$AB$10)*1</f>
        <v>219.40364509824883</v>
      </c>
      <c r="AB513" s="6">
        <f>$K$513*$V$513</f>
        <v>0</v>
      </c>
      <c r="AC513" s="6">
        <f>$M$513*$W$513</f>
        <v>181.46650000000002</v>
      </c>
      <c r="AD513" s="6">
        <f>$O$513*$X$513</f>
        <v>227.82750000000001</v>
      </c>
      <c r="AE513" s="6">
        <f>$K$513*$Y$513</f>
        <v>0</v>
      </c>
      <c r="AF513" s="6">
        <f ca="1">$M$513*$Z$513</f>
        <v>183.70628015749585</v>
      </c>
      <c r="AG513" s="6">
        <f ca="1">$O$513*$AA$513</f>
        <v>202.94837171588017</v>
      </c>
    </row>
    <row r="514" spans="1:33" ht="11.25" customHeight="1" x14ac:dyDescent="0.25">
      <c r="A514" s="4" t="s">
        <v>21</v>
      </c>
      <c r="B514" s="4" t="s">
        <v>22</v>
      </c>
      <c r="C514" s="4" t="s">
        <v>32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34</v>
      </c>
      <c r="I514" s="5">
        <v>44652</v>
      </c>
      <c r="J514" s="6">
        <v>0</v>
      </c>
      <c r="K514" s="6">
        <v>0</v>
      </c>
      <c r="L514" s="6">
        <v>0.69899999999999995</v>
      </c>
      <c r="M514" s="6">
        <v>0.69899999999999995</v>
      </c>
      <c r="N514" s="6">
        <v>0.69899999999999995</v>
      </c>
      <c r="O514" s="6">
        <v>0.69899999999999995</v>
      </c>
      <c r="P514" s="6">
        <v>0</v>
      </c>
      <c r="Q514" s="4" t="s">
        <v>26</v>
      </c>
      <c r="R514" s="4">
        <v>0</v>
      </c>
      <c r="S514" s="6">
        <v>0</v>
      </c>
      <c r="T514" s="6">
        <v>23</v>
      </c>
      <c r="U514" s="6">
        <v>56</v>
      </c>
      <c r="V514" s="6">
        <f>IF(ISERROR(VLOOKUP($S$514,'TAR FIN'!$A$1:$O$86,15,0)),0,VLOOKUP($S$514,'TAR FIN'!$A$1:$O$86,15,0))</f>
        <v>0</v>
      </c>
      <c r="W514" s="6">
        <f>IF(ISERROR(VLOOKUP($T$514,'TAR FIN'!$A$1:$O$86,15,0)),0,VLOOKUP($T$514,'TAR FIN'!$A$1:$O$86,15,0))</f>
        <v>196.18</v>
      </c>
      <c r="X514" s="6">
        <f>IF(ISERROR(VLOOKUP($U$514,'TAR FIN'!$A$1:$O$86,15,0)),0,VLOOKUP($U$514,'TAR FIN'!$A$1:$O$86,15,0))</f>
        <v>246.3</v>
      </c>
      <c r="Y514" s="6"/>
      <c r="Z514" s="6">
        <f ca="1">('TUSD BE'!$AM$20+'TUSD BF_350'!$AM$20+'TUSD CVA'!$AM$20)*1</f>
        <v>198.60138395404957</v>
      </c>
      <c r="AA514" s="6">
        <f ca="1">('TE BE'!$AB$10+'TE BF_350'!$AB$10+'TE CVA'!$AB$10)*1</f>
        <v>219.40364509824883</v>
      </c>
      <c r="AB514" s="6">
        <f>$K$514*$V$514</f>
        <v>0</v>
      </c>
      <c r="AC514" s="6">
        <f>$M$514*$W$514</f>
        <v>137.12982</v>
      </c>
      <c r="AD514" s="6">
        <f>$O$514*$X$514</f>
        <v>172.16370000000001</v>
      </c>
      <c r="AE514" s="6">
        <f>$K$514*$Y$514</f>
        <v>0</v>
      </c>
      <c r="AF514" s="6">
        <f ca="1">$M$514*$Z$514</f>
        <v>138.82236738388065</v>
      </c>
      <c r="AG514" s="6">
        <f ca="1">$O$514*$AA$514</f>
        <v>153.36314792367591</v>
      </c>
    </row>
    <row r="515" spans="1:33" ht="11.25" customHeight="1" x14ac:dyDescent="0.25">
      <c r="A515" s="4" t="s">
        <v>21</v>
      </c>
      <c r="B515" s="4" t="s">
        <v>22</v>
      </c>
      <c r="C515" s="4" t="s">
        <v>32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44682</v>
      </c>
      <c r="J515" s="6">
        <v>0</v>
      </c>
      <c r="K515" s="6">
        <v>0</v>
      </c>
      <c r="L515" s="6">
        <v>0.75600000000000001</v>
      </c>
      <c r="M515" s="6">
        <v>0.75600000000000001</v>
      </c>
      <c r="N515" s="6">
        <v>0.75600000000000001</v>
      </c>
      <c r="O515" s="6">
        <v>0.75600000000000001</v>
      </c>
      <c r="P515" s="6">
        <v>0</v>
      </c>
      <c r="Q515" s="4" t="s">
        <v>26</v>
      </c>
      <c r="R515" s="4">
        <v>0</v>
      </c>
      <c r="S515" s="6">
        <v>0</v>
      </c>
      <c r="T515" s="6">
        <v>23</v>
      </c>
      <c r="U515" s="6">
        <v>56</v>
      </c>
      <c r="V515" s="6">
        <f>IF(ISERROR(VLOOKUP($S$515,'TAR FIN'!$A$1:$O$86,15,0)),0,VLOOKUP($S$515,'TAR FIN'!$A$1:$O$86,15,0))</f>
        <v>0</v>
      </c>
      <c r="W515" s="6">
        <f>IF(ISERROR(VLOOKUP($T$515,'TAR FIN'!$A$1:$O$86,15,0)),0,VLOOKUP($T$515,'TAR FIN'!$A$1:$O$86,15,0))</f>
        <v>196.18</v>
      </c>
      <c r="X515" s="6">
        <f>IF(ISERROR(VLOOKUP($U$515,'TAR FIN'!$A$1:$O$86,15,0)),0,VLOOKUP($U$515,'TAR FIN'!$A$1:$O$86,15,0))</f>
        <v>246.3</v>
      </c>
      <c r="Y515" s="6"/>
      <c r="Z515" s="6">
        <f ca="1">('TUSD BE'!$AM$20+'TUSD BF_350'!$AM$20+'TUSD CVA'!$AM$20)*1</f>
        <v>198.60138395404957</v>
      </c>
      <c r="AA515" s="6">
        <f ca="1">('TE BE'!$AB$10+'TE BF_350'!$AB$10+'TE CVA'!$AB$10)*1</f>
        <v>219.40364509824883</v>
      </c>
      <c r="AB515" s="6">
        <f>$K$515*$V$515</f>
        <v>0</v>
      </c>
      <c r="AC515" s="6">
        <f>$M$515*$W$515</f>
        <v>148.31208000000001</v>
      </c>
      <c r="AD515" s="6">
        <f>$O$515*$X$515</f>
        <v>186.2028</v>
      </c>
      <c r="AE515" s="6">
        <f>$K$515*$Y$515</f>
        <v>0</v>
      </c>
      <c r="AF515" s="6">
        <f ca="1">$M$515*$Z$515</f>
        <v>150.14264626926146</v>
      </c>
      <c r="AG515" s="6">
        <f ca="1">$O$515*$AA$515</f>
        <v>165.86915569427612</v>
      </c>
    </row>
    <row r="516" spans="1:33" ht="11.25" customHeight="1" x14ac:dyDescent="0.25">
      <c r="A516" s="4" t="s">
        <v>56</v>
      </c>
      <c r="B516" s="4" t="s">
        <v>22</v>
      </c>
      <c r="C516" s="4" t="s">
        <v>32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44713</v>
      </c>
      <c r="J516" s="6">
        <v>0</v>
      </c>
      <c r="K516" s="6">
        <v>0</v>
      </c>
      <c r="L516" s="6">
        <v>0.75600000000000001</v>
      </c>
      <c r="M516" s="6">
        <v>0.75600000000000001</v>
      </c>
      <c r="N516" s="6">
        <v>0.75600000000000001</v>
      </c>
      <c r="O516" s="6">
        <v>0.75600000000000001</v>
      </c>
      <c r="P516" s="6">
        <v>0</v>
      </c>
      <c r="Q516" s="4" t="s">
        <v>26</v>
      </c>
      <c r="R516" s="4">
        <v>0</v>
      </c>
      <c r="S516" s="6">
        <v>0</v>
      </c>
      <c r="T516" s="6">
        <v>23</v>
      </c>
      <c r="U516" s="6">
        <v>56</v>
      </c>
      <c r="V516" s="6">
        <f>IF(ISERROR(VLOOKUP($S$516,'TAR FIN'!$A$1:$O$86,15,0)),0,VLOOKUP($S$516,'TAR FIN'!$A$1:$O$86,15,0))</f>
        <v>0</v>
      </c>
      <c r="W516" s="6">
        <f>IF(ISERROR(VLOOKUP($T$516,'TAR FIN'!$A$1:$O$86,15,0)),0,VLOOKUP($T$516,'TAR FIN'!$A$1:$O$86,15,0))</f>
        <v>196.18</v>
      </c>
      <c r="X516" s="6">
        <f>IF(ISERROR(VLOOKUP($U$516,'TAR FIN'!$A$1:$O$86,15,0)),0,VLOOKUP($U$516,'TAR FIN'!$A$1:$O$86,15,0))</f>
        <v>246.3</v>
      </c>
      <c r="Y516" s="6"/>
      <c r="Z516" s="6">
        <f ca="1">('TUSD BE'!$AM$20+'TUSD BF_350'!$AM$20+'TUSD CVA'!$AM$20)*1</f>
        <v>198.60138395404957</v>
      </c>
      <c r="AA516" s="6">
        <f ca="1">('TE BE'!$AB$10+'TE BF_350'!$AB$10+'TE CVA'!$AB$10)*1</f>
        <v>219.40364509824883</v>
      </c>
      <c r="AB516" s="6">
        <f>$K$516*$V$516</f>
        <v>0</v>
      </c>
      <c r="AC516" s="6">
        <f>$M$516*$W$516</f>
        <v>148.31208000000001</v>
      </c>
      <c r="AD516" s="6">
        <f>$O$516*$X$516</f>
        <v>186.2028</v>
      </c>
      <c r="AE516" s="6">
        <f>$K$516*$Y$516</f>
        <v>0</v>
      </c>
      <c r="AF516" s="6">
        <f ca="1">$M$516*$Z$516</f>
        <v>150.14264626926146</v>
      </c>
      <c r="AG516" s="6">
        <f ca="1">$O$516*$AA$516</f>
        <v>165.86915569427612</v>
      </c>
    </row>
    <row r="517" spans="1:33" ht="11.25" customHeight="1" x14ac:dyDescent="0.25">
      <c r="A517" s="4" t="s">
        <v>21</v>
      </c>
      <c r="B517" s="4" t="s">
        <v>22</v>
      </c>
      <c r="C517" s="4" t="s">
        <v>32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35</v>
      </c>
      <c r="I517" s="5">
        <v>44378</v>
      </c>
      <c r="J517" s="6">
        <v>0</v>
      </c>
      <c r="K517" s="6">
        <v>0</v>
      </c>
      <c r="L517" s="6">
        <v>3.2000000000000001E-2</v>
      </c>
      <c r="M517" s="6">
        <v>3.2000000000000001E-2</v>
      </c>
      <c r="N517" s="6">
        <v>3.2000000000000001E-2</v>
      </c>
      <c r="O517" s="6">
        <v>3.2000000000000001E-2</v>
      </c>
      <c r="P517" s="6">
        <v>0</v>
      </c>
      <c r="Q517" s="4" t="s">
        <v>26</v>
      </c>
      <c r="R517" s="4">
        <v>0</v>
      </c>
      <c r="S517" s="6">
        <v>0</v>
      </c>
      <c r="T517" s="6">
        <v>4</v>
      </c>
      <c r="U517" s="6">
        <v>40</v>
      </c>
      <c r="V517" s="6">
        <f>IF(ISERROR(VLOOKUP($S$517,'TAR FIN'!$A$1:$O$86,15,0)),0,VLOOKUP($S$517,'TAR FIN'!$A$1:$O$86,15,0))</f>
        <v>0</v>
      </c>
      <c r="W517" s="6">
        <f>IF(ISERROR(VLOOKUP($T$517,'TAR FIN'!$A$1:$O$86,15,0)),0,VLOOKUP($T$517,'TAR FIN'!$A$1:$O$86,15,0))</f>
        <v>556.29</v>
      </c>
      <c r="X517" s="6">
        <f>IF(ISERROR(VLOOKUP($U$517,'TAR FIN'!$A$1:$O$86,15,0)),0,VLOOKUP($U$517,'TAR FIN'!$A$1:$O$86,15,0))</f>
        <v>246.3</v>
      </c>
      <c r="Y517" s="6"/>
      <c r="Z517" s="6">
        <f ca="1">('TUSD BE'!$AM$19+'TUSD BF_350'!$AM$19+'TUSD CVA'!$AM$19)*1</f>
        <v>494.59970140636</v>
      </c>
      <c r="AA517" s="6">
        <f ca="1">('TE BE'!$AB$9+'TE BF_350'!$AB$9+'TE CVA'!$AB$9)*1</f>
        <v>219.40364509824883</v>
      </c>
      <c r="AB517" s="6">
        <f>$K$517*$V$517</f>
        <v>0</v>
      </c>
      <c r="AC517" s="6">
        <f>$M$517*$W$517</f>
        <v>17.801279999999998</v>
      </c>
      <c r="AD517" s="6">
        <f>$O$517*$X$517</f>
        <v>7.8816000000000006</v>
      </c>
      <c r="AE517" s="6">
        <f>$K$517*$Y$517</f>
        <v>0</v>
      </c>
      <c r="AF517" s="6">
        <f ca="1">$M$517*$Z$517</f>
        <v>15.82719044500352</v>
      </c>
      <c r="AG517" s="6">
        <f ca="1">$O$517*$AA$517</f>
        <v>7.0209166431439627</v>
      </c>
    </row>
    <row r="518" spans="1:33" ht="11.25" customHeight="1" x14ac:dyDescent="0.25">
      <c r="A518" s="4" t="s">
        <v>21</v>
      </c>
      <c r="B518" s="4" t="s">
        <v>22</v>
      </c>
      <c r="C518" s="4" t="s">
        <v>32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35</v>
      </c>
      <c r="I518" s="5">
        <v>44409</v>
      </c>
      <c r="J518" s="6">
        <v>0</v>
      </c>
      <c r="K518" s="6">
        <v>0</v>
      </c>
      <c r="L518" s="6">
        <v>3.3000000000000002E-2</v>
      </c>
      <c r="M518" s="6">
        <v>3.3000000000000002E-2</v>
      </c>
      <c r="N518" s="6">
        <v>3.3000000000000002E-2</v>
      </c>
      <c r="O518" s="6">
        <v>3.3000000000000002E-2</v>
      </c>
      <c r="P518" s="6">
        <v>0</v>
      </c>
      <c r="Q518" s="4" t="s">
        <v>26</v>
      </c>
      <c r="R518" s="4">
        <v>0</v>
      </c>
      <c r="S518" s="6">
        <v>0</v>
      </c>
      <c r="T518" s="6">
        <v>4</v>
      </c>
      <c r="U518" s="6">
        <v>40</v>
      </c>
      <c r="V518" s="6">
        <f>IF(ISERROR(VLOOKUP($S$518,'TAR FIN'!$A$1:$O$86,15,0)),0,VLOOKUP($S$518,'TAR FIN'!$A$1:$O$86,15,0))</f>
        <v>0</v>
      </c>
      <c r="W518" s="6">
        <f>IF(ISERROR(VLOOKUP($T$518,'TAR FIN'!$A$1:$O$86,15,0)),0,VLOOKUP($T$518,'TAR FIN'!$A$1:$O$86,15,0))</f>
        <v>556.29</v>
      </c>
      <c r="X518" s="6">
        <f>IF(ISERROR(VLOOKUP($U$518,'TAR FIN'!$A$1:$O$86,15,0)),0,VLOOKUP($U$518,'TAR FIN'!$A$1:$O$86,15,0))</f>
        <v>246.3</v>
      </c>
      <c r="Y518" s="6"/>
      <c r="Z518" s="6">
        <f ca="1">('TUSD BE'!$AM$19+'TUSD BF_350'!$AM$19+'TUSD CVA'!$AM$19)*1</f>
        <v>494.59970140636</v>
      </c>
      <c r="AA518" s="6">
        <f ca="1">('TE BE'!$AB$9+'TE BF_350'!$AB$9+'TE CVA'!$AB$9)*1</f>
        <v>219.40364509824883</v>
      </c>
      <c r="AB518" s="6">
        <f>$K$518*$V$518</f>
        <v>0</v>
      </c>
      <c r="AC518" s="6">
        <f>$M$518*$W$518</f>
        <v>18.357569999999999</v>
      </c>
      <c r="AD518" s="6">
        <f>$O$518*$X$518</f>
        <v>8.1279000000000003</v>
      </c>
      <c r="AE518" s="6">
        <f>$K$518*$Y$518</f>
        <v>0</v>
      </c>
      <c r="AF518" s="6">
        <f ca="1">$M$518*$Z$518</f>
        <v>16.321790146409882</v>
      </c>
      <c r="AG518" s="6">
        <f ca="1">$O$518*$AA$518</f>
        <v>7.240320288242212</v>
      </c>
    </row>
    <row r="519" spans="1:33" ht="11.25" customHeight="1" x14ac:dyDescent="0.25">
      <c r="A519" s="4" t="s">
        <v>21</v>
      </c>
      <c r="B519" s="4" t="s">
        <v>22</v>
      </c>
      <c r="C519" s="4" t="s">
        <v>32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35</v>
      </c>
      <c r="I519" s="5">
        <v>44440</v>
      </c>
      <c r="J519" s="6">
        <v>0</v>
      </c>
      <c r="K519" s="6">
        <v>0</v>
      </c>
      <c r="L519" s="6">
        <v>3.9E-2</v>
      </c>
      <c r="M519" s="6">
        <v>3.9E-2</v>
      </c>
      <c r="N519" s="6">
        <v>3.9E-2</v>
      </c>
      <c r="O519" s="6">
        <v>3.9E-2</v>
      </c>
      <c r="P519" s="6">
        <v>0</v>
      </c>
      <c r="Q519" s="4" t="s">
        <v>26</v>
      </c>
      <c r="R519" s="4">
        <v>0</v>
      </c>
      <c r="S519" s="6">
        <v>0</v>
      </c>
      <c r="T519" s="6">
        <v>4</v>
      </c>
      <c r="U519" s="6">
        <v>40</v>
      </c>
      <c r="V519" s="6">
        <f>IF(ISERROR(VLOOKUP($S$519,'TAR FIN'!$A$1:$O$86,15,0)),0,VLOOKUP($S$519,'TAR FIN'!$A$1:$O$86,15,0))</f>
        <v>0</v>
      </c>
      <c r="W519" s="6">
        <f>IF(ISERROR(VLOOKUP($T$519,'TAR FIN'!$A$1:$O$86,15,0)),0,VLOOKUP($T$519,'TAR FIN'!$A$1:$O$86,15,0))</f>
        <v>556.29</v>
      </c>
      <c r="X519" s="6">
        <f>IF(ISERROR(VLOOKUP($U$519,'TAR FIN'!$A$1:$O$86,15,0)),0,VLOOKUP($U$519,'TAR FIN'!$A$1:$O$86,15,0))</f>
        <v>246.3</v>
      </c>
      <c r="Y519" s="6"/>
      <c r="Z519" s="6">
        <f ca="1">('TUSD BE'!$AM$19+'TUSD BF_350'!$AM$19+'TUSD CVA'!$AM$19)*1</f>
        <v>494.59970140636</v>
      </c>
      <c r="AA519" s="6">
        <f ca="1">('TE BE'!$AB$9+'TE BF_350'!$AB$9+'TE CVA'!$AB$9)*1</f>
        <v>219.40364509824883</v>
      </c>
      <c r="AB519" s="6">
        <f>$K$519*$V$519</f>
        <v>0</v>
      </c>
      <c r="AC519" s="6">
        <f>$M$519*$W$519</f>
        <v>21.695309999999999</v>
      </c>
      <c r="AD519" s="6">
        <f>$O$519*$X$519</f>
        <v>9.6057000000000006</v>
      </c>
      <c r="AE519" s="6">
        <f>$K$519*$Y$519</f>
        <v>0</v>
      </c>
      <c r="AF519" s="6">
        <f ca="1">$M$519*$Z$519</f>
        <v>19.28938835484804</v>
      </c>
      <c r="AG519" s="6">
        <f ca="1">$O$519*$AA$519</f>
        <v>8.556742158831705</v>
      </c>
    </row>
    <row r="520" spans="1:33" ht="11.25" customHeight="1" x14ac:dyDescent="0.25">
      <c r="A520" s="4" t="s">
        <v>21</v>
      </c>
      <c r="B520" s="4" t="s">
        <v>22</v>
      </c>
      <c r="C520" s="4" t="s">
        <v>32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35</v>
      </c>
      <c r="I520" s="5">
        <v>44470</v>
      </c>
      <c r="J520" s="6">
        <v>0</v>
      </c>
      <c r="K520" s="6">
        <v>0</v>
      </c>
      <c r="L520" s="6">
        <v>3.5999999999999997E-2</v>
      </c>
      <c r="M520" s="6">
        <v>3.5999999999999997E-2</v>
      </c>
      <c r="N520" s="6">
        <v>3.5999999999999997E-2</v>
      </c>
      <c r="O520" s="6">
        <v>3.5999999999999997E-2</v>
      </c>
      <c r="P520" s="6">
        <v>0</v>
      </c>
      <c r="Q520" s="4" t="s">
        <v>26</v>
      </c>
      <c r="R520" s="4">
        <v>0</v>
      </c>
      <c r="S520" s="6">
        <v>0</v>
      </c>
      <c r="T520" s="6">
        <v>4</v>
      </c>
      <c r="U520" s="6">
        <v>40</v>
      </c>
      <c r="V520" s="6">
        <f>IF(ISERROR(VLOOKUP($S$520,'TAR FIN'!$A$1:$O$86,15,0)),0,VLOOKUP($S$520,'TAR FIN'!$A$1:$O$86,15,0))</f>
        <v>0</v>
      </c>
      <c r="W520" s="6">
        <f>IF(ISERROR(VLOOKUP($T$520,'TAR FIN'!$A$1:$O$86,15,0)),0,VLOOKUP($T$520,'TAR FIN'!$A$1:$O$86,15,0))</f>
        <v>556.29</v>
      </c>
      <c r="X520" s="6">
        <f>IF(ISERROR(VLOOKUP($U$520,'TAR FIN'!$A$1:$O$86,15,0)),0,VLOOKUP($U$520,'TAR FIN'!$A$1:$O$86,15,0))</f>
        <v>246.3</v>
      </c>
      <c r="Y520" s="6"/>
      <c r="Z520" s="6">
        <f ca="1">('TUSD BE'!$AM$19+'TUSD BF_350'!$AM$19+'TUSD CVA'!$AM$19)*1</f>
        <v>494.59970140636</v>
      </c>
      <c r="AA520" s="6">
        <f ca="1">('TE BE'!$AB$9+'TE BF_350'!$AB$9+'TE CVA'!$AB$9)*1</f>
        <v>219.40364509824883</v>
      </c>
      <c r="AB520" s="6">
        <f>$K$520*$V$520</f>
        <v>0</v>
      </c>
      <c r="AC520" s="6">
        <f>$M$520*$W$520</f>
        <v>20.026439999999997</v>
      </c>
      <c r="AD520" s="6">
        <f>$O$520*$X$520</f>
        <v>8.8667999999999996</v>
      </c>
      <c r="AE520" s="6">
        <f>$K$520*$Y$520</f>
        <v>0</v>
      </c>
      <c r="AF520" s="6">
        <f ca="1">$M$520*$Z$520</f>
        <v>17.805589250628959</v>
      </c>
      <c r="AG520" s="6">
        <f ca="1">$O$520*$AA$520</f>
        <v>7.8985312235369571</v>
      </c>
    </row>
    <row r="521" spans="1:33" ht="11.25" customHeight="1" x14ac:dyDescent="0.25">
      <c r="A521" s="4" t="s">
        <v>21</v>
      </c>
      <c r="B521" s="4" t="s">
        <v>22</v>
      </c>
      <c r="C521" s="4" t="s">
        <v>32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35</v>
      </c>
      <c r="I521" s="5">
        <v>44501</v>
      </c>
      <c r="J521" s="6">
        <v>0</v>
      </c>
      <c r="K521" s="6">
        <v>0</v>
      </c>
      <c r="L521" s="6">
        <v>5.3999999999999999E-2</v>
      </c>
      <c r="M521" s="6">
        <v>5.3999999999999999E-2</v>
      </c>
      <c r="N521" s="6">
        <v>5.3999999999999999E-2</v>
      </c>
      <c r="O521" s="6">
        <v>5.3999999999999999E-2</v>
      </c>
      <c r="P521" s="6">
        <v>0</v>
      </c>
      <c r="Q521" s="4" t="s">
        <v>26</v>
      </c>
      <c r="R521" s="4">
        <v>0</v>
      </c>
      <c r="S521" s="6">
        <v>0</v>
      </c>
      <c r="T521" s="6">
        <v>4</v>
      </c>
      <c r="U521" s="6">
        <v>40</v>
      </c>
      <c r="V521" s="6">
        <f>IF(ISERROR(VLOOKUP($S$521,'TAR FIN'!$A$1:$O$86,15,0)),0,VLOOKUP($S$521,'TAR FIN'!$A$1:$O$86,15,0))</f>
        <v>0</v>
      </c>
      <c r="W521" s="6">
        <f>IF(ISERROR(VLOOKUP($T$521,'TAR FIN'!$A$1:$O$86,15,0)),0,VLOOKUP($T$521,'TAR FIN'!$A$1:$O$86,15,0))</f>
        <v>556.29</v>
      </c>
      <c r="X521" s="6">
        <f>IF(ISERROR(VLOOKUP($U$521,'TAR FIN'!$A$1:$O$86,15,0)),0,VLOOKUP($U$521,'TAR FIN'!$A$1:$O$86,15,0))</f>
        <v>246.3</v>
      </c>
      <c r="Y521" s="6"/>
      <c r="Z521" s="6">
        <f ca="1">('TUSD BE'!$AM$19+'TUSD BF_350'!$AM$19+'TUSD CVA'!$AM$19)*1</f>
        <v>494.59970140636</v>
      </c>
      <c r="AA521" s="6">
        <f ca="1">('TE BE'!$AB$9+'TE BF_350'!$AB$9+'TE CVA'!$AB$9)*1</f>
        <v>219.40364509824883</v>
      </c>
      <c r="AB521" s="6">
        <f>$K$521*$V$521</f>
        <v>0</v>
      </c>
      <c r="AC521" s="6">
        <f>$M$521*$W$521</f>
        <v>30.039659999999998</v>
      </c>
      <c r="AD521" s="6">
        <f>$O$521*$X$521</f>
        <v>13.3002</v>
      </c>
      <c r="AE521" s="6">
        <f>$K$521*$Y$521</f>
        <v>0</v>
      </c>
      <c r="AF521" s="6">
        <f ca="1">$M$521*$Z$521</f>
        <v>26.70838387594344</v>
      </c>
      <c r="AG521" s="6">
        <f ca="1">$O$521*$AA$521</f>
        <v>11.847796835305436</v>
      </c>
    </row>
    <row r="522" spans="1:33" ht="11.25" customHeight="1" x14ac:dyDescent="0.25">
      <c r="A522" s="4" t="s">
        <v>21</v>
      </c>
      <c r="B522" s="4" t="s">
        <v>22</v>
      </c>
      <c r="C522" s="4" t="s">
        <v>32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35</v>
      </c>
      <c r="I522" s="5">
        <v>44531</v>
      </c>
      <c r="J522" s="6">
        <v>0</v>
      </c>
      <c r="K522" s="6">
        <v>0</v>
      </c>
      <c r="L522" s="6">
        <v>0.08</v>
      </c>
      <c r="M522" s="6">
        <v>0.08</v>
      </c>
      <c r="N522" s="6">
        <v>0.08</v>
      </c>
      <c r="O522" s="6">
        <v>0.08</v>
      </c>
      <c r="P522" s="6">
        <v>0</v>
      </c>
      <c r="Q522" s="4" t="s">
        <v>26</v>
      </c>
      <c r="R522" s="4">
        <v>0</v>
      </c>
      <c r="S522" s="6">
        <v>0</v>
      </c>
      <c r="T522" s="6">
        <v>4</v>
      </c>
      <c r="U522" s="6">
        <v>40</v>
      </c>
      <c r="V522" s="6">
        <f>IF(ISERROR(VLOOKUP($S$522,'TAR FIN'!$A$1:$O$86,15,0)),0,VLOOKUP($S$522,'TAR FIN'!$A$1:$O$86,15,0))</f>
        <v>0</v>
      </c>
      <c r="W522" s="6">
        <f>IF(ISERROR(VLOOKUP($T$522,'TAR FIN'!$A$1:$O$86,15,0)),0,VLOOKUP($T$522,'TAR FIN'!$A$1:$O$86,15,0))</f>
        <v>556.29</v>
      </c>
      <c r="X522" s="6">
        <f>IF(ISERROR(VLOOKUP($U$522,'TAR FIN'!$A$1:$O$86,15,0)),0,VLOOKUP($U$522,'TAR FIN'!$A$1:$O$86,15,0))</f>
        <v>246.3</v>
      </c>
      <c r="Y522" s="6"/>
      <c r="Z522" s="6">
        <f ca="1">('TUSD BE'!$AM$19+'TUSD BF_350'!$AM$19+'TUSD CVA'!$AM$19)*1</f>
        <v>494.59970140636</v>
      </c>
      <c r="AA522" s="6">
        <f ca="1">('TE BE'!$AB$9+'TE BF_350'!$AB$9+'TE CVA'!$AB$9)*1</f>
        <v>219.40364509824883</v>
      </c>
      <c r="AB522" s="6">
        <f>$K$522*$V$522</f>
        <v>0</v>
      </c>
      <c r="AC522" s="6">
        <f>$M$522*$W$522</f>
        <v>44.5032</v>
      </c>
      <c r="AD522" s="6">
        <f>$O$522*$X$522</f>
        <v>19.704000000000001</v>
      </c>
      <c r="AE522" s="6">
        <f>$K$522*$Y$522</f>
        <v>0</v>
      </c>
      <c r="AF522" s="6">
        <f ca="1">$M$522*$Z$522</f>
        <v>39.567976112508802</v>
      </c>
      <c r="AG522" s="6">
        <f ca="1">$O$522*$AA$522</f>
        <v>17.552291607859907</v>
      </c>
    </row>
    <row r="523" spans="1:33" ht="11.25" customHeight="1" x14ac:dyDescent="0.25">
      <c r="A523" s="4" t="s">
        <v>21</v>
      </c>
      <c r="B523" s="4" t="s">
        <v>22</v>
      </c>
      <c r="C523" s="4" t="s">
        <v>32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35</v>
      </c>
      <c r="I523" s="5">
        <v>44562</v>
      </c>
      <c r="J523" s="6">
        <v>0</v>
      </c>
      <c r="K523" s="6">
        <v>0</v>
      </c>
      <c r="L523" s="6">
        <v>0.1</v>
      </c>
      <c r="M523" s="6">
        <v>0.1</v>
      </c>
      <c r="N523" s="6">
        <v>0.1</v>
      </c>
      <c r="O523" s="6">
        <v>0.1</v>
      </c>
      <c r="P523" s="6">
        <v>0</v>
      </c>
      <c r="Q523" s="4" t="s">
        <v>26</v>
      </c>
      <c r="R523" s="4">
        <v>0</v>
      </c>
      <c r="S523" s="6">
        <v>0</v>
      </c>
      <c r="T523" s="6">
        <v>4</v>
      </c>
      <c r="U523" s="6">
        <v>40</v>
      </c>
      <c r="V523" s="6">
        <f>IF(ISERROR(VLOOKUP($S$523,'TAR FIN'!$A$1:$O$86,15,0)),0,VLOOKUP($S$523,'TAR FIN'!$A$1:$O$86,15,0))</f>
        <v>0</v>
      </c>
      <c r="W523" s="6">
        <f>IF(ISERROR(VLOOKUP($T$523,'TAR FIN'!$A$1:$O$86,15,0)),0,VLOOKUP($T$523,'TAR FIN'!$A$1:$O$86,15,0))</f>
        <v>556.29</v>
      </c>
      <c r="X523" s="6">
        <f>IF(ISERROR(VLOOKUP($U$523,'TAR FIN'!$A$1:$O$86,15,0)),0,VLOOKUP($U$523,'TAR FIN'!$A$1:$O$86,15,0))</f>
        <v>246.3</v>
      </c>
      <c r="Y523" s="6"/>
      <c r="Z523" s="6">
        <f ca="1">('TUSD BE'!$AM$19+'TUSD BF_350'!$AM$19+'TUSD CVA'!$AM$19)*1</f>
        <v>494.59970140636</v>
      </c>
      <c r="AA523" s="6">
        <f ca="1">('TE BE'!$AB$9+'TE BF_350'!$AB$9+'TE CVA'!$AB$9)*1</f>
        <v>219.40364509824883</v>
      </c>
      <c r="AB523" s="6">
        <f>$K$523*$V$523</f>
        <v>0</v>
      </c>
      <c r="AC523" s="6">
        <f>$M$523*$W$523</f>
        <v>55.628999999999998</v>
      </c>
      <c r="AD523" s="6">
        <f>$O$523*$X$523</f>
        <v>24.630000000000003</v>
      </c>
      <c r="AE523" s="6">
        <f>$K$523*$Y$523</f>
        <v>0</v>
      </c>
      <c r="AF523" s="6">
        <f ca="1">$M$523*$Z$523</f>
        <v>49.459970140636003</v>
      </c>
      <c r="AG523" s="6">
        <f ca="1">$O$523*$AA$523</f>
        <v>21.940364509824885</v>
      </c>
    </row>
    <row r="524" spans="1:33" ht="11.25" customHeight="1" x14ac:dyDescent="0.25">
      <c r="A524" s="4" t="s">
        <v>21</v>
      </c>
      <c r="B524" s="4" t="s">
        <v>22</v>
      </c>
      <c r="C524" s="4" t="s">
        <v>32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35</v>
      </c>
      <c r="I524" s="5">
        <v>44593</v>
      </c>
      <c r="J524" s="6">
        <v>0</v>
      </c>
      <c r="K524" s="6">
        <v>0</v>
      </c>
      <c r="L524" s="6">
        <v>3.5000000000000003E-2</v>
      </c>
      <c r="M524" s="6">
        <v>3.5000000000000003E-2</v>
      </c>
      <c r="N524" s="6">
        <v>3.5000000000000003E-2</v>
      </c>
      <c r="O524" s="6">
        <v>3.5000000000000003E-2</v>
      </c>
      <c r="P524" s="6">
        <v>0</v>
      </c>
      <c r="Q524" s="4" t="s">
        <v>26</v>
      </c>
      <c r="R524" s="4">
        <v>0</v>
      </c>
      <c r="S524" s="6">
        <v>0</v>
      </c>
      <c r="T524" s="6">
        <v>4</v>
      </c>
      <c r="U524" s="6">
        <v>40</v>
      </c>
      <c r="V524" s="6">
        <f>IF(ISERROR(VLOOKUP($S$524,'TAR FIN'!$A$1:$O$86,15,0)),0,VLOOKUP($S$524,'TAR FIN'!$A$1:$O$86,15,0))</f>
        <v>0</v>
      </c>
      <c r="W524" s="6">
        <f>IF(ISERROR(VLOOKUP($T$524,'TAR FIN'!$A$1:$O$86,15,0)),0,VLOOKUP($T$524,'TAR FIN'!$A$1:$O$86,15,0))</f>
        <v>556.29</v>
      </c>
      <c r="X524" s="6">
        <f>IF(ISERROR(VLOOKUP($U$524,'TAR FIN'!$A$1:$O$86,15,0)),0,VLOOKUP($U$524,'TAR FIN'!$A$1:$O$86,15,0))</f>
        <v>246.3</v>
      </c>
      <c r="Y524" s="6"/>
      <c r="Z524" s="6">
        <f ca="1">('TUSD BE'!$AM$19+'TUSD BF_350'!$AM$19+'TUSD CVA'!$AM$19)*1</f>
        <v>494.59970140636</v>
      </c>
      <c r="AA524" s="6">
        <f ca="1">('TE BE'!$AB$9+'TE BF_350'!$AB$9+'TE CVA'!$AB$9)*1</f>
        <v>219.40364509824883</v>
      </c>
      <c r="AB524" s="6">
        <f>$K$524*$V$524</f>
        <v>0</v>
      </c>
      <c r="AC524" s="6">
        <f>$M$524*$W$524</f>
        <v>19.47015</v>
      </c>
      <c r="AD524" s="6">
        <f>$O$524*$X$524</f>
        <v>8.6205000000000016</v>
      </c>
      <c r="AE524" s="6">
        <f>$K$524*$Y$524</f>
        <v>0</v>
      </c>
      <c r="AF524" s="6">
        <f ca="1">$M$524*$Z$524</f>
        <v>17.310989549222601</v>
      </c>
      <c r="AG524" s="6">
        <f ca="1">$O$524*$AA$524</f>
        <v>7.6791275784387096</v>
      </c>
    </row>
    <row r="525" spans="1:33" ht="11.25" customHeight="1" x14ac:dyDescent="0.25">
      <c r="A525" s="4" t="s">
        <v>21</v>
      </c>
      <c r="B525" s="4" t="s">
        <v>22</v>
      </c>
      <c r="C525" s="4" t="s">
        <v>32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35</v>
      </c>
      <c r="I525" s="5">
        <v>44621</v>
      </c>
      <c r="J525" s="6">
        <v>0</v>
      </c>
      <c r="K525" s="6">
        <v>0</v>
      </c>
      <c r="L525" s="6">
        <v>0.129</v>
      </c>
      <c r="M525" s="6">
        <v>0.129</v>
      </c>
      <c r="N525" s="6">
        <v>0.129</v>
      </c>
      <c r="O525" s="6">
        <v>0.129</v>
      </c>
      <c r="P525" s="6">
        <v>0</v>
      </c>
      <c r="Q525" s="4" t="s">
        <v>26</v>
      </c>
      <c r="R525" s="4">
        <v>0</v>
      </c>
      <c r="S525" s="6">
        <v>0</v>
      </c>
      <c r="T525" s="6">
        <v>4</v>
      </c>
      <c r="U525" s="6">
        <v>40</v>
      </c>
      <c r="V525" s="6">
        <f>IF(ISERROR(VLOOKUP($S$525,'TAR FIN'!$A$1:$O$86,15,0)),0,VLOOKUP($S$525,'TAR FIN'!$A$1:$O$86,15,0))</f>
        <v>0</v>
      </c>
      <c r="W525" s="6">
        <f>IF(ISERROR(VLOOKUP($T$525,'TAR FIN'!$A$1:$O$86,15,0)),0,VLOOKUP($T$525,'TAR FIN'!$A$1:$O$86,15,0))</f>
        <v>556.29</v>
      </c>
      <c r="X525" s="6">
        <f>IF(ISERROR(VLOOKUP($U$525,'TAR FIN'!$A$1:$O$86,15,0)),0,VLOOKUP($U$525,'TAR FIN'!$A$1:$O$86,15,0))</f>
        <v>246.3</v>
      </c>
      <c r="Y525" s="6"/>
      <c r="Z525" s="6">
        <f ca="1">('TUSD BE'!$AM$19+'TUSD BF_350'!$AM$19+'TUSD CVA'!$AM$19)*1</f>
        <v>494.59970140636</v>
      </c>
      <c r="AA525" s="6">
        <f ca="1">('TE BE'!$AB$9+'TE BF_350'!$AB$9+'TE CVA'!$AB$9)*1</f>
        <v>219.40364509824883</v>
      </c>
      <c r="AB525" s="6">
        <f>$K$525*$V$525</f>
        <v>0</v>
      </c>
      <c r="AC525" s="6">
        <f>$M$525*$W$525</f>
        <v>71.761409999999998</v>
      </c>
      <c r="AD525" s="6">
        <f>$O$525*$X$525</f>
        <v>31.772700000000004</v>
      </c>
      <c r="AE525" s="6">
        <f>$K$525*$Y$525</f>
        <v>0</v>
      </c>
      <c r="AF525" s="6">
        <f ca="1">$M$525*$Z$525</f>
        <v>63.803361481420438</v>
      </c>
      <c r="AG525" s="6">
        <f ca="1">$O$525*$AA$525</f>
        <v>28.303070217674101</v>
      </c>
    </row>
    <row r="526" spans="1:33" ht="11.25" customHeight="1" x14ac:dyDescent="0.25">
      <c r="A526" s="4" t="s">
        <v>21</v>
      </c>
      <c r="B526" s="4" t="s">
        <v>22</v>
      </c>
      <c r="C526" s="4" t="s">
        <v>32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35</v>
      </c>
      <c r="I526" s="5">
        <v>44652</v>
      </c>
      <c r="J526" s="6">
        <v>0</v>
      </c>
      <c r="K526" s="6">
        <v>0</v>
      </c>
      <c r="L526" s="6">
        <v>3.4000000000000002E-2</v>
      </c>
      <c r="M526" s="6">
        <v>3.4000000000000002E-2</v>
      </c>
      <c r="N526" s="6">
        <v>3.4000000000000002E-2</v>
      </c>
      <c r="O526" s="6">
        <v>3.4000000000000002E-2</v>
      </c>
      <c r="P526" s="6">
        <v>0</v>
      </c>
      <c r="Q526" s="4" t="s">
        <v>26</v>
      </c>
      <c r="R526" s="4">
        <v>0</v>
      </c>
      <c r="S526" s="6">
        <v>0</v>
      </c>
      <c r="T526" s="6">
        <v>4</v>
      </c>
      <c r="U526" s="6">
        <v>40</v>
      </c>
      <c r="V526" s="6">
        <f>IF(ISERROR(VLOOKUP($S$526,'TAR FIN'!$A$1:$O$86,15,0)),0,VLOOKUP($S$526,'TAR FIN'!$A$1:$O$86,15,0))</f>
        <v>0</v>
      </c>
      <c r="W526" s="6">
        <f>IF(ISERROR(VLOOKUP($T$526,'TAR FIN'!$A$1:$O$86,15,0)),0,VLOOKUP($T$526,'TAR FIN'!$A$1:$O$86,15,0))</f>
        <v>556.29</v>
      </c>
      <c r="X526" s="6">
        <f>IF(ISERROR(VLOOKUP($U$526,'TAR FIN'!$A$1:$O$86,15,0)),0,VLOOKUP($U$526,'TAR FIN'!$A$1:$O$86,15,0))</f>
        <v>246.3</v>
      </c>
      <c r="Y526" s="6"/>
      <c r="Z526" s="6">
        <f ca="1">('TUSD BE'!$AM$19+'TUSD BF_350'!$AM$19+'TUSD CVA'!$AM$19)*1</f>
        <v>494.59970140636</v>
      </c>
      <c r="AA526" s="6">
        <f ca="1">('TE BE'!$AB$9+'TE BF_350'!$AB$9+'TE CVA'!$AB$9)*1</f>
        <v>219.40364509824883</v>
      </c>
      <c r="AB526" s="6">
        <f>$K$526*$V$526</f>
        <v>0</v>
      </c>
      <c r="AC526" s="6">
        <f>$M$526*$W$526</f>
        <v>18.91386</v>
      </c>
      <c r="AD526" s="6">
        <f>$O$526*$X$526</f>
        <v>8.3742000000000019</v>
      </c>
      <c r="AE526" s="6">
        <f>$K$526*$Y$526</f>
        <v>0</v>
      </c>
      <c r="AF526" s="6">
        <f ca="1">$M$526*$Z$526</f>
        <v>16.816389847816239</v>
      </c>
      <c r="AG526" s="6">
        <f ca="1">$O$526*$AA$526</f>
        <v>7.4597239333404604</v>
      </c>
    </row>
    <row r="527" spans="1:33" ht="11.25" customHeight="1" x14ac:dyDescent="0.25">
      <c r="A527" s="4" t="s">
        <v>21</v>
      </c>
      <c r="B527" s="4" t="s">
        <v>22</v>
      </c>
      <c r="C527" s="4" t="s">
        <v>32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35</v>
      </c>
      <c r="I527" s="5">
        <v>44682</v>
      </c>
      <c r="J527" s="6">
        <v>0</v>
      </c>
      <c r="K527" s="6">
        <v>0</v>
      </c>
      <c r="L527" s="6">
        <v>3.7999999999999999E-2</v>
      </c>
      <c r="M527" s="6">
        <v>3.7999999999999999E-2</v>
      </c>
      <c r="N527" s="6">
        <v>3.7999999999999999E-2</v>
      </c>
      <c r="O527" s="6">
        <v>3.7999999999999999E-2</v>
      </c>
      <c r="P527" s="6">
        <v>0</v>
      </c>
      <c r="Q527" s="4" t="s">
        <v>26</v>
      </c>
      <c r="R527" s="4">
        <v>0</v>
      </c>
      <c r="S527" s="6">
        <v>0</v>
      </c>
      <c r="T527" s="6">
        <v>4</v>
      </c>
      <c r="U527" s="6">
        <v>40</v>
      </c>
      <c r="V527" s="6">
        <f>IF(ISERROR(VLOOKUP($S$527,'TAR FIN'!$A$1:$O$86,15,0)),0,VLOOKUP($S$527,'TAR FIN'!$A$1:$O$86,15,0))</f>
        <v>0</v>
      </c>
      <c r="W527" s="6">
        <f>IF(ISERROR(VLOOKUP($T$527,'TAR FIN'!$A$1:$O$86,15,0)),0,VLOOKUP($T$527,'TAR FIN'!$A$1:$O$86,15,0))</f>
        <v>556.29</v>
      </c>
      <c r="X527" s="6">
        <f>IF(ISERROR(VLOOKUP($U$527,'TAR FIN'!$A$1:$O$86,15,0)),0,VLOOKUP($U$527,'TAR FIN'!$A$1:$O$86,15,0))</f>
        <v>246.3</v>
      </c>
      <c r="Y527" s="6"/>
      <c r="Z527" s="6">
        <f ca="1">('TUSD BE'!$AM$19+'TUSD BF_350'!$AM$19+'TUSD CVA'!$AM$19)*1</f>
        <v>494.59970140636</v>
      </c>
      <c r="AA527" s="6">
        <f ca="1">('TE BE'!$AB$9+'TE BF_350'!$AB$9+'TE CVA'!$AB$9)*1</f>
        <v>219.40364509824883</v>
      </c>
      <c r="AB527" s="6">
        <f>$K$527*$V$527</f>
        <v>0</v>
      </c>
      <c r="AC527" s="6">
        <f>$M$527*$W$527</f>
        <v>21.139019999999999</v>
      </c>
      <c r="AD527" s="6">
        <f>$O$527*$X$527</f>
        <v>9.3594000000000008</v>
      </c>
      <c r="AE527" s="6">
        <f>$K$527*$Y$527</f>
        <v>0</v>
      </c>
      <c r="AF527" s="6">
        <f ca="1">$M$527*$Z$527</f>
        <v>18.794788653441678</v>
      </c>
      <c r="AG527" s="6">
        <f ca="1">$O$527*$AA$527</f>
        <v>8.3373385137334548</v>
      </c>
    </row>
    <row r="528" spans="1:33" ht="11.25" customHeight="1" x14ac:dyDescent="0.25">
      <c r="A528" s="4" t="s">
        <v>56</v>
      </c>
      <c r="B528" s="4" t="s">
        <v>22</v>
      </c>
      <c r="C528" s="4" t="s">
        <v>32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35</v>
      </c>
      <c r="I528" s="5">
        <v>44713</v>
      </c>
      <c r="J528" s="6">
        <v>0</v>
      </c>
      <c r="K528" s="6">
        <v>0</v>
      </c>
      <c r="L528" s="6">
        <v>3.7999999999999999E-2</v>
      </c>
      <c r="M528" s="6">
        <v>3.7999999999999999E-2</v>
      </c>
      <c r="N528" s="6">
        <v>3.7999999999999999E-2</v>
      </c>
      <c r="O528" s="6">
        <v>3.7999999999999999E-2</v>
      </c>
      <c r="P528" s="6">
        <v>0</v>
      </c>
      <c r="Q528" s="4" t="s">
        <v>26</v>
      </c>
      <c r="R528" s="4">
        <v>0</v>
      </c>
      <c r="S528" s="6">
        <v>0</v>
      </c>
      <c r="T528" s="6">
        <v>4</v>
      </c>
      <c r="U528" s="6">
        <v>40</v>
      </c>
      <c r="V528" s="6">
        <f>IF(ISERROR(VLOOKUP($S$528,'TAR FIN'!$A$1:$O$86,15,0)),0,VLOOKUP($S$528,'TAR FIN'!$A$1:$O$86,15,0))</f>
        <v>0</v>
      </c>
      <c r="W528" s="6">
        <f>IF(ISERROR(VLOOKUP($T$528,'TAR FIN'!$A$1:$O$86,15,0)),0,VLOOKUP($T$528,'TAR FIN'!$A$1:$O$86,15,0))</f>
        <v>556.29</v>
      </c>
      <c r="X528" s="6">
        <f>IF(ISERROR(VLOOKUP($U$528,'TAR FIN'!$A$1:$O$86,15,0)),0,VLOOKUP($U$528,'TAR FIN'!$A$1:$O$86,15,0))</f>
        <v>246.3</v>
      </c>
      <c r="Y528" s="6"/>
      <c r="Z528" s="6">
        <f ca="1">('TUSD BE'!$AM$19+'TUSD BF_350'!$AM$19+'TUSD CVA'!$AM$19)*1</f>
        <v>494.59970140636</v>
      </c>
      <c r="AA528" s="6">
        <f ca="1">('TE BE'!$AB$9+'TE BF_350'!$AB$9+'TE CVA'!$AB$9)*1</f>
        <v>219.40364509824883</v>
      </c>
      <c r="AB528" s="6">
        <f>$K$528*$V$528</f>
        <v>0</v>
      </c>
      <c r="AC528" s="6">
        <f>$M$528*$W$528</f>
        <v>21.139019999999999</v>
      </c>
      <c r="AD528" s="6">
        <f>$O$528*$X$528</f>
        <v>9.3594000000000008</v>
      </c>
      <c r="AE528" s="6">
        <f>$K$528*$Y$528</f>
        <v>0</v>
      </c>
      <c r="AF528" s="6">
        <f ca="1">$M$528*$Z$528</f>
        <v>18.794788653441678</v>
      </c>
      <c r="AG528" s="6">
        <f ca="1">$O$528*$AA$528</f>
        <v>8.3373385137334548</v>
      </c>
    </row>
    <row r="529" spans="1:33" ht="11.25" customHeight="1" x14ac:dyDescent="0.25">
      <c r="A529" s="4" t="s">
        <v>21</v>
      </c>
      <c r="B529" s="4" t="s">
        <v>22</v>
      </c>
      <c r="C529" s="4" t="s">
        <v>32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33</v>
      </c>
      <c r="I529" s="5">
        <v>44378</v>
      </c>
      <c r="J529" s="6">
        <v>0</v>
      </c>
      <c r="K529" s="6">
        <v>0</v>
      </c>
      <c r="L529" s="6">
        <v>8.3000000000000004E-2</v>
      </c>
      <c r="M529" s="6">
        <v>8.3000000000000004E-2</v>
      </c>
      <c r="N529" s="6">
        <v>8.3000000000000004E-2</v>
      </c>
      <c r="O529" s="6">
        <v>8.3000000000000004E-2</v>
      </c>
      <c r="P529" s="6">
        <v>0</v>
      </c>
      <c r="Q529" s="4" t="s">
        <v>26</v>
      </c>
      <c r="R529" s="4">
        <v>0</v>
      </c>
      <c r="S529" s="6">
        <v>0</v>
      </c>
      <c r="T529" s="6">
        <v>1</v>
      </c>
      <c r="U529" s="6">
        <v>48</v>
      </c>
      <c r="V529" s="6">
        <f>IF(ISERROR(VLOOKUP($S$529,'TAR FIN'!$A$1:$O$86,15,0)),0,VLOOKUP($S$529,'TAR FIN'!$A$1:$O$86,15,0))</f>
        <v>0</v>
      </c>
      <c r="W529" s="6">
        <f>IF(ISERROR(VLOOKUP($T$529,'TAR FIN'!$A$1:$O$86,15,0)),0,VLOOKUP($T$529,'TAR FIN'!$A$1:$O$86,15,0))</f>
        <v>1014.17</v>
      </c>
      <c r="X529" s="6">
        <f>IF(ISERROR(VLOOKUP($U$529,'TAR FIN'!$A$1:$O$86,15,0)),0,VLOOKUP($U$529,'TAR FIN'!$A$1:$O$86,15,0))</f>
        <v>389.21</v>
      </c>
      <c r="Y529" s="6"/>
      <c r="Z529" s="6">
        <f ca="1">('TUSD BE'!$AM$18+'TUSD BF_350'!$AM$18+'TUSD CVA'!$AM$18)*1</f>
        <v>864.59749550040999</v>
      </c>
      <c r="AA529" s="6">
        <f ca="1">('TE BE'!$AB$8+'TE BF_350'!$AB$8+'TE CVA'!$AB$8)*1</f>
        <v>353.55100010229148</v>
      </c>
      <c r="AB529" s="6">
        <f>$K$529*$V$529</f>
        <v>0</v>
      </c>
      <c r="AC529" s="6">
        <f>$M$529*$W$529</f>
        <v>84.176109999999994</v>
      </c>
      <c r="AD529" s="6">
        <f>$O$529*$X$529</f>
        <v>32.304430000000004</v>
      </c>
      <c r="AE529" s="6">
        <f>$K$529*$Y$529</f>
        <v>0</v>
      </c>
      <c r="AF529" s="6">
        <f ca="1">$M$529*$Z$529</f>
        <v>71.761592126534026</v>
      </c>
      <c r="AG529" s="6">
        <f ca="1">$O$529*$AA$529</f>
        <v>29.344733008490195</v>
      </c>
    </row>
    <row r="530" spans="1:33" ht="11.25" customHeight="1" x14ac:dyDescent="0.25">
      <c r="A530" s="4" t="s">
        <v>21</v>
      </c>
      <c r="B530" s="4" t="s">
        <v>22</v>
      </c>
      <c r="C530" s="4" t="s">
        <v>32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33</v>
      </c>
      <c r="I530" s="5">
        <v>44409</v>
      </c>
      <c r="J530" s="6">
        <v>0</v>
      </c>
      <c r="K530" s="6">
        <v>0</v>
      </c>
      <c r="L530" s="6">
        <v>6.2E-2</v>
      </c>
      <c r="M530" s="6">
        <v>6.2E-2</v>
      </c>
      <c r="N530" s="6">
        <v>6.2E-2</v>
      </c>
      <c r="O530" s="6">
        <v>6.2E-2</v>
      </c>
      <c r="P530" s="6">
        <v>0</v>
      </c>
      <c r="Q530" s="4" t="s">
        <v>26</v>
      </c>
      <c r="R530" s="4">
        <v>0</v>
      </c>
      <c r="S530" s="6">
        <v>0</v>
      </c>
      <c r="T530" s="6">
        <v>1</v>
      </c>
      <c r="U530" s="6">
        <v>48</v>
      </c>
      <c r="V530" s="6">
        <f>IF(ISERROR(VLOOKUP($S$530,'TAR FIN'!$A$1:$O$86,15,0)),0,VLOOKUP($S$530,'TAR FIN'!$A$1:$O$86,15,0))</f>
        <v>0</v>
      </c>
      <c r="W530" s="6">
        <f>IF(ISERROR(VLOOKUP($T$530,'TAR FIN'!$A$1:$O$86,15,0)),0,VLOOKUP($T$530,'TAR FIN'!$A$1:$O$86,15,0))</f>
        <v>1014.17</v>
      </c>
      <c r="X530" s="6">
        <f>IF(ISERROR(VLOOKUP($U$530,'TAR FIN'!$A$1:$O$86,15,0)),0,VLOOKUP($U$530,'TAR FIN'!$A$1:$O$86,15,0))</f>
        <v>389.21</v>
      </c>
      <c r="Y530" s="6"/>
      <c r="Z530" s="6">
        <f ca="1">('TUSD BE'!$AM$18+'TUSD BF_350'!$AM$18+'TUSD CVA'!$AM$18)*1</f>
        <v>864.59749550040999</v>
      </c>
      <c r="AA530" s="6">
        <f ca="1">('TE BE'!$AB$8+'TE BF_350'!$AB$8+'TE CVA'!$AB$8)*1</f>
        <v>353.55100010229148</v>
      </c>
      <c r="AB530" s="6">
        <f>$K$530*$V$530</f>
        <v>0</v>
      </c>
      <c r="AC530" s="6">
        <f>$M$530*$W$530</f>
        <v>62.878539999999994</v>
      </c>
      <c r="AD530" s="6">
        <f>$O$530*$X$530</f>
        <v>24.131019999999999</v>
      </c>
      <c r="AE530" s="6">
        <f>$K$530*$Y$530</f>
        <v>0</v>
      </c>
      <c r="AF530" s="6">
        <f ca="1">$M$530*$Z$530</f>
        <v>53.605044721025422</v>
      </c>
      <c r="AG530" s="6">
        <f ca="1">$O$530*$AA$530</f>
        <v>21.920162006342071</v>
      </c>
    </row>
    <row r="531" spans="1:33" ht="11.25" customHeight="1" x14ac:dyDescent="0.25">
      <c r="A531" s="4" t="s">
        <v>21</v>
      </c>
      <c r="B531" s="4" t="s">
        <v>22</v>
      </c>
      <c r="C531" s="4" t="s">
        <v>32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33</v>
      </c>
      <c r="I531" s="5">
        <v>44440</v>
      </c>
      <c r="J531" s="6">
        <v>0</v>
      </c>
      <c r="K531" s="6">
        <v>0</v>
      </c>
      <c r="L531" s="6">
        <v>7.3999999999999996E-2</v>
      </c>
      <c r="M531" s="6">
        <v>7.3999999999999996E-2</v>
      </c>
      <c r="N531" s="6">
        <v>7.3999999999999996E-2</v>
      </c>
      <c r="O531" s="6">
        <v>7.3999999999999996E-2</v>
      </c>
      <c r="P531" s="6">
        <v>0</v>
      </c>
      <c r="Q531" s="4" t="s">
        <v>26</v>
      </c>
      <c r="R531" s="4">
        <v>0</v>
      </c>
      <c r="S531" s="6">
        <v>0</v>
      </c>
      <c r="T531" s="6">
        <v>1</v>
      </c>
      <c r="U531" s="6">
        <v>48</v>
      </c>
      <c r="V531" s="6">
        <f>IF(ISERROR(VLOOKUP($S$531,'TAR FIN'!$A$1:$O$86,15,0)),0,VLOOKUP($S$531,'TAR FIN'!$A$1:$O$86,15,0))</f>
        <v>0</v>
      </c>
      <c r="W531" s="6">
        <f>IF(ISERROR(VLOOKUP($T$531,'TAR FIN'!$A$1:$O$86,15,0)),0,VLOOKUP($T$531,'TAR FIN'!$A$1:$O$86,15,0))</f>
        <v>1014.17</v>
      </c>
      <c r="X531" s="6">
        <f>IF(ISERROR(VLOOKUP($U$531,'TAR FIN'!$A$1:$O$86,15,0)),0,VLOOKUP($U$531,'TAR FIN'!$A$1:$O$86,15,0))</f>
        <v>389.21</v>
      </c>
      <c r="Y531" s="6"/>
      <c r="Z531" s="6">
        <f ca="1">('TUSD BE'!$AM$18+'TUSD BF_350'!$AM$18+'TUSD CVA'!$AM$18)*1</f>
        <v>864.59749550040999</v>
      </c>
      <c r="AA531" s="6">
        <f ca="1">('TE BE'!$AB$8+'TE BF_350'!$AB$8+'TE CVA'!$AB$8)*1</f>
        <v>353.55100010229148</v>
      </c>
      <c r="AB531" s="6">
        <f>$K$531*$V$531</f>
        <v>0</v>
      </c>
      <c r="AC531" s="6">
        <f>$M$531*$W$531</f>
        <v>75.048579999999987</v>
      </c>
      <c r="AD531" s="6">
        <f>$O$531*$X$531</f>
        <v>28.801539999999996</v>
      </c>
      <c r="AE531" s="6">
        <f>$K$531*$Y$531</f>
        <v>0</v>
      </c>
      <c r="AF531" s="6">
        <f ca="1">$M$531*$Z$531</f>
        <v>63.980214667030339</v>
      </c>
      <c r="AG531" s="6">
        <f ca="1">$O$531*$AA$531</f>
        <v>26.162774007569567</v>
      </c>
    </row>
    <row r="532" spans="1:33" ht="11.25" customHeight="1" x14ac:dyDescent="0.25">
      <c r="A532" s="4" t="s">
        <v>21</v>
      </c>
      <c r="B532" s="4" t="s">
        <v>22</v>
      </c>
      <c r="C532" s="4" t="s">
        <v>32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33</v>
      </c>
      <c r="I532" s="5">
        <v>44470</v>
      </c>
      <c r="J532" s="6">
        <v>0</v>
      </c>
      <c r="K532" s="6">
        <v>0</v>
      </c>
      <c r="L532" s="6">
        <v>8.1000000000000003E-2</v>
      </c>
      <c r="M532" s="6">
        <v>8.1000000000000003E-2</v>
      </c>
      <c r="N532" s="6">
        <v>8.1000000000000003E-2</v>
      </c>
      <c r="O532" s="6">
        <v>8.1000000000000003E-2</v>
      </c>
      <c r="P532" s="6">
        <v>0</v>
      </c>
      <c r="Q532" s="4" t="s">
        <v>26</v>
      </c>
      <c r="R532" s="4">
        <v>0</v>
      </c>
      <c r="S532" s="6">
        <v>0</v>
      </c>
      <c r="T532" s="6">
        <v>1</v>
      </c>
      <c r="U532" s="6">
        <v>48</v>
      </c>
      <c r="V532" s="6">
        <f>IF(ISERROR(VLOOKUP($S$532,'TAR FIN'!$A$1:$O$86,15,0)),0,VLOOKUP($S$532,'TAR FIN'!$A$1:$O$86,15,0))</f>
        <v>0</v>
      </c>
      <c r="W532" s="6">
        <f>IF(ISERROR(VLOOKUP($T$532,'TAR FIN'!$A$1:$O$86,15,0)),0,VLOOKUP($T$532,'TAR FIN'!$A$1:$O$86,15,0))</f>
        <v>1014.17</v>
      </c>
      <c r="X532" s="6">
        <f>IF(ISERROR(VLOOKUP($U$532,'TAR FIN'!$A$1:$O$86,15,0)),0,VLOOKUP($U$532,'TAR FIN'!$A$1:$O$86,15,0))</f>
        <v>389.21</v>
      </c>
      <c r="Y532" s="6"/>
      <c r="Z532" s="6">
        <f ca="1">('TUSD BE'!$AM$18+'TUSD BF_350'!$AM$18+'TUSD CVA'!$AM$18)*1</f>
        <v>864.59749550040999</v>
      </c>
      <c r="AA532" s="6">
        <f ca="1">('TE BE'!$AB$8+'TE BF_350'!$AB$8+'TE CVA'!$AB$8)*1</f>
        <v>353.55100010229148</v>
      </c>
      <c r="AB532" s="6">
        <f>$K$532*$V$532</f>
        <v>0</v>
      </c>
      <c r="AC532" s="6">
        <f>$M$532*$W$532</f>
        <v>82.147769999999994</v>
      </c>
      <c r="AD532" s="6">
        <f>$O$532*$X$532</f>
        <v>31.526009999999999</v>
      </c>
      <c r="AE532" s="6">
        <f>$K$532*$Y$532</f>
        <v>0</v>
      </c>
      <c r="AF532" s="6">
        <f ca="1">$M$532*$Z$532</f>
        <v>70.032397135533216</v>
      </c>
      <c r="AG532" s="6">
        <f ca="1">$O$532*$AA$532</f>
        <v>28.637631008285609</v>
      </c>
    </row>
    <row r="533" spans="1:33" ht="11.25" customHeight="1" x14ac:dyDescent="0.25">
      <c r="A533" s="4" t="s">
        <v>21</v>
      </c>
      <c r="B533" s="4" t="s">
        <v>22</v>
      </c>
      <c r="C533" s="4" t="s">
        <v>32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33</v>
      </c>
      <c r="I533" s="5">
        <v>44501</v>
      </c>
      <c r="J533" s="6">
        <v>0</v>
      </c>
      <c r="K533" s="6">
        <v>0</v>
      </c>
      <c r="L533" s="6">
        <v>9.5000000000000001E-2</v>
      </c>
      <c r="M533" s="6">
        <v>9.5000000000000001E-2</v>
      </c>
      <c r="N533" s="6">
        <v>9.5000000000000001E-2</v>
      </c>
      <c r="O533" s="6">
        <v>9.5000000000000001E-2</v>
      </c>
      <c r="P533" s="6">
        <v>0</v>
      </c>
      <c r="Q533" s="4" t="s">
        <v>26</v>
      </c>
      <c r="R533" s="4">
        <v>0</v>
      </c>
      <c r="S533" s="6">
        <v>0</v>
      </c>
      <c r="T533" s="6">
        <v>1</v>
      </c>
      <c r="U533" s="6">
        <v>48</v>
      </c>
      <c r="V533" s="6">
        <f>IF(ISERROR(VLOOKUP($S$533,'TAR FIN'!$A$1:$O$86,15,0)),0,VLOOKUP($S$533,'TAR FIN'!$A$1:$O$86,15,0))</f>
        <v>0</v>
      </c>
      <c r="W533" s="6">
        <f>IF(ISERROR(VLOOKUP($T$533,'TAR FIN'!$A$1:$O$86,15,0)),0,VLOOKUP($T$533,'TAR FIN'!$A$1:$O$86,15,0))</f>
        <v>1014.17</v>
      </c>
      <c r="X533" s="6">
        <f>IF(ISERROR(VLOOKUP($U$533,'TAR FIN'!$A$1:$O$86,15,0)),0,VLOOKUP($U$533,'TAR FIN'!$A$1:$O$86,15,0))</f>
        <v>389.21</v>
      </c>
      <c r="Y533" s="6"/>
      <c r="Z533" s="6">
        <f ca="1">('TUSD BE'!$AM$18+'TUSD BF_350'!$AM$18+'TUSD CVA'!$AM$18)*1</f>
        <v>864.59749550040999</v>
      </c>
      <c r="AA533" s="6">
        <f ca="1">('TE BE'!$AB$8+'TE BF_350'!$AB$8+'TE CVA'!$AB$8)*1</f>
        <v>353.55100010229148</v>
      </c>
      <c r="AB533" s="6">
        <f>$K$533*$V$533</f>
        <v>0</v>
      </c>
      <c r="AC533" s="6">
        <f>$M$533*$W$533</f>
        <v>96.346149999999994</v>
      </c>
      <c r="AD533" s="6">
        <f>$O$533*$X$533</f>
        <v>36.97495</v>
      </c>
      <c r="AE533" s="6">
        <f>$K$533*$Y$533</f>
        <v>0</v>
      </c>
      <c r="AF533" s="6">
        <f ca="1">$M$533*$Z$533</f>
        <v>82.136762072538957</v>
      </c>
      <c r="AG533" s="6">
        <f ca="1">$O$533*$AA$533</f>
        <v>33.587345009717694</v>
      </c>
    </row>
    <row r="534" spans="1:33" ht="11.25" customHeight="1" x14ac:dyDescent="0.25">
      <c r="A534" s="4" t="s">
        <v>21</v>
      </c>
      <c r="B534" s="4" t="s">
        <v>22</v>
      </c>
      <c r="C534" s="4" t="s">
        <v>32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33</v>
      </c>
      <c r="I534" s="5">
        <v>44531</v>
      </c>
      <c r="J534" s="6">
        <v>0</v>
      </c>
      <c r="K534" s="6">
        <v>0</v>
      </c>
      <c r="L534" s="6">
        <v>0.10299999999999999</v>
      </c>
      <c r="M534" s="6">
        <v>0.10299999999999999</v>
      </c>
      <c r="N534" s="6">
        <v>0.10299999999999999</v>
      </c>
      <c r="O534" s="6">
        <v>0.10299999999999999</v>
      </c>
      <c r="P534" s="6">
        <v>0</v>
      </c>
      <c r="Q534" s="4" t="s">
        <v>26</v>
      </c>
      <c r="R534" s="4">
        <v>0</v>
      </c>
      <c r="S534" s="6">
        <v>0</v>
      </c>
      <c r="T534" s="6">
        <v>1</v>
      </c>
      <c r="U534" s="6">
        <v>48</v>
      </c>
      <c r="V534" s="6">
        <f>IF(ISERROR(VLOOKUP($S$534,'TAR FIN'!$A$1:$O$86,15,0)),0,VLOOKUP($S$534,'TAR FIN'!$A$1:$O$86,15,0))</f>
        <v>0</v>
      </c>
      <c r="W534" s="6">
        <f>IF(ISERROR(VLOOKUP($T$534,'TAR FIN'!$A$1:$O$86,15,0)),0,VLOOKUP($T$534,'TAR FIN'!$A$1:$O$86,15,0))</f>
        <v>1014.17</v>
      </c>
      <c r="X534" s="6">
        <f>IF(ISERROR(VLOOKUP($U$534,'TAR FIN'!$A$1:$O$86,15,0)),0,VLOOKUP($U$534,'TAR FIN'!$A$1:$O$86,15,0))</f>
        <v>389.21</v>
      </c>
      <c r="Y534" s="6"/>
      <c r="Z534" s="6">
        <f ca="1">('TUSD BE'!$AM$18+'TUSD BF_350'!$AM$18+'TUSD CVA'!$AM$18)*1</f>
        <v>864.59749550040999</v>
      </c>
      <c r="AA534" s="6">
        <f ca="1">('TE BE'!$AB$8+'TE BF_350'!$AB$8+'TE CVA'!$AB$8)*1</f>
        <v>353.55100010229148</v>
      </c>
      <c r="AB534" s="6">
        <f>$K$534*$V$534</f>
        <v>0</v>
      </c>
      <c r="AC534" s="6">
        <f>$M$534*$W$534</f>
        <v>104.45950999999999</v>
      </c>
      <c r="AD534" s="6">
        <f>$O$534*$X$534</f>
        <v>40.088629999999995</v>
      </c>
      <c r="AE534" s="6">
        <f>$K$534*$Y$534</f>
        <v>0</v>
      </c>
      <c r="AF534" s="6">
        <f ca="1">$M$534*$Z$534</f>
        <v>89.053542036542225</v>
      </c>
      <c r="AG534" s="6">
        <f ca="1">$O$534*$AA$534</f>
        <v>36.415753010536022</v>
      </c>
    </row>
    <row r="535" spans="1:33" ht="11.25" customHeight="1" x14ac:dyDescent="0.25">
      <c r="A535" s="4" t="s">
        <v>21</v>
      </c>
      <c r="B535" s="4" t="s">
        <v>22</v>
      </c>
      <c r="C535" s="4" t="s">
        <v>32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33</v>
      </c>
      <c r="I535" s="5">
        <v>44562</v>
      </c>
      <c r="J535" s="6">
        <v>0</v>
      </c>
      <c r="K535" s="6">
        <v>0</v>
      </c>
      <c r="L535" s="6">
        <v>0.124</v>
      </c>
      <c r="M535" s="6">
        <v>0.124</v>
      </c>
      <c r="N535" s="6">
        <v>0.124</v>
      </c>
      <c r="O535" s="6">
        <v>0.124</v>
      </c>
      <c r="P535" s="6">
        <v>0</v>
      </c>
      <c r="Q535" s="4" t="s">
        <v>26</v>
      </c>
      <c r="R535" s="4">
        <v>0</v>
      </c>
      <c r="S535" s="6">
        <v>0</v>
      </c>
      <c r="T535" s="6">
        <v>1</v>
      </c>
      <c r="U535" s="6">
        <v>48</v>
      </c>
      <c r="V535" s="6">
        <f>IF(ISERROR(VLOOKUP($S$535,'TAR FIN'!$A$1:$O$86,15,0)),0,VLOOKUP($S$535,'TAR FIN'!$A$1:$O$86,15,0))</f>
        <v>0</v>
      </c>
      <c r="W535" s="6">
        <f>IF(ISERROR(VLOOKUP($T$535,'TAR FIN'!$A$1:$O$86,15,0)),0,VLOOKUP($T$535,'TAR FIN'!$A$1:$O$86,15,0))</f>
        <v>1014.17</v>
      </c>
      <c r="X535" s="6">
        <f>IF(ISERROR(VLOOKUP($U$535,'TAR FIN'!$A$1:$O$86,15,0)),0,VLOOKUP($U$535,'TAR FIN'!$A$1:$O$86,15,0))</f>
        <v>389.21</v>
      </c>
      <c r="Y535" s="6"/>
      <c r="Z535" s="6">
        <f ca="1">('TUSD BE'!$AM$18+'TUSD BF_350'!$AM$18+'TUSD CVA'!$AM$18)*1</f>
        <v>864.59749550040999</v>
      </c>
      <c r="AA535" s="6">
        <f ca="1">('TE BE'!$AB$8+'TE BF_350'!$AB$8+'TE CVA'!$AB$8)*1</f>
        <v>353.55100010229148</v>
      </c>
      <c r="AB535" s="6">
        <f>$K$535*$V$535</f>
        <v>0</v>
      </c>
      <c r="AC535" s="6">
        <f>$M$535*$W$535</f>
        <v>125.75707999999999</v>
      </c>
      <c r="AD535" s="6">
        <f>$O$535*$X$535</f>
        <v>48.262039999999999</v>
      </c>
      <c r="AE535" s="6">
        <f>$K$535*$Y$535</f>
        <v>0</v>
      </c>
      <c r="AF535" s="6">
        <f ca="1">$M$535*$Z$535</f>
        <v>107.21008944205084</v>
      </c>
      <c r="AG535" s="6">
        <f ca="1">$O$535*$AA$535</f>
        <v>43.840324012684142</v>
      </c>
    </row>
    <row r="536" spans="1:33" ht="11.25" customHeight="1" x14ac:dyDescent="0.25">
      <c r="A536" s="4" t="s">
        <v>21</v>
      </c>
      <c r="B536" s="4" t="s">
        <v>22</v>
      </c>
      <c r="C536" s="4" t="s">
        <v>32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33</v>
      </c>
      <c r="I536" s="5">
        <v>44593</v>
      </c>
      <c r="J536" s="6">
        <v>0</v>
      </c>
      <c r="K536" s="6">
        <v>0</v>
      </c>
      <c r="L536" s="6">
        <v>5.8000000000000003E-2</v>
      </c>
      <c r="M536" s="6">
        <v>5.8000000000000003E-2</v>
      </c>
      <c r="N536" s="6">
        <v>5.8000000000000003E-2</v>
      </c>
      <c r="O536" s="6">
        <v>5.8000000000000003E-2</v>
      </c>
      <c r="P536" s="6">
        <v>0</v>
      </c>
      <c r="Q536" s="4" t="s">
        <v>26</v>
      </c>
      <c r="R536" s="4">
        <v>0</v>
      </c>
      <c r="S536" s="6">
        <v>0</v>
      </c>
      <c r="T536" s="6">
        <v>1</v>
      </c>
      <c r="U536" s="6">
        <v>48</v>
      </c>
      <c r="V536" s="6">
        <f>IF(ISERROR(VLOOKUP($S$536,'TAR FIN'!$A$1:$O$86,15,0)),0,VLOOKUP($S$536,'TAR FIN'!$A$1:$O$86,15,0))</f>
        <v>0</v>
      </c>
      <c r="W536" s="6">
        <f>IF(ISERROR(VLOOKUP($T$536,'TAR FIN'!$A$1:$O$86,15,0)),0,VLOOKUP($T$536,'TAR FIN'!$A$1:$O$86,15,0))</f>
        <v>1014.17</v>
      </c>
      <c r="X536" s="6">
        <f>IF(ISERROR(VLOOKUP($U$536,'TAR FIN'!$A$1:$O$86,15,0)),0,VLOOKUP($U$536,'TAR FIN'!$A$1:$O$86,15,0))</f>
        <v>389.21</v>
      </c>
      <c r="Y536" s="6"/>
      <c r="Z536" s="6">
        <f ca="1">('TUSD BE'!$AM$18+'TUSD BF_350'!$AM$18+'TUSD CVA'!$AM$18)*1</f>
        <v>864.59749550040999</v>
      </c>
      <c r="AA536" s="6">
        <f ca="1">('TE BE'!$AB$8+'TE BF_350'!$AB$8+'TE CVA'!$AB$8)*1</f>
        <v>353.55100010229148</v>
      </c>
      <c r="AB536" s="6">
        <f>$K$536*$V$536</f>
        <v>0</v>
      </c>
      <c r="AC536" s="6">
        <f>$M$536*$W$536</f>
        <v>58.821860000000001</v>
      </c>
      <c r="AD536" s="6">
        <f>$O$536*$X$536</f>
        <v>22.574179999999998</v>
      </c>
      <c r="AE536" s="6">
        <f>$K$536*$Y$536</f>
        <v>0</v>
      </c>
      <c r="AF536" s="6">
        <f ca="1">$M$536*$Z$536</f>
        <v>50.146654739023781</v>
      </c>
      <c r="AG536" s="6">
        <f ca="1">$O$536*$AA$536</f>
        <v>20.505958005932907</v>
      </c>
    </row>
    <row r="537" spans="1:33" ht="11.25" customHeight="1" x14ac:dyDescent="0.25">
      <c r="A537" s="4" t="s">
        <v>21</v>
      </c>
      <c r="B537" s="4" t="s">
        <v>22</v>
      </c>
      <c r="C537" s="4" t="s">
        <v>32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33</v>
      </c>
      <c r="I537" s="5">
        <v>44621</v>
      </c>
      <c r="J537" s="6">
        <v>0</v>
      </c>
      <c r="K537" s="6">
        <v>0</v>
      </c>
      <c r="L537" s="6">
        <v>0.20499999999999999</v>
      </c>
      <c r="M537" s="6">
        <v>0.20499999999999999</v>
      </c>
      <c r="N537" s="6">
        <v>0.20499999999999999</v>
      </c>
      <c r="O537" s="6">
        <v>0.20499999999999999</v>
      </c>
      <c r="P537" s="6">
        <v>0</v>
      </c>
      <c r="Q537" s="4" t="s">
        <v>26</v>
      </c>
      <c r="R537" s="4">
        <v>0</v>
      </c>
      <c r="S537" s="6">
        <v>0</v>
      </c>
      <c r="T537" s="6">
        <v>1</v>
      </c>
      <c r="U537" s="6">
        <v>48</v>
      </c>
      <c r="V537" s="6">
        <f>IF(ISERROR(VLOOKUP($S$537,'TAR FIN'!$A$1:$O$86,15,0)),0,VLOOKUP($S$537,'TAR FIN'!$A$1:$O$86,15,0))</f>
        <v>0</v>
      </c>
      <c r="W537" s="6">
        <f>IF(ISERROR(VLOOKUP($T$537,'TAR FIN'!$A$1:$O$86,15,0)),0,VLOOKUP($T$537,'TAR FIN'!$A$1:$O$86,15,0))</f>
        <v>1014.17</v>
      </c>
      <c r="X537" s="6">
        <f>IF(ISERROR(VLOOKUP($U$537,'TAR FIN'!$A$1:$O$86,15,0)),0,VLOOKUP($U$537,'TAR FIN'!$A$1:$O$86,15,0))</f>
        <v>389.21</v>
      </c>
      <c r="Y537" s="6"/>
      <c r="Z537" s="6">
        <f ca="1">('TUSD BE'!$AM$18+'TUSD BF_350'!$AM$18+'TUSD CVA'!$AM$18)*1</f>
        <v>864.59749550040999</v>
      </c>
      <c r="AA537" s="6">
        <f ca="1">('TE BE'!$AB$8+'TE BF_350'!$AB$8+'TE CVA'!$AB$8)*1</f>
        <v>353.55100010229148</v>
      </c>
      <c r="AB537" s="6">
        <f>$K$537*$V$537</f>
        <v>0</v>
      </c>
      <c r="AC537" s="6">
        <f>$M$537*$W$537</f>
        <v>207.90484999999998</v>
      </c>
      <c r="AD537" s="6">
        <f>$O$537*$X$537</f>
        <v>79.788049999999984</v>
      </c>
      <c r="AE537" s="6">
        <f>$K$537*$Y$537</f>
        <v>0</v>
      </c>
      <c r="AF537" s="6">
        <f ca="1">$M$537*$Z$537</f>
        <v>177.24248657758403</v>
      </c>
      <c r="AG537" s="6">
        <f ca="1">$O$537*$AA$537</f>
        <v>72.477955020969745</v>
      </c>
    </row>
    <row r="538" spans="1:33" ht="11.25" customHeight="1" x14ac:dyDescent="0.25">
      <c r="A538" s="4" t="s">
        <v>21</v>
      </c>
      <c r="B538" s="4" t="s">
        <v>22</v>
      </c>
      <c r="C538" s="4" t="s">
        <v>32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33</v>
      </c>
      <c r="I538" s="5">
        <v>44652</v>
      </c>
      <c r="J538" s="6">
        <v>0</v>
      </c>
      <c r="K538" s="6">
        <v>0</v>
      </c>
      <c r="L538" s="6">
        <v>7.1999999999999995E-2</v>
      </c>
      <c r="M538" s="6">
        <v>7.1999999999999995E-2</v>
      </c>
      <c r="N538" s="6">
        <v>7.1999999999999995E-2</v>
      </c>
      <c r="O538" s="6">
        <v>7.1999999999999995E-2</v>
      </c>
      <c r="P538" s="6">
        <v>0</v>
      </c>
      <c r="Q538" s="4" t="s">
        <v>26</v>
      </c>
      <c r="R538" s="4">
        <v>0</v>
      </c>
      <c r="S538" s="6">
        <v>0</v>
      </c>
      <c r="T538" s="6">
        <v>1</v>
      </c>
      <c r="U538" s="6">
        <v>48</v>
      </c>
      <c r="V538" s="6">
        <f>IF(ISERROR(VLOOKUP($S$538,'TAR FIN'!$A$1:$O$86,15,0)),0,VLOOKUP($S$538,'TAR FIN'!$A$1:$O$86,15,0))</f>
        <v>0</v>
      </c>
      <c r="W538" s="6">
        <f>IF(ISERROR(VLOOKUP($T$538,'TAR FIN'!$A$1:$O$86,15,0)),0,VLOOKUP($T$538,'TAR FIN'!$A$1:$O$86,15,0))</f>
        <v>1014.17</v>
      </c>
      <c r="X538" s="6">
        <f>IF(ISERROR(VLOOKUP($U$538,'TAR FIN'!$A$1:$O$86,15,0)),0,VLOOKUP($U$538,'TAR FIN'!$A$1:$O$86,15,0))</f>
        <v>389.21</v>
      </c>
      <c r="Y538" s="6"/>
      <c r="Z538" s="6">
        <f ca="1">('TUSD BE'!$AM$18+'TUSD BF_350'!$AM$18+'TUSD CVA'!$AM$18)*1</f>
        <v>864.59749550040999</v>
      </c>
      <c r="AA538" s="6">
        <f ca="1">('TE BE'!$AB$8+'TE BF_350'!$AB$8+'TE CVA'!$AB$8)*1</f>
        <v>353.55100010229148</v>
      </c>
      <c r="AB538" s="6">
        <f>$K$538*$V$538</f>
        <v>0</v>
      </c>
      <c r="AC538" s="6">
        <f>$M$538*$W$538</f>
        <v>73.020239999999987</v>
      </c>
      <c r="AD538" s="6">
        <f>$O$538*$X$538</f>
        <v>28.023119999999995</v>
      </c>
      <c r="AE538" s="6">
        <f>$K$538*$Y$538</f>
        <v>0</v>
      </c>
      <c r="AF538" s="6">
        <f ca="1">$M$538*$Z$538</f>
        <v>62.251019676029514</v>
      </c>
      <c r="AG538" s="6">
        <f ca="1">$O$538*$AA$538</f>
        <v>25.455672007364985</v>
      </c>
    </row>
    <row r="539" spans="1:33" ht="11.25" customHeight="1" x14ac:dyDescent="0.25">
      <c r="A539" s="4" t="s">
        <v>21</v>
      </c>
      <c r="B539" s="4" t="s">
        <v>22</v>
      </c>
      <c r="C539" s="4" t="s">
        <v>32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33</v>
      </c>
      <c r="I539" s="5">
        <v>44682</v>
      </c>
      <c r="J539" s="6">
        <v>0</v>
      </c>
      <c r="K539" s="6">
        <v>0</v>
      </c>
      <c r="L539" s="6">
        <v>7.2999999999999995E-2</v>
      </c>
      <c r="M539" s="6">
        <v>7.2999999999999995E-2</v>
      </c>
      <c r="N539" s="6">
        <v>7.2999999999999995E-2</v>
      </c>
      <c r="O539" s="6">
        <v>7.2999999999999995E-2</v>
      </c>
      <c r="P539" s="6">
        <v>0</v>
      </c>
      <c r="Q539" s="4" t="s">
        <v>26</v>
      </c>
      <c r="R539" s="4">
        <v>0</v>
      </c>
      <c r="S539" s="6">
        <v>0</v>
      </c>
      <c r="T539" s="6">
        <v>1</v>
      </c>
      <c r="U539" s="6">
        <v>48</v>
      </c>
      <c r="V539" s="6">
        <f>IF(ISERROR(VLOOKUP($S$539,'TAR FIN'!$A$1:$O$86,15,0)),0,VLOOKUP($S$539,'TAR FIN'!$A$1:$O$86,15,0))</f>
        <v>0</v>
      </c>
      <c r="W539" s="6">
        <f>IF(ISERROR(VLOOKUP($T$539,'TAR FIN'!$A$1:$O$86,15,0)),0,VLOOKUP($T$539,'TAR FIN'!$A$1:$O$86,15,0))</f>
        <v>1014.17</v>
      </c>
      <c r="X539" s="6">
        <f>IF(ISERROR(VLOOKUP($U$539,'TAR FIN'!$A$1:$O$86,15,0)),0,VLOOKUP($U$539,'TAR FIN'!$A$1:$O$86,15,0))</f>
        <v>389.21</v>
      </c>
      <c r="Y539" s="6"/>
      <c r="Z539" s="6">
        <f ca="1">('TUSD BE'!$AM$18+'TUSD BF_350'!$AM$18+'TUSD CVA'!$AM$18)*1</f>
        <v>864.59749550040999</v>
      </c>
      <c r="AA539" s="6">
        <f ca="1">('TE BE'!$AB$8+'TE BF_350'!$AB$8+'TE CVA'!$AB$8)*1</f>
        <v>353.55100010229148</v>
      </c>
      <c r="AB539" s="6">
        <f>$K$539*$V$539</f>
        <v>0</v>
      </c>
      <c r="AC539" s="6">
        <f>$M$539*$W$539</f>
        <v>74.034409999999994</v>
      </c>
      <c r="AD539" s="6">
        <f>$O$539*$X$539</f>
        <v>28.412329999999997</v>
      </c>
      <c r="AE539" s="6">
        <f>$K$539*$Y$539</f>
        <v>0</v>
      </c>
      <c r="AF539" s="6">
        <f ca="1">$M$539*$Z$539</f>
        <v>63.115617171529927</v>
      </c>
      <c r="AG539" s="6">
        <f ca="1">$O$539*$AA$539</f>
        <v>25.809223007467278</v>
      </c>
    </row>
    <row r="540" spans="1:33" ht="11.25" customHeight="1" x14ac:dyDescent="0.25">
      <c r="A540" s="4" t="s">
        <v>56</v>
      </c>
      <c r="B540" s="4" t="s">
        <v>22</v>
      </c>
      <c r="C540" s="4" t="s">
        <v>32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33</v>
      </c>
      <c r="I540" s="5">
        <v>44713</v>
      </c>
      <c r="J540" s="6">
        <v>0</v>
      </c>
      <c r="K540" s="6">
        <v>0</v>
      </c>
      <c r="L540" s="6">
        <v>7.2999999999999995E-2</v>
      </c>
      <c r="M540" s="6">
        <v>7.2999999999999995E-2</v>
      </c>
      <c r="N540" s="6">
        <v>7.2999999999999995E-2</v>
      </c>
      <c r="O540" s="6">
        <v>7.2999999999999995E-2</v>
      </c>
      <c r="P540" s="6">
        <v>0</v>
      </c>
      <c r="Q540" s="4" t="s">
        <v>26</v>
      </c>
      <c r="R540" s="4">
        <v>0</v>
      </c>
      <c r="S540" s="6">
        <v>0</v>
      </c>
      <c r="T540" s="6">
        <v>1</v>
      </c>
      <c r="U540" s="6">
        <v>48</v>
      </c>
      <c r="V540" s="6">
        <f>IF(ISERROR(VLOOKUP($S$540,'TAR FIN'!$A$1:$O$86,15,0)),0,VLOOKUP($S$540,'TAR FIN'!$A$1:$O$86,15,0))</f>
        <v>0</v>
      </c>
      <c r="W540" s="6">
        <f>IF(ISERROR(VLOOKUP($T$540,'TAR FIN'!$A$1:$O$86,15,0)),0,VLOOKUP($T$540,'TAR FIN'!$A$1:$O$86,15,0))</f>
        <v>1014.17</v>
      </c>
      <c r="X540" s="6">
        <f>IF(ISERROR(VLOOKUP($U$540,'TAR FIN'!$A$1:$O$86,15,0)),0,VLOOKUP($U$540,'TAR FIN'!$A$1:$O$86,15,0))</f>
        <v>389.21</v>
      </c>
      <c r="Y540" s="6"/>
      <c r="Z540" s="6">
        <f ca="1">('TUSD BE'!$AM$18+'TUSD BF_350'!$AM$18+'TUSD CVA'!$AM$18)*1</f>
        <v>864.59749550040999</v>
      </c>
      <c r="AA540" s="6">
        <f ca="1">('TE BE'!$AB$8+'TE BF_350'!$AB$8+'TE CVA'!$AB$8)*1</f>
        <v>353.55100010229148</v>
      </c>
      <c r="AB540" s="6">
        <f>$K$540*$V$540</f>
        <v>0</v>
      </c>
      <c r="AC540" s="6">
        <f>$M$540*$W$540</f>
        <v>74.034409999999994</v>
      </c>
      <c r="AD540" s="6">
        <f>$O$540*$X$540</f>
        <v>28.412329999999997</v>
      </c>
      <c r="AE540" s="6">
        <f>$K$540*$Y$540</f>
        <v>0</v>
      </c>
      <c r="AF540" s="6">
        <f ca="1">$M$540*$Z$540</f>
        <v>63.115617171529927</v>
      </c>
      <c r="AG540" s="6">
        <f ca="1">$O$540*$AA$540</f>
        <v>25.809223007467278</v>
      </c>
    </row>
    <row r="541" spans="1:33" ht="11.25" customHeight="1" x14ac:dyDescent="0.25">
      <c r="A541" s="4" t="s">
        <v>21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44378</v>
      </c>
      <c r="J541" s="6">
        <v>0</v>
      </c>
      <c r="K541" s="6">
        <v>0</v>
      </c>
      <c r="L541" s="6">
        <v>5560.54</v>
      </c>
      <c r="M541" s="6">
        <v>5560.54</v>
      </c>
      <c r="N541" s="6">
        <v>5560.54</v>
      </c>
      <c r="O541" s="6">
        <v>5560.54</v>
      </c>
      <c r="P541" s="6">
        <v>28902</v>
      </c>
      <c r="Q541" s="4" t="s">
        <v>26</v>
      </c>
      <c r="R541" s="4">
        <v>0</v>
      </c>
      <c r="S541" s="6">
        <v>0</v>
      </c>
      <c r="T541" s="6">
        <v>27</v>
      </c>
      <c r="U541" s="6">
        <v>52</v>
      </c>
      <c r="V541" s="6">
        <f>IF(ISERROR(VLOOKUP($S$541,'TAR FIN'!$A$1:$O$86,15,0)),0,VLOOKUP($S$541,'TAR FIN'!$A$1:$O$86,15,0))</f>
        <v>0</v>
      </c>
      <c r="W541" s="6">
        <f>IF(ISERROR(VLOOKUP($T$541,'TAR FIN'!$A$1:$O$86,15,0)),0,VLOOKUP($T$541,'TAR FIN'!$A$1:$O$86,15,0))</f>
        <v>324.5</v>
      </c>
      <c r="X541" s="6">
        <f>IF(ISERROR(VLOOKUP($U$541,'TAR FIN'!$A$1:$O$86,15,0)),0,VLOOKUP($U$541,'TAR FIN'!$A$1:$O$86,15,0))</f>
        <v>258.20999999999998</v>
      </c>
      <c r="Y541" s="6"/>
      <c r="Z541" s="6">
        <f ca="1">('TUSD BE'!$AM$21+'TUSD BF_350'!$AM$21+'TUSD CVA'!$AM$21)*1</f>
        <v>330.1561966420345</v>
      </c>
      <c r="AA541" s="6">
        <f ca="1">('TE BE'!$AB$11+'TE BF_350'!$AB$11+'TE CVA'!$AB$11)*1</f>
        <v>230.58259134858577</v>
      </c>
      <c r="AB541" s="6">
        <f>$K$541*$V$541</f>
        <v>0</v>
      </c>
      <c r="AC541" s="6">
        <f>$M$541*$W$541</f>
        <v>1804395.23</v>
      </c>
      <c r="AD541" s="6">
        <f>$O$541*$X$541</f>
        <v>1435787.0333999998</v>
      </c>
      <c r="AE541" s="6">
        <f>$K$541*$Y$541</f>
        <v>0</v>
      </c>
      <c r="AF541" s="6">
        <f ca="1">$M$541*$Z$541</f>
        <v>1835846.7376758985</v>
      </c>
      <c r="AG541" s="6">
        <f ca="1">$O$541*$AA$541</f>
        <v>1282163.7224974651</v>
      </c>
    </row>
    <row r="542" spans="1:33" ht="11.25" customHeight="1" x14ac:dyDescent="0.25">
      <c r="A542" s="4" t="s">
        <v>27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44378</v>
      </c>
      <c r="J542" s="6">
        <v>0</v>
      </c>
      <c r="K542" s="6">
        <v>0</v>
      </c>
      <c r="L542" s="6">
        <v>-4.4160000000000004</v>
      </c>
      <c r="M542" s="6">
        <v>-4.4160000000000004</v>
      </c>
      <c r="N542" s="6">
        <v>-4.4160000000000004</v>
      </c>
      <c r="O542" s="6">
        <v>-4.4160000000000004</v>
      </c>
      <c r="P542" s="6">
        <v>0</v>
      </c>
      <c r="Q542" s="4" t="s">
        <v>26</v>
      </c>
      <c r="R542" s="4">
        <v>0</v>
      </c>
      <c r="S542" s="6">
        <v>0</v>
      </c>
      <c r="T542" s="6">
        <v>27</v>
      </c>
      <c r="U542" s="6">
        <v>52</v>
      </c>
      <c r="V542" s="6">
        <f>IF(ISERROR(VLOOKUP($S$542,'TAR FIN'!$A$1:$O$86,15,0)),0,VLOOKUP($S$542,'TAR FIN'!$A$1:$O$86,15,0))</f>
        <v>0</v>
      </c>
      <c r="W542" s="6">
        <f>IF(ISERROR(VLOOKUP($T$542,'TAR FIN'!$A$1:$O$86,15,0)),0,VLOOKUP($T$542,'TAR FIN'!$A$1:$O$86,15,0))</f>
        <v>324.5</v>
      </c>
      <c r="X542" s="6">
        <f>IF(ISERROR(VLOOKUP($U$542,'TAR FIN'!$A$1:$O$86,15,0)),0,VLOOKUP($U$542,'TAR FIN'!$A$1:$O$86,15,0))</f>
        <v>258.20999999999998</v>
      </c>
      <c r="Y542" s="6"/>
      <c r="Z542" s="6">
        <f ca="1">('TUSD BE'!$AM$21+'TUSD BF_350'!$AM$21+'TUSD CVA'!$AM$21)*1</f>
        <v>330.1561966420345</v>
      </c>
      <c r="AA542" s="6">
        <f ca="1">('TE BE'!$AB$11+'TE BF_350'!$AB$11+'TE CVA'!$AB$11)*1</f>
        <v>230.58259134858577</v>
      </c>
      <c r="AB542" s="6">
        <f>$K$542*$V$542</f>
        <v>0</v>
      </c>
      <c r="AC542" s="6">
        <f>$M$542*$W$542</f>
        <v>-1432.9920000000002</v>
      </c>
      <c r="AD542" s="6">
        <f>$O$542*$X$542</f>
        <v>-1140.2553600000001</v>
      </c>
      <c r="AE542" s="6">
        <f>$K$542*$Y$542</f>
        <v>0</v>
      </c>
      <c r="AF542" s="6">
        <f ca="1">$M$542*$Z$542</f>
        <v>-1457.9697643712245</v>
      </c>
      <c r="AG542" s="6">
        <f ca="1">$O$542*$AA$542</f>
        <v>-1018.2527233953548</v>
      </c>
    </row>
    <row r="543" spans="1:33" ht="11.25" customHeight="1" x14ac:dyDescent="0.25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44409</v>
      </c>
      <c r="J543" s="6">
        <v>0</v>
      </c>
      <c r="K543" s="6">
        <v>0</v>
      </c>
      <c r="L543" s="6">
        <v>5280.817</v>
      </c>
      <c r="M543" s="6">
        <v>5280.817</v>
      </c>
      <c r="N543" s="6">
        <v>5280.817</v>
      </c>
      <c r="O543" s="6">
        <v>5280.817</v>
      </c>
      <c r="P543" s="6">
        <v>28896</v>
      </c>
      <c r="Q543" s="4" t="s">
        <v>26</v>
      </c>
      <c r="R543" s="4">
        <v>0</v>
      </c>
      <c r="S543" s="6">
        <v>0</v>
      </c>
      <c r="T543" s="6">
        <v>27</v>
      </c>
      <c r="U543" s="6">
        <v>52</v>
      </c>
      <c r="V543" s="6">
        <f>IF(ISERROR(VLOOKUP($S$543,'TAR FIN'!$A$1:$O$86,15,0)),0,VLOOKUP($S$543,'TAR FIN'!$A$1:$O$86,15,0))</f>
        <v>0</v>
      </c>
      <c r="W543" s="6">
        <f>IF(ISERROR(VLOOKUP($T$543,'TAR FIN'!$A$1:$O$86,15,0)),0,VLOOKUP($T$543,'TAR FIN'!$A$1:$O$86,15,0))</f>
        <v>324.5</v>
      </c>
      <c r="X543" s="6">
        <f>IF(ISERROR(VLOOKUP($U$543,'TAR FIN'!$A$1:$O$86,15,0)),0,VLOOKUP($U$543,'TAR FIN'!$A$1:$O$86,15,0))</f>
        <v>258.20999999999998</v>
      </c>
      <c r="Y543" s="6"/>
      <c r="Z543" s="6">
        <f ca="1">('TUSD BE'!$AM$21+'TUSD BF_350'!$AM$21+'TUSD CVA'!$AM$21)*1</f>
        <v>330.1561966420345</v>
      </c>
      <c r="AA543" s="6">
        <f ca="1">('TE BE'!$AB$11+'TE BF_350'!$AB$11+'TE CVA'!$AB$11)*1</f>
        <v>230.58259134858577</v>
      </c>
      <c r="AB543" s="6">
        <f>$K$543*$V$543</f>
        <v>0</v>
      </c>
      <c r="AC543" s="6">
        <f>$M$543*$W$543</f>
        <v>1713625.1165</v>
      </c>
      <c r="AD543" s="6">
        <f>$O$543*$X$543</f>
        <v>1363559.7575699999</v>
      </c>
      <c r="AE543" s="6">
        <f>$K$543*$Y$543</f>
        <v>0</v>
      </c>
      <c r="AF543" s="6">
        <f ca="1">$M$543*$Z$543</f>
        <v>1743494.4558825986</v>
      </c>
      <c r="AG543" s="6">
        <f ca="1">$O$543*$AA$543</f>
        <v>1217664.4682976645</v>
      </c>
    </row>
    <row r="544" spans="1:33" ht="11.25" customHeight="1" x14ac:dyDescent="0.25">
      <c r="A544" s="4" t="s">
        <v>27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44409</v>
      </c>
      <c r="J544" s="6">
        <v>0</v>
      </c>
      <c r="K544" s="6">
        <v>0</v>
      </c>
      <c r="L544" s="6">
        <v>-12.452</v>
      </c>
      <c r="M544" s="6">
        <v>-12.452</v>
      </c>
      <c r="N544" s="6">
        <v>-12.452</v>
      </c>
      <c r="O544" s="6">
        <v>-12.452</v>
      </c>
      <c r="P544" s="6">
        <v>0</v>
      </c>
      <c r="Q544" s="4" t="s">
        <v>26</v>
      </c>
      <c r="R544" s="4">
        <v>0</v>
      </c>
      <c r="S544" s="6">
        <v>0</v>
      </c>
      <c r="T544" s="6">
        <v>27</v>
      </c>
      <c r="U544" s="6">
        <v>52</v>
      </c>
      <c r="V544" s="6">
        <f>IF(ISERROR(VLOOKUP($S$544,'TAR FIN'!$A$1:$O$86,15,0)),0,VLOOKUP($S$544,'TAR FIN'!$A$1:$O$86,15,0))</f>
        <v>0</v>
      </c>
      <c r="W544" s="6">
        <f>IF(ISERROR(VLOOKUP($T$544,'TAR FIN'!$A$1:$O$86,15,0)),0,VLOOKUP($T$544,'TAR FIN'!$A$1:$O$86,15,0))</f>
        <v>324.5</v>
      </c>
      <c r="X544" s="6">
        <f>IF(ISERROR(VLOOKUP($U$544,'TAR FIN'!$A$1:$O$86,15,0)),0,VLOOKUP($U$544,'TAR FIN'!$A$1:$O$86,15,0))</f>
        <v>258.20999999999998</v>
      </c>
      <c r="Y544" s="6"/>
      <c r="Z544" s="6">
        <f ca="1">('TUSD BE'!$AM$21+'TUSD BF_350'!$AM$21+'TUSD CVA'!$AM$21)*1</f>
        <v>330.1561966420345</v>
      </c>
      <c r="AA544" s="6">
        <f ca="1">('TE BE'!$AB$11+'TE BF_350'!$AB$11+'TE CVA'!$AB$11)*1</f>
        <v>230.58259134858577</v>
      </c>
      <c r="AB544" s="6">
        <f>$K$544*$V$544</f>
        <v>0</v>
      </c>
      <c r="AC544" s="6">
        <f>$M$544*$W$544</f>
        <v>-4040.674</v>
      </c>
      <c r="AD544" s="6">
        <f>$O$544*$X$544</f>
        <v>-3215.2309199999995</v>
      </c>
      <c r="AE544" s="6">
        <f>$K$544*$Y$544</f>
        <v>0</v>
      </c>
      <c r="AF544" s="6">
        <f ca="1">$M$544*$Z$544</f>
        <v>-4111.1049605866137</v>
      </c>
      <c r="AG544" s="6">
        <f ca="1">$O$544*$AA$544</f>
        <v>-2871.2144274725902</v>
      </c>
    </row>
    <row r="545" spans="1:33" ht="11.25" customHeight="1" x14ac:dyDescent="0.25">
      <c r="A545" s="4" t="s">
        <v>55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44409</v>
      </c>
      <c r="J545" s="6">
        <v>0</v>
      </c>
      <c r="K545" s="6">
        <v>0</v>
      </c>
      <c r="L545" s="6">
        <v>115.262</v>
      </c>
      <c r="M545" s="6">
        <v>115.262</v>
      </c>
      <c r="N545" s="6">
        <v>115.262</v>
      </c>
      <c r="O545" s="6">
        <v>115.262</v>
      </c>
      <c r="P545" s="6">
        <v>918</v>
      </c>
      <c r="Q545" s="4" t="s">
        <v>26</v>
      </c>
      <c r="R545" s="4">
        <v>0</v>
      </c>
      <c r="S545" s="6">
        <v>0</v>
      </c>
      <c r="T545" s="6">
        <v>27</v>
      </c>
      <c r="U545" s="6">
        <v>52</v>
      </c>
      <c r="V545" s="6">
        <f>IF(ISERROR(VLOOKUP($S$545,'TAR FIN'!$A$1:$O$86,15,0)),0,VLOOKUP($S$545,'TAR FIN'!$A$1:$O$86,15,0))</f>
        <v>0</v>
      </c>
      <c r="W545" s="6">
        <f>IF(ISERROR(VLOOKUP($T$545,'TAR FIN'!$A$1:$O$86,15,0)),0,VLOOKUP($T$545,'TAR FIN'!$A$1:$O$86,15,0))</f>
        <v>324.5</v>
      </c>
      <c r="X545" s="6">
        <f>IF(ISERROR(VLOOKUP($U$545,'TAR FIN'!$A$1:$O$86,15,0)),0,VLOOKUP($U$545,'TAR FIN'!$A$1:$O$86,15,0))</f>
        <v>258.20999999999998</v>
      </c>
      <c r="Y545" s="6"/>
      <c r="Z545" s="6">
        <f ca="1">('TUSD BE'!$AM$21+'TUSD BF_350'!$AM$21+'TUSD CVA'!$AM$21)*1</f>
        <v>330.1561966420345</v>
      </c>
      <c r="AA545" s="6">
        <f ca="1">('TE BE'!$AB$11+'TE BF_350'!$AB$11+'TE CVA'!$AB$11)*1</f>
        <v>230.58259134858577</v>
      </c>
      <c r="AB545" s="6">
        <f>$K$545*$V$545</f>
        <v>0</v>
      </c>
      <c r="AC545" s="6">
        <f>$M$545*$W$545</f>
        <v>37402.519</v>
      </c>
      <c r="AD545" s="6">
        <f>$O$545*$X$545</f>
        <v>29761.801019999999</v>
      </c>
      <c r="AE545" s="6">
        <f>$K$545*$Y$545</f>
        <v>0</v>
      </c>
      <c r="AF545" s="6">
        <f ca="1">$M$545*$Z$545</f>
        <v>38054.463537354182</v>
      </c>
      <c r="AG545" s="6">
        <f ca="1">$O$545*$AA$545</f>
        <v>26577.410644020692</v>
      </c>
    </row>
    <row r="546" spans="1:33" ht="11.25" customHeight="1" x14ac:dyDescent="0.25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44440</v>
      </c>
      <c r="J546" s="6">
        <v>0</v>
      </c>
      <c r="K546" s="6">
        <v>0</v>
      </c>
      <c r="L546" s="6">
        <v>4919.5429999999997</v>
      </c>
      <c r="M546" s="6">
        <v>4919.5429999999997</v>
      </c>
      <c r="N546" s="6">
        <v>4919.5429999999997</v>
      </c>
      <c r="O546" s="6">
        <v>4919.5429999999997</v>
      </c>
      <c r="P546" s="6">
        <v>28940</v>
      </c>
      <c r="Q546" s="4" t="s">
        <v>26</v>
      </c>
      <c r="R546" s="4">
        <v>0</v>
      </c>
      <c r="S546" s="6">
        <v>0</v>
      </c>
      <c r="T546" s="6">
        <v>27</v>
      </c>
      <c r="U546" s="6">
        <v>52</v>
      </c>
      <c r="V546" s="6">
        <f>IF(ISERROR(VLOOKUP($S$546,'TAR FIN'!$A$1:$O$86,15,0)),0,VLOOKUP($S$546,'TAR FIN'!$A$1:$O$86,15,0))</f>
        <v>0</v>
      </c>
      <c r="W546" s="6">
        <f>IF(ISERROR(VLOOKUP($T$546,'TAR FIN'!$A$1:$O$86,15,0)),0,VLOOKUP($T$546,'TAR FIN'!$A$1:$O$86,15,0))</f>
        <v>324.5</v>
      </c>
      <c r="X546" s="6">
        <f>IF(ISERROR(VLOOKUP($U$546,'TAR FIN'!$A$1:$O$86,15,0)),0,VLOOKUP($U$546,'TAR FIN'!$A$1:$O$86,15,0))</f>
        <v>258.20999999999998</v>
      </c>
      <c r="Y546" s="6"/>
      <c r="Z546" s="6">
        <f ca="1">('TUSD BE'!$AM$21+'TUSD BF_350'!$AM$21+'TUSD CVA'!$AM$21)*1</f>
        <v>330.1561966420345</v>
      </c>
      <c r="AA546" s="6">
        <f ca="1">('TE BE'!$AB$11+'TE BF_350'!$AB$11+'TE CVA'!$AB$11)*1</f>
        <v>230.58259134858577</v>
      </c>
      <c r="AB546" s="6">
        <f>$K$546*$V$546</f>
        <v>0</v>
      </c>
      <c r="AC546" s="6">
        <f>$M$546*$W$546</f>
        <v>1596391.7034999998</v>
      </c>
      <c r="AD546" s="6">
        <f>$O$546*$X$546</f>
        <v>1270275.1980299999</v>
      </c>
      <c r="AE546" s="6">
        <f>$K$546*$Y$546</f>
        <v>0</v>
      </c>
      <c r="AF546" s="6">
        <f ca="1">$M$546*$Z$546</f>
        <v>1624217.6060969443</v>
      </c>
      <c r="AG546" s="6">
        <f ca="1">$O$546*$AA$546</f>
        <v>1134360.9731907956</v>
      </c>
    </row>
    <row r="547" spans="1:33" ht="11.25" customHeight="1" x14ac:dyDescent="0.25">
      <c r="A547" s="4" t="s">
        <v>27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44440</v>
      </c>
      <c r="J547" s="6">
        <v>0</v>
      </c>
      <c r="K547" s="6">
        <v>0</v>
      </c>
      <c r="L547" s="6">
        <v>-10.339</v>
      </c>
      <c r="M547" s="6">
        <v>-10.339</v>
      </c>
      <c r="N547" s="6">
        <v>-10.339</v>
      </c>
      <c r="O547" s="6">
        <v>-10.339</v>
      </c>
      <c r="P547" s="6">
        <v>0</v>
      </c>
      <c r="Q547" s="4" t="s">
        <v>26</v>
      </c>
      <c r="R547" s="4">
        <v>0</v>
      </c>
      <c r="S547" s="6">
        <v>0</v>
      </c>
      <c r="T547" s="6">
        <v>27</v>
      </c>
      <c r="U547" s="6">
        <v>52</v>
      </c>
      <c r="V547" s="6">
        <f>IF(ISERROR(VLOOKUP($S$547,'TAR FIN'!$A$1:$O$86,15,0)),0,VLOOKUP($S$547,'TAR FIN'!$A$1:$O$86,15,0))</f>
        <v>0</v>
      </c>
      <c r="W547" s="6">
        <f>IF(ISERROR(VLOOKUP($T$547,'TAR FIN'!$A$1:$O$86,15,0)),0,VLOOKUP($T$547,'TAR FIN'!$A$1:$O$86,15,0))</f>
        <v>324.5</v>
      </c>
      <c r="X547" s="6">
        <f>IF(ISERROR(VLOOKUP($U$547,'TAR FIN'!$A$1:$O$86,15,0)),0,VLOOKUP($U$547,'TAR FIN'!$A$1:$O$86,15,0))</f>
        <v>258.20999999999998</v>
      </c>
      <c r="Y547" s="6"/>
      <c r="Z547" s="6">
        <f ca="1">('TUSD BE'!$AM$21+'TUSD BF_350'!$AM$21+'TUSD CVA'!$AM$21)*1</f>
        <v>330.1561966420345</v>
      </c>
      <c r="AA547" s="6">
        <f ca="1">('TE BE'!$AB$11+'TE BF_350'!$AB$11+'TE CVA'!$AB$11)*1</f>
        <v>230.58259134858577</v>
      </c>
      <c r="AB547" s="6">
        <f>$K$547*$V$547</f>
        <v>0</v>
      </c>
      <c r="AC547" s="6">
        <f>$M$547*$W$547</f>
        <v>-3355.0055000000002</v>
      </c>
      <c r="AD547" s="6">
        <f>$O$547*$X$547</f>
        <v>-2669.63319</v>
      </c>
      <c r="AE547" s="6">
        <f>$K$547*$Y$547</f>
        <v>0</v>
      </c>
      <c r="AF547" s="6">
        <f ca="1">$M$547*$Z$547</f>
        <v>-3413.4849170819948</v>
      </c>
      <c r="AG547" s="6">
        <f ca="1">$O$547*$AA$547</f>
        <v>-2383.9934119530285</v>
      </c>
    </row>
    <row r="548" spans="1:33" ht="11.25" customHeight="1" x14ac:dyDescent="0.25">
      <c r="A548" s="4" t="s">
        <v>55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44440</v>
      </c>
      <c r="J548" s="6">
        <v>0</v>
      </c>
      <c r="K548" s="6">
        <v>0</v>
      </c>
      <c r="L548" s="6">
        <v>87.186999999999998</v>
      </c>
      <c r="M548" s="6">
        <v>87.186999999999998</v>
      </c>
      <c r="N548" s="6">
        <v>87.186999999999998</v>
      </c>
      <c r="O548" s="6">
        <v>87.186999999999998</v>
      </c>
      <c r="P548" s="6">
        <v>950</v>
      </c>
      <c r="Q548" s="4" t="s">
        <v>26</v>
      </c>
      <c r="R548" s="4">
        <v>0</v>
      </c>
      <c r="S548" s="6">
        <v>0</v>
      </c>
      <c r="T548" s="6">
        <v>27</v>
      </c>
      <c r="U548" s="6">
        <v>52</v>
      </c>
      <c r="V548" s="6">
        <f>IF(ISERROR(VLOOKUP($S$548,'TAR FIN'!$A$1:$O$86,15,0)),0,VLOOKUP($S$548,'TAR FIN'!$A$1:$O$86,15,0))</f>
        <v>0</v>
      </c>
      <c r="W548" s="6">
        <f>IF(ISERROR(VLOOKUP($T$548,'TAR FIN'!$A$1:$O$86,15,0)),0,VLOOKUP($T$548,'TAR FIN'!$A$1:$O$86,15,0))</f>
        <v>324.5</v>
      </c>
      <c r="X548" s="6">
        <f>IF(ISERROR(VLOOKUP($U$548,'TAR FIN'!$A$1:$O$86,15,0)),0,VLOOKUP($U$548,'TAR FIN'!$A$1:$O$86,15,0))</f>
        <v>258.20999999999998</v>
      </c>
      <c r="Y548" s="6"/>
      <c r="Z548" s="6">
        <f ca="1">('TUSD BE'!$AM$21+'TUSD BF_350'!$AM$21+'TUSD CVA'!$AM$21)*1</f>
        <v>330.1561966420345</v>
      </c>
      <c r="AA548" s="6">
        <f ca="1">('TE BE'!$AB$11+'TE BF_350'!$AB$11+'TE CVA'!$AB$11)*1</f>
        <v>230.58259134858577</v>
      </c>
      <c r="AB548" s="6">
        <f>$K$548*$V$548</f>
        <v>0</v>
      </c>
      <c r="AC548" s="6">
        <f>$M$548*$W$548</f>
        <v>28292.181499999999</v>
      </c>
      <c r="AD548" s="6">
        <f>$O$548*$X$548</f>
        <v>22512.555269999997</v>
      </c>
      <c r="AE548" s="6">
        <f>$K$548*$Y$548</f>
        <v>0</v>
      </c>
      <c r="AF548" s="6">
        <f ca="1">$M$548*$Z$548</f>
        <v>28785.32831662906</v>
      </c>
      <c r="AG548" s="6">
        <f ca="1">$O$548*$AA$548</f>
        <v>20103.804391909147</v>
      </c>
    </row>
    <row r="549" spans="1:33" ht="11.25" customHeight="1" x14ac:dyDescent="0.25">
      <c r="A549" s="4" t="s">
        <v>21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44470</v>
      </c>
      <c r="J549" s="6">
        <v>0</v>
      </c>
      <c r="K549" s="6">
        <v>0</v>
      </c>
      <c r="L549" s="6">
        <v>4834.3940000000002</v>
      </c>
      <c r="M549" s="6">
        <v>4834.3940000000002</v>
      </c>
      <c r="N549" s="6">
        <v>4834.3940000000002</v>
      </c>
      <c r="O549" s="6">
        <v>4834.3940000000002</v>
      </c>
      <c r="P549" s="6">
        <v>28924</v>
      </c>
      <c r="Q549" s="4" t="s">
        <v>26</v>
      </c>
      <c r="R549" s="4">
        <v>0</v>
      </c>
      <c r="S549" s="6">
        <v>0</v>
      </c>
      <c r="T549" s="6">
        <v>27</v>
      </c>
      <c r="U549" s="6">
        <v>52</v>
      </c>
      <c r="V549" s="6">
        <f>IF(ISERROR(VLOOKUP($S$549,'TAR FIN'!$A$1:$O$86,15,0)),0,VLOOKUP($S$549,'TAR FIN'!$A$1:$O$86,15,0))</f>
        <v>0</v>
      </c>
      <c r="W549" s="6">
        <f>IF(ISERROR(VLOOKUP($T$549,'TAR FIN'!$A$1:$O$86,15,0)),0,VLOOKUP($T$549,'TAR FIN'!$A$1:$O$86,15,0))</f>
        <v>324.5</v>
      </c>
      <c r="X549" s="6">
        <f>IF(ISERROR(VLOOKUP($U$549,'TAR FIN'!$A$1:$O$86,15,0)),0,VLOOKUP($U$549,'TAR FIN'!$A$1:$O$86,15,0))</f>
        <v>258.20999999999998</v>
      </c>
      <c r="Y549" s="6"/>
      <c r="Z549" s="6">
        <f ca="1">('TUSD BE'!$AM$21+'TUSD BF_350'!$AM$21+'TUSD CVA'!$AM$21)*1</f>
        <v>330.1561966420345</v>
      </c>
      <c r="AA549" s="6">
        <f ca="1">('TE BE'!$AB$11+'TE BF_350'!$AB$11+'TE CVA'!$AB$11)*1</f>
        <v>230.58259134858577</v>
      </c>
      <c r="AB549" s="6">
        <f>$K$549*$V$549</f>
        <v>0</v>
      </c>
      <c r="AC549" s="6">
        <f>$M$549*$W$549</f>
        <v>1568760.8530000001</v>
      </c>
      <c r="AD549" s="6">
        <f>$O$549*$X$549</f>
        <v>1248288.8747399999</v>
      </c>
      <c r="AE549" s="6">
        <f>$K$549*$Y$549</f>
        <v>0</v>
      </c>
      <c r="AF549" s="6">
        <f ca="1">$M$549*$Z$549</f>
        <v>1596105.1361090718</v>
      </c>
      <c r="AG549" s="6">
        <f ca="1">$O$549*$AA$549</f>
        <v>1114727.0961200551</v>
      </c>
    </row>
    <row r="550" spans="1:33" ht="11.25" customHeight="1" x14ac:dyDescent="0.25">
      <c r="A550" s="4" t="s">
        <v>27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44470</v>
      </c>
      <c r="J550" s="6">
        <v>0</v>
      </c>
      <c r="K550" s="6">
        <v>0</v>
      </c>
      <c r="L550" s="6">
        <v>-7.2140000000000004</v>
      </c>
      <c r="M550" s="6">
        <v>-7.2140000000000004</v>
      </c>
      <c r="N550" s="6">
        <v>-7.2140000000000004</v>
      </c>
      <c r="O550" s="6">
        <v>-7.2140000000000004</v>
      </c>
      <c r="P550" s="6">
        <v>0</v>
      </c>
      <c r="Q550" s="4" t="s">
        <v>26</v>
      </c>
      <c r="R550" s="4">
        <v>0</v>
      </c>
      <c r="S550" s="6">
        <v>0</v>
      </c>
      <c r="T550" s="6">
        <v>27</v>
      </c>
      <c r="U550" s="6">
        <v>52</v>
      </c>
      <c r="V550" s="6">
        <f>IF(ISERROR(VLOOKUP($S$550,'TAR FIN'!$A$1:$O$86,15,0)),0,VLOOKUP($S$550,'TAR FIN'!$A$1:$O$86,15,0))</f>
        <v>0</v>
      </c>
      <c r="W550" s="6">
        <f>IF(ISERROR(VLOOKUP($T$550,'TAR FIN'!$A$1:$O$86,15,0)),0,VLOOKUP($T$550,'TAR FIN'!$A$1:$O$86,15,0))</f>
        <v>324.5</v>
      </c>
      <c r="X550" s="6">
        <f>IF(ISERROR(VLOOKUP($U$550,'TAR FIN'!$A$1:$O$86,15,0)),0,VLOOKUP($U$550,'TAR FIN'!$A$1:$O$86,15,0))</f>
        <v>258.20999999999998</v>
      </c>
      <c r="Y550" s="6"/>
      <c r="Z550" s="6">
        <f ca="1">('TUSD BE'!$AM$21+'TUSD BF_350'!$AM$21+'TUSD CVA'!$AM$21)*1</f>
        <v>330.1561966420345</v>
      </c>
      <c r="AA550" s="6">
        <f ca="1">('TE BE'!$AB$11+'TE BF_350'!$AB$11+'TE CVA'!$AB$11)*1</f>
        <v>230.58259134858577</v>
      </c>
      <c r="AB550" s="6">
        <f>$K$550*$V$550</f>
        <v>0</v>
      </c>
      <c r="AC550" s="6">
        <f>$M$550*$W$550</f>
        <v>-2340.9430000000002</v>
      </c>
      <c r="AD550" s="6">
        <f>$O$550*$X$550</f>
        <v>-1862.72694</v>
      </c>
      <c r="AE550" s="6">
        <f>$K$550*$Y$550</f>
        <v>0</v>
      </c>
      <c r="AF550" s="6">
        <f ca="1">$M$550*$Z$550</f>
        <v>-2381.746802575637</v>
      </c>
      <c r="AG550" s="6">
        <f ca="1">$O$550*$AA$550</f>
        <v>-1663.4228139886977</v>
      </c>
    </row>
    <row r="551" spans="1:33" ht="11.25" customHeight="1" x14ac:dyDescent="0.25">
      <c r="A551" s="4" t="s">
        <v>55</v>
      </c>
      <c r="B551" s="4" t="s">
        <v>22</v>
      </c>
      <c r="C551" s="4" t="s">
        <v>23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25</v>
      </c>
      <c r="I551" s="5">
        <v>44470</v>
      </c>
      <c r="J551" s="6">
        <v>0</v>
      </c>
      <c r="K551" s="6">
        <v>0</v>
      </c>
      <c r="L551" s="6">
        <v>88.784000000000006</v>
      </c>
      <c r="M551" s="6">
        <v>88.784000000000006</v>
      </c>
      <c r="N551" s="6">
        <v>88.784000000000006</v>
      </c>
      <c r="O551" s="6">
        <v>88.784000000000006</v>
      </c>
      <c r="P551" s="6">
        <v>1011</v>
      </c>
      <c r="Q551" s="4" t="s">
        <v>26</v>
      </c>
      <c r="R551" s="4">
        <v>0</v>
      </c>
      <c r="S551" s="6">
        <v>0</v>
      </c>
      <c r="T551" s="6">
        <v>27</v>
      </c>
      <c r="U551" s="6">
        <v>52</v>
      </c>
      <c r="V551" s="6">
        <f>IF(ISERROR(VLOOKUP($S$551,'TAR FIN'!$A$1:$O$86,15,0)),0,VLOOKUP($S$551,'TAR FIN'!$A$1:$O$86,15,0))</f>
        <v>0</v>
      </c>
      <c r="W551" s="6">
        <f>IF(ISERROR(VLOOKUP($T$551,'TAR FIN'!$A$1:$O$86,15,0)),0,VLOOKUP($T$551,'TAR FIN'!$A$1:$O$86,15,0))</f>
        <v>324.5</v>
      </c>
      <c r="X551" s="6">
        <f>IF(ISERROR(VLOOKUP($U$551,'TAR FIN'!$A$1:$O$86,15,0)),0,VLOOKUP($U$551,'TAR FIN'!$A$1:$O$86,15,0))</f>
        <v>258.20999999999998</v>
      </c>
      <c r="Y551" s="6"/>
      <c r="Z551" s="6">
        <f ca="1">('TUSD BE'!$AM$21+'TUSD BF_350'!$AM$21+'TUSD CVA'!$AM$21)*1</f>
        <v>330.1561966420345</v>
      </c>
      <c r="AA551" s="6">
        <f ca="1">('TE BE'!$AB$11+'TE BF_350'!$AB$11+'TE CVA'!$AB$11)*1</f>
        <v>230.58259134858577</v>
      </c>
      <c r="AB551" s="6">
        <f>$K$551*$V$551</f>
        <v>0</v>
      </c>
      <c r="AC551" s="6">
        <f>$M$551*$W$551</f>
        <v>28810.408000000003</v>
      </c>
      <c r="AD551" s="6">
        <f>$O$551*$X$551</f>
        <v>22924.916639999999</v>
      </c>
      <c r="AE551" s="6">
        <f>$K$551*$Y$551</f>
        <v>0</v>
      </c>
      <c r="AF551" s="6">
        <f ca="1">$M$551*$Z$551</f>
        <v>29312.587762666393</v>
      </c>
      <c r="AG551" s="6">
        <f ca="1">$O$551*$AA$551</f>
        <v>20472.044790292839</v>
      </c>
    </row>
    <row r="552" spans="1:33" ht="11.25" customHeight="1" x14ac:dyDescent="0.25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25</v>
      </c>
      <c r="I552" s="5">
        <v>44501</v>
      </c>
      <c r="J552" s="6">
        <v>0</v>
      </c>
      <c r="K552" s="6">
        <v>0</v>
      </c>
      <c r="L552" s="6">
        <v>5093.0770000000002</v>
      </c>
      <c r="M552" s="6">
        <v>5093.0770000000002</v>
      </c>
      <c r="N552" s="6">
        <v>5093.0770000000002</v>
      </c>
      <c r="O552" s="6">
        <v>5093.0770000000002</v>
      </c>
      <c r="P552" s="6">
        <v>28948</v>
      </c>
      <c r="Q552" s="4" t="s">
        <v>26</v>
      </c>
      <c r="R552" s="4">
        <v>0</v>
      </c>
      <c r="S552" s="6">
        <v>0</v>
      </c>
      <c r="T552" s="6">
        <v>27</v>
      </c>
      <c r="U552" s="6">
        <v>52</v>
      </c>
      <c r="V552" s="6">
        <f>IF(ISERROR(VLOOKUP($S$552,'TAR FIN'!$A$1:$O$86,15,0)),0,VLOOKUP($S$552,'TAR FIN'!$A$1:$O$86,15,0))</f>
        <v>0</v>
      </c>
      <c r="W552" s="6">
        <f>IF(ISERROR(VLOOKUP($T$552,'TAR FIN'!$A$1:$O$86,15,0)),0,VLOOKUP($T$552,'TAR FIN'!$A$1:$O$86,15,0))</f>
        <v>324.5</v>
      </c>
      <c r="X552" s="6">
        <f>IF(ISERROR(VLOOKUP($U$552,'TAR FIN'!$A$1:$O$86,15,0)),0,VLOOKUP($U$552,'TAR FIN'!$A$1:$O$86,15,0))</f>
        <v>258.20999999999998</v>
      </c>
      <c r="Y552" s="6"/>
      <c r="Z552" s="6">
        <f ca="1">('TUSD BE'!$AM$21+'TUSD BF_350'!$AM$21+'TUSD CVA'!$AM$21)*1</f>
        <v>330.1561966420345</v>
      </c>
      <c r="AA552" s="6">
        <f ca="1">('TE BE'!$AB$11+'TE BF_350'!$AB$11+'TE CVA'!$AB$11)*1</f>
        <v>230.58259134858577</v>
      </c>
      <c r="AB552" s="6">
        <f>$K$552*$V$552</f>
        <v>0</v>
      </c>
      <c r="AC552" s="6">
        <f>$M$552*$W$552</f>
        <v>1652703.4865000001</v>
      </c>
      <c r="AD552" s="6">
        <f>$O$552*$X$552</f>
        <v>1315083.4121699999</v>
      </c>
      <c r="AE552" s="6">
        <f>$K$552*$Y$552</f>
        <v>0</v>
      </c>
      <c r="AF552" s="6">
        <f ca="1">$M$552*$Z$552</f>
        <v>1681510.9315250232</v>
      </c>
      <c r="AG552" s="6">
        <f ca="1">$O$552*$AA$552</f>
        <v>1174374.8925978811</v>
      </c>
    </row>
    <row r="553" spans="1:33" ht="11.25" customHeight="1" x14ac:dyDescent="0.25">
      <c r="A553" s="4" t="s">
        <v>27</v>
      </c>
      <c r="B553" s="4" t="s">
        <v>22</v>
      </c>
      <c r="C553" s="4" t="s">
        <v>23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25</v>
      </c>
      <c r="I553" s="5">
        <v>44501</v>
      </c>
      <c r="J553" s="6">
        <v>0</v>
      </c>
      <c r="K553" s="6">
        <v>0</v>
      </c>
      <c r="L553" s="6">
        <v>-2.4289999999999998</v>
      </c>
      <c r="M553" s="6">
        <v>-2.4289999999999998</v>
      </c>
      <c r="N553" s="6">
        <v>-2.4289999999999998</v>
      </c>
      <c r="O553" s="6">
        <v>-2.4289999999999998</v>
      </c>
      <c r="P553" s="6">
        <v>0</v>
      </c>
      <c r="Q553" s="4" t="s">
        <v>26</v>
      </c>
      <c r="R553" s="4">
        <v>0</v>
      </c>
      <c r="S553" s="6">
        <v>0</v>
      </c>
      <c r="T553" s="6">
        <v>27</v>
      </c>
      <c r="U553" s="6">
        <v>52</v>
      </c>
      <c r="V553" s="6">
        <f>IF(ISERROR(VLOOKUP($S$553,'TAR FIN'!$A$1:$O$86,15,0)),0,VLOOKUP($S$553,'TAR FIN'!$A$1:$O$86,15,0))</f>
        <v>0</v>
      </c>
      <c r="W553" s="6">
        <f>IF(ISERROR(VLOOKUP($T$553,'TAR FIN'!$A$1:$O$86,15,0)),0,VLOOKUP($T$553,'TAR FIN'!$A$1:$O$86,15,0))</f>
        <v>324.5</v>
      </c>
      <c r="X553" s="6">
        <f>IF(ISERROR(VLOOKUP($U$553,'TAR FIN'!$A$1:$O$86,15,0)),0,VLOOKUP($U$553,'TAR FIN'!$A$1:$O$86,15,0))</f>
        <v>258.20999999999998</v>
      </c>
      <c r="Y553" s="6"/>
      <c r="Z553" s="6">
        <f ca="1">('TUSD BE'!$AM$21+'TUSD BF_350'!$AM$21+'TUSD CVA'!$AM$21)*1</f>
        <v>330.1561966420345</v>
      </c>
      <c r="AA553" s="6">
        <f ca="1">('TE BE'!$AB$11+'TE BF_350'!$AB$11+'TE CVA'!$AB$11)*1</f>
        <v>230.58259134858577</v>
      </c>
      <c r="AB553" s="6">
        <f>$K$553*$V$553</f>
        <v>0</v>
      </c>
      <c r="AC553" s="6">
        <f>$M$553*$W$553</f>
        <v>-788.21049999999991</v>
      </c>
      <c r="AD553" s="6">
        <f>$O$553*$X$553</f>
        <v>-627.19208999999989</v>
      </c>
      <c r="AE553" s="6">
        <f>$K$553*$Y$553</f>
        <v>0</v>
      </c>
      <c r="AF553" s="6">
        <f ca="1">$M$553*$Z$553</f>
        <v>-801.9494016435018</v>
      </c>
      <c r="AG553" s="6">
        <f ca="1">$O$553*$AA$553</f>
        <v>-560.08511438571475</v>
      </c>
    </row>
    <row r="554" spans="1:33" ht="11.25" customHeight="1" x14ac:dyDescent="0.25">
      <c r="A554" s="4" t="s">
        <v>55</v>
      </c>
      <c r="B554" s="4" t="s">
        <v>22</v>
      </c>
      <c r="C554" s="4" t="s">
        <v>23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25</v>
      </c>
      <c r="I554" s="5">
        <v>44501</v>
      </c>
      <c r="J554" s="6">
        <v>0</v>
      </c>
      <c r="K554" s="6">
        <v>0</v>
      </c>
      <c r="L554" s="6">
        <v>159.61099999999999</v>
      </c>
      <c r="M554" s="6">
        <v>159.61099999999999</v>
      </c>
      <c r="N554" s="6">
        <v>159.61099999999999</v>
      </c>
      <c r="O554" s="6">
        <v>159.61099999999999</v>
      </c>
      <c r="P554" s="6">
        <v>1089</v>
      </c>
      <c r="Q554" s="4" t="s">
        <v>26</v>
      </c>
      <c r="R554" s="4">
        <v>0</v>
      </c>
      <c r="S554" s="6">
        <v>0</v>
      </c>
      <c r="T554" s="6">
        <v>27</v>
      </c>
      <c r="U554" s="6">
        <v>52</v>
      </c>
      <c r="V554" s="6">
        <f>IF(ISERROR(VLOOKUP($S$554,'TAR FIN'!$A$1:$O$86,15,0)),0,VLOOKUP($S$554,'TAR FIN'!$A$1:$O$86,15,0))</f>
        <v>0</v>
      </c>
      <c r="W554" s="6">
        <f>IF(ISERROR(VLOOKUP($T$554,'TAR FIN'!$A$1:$O$86,15,0)),0,VLOOKUP($T$554,'TAR FIN'!$A$1:$O$86,15,0))</f>
        <v>324.5</v>
      </c>
      <c r="X554" s="6">
        <f>IF(ISERROR(VLOOKUP($U$554,'TAR FIN'!$A$1:$O$86,15,0)),0,VLOOKUP($U$554,'TAR FIN'!$A$1:$O$86,15,0))</f>
        <v>258.20999999999998</v>
      </c>
      <c r="Y554" s="6"/>
      <c r="Z554" s="6">
        <f ca="1">('TUSD BE'!$AM$21+'TUSD BF_350'!$AM$21+'TUSD CVA'!$AM$21)*1</f>
        <v>330.1561966420345</v>
      </c>
      <c r="AA554" s="6">
        <f ca="1">('TE BE'!$AB$11+'TE BF_350'!$AB$11+'TE CVA'!$AB$11)*1</f>
        <v>230.58259134858577</v>
      </c>
      <c r="AB554" s="6">
        <f>$K$554*$V$554</f>
        <v>0</v>
      </c>
      <c r="AC554" s="6">
        <f>$M$554*$W$554</f>
        <v>51793.769499999995</v>
      </c>
      <c r="AD554" s="6">
        <f>$O$554*$X$554</f>
        <v>41213.156309999991</v>
      </c>
      <c r="AE554" s="6">
        <f>$K$554*$Y$554</f>
        <v>0</v>
      </c>
      <c r="AF554" s="6">
        <f ca="1">$M$554*$Z$554</f>
        <v>52696.560702231764</v>
      </c>
      <c r="AG554" s="6">
        <f ca="1">$O$554*$AA$554</f>
        <v>36803.51798773912</v>
      </c>
    </row>
    <row r="555" spans="1:33" ht="11.25" customHeight="1" x14ac:dyDescent="0.25">
      <c r="A555" s="4" t="s">
        <v>55</v>
      </c>
      <c r="B555" s="4" t="s">
        <v>22</v>
      </c>
      <c r="C555" s="4" t="s">
        <v>23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25</v>
      </c>
      <c r="I555" s="5">
        <v>44501</v>
      </c>
      <c r="J555" s="6">
        <v>0</v>
      </c>
      <c r="K555" s="6">
        <v>0</v>
      </c>
      <c r="L555" s="6">
        <v>-76.093000000000004</v>
      </c>
      <c r="M555" s="6">
        <v>-76.093000000000004</v>
      </c>
      <c r="N555" s="6">
        <v>-76.093000000000004</v>
      </c>
      <c r="O555" s="6">
        <v>-76.093000000000004</v>
      </c>
      <c r="P555" s="6">
        <v>5</v>
      </c>
      <c r="Q555" s="4" t="s">
        <v>26</v>
      </c>
      <c r="R555" s="4">
        <v>0</v>
      </c>
      <c r="S555" s="6">
        <v>0</v>
      </c>
      <c r="T555" s="6">
        <v>27</v>
      </c>
      <c r="U555" s="6">
        <v>52</v>
      </c>
      <c r="V555" s="6">
        <f>IF(ISERROR(VLOOKUP($S$555,'TAR FIN'!$A$1:$O$86,15,0)),0,VLOOKUP($S$555,'TAR FIN'!$A$1:$O$86,15,0))</f>
        <v>0</v>
      </c>
      <c r="W555" s="6">
        <f>IF(ISERROR(VLOOKUP($T$555,'TAR FIN'!$A$1:$O$86,15,0)),0,VLOOKUP($T$555,'TAR FIN'!$A$1:$O$86,15,0))</f>
        <v>324.5</v>
      </c>
      <c r="X555" s="6">
        <f>IF(ISERROR(VLOOKUP($U$555,'TAR FIN'!$A$1:$O$86,15,0)),0,VLOOKUP($U$555,'TAR FIN'!$A$1:$O$86,15,0))</f>
        <v>258.20999999999998</v>
      </c>
      <c r="Y555" s="6"/>
      <c r="Z555" s="6">
        <f ca="1">('TUSD BE'!$AM$21+'TUSD BF_350'!$AM$21+'TUSD CVA'!$AM$21)*1</f>
        <v>330.1561966420345</v>
      </c>
      <c r="AA555" s="6">
        <f ca="1">('TE BE'!$AB$11+'TE BF_350'!$AB$11+'TE CVA'!$AB$11)*1</f>
        <v>230.58259134858577</v>
      </c>
      <c r="AB555" s="6">
        <f>$K$555*$V$555</f>
        <v>0</v>
      </c>
      <c r="AC555" s="6">
        <f>$M$555*$W$555</f>
        <v>-24692.178500000002</v>
      </c>
      <c r="AD555" s="6">
        <f>$O$555*$X$555</f>
        <v>-19647.973529999999</v>
      </c>
      <c r="AE555" s="6">
        <f>$K$555*$Y$555</f>
        <v>0</v>
      </c>
      <c r="AF555" s="6">
        <f ca="1">$M$555*$Z$555</f>
        <v>-25122.575471082331</v>
      </c>
      <c r="AG555" s="6">
        <f ca="1">$O$555*$AA$555</f>
        <v>-17545.721123487936</v>
      </c>
    </row>
    <row r="556" spans="1:33" ht="11.25" customHeight="1" x14ac:dyDescent="0.25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25</v>
      </c>
      <c r="I556" s="5">
        <v>44531</v>
      </c>
      <c r="J556" s="6">
        <v>0</v>
      </c>
      <c r="K556" s="6">
        <v>0</v>
      </c>
      <c r="L556" s="6">
        <v>5215.2510000000002</v>
      </c>
      <c r="M556" s="6">
        <v>5215.2510000000002</v>
      </c>
      <c r="N556" s="6">
        <v>5215.2510000000002</v>
      </c>
      <c r="O556" s="6">
        <v>5215.2510000000002</v>
      </c>
      <c r="P556" s="6">
        <v>28905</v>
      </c>
      <c r="Q556" s="4" t="s">
        <v>26</v>
      </c>
      <c r="R556" s="4">
        <v>0</v>
      </c>
      <c r="S556" s="6">
        <v>0</v>
      </c>
      <c r="T556" s="6">
        <v>27</v>
      </c>
      <c r="U556" s="6">
        <v>52</v>
      </c>
      <c r="V556" s="6">
        <f>IF(ISERROR(VLOOKUP($S$556,'TAR FIN'!$A$1:$O$86,15,0)),0,VLOOKUP($S$556,'TAR FIN'!$A$1:$O$86,15,0))</f>
        <v>0</v>
      </c>
      <c r="W556" s="6">
        <f>IF(ISERROR(VLOOKUP($T$556,'TAR FIN'!$A$1:$O$86,15,0)),0,VLOOKUP($T$556,'TAR FIN'!$A$1:$O$86,15,0))</f>
        <v>324.5</v>
      </c>
      <c r="X556" s="6">
        <f>IF(ISERROR(VLOOKUP($U$556,'TAR FIN'!$A$1:$O$86,15,0)),0,VLOOKUP($U$556,'TAR FIN'!$A$1:$O$86,15,0))</f>
        <v>258.20999999999998</v>
      </c>
      <c r="Y556" s="6"/>
      <c r="Z556" s="6">
        <f ca="1">('TUSD BE'!$AM$21+'TUSD BF_350'!$AM$21+'TUSD CVA'!$AM$21)*1</f>
        <v>330.1561966420345</v>
      </c>
      <c r="AA556" s="6">
        <f ca="1">('TE BE'!$AB$11+'TE BF_350'!$AB$11+'TE CVA'!$AB$11)*1</f>
        <v>230.58259134858577</v>
      </c>
      <c r="AB556" s="6">
        <f>$K$556*$V$556</f>
        <v>0</v>
      </c>
      <c r="AC556" s="6">
        <f>$M$556*$W$556</f>
        <v>1692348.9495000001</v>
      </c>
      <c r="AD556" s="6">
        <f>$O$556*$X$556</f>
        <v>1346629.96071</v>
      </c>
      <c r="AE556" s="6">
        <f>$K$556*$Y$556</f>
        <v>0</v>
      </c>
      <c r="AF556" s="6">
        <f ca="1">$M$556*$Z$556</f>
        <v>1721847.4346935672</v>
      </c>
      <c r="AG556" s="6">
        <f ca="1">$O$556*$AA$556</f>
        <v>1202546.0901133034</v>
      </c>
    </row>
    <row r="557" spans="1:33" ht="11.25" customHeight="1" x14ac:dyDescent="0.25">
      <c r="A557" s="4" t="s">
        <v>27</v>
      </c>
      <c r="B557" s="4" t="s">
        <v>22</v>
      </c>
      <c r="C557" s="4" t="s">
        <v>23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25</v>
      </c>
      <c r="I557" s="5">
        <v>44531</v>
      </c>
      <c r="J557" s="6">
        <v>0</v>
      </c>
      <c r="K557" s="6">
        <v>0</v>
      </c>
      <c r="L557" s="6">
        <v>-100.86799999999999</v>
      </c>
      <c r="M557" s="6">
        <v>-100.86799999999999</v>
      </c>
      <c r="N557" s="6">
        <v>-100.86799999999999</v>
      </c>
      <c r="O557" s="6">
        <v>-100.86799999999999</v>
      </c>
      <c r="P557" s="6">
        <v>0</v>
      </c>
      <c r="Q557" s="4" t="s">
        <v>26</v>
      </c>
      <c r="R557" s="4">
        <v>0</v>
      </c>
      <c r="S557" s="6">
        <v>0</v>
      </c>
      <c r="T557" s="6">
        <v>27</v>
      </c>
      <c r="U557" s="6">
        <v>52</v>
      </c>
      <c r="V557" s="6">
        <f>IF(ISERROR(VLOOKUP($S$557,'TAR FIN'!$A$1:$O$86,15,0)),0,VLOOKUP($S$557,'TAR FIN'!$A$1:$O$86,15,0))</f>
        <v>0</v>
      </c>
      <c r="W557" s="6">
        <f>IF(ISERROR(VLOOKUP($T$557,'TAR FIN'!$A$1:$O$86,15,0)),0,VLOOKUP($T$557,'TAR FIN'!$A$1:$O$86,15,0))</f>
        <v>324.5</v>
      </c>
      <c r="X557" s="6">
        <f>IF(ISERROR(VLOOKUP($U$557,'TAR FIN'!$A$1:$O$86,15,0)),0,VLOOKUP($U$557,'TAR FIN'!$A$1:$O$86,15,0))</f>
        <v>258.20999999999998</v>
      </c>
      <c r="Y557" s="6"/>
      <c r="Z557" s="6">
        <f ca="1">('TUSD BE'!$AM$21+'TUSD BF_350'!$AM$21+'TUSD CVA'!$AM$21)*1</f>
        <v>330.1561966420345</v>
      </c>
      <c r="AA557" s="6">
        <f ca="1">('TE BE'!$AB$11+'TE BF_350'!$AB$11+'TE CVA'!$AB$11)*1</f>
        <v>230.58259134858577</v>
      </c>
      <c r="AB557" s="6">
        <f>$K$557*$V$557</f>
        <v>0</v>
      </c>
      <c r="AC557" s="6">
        <f>$M$557*$W$557</f>
        <v>-32731.665999999997</v>
      </c>
      <c r="AD557" s="6">
        <f>$O$557*$X$557</f>
        <v>-26045.126279999997</v>
      </c>
      <c r="AE557" s="6">
        <f>$K$557*$Y$557</f>
        <v>0</v>
      </c>
      <c r="AF557" s="6">
        <f ca="1">$M$557*$Z$557</f>
        <v>-33302.195242888738</v>
      </c>
      <c r="AG557" s="6">
        <f ca="1">$O$557*$AA$557</f>
        <v>-23258.404824149147</v>
      </c>
    </row>
    <row r="558" spans="1:33" ht="11.25" customHeight="1" x14ac:dyDescent="0.25">
      <c r="A558" s="4" t="s">
        <v>55</v>
      </c>
      <c r="B558" s="4" t="s">
        <v>22</v>
      </c>
      <c r="C558" s="4" t="s">
        <v>23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25</v>
      </c>
      <c r="I558" s="5">
        <v>44531</v>
      </c>
      <c r="J558" s="6">
        <v>0</v>
      </c>
      <c r="K558" s="6">
        <v>0</v>
      </c>
      <c r="L558" s="6">
        <v>92.31</v>
      </c>
      <c r="M558" s="6">
        <v>92.31</v>
      </c>
      <c r="N558" s="6">
        <v>92.31</v>
      </c>
      <c r="O558" s="6">
        <v>92.31</v>
      </c>
      <c r="P558" s="6">
        <v>1198</v>
      </c>
      <c r="Q558" s="4" t="s">
        <v>26</v>
      </c>
      <c r="R558" s="4">
        <v>0</v>
      </c>
      <c r="S558" s="6">
        <v>0</v>
      </c>
      <c r="T558" s="6">
        <v>27</v>
      </c>
      <c r="U558" s="6">
        <v>52</v>
      </c>
      <c r="V558" s="6">
        <f>IF(ISERROR(VLOOKUP($S$558,'TAR FIN'!$A$1:$O$86,15,0)),0,VLOOKUP($S$558,'TAR FIN'!$A$1:$O$86,15,0))</f>
        <v>0</v>
      </c>
      <c r="W558" s="6">
        <f>IF(ISERROR(VLOOKUP($T$558,'TAR FIN'!$A$1:$O$86,15,0)),0,VLOOKUP($T$558,'TAR FIN'!$A$1:$O$86,15,0))</f>
        <v>324.5</v>
      </c>
      <c r="X558" s="6">
        <f>IF(ISERROR(VLOOKUP($U$558,'TAR FIN'!$A$1:$O$86,15,0)),0,VLOOKUP($U$558,'TAR FIN'!$A$1:$O$86,15,0))</f>
        <v>258.20999999999998</v>
      </c>
      <c r="Y558" s="6"/>
      <c r="Z558" s="6">
        <f ca="1">('TUSD BE'!$AM$21+'TUSD BF_350'!$AM$21+'TUSD CVA'!$AM$21)*1</f>
        <v>330.1561966420345</v>
      </c>
      <c r="AA558" s="6">
        <f ca="1">('TE BE'!$AB$11+'TE BF_350'!$AB$11+'TE CVA'!$AB$11)*1</f>
        <v>230.58259134858577</v>
      </c>
      <c r="AB558" s="6">
        <f>$K$558*$V$558</f>
        <v>0</v>
      </c>
      <c r="AC558" s="6">
        <f>$M$558*$W$558</f>
        <v>29954.595000000001</v>
      </c>
      <c r="AD558" s="6">
        <f>$O$558*$X$558</f>
        <v>23835.365099999999</v>
      </c>
      <c r="AE558" s="6">
        <f>$K$558*$Y$558</f>
        <v>0</v>
      </c>
      <c r="AF558" s="6">
        <f ca="1">$M$558*$Z$558</f>
        <v>30476.718512026204</v>
      </c>
      <c r="AG558" s="6">
        <f ca="1">$O$558*$AA$558</f>
        <v>21285.079007387954</v>
      </c>
    </row>
    <row r="559" spans="1:33" ht="11.25" customHeight="1" x14ac:dyDescent="0.25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25</v>
      </c>
      <c r="I559" s="5">
        <v>44562</v>
      </c>
      <c r="J559" s="6">
        <v>0</v>
      </c>
      <c r="K559" s="6">
        <v>0</v>
      </c>
      <c r="L559" s="6">
        <v>5967.1880000000001</v>
      </c>
      <c r="M559" s="6">
        <v>5967.1880000000001</v>
      </c>
      <c r="N559" s="6">
        <v>5967.1880000000001</v>
      </c>
      <c r="O559" s="6">
        <v>5967.1880000000001</v>
      </c>
      <c r="P559" s="6">
        <v>28831</v>
      </c>
      <c r="Q559" s="4" t="s">
        <v>26</v>
      </c>
      <c r="R559" s="4">
        <v>0</v>
      </c>
      <c r="S559" s="6">
        <v>0</v>
      </c>
      <c r="T559" s="6">
        <v>27</v>
      </c>
      <c r="U559" s="6">
        <v>52</v>
      </c>
      <c r="V559" s="6">
        <f>IF(ISERROR(VLOOKUP($S$559,'TAR FIN'!$A$1:$O$86,15,0)),0,VLOOKUP($S$559,'TAR FIN'!$A$1:$O$86,15,0))</f>
        <v>0</v>
      </c>
      <c r="W559" s="6">
        <f>IF(ISERROR(VLOOKUP($T$559,'TAR FIN'!$A$1:$O$86,15,0)),0,VLOOKUP($T$559,'TAR FIN'!$A$1:$O$86,15,0))</f>
        <v>324.5</v>
      </c>
      <c r="X559" s="6">
        <f>IF(ISERROR(VLOOKUP($U$559,'TAR FIN'!$A$1:$O$86,15,0)),0,VLOOKUP($U$559,'TAR FIN'!$A$1:$O$86,15,0))</f>
        <v>258.20999999999998</v>
      </c>
      <c r="Y559" s="6"/>
      <c r="Z559" s="6">
        <f ca="1">('TUSD BE'!$AM$21+'TUSD BF_350'!$AM$21+'TUSD CVA'!$AM$21)*1</f>
        <v>330.1561966420345</v>
      </c>
      <c r="AA559" s="6">
        <f ca="1">('TE BE'!$AB$11+'TE BF_350'!$AB$11+'TE CVA'!$AB$11)*1</f>
        <v>230.58259134858577</v>
      </c>
      <c r="AB559" s="6">
        <f>$K$559*$V$559</f>
        <v>0</v>
      </c>
      <c r="AC559" s="6">
        <f>$M$559*$W$559</f>
        <v>1936352.5060000001</v>
      </c>
      <c r="AD559" s="6">
        <f>$O$559*$X$559</f>
        <v>1540787.6134799998</v>
      </c>
      <c r="AE559" s="6">
        <f>$K$559*$Y$559</f>
        <v>0</v>
      </c>
      <c r="AF559" s="6">
        <f ca="1">$M$559*$Z$559</f>
        <v>1970104.0947279886</v>
      </c>
      <c r="AG559" s="6">
        <f ca="1">$O$559*$AA$559</f>
        <v>1375929.6721041847</v>
      </c>
    </row>
    <row r="560" spans="1:33" ht="11.25" customHeight="1" x14ac:dyDescent="0.25">
      <c r="A560" s="4" t="s">
        <v>27</v>
      </c>
      <c r="B560" s="4" t="s">
        <v>22</v>
      </c>
      <c r="C560" s="4" t="s">
        <v>23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25</v>
      </c>
      <c r="I560" s="5">
        <v>44562</v>
      </c>
      <c r="J560" s="6">
        <v>0</v>
      </c>
      <c r="K560" s="6">
        <v>0</v>
      </c>
      <c r="L560" s="6">
        <v>-12.202999999999999</v>
      </c>
      <c r="M560" s="6">
        <v>-12.202999999999999</v>
      </c>
      <c r="N560" s="6">
        <v>-12.202999999999999</v>
      </c>
      <c r="O560" s="6">
        <v>-12.202999999999999</v>
      </c>
      <c r="P560" s="6">
        <v>0</v>
      </c>
      <c r="Q560" s="4" t="s">
        <v>26</v>
      </c>
      <c r="R560" s="4">
        <v>0</v>
      </c>
      <c r="S560" s="6">
        <v>0</v>
      </c>
      <c r="T560" s="6">
        <v>27</v>
      </c>
      <c r="U560" s="6">
        <v>52</v>
      </c>
      <c r="V560" s="6">
        <f>IF(ISERROR(VLOOKUP($S$560,'TAR FIN'!$A$1:$O$86,15,0)),0,VLOOKUP($S$560,'TAR FIN'!$A$1:$O$86,15,0))</f>
        <v>0</v>
      </c>
      <c r="W560" s="6">
        <f>IF(ISERROR(VLOOKUP($T$560,'TAR FIN'!$A$1:$O$86,15,0)),0,VLOOKUP($T$560,'TAR FIN'!$A$1:$O$86,15,0))</f>
        <v>324.5</v>
      </c>
      <c r="X560" s="6">
        <f>IF(ISERROR(VLOOKUP($U$560,'TAR FIN'!$A$1:$O$86,15,0)),0,VLOOKUP($U$560,'TAR FIN'!$A$1:$O$86,15,0))</f>
        <v>258.20999999999998</v>
      </c>
      <c r="Y560" s="6"/>
      <c r="Z560" s="6">
        <f ca="1">('TUSD BE'!$AM$21+'TUSD BF_350'!$AM$21+'TUSD CVA'!$AM$21)*1</f>
        <v>330.1561966420345</v>
      </c>
      <c r="AA560" s="6">
        <f ca="1">('TE BE'!$AB$11+'TE BF_350'!$AB$11+'TE CVA'!$AB$11)*1</f>
        <v>230.58259134858577</v>
      </c>
      <c r="AB560" s="6">
        <f>$K$560*$V$560</f>
        <v>0</v>
      </c>
      <c r="AC560" s="6">
        <f>$M$560*$W$560</f>
        <v>-3959.8734999999997</v>
      </c>
      <c r="AD560" s="6">
        <f>$O$560*$X$560</f>
        <v>-3150.9366299999997</v>
      </c>
      <c r="AE560" s="6">
        <f>$K$560*$Y$560</f>
        <v>0</v>
      </c>
      <c r="AF560" s="6">
        <f ca="1">$M$560*$Z$560</f>
        <v>-4028.8960676227466</v>
      </c>
      <c r="AG560" s="6">
        <f ca="1">$O$560*$AA$560</f>
        <v>-2813.7993622267918</v>
      </c>
    </row>
    <row r="561" spans="1:33" ht="11.25" customHeight="1" x14ac:dyDescent="0.25">
      <c r="A561" s="4" t="s">
        <v>55</v>
      </c>
      <c r="B561" s="4" t="s">
        <v>22</v>
      </c>
      <c r="C561" s="4" t="s">
        <v>23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25</v>
      </c>
      <c r="I561" s="5">
        <v>44562</v>
      </c>
      <c r="J561" s="6">
        <v>0</v>
      </c>
      <c r="K561" s="6">
        <v>0</v>
      </c>
      <c r="L561" s="6">
        <v>109.601</v>
      </c>
      <c r="M561" s="6">
        <v>109.601</v>
      </c>
      <c r="N561" s="6">
        <v>109.601</v>
      </c>
      <c r="O561" s="6">
        <v>109.601</v>
      </c>
      <c r="P561" s="6">
        <v>1274</v>
      </c>
      <c r="Q561" s="4" t="s">
        <v>26</v>
      </c>
      <c r="R561" s="4">
        <v>0</v>
      </c>
      <c r="S561" s="6">
        <v>0</v>
      </c>
      <c r="T561" s="6">
        <v>27</v>
      </c>
      <c r="U561" s="6">
        <v>52</v>
      </c>
      <c r="V561" s="6">
        <f>IF(ISERROR(VLOOKUP($S$561,'TAR FIN'!$A$1:$O$86,15,0)),0,VLOOKUP($S$561,'TAR FIN'!$A$1:$O$86,15,0))</f>
        <v>0</v>
      </c>
      <c r="W561" s="6">
        <f>IF(ISERROR(VLOOKUP($T$561,'TAR FIN'!$A$1:$O$86,15,0)),0,VLOOKUP($T$561,'TAR FIN'!$A$1:$O$86,15,0))</f>
        <v>324.5</v>
      </c>
      <c r="X561" s="6">
        <f>IF(ISERROR(VLOOKUP($U$561,'TAR FIN'!$A$1:$O$86,15,0)),0,VLOOKUP($U$561,'TAR FIN'!$A$1:$O$86,15,0))</f>
        <v>258.20999999999998</v>
      </c>
      <c r="Y561" s="6"/>
      <c r="Z561" s="6">
        <f ca="1">('TUSD BE'!$AM$21+'TUSD BF_350'!$AM$21+'TUSD CVA'!$AM$21)*1</f>
        <v>330.1561966420345</v>
      </c>
      <c r="AA561" s="6">
        <f ca="1">('TE BE'!$AB$11+'TE BF_350'!$AB$11+'TE CVA'!$AB$11)*1</f>
        <v>230.58259134858577</v>
      </c>
      <c r="AB561" s="6">
        <f>$K$561*$V$561</f>
        <v>0</v>
      </c>
      <c r="AC561" s="6">
        <f>$M$561*$W$561</f>
        <v>35565.5245</v>
      </c>
      <c r="AD561" s="6">
        <f>$O$561*$X$561</f>
        <v>28300.074209999999</v>
      </c>
      <c r="AE561" s="6">
        <f>$K$561*$Y$561</f>
        <v>0</v>
      </c>
      <c r="AF561" s="6">
        <f ca="1">$M$561*$Z$561</f>
        <v>36185.449308163625</v>
      </c>
      <c r="AG561" s="6">
        <f ca="1">$O$561*$AA$561</f>
        <v>25272.08259439635</v>
      </c>
    </row>
    <row r="562" spans="1:33" ht="11.25" customHeight="1" x14ac:dyDescent="0.25">
      <c r="A562" s="4" t="s">
        <v>55</v>
      </c>
      <c r="B562" s="4" t="s">
        <v>22</v>
      </c>
      <c r="C562" s="4" t="s">
        <v>23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25</v>
      </c>
      <c r="I562" s="5">
        <v>44562</v>
      </c>
      <c r="J562" s="6">
        <v>0</v>
      </c>
      <c r="K562" s="6">
        <v>0</v>
      </c>
      <c r="L562" s="6">
        <v>-1.0089999999999999</v>
      </c>
      <c r="M562" s="6">
        <v>-1.0089999999999999</v>
      </c>
      <c r="N562" s="6">
        <v>-1.0089999999999999</v>
      </c>
      <c r="O562" s="6">
        <v>-1.0089999999999999</v>
      </c>
      <c r="P562" s="6">
        <v>4</v>
      </c>
      <c r="Q562" s="4" t="s">
        <v>26</v>
      </c>
      <c r="R562" s="4">
        <v>0</v>
      </c>
      <c r="S562" s="6">
        <v>0</v>
      </c>
      <c r="T562" s="6">
        <v>27</v>
      </c>
      <c r="U562" s="6">
        <v>52</v>
      </c>
      <c r="V562" s="6">
        <f>IF(ISERROR(VLOOKUP($S$562,'TAR FIN'!$A$1:$O$86,15,0)),0,VLOOKUP($S$562,'TAR FIN'!$A$1:$O$86,15,0))</f>
        <v>0</v>
      </c>
      <c r="W562" s="6">
        <f>IF(ISERROR(VLOOKUP($T$562,'TAR FIN'!$A$1:$O$86,15,0)),0,VLOOKUP($T$562,'TAR FIN'!$A$1:$O$86,15,0))</f>
        <v>324.5</v>
      </c>
      <c r="X562" s="6">
        <f>IF(ISERROR(VLOOKUP($U$562,'TAR FIN'!$A$1:$O$86,15,0)),0,VLOOKUP($U$562,'TAR FIN'!$A$1:$O$86,15,0))</f>
        <v>258.20999999999998</v>
      </c>
      <c r="Y562" s="6"/>
      <c r="Z562" s="6">
        <f ca="1">('TUSD BE'!$AM$21+'TUSD BF_350'!$AM$21+'TUSD CVA'!$AM$21)*1</f>
        <v>330.1561966420345</v>
      </c>
      <c r="AA562" s="6">
        <f ca="1">('TE BE'!$AB$11+'TE BF_350'!$AB$11+'TE CVA'!$AB$11)*1</f>
        <v>230.58259134858577</v>
      </c>
      <c r="AB562" s="6">
        <f>$K$562*$V$562</f>
        <v>0</v>
      </c>
      <c r="AC562" s="6">
        <f>$M$562*$W$562</f>
        <v>-327.42049999999995</v>
      </c>
      <c r="AD562" s="6">
        <f>$O$562*$X$562</f>
        <v>-260.53388999999993</v>
      </c>
      <c r="AE562" s="6">
        <f>$K$562*$Y$562</f>
        <v>0</v>
      </c>
      <c r="AF562" s="6">
        <f ca="1">$M$562*$Z$562</f>
        <v>-333.1276024118128</v>
      </c>
      <c r="AG562" s="6">
        <f ca="1">$O$562*$AA$562</f>
        <v>-232.65783467072302</v>
      </c>
    </row>
    <row r="563" spans="1:33" ht="11.25" customHeight="1" x14ac:dyDescent="0.25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25</v>
      </c>
      <c r="I563" s="5">
        <v>44593</v>
      </c>
      <c r="J563" s="6">
        <v>0</v>
      </c>
      <c r="K563" s="6">
        <v>0</v>
      </c>
      <c r="L563" s="6">
        <v>5847.8370000000004</v>
      </c>
      <c r="M563" s="6">
        <v>5847.8370000000004</v>
      </c>
      <c r="N563" s="6">
        <v>5847.8370000000004</v>
      </c>
      <c r="O563" s="6">
        <v>5847.8370000000004</v>
      </c>
      <c r="P563" s="6">
        <v>28801</v>
      </c>
      <c r="Q563" s="4" t="s">
        <v>26</v>
      </c>
      <c r="R563" s="4">
        <v>0</v>
      </c>
      <c r="S563" s="6">
        <v>0</v>
      </c>
      <c r="T563" s="6">
        <v>27</v>
      </c>
      <c r="U563" s="6">
        <v>52</v>
      </c>
      <c r="V563" s="6">
        <f>IF(ISERROR(VLOOKUP($S$563,'TAR FIN'!$A$1:$O$86,15,0)),0,VLOOKUP($S$563,'TAR FIN'!$A$1:$O$86,15,0))</f>
        <v>0</v>
      </c>
      <c r="W563" s="6">
        <f>IF(ISERROR(VLOOKUP($T$563,'TAR FIN'!$A$1:$O$86,15,0)),0,VLOOKUP($T$563,'TAR FIN'!$A$1:$O$86,15,0))</f>
        <v>324.5</v>
      </c>
      <c r="X563" s="6">
        <f>IF(ISERROR(VLOOKUP($U$563,'TAR FIN'!$A$1:$O$86,15,0)),0,VLOOKUP($U$563,'TAR FIN'!$A$1:$O$86,15,0))</f>
        <v>258.20999999999998</v>
      </c>
      <c r="Y563" s="6"/>
      <c r="Z563" s="6">
        <f ca="1">('TUSD BE'!$AM$21+'TUSD BF_350'!$AM$21+'TUSD CVA'!$AM$21)*1</f>
        <v>330.1561966420345</v>
      </c>
      <c r="AA563" s="6">
        <f ca="1">('TE BE'!$AB$11+'TE BF_350'!$AB$11+'TE CVA'!$AB$11)*1</f>
        <v>230.58259134858577</v>
      </c>
      <c r="AB563" s="6">
        <f>$K$563*$V$563</f>
        <v>0</v>
      </c>
      <c r="AC563" s="6">
        <f>$M$563*$W$563</f>
        <v>1897623.1065000002</v>
      </c>
      <c r="AD563" s="6">
        <f>$O$563*$X$563</f>
        <v>1509969.99177</v>
      </c>
      <c r="AE563" s="6">
        <f>$K$563*$Y$563</f>
        <v>0</v>
      </c>
      <c r="AF563" s="6">
        <f ca="1">$M$563*$Z$563</f>
        <v>1930699.6225025652</v>
      </c>
      <c r="AG563" s="6">
        <f ca="1">$O$563*$AA$563</f>
        <v>1348409.4092441399</v>
      </c>
    </row>
    <row r="564" spans="1:33" ht="11.25" customHeight="1" x14ac:dyDescent="0.25">
      <c r="A564" s="4" t="s">
        <v>27</v>
      </c>
      <c r="B564" s="4" t="s">
        <v>22</v>
      </c>
      <c r="C564" s="4" t="s">
        <v>23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25</v>
      </c>
      <c r="I564" s="5">
        <v>44593</v>
      </c>
      <c r="J564" s="6">
        <v>0</v>
      </c>
      <c r="K564" s="6">
        <v>0</v>
      </c>
      <c r="L564" s="6">
        <v>-9.6020000000000003</v>
      </c>
      <c r="M564" s="6">
        <v>-9.6020000000000003</v>
      </c>
      <c r="N564" s="6">
        <v>-9.6020000000000003</v>
      </c>
      <c r="O564" s="6">
        <v>-9.6020000000000003</v>
      </c>
      <c r="P564" s="6">
        <v>0</v>
      </c>
      <c r="Q564" s="4" t="s">
        <v>26</v>
      </c>
      <c r="R564" s="4">
        <v>0</v>
      </c>
      <c r="S564" s="6">
        <v>0</v>
      </c>
      <c r="T564" s="6">
        <v>27</v>
      </c>
      <c r="U564" s="6">
        <v>52</v>
      </c>
      <c r="V564" s="6">
        <f>IF(ISERROR(VLOOKUP($S$564,'TAR FIN'!$A$1:$O$86,15,0)),0,VLOOKUP($S$564,'TAR FIN'!$A$1:$O$86,15,0))</f>
        <v>0</v>
      </c>
      <c r="W564" s="6">
        <f>IF(ISERROR(VLOOKUP($T$564,'TAR FIN'!$A$1:$O$86,15,0)),0,VLOOKUP($T$564,'TAR FIN'!$A$1:$O$86,15,0))</f>
        <v>324.5</v>
      </c>
      <c r="X564" s="6">
        <f>IF(ISERROR(VLOOKUP($U$564,'TAR FIN'!$A$1:$O$86,15,0)),0,VLOOKUP($U$564,'TAR FIN'!$A$1:$O$86,15,0))</f>
        <v>258.20999999999998</v>
      </c>
      <c r="Y564" s="6"/>
      <c r="Z564" s="6">
        <f ca="1">('TUSD BE'!$AM$21+'TUSD BF_350'!$AM$21+'TUSD CVA'!$AM$21)*1</f>
        <v>330.1561966420345</v>
      </c>
      <c r="AA564" s="6">
        <f ca="1">('TE BE'!$AB$11+'TE BF_350'!$AB$11+'TE CVA'!$AB$11)*1</f>
        <v>230.58259134858577</v>
      </c>
      <c r="AB564" s="6">
        <f>$K$564*$V$564</f>
        <v>0</v>
      </c>
      <c r="AC564" s="6">
        <f>$M$564*$W$564</f>
        <v>-3115.8490000000002</v>
      </c>
      <c r="AD564" s="6">
        <f>$O$564*$X$564</f>
        <v>-2479.3324199999997</v>
      </c>
      <c r="AE564" s="6">
        <f>$K$564*$Y$564</f>
        <v>0</v>
      </c>
      <c r="AF564" s="6">
        <f ca="1">$M$564*$Z$564</f>
        <v>-3170.1598001568154</v>
      </c>
      <c r="AG564" s="6">
        <f ca="1">$O$564*$AA$564</f>
        <v>-2214.0540421291207</v>
      </c>
    </row>
    <row r="565" spans="1:33" ht="11.25" customHeight="1" x14ac:dyDescent="0.25">
      <c r="A565" s="4" t="s">
        <v>55</v>
      </c>
      <c r="B565" s="4" t="s">
        <v>22</v>
      </c>
      <c r="C565" s="4" t="s">
        <v>23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25</v>
      </c>
      <c r="I565" s="5">
        <v>44593</v>
      </c>
      <c r="J565" s="6">
        <v>0</v>
      </c>
      <c r="K565" s="6">
        <v>0</v>
      </c>
      <c r="L565" s="6">
        <v>125.297</v>
      </c>
      <c r="M565" s="6">
        <v>125.297</v>
      </c>
      <c r="N565" s="6">
        <v>125.297</v>
      </c>
      <c r="O565" s="6">
        <v>125.297</v>
      </c>
      <c r="P565" s="6">
        <v>1341</v>
      </c>
      <c r="Q565" s="4" t="s">
        <v>26</v>
      </c>
      <c r="R565" s="4">
        <v>0</v>
      </c>
      <c r="S565" s="6">
        <v>0</v>
      </c>
      <c r="T565" s="6">
        <v>27</v>
      </c>
      <c r="U565" s="6">
        <v>52</v>
      </c>
      <c r="V565" s="6">
        <f>IF(ISERROR(VLOOKUP($S$565,'TAR FIN'!$A$1:$O$86,15,0)),0,VLOOKUP($S$565,'TAR FIN'!$A$1:$O$86,15,0))</f>
        <v>0</v>
      </c>
      <c r="W565" s="6">
        <f>IF(ISERROR(VLOOKUP($T$565,'TAR FIN'!$A$1:$O$86,15,0)),0,VLOOKUP($T$565,'TAR FIN'!$A$1:$O$86,15,0))</f>
        <v>324.5</v>
      </c>
      <c r="X565" s="6">
        <f>IF(ISERROR(VLOOKUP($U$565,'TAR FIN'!$A$1:$O$86,15,0)),0,VLOOKUP($U$565,'TAR FIN'!$A$1:$O$86,15,0))</f>
        <v>258.20999999999998</v>
      </c>
      <c r="Y565" s="6"/>
      <c r="Z565" s="6">
        <f ca="1">('TUSD BE'!$AM$21+'TUSD BF_350'!$AM$21+'TUSD CVA'!$AM$21)*1</f>
        <v>330.1561966420345</v>
      </c>
      <c r="AA565" s="6">
        <f ca="1">('TE BE'!$AB$11+'TE BF_350'!$AB$11+'TE CVA'!$AB$11)*1</f>
        <v>230.58259134858577</v>
      </c>
      <c r="AB565" s="6">
        <f>$K$565*$V$565</f>
        <v>0</v>
      </c>
      <c r="AC565" s="6">
        <f>$M$565*$W$565</f>
        <v>40658.876499999998</v>
      </c>
      <c r="AD565" s="6">
        <f>$O$565*$X$565</f>
        <v>32352.938369999996</v>
      </c>
      <c r="AE565" s="6">
        <f>$K$565*$Y$565</f>
        <v>0</v>
      </c>
      <c r="AF565" s="6">
        <f ca="1">$M$565*$Z$565</f>
        <v>41367.580970656993</v>
      </c>
      <c r="AG565" s="6">
        <f ca="1">$O$565*$AA$565</f>
        <v>28891.30694820375</v>
      </c>
    </row>
    <row r="566" spans="1:33" ht="11.25" customHeight="1" x14ac:dyDescent="0.25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25</v>
      </c>
      <c r="I566" s="5">
        <v>44621</v>
      </c>
      <c r="J566" s="6">
        <v>0</v>
      </c>
      <c r="K566" s="6">
        <v>0</v>
      </c>
      <c r="L566" s="6">
        <v>5757.4809999999998</v>
      </c>
      <c r="M566" s="6">
        <v>5757.4809999999998</v>
      </c>
      <c r="N566" s="6">
        <v>5757.4809999999998</v>
      </c>
      <c r="O566" s="6">
        <v>5757.4809999999998</v>
      </c>
      <c r="P566" s="6">
        <v>28768</v>
      </c>
      <c r="Q566" s="4" t="s">
        <v>26</v>
      </c>
      <c r="R566" s="4">
        <v>0</v>
      </c>
      <c r="S566" s="6">
        <v>0</v>
      </c>
      <c r="T566" s="6">
        <v>27</v>
      </c>
      <c r="U566" s="6">
        <v>52</v>
      </c>
      <c r="V566" s="6">
        <f>IF(ISERROR(VLOOKUP($S$566,'TAR FIN'!$A$1:$O$86,15,0)),0,VLOOKUP($S$566,'TAR FIN'!$A$1:$O$86,15,0))</f>
        <v>0</v>
      </c>
      <c r="W566" s="6">
        <f>IF(ISERROR(VLOOKUP($T$566,'TAR FIN'!$A$1:$O$86,15,0)),0,VLOOKUP($T$566,'TAR FIN'!$A$1:$O$86,15,0))</f>
        <v>324.5</v>
      </c>
      <c r="X566" s="6">
        <f>IF(ISERROR(VLOOKUP($U$566,'TAR FIN'!$A$1:$O$86,15,0)),0,VLOOKUP($U$566,'TAR FIN'!$A$1:$O$86,15,0))</f>
        <v>258.20999999999998</v>
      </c>
      <c r="Y566" s="6"/>
      <c r="Z566" s="6">
        <f ca="1">('TUSD BE'!$AM$21+'TUSD BF_350'!$AM$21+'TUSD CVA'!$AM$21)*1</f>
        <v>330.1561966420345</v>
      </c>
      <c r="AA566" s="6">
        <f ca="1">('TE BE'!$AB$11+'TE BF_350'!$AB$11+'TE CVA'!$AB$11)*1</f>
        <v>230.58259134858577</v>
      </c>
      <c r="AB566" s="6">
        <f>$K$566*$V$566</f>
        <v>0</v>
      </c>
      <c r="AC566" s="6">
        <f>$M$566*$W$566</f>
        <v>1868302.5844999999</v>
      </c>
      <c r="AD566" s="6">
        <f>$O$566*$X$566</f>
        <v>1486639.1690099998</v>
      </c>
      <c r="AE566" s="6">
        <f>$K$566*$Y$566</f>
        <v>0</v>
      </c>
      <c r="AF566" s="6">
        <f ca="1">$M$566*$Z$566</f>
        <v>1900868.0291987774</v>
      </c>
      <c r="AG566" s="6">
        <f ca="1">$O$566*$AA$566</f>
        <v>1327574.8886202469</v>
      </c>
    </row>
    <row r="567" spans="1:33" ht="11.25" customHeight="1" x14ac:dyDescent="0.25">
      <c r="A567" s="4" t="s">
        <v>27</v>
      </c>
      <c r="B567" s="4" t="s">
        <v>22</v>
      </c>
      <c r="C567" s="4" t="s">
        <v>23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25</v>
      </c>
      <c r="I567" s="5">
        <v>44621</v>
      </c>
      <c r="J567" s="6">
        <v>0</v>
      </c>
      <c r="K567" s="6">
        <v>0</v>
      </c>
      <c r="L567" s="6">
        <v>-28.117000000000001</v>
      </c>
      <c r="M567" s="6">
        <v>-28.117000000000001</v>
      </c>
      <c r="N567" s="6">
        <v>-28.117000000000001</v>
      </c>
      <c r="O567" s="6">
        <v>-28.117000000000001</v>
      </c>
      <c r="P567" s="6">
        <v>0</v>
      </c>
      <c r="Q567" s="4" t="s">
        <v>26</v>
      </c>
      <c r="R567" s="4">
        <v>0</v>
      </c>
      <c r="S567" s="6">
        <v>0</v>
      </c>
      <c r="T567" s="6">
        <v>27</v>
      </c>
      <c r="U567" s="6">
        <v>52</v>
      </c>
      <c r="V567" s="6">
        <f>IF(ISERROR(VLOOKUP($S$567,'TAR FIN'!$A$1:$O$86,15,0)),0,VLOOKUP($S$567,'TAR FIN'!$A$1:$O$86,15,0))</f>
        <v>0</v>
      </c>
      <c r="W567" s="6">
        <f>IF(ISERROR(VLOOKUP($T$567,'TAR FIN'!$A$1:$O$86,15,0)),0,VLOOKUP($T$567,'TAR FIN'!$A$1:$O$86,15,0))</f>
        <v>324.5</v>
      </c>
      <c r="X567" s="6">
        <f>IF(ISERROR(VLOOKUP($U$567,'TAR FIN'!$A$1:$O$86,15,0)),0,VLOOKUP($U$567,'TAR FIN'!$A$1:$O$86,15,0))</f>
        <v>258.20999999999998</v>
      </c>
      <c r="Y567" s="6"/>
      <c r="Z567" s="6">
        <f ca="1">('TUSD BE'!$AM$21+'TUSD BF_350'!$AM$21+'TUSD CVA'!$AM$21)*1</f>
        <v>330.1561966420345</v>
      </c>
      <c r="AA567" s="6">
        <f ca="1">('TE BE'!$AB$11+'TE BF_350'!$AB$11+'TE CVA'!$AB$11)*1</f>
        <v>230.58259134858577</v>
      </c>
      <c r="AB567" s="6">
        <f>$K$567*$V$567</f>
        <v>0</v>
      </c>
      <c r="AC567" s="6">
        <f>$M$567*$W$567</f>
        <v>-9123.9665000000005</v>
      </c>
      <c r="AD567" s="6">
        <f>$O$567*$X$567</f>
        <v>-7260.0905699999994</v>
      </c>
      <c r="AE567" s="6">
        <f>$K$567*$Y$567</f>
        <v>0</v>
      </c>
      <c r="AF567" s="6">
        <f ca="1">$M$567*$Z$567</f>
        <v>-9283.0017809840847</v>
      </c>
      <c r="AG567" s="6">
        <f ca="1">$O$567*$AA$567</f>
        <v>-6483.2907209481864</v>
      </c>
    </row>
    <row r="568" spans="1:33" ht="11.25" customHeight="1" x14ac:dyDescent="0.25">
      <c r="A568" s="4" t="s">
        <v>55</v>
      </c>
      <c r="B568" s="4" t="s">
        <v>22</v>
      </c>
      <c r="C568" s="4" t="s">
        <v>23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25</v>
      </c>
      <c r="I568" s="5">
        <v>44621</v>
      </c>
      <c r="J568" s="6">
        <v>0</v>
      </c>
      <c r="K568" s="6">
        <v>0</v>
      </c>
      <c r="L568" s="6">
        <v>135.03</v>
      </c>
      <c r="M568" s="6">
        <v>135.03</v>
      </c>
      <c r="N568" s="6">
        <v>135.03</v>
      </c>
      <c r="O568" s="6">
        <v>135.03</v>
      </c>
      <c r="P568" s="6">
        <v>1436</v>
      </c>
      <c r="Q568" s="4" t="s">
        <v>26</v>
      </c>
      <c r="R568" s="4">
        <v>0</v>
      </c>
      <c r="S568" s="6">
        <v>0</v>
      </c>
      <c r="T568" s="6">
        <v>27</v>
      </c>
      <c r="U568" s="6">
        <v>52</v>
      </c>
      <c r="V568" s="6">
        <f>IF(ISERROR(VLOOKUP($S$568,'TAR FIN'!$A$1:$O$86,15,0)),0,VLOOKUP($S$568,'TAR FIN'!$A$1:$O$86,15,0))</f>
        <v>0</v>
      </c>
      <c r="W568" s="6">
        <f>IF(ISERROR(VLOOKUP($T$568,'TAR FIN'!$A$1:$O$86,15,0)),0,VLOOKUP($T$568,'TAR FIN'!$A$1:$O$86,15,0))</f>
        <v>324.5</v>
      </c>
      <c r="X568" s="6">
        <f>IF(ISERROR(VLOOKUP($U$568,'TAR FIN'!$A$1:$O$86,15,0)),0,VLOOKUP($U$568,'TAR FIN'!$A$1:$O$86,15,0))</f>
        <v>258.20999999999998</v>
      </c>
      <c r="Y568" s="6"/>
      <c r="Z568" s="6">
        <f ca="1">('TUSD BE'!$AM$21+'TUSD BF_350'!$AM$21+'TUSD CVA'!$AM$21)*1</f>
        <v>330.1561966420345</v>
      </c>
      <c r="AA568" s="6">
        <f ca="1">('TE BE'!$AB$11+'TE BF_350'!$AB$11+'TE CVA'!$AB$11)*1</f>
        <v>230.58259134858577</v>
      </c>
      <c r="AB568" s="6">
        <f>$K$568*$V$568</f>
        <v>0</v>
      </c>
      <c r="AC568" s="6">
        <f>$M$568*$W$568</f>
        <v>43817.235000000001</v>
      </c>
      <c r="AD568" s="6">
        <f>$O$568*$X$568</f>
        <v>34866.096299999997</v>
      </c>
      <c r="AE568" s="6">
        <f>$K$568*$Y$568</f>
        <v>0</v>
      </c>
      <c r="AF568" s="6">
        <f ca="1">$M$568*$Z$568</f>
        <v>44580.991232573921</v>
      </c>
      <c r="AG568" s="6">
        <f ca="1">$O$568*$AA$568</f>
        <v>31135.567309799535</v>
      </c>
    </row>
    <row r="569" spans="1:33" ht="11.25" customHeight="1" x14ac:dyDescent="0.25">
      <c r="A569" s="4" t="s">
        <v>55</v>
      </c>
      <c r="B569" s="4" t="s">
        <v>22</v>
      </c>
      <c r="C569" s="4" t="s">
        <v>23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25</v>
      </c>
      <c r="I569" s="5">
        <v>44621</v>
      </c>
      <c r="J569" s="6">
        <v>0</v>
      </c>
      <c r="K569" s="6">
        <v>0</v>
      </c>
      <c r="L569" s="6">
        <v>3.4580000000000002</v>
      </c>
      <c r="M569" s="6">
        <v>3.4580000000000002</v>
      </c>
      <c r="N569" s="6">
        <v>3.4580000000000002</v>
      </c>
      <c r="O569" s="6">
        <v>3.4580000000000002</v>
      </c>
      <c r="P569" s="6">
        <v>7</v>
      </c>
      <c r="Q569" s="4" t="s">
        <v>26</v>
      </c>
      <c r="R569" s="4">
        <v>0</v>
      </c>
      <c r="S569" s="6">
        <v>0</v>
      </c>
      <c r="T569" s="6">
        <v>27</v>
      </c>
      <c r="U569" s="6">
        <v>52</v>
      </c>
      <c r="V569" s="6">
        <f>IF(ISERROR(VLOOKUP($S$569,'TAR FIN'!$A$1:$O$86,15,0)),0,VLOOKUP($S$569,'TAR FIN'!$A$1:$O$86,15,0))</f>
        <v>0</v>
      </c>
      <c r="W569" s="6">
        <f>IF(ISERROR(VLOOKUP($T$569,'TAR FIN'!$A$1:$O$86,15,0)),0,VLOOKUP($T$569,'TAR FIN'!$A$1:$O$86,15,0))</f>
        <v>324.5</v>
      </c>
      <c r="X569" s="6">
        <f>IF(ISERROR(VLOOKUP($U$569,'TAR FIN'!$A$1:$O$86,15,0)),0,VLOOKUP($U$569,'TAR FIN'!$A$1:$O$86,15,0))</f>
        <v>258.20999999999998</v>
      </c>
      <c r="Y569" s="6"/>
      <c r="Z569" s="6">
        <f ca="1">('TUSD BE'!$AM$21+'TUSD BF_350'!$AM$21+'TUSD CVA'!$AM$21)*1</f>
        <v>330.1561966420345</v>
      </c>
      <c r="AA569" s="6">
        <f ca="1">('TE BE'!$AB$11+'TE BF_350'!$AB$11+'TE CVA'!$AB$11)*1</f>
        <v>230.58259134858577</v>
      </c>
      <c r="AB569" s="6">
        <f>$K$569*$V$569</f>
        <v>0</v>
      </c>
      <c r="AC569" s="6">
        <f>$M$569*$W$569</f>
        <v>1122.1210000000001</v>
      </c>
      <c r="AD569" s="6">
        <f>$O$569*$X$569</f>
        <v>892.89017999999999</v>
      </c>
      <c r="AE569" s="6">
        <f>$K$569*$Y$569</f>
        <v>0</v>
      </c>
      <c r="AF569" s="6">
        <f ca="1">$M$569*$Z$569</f>
        <v>1141.6801279881554</v>
      </c>
      <c r="AG569" s="6">
        <f ca="1">$O$569*$AA$569</f>
        <v>797.3546008834096</v>
      </c>
    </row>
    <row r="570" spans="1:33" ht="11.25" customHeight="1" x14ac:dyDescent="0.25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44652</v>
      </c>
      <c r="J570" s="6">
        <v>0</v>
      </c>
      <c r="K570" s="6">
        <v>0</v>
      </c>
      <c r="L570" s="6">
        <v>4511.9480000000003</v>
      </c>
      <c r="M570" s="6">
        <v>4511.9480000000003</v>
      </c>
      <c r="N570" s="6">
        <v>4511.9480000000003</v>
      </c>
      <c r="O570" s="6">
        <v>4511.9480000000003</v>
      </c>
      <c r="P570" s="6">
        <v>28669</v>
      </c>
      <c r="Q570" s="4" t="s">
        <v>26</v>
      </c>
      <c r="R570" s="4">
        <v>0</v>
      </c>
      <c r="S570" s="6">
        <v>0</v>
      </c>
      <c r="T570" s="6">
        <v>27</v>
      </c>
      <c r="U570" s="6">
        <v>52</v>
      </c>
      <c r="V570" s="6">
        <f>IF(ISERROR(VLOOKUP($S$570,'TAR FIN'!$A$1:$O$86,15,0)),0,VLOOKUP($S$570,'TAR FIN'!$A$1:$O$86,15,0))</f>
        <v>0</v>
      </c>
      <c r="W570" s="6">
        <f>IF(ISERROR(VLOOKUP($T$570,'TAR FIN'!$A$1:$O$86,15,0)),0,VLOOKUP($T$570,'TAR FIN'!$A$1:$O$86,15,0))</f>
        <v>324.5</v>
      </c>
      <c r="X570" s="6">
        <f>IF(ISERROR(VLOOKUP($U$570,'TAR FIN'!$A$1:$O$86,15,0)),0,VLOOKUP($U$570,'TAR FIN'!$A$1:$O$86,15,0))</f>
        <v>258.20999999999998</v>
      </c>
      <c r="Y570" s="6"/>
      <c r="Z570" s="6">
        <f ca="1">('TUSD BE'!$AM$21+'TUSD BF_350'!$AM$21+'TUSD CVA'!$AM$21)*1</f>
        <v>330.1561966420345</v>
      </c>
      <c r="AA570" s="6">
        <f ca="1">('TE BE'!$AB$11+'TE BF_350'!$AB$11+'TE CVA'!$AB$11)*1</f>
        <v>230.58259134858577</v>
      </c>
      <c r="AB570" s="6">
        <f>$K$570*$V$570</f>
        <v>0</v>
      </c>
      <c r="AC570" s="6">
        <f>$M$570*$W$570</f>
        <v>1464127.1260000002</v>
      </c>
      <c r="AD570" s="6">
        <f>$O$570*$X$570</f>
        <v>1165030.09308</v>
      </c>
      <c r="AE570" s="6">
        <f>$K$570*$Y$570</f>
        <v>0</v>
      </c>
      <c r="AF570" s="6">
        <f ca="1">$M$570*$Z$570</f>
        <v>1489647.5911266345</v>
      </c>
      <c r="AG570" s="6">
        <f ca="1">$O$570*$AA$570</f>
        <v>1040376.6618700689</v>
      </c>
    </row>
    <row r="571" spans="1:33" ht="11.25" customHeight="1" x14ac:dyDescent="0.25">
      <c r="A571" s="4" t="s">
        <v>27</v>
      </c>
      <c r="B571" s="4" t="s">
        <v>22</v>
      </c>
      <c r="C571" s="4" t="s">
        <v>23</v>
      </c>
      <c r="D571" s="4" t="s">
        <v>24</v>
      </c>
      <c r="E571" s="4" t="s">
        <v>24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0</v>
      </c>
      <c r="K571" s="6">
        <v>0</v>
      </c>
      <c r="L571" s="6">
        <v>-8.7910000000000004</v>
      </c>
      <c r="M571" s="6">
        <v>-8.7910000000000004</v>
      </c>
      <c r="N571" s="6">
        <v>-8.7910000000000004</v>
      </c>
      <c r="O571" s="6">
        <v>-8.7910000000000004</v>
      </c>
      <c r="P571" s="6">
        <v>0</v>
      </c>
      <c r="Q571" s="4" t="s">
        <v>26</v>
      </c>
      <c r="R571" s="4">
        <v>0</v>
      </c>
      <c r="S571" s="6">
        <v>0</v>
      </c>
      <c r="T571" s="6">
        <v>27</v>
      </c>
      <c r="U571" s="6">
        <v>52</v>
      </c>
      <c r="V571" s="6">
        <f>IF(ISERROR(VLOOKUP($S$571,'TAR FIN'!$A$1:$O$86,15,0)),0,VLOOKUP($S$571,'TAR FIN'!$A$1:$O$86,15,0))</f>
        <v>0</v>
      </c>
      <c r="W571" s="6">
        <f>IF(ISERROR(VLOOKUP($T$571,'TAR FIN'!$A$1:$O$86,15,0)),0,VLOOKUP($T$571,'TAR FIN'!$A$1:$O$86,15,0))</f>
        <v>324.5</v>
      </c>
      <c r="X571" s="6">
        <f>IF(ISERROR(VLOOKUP($U$571,'TAR FIN'!$A$1:$O$86,15,0)),0,VLOOKUP($U$571,'TAR FIN'!$A$1:$O$86,15,0))</f>
        <v>258.20999999999998</v>
      </c>
      <c r="Y571" s="6"/>
      <c r="Z571" s="6">
        <f ca="1">('TUSD BE'!$AM$21+'TUSD BF_350'!$AM$21+'TUSD CVA'!$AM$21)*1</f>
        <v>330.1561966420345</v>
      </c>
      <c r="AA571" s="6">
        <f ca="1">('TE BE'!$AB$11+'TE BF_350'!$AB$11+'TE CVA'!$AB$11)*1</f>
        <v>230.58259134858577</v>
      </c>
      <c r="AB571" s="6">
        <f>$K$571*$V$571</f>
        <v>0</v>
      </c>
      <c r="AC571" s="6">
        <f>$M$571*$W$571</f>
        <v>-2852.6795000000002</v>
      </c>
      <c r="AD571" s="6">
        <f>$O$571*$X$571</f>
        <v>-2269.9241099999999</v>
      </c>
      <c r="AE571" s="6">
        <f>$K$571*$Y$571</f>
        <v>0</v>
      </c>
      <c r="AF571" s="6">
        <f ca="1">$M$571*$Z$571</f>
        <v>-2902.4031246801255</v>
      </c>
      <c r="AG571" s="6">
        <f ca="1">$O$571*$AA$571</f>
        <v>-2027.0515605454175</v>
      </c>
    </row>
    <row r="572" spans="1:33" ht="11.25" customHeight="1" x14ac:dyDescent="0.25">
      <c r="A572" s="4" t="s">
        <v>55</v>
      </c>
      <c r="B572" s="4" t="s">
        <v>22</v>
      </c>
      <c r="C572" s="4" t="s">
        <v>23</v>
      </c>
      <c r="D572" s="4" t="s">
        <v>24</v>
      </c>
      <c r="E572" s="4" t="s">
        <v>24</v>
      </c>
      <c r="F572" s="4" t="s">
        <v>25</v>
      </c>
      <c r="G572" s="4" t="s">
        <v>25</v>
      </c>
      <c r="H572" s="4" t="s">
        <v>25</v>
      </c>
      <c r="I572" s="5">
        <v>44652</v>
      </c>
      <c r="J572" s="6">
        <v>0</v>
      </c>
      <c r="K572" s="6">
        <v>0</v>
      </c>
      <c r="L572" s="6">
        <v>116.264</v>
      </c>
      <c r="M572" s="6">
        <v>116.264</v>
      </c>
      <c r="N572" s="6">
        <v>116.264</v>
      </c>
      <c r="O572" s="6">
        <v>116.264</v>
      </c>
      <c r="P572" s="6">
        <v>1519</v>
      </c>
      <c r="Q572" s="4" t="s">
        <v>26</v>
      </c>
      <c r="R572" s="4">
        <v>0</v>
      </c>
      <c r="S572" s="6">
        <v>0</v>
      </c>
      <c r="T572" s="6">
        <v>27</v>
      </c>
      <c r="U572" s="6">
        <v>52</v>
      </c>
      <c r="V572" s="6">
        <f>IF(ISERROR(VLOOKUP($S$572,'TAR FIN'!$A$1:$O$86,15,0)),0,VLOOKUP($S$572,'TAR FIN'!$A$1:$O$86,15,0))</f>
        <v>0</v>
      </c>
      <c r="W572" s="6">
        <f>IF(ISERROR(VLOOKUP($T$572,'TAR FIN'!$A$1:$O$86,15,0)),0,VLOOKUP($T$572,'TAR FIN'!$A$1:$O$86,15,0))</f>
        <v>324.5</v>
      </c>
      <c r="X572" s="6">
        <f>IF(ISERROR(VLOOKUP($U$572,'TAR FIN'!$A$1:$O$86,15,0)),0,VLOOKUP($U$572,'TAR FIN'!$A$1:$O$86,15,0))</f>
        <v>258.20999999999998</v>
      </c>
      <c r="Y572" s="6"/>
      <c r="Z572" s="6">
        <f ca="1">('TUSD BE'!$AM$21+'TUSD BF_350'!$AM$21+'TUSD CVA'!$AM$21)*1</f>
        <v>330.1561966420345</v>
      </c>
      <c r="AA572" s="6">
        <f ca="1">('TE BE'!$AB$11+'TE BF_350'!$AB$11+'TE CVA'!$AB$11)*1</f>
        <v>230.58259134858577</v>
      </c>
      <c r="AB572" s="6">
        <f>$K$572*$V$572</f>
        <v>0</v>
      </c>
      <c r="AC572" s="6">
        <f>$M$572*$W$572</f>
        <v>37727.667999999998</v>
      </c>
      <c r="AD572" s="6">
        <f>$O$572*$X$572</f>
        <v>30020.527439999998</v>
      </c>
      <c r="AE572" s="6">
        <f>$K$572*$Y$572</f>
        <v>0</v>
      </c>
      <c r="AF572" s="6">
        <f ca="1">$M$572*$Z$572</f>
        <v>38385.280046389496</v>
      </c>
      <c r="AG572" s="6">
        <f ca="1">$O$572*$AA$572</f>
        <v>26808.454400551975</v>
      </c>
    </row>
    <row r="573" spans="1:33" ht="11.25" customHeight="1" x14ac:dyDescent="0.25">
      <c r="A573" s="4" t="s">
        <v>55</v>
      </c>
      <c r="B573" s="4" t="s">
        <v>22</v>
      </c>
      <c r="C573" s="4" t="s">
        <v>23</v>
      </c>
      <c r="D573" s="4" t="s">
        <v>24</v>
      </c>
      <c r="E573" s="4" t="s">
        <v>24</v>
      </c>
      <c r="F573" s="4" t="s">
        <v>25</v>
      </c>
      <c r="G573" s="4" t="s">
        <v>25</v>
      </c>
      <c r="H573" s="4" t="s">
        <v>25</v>
      </c>
      <c r="I573" s="5">
        <v>44652</v>
      </c>
      <c r="J573" s="6">
        <v>0</v>
      </c>
      <c r="K573" s="6">
        <v>0</v>
      </c>
      <c r="L573" s="6">
        <v>-0.32400000000000001</v>
      </c>
      <c r="M573" s="6">
        <v>-0.32400000000000001</v>
      </c>
      <c r="N573" s="6">
        <v>-0.32400000000000001</v>
      </c>
      <c r="O573" s="6">
        <v>-0.32400000000000001</v>
      </c>
      <c r="P573" s="6">
        <v>8</v>
      </c>
      <c r="Q573" s="4" t="s">
        <v>26</v>
      </c>
      <c r="R573" s="4">
        <v>0</v>
      </c>
      <c r="S573" s="6">
        <v>0</v>
      </c>
      <c r="T573" s="6">
        <v>27</v>
      </c>
      <c r="U573" s="6">
        <v>52</v>
      </c>
      <c r="V573" s="6">
        <f>IF(ISERROR(VLOOKUP($S$573,'TAR FIN'!$A$1:$O$86,15,0)),0,VLOOKUP($S$573,'TAR FIN'!$A$1:$O$86,15,0))</f>
        <v>0</v>
      </c>
      <c r="W573" s="6">
        <f>IF(ISERROR(VLOOKUP($T$573,'TAR FIN'!$A$1:$O$86,15,0)),0,VLOOKUP($T$573,'TAR FIN'!$A$1:$O$86,15,0))</f>
        <v>324.5</v>
      </c>
      <c r="X573" s="6">
        <f>IF(ISERROR(VLOOKUP($U$573,'TAR FIN'!$A$1:$O$86,15,0)),0,VLOOKUP($U$573,'TAR FIN'!$A$1:$O$86,15,0))</f>
        <v>258.20999999999998</v>
      </c>
      <c r="Y573" s="6"/>
      <c r="Z573" s="6">
        <f ca="1">('TUSD BE'!$AM$21+'TUSD BF_350'!$AM$21+'TUSD CVA'!$AM$21)*1</f>
        <v>330.1561966420345</v>
      </c>
      <c r="AA573" s="6">
        <f ca="1">('TE BE'!$AB$11+'TE BF_350'!$AB$11+'TE CVA'!$AB$11)*1</f>
        <v>230.58259134858577</v>
      </c>
      <c r="AB573" s="6">
        <f>$K$573*$V$573</f>
        <v>0</v>
      </c>
      <c r="AC573" s="6">
        <f>$M$573*$W$573</f>
        <v>-105.13800000000001</v>
      </c>
      <c r="AD573" s="6">
        <f>$O$573*$X$573</f>
        <v>-83.660039999999995</v>
      </c>
      <c r="AE573" s="6">
        <f>$K$573*$Y$573</f>
        <v>0</v>
      </c>
      <c r="AF573" s="6">
        <f ca="1">$M$573*$Z$573</f>
        <v>-106.97060771201919</v>
      </c>
      <c r="AG573" s="6">
        <f ca="1">$O$573*$AA$573</f>
        <v>-74.708759596941789</v>
      </c>
    </row>
    <row r="574" spans="1:33" ht="11.25" customHeight="1" x14ac:dyDescent="0.25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24</v>
      </c>
      <c r="F574" s="4" t="s">
        <v>25</v>
      </c>
      <c r="G574" s="4" t="s">
        <v>25</v>
      </c>
      <c r="H574" s="4" t="s">
        <v>25</v>
      </c>
      <c r="I574" s="5">
        <v>44682</v>
      </c>
      <c r="J574" s="6">
        <v>0</v>
      </c>
      <c r="K574" s="6">
        <v>0</v>
      </c>
      <c r="L574" s="6">
        <v>4597.58</v>
      </c>
      <c r="M574" s="6">
        <v>4597.58</v>
      </c>
      <c r="N574" s="6">
        <v>4597.58</v>
      </c>
      <c r="O574" s="6">
        <v>4597.58</v>
      </c>
      <c r="P574" s="6">
        <v>28650</v>
      </c>
      <c r="Q574" s="4" t="s">
        <v>26</v>
      </c>
      <c r="R574" s="4">
        <v>0</v>
      </c>
      <c r="S574" s="6">
        <v>0</v>
      </c>
      <c r="T574" s="6">
        <v>27</v>
      </c>
      <c r="U574" s="6">
        <v>52</v>
      </c>
      <c r="V574" s="6">
        <f>IF(ISERROR(VLOOKUP($S$574,'TAR FIN'!$A$1:$O$86,15,0)),0,VLOOKUP($S$574,'TAR FIN'!$A$1:$O$86,15,0))</f>
        <v>0</v>
      </c>
      <c r="W574" s="6">
        <f>IF(ISERROR(VLOOKUP($T$574,'TAR FIN'!$A$1:$O$86,15,0)),0,VLOOKUP($T$574,'TAR FIN'!$A$1:$O$86,15,0))</f>
        <v>324.5</v>
      </c>
      <c r="X574" s="6">
        <f>IF(ISERROR(VLOOKUP($U$574,'TAR FIN'!$A$1:$O$86,15,0)),0,VLOOKUP($U$574,'TAR FIN'!$A$1:$O$86,15,0))</f>
        <v>258.20999999999998</v>
      </c>
      <c r="Y574" s="6"/>
      <c r="Z574" s="6">
        <f ca="1">('TUSD BE'!$AM$21+'TUSD BF_350'!$AM$21+'TUSD CVA'!$AM$21)*1</f>
        <v>330.1561966420345</v>
      </c>
      <c r="AA574" s="6">
        <f ca="1">('TE BE'!$AB$11+'TE BF_350'!$AB$11+'TE CVA'!$AB$11)*1</f>
        <v>230.58259134858577</v>
      </c>
      <c r="AB574" s="6">
        <f>$K$574*$V$574</f>
        <v>0</v>
      </c>
      <c r="AC574" s="6">
        <f>$M$574*$W$574</f>
        <v>1491914.71</v>
      </c>
      <c r="AD574" s="6">
        <f>$O$574*$X$574</f>
        <v>1187141.1317999999</v>
      </c>
      <c r="AE574" s="6">
        <f>$K$574*$Y$574</f>
        <v>0</v>
      </c>
      <c r="AF574" s="6">
        <f ca="1">$M$574*$Z$574</f>
        <v>1517919.5265574849</v>
      </c>
      <c r="AG574" s="6">
        <f ca="1">$O$574*$AA$574</f>
        <v>1060121.9103324309</v>
      </c>
    </row>
    <row r="575" spans="1:33" ht="11.25" customHeight="1" x14ac:dyDescent="0.25">
      <c r="A575" s="4" t="s">
        <v>27</v>
      </c>
      <c r="B575" s="4" t="s">
        <v>22</v>
      </c>
      <c r="C575" s="4" t="s">
        <v>23</v>
      </c>
      <c r="D575" s="4" t="s">
        <v>24</v>
      </c>
      <c r="E575" s="4" t="s">
        <v>24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0</v>
      </c>
      <c r="K575" s="6">
        <v>0</v>
      </c>
      <c r="L575" s="6">
        <v>-5.3929999999999998</v>
      </c>
      <c r="M575" s="6">
        <v>-5.3929999999999998</v>
      </c>
      <c r="N575" s="6">
        <v>-5.3929999999999998</v>
      </c>
      <c r="O575" s="6">
        <v>-5.3929999999999998</v>
      </c>
      <c r="P575" s="6">
        <v>0</v>
      </c>
      <c r="Q575" s="4" t="s">
        <v>26</v>
      </c>
      <c r="R575" s="4">
        <v>0</v>
      </c>
      <c r="S575" s="6">
        <v>0</v>
      </c>
      <c r="T575" s="6">
        <v>27</v>
      </c>
      <c r="U575" s="6">
        <v>52</v>
      </c>
      <c r="V575" s="6">
        <f>IF(ISERROR(VLOOKUP($S$575,'TAR FIN'!$A$1:$O$86,15,0)),0,VLOOKUP($S$575,'TAR FIN'!$A$1:$O$86,15,0))</f>
        <v>0</v>
      </c>
      <c r="W575" s="6">
        <f>IF(ISERROR(VLOOKUP($T$575,'TAR FIN'!$A$1:$O$86,15,0)),0,VLOOKUP($T$575,'TAR FIN'!$A$1:$O$86,15,0))</f>
        <v>324.5</v>
      </c>
      <c r="X575" s="6">
        <f>IF(ISERROR(VLOOKUP($U$575,'TAR FIN'!$A$1:$O$86,15,0)),0,VLOOKUP($U$575,'TAR FIN'!$A$1:$O$86,15,0))</f>
        <v>258.20999999999998</v>
      </c>
      <c r="Y575" s="6"/>
      <c r="Z575" s="6">
        <f ca="1">('TUSD BE'!$AM$21+'TUSD BF_350'!$AM$21+'TUSD CVA'!$AM$21)*1</f>
        <v>330.1561966420345</v>
      </c>
      <c r="AA575" s="6">
        <f ca="1">('TE BE'!$AB$11+'TE BF_350'!$AB$11+'TE CVA'!$AB$11)*1</f>
        <v>230.58259134858577</v>
      </c>
      <c r="AB575" s="6">
        <f>$K$575*$V$575</f>
        <v>0</v>
      </c>
      <c r="AC575" s="6">
        <f>$M$575*$W$575</f>
        <v>-1750.0284999999999</v>
      </c>
      <c r="AD575" s="6">
        <f>$O$575*$X$575</f>
        <v>-1392.5265299999999</v>
      </c>
      <c r="AE575" s="6">
        <f>$K$575*$Y$575</f>
        <v>0</v>
      </c>
      <c r="AF575" s="6">
        <f ca="1">$M$575*$Z$575</f>
        <v>-1780.532368490492</v>
      </c>
      <c r="AG575" s="6">
        <f ca="1">$O$575*$AA$575</f>
        <v>-1243.531915142923</v>
      </c>
    </row>
    <row r="576" spans="1:33" ht="11.25" customHeight="1" x14ac:dyDescent="0.25">
      <c r="A576" s="4" t="s">
        <v>55</v>
      </c>
      <c r="B576" s="4" t="s">
        <v>22</v>
      </c>
      <c r="C576" s="4" t="s">
        <v>23</v>
      </c>
      <c r="D576" s="4" t="s">
        <v>24</v>
      </c>
      <c r="E576" s="4" t="s">
        <v>24</v>
      </c>
      <c r="F576" s="4" t="s">
        <v>25</v>
      </c>
      <c r="G576" s="4" t="s">
        <v>25</v>
      </c>
      <c r="H576" s="4" t="s">
        <v>25</v>
      </c>
      <c r="I576" s="5">
        <v>44682</v>
      </c>
      <c r="J576" s="6">
        <v>0</v>
      </c>
      <c r="K576" s="6">
        <v>0</v>
      </c>
      <c r="L576" s="6">
        <v>140.49600000000001</v>
      </c>
      <c r="M576" s="6">
        <v>140.49600000000001</v>
      </c>
      <c r="N576" s="6">
        <v>140.49600000000001</v>
      </c>
      <c r="O576" s="6">
        <v>140.49600000000001</v>
      </c>
      <c r="P576" s="6">
        <v>1608</v>
      </c>
      <c r="Q576" s="4" t="s">
        <v>26</v>
      </c>
      <c r="R576" s="4">
        <v>0</v>
      </c>
      <c r="S576" s="6">
        <v>0</v>
      </c>
      <c r="T576" s="6">
        <v>27</v>
      </c>
      <c r="U576" s="6">
        <v>52</v>
      </c>
      <c r="V576" s="6">
        <f>IF(ISERROR(VLOOKUP($S$576,'TAR FIN'!$A$1:$O$86,15,0)),0,VLOOKUP($S$576,'TAR FIN'!$A$1:$O$86,15,0))</f>
        <v>0</v>
      </c>
      <c r="W576" s="6">
        <f>IF(ISERROR(VLOOKUP($T$576,'TAR FIN'!$A$1:$O$86,15,0)),0,VLOOKUP($T$576,'TAR FIN'!$A$1:$O$86,15,0))</f>
        <v>324.5</v>
      </c>
      <c r="X576" s="6">
        <f>IF(ISERROR(VLOOKUP($U$576,'TAR FIN'!$A$1:$O$86,15,0)),0,VLOOKUP($U$576,'TAR FIN'!$A$1:$O$86,15,0))</f>
        <v>258.20999999999998</v>
      </c>
      <c r="Y576" s="6"/>
      <c r="Z576" s="6">
        <f ca="1">('TUSD BE'!$AM$21+'TUSD BF_350'!$AM$21+'TUSD CVA'!$AM$21)*1</f>
        <v>330.1561966420345</v>
      </c>
      <c r="AA576" s="6">
        <f ca="1">('TE BE'!$AB$11+'TE BF_350'!$AB$11+'TE CVA'!$AB$11)*1</f>
        <v>230.58259134858577</v>
      </c>
      <c r="AB576" s="6">
        <f>$K$576*$V$576</f>
        <v>0</v>
      </c>
      <c r="AC576" s="6">
        <f>$M$576*$W$576</f>
        <v>45590.952000000005</v>
      </c>
      <c r="AD576" s="6">
        <f>$O$576*$X$576</f>
        <v>36277.472159999998</v>
      </c>
      <c r="AE576" s="6">
        <f>$K$576*$Y$576</f>
        <v>0</v>
      </c>
      <c r="AF576" s="6">
        <f ca="1">$M$576*$Z$576</f>
        <v>46385.625003419285</v>
      </c>
      <c r="AG576" s="6">
        <f ca="1">$O$576*$AA$576</f>
        <v>32395.931754110909</v>
      </c>
    </row>
    <row r="577" spans="1:33" ht="11.25" customHeight="1" x14ac:dyDescent="0.25">
      <c r="A577" s="4" t="s">
        <v>56</v>
      </c>
      <c r="B577" s="4" t="s">
        <v>22</v>
      </c>
      <c r="C577" s="4" t="s">
        <v>23</v>
      </c>
      <c r="D577" s="4" t="s">
        <v>24</v>
      </c>
      <c r="E577" s="4" t="s">
        <v>24</v>
      </c>
      <c r="F577" s="4" t="s">
        <v>25</v>
      </c>
      <c r="G577" s="4" t="s">
        <v>25</v>
      </c>
      <c r="H577" s="4" t="s">
        <v>25</v>
      </c>
      <c r="I577" s="5">
        <v>44713</v>
      </c>
      <c r="J577" s="6">
        <v>0</v>
      </c>
      <c r="K577" s="6">
        <v>0</v>
      </c>
      <c r="L577" s="6">
        <v>4597.58</v>
      </c>
      <c r="M577" s="6">
        <v>4597.58</v>
      </c>
      <c r="N577" s="6">
        <v>4597.58</v>
      </c>
      <c r="O577" s="6">
        <v>4597.58</v>
      </c>
      <c r="P577" s="6">
        <v>28650</v>
      </c>
      <c r="Q577" s="4" t="s">
        <v>26</v>
      </c>
      <c r="R577" s="4">
        <v>0</v>
      </c>
      <c r="S577" s="6">
        <v>0</v>
      </c>
      <c r="T577" s="6">
        <v>27</v>
      </c>
      <c r="U577" s="6">
        <v>52</v>
      </c>
      <c r="V577" s="6">
        <f>IF(ISERROR(VLOOKUP($S$577,'TAR FIN'!$A$1:$O$86,15,0)),0,VLOOKUP($S$577,'TAR FIN'!$A$1:$O$86,15,0))</f>
        <v>0</v>
      </c>
      <c r="W577" s="6">
        <f>IF(ISERROR(VLOOKUP($T$577,'TAR FIN'!$A$1:$O$86,15,0)),0,VLOOKUP($T$577,'TAR FIN'!$A$1:$O$86,15,0))</f>
        <v>324.5</v>
      </c>
      <c r="X577" s="6">
        <f>IF(ISERROR(VLOOKUP($U$577,'TAR FIN'!$A$1:$O$86,15,0)),0,VLOOKUP($U$577,'TAR FIN'!$A$1:$O$86,15,0))</f>
        <v>258.20999999999998</v>
      </c>
      <c r="Y577" s="6"/>
      <c r="Z577" s="6">
        <f ca="1">('TUSD BE'!$AM$21+'TUSD BF_350'!$AM$21+'TUSD CVA'!$AM$21)*1</f>
        <v>330.1561966420345</v>
      </c>
      <c r="AA577" s="6">
        <f ca="1">('TE BE'!$AB$11+'TE BF_350'!$AB$11+'TE CVA'!$AB$11)*1</f>
        <v>230.58259134858577</v>
      </c>
      <c r="AB577" s="6">
        <f>$K$577*$V$577</f>
        <v>0</v>
      </c>
      <c r="AC577" s="6">
        <f>$M$577*$W$577</f>
        <v>1491914.71</v>
      </c>
      <c r="AD577" s="6">
        <f>$O$577*$X$577</f>
        <v>1187141.1317999999</v>
      </c>
      <c r="AE577" s="6">
        <f>$K$577*$Y$577</f>
        <v>0</v>
      </c>
      <c r="AF577" s="6">
        <f ca="1">$M$577*$Z$577</f>
        <v>1517919.5265574849</v>
      </c>
      <c r="AG577" s="6">
        <f ca="1">$O$577*$AA$577</f>
        <v>1060121.9103324309</v>
      </c>
    </row>
    <row r="578" spans="1:33" ht="11.25" customHeight="1" x14ac:dyDescent="0.25">
      <c r="A578" s="4" t="s">
        <v>56</v>
      </c>
      <c r="B578" s="4" t="s">
        <v>22</v>
      </c>
      <c r="C578" s="4" t="s">
        <v>23</v>
      </c>
      <c r="D578" s="4" t="s">
        <v>24</v>
      </c>
      <c r="E578" s="4" t="s">
        <v>24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-5.3929999999999998</v>
      </c>
      <c r="M578" s="6">
        <v>-5.3929999999999998</v>
      </c>
      <c r="N578" s="6">
        <v>-5.3929999999999998</v>
      </c>
      <c r="O578" s="6">
        <v>-5.3929999999999998</v>
      </c>
      <c r="P578" s="6">
        <v>0</v>
      </c>
      <c r="Q578" s="4" t="s">
        <v>26</v>
      </c>
      <c r="R578" s="4">
        <v>0</v>
      </c>
      <c r="S578" s="6">
        <v>0</v>
      </c>
      <c r="T578" s="6">
        <v>27</v>
      </c>
      <c r="U578" s="6">
        <v>52</v>
      </c>
      <c r="V578" s="6">
        <f>IF(ISERROR(VLOOKUP($S$578,'TAR FIN'!$A$1:$O$86,15,0)),0,VLOOKUP($S$578,'TAR FIN'!$A$1:$O$86,15,0))</f>
        <v>0</v>
      </c>
      <c r="W578" s="6">
        <f>IF(ISERROR(VLOOKUP($T$578,'TAR FIN'!$A$1:$O$86,15,0)),0,VLOOKUP($T$578,'TAR FIN'!$A$1:$O$86,15,0))</f>
        <v>324.5</v>
      </c>
      <c r="X578" s="6">
        <f>IF(ISERROR(VLOOKUP($U$578,'TAR FIN'!$A$1:$O$86,15,0)),0,VLOOKUP($U$578,'TAR FIN'!$A$1:$O$86,15,0))</f>
        <v>258.20999999999998</v>
      </c>
      <c r="Y578" s="6"/>
      <c r="Z578" s="6">
        <f ca="1">('TUSD BE'!$AM$21+'TUSD BF_350'!$AM$21+'TUSD CVA'!$AM$21)*1</f>
        <v>330.1561966420345</v>
      </c>
      <c r="AA578" s="6">
        <f ca="1">('TE BE'!$AB$11+'TE BF_350'!$AB$11+'TE CVA'!$AB$11)*1</f>
        <v>230.58259134858577</v>
      </c>
      <c r="AB578" s="6">
        <f>$K$578*$V$578</f>
        <v>0</v>
      </c>
      <c r="AC578" s="6">
        <f>$M$578*$W$578</f>
        <v>-1750.0284999999999</v>
      </c>
      <c r="AD578" s="6">
        <f>$O$578*$X$578</f>
        <v>-1392.5265299999999</v>
      </c>
      <c r="AE578" s="6">
        <f>$K$578*$Y$578</f>
        <v>0</v>
      </c>
      <c r="AF578" s="6">
        <f ca="1">$M$578*$Z$578</f>
        <v>-1780.532368490492</v>
      </c>
      <c r="AG578" s="6">
        <f ca="1">$O$578*$AA$578</f>
        <v>-1243.531915142923</v>
      </c>
    </row>
    <row r="579" spans="1:33" ht="11.25" customHeight="1" x14ac:dyDescent="0.25">
      <c r="A579" s="4" t="s">
        <v>56</v>
      </c>
      <c r="B579" s="4" t="s">
        <v>22</v>
      </c>
      <c r="C579" s="4" t="s">
        <v>23</v>
      </c>
      <c r="D579" s="4" t="s">
        <v>24</v>
      </c>
      <c r="E579" s="4" t="s">
        <v>24</v>
      </c>
      <c r="F579" s="4" t="s">
        <v>25</v>
      </c>
      <c r="G579" s="4" t="s">
        <v>25</v>
      </c>
      <c r="H579" s="4" t="s">
        <v>25</v>
      </c>
      <c r="I579" s="5">
        <v>44713</v>
      </c>
      <c r="J579" s="6">
        <v>0</v>
      </c>
      <c r="K579" s="6">
        <v>0</v>
      </c>
      <c r="L579" s="6">
        <v>140.49600000000001</v>
      </c>
      <c r="M579" s="6">
        <v>140.49600000000001</v>
      </c>
      <c r="N579" s="6">
        <v>140.49600000000001</v>
      </c>
      <c r="O579" s="6">
        <v>140.49600000000001</v>
      </c>
      <c r="P579" s="6">
        <v>1608</v>
      </c>
      <c r="Q579" s="4" t="s">
        <v>26</v>
      </c>
      <c r="R579" s="4">
        <v>0</v>
      </c>
      <c r="S579" s="6">
        <v>0</v>
      </c>
      <c r="T579" s="6">
        <v>27</v>
      </c>
      <c r="U579" s="6">
        <v>52</v>
      </c>
      <c r="V579" s="6">
        <f>IF(ISERROR(VLOOKUP($S$579,'TAR FIN'!$A$1:$O$86,15,0)),0,VLOOKUP($S$579,'TAR FIN'!$A$1:$O$86,15,0))</f>
        <v>0</v>
      </c>
      <c r="W579" s="6">
        <f>IF(ISERROR(VLOOKUP($T$579,'TAR FIN'!$A$1:$O$86,15,0)),0,VLOOKUP($T$579,'TAR FIN'!$A$1:$O$86,15,0))</f>
        <v>324.5</v>
      </c>
      <c r="X579" s="6">
        <f>IF(ISERROR(VLOOKUP($U$579,'TAR FIN'!$A$1:$O$86,15,0)),0,VLOOKUP($U$579,'TAR FIN'!$A$1:$O$86,15,0))</f>
        <v>258.20999999999998</v>
      </c>
      <c r="Y579" s="6"/>
      <c r="Z579" s="6">
        <f ca="1">('TUSD BE'!$AM$21+'TUSD BF_350'!$AM$21+'TUSD CVA'!$AM$21)*1</f>
        <v>330.1561966420345</v>
      </c>
      <c r="AA579" s="6">
        <f ca="1">('TE BE'!$AB$11+'TE BF_350'!$AB$11+'TE CVA'!$AB$11)*1</f>
        <v>230.58259134858577</v>
      </c>
      <c r="AB579" s="6">
        <f>$K$579*$V$579</f>
        <v>0</v>
      </c>
      <c r="AC579" s="6">
        <f>$M$579*$W$579</f>
        <v>45590.952000000005</v>
      </c>
      <c r="AD579" s="6">
        <f>$O$579*$X$579</f>
        <v>36277.472159999998</v>
      </c>
      <c r="AE579" s="6">
        <f>$K$579*$Y$579</f>
        <v>0</v>
      </c>
      <c r="AF579" s="6">
        <f ca="1">$M$579*$Z$579</f>
        <v>46385.625003419285</v>
      </c>
      <c r="AG579" s="6">
        <f ca="1">$O$579*$AA$579</f>
        <v>32395.931754110909</v>
      </c>
    </row>
    <row r="580" spans="1:33" ht="11.25" customHeight="1" x14ac:dyDescent="0.25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28</v>
      </c>
      <c r="F580" s="4" t="s">
        <v>25</v>
      </c>
      <c r="G580" s="4" t="s">
        <v>25</v>
      </c>
      <c r="H580" s="4" t="s">
        <v>25</v>
      </c>
      <c r="I580" s="5">
        <v>44378</v>
      </c>
      <c r="J580" s="6">
        <v>0</v>
      </c>
      <c r="K580" s="6">
        <v>0</v>
      </c>
      <c r="L580" s="6">
        <v>20.823</v>
      </c>
      <c r="M580" s="6">
        <v>20.823</v>
      </c>
      <c r="N580" s="6">
        <v>20.823</v>
      </c>
      <c r="O580" s="6">
        <v>20.823</v>
      </c>
      <c r="P580" s="6">
        <v>22</v>
      </c>
      <c r="Q580" s="4" t="s">
        <v>26</v>
      </c>
      <c r="R580" s="4">
        <v>0</v>
      </c>
      <c r="S580" s="6">
        <v>0</v>
      </c>
      <c r="T580" s="6">
        <v>8</v>
      </c>
      <c r="U580" s="6">
        <v>50</v>
      </c>
      <c r="V580" s="6">
        <f>IF(ISERROR(VLOOKUP($S$580,'TAR FIN'!$A$1:$O$86,15,0)),0,VLOOKUP($S$580,'TAR FIN'!$A$1:$O$86,15,0))</f>
        <v>0</v>
      </c>
      <c r="W580" s="6">
        <f>IF(ISERROR(VLOOKUP($T$580,'TAR FIN'!$A$1:$O$86,15,0)),0,VLOOKUP($T$580,'TAR FIN'!$A$1:$O$86,15,0))</f>
        <v>87.14</v>
      </c>
      <c r="X580" s="6">
        <f>IF(ISERROR(VLOOKUP($U$580,'TAR FIN'!$A$1:$O$86,15,0)),0,VLOOKUP($U$580,'TAR FIN'!$A$1:$O$86,15,0))</f>
        <v>90.37</v>
      </c>
      <c r="Y580" s="6"/>
      <c r="Z580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0" s="6">
        <f ca="1">('TE BE'!$AB$12+'TE BF_350'!$AB$12+'TE CVA'!$AB$12)*(1-CUSTOS!$M$34)</f>
        <v>80.703906972005015</v>
      </c>
      <c r="AB580" s="6">
        <f>$K$580*$V$580</f>
        <v>0</v>
      </c>
      <c r="AC580" s="6">
        <f>$M$580*$W$580</f>
        <v>1814.51622</v>
      </c>
      <c r="AD580" s="6">
        <f>$O$580*$X$580</f>
        <v>1881.7745100000002</v>
      </c>
      <c r="AE580" s="6">
        <f>$K$580*$Y$580</f>
        <v>0</v>
      </c>
      <c r="AF580" s="6">
        <f ca="1">$M$580*$Z$580</f>
        <v>1631.9126050847276</v>
      </c>
      <c r="AG580" s="6">
        <f ca="1">$O$580*$AA$580</f>
        <v>1680.4974548780604</v>
      </c>
    </row>
    <row r="581" spans="1:33" ht="11.25" customHeight="1" x14ac:dyDescent="0.25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28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6">
        <v>0</v>
      </c>
      <c r="L581" s="6">
        <v>20.88</v>
      </c>
      <c r="M581" s="6">
        <v>20.88</v>
      </c>
      <c r="N581" s="6">
        <v>20.88</v>
      </c>
      <c r="O581" s="6">
        <v>20.88</v>
      </c>
      <c r="P581" s="6">
        <v>19</v>
      </c>
      <c r="Q581" s="4" t="s">
        <v>26</v>
      </c>
      <c r="R581" s="4">
        <v>0</v>
      </c>
      <c r="S581" s="6">
        <v>0</v>
      </c>
      <c r="T581" s="6">
        <v>8</v>
      </c>
      <c r="U581" s="6">
        <v>50</v>
      </c>
      <c r="V581" s="6">
        <f>IF(ISERROR(VLOOKUP($S$581,'TAR FIN'!$A$1:$O$86,15,0)),0,VLOOKUP($S$581,'TAR FIN'!$A$1:$O$86,15,0))</f>
        <v>0</v>
      </c>
      <c r="W581" s="6">
        <f>IF(ISERROR(VLOOKUP($T$581,'TAR FIN'!$A$1:$O$86,15,0)),0,VLOOKUP($T$581,'TAR FIN'!$A$1:$O$86,15,0))</f>
        <v>87.14</v>
      </c>
      <c r="X581" s="6">
        <f>IF(ISERROR(VLOOKUP($U$581,'TAR FIN'!$A$1:$O$86,15,0)),0,VLOOKUP($U$581,'TAR FIN'!$A$1:$O$86,15,0))</f>
        <v>90.37</v>
      </c>
      <c r="Y581" s="6"/>
      <c r="Z581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1" s="6">
        <f ca="1">('TE BE'!$AB$12+'TE BF_350'!$AB$12+'TE CVA'!$AB$12)*(1-CUSTOS!$M$34)</f>
        <v>80.703906972005015</v>
      </c>
      <c r="AB581" s="6">
        <f>$K$581*$V$581</f>
        <v>0</v>
      </c>
      <c r="AC581" s="6">
        <f>$M$581*$W$581</f>
        <v>1819.4831999999999</v>
      </c>
      <c r="AD581" s="6">
        <f>$O$581*$X$581</f>
        <v>1886.9256</v>
      </c>
      <c r="AE581" s="6">
        <f>$K$581*$Y$581</f>
        <v>0</v>
      </c>
      <c r="AF581" s="6">
        <f ca="1">$M$581*$Z$581</f>
        <v>1636.3797336680166</v>
      </c>
      <c r="AG581" s="6">
        <f ca="1">$O$581*$AA$581</f>
        <v>1685.0975775754646</v>
      </c>
    </row>
    <row r="582" spans="1:33" ht="11.25" customHeight="1" x14ac:dyDescent="0.25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28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6">
        <v>0</v>
      </c>
      <c r="L582" s="6">
        <v>20.85</v>
      </c>
      <c r="M582" s="6">
        <v>20.85</v>
      </c>
      <c r="N582" s="6">
        <v>20.85</v>
      </c>
      <c r="O582" s="6">
        <v>20.85</v>
      </c>
      <c r="P582" s="6">
        <v>22</v>
      </c>
      <c r="Q582" s="4" t="s">
        <v>26</v>
      </c>
      <c r="R582" s="4">
        <v>0</v>
      </c>
      <c r="S582" s="6">
        <v>0</v>
      </c>
      <c r="T582" s="6">
        <v>8</v>
      </c>
      <c r="U582" s="6">
        <v>50</v>
      </c>
      <c r="V582" s="6">
        <f>IF(ISERROR(VLOOKUP($S$582,'TAR FIN'!$A$1:$O$86,15,0)),0,VLOOKUP($S$582,'TAR FIN'!$A$1:$O$86,15,0))</f>
        <v>0</v>
      </c>
      <c r="W582" s="6">
        <f>IF(ISERROR(VLOOKUP($T$582,'TAR FIN'!$A$1:$O$86,15,0)),0,VLOOKUP($T$582,'TAR FIN'!$A$1:$O$86,15,0))</f>
        <v>87.14</v>
      </c>
      <c r="X582" s="6">
        <f>IF(ISERROR(VLOOKUP($U$582,'TAR FIN'!$A$1:$O$86,15,0)),0,VLOOKUP($U$582,'TAR FIN'!$A$1:$O$86,15,0))</f>
        <v>90.37</v>
      </c>
      <c r="Y582" s="6"/>
      <c r="Z582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2" s="6">
        <f ca="1">('TE BE'!$AB$12+'TE BF_350'!$AB$12+'TE CVA'!$AB$12)*(1-CUSTOS!$M$34)</f>
        <v>80.703906972005015</v>
      </c>
      <c r="AB582" s="6">
        <f>$K$582*$V$582</f>
        <v>0</v>
      </c>
      <c r="AC582" s="6">
        <f>$M$582*$W$582</f>
        <v>1816.8690000000001</v>
      </c>
      <c r="AD582" s="6">
        <f>$O$582*$X$582</f>
        <v>1884.2145000000003</v>
      </c>
      <c r="AE582" s="6">
        <f>$K$582*$Y$582</f>
        <v>0</v>
      </c>
      <c r="AF582" s="6">
        <f ca="1">$M$582*$Z$582</f>
        <v>1634.0286133610225</v>
      </c>
      <c r="AG582" s="6">
        <f ca="1">$O$582*$AA$582</f>
        <v>1682.6764603663046</v>
      </c>
    </row>
    <row r="583" spans="1:33" ht="11.25" customHeight="1" x14ac:dyDescent="0.25">
      <c r="A583" s="4" t="s">
        <v>55</v>
      </c>
      <c r="B583" s="4" t="s">
        <v>22</v>
      </c>
      <c r="C583" s="4" t="s">
        <v>23</v>
      </c>
      <c r="D583" s="4" t="s">
        <v>24</v>
      </c>
      <c r="E583" s="4" t="s">
        <v>28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0</v>
      </c>
      <c r="K583" s="6">
        <v>0</v>
      </c>
      <c r="L583" s="6">
        <v>2.3E-2</v>
      </c>
      <c r="M583" s="6">
        <v>8.0499999999999999E-3</v>
      </c>
      <c r="N583" s="6">
        <v>2.3E-2</v>
      </c>
      <c r="O583" s="6">
        <v>8.0499999999999999E-3</v>
      </c>
      <c r="P583" s="6">
        <v>0</v>
      </c>
      <c r="Q583" s="4" t="s">
        <v>26</v>
      </c>
      <c r="R583" s="4">
        <v>0</v>
      </c>
      <c r="S583" s="6">
        <v>0</v>
      </c>
      <c r="T583" s="6">
        <v>8</v>
      </c>
      <c r="U583" s="6">
        <v>50</v>
      </c>
      <c r="V583" s="6">
        <f>IF(ISERROR(VLOOKUP($S$583,'TAR FIN'!$A$1:$O$86,15,0)),0,VLOOKUP($S$583,'TAR FIN'!$A$1:$O$86,15,0))</f>
        <v>0</v>
      </c>
      <c r="W583" s="6">
        <f>IF(ISERROR(VLOOKUP($T$583,'TAR FIN'!$A$1:$O$86,15,0)),0,VLOOKUP($T$583,'TAR FIN'!$A$1:$O$86,15,0))</f>
        <v>87.14</v>
      </c>
      <c r="X583" s="6">
        <f>IF(ISERROR(VLOOKUP($U$583,'TAR FIN'!$A$1:$O$86,15,0)),0,VLOOKUP($U$583,'TAR FIN'!$A$1:$O$86,15,0))</f>
        <v>90.37</v>
      </c>
      <c r="Y583" s="6"/>
      <c r="Z583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3" s="6">
        <f ca="1">('TE BE'!$AB$12+'TE BF_350'!$AB$12+'TE CVA'!$AB$12)*(1-CUSTOS!$M$34)</f>
        <v>80.703906972005015</v>
      </c>
      <c r="AB583" s="6">
        <f>$K$583*$V$583</f>
        <v>0</v>
      </c>
      <c r="AC583" s="6">
        <f>$M$583*$W$583</f>
        <v>0.70147700000000002</v>
      </c>
      <c r="AD583" s="6">
        <f>$O$583*$X$583</f>
        <v>0.72747850000000003</v>
      </c>
      <c r="AE583" s="6">
        <f>$K$583*$Y$583</f>
        <v>0</v>
      </c>
      <c r="AF583" s="6">
        <f ca="1">$M$583*$Z$583</f>
        <v>0.63088394904346423</v>
      </c>
      <c r="AG583" s="6">
        <f ca="1">$O$583*$AA$583</f>
        <v>0.64966645112464039</v>
      </c>
    </row>
    <row r="584" spans="1:33" ht="11.25" customHeight="1" x14ac:dyDescent="0.25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28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21.12</v>
      </c>
      <c r="M584" s="6">
        <v>21.12</v>
      </c>
      <c r="N584" s="6">
        <v>21.12</v>
      </c>
      <c r="O584" s="6">
        <v>21.12</v>
      </c>
      <c r="P584" s="6">
        <v>18</v>
      </c>
      <c r="Q584" s="4" t="s">
        <v>26</v>
      </c>
      <c r="R584" s="4">
        <v>0</v>
      </c>
      <c r="S584" s="6">
        <v>0</v>
      </c>
      <c r="T584" s="6">
        <v>8</v>
      </c>
      <c r="U584" s="6">
        <v>50</v>
      </c>
      <c r="V584" s="6">
        <f>IF(ISERROR(VLOOKUP($S$584,'TAR FIN'!$A$1:$O$86,15,0)),0,VLOOKUP($S$584,'TAR FIN'!$A$1:$O$86,15,0))</f>
        <v>0</v>
      </c>
      <c r="W584" s="6">
        <f>IF(ISERROR(VLOOKUP($T$584,'TAR FIN'!$A$1:$O$86,15,0)),0,VLOOKUP($T$584,'TAR FIN'!$A$1:$O$86,15,0))</f>
        <v>87.14</v>
      </c>
      <c r="X584" s="6">
        <f>IF(ISERROR(VLOOKUP($U$584,'TAR FIN'!$A$1:$O$86,15,0)),0,VLOOKUP($U$584,'TAR FIN'!$A$1:$O$86,15,0))</f>
        <v>90.37</v>
      </c>
      <c r="Y584" s="6"/>
      <c r="Z584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4" s="6">
        <f ca="1">('TE BE'!$AB$12+'TE BF_350'!$AB$12+'TE CVA'!$AB$12)*(1-CUSTOS!$M$34)</f>
        <v>80.703906972005015</v>
      </c>
      <c r="AB584" s="6">
        <f>$K$584*$V$584</f>
        <v>0</v>
      </c>
      <c r="AC584" s="6">
        <f>$M$584*$W$584</f>
        <v>1840.3968000000002</v>
      </c>
      <c r="AD584" s="6">
        <f>$O$584*$X$584</f>
        <v>1908.6144000000002</v>
      </c>
      <c r="AE584" s="6">
        <f>$K$584*$Y$584</f>
        <v>0</v>
      </c>
      <c r="AF584" s="6">
        <f ca="1">$M$584*$Z$584</f>
        <v>1655.1886961239709</v>
      </c>
      <c r="AG584" s="6">
        <f ca="1">$O$584*$AA$584</f>
        <v>1704.466515248746</v>
      </c>
    </row>
    <row r="585" spans="1:33" ht="11.25" customHeight="1" x14ac:dyDescent="0.25">
      <c r="A585" s="4" t="s">
        <v>21</v>
      </c>
      <c r="B585" s="4" t="s">
        <v>22</v>
      </c>
      <c r="C585" s="4" t="s">
        <v>23</v>
      </c>
      <c r="D585" s="4" t="s">
        <v>24</v>
      </c>
      <c r="E585" s="4" t="s">
        <v>28</v>
      </c>
      <c r="F585" s="4" t="s">
        <v>25</v>
      </c>
      <c r="G585" s="4" t="s">
        <v>25</v>
      </c>
      <c r="H585" s="4" t="s">
        <v>25</v>
      </c>
      <c r="I585" s="5">
        <v>44501</v>
      </c>
      <c r="J585" s="6">
        <v>0</v>
      </c>
      <c r="K585" s="6">
        <v>0</v>
      </c>
      <c r="L585" s="6">
        <v>21.367000000000001</v>
      </c>
      <c r="M585" s="6">
        <v>21.367000000000001</v>
      </c>
      <c r="N585" s="6">
        <v>21.367000000000001</v>
      </c>
      <c r="O585" s="6">
        <v>21.367000000000001</v>
      </c>
      <c r="P585" s="6">
        <v>21</v>
      </c>
      <c r="Q585" s="4" t="s">
        <v>26</v>
      </c>
      <c r="R585" s="4">
        <v>0</v>
      </c>
      <c r="S585" s="6">
        <v>0</v>
      </c>
      <c r="T585" s="6">
        <v>8</v>
      </c>
      <c r="U585" s="6">
        <v>50</v>
      </c>
      <c r="V585" s="6">
        <f>IF(ISERROR(VLOOKUP($S$585,'TAR FIN'!$A$1:$O$86,15,0)),0,VLOOKUP($S$585,'TAR FIN'!$A$1:$O$86,15,0))</f>
        <v>0</v>
      </c>
      <c r="W585" s="6">
        <f>IF(ISERROR(VLOOKUP($T$585,'TAR FIN'!$A$1:$O$86,15,0)),0,VLOOKUP($T$585,'TAR FIN'!$A$1:$O$86,15,0))</f>
        <v>87.14</v>
      </c>
      <c r="X585" s="6">
        <f>IF(ISERROR(VLOOKUP($U$585,'TAR FIN'!$A$1:$O$86,15,0)),0,VLOOKUP($U$585,'TAR FIN'!$A$1:$O$86,15,0))</f>
        <v>90.37</v>
      </c>
      <c r="Y585" s="6"/>
      <c r="Z585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5" s="6">
        <f ca="1">('TE BE'!$AB$12+'TE BF_350'!$AB$12+'TE CVA'!$AB$12)*(1-CUSTOS!$M$34)</f>
        <v>80.703906972005015</v>
      </c>
      <c r="AB585" s="6">
        <f>$K$585*$V$585</f>
        <v>0</v>
      </c>
      <c r="AC585" s="6">
        <f>$M$585*$W$585</f>
        <v>1861.92038</v>
      </c>
      <c r="AD585" s="6">
        <f>$O$585*$X$585</f>
        <v>1930.9357900000002</v>
      </c>
      <c r="AE585" s="6">
        <f>$K$585*$Y$585</f>
        <v>0</v>
      </c>
      <c r="AF585" s="6">
        <f ca="1">$M$585*$Z$585</f>
        <v>1674.5462533182238</v>
      </c>
      <c r="AG585" s="6">
        <f ca="1">$O$585*$AA$585</f>
        <v>1724.4003802708312</v>
      </c>
    </row>
    <row r="586" spans="1:33" ht="11.25" customHeight="1" x14ac:dyDescent="0.25">
      <c r="A586" s="4" t="s">
        <v>55</v>
      </c>
      <c r="B586" s="4" t="s">
        <v>22</v>
      </c>
      <c r="C586" s="4" t="s">
        <v>23</v>
      </c>
      <c r="D586" s="4" t="s">
        <v>24</v>
      </c>
      <c r="E586" s="4" t="s">
        <v>28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0.03</v>
      </c>
      <c r="M586" s="6">
        <v>1.0500000000000001E-2</v>
      </c>
      <c r="N586" s="6">
        <v>0.03</v>
      </c>
      <c r="O586" s="6">
        <v>1.0500000000000001E-2</v>
      </c>
      <c r="P586" s="6">
        <v>0</v>
      </c>
      <c r="Q586" s="4" t="s">
        <v>26</v>
      </c>
      <c r="R586" s="4">
        <v>0</v>
      </c>
      <c r="S586" s="6">
        <v>0</v>
      </c>
      <c r="T586" s="6">
        <v>8</v>
      </c>
      <c r="U586" s="6">
        <v>50</v>
      </c>
      <c r="V586" s="6">
        <f>IF(ISERROR(VLOOKUP($S$586,'TAR FIN'!$A$1:$O$86,15,0)),0,VLOOKUP($S$586,'TAR FIN'!$A$1:$O$86,15,0))</f>
        <v>0</v>
      </c>
      <c r="W586" s="6">
        <f>IF(ISERROR(VLOOKUP($T$586,'TAR FIN'!$A$1:$O$86,15,0)),0,VLOOKUP($T$586,'TAR FIN'!$A$1:$O$86,15,0))</f>
        <v>87.14</v>
      </c>
      <c r="X586" s="6">
        <f>IF(ISERROR(VLOOKUP($U$586,'TAR FIN'!$A$1:$O$86,15,0)),0,VLOOKUP($U$586,'TAR FIN'!$A$1:$O$86,15,0))</f>
        <v>90.37</v>
      </c>
      <c r="Y586" s="6"/>
      <c r="Z586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6" s="6">
        <f ca="1">('TE BE'!$AB$12+'TE BF_350'!$AB$12+'TE CVA'!$AB$12)*(1-CUSTOS!$M$34)</f>
        <v>80.703906972005015</v>
      </c>
      <c r="AB586" s="6">
        <f>$K$586*$V$586</f>
        <v>0</v>
      </c>
      <c r="AC586" s="6">
        <f>$M$586*$W$586</f>
        <v>0.91497000000000006</v>
      </c>
      <c r="AD586" s="6">
        <f>$O$586*$X$586</f>
        <v>0.94888500000000009</v>
      </c>
      <c r="AE586" s="6">
        <f>$K$586*$Y$586</f>
        <v>0</v>
      </c>
      <c r="AF586" s="6">
        <f ca="1">$M$586*$Z$586</f>
        <v>0.8228921074479969</v>
      </c>
      <c r="AG586" s="6">
        <f ca="1">$O$586*$AA$586</f>
        <v>0.84739102320605275</v>
      </c>
    </row>
    <row r="587" spans="1:33" ht="11.25" customHeight="1" x14ac:dyDescent="0.25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28</v>
      </c>
      <c r="F587" s="4" t="s">
        <v>25</v>
      </c>
      <c r="G587" s="4" t="s">
        <v>25</v>
      </c>
      <c r="H587" s="4" t="s">
        <v>25</v>
      </c>
      <c r="I587" s="5">
        <v>44531</v>
      </c>
      <c r="J587" s="6">
        <v>0</v>
      </c>
      <c r="K587" s="6">
        <v>0</v>
      </c>
      <c r="L587" s="6">
        <v>21.33</v>
      </c>
      <c r="M587" s="6">
        <v>21.33</v>
      </c>
      <c r="N587" s="6">
        <v>21.33</v>
      </c>
      <c r="O587" s="6">
        <v>21.33</v>
      </c>
      <c r="P587" s="6">
        <v>15</v>
      </c>
      <c r="Q587" s="4" t="s">
        <v>26</v>
      </c>
      <c r="R587" s="4">
        <v>0</v>
      </c>
      <c r="S587" s="6">
        <v>0</v>
      </c>
      <c r="T587" s="6">
        <v>8</v>
      </c>
      <c r="U587" s="6">
        <v>50</v>
      </c>
      <c r="V587" s="6">
        <f>IF(ISERROR(VLOOKUP($S$587,'TAR FIN'!$A$1:$O$86,15,0)),0,VLOOKUP($S$587,'TAR FIN'!$A$1:$O$86,15,0))</f>
        <v>0</v>
      </c>
      <c r="W587" s="6">
        <f>IF(ISERROR(VLOOKUP($T$587,'TAR FIN'!$A$1:$O$86,15,0)),0,VLOOKUP($T$587,'TAR FIN'!$A$1:$O$86,15,0))</f>
        <v>87.14</v>
      </c>
      <c r="X587" s="6">
        <f>IF(ISERROR(VLOOKUP($U$587,'TAR FIN'!$A$1:$O$86,15,0)),0,VLOOKUP($U$587,'TAR FIN'!$A$1:$O$86,15,0))</f>
        <v>90.37</v>
      </c>
      <c r="Y587" s="6"/>
      <c r="Z587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7" s="6">
        <f ca="1">('TE BE'!$AB$12+'TE BF_350'!$AB$12+'TE CVA'!$AB$12)*(1-CUSTOS!$M$34)</f>
        <v>80.703906972005015</v>
      </c>
      <c r="AB587" s="6">
        <f>$K$587*$V$587</f>
        <v>0</v>
      </c>
      <c r="AC587" s="6">
        <f>$M$587*$W$587</f>
        <v>1858.6961999999999</v>
      </c>
      <c r="AD587" s="6">
        <f>$O$587*$X$587</f>
        <v>1927.5920999999998</v>
      </c>
      <c r="AE587" s="6">
        <f>$K$587*$Y$587</f>
        <v>0</v>
      </c>
      <c r="AF587" s="6">
        <f ca="1">$M$587*$Z$587</f>
        <v>1671.6465382729307</v>
      </c>
      <c r="AG587" s="6">
        <f ca="1">$O$587*$AA$587</f>
        <v>1721.4143357128669</v>
      </c>
    </row>
    <row r="588" spans="1:33" ht="11.25" customHeight="1" x14ac:dyDescent="0.25">
      <c r="A588" s="4" t="s">
        <v>55</v>
      </c>
      <c r="B588" s="4" t="s">
        <v>22</v>
      </c>
      <c r="C588" s="4" t="s">
        <v>23</v>
      </c>
      <c r="D588" s="4" t="s">
        <v>24</v>
      </c>
      <c r="E588" s="4" t="s">
        <v>28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1.7000000000000001E-2</v>
      </c>
      <c r="M588" s="6">
        <v>5.9500000000000004E-3</v>
      </c>
      <c r="N588" s="6">
        <v>1.7000000000000001E-2</v>
      </c>
      <c r="O588" s="6">
        <v>5.9500000000000004E-3</v>
      </c>
      <c r="P588" s="6">
        <v>0</v>
      </c>
      <c r="Q588" s="4" t="s">
        <v>26</v>
      </c>
      <c r="R588" s="4">
        <v>0</v>
      </c>
      <c r="S588" s="6">
        <v>0</v>
      </c>
      <c r="T588" s="6">
        <v>8</v>
      </c>
      <c r="U588" s="6">
        <v>50</v>
      </c>
      <c r="V588" s="6">
        <f>IF(ISERROR(VLOOKUP($S$588,'TAR FIN'!$A$1:$O$86,15,0)),0,VLOOKUP($S$588,'TAR FIN'!$A$1:$O$86,15,0))</f>
        <v>0</v>
      </c>
      <c r="W588" s="6">
        <f>IF(ISERROR(VLOOKUP($T$588,'TAR FIN'!$A$1:$O$86,15,0)),0,VLOOKUP($T$588,'TAR FIN'!$A$1:$O$86,15,0))</f>
        <v>87.14</v>
      </c>
      <c r="X588" s="6">
        <f>IF(ISERROR(VLOOKUP($U$588,'TAR FIN'!$A$1:$O$86,15,0)),0,VLOOKUP($U$588,'TAR FIN'!$A$1:$O$86,15,0))</f>
        <v>90.37</v>
      </c>
      <c r="Y588" s="6"/>
      <c r="Z588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8" s="6">
        <f ca="1">('TE BE'!$AB$12+'TE BF_350'!$AB$12+'TE CVA'!$AB$12)*(1-CUSTOS!$M$34)</f>
        <v>80.703906972005015</v>
      </c>
      <c r="AB588" s="6">
        <f>$K$588*$V$588</f>
        <v>0</v>
      </c>
      <c r="AC588" s="6">
        <f>$M$588*$W$588</f>
        <v>0.51848300000000003</v>
      </c>
      <c r="AD588" s="6">
        <f>$O$588*$X$588</f>
        <v>0.53770150000000005</v>
      </c>
      <c r="AE588" s="6">
        <f>$K$588*$Y$588</f>
        <v>0</v>
      </c>
      <c r="AF588" s="6">
        <f ca="1">$M$588*$Z$588</f>
        <v>0.46630552755386495</v>
      </c>
      <c r="AG588" s="6">
        <f ca="1">$O$588*$AA$588</f>
        <v>0.48018824648342989</v>
      </c>
    </row>
    <row r="589" spans="1:33" ht="11.25" customHeight="1" x14ac:dyDescent="0.25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28</v>
      </c>
      <c r="F589" s="4" t="s">
        <v>25</v>
      </c>
      <c r="G589" s="4" t="s">
        <v>25</v>
      </c>
      <c r="H589" s="4" t="s">
        <v>25</v>
      </c>
      <c r="I589" s="5">
        <v>44562</v>
      </c>
      <c r="J589" s="6">
        <v>0</v>
      </c>
      <c r="K589" s="6">
        <v>0</v>
      </c>
      <c r="L589" s="6">
        <v>21.36</v>
      </c>
      <c r="M589" s="6">
        <v>21.36</v>
      </c>
      <c r="N589" s="6">
        <v>21.36</v>
      </c>
      <c r="O589" s="6">
        <v>21.36</v>
      </c>
      <c r="P589" s="6">
        <v>15</v>
      </c>
      <c r="Q589" s="4" t="s">
        <v>26</v>
      </c>
      <c r="R589" s="4">
        <v>0</v>
      </c>
      <c r="S589" s="6">
        <v>0</v>
      </c>
      <c r="T589" s="6">
        <v>8</v>
      </c>
      <c r="U589" s="6">
        <v>50</v>
      </c>
      <c r="V589" s="6">
        <f>IF(ISERROR(VLOOKUP($S$589,'TAR FIN'!$A$1:$O$86,15,0)),0,VLOOKUP($S$589,'TAR FIN'!$A$1:$O$86,15,0))</f>
        <v>0</v>
      </c>
      <c r="W589" s="6">
        <f>IF(ISERROR(VLOOKUP($T$589,'TAR FIN'!$A$1:$O$86,15,0)),0,VLOOKUP($T$589,'TAR FIN'!$A$1:$O$86,15,0))</f>
        <v>87.14</v>
      </c>
      <c r="X589" s="6">
        <f>IF(ISERROR(VLOOKUP($U$589,'TAR FIN'!$A$1:$O$86,15,0)),0,VLOOKUP($U$589,'TAR FIN'!$A$1:$O$86,15,0))</f>
        <v>90.37</v>
      </c>
      <c r="Y589" s="6"/>
      <c r="Z589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89" s="6">
        <f ca="1">('TE BE'!$AB$12+'TE BF_350'!$AB$12+'TE CVA'!$AB$12)*(1-CUSTOS!$M$34)</f>
        <v>80.703906972005015</v>
      </c>
      <c r="AB589" s="6">
        <f>$K$589*$V$589</f>
        <v>0</v>
      </c>
      <c r="AC589" s="6">
        <f>$M$589*$W$589</f>
        <v>1861.3104000000001</v>
      </c>
      <c r="AD589" s="6">
        <f>$O$589*$X$589</f>
        <v>1930.3032000000001</v>
      </c>
      <c r="AE589" s="6">
        <f>$K$589*$Y$589</f>
        <v>0</v>
      </c>
      <c r="AF589" s="6">
        <f ca="1">$M$589*$Z$589</f>
        <v>1673.997658579925</v>
      </c>
      <c r="AG589" s="6">
        <f ca="1">$O$589*$AA$589</f>
        <v>1723.8354529220271</v>
      </c>
    </row>
    <row r="590" spans="1:33" ht="11.25" customHeight="1" x14ac:dyDescent="0.25">
      <c r="A590" s="4" t="s">
        <v>55</v>
      </c>
      <c r="B590" s="4" t="s">
        <v>22</v>
      </c>
      <c r="C590" s="4" t="s">
        <v>23</v>
      </c>
      <c r="D590" s="4" t="s">
        <v>24</v>
      </c>
      <c r="E590" s="4" t="s">
        <v>28</v>
      </c>
      <c r="F590" s="4" t="s">
        <v>25</v>
      </c>
      <c r="G590" s="4" t="s">
        <v>25</v>
      </c>
      <c r="H590" s="4" t="s">
        <v>25</v>
      </c>
      <c r="I590" s="5">
        <v>44562</v>
      </c>
      <c r="J590" s="6">
        <v>0</v>
      </c>
      <c r="K590" s="6">
        <v>0</v>
      </c>
      <c r="L590" s="6">
        <v>0.03</v>
      </c>
      <c r="M590" s="6">
        <v>1.0500000000000001E-2</v>
      </c>
      <c r="N590" s="6">
        <v>0.03</v>
      </c>
      <c r="O590" s="6">
        <v>1.0500000000000001E-2</v>
      </c>
      <c r="P590" s="6">
        <v>0</v>
      </c>
      <c r="Q590" s="4" t="s">
        <v>26</v>
      </c>
      <c r="R590" s="4">
        <v>0</v>
      </c>
      <c r="S590" s="6">
        <v>0</v>
      </c>
      <c r="T590" s="6">
        <v>8</v>
      </c>
      <c r="U590" s="6">
        <v>50</v>
      </c>
      <c r="V590" s="6">
        <f>IF(ISERROR(VLOOKUP($S$590,'TAR FIN'!$A$1:$O$86,15,0)),0,VLOOKUP($S$590,'TAR FIN'!$A$1:$O$86,15,0))</f>
        <v>0</v>
      </c>
      <c r="W590" s="6">
        <f>IF(ISERROR(VLOOKUP($T$590,'TAR FIN'!$A$1:$O$86,15,0)),0,VLOOKUP($T$590,'TAR FIN'!$A$1:$O$86,15,0))</f>
        <v>87.14</v>
      </c>
      <c r="X590" s="6">
        <f>IF(ISERROR(VLOOKUP($U$590,'TAR FIN'!$A$1:$O$86,15,0)),0,VLOOKUP($U$590,'TAR FIN'!$A$1:$O$86,15,0))</f>
        <v>90.37</v>
      </c>
      <c r="Y590" s="6"/>
      <c r="Z590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0" s="6">
        <f ca="1">('TE BE'!$AB$12+'TE BF_350'!$AB$12+'TE CVA'!$AB$12)*(1-CUSTOS!$M$34)</f>
        <v>80.703906972005015</v>
      </c>
      <c r="AB590" s="6">
        <f>$K$590*$V$590</f>
        <v>0</v>
      </c>
      <c r="AC590" s="6">
        <f>$M$590*$W$590</f>
        <v>0.91497000000000006</v>
      </c>
      <c r="AD590" s="6">
        <f>$O$590*$X$590</f>
        <v>0.94888500000000009</v>
      </c>
      <c r="AE590" s="6">
        <f>$K$590*$Y$590</f>
        <v>0</v>
      </c>
      <c r="AF590" s="6">
        <f ca="1">$M$590*$Z$590</f>
        <v>0.8228921074479969</v>
      </c>
      <c r="AG590" s="6">
        <f ca="1">$O$590*$AA$590</f>
        <v>0.84739102320605275</v>
      </c>
    </row>
    <row r="591" spans="1:33" ht="11.25" customHeight="1" x14ac:dyDescent="0.25">
      <c r="A591" s="4" t="s">
        <v>21</v>
      </c>
      <c r="B591" s="4" t="s">
        <v>22</v>
      </c>
      <c r="C591" s="4" t="s">
        <v>23</v>
      </c>
      <c r="D591" s="4" t="s">
        <v>24</v>
      </c>
      <c r="E591" s="4" t="s">
        <v>28</v>
      </c>
      <c r="F591" s="4" t="s">
        <v>25</v>
      </c>
      <c r="G591" s="4" t="s">
        <v>25</v>
      </c>
      <c r="H591" s="4" t="s">
        <v>25</v>
      </c>
      <c r="I591" s="5">
        <v>44593</v>
      </c>
      <c r="J591" s="6">
        <v>0</v>
      </c>
      <c r="K591" s="6">
        <v>0</v>
      </c>
      <c r="L591" s="6">
        <v>21.393000000000001</v>
      </c>
      <c r="M591" s="6">
        <v>21.393000000000001</v>
      </c>
      <c r="N591" s="6">
        <v>21.393000000000001</v>
      </c>
      <c r="O591" s="6">
        <v>21.393000000000001</v>
      </c>
      <c r="P591" s="6">
        <v>15</v>
      </c>
      <c r="Q591" s="4" t="s">
        <v>26</v>
      </c>
      <c r="R591" s="4">
        <v>0</v>
      </c>
      <c r="S591" s="6">
        <v>0</v>
      </c>
      <c r="T591" s="6">
        <v>8</v>
      </c>
      <c r="U591" s="6">
        <v>50</v>
      </c>
      <c r="V591" s="6">
        <f>IF(ISERROR(VLOOKUP($S$591,'TAR FIN'!$A$1:$O$86,15,0)),0,VLOOKUP($S$591,'TAR FIN'!$A$1:$O$86,15,0))</f>
        <v>0</v>
      </c>
      <c r="W591" s="6">
        <f>IF(ISERROR(VLOOKUP($T$591,'TAR FIN'!$A$1:$O$86,15,0)),0,VLOOKUP($T$591,'TAR FIN'!$A$1:$O$86,15,0))</f>
        <v>87.14</v>
      </c>
      <c r="X591" s="6">
        <f>IF(ISERROR(VLOOKUP($U$591,'TAR FIN'!$A$1:$O$86,15,0)),0,VLOOKUP($U$591,'TAR FIN'!$A$1:$O$86,15,0))</f>
        <v>90.37</v>
      </c>
      <c r="Y591" s="6"/>
      <c r="Z591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1" s="6">
        <f ca="1">('TE BE'!$AB$12+'TE BF_350'!$AB$12+'TE CVA'!$AB$12)*(1-CUSTOS!$M$34)</f>
        <v>80.703906972005015</v>
      </c>
      <c r="AB591" s="6">
        <f>$K$591*$V$591</f>
        <v>0</v>
      </c>
      <c r="AC591" s="6">
        <f>$M$591*$W$591</f>
        <v>1864.1860200000001</v>
      </c>
      <c r="AD591" s="6">
        <f>$O$591*$X$591</f>
        <v>1933.2854100000002</v>
      </c>
      <c r="AE591" s="6">
        <f>$K$591*$Y$591</f>
        <v>0</v>
      </c>
      <c r="AF591" s="6">
        <f ca="1">$M$591*$Z$591</f>
        <v>1676.5838909176189</v>
      </c>
      <c r="AG591" s="6">
        <f ca="1">$O$591*$AA$591</f>
        <v>1726.4986818521033</v>
      </c>
    </row>
    <row r="592" spans="1:33" ht="11.25" customHeight="1" x14ac:dyDescent="0.25">
      <c r="A592" s="4" t="s">
        <v>55</v>
      </c>
      <c r="B592" s="4" t="s">
        <v>22</v>
      </c>
      <c r="C592" s="4" t="s">
        <v>23</v>
      </c>
      <c r="D592" s="4" t="s">
        <v>24</v>
      </c>
      <c r="E592" s="4" t="s">
        <v>28</v>
      </c>
      <c r="F592" s="4" t="s">
        <v>25</v>
      </c>
      <c r="G592" s="4" t="s">
        <v>25</v>
      </c>
      <c r="H592" s="4" t="s">
        <v>25</v>
      </c>
      <c r="I592" s="5">
        <v>44593</v>
      </c>
      <c r="J592" s="6">
        <v>0</v>
      </c>
      <c r="K592" s="6">
        <v>0</v>
      </c>
      <c r="L592" s="6">
        <v>0.03</v>
      </c>
      <c r="M592" s="6">
        <v>1.0500000000000001E-2</v>
      </c>
      <c r="N592" s="6">
        <v>0.03</v>
      </c>
      <c r="O592" s="6">
        <v>1.0500000000000001E-2</v>
      </c>
      <c r="P592" s="6">
        <v>0</v>
      </c>
      <c r="Q592" s="4" t="s">
        <v>26</v>
      </c>
      <c r="R592" s="4">
        <v>0</v>
      </c>
      <c r="S592" s="6">
        <v>0</v>
      </c>
      <c r="T592" s="6">
        <v>8</v>
      </c>
      <c r="U592" s="6">
        <v>50</v>
      </c>
      <c r="V592" s="6">
        <f>IF(ISERROR(VLOOKUP($S$592,'TAR FIN'!$A$1:$O$86,15,0)),0,VLOOKUP($S$592,'TAR FIN'!$A$1:$O$86,15,0))</f>
        <v>0</v>
      </c>
      <c r="W592" s="6">
        <f>IF(ISERROR(VLOOKUP($T$592,'TAR FIN'!$A$1:$O$86,15,0)),0,VLOOKUP($T$592,'TAR FIN'!$A$1:$O$86,15,0))</f>
        <v>87.14</v>
      </c>
      <c r="X592" s="6">
        <f>IF(ISERROR(VLOOKUP($U$592,'TAR FIN'!$A$1:$O$86,15,0)),0,VLOOKUP($U$592,'TAR FIN'!$A$1:$O$86,15,0))</f>
        <v>90.37</v>
      </c>
      <c r="Y592" s="6"/>
      <c r="Z592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2" s="6">
        <f ca="1">('TE BE'!$AB$12+'TE BF_350'!$AB$12+'TE CVA'!$AB$12)*(1-CUSTOS!$M$34)</f>
        <v>80.703906972005015</v>
      </c>
      <c r="AB592" s="6">
        <f>$K$592*$V$592</f>
        <v>0</v>
      </c>
      <c r="AC592" s="6">
        <f>$M$592*$W$592</f>
        <v>0.91497000000000006</v>
      </c>
      <c r="AD592" s="6">
        <f>$O$592*$X$592</f>
        <v>0.94888500000000009</v>
      </c>
      <c r="AE592" s="6">
        <f>$K$592*$Y$592</f>
        <v>0</v>
      </c>
      <c r="AF592" s="6">
        <f ca="1">$M$592*$Z$592</f>
        <v>0.8228921074479969</v>
      </c>
      <c r="AG592" s="6">
        <f ca="1">$O$592*$AA$592</f>
        <v>0.84739102320605275</v>
      </c>
    </row>
    <row r="593" spans="1:33" ht="11.25" customHeight="1" x14ac:dyDescent="0.25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28</v>
      </c>
      <c r="F593" s="4" t="s">
        <v>25</v>
      </c>
      <c r="G593" s="4" t="s">
        <v>25</v>
      </c>
      <c r="H593" s="4" t="s">
        <v>25</v>
      </c>
      <c r="I593" s="5">
        <v>44621</v>
      </c>
      <c r="J593" s="6">
        <v>0</v>
      </c>
      <c r="K593" s="6">
        <v>0</v>
      </c>
      <c r="L593" s="6">
        <v>21.81</v>
      </c>
      <c r="M593" s="6">
        <v>21.81</v>
      </c>
      <c r="N593" s="6">
        <v>21.81</v>
      </c>
      <c r="O593" s="6">
        <v>21.81</v>
      </c>
      <c r="P593" s="6">
        <v>27</v>
      </c>
      <c r="Q593" s="4" t="s">
        <v>26</v>
      </c>
      <c r="R593" s="4">
        <v>0</v>
      </c>
      <c r="S593" s="6">
        <v>0</v>
      </c>
      <c r="T593" s="6">
        <v>8</v>
      </c>
      <c r="U593" s="6">
        <v>50</v>
      </c>
      <c r="V593" s="6">
        <f>IF(ISERROR(VLOOKUP($S$593,'TAR FIN'!$A$1:$O$86,15,0)),0,VLOOKUP($S$593,'TAR FIN'!$A$1:$O$86,15,0))</f>
        <v>0</v>
      </c>
      <c r="W593" s="6">
        <f>IF(ISERROR(VLOOKUP($T$593,'TAR FIN'!$A$1:$O$86,15,0)),0,VLOOKUP($T$593,'TAR FIN'!$A$1:$O$86,15,0))</f>
        <v>87.14</v>
      </c>
      <c r="X593" s="6">
        <f>IF(ISERROR(VLOOKUP($U$593,'TAR FIN'!$A$1:$O$86,15,0)),0,VLOOKUP($U$593,'TAR FIN'!$A$1:$O$86,15,0))</f>
        <v>90.37</v>
      </c>
      <c r="Y593" s="6"/>
      <c r="Z593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3" s="6">
        <f ca="1">('TE BE'!$AB$12+'TE BF_350'!$AB$12+'TE CVA'!$AB$12)*(1-CUSTOS!$M$34)</f>
        <v>80.703906972005015</v>
      </c>
      <c r="AB593" s="6">
        <f>$K$593*$V$593</f>
        <v>0</v>
      </c>
      <c r="AC593" s="6">
        <f>$M$593*$W$593</f>
        <v>1900.5233999999998</v>
      </c>
      <c r="AD593" s="6">
        <f>$O$593*$X$593</f>
        <v>1970.9696999999999</v>
      </c>
      <c r="AE593" s="6">
        <f>$K$593*$Y$593</f>
        <v>0</v>
      </c>
      <c r="AF593" s="6">
        <f ca="1">$M$593*$Z$593</f>
        <v>1709.2644631848391</v>
      </c>
      <c r="AG593" s="6">
        <f ca="1">$O$593*$AA$593</f>
        <v>1760.1522110594292</v>
      </c>
    </row>
    <row r="594" spans="1:33" ht="11.25" customHeight="1" x14ac:dyDescent="0.25">
      <c r="A594" s="4" t="s">
        <v>55</v>
      </c>
      <c r="B594" s="4" t="s">
        <v>22</v>
      </c>
      <c r="C594" s="4" t="s">
        <v>23</v>
      </c>
      <c r="D594" s="4" t="s">
        <v>24</v>
      </c>
      <c r="E594" s="4" t="s">
        <v>28</v>
      </c>
      <c r="F594" s="4" t="s">
        <v>25</v>
      </c>
      <c r="G594" s="4" t="s">
        <v>25</v>
      </c>
      <c r="H594" s="4" t="s">
        <v>25</v>
      </c>
      <c r="I594" s="5">
        <v>44621</v>
      </c>
      <c r="J594" s="6">
        <v>0</v>
      </c>
      <c r="K594" s="6">
        <v>0</v>
      </c>
      <c r="L594" s="6">
        <v>0.03</v>
      </c>
      <c r="M594" s="6">
        <v>1.0500000000000001E-2</v>
      </c>
      <c r="N594" s="6">
        <v>0.03</v>
      </c>
      <c r="O594" s="6">
        <v>1.0500000000000001E-2</v>
      </c>
      <c r="P594" s="6">
        <v>0</v>
      </c>
      <c r="Q594" s="4" t="s">
        <v>26</v>
      </c>
      <c r="R594" s="4">
        <v>0</v>
      </c>
      <c r="S594" s="6">
        <v>0</v>
      </c>
      <c r="T594" s="6">
        <v>8</v>
      </c>
      <c r="U594" s="6">
        <v>50</v>
      </c>
      <c r="V594" s="6">
        <f>IF(ISERROR(VLOOKUP($S$594,'TAR FIN'!$A$1:$O$86,15,0)),0,VLOOKUP($S$594,'TAR FIN'!$A$1:$O$86,15,0))</f>
        <v>0</v>
      </c>
      <c r="W594" s="6">
        <f>IF(ISERROR(VLOOKUP($T$594,'TAR FIN'!$A$1:$O$86,15,0)),0,VLOOKUP($T$594,'TAR FIN'!$A$1:$O$86,15,0))</f>
        <v>87.14</v>
      </c>
      <c r="X594" s="6">
        <f>IF(ISERROR(VLOOKUP($U$594,'TAR FIN'!$A$1:$O$86,15,0)),0,VLOOKUP($U$594,'TAR FIN'!$A$1:$O$86,15,0))</f>
        <v>90.37</v>
      </c>
      <c r="Y594" s="6"/>
      <c r="Z594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4" s="6">
        <f ca="1">('TE BE'!$AB$12+'TE BF_350'!$AB$12+'TE CVA'!$AB$12)*(1-CUSTOS!$M$34)</f>
        <v>80.703906972005015</v>
      </c>
      <c r="AB594" s="6">
        <f>$K$594*$V$594</f>
        <v>0</v>
      </c>
      <c r="AC594" s="6">
        <f>$M$594*$W$594</f>
        <v>0.91497000000000006</v>
      </c>
      <c r="AD594" s="6">
        <f>$O$594*$X$594</f>
        <v>0.94888500000000009</v>
      </c>
      <c r="AE594" s="6">
        <f>$K$594*$Y$594</f>
        <v>0</v>
      </c>
      <c r="AF594" s="6">
        <f ca="1">$M$594*$Z$594</f>
        <v>0.8228921074479969</v>
      </c>
      <c r="AG594" s="6">
        <f ca="1">$O$594*$AA$594</f>
        <v>0.84739102320605275</v>
      </c>
    </row>
    <row r="595" spans="1:33" ht="11.25" customHeight="1" x14ac:dyDescent="0.25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28</v>
      </c>
      <c r="F595" s="4" t="s">
        <v>25</v>
      </c>
      <c r="G595" s="4" t="s">
        <v>25</v>
      </c>
      <c r="H595" s="4" t="s">
        <v>25</v>
      </c>
      <c r="I595" s="5">
        <v>44652</v>
      </c>
      <c r="J595" s="6">
        <v>0</v>
      </c>
      <c r="K595" s="6">
        <v>0</v>
      </c>
      <c r="L595" s="6">
        <v>22.26</v>
      </c>
      <c r="M595" s="6">
        <v>22.26</v>
      </c>
      <c r="N595" s="6">
        <v>22.26</v>
      </c>
      <c r="O595" s="6">
        <v>22.26</v>
      </c>
      <c r="P595" s="6">
        <v>21</v>
      </c>
      <c r="Q595" s="4" t="s">
        <v>26</v>
      </c>
      <c r="R595" s="4">
        <v>0</v>
      </c>
      <c r="S595" s="6">
        <v>0</v>
      </c>
      <c r="T595" s="6">
        <v>8</v>
      </c>
      <c r="U595" s="6">
        <v>50</v>
      </c>
      <c r="V595" s="6">
        <f>IF(ISERROR(VLOOKUP($S$595,'TAR FIN'!$A$1:$O$86,15,0)),0,VLOOKUP($S$595,'TAR FIN'!$A$1:$O$86,15,0))</f>
        <v>0</v>
      </c>
      <c r="W595" s="6">
        <f>IF(ISERROR(VLOOKUP($T$595,'TAR FIN'!$A$1:$O$86,15,0)),0,VLOOKUP($T$595,'TAR FIN'!$A$1:$O$86,15,0))</f>
        <v>87.14</v>
      </c>
      <c r="X595" s="6">
        <f>IF(ISERROR(VLOOKUP($U$595,'TAR FIN'!$A$1:$O$86,15,0)),0,VLOOKUP($U$595,'TAR FIN'!$A$1:$O$86,15,0))</f>
        <v>90.37</v>
      </c>
      <c r="Y595" s="6"/>
      <c r="Z595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5" s="6">
        <f ca="1">('TE BE'!$AB$12+'TE BF_350'!$AB$12+'TE CVA'!$AB$12)*(1-CUSTOS!$M$34)</f>
        <v>80.703906972005015</v>
      </c>
      <c r="AB595" s="6">
        <f>$K$595*$V$595</f>
        <v>0</v>
      </c>
      <c r="AC595" s="6">
        <f>$M$595*$W$595</f>
        <v>1939.7364000000002</v>
      </c>
      <c r="AD595" s="6">
        <f>$O$595*$X$595</f>
        <v>2011.6362000000001</v>
      </c>
      <c r="AE595" s="6">
        <f>$K$595*$Y$595</f>
        <v>0</v>
      </c>
      <c r="AF595" s="6">
        <f ca="1">$M$595*$Z$595</f>
        <v>1744.5312677897534</v>
      </c>
      <c r="AG595" s="6">
        <f ca="1">$O$595*$AA$595</f>
        <v>1796.4689691968317</v>
      </c>
    </row>
    <row r="596" spans="1:33" ht="11.25" customHeight="1" x14ac:dyDescent="0.25">
      <c r="A596" s="4" t="s">
        <v>55</v>
      </c>
      <c r="B596" s="4" t="s">
        <v>22</v>
      </c>
      <c r="C596" s="4" t="s">
        <v>23</v>
      </c>
      <c r="D596" s="4" t="s">
        <v>24</v>
      </c>
      <c r="E596" s="4" t="s">
        <v>28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0.03</v>
      </c>
      <c r="M596" s="6">
        <v>1.0500000000000001E-2</v>
      </c>
      <c r="N596" s="6">
        <v>0.03</v>
      </c>
      <c r="O596" s="6">
        <v>1.0500000000000001E-2</v>
      </c>
      <c r="P596" s="6">
        <v>0</v>
      </c>
      <c r="Q596" s="4" t="s">
        <v>26</v>
      </c>
      <c r="R596" s="4">
        <v>0</v>
      </c>
      <c r="S596" s="6">
        <v>0</v>
      </c>
      <c r="T596" s="6">
        <v>8</v>
      </c>
      <c r="U596" s="6">
        <v>50</v>
      </c>
      <c r="V596" s="6">
        <f>IF(ISERROR(VLOOKUP($S$596,'TAR FIN'!$A$1:$O$86,15,0)),0,VLOOKUP($S$596,'TAR FIN'!$A$1:$O$86,15,0))</f>
        <v>0</v>
      </c>
      <c r="W596" s="6">
        <f>IF(ISERROR(VLOOKUP($T$596,'TAR FIN'!$A$1:$O$86,15,0)),0,VLOOKUP($T$596,'TAR FIN'!$A$1:$O$86,15,0))</f>
        <v>87.14</v>
      </c>
      <c r="X596" s="6">
        <f>IF(ISERROR(VLOOKUP($U$596,'TAR FIN'!$A$1:$O$86,15,0)),0,VLOOKUP($U$596,'TAR FIN'!$A$1:$O$86,15,0))</f>
        <v>90.37</v>
      </c>
      <c r="Y596" s="6"/>
      <c r="Z596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6" s="6">
        <f ca="1">('TE BE'!$AB$12+'TE BF_350'!$AB$12+'TE CVA'!$AB$12)*(1-CUSTOS!$M$34)</f>
        <v>80.703906972005015</v>
      </c>
      <c r="AB596" s="6">
        <f>$K$596*$V$596</f>
        <v>0</v>
      </c>
      <c r="AC596" s="6">
        <f>$M$596*$W$596</f>
        <v>0.91497000000000006</v>
      </c>
      <c r="AD596" s="6">
        <f>$O$596*$X$596</f>
        <v>0.94888500000000009</v>
      </c>
      <c r="AE596" s="6">
        <f>$K$596*$Y$596</f>
        <v>0</v>
      </c>
      <c r="AF596" s="6">
        <f ca="1">$M$596*$Z$596</f>
        <v>0.8228921074479969</v>
      </c>
      <c r="AG596" s="6">
        <f ca="1">$O$596*$AA$596</f>
        <v>0.84739102320605275</v>
      </c>
    </row>
    <row r="597" spans="1:33" ht="11.25" customHeight="1" x14ac:dyDescent="0.25">
      <c r="A597" s="4" t="s">
        <v>21</v>
      </c>
      <c r="B597" s="4" t="s">
        <v>22</v>
      </c>
      <c r="C597" s="4" t="s">
        <v>23</v>
      </c>
      <c r="D597" s="4" t="s">
        <v>24</v>
      </c>
      <c r="E597" s="4" t="s">
        <v>28</v>
      </c>
      <c r="F597" s="4" t="s">
        <v>25</v>
      </c>
      <c r="G597" s="4" t="s">
        <v>25</v>
      </c>
      <c r="H597" s="4" t="s">
        <v>25</v>
      </c>
      <c r="I597" s="5">
        <v>44682</v>
      </c>
      <c r="J597" s="6">
        <v>0</v>
      </c>
      <c r="K597" s="6">
        <v>0</v>
      </c>
      <c r="L597" s="6">
        <v>22.341999999999999</v>
      </c>
      <c r="M597" s="6">
        <v>22.341999999999999</v>
      </c>
      <c r="N597" s="6">
        <v>22.341999999999999</v>
      </c>
      <c r="O597" s="6">
        <v>22.341999999999999</v>
      </c>
      <c r="P597" s="6">
        <v>26</v>
      </c>
      <c r="Q597" s="4" t="s">
        <v>26</v>
      </c>
      <c r="R597" s="4">
        <v>0</v>
      </c>
      <c r="S597" s="6">
        <v>0</v>
      </c>
      <c r="T597" s="6">
        <v>8</v>
      </c>
      <c r="U597" s="6">
        <v>50</v>
      </c>
      <c r="V597" s="6">
        <f>IF(ISERROR(VLOOKUP($S$597,'TAR FIN'!$A$1:$O$86,15,0)),0,VLOOKUP($S$597,'TAR FIN'!$A$1:$O$86,15,0))</f>
        <v>0</v>
      </c>
      <c r="W597" s="6">
        <f>IF(ISERROR(VLOOKUP($T$597,'TAR FIN'!$A$1:$O$86,15,0)),0,VLOOKUP($T$597,'TAR FIN'!$A$1:$O$86,15,0))</f>
        <v>87.14</v>
      </c>
      <c r="X597" s="6">
        <f>IF(ISERROR(VLOOKUP($U$597,'TAR FIN'!$A$1:$O$86,15,0)),0,VLOOKUP($U$597,'TAR FIN'!$A$1:$O$86,15,0))</f>
        <v>90.37</v>
      </c>
      <c r="Y597" s="6"/>
      <c r="Z597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7" s="6">
        <f ca="1">('TE BE'!$AB$12+'TE BF_350'!$AB$12+'TE CVA'!$AB$12)*(1-CUSTOS!$M$34)</f>
        <v>80.703906972005015</v>
      </c>
      <c r="AB597" s="6">
        <f>$K$597*$V$597</f>
        <v>0</v>
      </c>
      <c r="AC597" s="6">
        <f>$M$597*$W$597</f>
        <v>1946.8818799999999</v>
      </c>
      <c r="AD597" s="6">
        <f>$O$597*$X$597</f>
        <v>2019.04654</v>
      </c>
      <c r="AE597" s="6">
        <f>$K$597*$Y$597</f>
        <v>0</v>
      </c>
      <c r="AF597" s="6">
        <f ca="1">$M$597*$Z$597</f>
        <v>1750.9576632955377</v>
      </c>
      <c r="AG597" s="6">
        <f ca="1">$O$597*$AA$597</f>
        <v>1803.086689568536</v>
      </c>
    </row>
    <row r="598" spans="1:33" ht="11.25" customHeight="1" x14ac:dyDescent="0.25">
      <c r="A598" s="4" t="s">
        <v>55</v>
      </c>
      <c r="B598" s="4" t="s">
        <v>22</v>
      </c>
      <c r="C598" s="4" t="s">
        <v>23</v>
      </c>
      <c r="D598" s="4" t="s">
        <v>24</v>
      </c>
      <c r="E598" s="4" t="s">
        <v>28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0.03</v>
      </c>
      <c r="M598" s="6">
        <v>1.0500000000000001E-2</v>
      </c>
      <c r="N598" s="6">
        <v>0.03</v>
      </c>
      <c r="O598" s="6">
        <v>1.0500000000000001E-2</v>
      </c>
      <c r="P598" s="6">
        <v>0</v>
      </c>
      <c r="Q598" s="4" t="s">
        <v>26</v>
      </c>
      <c r="R598" s="4">
        <v>0</v>
      </c>
      <c r="S598" s="6">
        <v>0</v>
      </c>
      <c r="T598" s="6">
        <v>8</v>
      </c>
      <c r="U598" s="6">
        <v>50</v>
      </c>
      <c r="V598" s="6">
        <f>IF(ISERROR(VLOOKUP($S$598,'TAR FIN'!$A$1:$O$86,15,0)),0,VLOOKUP($S$598,'TAR FIN'!$A$1:$O$86,15,0))</f>
        <v>0</v>
      </c>
      <c r="W598" s="6">
        <f>IF(ISERROR(VLOOKUP($T$598,'TAR FIN'!$A$1:$O$86,15,0)),0,VLOOKUP($T$598,'TAR FIN'!$A$1:$O$86,15,0))</f>
        <v>87.14</v>
      </c>
      <c r="X598" s="6">
        <f>IF(ISERROR(VLOOKUP($U$598,'TAR FIN'!$A$1:$O$86,15,0)),0,VLOOKUP($U$598,'TAR FIN'!$A$1:$O$86,15,0))</f>
        <v>90.37</v>
      </c>
      <c r="Y598" s="6"/>
      <c r="Z598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8" s="6">
        <f ca="1">('TE BE'!$AB$12+'TE BF_350'!$AB$12+'TE CVA'!$AB$12)*(1-CUSTOS!$M$34)</f>
        <v>80.703906972005015</v>
      </c>
      <c r="AB598" s="6">
        <f>$K$598*$V$598</f>
        <v>0</v>
      </c>
      <c r="AC598" s="6">
        <f>$M$598*$W$598</f>
        <v>0.91497000000000006</v>
      </c>
      <c r="AD598" s="6">
        <f>$O$598*$X$598</f>
        <v>0.94888500000000009</v>
      </c>
      <c r="AE598" s="6">
        <f>$K$598*$Y$598</f>
        <v>0</v>
      </c>
      <c r="AF598" s="6">
        <f ca="1">$M$598*$Z$598</f>
        <v>0.8228921074479969</v>
      </c>
      <c r="AG598" s="6">
        <f ca="1">$O$598*$AA$598</f>
        <v>0.84739102320605275</v>
      </c>
    </row>
    <row r="599" spans="1:33" ht="11.25" customHeight="1" x14ac:dyDescent="0.25">
      <c r="A599" s="4" t="s">
        <v>56</v>
      </c>
      <c r="B599" s="4" t="s">
        <v>22</v>
      </c>
      <c r="C599" s="4" t="s">
        <v>23</v>
      </c>
      <c r="D599" s="4" t="s">
        <v>24</v>
      </c>
      <c r="E599" s="4" t="s">
        <v>28</v>
      </c>
      <c r="F599" s="4" t="s">
        <v>25</v>
      </c>
      <c r="G599" s="4" t="s">
        <v>25</v>
      </c>
      <c r="H599" s="4" t="s">
        <v>25</v>
      </c>
      <c r="I599" s="5">
        <v>44713</v>
      </c>
      <c r="J599" s="6">
        <v>0</v>
      </c>
      <c r="K599" s="6">
        <v>0</v>
      </c>
      <c r="L599" s="6">
        <v>22.341999999999999</v>
      </c>
      <c r="M599" s="6">
        <v>22.341999999999999</v>
      </c>
      <c r="N599" s="6">
        <v>22.341999999999999</v>
      </c>
      <c r="O599" s="6">
        <v>22.341999999999999</v>
      </c>
      <c r="P599" s="6">
        <v>26</v>
      </c>
      <c r="Q599" s="4" t="s">
        <v>26</v>
      </c>
      <c r="R599" s="4">
        <v>0</v>
      </c>
      <c r="S599" s="6">
        <v>0</v>
      </c>
      <c r="T599" s="6">
        <v>8</v>
      </c>
      <c r="U599" s="6">
        <v>50</v>
      </c>
      <c r="V599" s="6">
        <f>IF(ISERROR(VLOOKUP($S$599,'TAR FIN'!$A$1:$O$86,15,0)),0,VLOOKUP($S$599,'TAR FIN'!$A$1:$O$86,15,0))</f>
        <v>0</v>
      </c>
      <c r="W599" s="6">
        <f>IF(ISERROR(VLOOKUP($T$599,'TAR FIN'!$A$1:$O$86,15,0)),0,VLOOKUP($T$599,'TAR FIN'!$A$1:$O$86,15,0))</f>
        <v>87.14</v>
      </c>
      <c r="X599" s="6">
        <f>IF(ISERROR(VLOOKUP($U$599,'TAR FIN'!$A$1:$O$86,15,0)),0,VLOOKUP($U$599,'TAR FIN'!$A$1:$O$86,15,0))</f>
        <v>90.37</v>
      </c>
      <c r="Y599" s="6"/>
      <c r="Z599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599" s="6">
        <f ca="1">('TE BE'!$AB$12+'TE BF_350'!$AB$12+'TE CVA'!$AB$12)*(1-CUSTOS!$M$34)</f>
        <v>80.703906972005015</v>
      </c>
      <c r="AB599" s="6">
        <f>$K$599*$V$599</f>
        <v>0</v>
      </c>
      <c r="AC599" s="6">
        <f>$M$599*$W$599</f>
        <v>1946.8818799999999</v>
      </c>
      <c r="AD599" s="6">
        <f>$O$599*$X$599</f>
        <v>2019.04654</v>
      </c>
      <c r="AE599" s="6">
        <f>$K$599*$Y$599</f>
        <v>0</v>
      </c>
      <c r="AF599" s="6">
        <f ca="1">$M$599*$Z$599</f>
        <v>1750.9576632955377</v>
      </c>
      <c r="AG599" s="6">
        <f ca="1">$O$599*$AA$599</f>
        <v>1803.086689568536</v>
      </c>
    </row>
    <row r="600" spans="1:33" ht="11.25" customHeight="1" x14ac:dyDescent="0.25">
      <c r="A600" s="4" t="s">
        <v>56</v>
      </c>
      <c r="B600" s="4" t="s">
        <v>22</v>
      </c>
      <c r="C600" s="4" t="s">
        <v>23</v>
      </c>
      <c r="D600" s="4" t="s">
        <v>24</v>
      </c>
      <c r="E600" s="4" t="s">
        <v>28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0.03</v>
      </c>
      <c r="M600" s="6">
        <v>1.0500000000000001E-2</v>
      </c>
      <c r="N600" s="6">
        <v>0.03</v>
      </c>
      <c r="O600" s="6">
        <v>1.0500000000000001E-2</v>
      </c>
      <c r="P600" s="6">
        <v>0</v>
      </c>
      <c r="Q600" s="4" t="s">
        <v>26</v>
      </c>
      <c r="R600" s="4">
        <v>0</v>
      </c>
      <c r="S600" s="6">
        <v>0</v>
      </c>
      <c r="T600" s="6">
        <v>8</v>
      </c>
      <c r="U600" s="6">
        <v>50</v>
      </c>
      <c r="V600" s="6">
        <f>IF(ISERROR(VLOOKUP($S$600,'TAR FIN'!$A$1:$O$86,15,0)),0,VLOOKUP($S$600,'TAR FIN'!$A$1:$O$86,15,0))</f>
        <v>0</v>
      </c>
      <c r="W600" s="6">
        <f>IF(ISERROR(VLOOKUP($T$600,'TAR FIN'!$A$1:$O$86,15,0)),0,VLOOKUP($T$600,'TAR FIN'!$A$1:$O$86,15,0))</f>
        <v>87.14</v>
      </c>
      <c r="X600" s="6">
        <f>IF(ISERROR(VLOOKUP($U$600,'TAR FIN'!$A$1:$O$86,15,0)),0,VLOOKUP($U$600,'TAR FIN'!$A$1:$O$86,15,0))</f>
        <v>90.37</v>
      </c>
      <c r="Y600" s="6"/>
      <c r="Z600" s="6">
        <f ca="1">('TUSD BE'!$AM$22+'TUSD BF_350'!$AM$22+'TUSD CVA'!$AM$22-('TUSD BE'!$P$22+'TUSD BF_350'!$P$22+'TUSD CVA'!$P$22)-('TUSD BE'!$Q$22+'TUSD BF_350'!$Q$22+'TUSD CVA'!$Q$22)-('TUSD BE'!$R$22+'TUSD BF_350'!$R$22+'TUSD CVA'!$R$22))*(1-CUSTOS!$M$34)</f>
        <v>78.370676899809226</v>
      </c>
      <c r="AA600" s="6">
        <f ca="1">('TE BE'!$AB$12+'TE BF_350'!$AB$12+'TE CVA'!$AB$12)*(1-CUSTOS!$M$34)</f>
        <v>80.703906972005015</v>
      </c>
      <c r="AB600" s="6">
        <f>$K$600*$V$600</f>
        <v>0</v>
      </c>
      <c r="AC600" s="6">
        <f>$M$600*$W$600</f>
        <v>0.91497000000000006</v>
      </c>
      <c r="AD600" s="6">
        <f>$O$600*$X$600</f>
        <v>0.94888500000000009</v>
      </c>
      <c r="AE600" s="6">
        <f>$K$600*$Y$600</f>
        <v>0</v>
      </c>
      <c r="AF600" s="6">
        <f ca="1">$M$600*$Z$600</f>
        <v>0.8228921074479969</v>
      </c>
      <c r="AG600" s="6">
        <f ca="1">$O$600*$AA$600</f>
        <v>0.84739102320605275</v>
      </c>
    </row>
    <row r="601" spans="1:33" ht="11.25" customHeight="1" x14ac:dyDescent="0.25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29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42.869</v>
      </c>
      <c r="M601" s="6">
        <v>42.869</v>
      </c>
      <c r="N601" s="6">
        <v>42.869</v>
      </c>
      <c r="O601" s="6">
        <v>42.869</v>
      </c>
      <c r="P601" s="6">
        <v>142</v>
      </c>
      <c r="Q601" s="4" t="s">
        <v>26</v>
      </c>
      <c r="R601" s="4">
        <v>0</v>
      </c>
      <c r="S601" s="6">
        <v>0</v>
      </c>
      <c r="T601" s="6">
        <v>28</v>
      </c>
      <c r="U601" s="6">
        <v>53</v>
      </c>
      <c r="V601" s="6">
        <f>IF(ISERROR(VLOOKUP($S$601,'TAR FIN'!$A$1:$O$86,15,0)),0,VLOOKUP($S$601,'TAR FIN'!$A$1:$O$86,15,0))</f>
        <v>0</v>
      </c>
      <c r="W601" s="6">
        <f>IF(ISERROR(VLOOKUP($T$601,'TAR FIN'!$A$1:$O$86,15,0)),0,VLOOKUP($T$601,'TAR FIN'!$A$1:$O$86,15,0))</f>
        <v>149.38999999999999</v>
      </c>
      <c r="X601" s="6">
        <f>IF(ISERROR(VLOOKUP($U$601,'TAR FIN'!$A$1:$O$86,15,0)),0,VLOOKUP($U$601,'TAR FIN'!$A$1:$O$86,15,0))</f>
        <v>154.93</v>
      </c>
      <c r="Y601" s="6"/>
      <c r="Z601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1" s="6">
        <f ca="1">('TE BE'!$AB$13+'TE BF_350'!$AB$13+'TE CVA'!$AB$13)*(1-CUSTOS!$M$35)</f>
        <v>138.34955480915144</v>
      </c>
      <c r="AB601" s="6">
        <f>$K$601*$V$601</f>
        <v>0</v>
      </c>
      <c r="AC601" s="6">
        <f>$M$601*$W$601</f>
        <v>6404.1999099999994</v>
      </c>
      <c r="AD601" s="6">
        <f>$O$601*$X$601</f>
        <v>6641.6941700000007</v>
      </c>
      <c r="AE601" s="6">
        <f>$K$601*$Y$601</f>
        <v>0</v>
      </c>
      <c r="AF601" s="6">
        <f ca="1">$M$601*$Z$601</f>
        <v>5759.4386537450082</v>
      </c>
      <c r="AG601" s="6">
        <f ca="1">$O$601*$AA$601</f>
        <v>5930.9070651135135</v>
      </c>
    </row>
    <row r="602" spans="1:33" ht="11.25" customHeight="1" x14ac:dyDescent="0.25">
      <c r="A602" s="4" t="s">
        <v>21</v>
      </c>
      <c r="B602" s="4" t="s">
        <v>22</v>
      </c>
      <c r="C602" s="4" t="s">
        <v>23</v>
      </c>
      <c r="D602" s="4" t="s">
        <v>24</v>
      </c>
      <c r="E602" s="4" t="s">
        <v>29</v>
      </c>
      <c r="F602" s="4" t="s">
        <v>25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43.503</v>
      </c>
      <c r="M602" s="6">
        <v>43.503</v>
      </c>
      <c r="N602" s="6">
        <v>43.503</v>
      </c>
      <c r="O602" s="6">
        <v>43.503</v>
      </c>
      <c r="P602" s="6">
        <v>139</v>
      </c>
      <c r="Q602" s="4" t="s">
        <v>26</v>
      </c>
      <c r="R602" s="4">
        <v>0</v>
      </c>
      <c r="S602" s="6">
        <v>0</v>
      </c>
      <c r="T602" s="6">
        <v>28</v>
      </c>
      <c r="U602" s="6">
        <v>53</v>
      </c>
      <c r="V602" s="6">
        <f>IF(ISERROR(VLOOKUP($S$602,'TAR FIN'!$A$1:$O$86,15,0)),0,VLOOKUP($S$602,'TAR FIN'!$A$1:$O$86,15,0))</f>
        <v>0</v>
      </c>
      <c r="W602" s="6">
        <f>IF(ISERROR(VLOOKUP($T$602,'TAR FIN'!$A$1:$O$86,15,0)),0,VLOOKUP($T$602,'TAR FIN'!$A$1:$O$86,15,0))</f>
        <v>149.38999999999999</v>
      </c>
      <c r="X602" s="6">
        <f>IF(ISERROR(VLOOKUP($U$602,'TAR FIN'!$A$1:$O$86,15,0)),0,VLOOKUP($U$602,'TAR FIN'!$A$1:$O$86,15,0))</f>
        <v>154.93</v>
      </c>
      <c r="Y602" s="6"/>
      <c r="Z602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2" s="6">
        <f ca="1">('TE BE'!$AB$13+'TE BF_350'!$AB$13+'TE CVA'!$AB$13)*(1-CUSTOS!$M$35)</f>
        <v>138.34955480915144</v>
      </c>
      <c r="AB602" s="6">
        <f>$K$602*$V$602</f>
        <v>0</v>
      </c>
      <c r="AC602" s="6">
        <f>$M$602*$W$602</f>
        <v>6498.9131699999998</v>
      </c>
      <c r="AD602" s="6">
        <f>$O$602*$X$602</f>
        <v>6739.9197899999999</v>
      </c>
      <c r="AE602" s="6">
        <f>$K$602*$Y$602</f>
        <v>0</v>
      </c>
      <c r="AF602" s="6">
        <f ca="1">$M$602*$Z$602</f>
        <v>5844.6163837241156</v>
      </c>
      <c r="AG602" s="6">
        <f ca="1">$O$602*$AA$602</f>
        <v>6018.6206828625154</v>
      </c>
    </row>
    <row r="603" spans="1:33" ht="11.25" customHeight="1" x14ac:dyDescent="0.25">
      <c r="A603" s="4" t="s">
        <v>21</v>
      </c>
      <c r="B603" s="4" t="s">
        <v>22</v>
      </c>
      <c r="C603" s="4" t="s">
        <v>23</v>
      </c>
      <c r="D603" s="4" t="s">
        <v>24</v>
      </c>
      <c r="E603" s="4" t="s">
        <v>29</v>
      </c>
      <c r="F603" s="4" t="s">
        <v>25</v>
      </c>
      <c r="G603" s="4" t="s">
        <v>25</v>
      </c>
      <c r="H603" s="4" t="s">
        <v>25</v>
      </c>
      <c r="I603" s="5">
        <v>44440</v>
      </c>
      <c r="J603" s="6">
        <v>0</v>
      </c>
      <c r="K603" s="6">
        <v>0</v>
      </c>
      <c r="L603" s="6">
        <v>43.853999999999999</v>
      </c>
      <c r="M603" s="6">
        <v>43.853999999999999</v>
      </c>
      <c r="N603" s="6">
        <v>43.853999999999999</v>
      </c>
      <c r="O603" s="6">
        <v>43.853999999999999</v>
      </c>
      <c r="P603" s="6">
        <v>134</v>
      </c>
      <c r="Q603" s="4" t="s">
        <v>26</v>
      </c>
      <c r="R603" s="4">
        <v>0</v>
      </c>
      <c r="S603" s="6">
        <v>0</v>
      </c>
      <c r="T603" s="6">
        <v>28</v>
      </c>
      <c r="U603" s="6">
        <v>53</v>
      </c>
      <c r="V603" s="6">
        <f>IF(ISERROR(VLOOKUP($S$603,'TAR FIN'!$A$1:$O$86,15,0)),0,VLOOKUP($S$603,'TAR FIN'!$A$1:$O$86,15,0))</f>
        <v>0</v>
      </c>
      <c r="W603" s="6">
        <f>IF(ISERROR(VLOOKUP($T$603,'TAR FIN'!$A$1:$O$86,15,0)),0,VLOOKUP($T$603,'TAR FIN'!$A$1:$O$86,15,0))</f>
        <v>149.38999999999999</v>
      </c>
      <c r="X603" s="6">
        <f>IF(ISERROR(VLOOKUP($U$603,'TAR FIN'!$A$1:$O$86,15,0)),0,VLOOKUP($U$603,'TAR FIN'!$A$1:$O$86,15,0))</f>
        <v>154.93</v>
      </c>
      <c r="Y603" s="6"/>
      <c r="Z603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3" s="6">
        <f ca="1">('TE BE'!$AB$13+'TE BF_350'!$AB$13+'TE CVA'!$AB$13)*(1-CUSTOS!$M$35)</f>
        <v>138.34955480915144</v>
      </c>
      <c r="AB603" s="6">
        <f>$K$603*$V$603</f>
        <v>0</v>
      </c>
      <c r="AC603" s="6">
        <f>$M$603*$W$603</f>
        <v>6551.3490599999996</v>
      </c>
      <c r="AD603" s="6">
        <f>$O$603*$X$603</f>
        <v>6794.3002200000001</v>
      </c>
      <c r="AE603" s="6">
        <f>$K$603*$Y$603</f>
        <v>0</v>
      </c>
      <c r="AF603" s="6">
        <f ca="1">$M$603*$Z$603</f>
        <v>5891.773139595829</v>
      </c>
      <c r="AG603" s="6">
        <f ca="1">$O$603*$AA$603</f>
        <v>6067.1813766005271</v>
      </c>
    </row>
    <row r="604" spans="1:33" ht="11.25" customHeight="1" x14ac:dyDescent="0.25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29</v>
      </c>
      <c r="F604" s="4" t="s">
        <v>25</v>
      </c>
      <c r="G604" s="4" t="s">
        <v>25</v>
      </c>
      <c r="H604" s="4" t="s">
        <v>25</v>
      </c>
      <c r="I604" s="5">
        <v>44470</v>
      </c>
      <c r="J604" s="6">
        <v>0</v>
      </c>
      <c r="K604" s="6">
        <v>0</v>
      </c>
      <c r="L604" s="6">
        <v>44.758000000000003</v>
      </c>
      <c r="M604" s="6">
        <v>44.758000000000003</v>
      </c>
      <c r="N604" s="6">
        <v>44.758000000000003</v>
      </c>
      <c r="O604" s="6">
        <v>44.758000000000003</v>
      </c>
      <c r="P604" s="6">
        <v>133</v>
      </c>
      <c r="Q604" s="4" t="s">
        <v>26</v>
      </c>
      <c r="R604" s="4">
        <v>0</v>
      </c>
      <c r="S604" s="6">
        <v>0</v>
      </c>
      <c r="T604" s="6">
        <v>28</v>
      </c>
      <c r="U604" s="6">
        <v>53</v>
      </c>
      <c r="V604" s="6">
        <f>IF(ISERROR(VLOOKUP($S$604,'TAR FIN'!$A$1:$O$86,15,0)),0,VLOOKUP($S$604,'TAR FIN'!$A$1:$O$86,15,0))</f>
        <v>0</v>
      </c>
      <c r="W604" s="6">
        <f>IF(ISERROR(VLOOKUP($T$604,'TAR FIN'!$A$1:$O$86,15,0)),0,VLOOKUP($T$604,'TAR FIN'!$A$1:$O$86,15,0))</f>
        <v>149.38999999999999</v>
      </c>
      <c r="X604" s="6">
        <f>IF(ISERROR(VLOOKUP($U$604,'TAR FIN'!$A$1:$O$86,15,0)),0,VLOOKUP($U$604,'TAR FIN'!$A$1:$O$86,15,0))</f>
        <v>154.93</v>
      </c>
      <c r="Y604" s="6"/>
      <c r="Z604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4" s="6">
        <f ca="1">('TE BE'!$AB$13+'TE BF_350'!$AB$13+'TE CVA'!$AB$13)*(1-CUSTOS!$M$35)</f>
        <v>138.34955480915144</v>
      </c>
      <c r="AB604" s="6">
        <f>$K$604*$V$604</f>
        <v>0</v>
      </c>
      <c r="AC604" s="6">
        <f>$M$604*$W$604</f>
        <v>6686.3976199999997</v>
      </c>
      <c r="AD604" s="6">
        <f>$O$604*$X$604</f>
        <v>6934.3569400000006</v>
      </c>
      <c r="AE604" s="6">
        <f>$K$604*$Y$604</f>
        <v>0</v>
      </c>
      <c r="AF604" s="6">
        <f ca="1">$M$604*$Z$604</f>
        <v>6013.225297168563</v>
      </c>
      <c r="AG604" s="6">
        <f ca="1">$O$604*$AA$604</f>
        <v>6192.2493741480002</v>
      </c>
    </row>
    <row r="605" spans="1:33" ht="11.25" customHeight="1" x14ac:dyDescent="0.25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29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0</v>
      </c>
      <c r="K605" s="6">
        <v>0</v>
      </c>
      <c r="L605" s="6">
        <v>45.768000000000001</v>
      </c>
      <c r="M605" s="6">
        <v>45.768000000000001</v>
      </c>
      <c r="N605" s="6">
        <v>45.768000000000001</v>
      </c>
      <c r="O605" s="6">
        <v>45.768000000000001</v>
      </c>
      <c r="P605" s="6">
        <v>111</v>
      </c>
      <c r="Q605" s="4" t="s">
        <v>26</v>
      </c>
      <c r="R605" s="4">
        <v>0</v>
      </c>
      <c r="S605" s="6">
        <v>0</v>
      </c>
      <c r="T605" s="6">
        <v>28</v>
      </c>
      <c r="U605" s="6">
        <v>53</v>
      </c>
      <c r="V605" s="6">
        <f>IF(ISERROR(VLOOKUP($S$605,'TAR FIN'!$A$1:$O$86,15,0)),0,VLOOKUP($S$605,'TAR FIN'!$A$1:$O$86,15,0))</f>
        <v>0</v>
      </c>
      <c r="W605" s="6">
        <f>IF(ISERROR(VLOOKUP($T$605,'TAR FIN'!$A$1:$O$86,15,0)),0,VLOOKUP($T$605,'TAR FIN'!$A$1:$O$86,15,0))</f>
        <v>149.38999999999999</v>
      </c>
      <c r="X605" s="6">
        <f>IF(ISERROR(VLOOKUP($U$605,'TAR FIN'!$A$1:$O$86,15,0)),0,VLOOKUP($U$605,'TAR FIN'!$A$1:$O$86,15,0))</f>
        <v>154.93</v>
      </c>
      <c r="Y605" s="6"/>
      <c r="Z605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5" s="6">
        <f ca="1">('TE BE'!$AB$13+'TE BF_350'!$AB$13+'TE CVA'!$AB$13)*(1-CUSTOS!$M$35)</f>
        <v>138.34955480915144</v>
      </c>
      <c r="AB605" s="6">
        <f>$K$605*$V$605</f>
        <v>0</v>
      </c>
      <c r="AC605" s="6">
        <f>$M$605*$W$605</f>
        <v>6837.2815199999995</v>
      </c>
      <c r="AD605" s="6">
        <f>$O$605*$X$605</f>
        <v>7090.8362400000005</v>
      </c>
      <c r="AE605" s="6">
        <f>$K$605*$Y$605</f>
        <v>0</v>
      </c>
      <c r="AF605" s="6">
        <f ca="1">$M$605*$Z$605</f>
        <v>6148.9185263150894</v>
      </c>
      <c r="AG605" s="6">
        <f ca="1">$O$605*$AA$605</f>
        <v>6331.9824245052432</v>
      </c>
    </row>
    <row r="606" spans="1:33" ht="11.25" customHeight="1" x14ac:dyDescent="0.25">
      <c r="A606" s="4" t="s">
        <v>21</v>
      </c>
      <c r="B606" s="4" t="s">
        <v>22</v>
      </c>
      <c r="C606" s="4" t="s">
        <v>23</v>
      </c>
      <c r="D606" s="4" t="s">
        <v>24</v>
      </c>
      <c r="E606" s="4" t="s">
        <v>29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46.033999999999999</v>
      </c>
      <c r="M606" s="6">
        <v>46.033999999999999</v>
      </c>
      <c r="N606" s="6">
        <v>46.033999999999999</v>
      </c>
      <c r="O606" s="6">
        <v>46.033999999999999</v>
      </c>
      <c r="P606" s="6">
        <v>115</v>
      </c>
      <c r="Q606" s="4" t="s">
        <v>26</v>
      </c>
      <c r="R606" s="4">
        <v>0</v>
      </c>
      <c r="S606" s="6">
        <v>0</v>
      </c>
      <c r="T606" s="6">
        <v>28</v>
      </c>
      <c r="U606" s="6">
        <v>53</v>
      </c>
      <c r="V606" s="6">
        <f>IF(ISERROR(VLOOKUP($S$606,'TAR FIN'!$A$1:$O$86,15,0)),0,VLOOKUP($S$606,'TAR FIN'!$A$1:$O$86,15,0))</f>
        <v>0</v>
      </c>
      <c r="W606" s="6">
        <f>IF(ISERROR(VLOOKUP($T$606,'TAR FIN'!$A$1:$O$86,15,0)),0,VLOOKUP($T$606,'TAR FIN'!$A$1:$O$86,15,0))</f>
        <v>149.38999999999999</v>
      </c>
      <c r="X606" s="6">
        <f>IF(ISERROR(VLOOKUP($U$606,'TAR FIN'!$A$1:$O$86,15,0)),0,VLOOKUP($U$606,'TAR FIN'!$A$1:$O$86,15,0))</f>
        <v>154.93</v>
      </c>
      <c r="Y606" s="6"/>
      <c r="Z606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6" s="6">
        <f ca="1">('TE BE'!$AB$13+'TE BF_350'!$AB$13+'TE CVA'!$AB$13)*(1-CUSTOS!$M$35)</f>
        <v>138.34955480915144</v>
      </c>
      <c r="AB606" s="6">
        <f>$K$606*$V$606</f>
        <v>0</v>
      </c>
      <c r="AC606" s="6">
        <f>$M$606*$W$606</f>
        <v>6877.0192599999991</v>
      </c>
      <c r="AD606" s="6">
        <f>$O$606*$X$606</f>
        <v>7132.0476200000003</v>
      </c>
      <c r="AE606" s="6">
        <f>$K$606*$Y$606</f>
        <v>0</v>
      </c>
      <c r="AF606" s="6">
        <f ca="1">$M$606*$Z$606</f>
        <v>6184.655554981402</v>
      </c>
      <c r="AG606" s="6">
        <f ca="1">$O$606*$AA$606</f>
        <v>6368.7834060844771</v>
      </c>
    </row>
    <row r="607" spans="1:33" ht="11.25" customHeight="1" x14ac:dyDescent="0.25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29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0</v>
      </c>
      <c r="K607" s="6">
        <v>0</v>
      </c>
      <c r="L607" s="6">
        <v>46.927</v>
      </c>
      <c r="M607" s="6">
        <v>46.927</v>
      </c>
      <c r="N607" s="6">
        <v>46.927</v>
      </c>
      <c r="O607" s="6">
        <v>46.927</v>
      </c>
      <c r="P607" s="6">
        <v>83</v>
      </c>
      <c r="Q607" s="4" t="s">
        <v>26</v>
      </c>
      <c r="R607" s="4">
        <v>0</v>
      </c>
      <c r="S607" s="6">
        <v>0</v>
      </c>
      <c r="T607" s="6">
        <v>28</v>
      </c>
      <c r="U607" s="6">
        <v>53</v>
      </c>
      <c r="V607" s="6">
        <f>IF(ISERROR(VLOOKUP($S$607,'TAR FIN'!$A$1:$O$86,15,0)),0,VLOOKUP($S$607,'TAR FIN'!$A$1:$O$86,15,0))</f>
        <v>0</v>
      </c>
      <c r="W607" s="6">
        <f>IF(ISERROR(VLOOKUP($T$607,'TAR FIN'!$A$1:$O$86,15,0)),0,VLOOKUP($T$607,'TAR FIN'!$A$1:$O$86,15,0))</f>
        <v>149.38999999999999</v>
      </c>
      <c r="X607" s="6">
        <f>IF(ISERROR(VLOOKUP($U$607,'TAR FIN'!$A$1:$O$86,15,0)),0,VLOOKUP($U$607,'TAR FIN'!$A$1:$O$86,15,0))</f>
        <v>154.93</v>
      </c>
      <c r="Y607" s="6"/>
      <c r="Z607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7" s="6">
        <f ca="1">('TE BE'!$AB$13+'TE BF_350'!$AB$13+'TE CVA'!$AB$13)*(1-CUSTOS!$M$35)</f>
        <v>138.34955480915144</v>
      </c>
      <c r="AB607" s="6">
        <f>$K$607*$V$607</f>
        <v>0</v>
      </c>
      <c r="AC607" s="6">
        <f>$M$607*$W$607</f>
        <v>7010.4245299999993</v>
      </c>
      <c r="AD607" s="6">
        <f>$O$607*$X$607</f>
        <v>7270.4001100000005</v>
      </c>
      <c r="AE607" s="6">
        <f>$K$607*$Y$607</f>
        <v>0</v>
      </c>
      <c r="AF607" s="6">
        <f ca="1">$M$607*$Z$607</f>
        <v>6304.6298655040246</v>
      </c>
      <c r="AG607" s="6">
        <f ca="1">$O$607*$AA$607</f>
        <v>6492.3295585290498</v>
      </c>
    </row>
    <row r="608" spans="1:33" ht="11.25" customHeight="1" x14ac:dyDescent="0.25">
      <c r="A608" s="4" t="s">
        <v>21</v>
      </c>
      <c r="B608" s="4" t="s">
        <v>22</v>
      </c>
      <c r="C608" s="4" t="s">
        <v>23</v>
      </c>
      <c r="D608" s="4" t="s">
        <v>24</v>
      </c>
      <c r="E608" s="4" t="s">
        <v>29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0</v>
      </c>
      <c r="K608" s="6">
        <v>0</v>
      </c>
      <c r="L608" s="6">
        <v>46.610999999999997</v>
      </c>
      <c r="M608" s="6">
        <v>46.610999999999997</v>
      </c>
      <c r="N608" s="6">
        <v>46.610999999999997</v>
      </c>
      <c r="O608" s="6">
        <v>46.610999999999997</v>
      </c>
      <c r="P608" s="6">
        <v>101</v>
      </c>
      <c r="Q608" s="4" t="s">
        <v>26</v>
      </c>
      <c r="R608" s="4">
        <v>0</v>
      </c>
      <c r="S608" s="6">
        <v>0</v>
      </c>
      <c r="T608" s="6">
        <v>28</v>
      </c>
      <c r="U608" s="6">
        <v>53</v>
      </c>
      <c r="V608" s="6">
        <f>IF(ISERROR(VLOOKUP($S$608,'TAR FIN'!$A$1:$O$86,15,0)),0,VLOOKUP($S$608,'TAR FIN'!$A$1:$O$86,15,0))</f>
        <v>0</v>
      </c>
      <c r="W608" s="6">
        <f>IF(ISERROR(VLOOKUP($T$608,'TAR FIN'!$A$1:$O$86,15,0)),0,VLOOKUP($T$608,'TAR FIN'!$A$1:$O$86,15,0))</f>
        <v>149.38999999999999</v>
      </c>
      <c r="X608" s="6">
        <f>IF(ISERROR(VLOOKUP($U$608,'TAR FIN'!$A$1:$O$86,15,0)),0,VLOOKUP($U$608,'TAR FIN'!$A$1:$O$86,15,0))</f>
        <v>154.93</v>
      </c>
      <c r="Y608" s="6"/>
      <c r="Z608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8" s="6">
        <f ca="1">('TE BE'!$AB$13+'TE BF_350'!$AB$13+'TE CVA'!$AB$13)*(1-CUSTOS!$M$35)</f>
        <v>138.34955480915144</v>
      </c>
      <c r="AB608" s="6">
        <f>$K$608*$V$608</f>
        <v>0</v>
      </c>
      <c r="AC608" s="6">
        <f>$M$608*$W$608</f>
        <v>6963.2172899999987</v>
      </c>
      <c r="AD608" s="6">
        <f>$O$608*$X$608</f>
        <v>7221.4422299999997</v>
      </c>
      <c r="AE608" s="6">
        <f>$K$608*$Y$608</f>
        <v>0</v>
      </c>
      <c r="AF608" s="6">
        <f ca="1">$M$608*$Z$608</f>
        <v>6262.1753502462989</v>
      </c>
      <c r="AG608" s="6">
        <f ca="1">$O$608*$AA$608</f>
        <v>6448.6110992093572</v>
      </c>
    </row>
    <row r="609" spans="1:33" ht="11.25" customHeight="1" x14ac:dyDescent="0.25">
      <c r="A609" s="4" t="s">
        <v>21</v>
      </c>
      <c r="B609" s="4" t="s">
        <v>22</v>
      </c>
      <c r="C609" s="4" t="s">
        <v>23</v>
      </c>
      <c r="D609" s="4" t="s">
        <v>24</v>
      </c>
      <c r="E609" s="4" t="s">
        <v>29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46.491999999999997</v>
      </c>
      <c r="M609" s="6">
        <v>46.491999999999997</v>
      </c>
      <c r="N609" s="6">
        <v>46.491999999999997</v>
      </c>
      <c r="O609" s="6">
        <v>46.491999999999997</v>
      </c>
      <c r="P609" s="6">
        <v>93</v>
      </c>
      <c r="Q609" s="4" t="s">
        <v>26</v>
      </c>
      <c r="R609" s="4">
        <v>0</v>
      </c>
      <c r="S609" s="6">
        <v>0</v>
      </c>
      <c r="T609" s="6">
        <v>28</v>
      </c>
      <c r="U609" s="6">
        <v>53</v>
      </c>
      <c r="V609" s="6">
        <f>IF(ISERROR(VLOOKUP($S$609,'TAR FIN'!$A$1:$O$86,15,0)),0,VLOOKUP($S$609,'TAR FIN'!$A$1:$O$86,15,0))</f>
        <v>0</v>
      </c>
      <c r="W609" s="6">
        <f>IF(ISERROR(VLOOKUP($T$609,'TAR FIN'!$A$1:$O$86,15,0)),0,VLOOKUP($T$609,'TAR FIN'!$A$1:$O$86,15,0))</f>
        <v>149.38999999999999</v>
      </c>
      <c r="X609" s="6">
        <f>IF(ISERROR(VLOOKUP($U$609,'TAR FIN'!$A$1:$O$86,15,0)),0,VLOOKUP($U$609,'TAR FIN'!$A$1:$O$86,15,0))</f>
        <v>154.93</v>
      </c>
      <c r="Y609" s="6"/>
      <c r="Z609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09" s="6">
        <f ca="1">('TE BE'!$AB$13+'TE BF_350'!$AB$13+'TE CVA'!$AB$13)*(1-CUSTOS!$M$35)</f>
        <v>138.34955480915144</v>
      </c>
      <c r="AB609" s="6">
        <f>$K$609*$V$609</f>
        <v>0</v>
      </c>
      <c r="AC609" s="6">
        <f>$M$609*$W$609</f>
        <v>6945.439879999999</v>
      </c>
      <c r="AD609" s="6">
        <f>$O$609*$X$609</f>
        <v>7203.0055599999996</v>
      </c>
      <c r="AE609" s="6">
        <f>$K$609*$Y$609</f>
        <v>0</v>
      </c>
      <c r="AF609" s="6">
        <f ca="1">$M$609*$Z$609</f>
        <v>6246.1877321587381</v>
      </c>
      <c r="AG609" s="6">
        <f ca="1">$O$609*$AA$609</f>
        <v>6432.1475021870683</v>
      </c>
    </row>
    <row r="610" spans="1:33" ht="11.25" customHeight="1" x14ac:dyDescent="0.25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29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0</v>
      </c>
      <c r="K610" s="6">
        <v>0</v>
      </c>
      <c r="L610" s="6">
        <v>46.753</v>
      </c>
      <c r="M610" s="6">
        <v>46.753</v>
      </c>
      <c r="N610" s="6">
        <v>46.753</v>
      </c>
      <c r="O610" s="6">
        <v>46.753</v>
      </c>
      <c r="P610" s="6">
        <v>144</v>
      </c>
      <c r="Q610" s="4" t="s">
        <v>26</v>
      </c>
      <c r="R610" s="4">
        <v>0</v>
      </c>
      <c r="S610" s="6">
        <v>0</v>
      </c>
      <c r="T610" s="6">
        <v>28</v>
      </c>
      <c r="U610" s="6">
        <v>53</v>
      </c>
      <c r="V610" s="6">
        <f>IF(ISERROR(VLOOKUP($S$610,'TAR FIN'!$A$1:$O$86,15,0)),0,VLOOKUP($S$610,'TAR FIN'!$A$1:$O$86,15,0))</f>
        <v>0</v>
      </c>
      <c r="W610" s="6">
        <f>IF(ISERROR(VLOOKUP($T$610,'TAR FIN'!$A$1:$O$86,15,0)),0,VLOOKUP($T$610,'TAR FIN'!$A$1:$O$86,15,0))</f>
        <v>149.38999999999999</v>
      </c>
      <c r="X610" s="6">
        <f>IF(ISERROR(VLOOKUP($U$610,'TAR FIN'!$A$1:$O$86,15,0)),0,VLOOKUP($U$610,'TAR FIN'!$A$1:$O$86,15,0))</f>
        <v>154.93</v>
      </c>
      <c r="Y610" s="6"/>
      <c r="Z610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10" s="6">
        <f ca="1">('TE BE'!$AB$13+'TE BF_350'!$AB$13+'TE CVA'!$AB$13)*(1-CUSTOS!$M$35)</f>
        <v>138.34955480915144</v>
      </c>
      <c r="AB610" s="6">
        <f>$K$610*$V$610</f>
        <v>0</v>
      </c>
      <c r="AC610" s="6">
        <f>$M$610*$W$610</f>
        <v>6984.4306699999997</v>
      </c>
      <c r="AD610" s="6">
        <f>$O$610*$X$610</f>
        <v>7243.44229</v>
      </c>
      <c r="AE610" s="6">
        <f>$K$610*$Y$610</f>
        <v>0</v>
      </c>
      <c r="AF610" s="6">
        <f ca="1">$M$610*$Z$610</f>
        <v>6281.2530121659101</v>
      </c>
      <c r="AG610" s="6">
        <f ca="1">$O$610*$AA$610</f>
        <v>6468.2567359922577</v>
      </c>
    </row>
    <row r="611" spans="1:33" ht="11.25" customHeight="1" x14ac:dyDescent="0.25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29</v>
      </c>
      <c r="F611" s="4" t="s">
        <v>25</v>
      </c>
      <c r="G611" s="4" t="s">
        <v>25</v>
      </c>
      <c r="H611" s="4" t="s">
        <v>25</v>
      </c>
      <c r="I611" s="5">
        <v>44682</v>
      </c>
      <c r="J611" s="6">
        <v>0</v>
      </c>
      <c r="K611" s="6">
        <v>0</v>
      </c>
      <c r="L611" s="6">
        <v>46.506</v>
      </c>
      <c r="M611" s="6">
        <v>46.506</v>
      </c>
      <c r="N611" s="6">
        <v>46.506</v>
      </c>
      <c r="O611" s="6">
        <v>46.506</v>
      </c>
      <c r="P611" s="6">
        <v>151</v>
      </c>
      <c r="Q611" s="4" t="s">
        <v>26</v>
      </c>
      <c r="R611" s="4">
        <v>0</v>
      </c>
      <c r="S611" s="6">
        <v>0</v>
      </c>
      <c r="T611" s="6">
        <v>28</v>
      </c>
      <c r="U611" s="6">
        <v>53</v>
      </c>
      <c r="V611" s="6">
        <f>IF(ISERROR(VLOOKUP($S$611,'TAR FIN'!$A$1:$O$86,15,0)),0,VLOOKUP($S$611,'TAR FIN'!$A$1:$O$86,15,0))</f>
        <v>0</v>
      </c>
      <c r="W611" s="6">
        <f>IF(ISERROR(VLOOKUP($T$611,'TAR FIN'!$A$1:$O$86,15,0)),0,VLOOKUP($T$611,'TAR FIN'!$A$1:$O$86,15,0))</f>
        <v>149.38999999999999</v>
      </c>
      <c r="X611" s="6">
        <f>IF(ISERROR(VLOOKUP($U$611,'TAR FIN'!$A$1:$O$86,15,0)),0,VLOOKUP($U$611,'TAR FIN'!$A$1:$O$86,15,0))</f>
        <v>154.93</v>
      </c>
      <c r="Y611" s="6"/>
      <c r="Z611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11" s="6">
        <f ca="1">('TE BE'!$AB$13+'TE BF_350'!$AB$13+'TE CVA'!$AB$13)*(1-CUSTOS!$M$35)</f>
        <v>138.34955480915144</v>
      </c>
      <c r="AB611" s="6">
        <f>$K$611*$V$611</f>
        <v>0</v>
      </c>
      <c r="AC611" s="6">
        <f>$M$611*$W$611</f>
        <v>6947.5313399999995</v>
      </c>
      <c r="AD611" s="6">
        <f>$O$611*$X$611</f>
        <v>7205.1745800000008</v>
      </c>
      <c r="AE611" s="6">
        <f>$K$611*$Y$611</f>
        <v>0</v>
      </c>
      <c r="AF611" s="6">
        <f ca="1">$M$611*$Z$611</f>
        <v>6248.0686284043331</v>
      </c>
      <c r="AG611" s="6">
        <f ca="1">$O$611*$AA$611</f>
        <v>6434.0843959543972</v>
      </c>
    </row>
    <row r="612" spans="1:33" ht="11.25" customHeight="1" x14ac:dyDescent="0.25">
      <c r="A612" s="4" t="s">
        <v>56</v>
      </c>
      <c r="B612" s="4" t="s">
        <v>22</v>
      </c>
      <c r="C612" s="4" t="s">
        <v>23</v>
      </c>
      <c r="D612" s="4" t="s">
        <v>24</v>
      </c>
      <c r="E612" s="4" t="s">
        <v>29</v>
      </c>
      <c r="F612" s="4" t="s">
        <v>25</v>
      </c>
      <c r="G612" s="4" t="s">
        <v>25</v>
      </c>
      <c r="H612" s="4" t="s">
        <v>25</v>
      </c>
      <c r="I612" s="5">
        <v>44713</v>
      </c>
      <c r="J612" s="6">
        <v>0</v>
      </c>
      <c r="K612" s="6">
        <v>0</v>
      </c>
      <c r="L612" s="6">
        <v>46.506</v>
      </c>
      <c r="M612" s="6">
        <v>46.506</v>
      </c>
      <c r="N612" s="6">
        <v>46.506</v>
      </c>
      <c r="O612" s="6">
        <v>46.506</v>
      </c>
      <c r="P612" s="6">
        <v>151</v>
      </c>
      <c r="Q612" s="4" t="s">
        <v>26</v>
      </c>
      <c r="R612" s="4">
        <v>0</v>
      </c>
      <c r="S612" s="6">
        <v>0</v>
      </c>
      <c r="T612" s="6">
        <v>28</v>
      </c>
      <c r="U612" s="6">
        <v>53</v>
      </c>
      <c r="V612" s="6">
        <f>IF(ISERROR(VLOOKUP($S$612,'TAR FIN'!$A$1:$O$86,15,0)),0,VLOOKUP($S$612,'TAR FIN'!$A$1:$O$86,15,0))</f>
        <v>0</v>
      </c>
      <c r="W612" s="6">
        <f>IF(ISERROR(VLOOKUP($T$612,'TAR FIN'!$A$1:$O$86,15,0)),0,VLOOKUP($T$612,'TAR FIN'!$A$1:$O$86,15,0))</f>
        <v>149.38999999999999</v>
      </c>
      <c r="X612" s="6">
        <f>IF(ISERROR(VLOOKUP($U$612,'TAR FIN'!$A$1:$O$86,15,0)),0,VLOOKUP($U$612,'TAR FIN'!$A$1:$O$86,15,0))</f>
        <v>154.93</v>
      </c>
      <c r="Y612" s="6"/>
      <c r="Z612" s="6">
        <f ca="1">('TUSD BE'!$AM$23+'TUSD BF_350'!$AM$23+'TUSD CVA'!$AM$23-('TUSD BE'!$P$23+'TUSD BF_350'!$P$23+'TUSD CVA'!$P$23)-('TUSD BE'!$Q$23+'TUSD BF_350'!$Q$23+'TUSD CVA'!$Q$23)-('TUSD BE'!$R$23+'TUSD BF_350'!$R$23+'TUSD CVA'!$R$23))*(1-CUSTOS!$M$35)</f>
        <v>134.34973182824439</v>
      </c>
      <c r="AA612" s="6">
        <f ca="1">('TE BE'!$AB$13+'TE BF_350'!$AB$13+'TE CVA'!$AB$13)*(1-CUSTOS!$M$35)</f>
        <v>138.34955480915144</v>
      </c>
      <c r="AB612" s="6">
        <f>$K$612*$V$612</f>
        <v>0</v>
      </c>
      <c r="AC612" s="6">
        <f>$M$612*$W$612</f>
        <v>6947.5313399999995</v>
      </c>
      <c r="AD612" s="6">
        <f>$O$612*$X$612</f>
        <v>7205.1745800000008</v>
      </c>
      <c r="AE612" s="6">
        <f>$K$612*$Y$612</f>
        <v>0</v>
      </c>
      <c r="AF612" s="6">
        <f ca="1">$M$612*$Z$612</f>
        <v>6248.0686284043331</v>
      </c>
      <c r="AG612" s="6">
        <f ca="1">$O$612*$AA$612</f>
        <v>6434.0843959543972</v>
      </c>
    </row>
    <row r="613" spans="1:33" ht="11.25" customHeight="1" x14ac:dyDescent="0.25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30</v>
      </c>
      <c r="F613" s="4" t="s">
        <v>25</v>
      </c>
      <c r="G613" s="4" t="s">
        <v>25</v>
      </c>
      <c r="H613" s="4" t="s">
        <v>25</v>
      </c>
      <c r="I613" s="5">
        <v>44378</v>
      </c>
      <c r="J613" s="6">
        <v>0</v>
      </c>
      <c r="K613" s="6">
        <v>0</v>
      </c>
      <c r="L613" s="6">
        <v>42.231000000000002</v>
      </c>
      <c r="M613" s="6">
        <v>42.231000000000002</v>
      </c>
      <c r="N613" s="6">
        <v>42.231000000000002</v>
      </c>
      <c r="O613" s="6">
        <v>42.231000000000002</v>
      </c>
      <c r="P613" s="6">
        <v>350</v>
      </c>
      <c r="Q613" s="4" t="s">
        <v>26</v>
      </c>
      <c r="R613" s="4">
        <v>0</v>
      </c>
      <c r="S613" s="6">
        <v>0</v>
      </c>
      <c r="T613" s="6">
        <v>13</v>
      </c>
      <c r="U613" s="6">
        <v>55</v>
      </c>
      <c r="V613" s="6">
        <f>IF(ISERROR(VLOOKUP($S$613,'TAR FIN'!$A$1:$O$86,15,0)),0,VLOOKUP($S$613,'TAR FIN'!$A$1:$O$86,15,0))</f>
        <v>0</v>
      </c>
      <c r="W613" s="6">
        <f>IF(ISERROR(VLOOKUP($T$613,'TAR FIN'!$A$1:$O$86,15,0)),0,VLOOKUP($T$613,'TAR FIN'!$A$1:$O$86,15,0))</f>
        <v>224.09</v>
      </c>
      <c r="X613" s="6">
        <f>IF(ISERROR(VLOOKUP($U$613,'TAR FIN'!$A$1:$O$86,15,0)),0,VLOOKUP($U$613,'TAR FIN'!$A$1:$O$86,15,0))</f>
        <v>232.39</v>
      </c>
      <c r="Y613" s="6"/>
      <c r="Z613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13" s="6">
        <f ca="1">('TE BE'!$AB$14+'TE BF_350'!$AB$14+'TE CVA'!$AB$14)*(1-CUSTOS!$M$36)</f>
        <v>207.52433221372721</v>
      </c>
      <c r="AB613" s="6">
        <f>$K$613*$V$613</f>
        <v>0</v>
      </c>
      <c r="AC613" s="6">
        <f>$M$613*$W$613</f>
        <v>9463.5447899999999</v>
      </c>
      <c r="AD613" s="6">
        <f>$O$613*$X$613</f>
        <v>9814.0620899999994</v>
      </c>
      <c r="AE613" s="6">
        <f>$K$613*$Y$613</f>
        <v>0</v>
      </c>
      <c r="AF613" s="6">
        <f ca="1">$M$613*$Z$613</f>
        <v>8510.5852872578835</v>
      </c>
      <c r="AG613" s="6">
        <f ca="1">$O$613*$AA$613</f>
        <v>8763.9600737179135</v>
      </c>
    </row>
    <row r="614" spans="1:33" ht="11.25" customHeight="1" x14ac:dyDescent="0.25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30</v>
      </c>
      <c r="F614" s="4" t="s">
        <v>25</v>
      </c>
      <c r="G614" s="4" t="s">
        <v>25</v>
      </c>
      <c r="H614" s="4" t="s">
        <v>25</v>
      </c>
      <c r="I614" s="5">
        <v>44409</v>
      </c>
      <c r="J614" s="6">
        <v>0</v>
      </c>
      <c r="K614" s="6">
        <v>0</v>
      </c>
      <c r="L614" s="6">
        <v>43.195999999999998</v>
      </c>
      <c r="M614" s="6">
        <v>43.195999999999998</v>
      </c>
      <c r="N614" s="6">
        <v>43.195999999999998</v>
      </c>
      <c r="O614" s="6">
        <v>43.195999999999998</v>
      </c>
      <c r="P614" s="6">
        <v>346</v>
      </c>
      <c r="Q614" s="4" t="s">
        <v>26</v>
      </c>
      <c r="R614" s="4">
        <v>0</v>
      </c>
      <c r="S614" s="6">
        <v>0</v>
      </c>
      <c r="T614" s="6">
        <v>13</v>
      </c>
      <c r="U614" s="6">
        <v>55</v>
      </c>
      <c r="V614" s="6">
        <f>IF(ISERROR(VLOOKUP($S$614,'TAR FIN'!$A$1:$O$86,15,0)),0,VLOOKUP($S$614,'TAR FIN'!$A$1:$O$86,15,0))</f>
        <v>0</v>
      </c>
      <c r="W614" s="6">
        <f>IF(ISERROR(VLOOKUP($T$614,'TAR FIN'!$A$1:$O$86,15,0)),0,VLOOKUP($T$614,'TAR FIN'!$A$1:$O$86,15,0))</f>
        <v>224.09</v>
      </c>
      <c r="X614" s="6">
        <f>IF(ISERROR(VLOOKUP($U$614,'TAR FIN'!$A$1:$O$86,15,0)),0,VLOOKUP($U$614,'TAR FIN'!$A$1:$O$86,15,0))</f>
        <v>232.39</v>
      </c>
      <c r="Y614" s="6"/>
      <c r="Z614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14" s="6">
        <f ca="1">('TE BE'!$AB$14+'TE BF_350'!$AB$14+'TE CVA'!$AB$14)*(1-CUSTOS!$M$36)</f>
        <v>207.52433221372721</v>
      </c>
      <c r="AB614" s="6">
        <f>$K$614*$V$614</f>
        <v>0</v>
      </c>
      <c r="AC614" s="6">
        <f>$M$614*$W$614</f>
        <v>9679.7916399999995</v>
      </c>
      <c r="AD614" s="6">
        <f>$O$614*$X$614</f>
        <v>10038.318439999999</v>
      </c>
      <c r="AE614" s="6">
        <f>$K$614*$Y$614</f>
        <v>0</v>
      </c>
      <c r="AF614" s="6">
        <f ca="1">$M$614*$Z$614</f>
        <v>8705.0565240792657</v>
      </c>
      <c r="AG614" s="6">
        <f ca="1">$O$614*$AA$614</f>
        <v>8964.2210543041601</v>
      </c>
    </row>
    <row r="615" spans="1:33" ht="11.25" customHeight="1" x14ac:dyDescent="0.25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30</v>
      </c>
      <c r="F615" s="4" t="s">
        <v>25</v>
      </c>
      <c r="G615" s="4" t="s">
        <v>25</v>
      </c>
      <c r="H615" s="4" t="s">
        <v>25</v>
      </c>
      <c r="I615" s="5">
        <v>44440</v>
      </c>
      <c r="J615" s="6">
        <v>0</v>
      </c>
      <c r="K615" s="6">
        <v>0</v>
      </c>
      <c r="L615" s="6">
        <v>41.781999999999996</v>
      </c>
      <c r="M615" s="6">
        <v>41.781999999999996</v>
      </c>
      <c r="N615" s="6">
        <v>41.781999999999996</v>
      </c>
      <c r="O615" s="6">
        <v>41.781999999999996</v>
      </c>
      <c r="P615" s="6">
        <v>367</v>
      </c>
      <c r="Q615" s="4" t="s">
        <v>26</v>
      </c>
      <c r="R615" s="4">
        <v>0</v>
      </c>
      <c r="S615" s="6">
        <v>0</v>
      </c>
      <c r="T615" s="6">
        <v>13</v>
      </c>
      <c r="U615" s="6">
        <v>55</v>
      </c>
      <c r="V615" s="6">
        <f>IF(ISERROR(VLOOKUP($S$615,'TAR FIN'!$A$1:$O$86,15,0)),0,VLOOKUP($S$615,'TAR FIN'!$A$1:$O$86,15,0))</f>
        <v>0</v>
      </c>
      <c r="W615" s="6">
        <f>IF(ISERROR(VLOOKUP($T$615,'TAR FIN'!$A$1:$O$86,15,0)),0,VLOOKUP($T$615,'TAR FIN'!$A$1:$O$86,15,0))</f>
        <v>224.09</v>
      </c>
      <c r="X615" s="6">
        <f>IF(ISERROR(VLOOKUP($U$615,'TAR FIN'!$A$1:$O$86,15,0)),0,VLOOKUP($U$615,'TAR FIN'!$A$1:$O$86,15,0))</f>
        <v>232.39</v>
      </c>
      <c r="Y615" s="6"/>
      <c r="Z615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15" s="6">
        <f ca="1">('TE BE'!$AB$14+'TE BF_350'!$AB$14+'TE CVA'!$AB$14)*(1-CUSTOS!$M$36)</f>
        <v>207.52433221372721</v>
      </c>
      <c r="AB615" s="6">
        <f>$K$615*$V$615</f>
        <v>0</v>
      </c>
      <c r="AC615" s="6">
        <f>$M$615*$W$615</f>
        <v>9362.9283799999994</v>
      </c>
      <c r="AD615" s="6">
        <f>$O$615*$X$615</f>
        <v>9709.7189799999978</v>
      </c>
      <c r="AE615" s="6">
        <f>$K$615*$Y$615</f>
        <v>0</v>
      </c>
      <c r="AF615" s="6">
        <f ca="1">$M$615*$Z$615</f>
        <v>8420.1007428715602</v>
      </c>
      <c r="AG615" s="6">
        <f ca="1">$O$615*$AA$615</f>
        <v>8670.7816485539497</v>
      </c>
    </row>
    <row r="616" spans="1:33" ht="11.25" customHeight="1" x14ac:dyDescent="0.25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30</v>
      </c>
      <c r="F616" s="4" t="s">
        <v>25</v>
      </c>
      <c r="G616" s="4" t="s">
        <v>25</v>
      </c>
      <c r="H616" s="4" t="s">
        <v>25</v>
      </c>
      <c r="I616" s="5">
        <v>44440</v>
      </c>
      <c r="J616" s="6">
        <v>0</v>
      </c>
      <c r="K616" s="6">
        <v>0</v>
      </c>
      <c r="L616" s="6">
        <v>-2.7E-2</v>
      </c>
      <c r="M616" s="6">
        <v>-2.7E-2</v>
      </c>
      <c r="N616" s="6">
        <v>-2.7E-2</v>
      </c>
      <c r="O616" s="6">
        <v>-2.7E-2</v>
      </c>
      <c r="P616" s="6">
        <v>0</v>
      </c>
      <c r="Q616" s="4" t="s">
        <v>26</v>
      </c>
      <c r="R616" s="4">
        <v>0</v>
      </c>
      <c r="S616" s="6">
        <v>0</v>
      </c>
      <c r="T616" s="6">
        <v>13</v>
      </c>
      <c r="U616" s="6">
        <v>55</v>
      </c>
      <c r="V616" s="6">
        <f>IF(ISERROR(VLOOKUP($S$616,'TAR FIN'!$A$1:$O$86,15,0)),0,VLOOKUP($S$616,'TAR FIN'!$A$1:$O$86,15,0))</f>
        <v>0</v>
      </c>
      <c r="W616" s="6">
        <f>IF(ISERROR(VLOOKUP($T$616,'TAR FIN'!$A$1:$O$86,15,0)),0,VLOOKUP($T$616,'TAR FIN'!$A$1:$O$86,15,0))</f>
        <v>224.09</v>
      </c>
      <c r="X616" s="6">
        <f>IF(ISERROR(VLOOKUP($U$616,'TAR FIN'!$A$1:$O$86,15,0)),0,VLOOKUP($U$616,'TAR FIN'!$A$1:$O$86,15,0))</f>
        <v>232.39</v>
      </c>
      <c r="Y616" s="6"/>
      <c r="Z616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16" s="6">
        <f ca="1">('TE BE'!$AB$14+'TE BF_350'!$AB$14+'TE CVA'!$AB$14)*(1-CUSTOS!$M$36)</f>
        <v>207.52433221372721</v>
      </c>
      <c r="AB616" s="6">
        <f>$K$616*$V$616</f>
        <v>0</v>
      </c>
      <c r="AC616" s="6">
        <f>$M$616*$W$616</f>
        <v>-6.0504300000000004</v>
      </c>
      <c r="AD616" s="6">
        <f>$O$616*$X$616</f>
        <v>-6.2745299999999995</v>
      </c>
      <c r="AE616" s="6">
        <f>$K$616*$Y$616</f>
        <v>0</v>
      </c>
      <c r="AF616" s="6">
        <f ca="1">$M$616*$Z$616</f>
        <v>-5.4411641390438978</v>
      </c>
      <c r="AG616" s="6">
        <f ca="1">$O$616*$AA$616</f>
        <v>-5.6031569697706347</v>
      </c>
    </row>
    <row r="617" spans="1:33" ht="11.25" customHeight="1" x14ac:dyDescent="0.25">
      <c r="A617" s="4" t="s">
        <v>21</v>
      </c>
      <c r="B617" s="4" t="s">
        <v>22</v>
      </c>
      <c r="C617" s="4" t="s">
        <v>23</v>
      </c>
      <c r="D617" s="4" t="s">
        <v>24</v>
      </c>
      <c r="E617" s="4" t="s">
        <v>30</v>
      </c>
      <c r="F617" s="4" t="s">
        <v>25</v>
      </c>
      <c r="G617" s="4" t="s">
        <v>25</v>
      </c>
      <c r="H617" s="4" t="s">
        <v>25</v>
      </c>
      <c r="I617" s="5">
        <v>44470</v>
      </c>
      <c r="J617" s="6">
        <v>0</v>
      </c>
      <c r="K617" s="6">
        <v>0</v>
      </c>
      <c r="L617" s="6">
        <v>43.228000000000002</v>
      </c>
      <c r="M617" s="6">
        <v>43.228000000000002</v>
      </c>
      <c r="N617" s="6">
        <v>43.228000000000002</v>
      </c>
      <c r="O617" s="6">
        <v>43.228000000000002</v>
      </c>
      <c r="P617" s="6">
        <v>378</v>
      </c>
      <c r="Q617" s="4" t="s">
        <v>26</v>
      </c>
      <c r="R617" s="4">
        <v>0</v>
      </c>
      <c r="S617" s="6">
        <v>0</v>
      </c>
      <c r="T617" s="6">
        <v>13</v>
      </c>
      <c r="U617" s="6">
        <v>55</v>
      </c>
      <c r="V617" s="6">
        <f>IF(ISERROR(VLOOKUP($S$617,'TAR FIN'!$A$1:$O$86,15,0)),0,VLOOKUP($S$617,'TAR FIN'!$A$1:$O$86,15,0))</f>
        <v>0</v>
      </c>
      <c r="W617" s="6">
        <f>IF(ISERROR(VLOOKUP($T$617,'TAR FIN'!$A$1:$O$86,15,0)),0,VLOOKUP($T$617,'TAR FIN'!$A$1:$O$86,15,0))</f>
        <v>224.09</v>
      </c>
      <c r="X617" s="6">
        <f>IF(ISERROR(VLOOKUP($U$617,'TAR FIN'!$A$1:$O$86,15,0)),0,VLOOKUP($U$617,'TAR FIN'!$A$1:$O$86,15,0))</f>
        <v>232.39</v>
      </c>
      <c r="Y617" s="6"/>
      <c r="Z617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17" s="6">
        <f ca="1">('TE BE'!$AB$14+'TE BF_350'!$AB$14+'TE CVA'!$AB$14)*(1-CUSTOS!$M$36)</f>
        <v>207.52433221372721</v>
      </c>
      <c r="AB617" s="6">
        <f>$K$617*$V$617</f>
        <v>0</v>
      </c>
      <c r="AC617" s="6">
        <f>$M$617*$W$617</f>
        <v>9686.9625200000009</v>
      </c>
      <c r="AD617" s="6">
        <f>$O$617*$X$617</f>
        <v>10045.754919999999</v>
      </c>
      <c r="AE617" s="6">
        <f>$K$617*$Y$617</f>
        <v>0</v>
      </c>
      <c r="AF617" s="6">
        <f ca="1">$M$617*$Z$617</f>
        <v>8711.5053112070236</v>
      </c>
      <c r="AG617" s="6">
        <f ca="1">$O$617*$AA$617</f>
        <v>8970.8618329349993</v>
      </c>
    </row>
    <row r="618" spans="1:33" ht="11.25" customHeight="1" x14ac:dyDescent="0.25">
      <c r="A618" s="4" t="s">
        <v>21</v>
      </c>
      <c r="B618" s="4" t="s">
        <v>22</v>
      </c>
      <c r="C618" s="4" t="s">
        <v>23</v>
      </c>
      <c r="D618" s="4" t="s">
        <v>24</v>
      </c>
      <c r="E618" s="4" t="s">
        <v>30</v>
      </c>
      <c r="F618" s="4" t="s">
        <v>25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45.985999999999997</v>
      </c>
      <c r="M618" s="6">
        <v>45.985999999999997</v>
      </c>
      <c r="N618" s="6">
        <v>45.985999999999997</v>
      </c>
      <c r="O618" s="6">
        <v>45.985999999999997</v>
      </c>
      <c r="P618" s="6">
        <v>381</v>
      </c>
      <c r="Q618" s="4" t="s">
        <v>26</v>
      </c>
      <c r="R618" s="4">
        <v>0</v>
      </c>
      <c r="S618" s="6">
        <v>0</v>
      </c>
      <c r="T618" s="6">
        <v>13</v>
      </c>
      <c r="U618" s="6">
        <v>55</v>
      </c>
      <c r="V618" s="6">
        <f>IF(ISERROR(VLOOKUP($S$618,'TAR FIN'!$A$1:$O$86,15,0)),0,VLOOKUP($S$618,'TAR FIN'!$A$1:$O$86,15,0))</f>
        <v>0</v>
      </c>
      <c r="W618" s="6">
        <f>IF(ISERROR(VLOOKUP($T$618,'TAR FIN'!$A$1:$O$86,15,0)),0,VLOOKUP($T$618,'TAR FIN'!$A$1:$O$86,15,0))</f>
        <v>224.09</v>
      </c>
      <c r="X618" s="6">
        <f>IF(ISERROR(VLOOKUP($U$618,'TAR FIN'!$A$1:$O$86,15,0)),0,VLOOKUP($U$618,'TAR FIN'!$A$1:$O$86,15,0))</f>
        <v>232.39</v>
      </c>
      <c r="Y618" s="6"/>
      <c r="Z618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18" s="6">
        <f ca="1">('TE BE'!$AB$14+'TE BF_350'!$AB$14+'TE CVA'!$AB$14)*(1-CUSTOS!$M$36)</f>
        <v>207.52433221372721</v>
      </c>
      <c r="AB618" s="6">
        <f>$K$618*$V$618</f>
        <v>0</v>
      </c>
      <c r="AC618" s="6">
        <f>$M$618*$W$618</f>
        <v>10305.00274</v>
      </c>
      <c r="AD618" s="6">
        <f>$O$618*$X$618</f>
        <v>10686.686539999999</v>
      </c>
      <c r="AE618" s="6">
        <f>$K$618*$Y$618</f>
        <v>0</v>
      </c>
      <c r="AF618" s="6">
        <f ca="1">$M$618*$Z$618</f>
        <v>9267.3101517804698</v>
      </c>
      <c r="AG618" s="6">
        <f ca="1">$O$618*$AA$618</f>
        <v>9543.2139411804583</v>
      </c>
    </row>
    <row r="619" spans="1:33" ht="11.25" customHeight="1" x14ac:dyDescent="0.25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30</v>
      </c>
      <c r="F619" s="4" t="s">
        <v>25</v>
      </c>
      <c r="G619" s="4" t="s">
        <v>25</v>
      </c>
      <c r="H619" s="4" t="s">
        <v>25</v>
      </c>
      <c r="I619" s="5">
        <v>44531</v>
      </c>
      <c r="J619" s="6">
        <v>0</v>
      </c>
      <c r="K619" s="6">
        <v>0</v>
      </c>
      <c r="L619" s="6">
        <v>45.545999999999999</v>
      </c>
      <c r="M619" s="6">
        <v>45.545999999999999</v>
      </c>
      <c r="N619" s="6">
        <v>45.545999999999999</v>
      </c>
      <c r="O619" s="6">
        <v>45.545999999999999</v>
      </c>
      <c r="P619" s="6">
        <v>397</v>
      </c>
      <c r="Q619" s="4" t="s">
        <v>26</v>
      </c>
      <c r="R619" s="4">
        <v>0</v>
      </c>
      <c r="S619" s="6">
        <v>0</v>
      </c>
      <c r="T619" s="6">
        <v>13</v>
      </c>
      <c r="U619" s="6">
        <v>55</v>
      </c>
      <c r="V619" s="6">
        <f>IF(ISERROR(VLOOKUP($S$619,'TAR FIN'!$A$1:$O$86,15,0)),0,VLOOKUP($S$619,'TAR FIN'!$A$1:$O$86,15,0))</f>
        <v>0</v>
      </c>
      <c r="W619" s="6">
        <f>IF(ISERROR(VLOOKUP($T$619,'TAR FIN'!$A$1:$O$86,15,0)),0,VLOOKUP($T$619,'TAR FIN'!$A$1:$O$86,15,0))</f>
        <v>224.09</v>
      </c>
      <c r="X619" s="6">
        <f>IF(ISERROR(VLOOKUP($U$619,'TAR FIN'!$A$1:$O$86,15,0)),0,VLOOKUP($U$619,'TAR FIN'!$A$1:$O$86,15,0))</f>
        <v>232.39</v>
      </c>
      <c r="Y619" s="6"/>
      <c r="Z619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19" s="6">
        <f ca="1">('TE BE'!$AB$14+'TE BF_350'!$AB$14+'TE CVA'!$AB$14)*(1-CUSTOS!$M$36)</f>
        <v>207.52433221372721</v>
      </c>
      <c r="AB619" s="6">
        <f>$K$619*$V$619</f>
        <v>0</v>
      </c>
      <c r="AC619" s="6">
        <f>$M$619*$W$619</f>
        <v>10206.40314</v>
      </c>
      <c r="AD619" s="6">
        <f>$O$619*$X$619</f>
        <v>10584.434939999999</v>
      </c>
      <c r="AE619" s="6">
        <f>$K$619*$Y$619</f>
        <v>0</v>
      </c>
      <c r="AF619" s="6">
        <f ca="1">$M$619*$Z$619</f>
        <v>9178.6393287738283</v>
      </c>
      <c r="AG619" s="6">
        <f ca="1">$O$619*$AA$619</f>
        <v>9451.903235006419</v>
      </c>
    </row>
    <row r="620" spans="1:33" ht="11.25" customHeight="1" x14ac:dyDescent="0.25">
      <c r="A620" s="4" t="s">
        <v>21</v>
      </c>
      <c r="B620" s="4" t="s">
        <v>22</v>
      </c>
      <c r="C620" s="4" t="s">
        <v>23</v>
      </c>
      <c r="D620" s="4" t="s">
        <v>24</v>
      </c>
      <c r="E620" s="4" t="s">
        <v>30</v>
      </c>
      <c r="F620" s="4" t="s">
        <v>25</v>
      </c>
      <c r="G620" s="4" t="s">
        <v>25</v>
      </c>
      <c r="H620" s="4" t="s">
        <v>25</v>
      </c>
      <c r="I620" s="5">
        <v>44562</v>
      </c>
      <c r="J620" s="6">
        <v>0</v>
      </c>
      <c r="K620" s="6">
        <v>0</v>
      </c>
      <c r="L620" s="6">
        <v>51.369</v>
      </c>
      <c r="M620" s="6">
        <v>51.369</v>
      </c>
      <c r="N620" s="6">
        <v>51.369</v>
      </c>
      <c r="O620" s="6">
        <v>51.369</v>
      </c>
      <c r="P620" s="6">
        <v>385</v>
      </c>
      <c r="Q620" s="4" t="s">
        <v>26</v>
      </c>
      <c r="R620" s="4">
        <v>0</v>
      </c>
      <c r="S620" s="6">
        <v>0</v>
      </c>
      <c r="T620" s="6">
        <v>13</v>
      </c>
      <c r="U620" s="6">
        <v>55</v>
      </c>
      <c r="V620" s="6">
        <f>IF(ISERROR(VLOOKUP($S$620,'TAR FIN'!$A$1:$O$86,15,0)),0,VLOOKUP($S$620,'TAR FIN'!$A$1:$O$86,15,0))</f>
        <v>0</v>
      </c>
      <c r="W620" s="6">
        <f>IF(ISERROR(VLOOKUP($T$620,'TAR FIN'!$A$1:$O$86,15,0)),0,VLOOKUP($T$620,'TAR FIN'!$A$1:$O$86,15,0))</f>
        <v>224.09</v>
      </c>
      <c r="X620" s="6">
        <f>IF(ISERROR(VLOOKUP($U$620,'TAR FIN'!$A$1:$O$86,15,0)),0,VLOOKUP($U$620,'TAR FIN'!$A$1:$O$86,15,0))</f>
        <v>232.39</v>
      </c>
      <c r="Y620" s="6"/>
      <c r="Z620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20" s="6">
        <f ca="1">('TE BE'!$AB$14+'TE BF_350'!$AB$14+'TE CVA'!$AB$14)*(1-CUSTOS!$M$36)</f>
        <v>207.52433221372721</v>
      </c>
      <c r="AB620" s="6">
        <f>$K$620*$V$620</f>
        <v>0</v>
      </c>
      <c r="AC620" s="6">
        <f>$M$620*$W$620</f>
        <v>11511.279210000001</v>
      </c>
      <c r="AD620" s="6">
        <f>$O$620*$X$620</f>
        <v>11937.641909999998</v>
      </c>
      <c r="AE620" s="6">
        <f>$K$620*$Y$620</f>
        <v>0</v>
      </c>
      <c r="AF620" s="6">
        <f ca="1">$M$620*$Z$620</f>
        <v>10352.117061427629</v>
      </c>
      <c r="AG620" s="6">
        <f ca="1">$O$620*$AA$620</f>
        <v>10660.317421486952</v>
      </c>
    </row>
    <row r="621" spans="1:33" ht="11.25" customHeight="1" x14ac:dyDescent="0.25">
      <c r="A621" s="4" t="s">
        <v>21</v>
      </c>
      <c r="B621" s="4" t="s">
        <v>22</v>
      </c>
      <c r="C621" s="4" t="s">
        <v>23</v>
      </c>
      <c r="D621" s="4" t="s">
        <v>24</v>
      </c>
      <c r="E621" s="4" t="s">
        <v>30</v>
      </c>
      <c r="F621" s="4" t="s">
        <v>25</v>
      </c>
      <c r="G621" s="4" t="s">
        <v>25</v>
      </c>
      <c r="H621" s="4" t="s">
        <v>25</v>
      </c>
      <c r="I621" s="5">
        <v>44593</v>
      </c>
      <c r="J621" s="6">
        <v>0</v>
      </c>
      <c r="K621" s="6">
        <v>0</v>
      </c>
      <c r="L621" s="6">
        <v>49.252000000000002</v>
      </c>
      <c r="M621" s="6">
        <v>49.252000000000002</v>
      </c>
      <c r="N621" s="6">
        <v>49.252000000000002</v>
      </c>
      <c r="O621" s="6">
        <v>49.252000000000002</v>
      </c>
      <c r="P621" s="6">
        <v>384</v>
      </c>
      <c r="Q621" s="4" t="s">
        <v>26</v>
      </c>
      <c r="R621" s="4">
        <v>0</v>
      </c>
      <c r="S621" s="6">
        <v>0</v>
      </c>
      <c r="T621" s="6">
        <v>13</v>
      </c>
      <c r="U621" s="6">
        <v>55</v>
      </c>
      <c r="V621" s="6">
        <f>IF(ISERROR(VLOOKUP($S$621,'TAR FIN'!$A$1:$O$86,15,0)),0,VLOOKUP($S$621,'TAR FIN'!$A$1:$O$86,15,0))</f>
        <v>0</v>
      </c>
      <c r="W621" s="6">
        <f>IF(ISERROR(VLOOKUP($T$621,'TAR FIN'!$A$1:$O$86,15,0)),0,VLOOKUP($T$621,'TAR FIN'!$A$1:$O$86,15,0))</f>
        <v>224.09</v>
      </c>
      <c r="X621" s="6">
        <f>IF(ISERROR(VLOOKUP($U$621,'TAR FIN'!$A$1:$O$86,15,0)),0,VLOOKUP($U$621,'TAR FIN'!$A$1:$O$86,15,0))</f>
        <v>232.39</v>
      </c>
      <c r="Y621" s="6"/>
      <c r="Z621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21" s="6">
        <f ca="1">('TE BE'!$AB$14+'TE BF_350'!$AB$14+'TE CVA'!$AB$14)*(1-CUSTOS!$M$36)</f>
        <v>207.52433221372721</v>
      </c>
      <c r="AB621" s="6">
        <f>$K$621*$V$621</f>
        <v>0</v>
      </c>
      <c r="AC621" s="6">
        <f>$M$621*$W$621</f>
        <v>11036.88068</v>
      </c>
      <c r="AD621" s="6">
        <f>$O$621*$X$621</f>
        <v>11445.672280000001</v>
      </c>
      <c r="AE621" s="6">
        <f>$K$621*$Y$621</f>
        <v>0</v>
      </c>
      <c r="AF621" s="6">
        <f ca="1">$M$621*$Z$621</f>
        <v>9925.4894880070387</v>
      </c>
      <c r="AG621" s="6">
        <f ca="1">$O$621*$AA$621</f>
        <v>10220.988410190494</v>
      </c>
    </row>
    <row r="622" spans="1:33" ht="11.25" customHeight="1" x14ac:dyDescent="0.25">
      <c r="A622" s="4" t="s">
        <v>21</v>
      </c>
      <c r="B622" s="4" t="s">
        <v>22</v>
      </c>
      <c r="C622" s="4" t="s">
        <v>23</v>
      </c>
      <c r="D622" s="4" t="s">
        <v>24</v>
      </c>
      <c r="E622" s="4" t="s">
        <v>30</v>
      </c>
      <c r="F622" s="4" t="s">
        <v>25</v>
      </c>
      <c r="G622" s="4" t="s">
        <v>25</v>
      </c>
      <c r="H622" s="4" t="s">
        <v>25</v>
      </c>
      <c r="I622" s="5">
        <v>44621</v>
      </c>
      <c r="J622" s="6">
        <v>0</v>
      </c>
      <c r="K622" s="6">
        <v>0</v>
      </c>
      <c r="L622" s="6">
        <v>50.28</v>
      </c>
      <c r="M622" s="6">
        <v>50.28</v>
      </c>
      <c r="N622" s="6">
        <v>50.28</v>
      </c>
      <c r="O622" s="6">
        <v>50.28</v>
      </c>
      <c r="P622" s="6">
        <v>373</v>
      </c>
      <c r="Q622" s="4" t="s">
        <v>26</v>
      </c>
      <c r="R622" s="4">
        <v>0</v>
      </c>
      <c r="S622" s="6">
        <v>0</v>
      </c>
      <c r="T622" s="6">
        <v>13</v>
      </c>
      <c r="U622" s="6">
        <v>55</v>
      </c>
      <c r="V622" s="6">
        <f>IF(ISERROR(VLOOKUP($S$622,'TAR FIN'!$A$1:$O$86,15,0)),0,VLOOKUP($S$622,'TAR FIN'!$A$1:$O$86,15,0))</f>
        <v>0</v>
      </c>
      <c r="W622" s="6">
        <f>IF(ISERROR(VLOOKUP($T$622,'TAR FIN'!$A$1:$O$86,15,0)),0,VLOOKUP($T$622,'TAR FIN'!$A$1:$O$86,15,0))</f>
        <v>224.09</v>
      </c>
      <c r="X622" s="6">
        <f>IF(ISERROR(VLOOKUP($U$622,'TAR FIN'!$A$1:$O$86,15,0)),0,VLOOKUP($U$622,'TAR FIN'!$A$1:$O$86,15,0))</f>
        <v>232.39</v>
      </c>
      <c r="Y622" s="6"/>
      <c r="Z622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22" s="6">
        <f ca="1">('TE BE'!$AB$14+'TE BF_350'!$AB$14+'TE CVA'!$AB$14)*(1-CUSTOS!$M$36)</f>
        <v>207.52433221372721</v>
      </c>
      <c r="AB622" s="6">
        <f>$K$622*$V$622</f>
        <v>0</v>
      </c>
      <c r="AC622" s="6">
        <f>$M$622*$W$622</f>
        <v>11267.245200000001</v>
      </c>
      <c r="AD622" s="6">
        <f>$O$622*$X$622</f>
        <v>11684.5692</v>
      </c>
      <c r="AE622" s="6">
        <f>$K$622*$Y$622</f>
        <v>0</v>
      </c>
      <c r="AF622" s="6">
        <f ca="1">$M$622*$Z$622</f>
        <v>10132.656774486191</v>
      </c>
      <c r="AG622" s="6">
        <f ca="1">$O$622*$AA$622</f>
        <v>10434.323423706204</v>
      </c>
    </row>
    <row r="623" spans="1:33" ht="11.25" customHeight="1" x14ac:dyDescent="0.25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30</v>
      </c>
      <c r="F623" s="4" t="s">
        <v>25</v>
      </c>
      <c r="G623" s="4" t="s">
        <v>25</v>
      </c>
      <c r="H623" s="4" t="s">
        <v>25</v>
      </c>
      <c r="I623" s="5">
        <v>44652</v>
      </c>
      <c r="J623" s="6">
        <v>0</v>
      </c>
      <c r="K623" s="6">
        <v>0</v>
      </c>
      <c r="L623" s="6">
        <v>41.968000000000004</v>
      </c>
      <c r="M623" s="6">
        <v>41.968000000000004</v>
      </c>
      <c r="N623" s="6">
        <v>41.968000000000004</v>
      </c>
      <c r="O623" s="6">
        <v>41.968000000000004</v>
      </c>
      <c r="P623" s="6">
        <v>416</v>
      </c>
      <c r="Q623" s="4" t="s">
        <v>26</v>
      </c>
      <c r="R623" s="4">
        <v>0</v>
      </c>
      <c r="S623" s="6">
        <v>0</v>
      </c>
      <c r="T623" s="6">
        <v>13</v>
      </c>
      <c r="U623" s="6">
        <v>55</v>
      </c>
      <c r="V623" s="6">
        <f>IF(ISERROR(VLOOKUP($S$623,'TAR FIN'!$A$1:$O$86,15,0)),0,VLOOKUP($S$623,'TAR FIN'!$A$1:$O$86,15,0))</f>
        <v>0</v>
      </c>
      <c r="W623" s="6">
        <f>IF(ISERROR(VLOOKUP($T$623,'TAR FIN'!$A$1:$O$86,15,0)),0,VLOOKUP($T$623,'TAR FIN'!$A$1:$O$86,15,0))</f>
        <v>224.09</v>
      </c>
      <c r="X623" s="6">
        <f>IF(ISERROR(VLOOKUP($U$623,'TAR FIN'!$A$1:$O$86,15,0)),0,VLOOKUP($U$623,'TAR FIN'!$A$1:$O$86,15,0))</f>
        <v>232.39</v>
      </c>
      <c r="Y623" s="6"/>
      <c r="Z623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23" s="6">
        <f ca="1">('TE BE'!$AB$14+'TE BF_350'!$AB$14+'TE CVA'!$AB$14)*(1-CUSTOS!$M$36)</f>
        <v>207.52433221372721</v>
      </c>
      <c r="AB623" s="6">
        <f>$K$623*$V$623</f>
        <v>0</v>
      </c>
      <c r="AC623" s="6">
        <f>$M$623*$W$623</f>
        <v>9404.609120000001</v>
      </c>
      <c r="AD623" s="6">
        <f>$O$623*$X$623</f>
        <v>9752.9435200000007</v>
      </c>
      <c r="AE623" s="6">
        <f>$K$623*$Y$623</f>
        <v>0</v>
      </c>
      <c r="AF623" s="6">
        <f ca="1">$M$623*$Z$623</f>
        <v>8457.5843180516422</v>
      </c>
      <c r="AG623" s="6">
        <f ca="1">$O$623*$AA$623</f>
        <v>8709.3811743457045</v>
      </c>
    </row>
    <row r="624" spans="1:33" ht="11.25" customHeight="1" x14ac:dyDescent="0.25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30</v>
      </c>
      <c r="F624" s="4" t="s">
        <v>25</v>
      </c>
      <c r="G624" s="4" t="s">
        <v>25</v>
      </c>
      <c r="H624" s="4" t="s">
        <v>25</v>
      </c>
      <c r="I624" s="5">
        <v>44682</v>
      </c>
      <c r="J624" s="6">
        <v>0</v>
      </c>
      <c r="K624" s="6">
        <v>0</v>
      </c>
      <c r="L624" s="6">
        <v>41.470999999999997</v>
      </c>
      <c r="M624" s="6">
        <v>41.470999999999997</v>
      </c>
      <c r="N624" s="6">
        <v>41.470999999999997</v>
      </c>
      <c r="O624" s="6">
        <v>41.470999999999997</v>
      </c>
      <c r="P624" s="6">
        <v>410</v>
      </c>
      <c r="Q624" s="4" t="s">
        <v>26</v>
      </c>
      <c r="R624" s="4">
        <v>0</v>
      </c>
      <c r="S624" s="6">
        <v>0</v>
      </c>
      <c r="T624" s="6">
        <v>13</v>
      </c>
      <c r="U624" s="6">
        <v>55</v>
      </c>
      <c r="V624" s="6">
        <f>IF(ISERROR(VLOOKUP($S$624,'TAR FIN'!$A$1:$O$86,15,0)),0,VLOOKUP($S$624,'TAR FIN'!$A$1:$O$86,15,0))</f>
        <v>0</v>
      </c>
      <c r="W624" s="6">
        <f>IF(ISERROR(VLOOKUP($T$624,'TAR FIN'!$A$1:$O$86,15,0)),0,VLOOKUP($T$624,'TAR FIN'!$A$1:$O$86,15,0))</f>
        <v>224.09</v>
      </c>
      <c r="X624" s="6">
        <f>IF(ISERROR(VLOOKUP($U$624,'TAR FIN'!$A$1:$O$86,15,0)),0,VLOOKUP($U$624,'TAR FIN'!$A$1:$O$86,15,0))</f>
        <v>232.39</v>
      </c>
      <c r="Y624" s="6"/>
      <c r="Z624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24" s="6">
        <f ca="1">('TE BE'!$AB$14+'TE BF_350'!$AB$14+'TE CVA'!$AB$14)*(1-CUSTOS!$M$36)</f>
        <v>207.52433221372721</v>
      </c>
      <c r="AB624" s="6">
        <f>$K$624*$V$624</f>
        <v>0</v>
      </c>
      <c r="AC624" s="6">
        <f>$M$624*$W$624</f>
        <v>9293.23639</v>
      </c>
      <c r="AD624" s="6">
        <f>$O$624*$X$624</f>
        <v>9637.4456899999986</v>
      </c>
      <c r="AE624" s="6">
        <f>$K$624*$Y$624</f>
        <v>0</v>
      </c>
      <c r="AF624" s="6">
        <f ca="1">$M$624*$Z$624</f>
        <v>8357.426592973683</v>
      </c>
      <c r="AG624" s="6">
        <f ca="1">$O$624*$AA$624</f>
        <v>8606.2415812354811</v>
      </c>
    </row>
    <row r="625" spans="1:33" ht="11.25" customHeight="1" x14ac:dyDescent="0.25">
      <c r="A625" s="4" t="s">
        <v>56</v>
      </c>
      <c r="B625" s="4" t="s">
        <v>22</v>
      </c>
      <c r="C625" s="4" t="s">
        <v>23</v>
      </c>
      <c r="D625" s="4" t="s">
        <v>24</v>
      </c>
      <c r="E625" s="4" t="s">
        <v>30</v>
      </c>
      <c r="F625" s="4" t="s">
        <v>25</v>
      </c>
      <c r="G625" s="4" t="s">
        <v>25</v>
      </c>
      <c r="H625" s="4" t="s">
        <v>25</v>
      </c>
      <c r="I625" s="5">
        <v>44713</v>
      </c>
      <c r="J625" s="6">
        <v>0</v>
      </c>
      <c r="K625" s="6">
        <v>0</v>
      </c>
      <c r="L625" s="6">
        <v>41.470999999999997</v>
      </c>
      <c r="M625" s="6">
        <v>41.470999999999997</v>
      </c>
      <c r="N625" s="6">
        <v>41.470999999999997</v>
      </c>
      <c r="O625" s="6">
        <v>41.470999999999997</v>
      </c>
      <c r="P625" s="6">
        <v>410</v>
      </c>
      <c r="Q625" s="4" t="s">
        <v>26</v>
      </c>
      <c r="R625" s="4">
        <v>0</v>
      </c>
      <c r="S625" s="6">
        <v>0</v>
      </c>
      <c r="T625" s="6">
        <v>13</v>
      </c>
      <c r="U625" s="6">
        <v>55</v>
      </c>
      <c r="V625" s="6">
        <f>IF(ISERROR(VLOOKUP($S$625,'TAR FIN'!$A$1:$O$86,15,0)),0,VLOOKUP($S$625,'TAR FIN'!$A$1:$O$86,15,0))</f>
        <v>0</v>
      </c>
      <c r="W625" s="6">
        <f>IF(ISERROR(VLOOKUP($T$625,'TAR FIN'!$A$1:$O$86,15,0)),0,VLOOKUP($T$625,'TAR FIN'!$A$1:$O$86,15,0))</f>
        <v>224.09</v>
      </c>
      <c r="X625" s="6">
        <f>IF(ISERROR(VLOOKUP($U$625,'TAR FIN'!$A$1:$O$86,15,0)),0,VLOOKUP($U$625,'TAR FIN'!$A$1:$O$86,15,0))</f>
        <v>232.39</v>
      </c>
      <c r="Y625" s="6"/>
      <c r="Z625" s="6">
        <f ca="1">('TUSD BE'!$AM$24+'TUSD BF_350'!$AM$24+'TUSD CVA'!$AM$24-('TUSD BE'!$P$24+'TUSD BF_350'!$P$24+'TUSD CVA'!$P$24)-('TUSD BE'!$Q$24+'TUSD BF_350'!$Q$24+'TUSD CVA'!$Q$24)-('TUSD BE'!$R$24+'TUSD BF_350'!$R$24+'TUSD CVA'!$R$24))*(1-CUSTOS!$M$36)</f>
        <v>201.52459774236658</v>
      </c>
      <c r="AA625" s="6">
        <f ca="1">('TE BE'!$AB$14+'TE BF_350'!$AB$14+'TE CVA'!$AB$14)*(1-CUSTOS!$M$36)</f>
        <v>207.52433221372721</v>
      </c>
      <c r="AB625" s="6">
        <f>$K$625*$V$625</f>
        <v>0</v>
      </c>
      <c r="AC625" s="6">
        <f>$M$625*$W$625</f>
        <v>9293.23639</v>
      </c>
      <c r="AD625" s="6">
        <f>$O$625*$X$625</f>
        <v>9637.4456899999986</v>
      </c>
      <c r="AE625" s="6">
        <f>$K$625*$Y$625</f>
        <v>0</v>
      </c>
      <c r="AF625" s="6">
        <f ca="1">$M$625*$Z$625</f>
        <v>8357.426592973683</v>
      </c>
      <c r="AG625" s="6">
        <f ca="1">$O$625*$AA$625</f>
        <v>8606.2415812354811</v>
      </c>
    </row>
    <row r="626" spans="1:33" ht="11.25" customHeight="1" x14ac:dyDescent="0.25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31</v>
      </c>
      <c r="F626" s="4" t="s">
        <v>25</v>
      </c>
      <c r="G626" s="4" t="s">
        <v>25</v>
      </c>
      <c r="H626" s="4" t="s">
        <v>25</v>
      </c>
      <c r="I626" s="5">
        <v>44378</v>
      </c>
      <c r="J626" s="6">
        <v>0</v>
      </c>
      <c r="K626" s="6">
        <v>0</v>
      </c>
      <c r="L626" s="6">
        <v>16.440000000000001</v>
      </c>
      <c r="M626" s="6">
        <v>16.440000000000001</v>
      </c>
      <c r="N626" s="6">
        <v>16.440000000000001</v>
      </c>
      <c r="O626" s="6">
        <v>16.440000000000001</v>
      </c>
      <c r="P626" s="6">
        <v>180</v>
      </c>
      <c r="Q626" s="4" t="s">
        <v>26</v>
      </c>
      <c r="R626" s="4">
        <v>0</v>
      </c>
      <c r="S626" s="6">
        <v>0</v>
      </c>
      <c r="T626" s="6">
        <v>17</v>
      </c>
      <c r="U626" s="6">
        <v>72</v>
      </c>
      <c r="V626" s="6">
        <f>IF(ISERROR(VLOOKUP($S$626,'TAR FIN'!$A$1:$O$86,15,0)),0,VLOOKUP($S$626,'TAR FIN'!$A$1:$O$86,15,0))</f>
        <v>0</v>
      </c>
      <c r="W626" s="6">
        <f>IF(ISERROR(VLOOKUP($T$626,'TAR FIN'!$A$1:$O$86,15,0)),0,VLOOKUP($T$626,'TAR FIN'!$A$1:$O$86,15,0))</f>
        <v>248.98</v>
      </c>
      <c r="X626" s="6">
        <f>IF(ISERROR(VLOOKUP($U$626,'TAR FIN'!$A$1:$O$86,15,0)),0,VLOOKUP($U$626,'TAR FIN'!$A$1:$O$86,15,0))</f>
        <v>258.20999999999998</v>
      </c>
      <c r="Y626" s="6"/>
      <c r="Z626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26" s="6">
        <f ca="1">('TE BE'!$AB$15+'TE BF_350'!$AB$15+'TE CVA'!$AB$15)*(1-CUSTOS!$M$37)</f>
        <v>230.58259134858577</v>
      </c>
      <c r="AB626" s="6">
        <f>$K$626*$V$626</f>
        <v>0</v>
      </c>
      <c r="AC626" s="6">
        <f>$M$626*$W$626</f>
        <v>4093.2312000000002</v>
      </c>
      <c r="AD626" s="6">
        <f>$O$626*$X$626</f>
        <v>4244.9723999999997</v>
      </c>
      <c r="AE626" s="6">
        <f>$K$626*$Y$626</f>
        <v>0</v>
      </c>
      <c r="AF626" s="6">
        <f ca="1">$M$626*$Z$626</f>
        <v>3681.1826520938966</v>
      </c>
      <c r="AG626" s="6">
        <f ca="1">$O$626*$AA$626</f>
        <v>3790.7778017707501</v>
      </c>
    </row>
    <row r="627" spans="1:33" ht="11.25" customHeight="1" x14ac:dyDescent="0.25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31</v>
      </c>
      <c r="F627" s="4" t="s">
        <v>25</v>
      </c>
      <c r="G627" s="4" t="s">
        <v>25</v>
      </c>
      <c r="H627" s="4" t="s">
        <v>25</v>
      </c>
      <c r="I627" s="5">
        <v>44409</v>
      </c>
      <c r="J627" s="6">
        <v>0</v>
      </c>
      <c r="K627" s="6">
        <v>0</v>
      </c>
      <c r="L627" s="6">
        <v>14.932</v>
      </c>
      <c r="M627" s="6">
        <v>14.932</v>
      </c>
      <c r="N627" s="6">
        <v>14.932</v>
      </c>
      <c r="O627" s="6">
        <v>14.932</v>
      </c>
      <c r="P627" s="6">
        <v>192</v>
      </c>
      <c r="Q627" s="4" t="s">
        <v>26</v>
      </c>
      <c r="R627" s="4">
        <v>0</v>
      </c>
      <c r="S627" s="6">
        <v>0</v>
      </c>
      <c r="T627" s="6">
        <v>17</v>
      </c>
      <c r="U627" s="6">
        <v>72</v>
      </c>
      <c r="V627" s="6">
        <f>IF(ISERROR(VLOOKUP($S$627,'TAR FIN'!$A$1:$O$86,15,0)),0,VLOOKUP($S$627,'TAR FIN'!$A$1:$O$86,15,0))</f>
        <v>0</v>
      </c>
      <c r="W627" s="6">
        <f>IF(ISERROR(VLOOKUP($T$627,'TAR FIN'!$A$1:$O$86,15,0)),0,VLOOKUP($T$627,'TAR FIN'!$A$1:$O$86,15,0))</f>
        <v>248.98</v>
      </c>
      <c r="X627" s="6">
        <f>IF(ISERROR(VLOOKUP($U$627,'TAR FIN'!$A$1:$O$86,15,0)),0,VLOOKUP($U$627,'TAR FIN'!$A$1:$O$86,15,0))</f>
        <v>258.20999999999998</v>
      </c>
      <c r="Y627" s="6"/>
      <c r="Z627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27" s="6">
        <f ca="1">('TE BE'!$AB$15+'TE BF_350'!$AB$15+'TE CVA'!$AB$15)*(1-CUSTOS!$M$37)</f>
        <v>230.58259134858577</v>
      </c>
      <c r="AB627" s="6">
        <f>$K$627*$V$627</f>
        <v>0</v>
      </c>
      <c r="AC627" s="6">
        <f>$M$627*$W$627</f>
        <v>3717.7693599999998</v>
      </c>
      <c r="AD627" s="6">
        <f>$O$627*$X$627</f>
        <v>3855.5917199999999</v>
      </c>
      <c r="AE627" s="6">
        <f>$K$627*$Y$627</f>
        <v>0</v>
      </c>
      <c r="AF627" s="6">
        <f ca="1">$M$627*$Z$627</f>
        <v>3343.5169927655752</v>
      </c>
      <c r="AG627" s="6">
        <f ca="1">$O$627*$AA$627</f>
        <v>3443.0592540170828</v>
      </c>
    </row>
    <row r="628" spans="1:33" ht="11.25" customHeight="1" x14ac:dyDescent="0.25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31</v>
      </c>
      <c r="F628" s="4" t="s">
        <v>25</v>
      </c>
      <c r="G628" s="4" t="s">
        <v>25</v>
      </c>
      <c r="H628" s="4" t="s">
        <v>25</v>
      </c>
      <c r="I628" s="5">
        <v>44440</v>
      </c>
      <c r="J628" s="6">
        <v>0</v>
      </c>
      <c r="K628" s="6">
        <v>0</v>
      </c>
      <c r="L628" s="6">
        <v>12.797000000000001</v>
      </c>
      <c r="M628" s="6">
        <v>12.797000000000001</v>
      </c>
      <c r="N628" s="6">
        <v>12.797000000000001</v>
      </c>
      <c r="O628" s="6">
        <v>12.797000000000001</v>
      </c>
      <c r="P628" s="6">
        <v>172</v>
      </c>
      <c r="Q628" s="4" t="s">
        <v>26</v>
      </c>
      <c r="R628" s="4">
        <v>0</v>
      </c>
      <c r="S628" s="6">
        <v>0</v>
      </c>
      <c r="T628" s="6">
        <v>17</v>
      </c>
      <c r="U628" s="6">
        <v>72</v>
      </c>
      <c r="V628" s="6">
        <f>IF(ISERROR(VLOOKUP($S$628,'TAR FIN'!$A$1:$O$86,15,0)),0,VLOOKUP($S$628,'TAR FIN'!$A$1:$O$86,15,0))</f>
        <v>0</v>
      </c>
      <c r="W628" s="6">
        <f>IF(ISERROR(VLOOKUP($T$628,'TAR FIN'!$A$1:$O$86,15,0)),0,VLOOKUP($T$628,'TAR FIN'!$A$1:$O$86,15,0))</f>
        <v>248.98</v>
      </c>
      <c r="X628" s="6">
        <f>IF(ISERROR(VLOOKUP($U$628,'TAR FIN'!$A$1:$O$86,15,0)),0,VLOOKUP($U$628,'TAR FIN'!$A$1:$O$86,15,0))</f>
        <v>258.20999999999998</v>
      </c>
      <c r="Y628" s="6"/>
      <c r="Z628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28" s="6">
        <f ca="1">('TE BE'!$AB$15+'TE BF_350'!$AB$15+'TE CVA'!$AB$15)*(1-CUSTOS!$M$37)</f>
        <v>230.58259134858577</v>
      </c>
      <c r="AB628" s="6">
        <f>$K$628*$V$628</f>
        <v>0</v>
      </c>
      <c r="AC628" s="6">
        <f>$M$628*$W$628</f>
        <v>3186.19706</v>
      </c>
      <c r="AD628" s="6">
        <f>$O$628*$X$628</f>
        <v>3304.3133699999998</v>
      </c>
      <c r="AE628" s="6">
        <f>$K$628*$Y$628</f>
        <v>0</v>
      </c>
      <c r="AF628" s="6">
        <f ca="1">$M$628*$Z$628</f>
        <v>2865.4558636767392</v>
      </c>
      <c r="AG628" s="6">
        <f ca="1">$O$628*$AA$628</f>
        <v>2950.7654214878521</v>
      </c>
    </row>
    <row r="629" spans="1:33" ht="11.25" customHeight="1" x14ac:dyDescent="0.25">
      <c r="A629" s="4" t="s">
        <v>27</v>
      </c>
      <c r="B629" s="4" t="s">
        <v>22</v>
      </c>
      <c r="C629" s="4" t="s">
        <v>23</v>
      </c>
      <c r="D629" s="4" t="s">
        <v>24</v>
      </c>
      <c r="E629" s="4" t="s">
        <v>31</v>
      </c>
      <c r="F629" s="4" t="s">
        <v>25</v>
      </c>
      <c r="G629" s="4" t="s">
        <v>25</v>
      </c>
      <c r="H629" s="4" t="s">
        <v>25</v>
      </c>
      <c r="I629" s="5">
        <v>44440</v>
      </c>
      <c r="J629" s="6">
        <v>0</v>
      </c>
      <c r="K629" s="6">
        <v>0</v>
      </c>
      <c r="L629" s="6">
        <v>-0.29799999999999999</v>
      </c>
      <c r="M629" s="6">
        <v>-0.29799999999999999</v>
      </c>
      <c r="N629" s="6">
        <v>-0.29799999999999999</v>
      </c>
      <c r="O629" s="6">
        <v>-0.29799999999999999</v>
      </c>
      <c r="P629" s="6">
        <v>0</v>
      </c>
      <c r="Q629" s="4" t="s">
        <v>26</v>
      </c>
      <c r="R629" s="4">
        <v>0</v>
      </c>
      <c r="S629" s="6">
        <v>0</v>
      </c>
      <c r="T629" s="6">
        <v>17</v>
      </c>
      <c r="U629" s="6">
        <v>72</v>
      </c>
      <c r="V629" s="6">
        <f>IF(ISERROR(VLOOKUP($S$629,'TAR FIN'!$A$1:$O$86,15,0)),0,VLOOKUP($S$629,'TAR FIN'!$A$1:$O$86,15,0))</f>
        <v>0</v>
      </c>
      <c r="W629" s="6">
        <f>IF(ISERROR(VLOOKUP($T$629,'TAR FIN'!$A$1:$O$86,15,0)),0,VLOOKUP($T$629,'TAR FIN'!$A$1:$O$86,15,0))</f>
        <v>248.98</v>
      </c>
      <c r="X629" s="6">
        <f>IF(ISERROR(VLOOKUP($U$629,'TAR FIN'!$A$1:$O$86,15,0)),0,VLOOKUP($U$629,'TAR FIN'!$A$1:$O$86,15,0))</f>
        <v>258.20999999999998</v>
      </c>
      <c r="Y629" s="6"/>
      <c r="Z629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29" s="6">
        <f ca="1">('TE BE'!$AB$15+'TE BF_350'!$AB$15+'TE CVA'!$AB$15)*(1-CUSTOS!$M$37)</f>
        <v>230.58259134858577</v>
      </c>
      <c r="AB629" s="6">
        <f>$K$629*$V$629</f>
        <v>0</v>
      </c>
      <c r="AC629" s="6">
        <f>$M$629*$W$629</f>
        <v>-74.196039999999996</v>
      </c>
      <c r="AD629" s="6">
        <f>$O$629*$X$629</f>
        <v>-76.946579999999997</v>
      </c>
      <c r="AE629" s="6">
        <f>$K$629*$Y$629</f>
        <v>0</v>
      </c>
      <c r="AF629" s="6">
        <f ca="1">$M$629*$Z$629</f>
        <v>-66.727033474694707</v>
      </c>
      <c r="AG629" s="6">
        <f ca="1">$O$629*$AA$629</f>
        <v>-68.713612221878549</v>
      </c>
    </row>
    <row r="630" spans="1:33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31</v>
      </c>
      <c r="F630" s="4" t="s">
        <v>25</v>
      </c>
      <c r="G630" s="4" t="s">
        <v>25</v>
      </c>
      <c r="H630" s="4" t="s">
        <v>25</v>
      </c>
      <c r="I630" s="5">
        <v>44470</v>
      </c>
      <c r="J630" s="6">
        <v>0</v>
      </c>
      <c r="K630" s="6">
        <v>0</v>
      </c>
      <c r="L630" s="6">
        <v>12.688000000000001</v>
      </c>
      <c r="M630" s="6">
        <v>12.688000000000001</v>
      </c>
      <c r="N630" s="6">
        <v>12.688000000000001</v>
      </c>
      <c r="O630" s="6">
        <v>12.688000000000001</v>
      </c>
      <c r="P630" s="6">
        <v>175</v>
      </c>
      <c r="Q630" s="4" t="s">
        <v>26</v>
      </c>
      <c r="R630" s="4">
        <v>0</v>
      </c>
      <c r="S630" s="6">
        <v>0</v>
      </c>
      <c r="T630" s="6">
        <v>17</v>
      </c>
      <c r="U630" s="6">
        <v>72</v>
      </c>
      <c r="V630" s="6">
        <f>IF(ISERROR(VLOOKUP($S$630,'TAR FIN'!$A$1:$O$86,15,0)),0,VLOOKUP($S$630,'TAR FIN'!$A$1:$O$86,15,0))</f>
        <v>0</v>
      </c>
      <c r="W630" s="6">
        <f>IF(ISERROR(VLOOKUP($T$630,'TAR FIN'!$A$1:$O$86,15,0)),0,VLOOKUP($T$630,'TAR FIN'!$A$1:$O$86,15,0))</f>
        <v>248.98</v>
      </c>
      <c r="X630" s="6">
        <f>IF(ISERROR(VLOOKUP($U$630,'TAR FIN'!$A$1:$O$86,15,0)),0,VLOOKUP($U$630,'TAR FIN'!$A$1:$O$86,15,0))</f>
        <v>258.20999999999998</v>
      </c>
      <c r="Y630" s="6"/>
      <c r="Z630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0" s="6">
        <f ca="1">('TE BE'!$AB$15+'TE BF_350'!$AB$15+'TE CVA'!$AB$15)*(1-CUSTOS!$M$37)</f>
        <v>230.58259134858577</v>
      </c>
      <c r="AB630" s="6">
        <f>$K$630*$V$630</f>
        <v>0</v>
      </c>
      <c r="AC630" s="6">
        <f>$M$630*$W$630</f>
        <v>3159.0582399999998</v>
      </c>
      <c r="AD630" s="6">
        <f>$O$630*$X$630</f>
        <v>3276.1684799999998</v>
      </c>
      <c r="AE630" s="6">
        <f>$K$630*$Y$630</f>
        <v>0</v>
      </c>
      <c r="AF630" s="6">
        <f ca="1">$M$630*$Z$630</f>
        <v>2841.0489957279415</v>
      </c>
      <c r="AG630" s="6">
        <f ca="1">$O$630*$AA$630</f>
        <v>2925.6319190308564</v>
      </c>
    </row>
    <row r="631" spans="1:33" ht="11.25" customHeight="1" x14ac:dyDescent="0.25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31</v>
      </c>
      <c r="F631" s="4" t="s">
        <v>25</v>
      </c>
      <c r="G631" s="4" t="s">
        <v>25</v>
      </c>
      <c r="H631" s="4" t="s">
        <v>25</v>
      </c>
      <c r="I631" s="5">
        <v>44501</v>
      </c>
      <c r="J631" s="6">
        <v>0</v>
      </c>
      <c r="K631" s="6">
        <v>0</v>
      </c>
      <c r="L631" s="6">
        <v>14.66</v>
      </c>
      <c r="M631" s="6">
        <v>14.66</v>
      </c>
      <c r="N631" s="6">
        <v>14.66</v>
      </c>
      <c r="O631" s="6">
        <v>14.66</v>
      </c>
      <c r="P631" s="6">
        <v>199</v>
      </c>
      <c r="Q631" s="4" t="s">
        <v>26</v>
      </c>
      <c r="R631" s="4">
        <v>0</v>
      </c>
      <c r="S631" s="6">
        <v>0</v>
      </c>
      <c r="T631" s="6">
        <v>17</v>
      </c>
      <c r="U631" s="6">
        <v>72</v>
      </c>
      <c r="V631" s="6">
        <f>IF(ISERROR(VLOOKUP($S$631,'TAR FIN'!$A$1:$O$86,15,0)),0,VLOOKUP($S$631,'TAR FIN'!$A$1:$O$86,15,0))</f>
        <v>0</v>
      </c>
      <c r="W631" s="6">
        <f>IF(ISERROR(VLOOKUP($T$631,'TAR FIN'!$A$1:$O$86,15,0)),0,VLOOKUP($T$631,'TAR FIN'!$A$1:$O$86,15,0))</f>
        <v>248.98</v>
      </c>
      <c r="X631" s="6">
        <f>IF(ISERROR(VLOOKUP($U$631,'TAR FIN'!$A$1:$O$86,15,0)),0,VLOOKUP($U$631,'TAR FIN'!$A$1:$O$86,15,0))</f>
        <v>258.20999999999998</v>
      </c>
      <c r="Y631" s="6"/>
      <c r="Z631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1" s="6">
        <f ca="1">('TE BE'!$AB$15+'TE BF_350'!$AB$15+'TE CVA'!$AB$15)*(1-CUSTOS!$M$37)</f>
        <v>230.58259134858577</v>
      </c>
      <c r="AB631" s="6">
        <f>$K$631*$V$631</f>
        <v>0</v>
      </c>
      <c r="AC631" s="6">
        <f>$M$631*$W$631</f>
        <v>3650.0468000000001</v>
      </c>
      <c r="AD631" s="6">
        <f>$O$631*$X$631</f>
        <v>3785.3585999999996</v>
      </c>
      <c r="AE631" s="6">
        <f>$K$631*$Y$631</f>
        <v>0</v>
      </c>
      <c r="AF631" s="6">
        <f ca="1">$M$631*$Z$631</f>
        <v>3282.611781003438</v>
      </c>
      <c r="AG631" s="6">
        <f ca="1">$O$631*$AA$631</f>
        <v>3380.3407891702673</v>
      </c>
    </row>
    <row r="632" spans="1:33" ht="11.25" customHeight="1" x14ac:dyDescent="0.25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31</v>
      </c>
      <c r="F632" s="4" t="s">
        <v>25</v>
      </c>
      <c r="G632" s="4" t="s">
        <v>25</v>
      </c>
      <c r="H632" s="4" t="s">
        <v>25</v>
      </c>
      <c r="I632" s="5">
        <v>44531</v>
      </c>
      <c r="J632" s="6">
        <v>0</v>
      </c>
      <c r="K632" s="6">
        <v>0</v>
      </c>
      <c r="L632" s="6">
        <v>13.177</v>
      </c>
      <c r="M632" s="6">
        <v>13.177</v>
      </c>
      <c r="N632" s="6">
        <v>13.177</v>
      </c>
      <c r="O632" s="6">
        <v>13.177</v>
      </c>
      <c r="P632" s="6">
        <v>185</v>
      </c>
      <c r="Q632" s="4" t="s">
        <v>26</v>
      </c>
      <c r="R632" s="4">
        <v>0</v>
      </c>
      <c r="S632" s="6">
        <v>0</v>
      </c>
      <c r="T632" s="6">
        <v>17</v>
      </c>
      <c r="U632" s="6">
        <v>72</v>
      </c>
      <c r="V632" s="6">
        <f>IF(ISERROR(VLOOKUP($S$632,'TAR FIN'!$A$1:$O$86,15,0)),0,VLOOKUP($S$632,'TAR FIN'!$A$1:$O$86,15,0))</f>
        <v>0</v>
      </c>
      <c r="W632" s="6">
        <f>IF(ISERROR(VLOOKUP($T$632,'TAR FIN'!$A$1:$O$86,15,0)),0,VLOOKUP($T$632,'TAR FIN'!$A$1:$O$86,15,0))</f>
        <v>248.98</v>
      </c>
      <c r="X632" s="6">
        <f>IF(ISERROR(VLOOKUP($U$632,'TAR FIN'!$A$1:$O$86,15,0)),0,VLOOKUP($U$632,'TAR FIN'!$A$1:$O$86,15,0))</f>
        <v>258.20999999999998</v>
      </c>
      <c r="Y632" s="6"/>
      <c r="Z632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2" s="6">
        <f ca="1">('TE BE'!$AB$15+'TE BF_350'!$AB$15+'TE CVA'!$AB$15)*(1-CUSTOS!$M$37)</f>
        <v>230.58259134858577</v>
      </c>
      <c r="AB632" s="6">
        <f>$K$632*$V$632</f>
        <v>0</v>
      </c>
      <c r="AC632" s="6">
        <f>$M$632*$W$632</f>
        <v>3280.8094599999999</v>
      </c>
      <c r="AD632" s="6">
        <f>$O$632*$X$632</f>
        <v>3402.4331699999998</v>
      </c>
      <c r="AE632" s="6">
        <f>$K$632*$Y$632</f>
        <v>0</v>
      </c>
      <c r="AF632" s="6">
        <f ca="1">$M$632*$Z$632</f>
        <v>2950.5440271679604</v>
      </c>
      <c r="AG632" s="6">
        <f ca="1">$O$632*$AA$632</f>
        <v>3038.3868062003144</v>
      </c>
    </row>
    <row r="633" spans="1:33" ht="11.25" customHeight="1" x14ac:dyDescent="0.25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31</v>
      </c>
      <c r="F633" s="4" t="s">
        <v>25</v>
      </c>
      <c r="G633" s="4" t="s">
        <v>25</v>
      </c>
      <c r="H633" s="4" t="s">
        <v>25</v>
      </c>
      <c r="I633" s="5">
        <v>44562</v>
      </c>
      <c r="J633" s="6">
        <v>0</v>
      </c>
      <c r="K633" s="6">
        <v>0</v>
      </c>
      <c r="L633" s="6">
        <v>20.587</v>
      </c>
      <c r="M633" s="6">
        <v>20.587</v>
      </c>
      <c r="N633" s="6">
        <v>20.587</v>
      </c>
      <c r="O633" s="6">
        <v>20.587</v>
      </c>
      <c r="P633" s="6">
        <v>229</v>
      </c>
      <c r="Q633" s="4" t="s">
        <v>26</v>
      </c>
      <c r="R633" s="4">
        <v>0</v>
      </c>
      <c r="S633" s="6">
        <v>0</v>
      </c>
      <c r="T633" s="6">
        <v>17</v>
      </c>
      <c r="U633" s="6">
        <v>72</v>
      </c>
      <c r="V633" s="6">
        <f>IF(ISERROR(VLOOKUP($S$633,'TAR FIN'!$A$1:$O$86,15,0)),0,VLOOKUP($S$633,'TAR FIN'!$A$1:$O$86,15,0))</f>
        <v>0</v>
      </c>
      <c r="W633" s="6">
        <f>IF(ISERROR(VLOOKUP($T$633,'TAR FIN'!$A$1:$O$86,15,0)),0,VLOOKUP($T$633,'TAR FIN'!$A$1:$O$86,15,0))</f>
        <v>248.98</v>
      </c>
      <c r="X633" s="6">
        <f>IF(ISERROR(VLOOKUP($U$633,'TAR FIN'!$A$1:$O$86,15,0)),0,VLOOKUP($U$633,'TAR FIN'!$A$1:$O$86,15,0))</f>
        <v>258.20999999999998</v>
      </c>
      <c r="Y633" s="6"/>
      <c r="Z633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3" s="6">
        <f ca="1">('TE BE'!$AB$15+'TE BF_350'!$AB$15+'TE CVA'!$AB$15)*(1-CUSTOS!$M$37)</f>
        <v>230.58259134858577</v>
      </c>
      <c r="AB633" s="6">
        <f>$K$633*$V$633</f>
        <v>0</v>
      </c>
      <c r="AC633" s="6">
        <f>$M$633*$W$633</f>
        <v>5125.75126</v>
      </c>
      <c r="AD633" s="6">
        <f>$O$633*$X$633</f>
        <v>5315.7692699999998</v>
      </c>
      <c r="AE633" s="6">
        <f>$K$633*$Y$633</f>
        <v>0</v>
      </c>
      <c r="AF633" s="6">
        <f ca="1">$M$633*$Z$633</f>
        <v>4609.7632152467786</v>
      </c>
      <c r="AG633" s="6">
        <f ca="1">$O$633*$AA$633</f>
        <v>4747.0038080933355</v>
      </c>
    </row>
    <row r="634" spans="1:33" ht="11.25" customHeight="1" x14ac:dyDescent="0.25">
      <c r="A634" s="4" t="s">
        <v>21</v>
      </c>
      <c r="B634" s="4" t="s">
        <v>22</v>
      </c>
      <c r="C634" s="4" t="s">
        <v>23</v>
      </c>
      <c r="D634" s="4" t="s">
        <v>24</v>
      </c>
      <c r="E634" s="4" t="s">
        <v>31</v>
      </c>
      <c r="F634" s="4" t="s">
        <v>25</v>
      </c>
      <c r="G634" s="4" t="s">
        <v>25</v>
      </c>
      <c r="H634" s="4" t="s">
        <v>25</v>
      </c>
      <c r="I634" s="5">
        <v>44593</v>
      </c>
      <c r="J634" s="6">
        <v>0</v>
      </c>
      <c r="K634" s="6">
        <v>0</v>
      </c>
      <c r="L634" s="6">
        <v>18.414999999999999</v>
      </c>
      <c r="M634" s="6">
        <v>18.414999999999999</v>
      </c>
      <c r="N634" s="6">
        <v>18.414999999999999</v>
      </c>
      <c r="O634" s="6">
        <v>18.414999999999999</v>
      </c>
      <c r="P634" s="6">
        <v>214</v>
      </c>
      <c r="Q634" s="4" t="s">
        <v>26</v>
      </c>
      <c r="R634" s="4">
        <v>0</v>
      </c>
      <c r="S634" s="6">
        <v>0</v>
      </c>
      <c r="T634" s="6">
        <v>17</v>
      </c>
      <c r="U634" s="6">
        <v>72</v>
      </c>
      <c r="V634" s="6">
        <f>IF(ISERROR(VLOOKUP($S$634,'TAR FIN'!$A$1:$O$86,15,0)),0,VLOOKUP($S$634,'TAR FIN'!$A$1:$O$86,15,0))</f>
        <v>0</v>
      </c>
      <c r="W634" s="6">
        <f>IF(ISERROR(VLOOKUP($T$634,'TAR FIN'!$A$1:$O$86,15,0)),0,VLOOKUP($T$634,'TAR FIN'!$A$1:$O$86,15,0))</f>
        <v>248.98</v>
      </c>
      <c r="X634" s="6">
        <f>IF(ISERROR(VLOOKUP($U$634,'TAR FIN'!$A$1:$O$86,15,0)),0,VLOOKUP($U$634,'TAR FIN'!$A$1:$O$86,15,0))</f>
        <v>258.20999999999998</v>
      </c>
      <c r="Y634" s="6"/>
      <c r="Z634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4" s="6">
        <f ca="1">('TE BE'!$AB$15+'TE BF_350'!$AB$15+'TE CVA'!$AB$15)*(1-CUSTOS!$M$37)</f>
        <v>230.58259134858577</v>
      </c>
      <c r="AB634" s="6">
        <f>$K$634*$V$634</f>
        <v>0</v>
      </c>
      <c r="AC634" s="6">
        <f>$M$634*$W$634</f>
        <v>4584.9666999999999</v>
      </c>
      <c r="AD634" s="6">
        <f>$O$634*$X$634</f>
        <v>4754.9371499999997</v>
      </c>
      <c r="AE634" s="6">
        <f>$K$634*$Y$634</f>
        <v>0</v>
      </c>
      <c r="AF634" s="6">
        <f ca="1">$M$634*$Z$634</f>
        <v>4123.4171860285342</v>
      </c>
      <c r="AG634" s="6">
        <f ca="1">$O$634*$AA$634</f>
        <v>4246.1784196842063</v>
      </c>
    </row>
    <row r="635" spans="1:33" ht="11.25" customHeight="1" x14ac:dyDescent="0.25">
      <c r="A635" s="4" t="s">
        <v>27</v>
      </c>
      <c r="B635" s="4" t="s">
        <v>22</v>
      </c>
      <c r="C635" s="4" t="s">
        <v>23</v>
      </c>
      <c r="D635" s="4" t="s">
        <v>24</v>
      </c>
      <c r="E635" s="4" t="s">
        <v>31</v>
      </c>
      <c r="F635" s="4" t="s">
        <v>25</v>
      </c>
      <c r="G635" s="4" t="s">
        <v>25</v>
      </c>
      <c r="H635" s="4" t="s">
        <v>25</v>
      </c>
      <c r="I635" s="5">
        <v>44593</v>
      </c>
      <c r="J635" s="6">
        <v>0</v>
      </c>
      <c r="K635" s="6">
        <v>0</v>
      </c>
      <c r="L635" s="6">
        <v>5.5E-2</v>
      </c>
      <c r="M635" s="6">
        <v>5.5E-2</v>
      </c>
      <c r="N635" s="6">
        <v>5.5E-2</v>
      </c>
      <c r="O635" s="6">
        <v>5.5E-2</v>
      </c>
      <c r="P635" s="6">
        <v>0</v>
      </c>
      <c r="Q635" s="4" t="s">
        <v>26</v>
      </c>
      <c r="R635" s="4">
        <v>0</v>
      </c>
      <c r="S635" s="6">
        <v>0</v>
      </c>
      <c r="T635" s="6">
        <v>17</v>
      </c>
      <c r="U635" s="6">
        <v>72</v>
      </c>
      <c r="V635" s="6">
        <f>IF(ISERROR(VLOOKUP($S$635,'TAR FIN'!$A$1:$O$86,15,0)),0,VLOOKUP($S$635,'TAR FIN'!$A$1:$O$86,15,0))</f>
        <v>0</v>
      </c>
      <c r="W635" s="6">
        <f>IF(ISERROR(VLOOKUP($T$635,'TAR FIN'!$A$1:$O$86,15,0)),0,VLOOKUP($T$635,'TAR FIN'!$A$1:$O$86,15,0))</f>
        <v>248.98</v>
      </c>
      <c r="X635" s="6">
        <f>IF(ISERROR(VLOOKUP($U$635,'TAR FIN'!$A$1:$O$86,15,0)),0,VLOOKUP($U$635,'TAR FIN'!$A$1:$O$86,15,0))</f>
        <v>258.20999999999998</v>
      </c>
      <c r="Y635" s="6"/>
      <c r="Z635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5" s="6">
        <f ca="1">('TE BE'!$AB$15+'TE BF_350'!$AB$15+'TE CVA'!$AB$15)*(1-CUSTOS!$M$37)</f>
        <v>230.58259134858577</v>
      </c>
      <c r="AB635" s="6">
        <f>$K$635*$V$635</f>
        <v>0</v>
      </c>
      <c r="AC635" s="6">
        <f>$M$635*$W$635</f>
        <v>13.693899999999999</v>
      </c>
      <c r="AD635" s="6">
        <f>$O$635*$X$635</f>
        <v>14.201549999999999</v>
      </c>
      <c r="AE635" s="6">
        <f>$K$635*$Y$635</f>
        <v>0</v>
      </c>
      <c r="AF635" s="6">
        <f ca="1">$M$635*$Z$635</f>
        <v>12.315392084255736</v>
      </c>
      <c r="AG635" s="6">
        <f ca="1">$O$635*$AA$635</f>
        <v>12.682042524172218</v>
      </c>
    </row>
    <row r="636" spans="1:33" ht="11.25" customHeight="1" x14ac:dyDescent="0.25">
      <c r="A636" s="4" t="s">
        <v>21</v>
      </c>
      <c r="B636" s="4" t="s">
        <v>22</v>
      </c>
      <c r="C636" s="4" t="s">
        <v>23</v>
      </c>
      <c r="D636" s="4" t="s">
        <v>24</v>
      </c>
      <c r="E636" s="4" t="s">
        <v>31</v>
      </c>
      <c r="F636" s="4" t="s">
        <v>25</v>
      </c>
      <c r="G636" s="4" t="s">
        <v>25</v>
      </c>
      <c r="H636" s="4" t="s">
        <v>25</v>
      </c>
      <c r="I636" s="5">
        <v>44621</v>
      </c>
      <c r="J636" s="6">
        <v>0</v>
      </c>
      <c r="K636" s="6">
        <v>0</v>
      </c>
      <c r="L636" s="6">
        <v>21.835000000000001</v>
      </c>
      <c r="M636" s="6">
        <v>21.835000000000001</v>
      </c>
      <c r="N636" s="6">
        <v>21.835000000000001</v>
      </c>
      <c r="O636" s="6">
        <v>21.835000000000001</v>
      </c>
      <c r="P636" s="6">
        <v>234</v>
      </c>
      <c r="Q636" s="4" t="s">
        <v>26</v>
      </c>
      <c r="R636" s="4">
        <v>0</v>
      </c>
      <c r="S636" s="6">
        <v>0</v>
      </c>
      <c r="T636" s="6">
        <v>17</v>
      </c>
      <c r="U636" s="6">
        <v>72</v>
      </c>
      <c r="V636" s="6">
        <f>IF(ISERROR(VLOOKUP($S$636,'TAR FIN'!$A$1:$O$86,15,0)),0,VLOOKUP($S$636,'TAR FIN'!$A$1:$O$86,15,0))</f>
        <v>0</v>
      </c>
      <c r="W636" s="6">
        <f>IF(ISERROR(VLOOKUP($T$636,'TAR FIN'!$A$1:$O$86,15,0)),0,VLOOKUP($T$636,'TAR FIN'!$A$1:$O$86,15,0))</f>
        <v>248.98</v>
      </c>
      <c r="X636" s="6">
        <f>IF(ISERROR(VLOOKUP($U$636,'TAR FIN'!$A$1:$O$86,15,0)),0,VLOOKUP($U$636,'TAR FIN'!$A$1:$O$86,15,0))</f>
        <v>258.20999999999998</v>
      </c>
      <c r="Y636" s="6"/>
      <c r="Z636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6" s="6">
        <f ca="1">('TE BE'!$AB$15+'TE BF_350'!$AB$15+'TE CVA'!$AB$15)*(1-CUSTOS!$M$37)</f>
        <v>230.58259134858577</v>
      </c>
      <c r="AB636" s="6">
        <f>$K$636*$V$636</f>
        <v>0</v>
      </c>
      <c r="AC636" s="6">
        <f>$M$636*$W$636</f>
        <v>5436.4782999999998</v>
      </c>
      <c r="AD636" s="6">
        <f>$O$636*$X$636</f>
        <v>5638.0153499999997</v>
      </c>
      <c r="AE636" s="6">
        <f>$K$636*$Y$636</f>
        <v>0</v>
      </c>
      <c r="AF636" s="6">
        <f ca="1">$M$636*$Z$636</f>
        <v>4889.2106574495274</v>
      </c>
      <c r="AG636" s="6">
        <f ca="1">$O$636*$AA$636</f>
        <v>5034.7708820963708</v>
      </c>
    </row>
    <row r="637" spans="1:33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31</v>
      </c>
      <c r="F637" s="4" t="s">
        <v>25</v>
      </c>
      <c r="G637" s="4" t="s">
        <v>25</v>
      </c>
      <c r="H637" s="4" t="s">
        <v>25</v>
      </c>
      <c r="I637" s="5">
        <v>44652</v>
      </c>
      <c r="J637" s="6">
        <v>0</v>
      </c>
      <c r="K637" s="6">
        <v>0</v>
      </c>
      <c r="L637" s="6">
        <v>10.692</v>
      </c>
      <c r="M637" s="6">
        <v>10.692</v>
      </c>
      <c r="N637" s="6">
        <v>10.692</v>
      </c>
      <c r="O637" s="6">
        <v>10.692</v>
      </c>
      <c r="P637" s="6">
        <v>161</v>
      </c>
      <c r="Q637" s="4" t="s">
        <v>26</v>
      </c>
      <c r="R637" s="4">
        <v>0</v>
      </c>
      <c r="S637" s="6">
        <v>0</v>
      </c>
      <c r="T637" s="6">
        <v>17</v>
      </c>
      <c r="U637" s="6">
        <v>72</v>
      </c>
      <c r="V637" s="6">
        <f>IF(ISERROR(VLOOKUP($S$637,'TAR FIN'!$A$1:$O$86,15,0)),0,VLOOKUP($S$637,'TAR FIN'!$A$1:$O$86,15,0))</f>
        <v>0</v>
      </c>
      <c r="W637" s="6">
        <f>IF(ISERROR(VLOOKUP($T$637,'TAR FIN'!$A$1:$O$86,15,0)),0,VLOOKUP($T$637,'TAR FIN'!$A$1:$O$86,15,0))</f>
        <v>248.98</v>
      </c>
      <c r="X637" s="6">
        <f>IF(ISERROR(VLOOKUP($U$637,'TAR FIN'!$A$1:$O$86,15,0)),0,VLOOKUP($U$637,'TAR FIN'!$A$1:$O$86,15,0))</f>
        <v>258.20999999999998</v>
      </c>
      <c r="Y637" s="6"/>
      <c r="Z637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7" s="6">
        <f ca="1">('TE BE'!$AB$15+'TE BF_350'!$AB$15+'TE CVA'!$AB$15)*(1-CUSTOS!$M$37)</f>
        <v>230.58259134858577</v>
      </c>
      <c r="AB637" s="6">
        <f>$K$637*$V$637</f>
        <v>0</v>
      </c>
      <c r="AC637" s="6">
        <f>$M$637*$W$637</f>
        <v>2662.0941600000001</v>
      </c>
      <c r="AD637" s="6">
        <f>$O$637*$X$637</f>
        <v>2760.7813200000001</v>
      </c>
      <c r="AE637" s="6">
        <f>$K$637*$Y$637</f>
        <v>0</v>
      </c>
      <c r="AF637" s="6">
        <f ca="1">$M$637*$Z$637</f>
        <v>2394.1122211793149</v>
      </c>
      <c r="AG637" s="6">
        <f ca="1">$O$637*$AA$637</f>
        <v>2465.3890666990792</v>
      </c>
    </row>
    <row r="638" spans="1:33" ht="11.25" customHeight="1" x14ac:dyDescent="0.25">
      <c r="A638" s="4" t="s">
        <v>21</v>
      </c>
      <c r="B638" s="4" t="s">
        <v>22</v>
      </c>
      <c r="C638" s="4" t="s">
        <v>23</v>
      </c>
      <c r="D638" s="4" t="s">
        <v>24</v>
      </c>
      <c r="E638" s="4" t="s">
        <v>31</v>
      </c>
      <c r="F638" s="4" t="s">
        <v>25</v>
      </c>
      <c r="G638" s="4" t="s">
        <v>25</v>
      </c>
      <c r="H638" s="4" t="s">
        <v>25</v>
      </c>
      <c r="I638" s="5">
        <v>44682</v>
      </c>
      <c r="J638" s="6">
        <v>0</v>
      </c>
      <c r="K638" s="6">
        <v>0</v>
      </c>
      <c r="L638" s="6">
        <v>12.063000000000001</v>
      </c>
      <c r="M638" s="6">
        <v>12.063000000000001</v>
      </c>
      <c r="N638" s="6">
        <v>12.063000000000001</v>
      </c>
      <c r="O638" s="6">
        <v>12.063000000000001</v>
      </c>
      <c r="P638" s="6">
        <v>158</v>
      </c>
      <c r="Q638" s="4" t="s">
        <v>26</v>
      </c>
      <c r="R638" s="4">
        <v>0</v>
      </c>
      <c r="S638" s="6">
        <v>0</v>
      </c>
      <c r="T638" s="6">
        <v>17</v>
      </c>
      <c r="U638" s="6">
        <v>72</v>
      </c>
      <c r="V638" s="6">
        <f>IF(ISERROR(VLOOKUP($S$638,'TAR FIN'!$A$1:$O$86,15,0)),0,VLOOKUP($S$638,'TAR FIN'!$A$1:$O$86,15,0))</f>
        <v>0</v>
      </c>
      <c r="W638" s="6">
        <f>IF(ISERROR(VLOOKUP($T$638,'TAR FIN'!$A$1:$O$86,15,0)),0,VLOOKUP($T$638,'TAR FIN'!$A$1:$O$86,15,0))</f>
        <v>248.98</v>
      </c>
      <c r="X638" s="6">
        <f>IF(ISERROR(VLOOKUP($U$638,'TAR FIN'!$A$1:$O$86,15,0)),0,VLOOKUP($U$638,'TAR FIN'!$A$1:$O$86,15,0))</f>
        <v>258.20999999999998</v>
      </c>
      <c r="Y638" s="6"/>
      <c r="Z638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8" s="6">
        <f ca="1">('TE BE'!$AB$15+'TE BF_350'!$AB$15+'TE CVA'!$AB$15)*(1-CUSTOS!$M$37)</f>
        <v>230.58259134858577</v>
      </c>
      <c r="AB638" s="6">
        <f>$K$638*$V$638</f>
        <v>0</v>
      </c>
      <c r="AC638" s="6">
        <f>$M$638*$W$638</f>
        <v>3003.4457400000001</v>
      </c>
      <c r="AD638" s="6">
        <f>$O$638*$X$638</f>
        <v>3114.7872299999999</v>
      </c>
      <c r="AE638" s="6">
        <f>$K$638*$Y$638</f>
        <v>0</v>
      </c>
      <c r="AF638" s="6">
        <f ca="1">$M$638*$Z$638</f>
        <v>2701.1013584068537</v>
      </c>
      <c r="AG638" s="6">
        <f ca="1">$O$638*$AA$638</f>
        <v>2781.5177994379901</v>
      </c>
    </row>
    <row r="639" spans="1:33" ht="11.25" customHeight="1" x14ac:dyDescent="0.25">
      <c r="A639" s="4" t="s">
        <v>56</v>
      </c>
      <c r="B639" s="4" t="s">
        <v>22</v>
      </c>
      <c r="C639" s="4" t="s">
        <v>23</v>
      </c>
      <c r="D639" s="4" t="s">
        <v>24</v>
      </c>
      <c r="E639" s="4" t="s">
        <v>31</v>
      </c>
      <c r="F639" s="4" t="s">
        <v>25</v>
      </c>
      <c r="G639" s="4" t="s">
        <v>25</v>
      </c>
      <c r="H639" s="4" t="s">
        <v>25</v>
      </c>
      <c r="I639" s="5">
        <v>44713</v>
      </c>
      <c r="J639" s="6">
        <v>0</v>
      </c>
      <c r="K639" s="6">
        <v>0</v>
      </c>
      <c r="L639" s="6">
        <v>12.063000000000001</v>
      </c>
      <c r="M639" s="6">
        <v>12.063000000000001</v>
      </c>
      <c r="N639" s="6">
        <v>12.063000000000001</v>
      </c>
      <c r="O639" s="6">
        <v>12.063000000000001</v>
      </c>
      <c r="P639" s="6">
        <v>158</v>
      </c>
      <c r="Q639" s="4" t="s">
        <v>26</v>
      </c>
      <c r="R639" s="4">
        <v>0</v>
      </c>
      <c r="S639" s="6">
        <v>0</v>
      </c>
      <c r="T639" s="6">
        <v>17</v>
      </c>
      <c r="U639" s="6">
        <v>72</v>
      </c>
      <c r="V639" s="6">
        <f>IF(ISERROR(VLOOKUP($S$639,'TAR FIN'!$A$1:$O$86,15,0)),0,VLOOKUP($S$639,'TAR FIN'!$A$1:$O$86,15,0))</f>
        <v>0</v>
      </c>
      <c r="W639" s="6">
        <f>IF(ISERROR(VLOOKUP($T$639,'TAR FIN'!$A$1:$O$86,15,0)),0,VLOOKUP($T$639,'TAR FIN'!$A$1:$O$86,15,0))</f>
        <v>248.98</v>
      </c>
      <c r="X639" s="6">
        <f>IF(ISERROR(VLOOKUP($U$639,'TAR FIN'!$A$1:$O$86,15,0)),0,VLOOKUP($U$639,'TAR FIN'!$A$1:$O$86,15,0))</f>
        <v>258.20999999999998</v>
      </c>
      <c r="Y639" s="6"/>
      <c r="Z639" s="6">
        <f ca="1">('TUSD BE'!$AM$25+'TUSD BF_350'!$AM$25+'TUSD CVA'!$AM$25-('TUSD BE'!$P$25+'TUSD BF_350'!$P$25+'TUSD CVA'!$P$25)-('TUSD BE'!$Q$25+'TUSD BF_350'!$Q$25+'TUSD CVA'!$Q$25)-('TUSD BE'!$R$25+'TUSD BF_350'!$R$25+'TUSD CVA'!$R$25))*(1-CUSTOS!$M$37)</f>
        <v>223.91621971374065</v>
      </c>
      <c r="AA639" s="6">
        <f ca="1">('TE BE'!$AB$15+'TE BF_350'!$AB$15+'TE CVA'!$AB$15)*(1-CUSTOS!$M$37)</f>
        <v>230.58259134858577</v>
      </c>
      <c r="AB639" s="6">
        <f>$K$639*$V$639</f>
        <v>0</v>
      </c>
      <c r="AC639" s="6">
        <f>$M$639*$W$639</f>
        <v>3003.4457400000001</v>
      </c>
      <c r="AD639" s="6">
        <f>$O$639*$X$639</f>
        <v>3114.7872299999999</v>
      </c>
      <c r="AE639" s="6">
        <f>$K$639*$Y$639</f>
        <v>0</v>
      </c>
      <c r="AF639" s="6">
        <f ca="1">$M$639*$Z$639</f>
        <v>2701.1013584068537</v>
      </c>
      <c r="AG639" s="6">
        <f ca="1">$O$639*$AA$639</f>
        <v>2781.5177994379901</v>
      </c>
    </row>
    <row r="640" spans="1:33" ht="11.25" customHeight="1" x14ac:dyDescent="0.25">
      <c r="A640" s="4" t="s">
        <v>21</v>
      </c>
      <c r="B640" s="4" t="s">
        <v>42</v>
      </c>
      <c r="C640" s="4" t="s">
        <v>23</v>
      </c>
      <c r="D640" s="4" t="s">
        <v>43</v>
      </c>
      <c r="E640" s="4" t="s">
        <v>51</v>
      </c>
      <c r="F640" s="4" t="s">
        <v>52</v>
      </c>
      <c r="G640" s="4" t="s">
        <v>25</v>
      </c>
      <c r="H640" s="4" t="s">
        <v>25</v>
      </c>
      <c r="I640" s="5">
        <v>44378</v>
      </c>
      <c r="J640" s="6">
        <v>0</v>
      </c>
      <c r="K640" s="6">
        <v>0</v>
      </c>
      <c r="L640" s="6">
        <v>9.3789999999999996</v>
      </c>
      <c r="M640" s="6">
        <v>9.3789999999999996</v>
      </c>
      <c r="N640" s="6">
        <v>9.3789999999999996</v>
      </c>
      <c r="O640" s="6">
        <v>9.3789999999999996</v>
      </c>
      <c r="P640" s="6">
        <v>0</v>
      </c>
      <c r="Q640" s="4" t="s">
        <v>26</v>
      </c>
      <c r="R640" s="4">
        <v>0</v>
      </c>
      <c r="S640" s="6">
        <v>0</v>
      </c>
      <c r="T640" s="6">
        <v>30</v>
      </c>
      <c r="U640" s="6">
        <v>70</v>
      </c>
      <c r="V640" s="6">
        <f>IF(ISERROR(VLOOKUP($S$640,'TAR FIN'!$A$1:$O$86,15,0)),0,VLOOKUP($S$640,'TAR FIN'!$A$1:$O$86,15,0))</f>
        <v>0</v>
      </c>
      <c r="W640" s="6">
        <f>IF(ISERROR(VLOOKUP($T$640,'TAR FIN'!$A$1:$O$86,15,0)),0,VLOOKUP($T$640,'TAR FIN'!$A$1:$O$86,15,0))</f>
        <v>285.56</v>
      </c>
      <c r="X640" s="6">
        <f>IF(ISERROR(VLOOKUP($U$640,'TAR FIN'!$A$1:$O$86,15,0)),0,VLOOKUP($U$640,'TAR FIN'!$A$1:$O$86,15,0))</f>
        <v>227.23</v>
      </c>
      <c r="Y640" s="6"/>
      <c r="Z640" s="6">
        <f ca="1">('TUSD BE'!$AM$34+'TUSD BF_350'!$AM$34+'TUSD CVA'!$AM$34)*(1-CUSTOS!$M$38)</f>
        <v>310.34682484351242</v>
      </c>
      <c r="AA640" s="6">
        <f ca="1">('TE BE'!$AB$24+'TE BF_350'!$AB$24+'TE CVA'!$AB$24)*(1-CUSTOS!$M$38)</f>
        <v>216.7476358676706</v>
      </c>
      <c r="AB640" s="6">
        <f>$K$640*$V$640</f>
        <v>0</v>
      </c>
      <c r="AC640" s="6">
        <f>$M$640*$W$640</f>
        <v>2678.2672399999997</v>
      </c>
      <c r="AD640" s="6">
        <f>$O$640*$X$640</f>
        <v>2131.1901699999999</v>
      </c>
      <c r="AE640" s="6">
        <f>$K$640*$Y$640</f>
        <v>0</v>
      </c>
      <c r="AF640" s="6">
        <f ca="1">$M$640*$Z$640</f>
        <v>2910.742870207303</v>
      </c>
      <c r="AG640" s="6">
        <f ca="1">$O$640*$AA$640</f>
        <v>2032.8760768028824</v>
      </c>
    </row>
    <row r="641" spans="1:33" ht="11.25" customHeight="1" x14ac:dyDescent="0.25">
      <c r="A641" s="4" t="s">
        <v>21</v>
      </c>
      <c r="B641" s="4" t="s">
        <v>42</v>
      </c>
      <c r="C641" s="4" t="s">
        <v>23</v>
      </c>
      <c r="D641" s="4" t="s">
        <v>43</v>
      </c>
      <c r="E641" s="4" t="s">
        <v>51</v>
      </c>
      <c r="F641" s="4" t="s">
        <v>52</v>
      </c>
      <c r="G641" s="4" t="s">
        <v>25</v>
      </c>
      <c r="H641" s="4" t="s">
        <v>25</v>
      </c>
      <c r="I641" s="5">
        <v>44409</v>
      </c>
      <c r="J641" s="6">
        <v>0</v>
      </c>
      <c r="K641" s="6">
        <v>0</v>
      </c>
      <c r="L641" s="6">
        <v>8.1590000000000007</v>
      </c>
      <c r="M641" s="6">
        <v>8.1590000000000007</v>
      </c>
      <c r="N641" s="6">
        <v>8.1590000000000007</v>
      </c>
      <c r="O641" s="6">
        <v>8.1590000000000007</v>
      </c>
      <c r="P641" s="6">
        <v>0</v>
      </c>
      <c r="Q641" s="4" t="s">
        <v>26</v>
      </c>
      <c r="R641" s="4">
        <v>0</v>
      </c>
      <c r="S641" s="6">
        <v>0</v>
      </c>
      <c r="T641" s="6">
        <v>30</v>
      </c>
      <c r="U641" s="6">
        <v>70</v>
      </c>
      <c r="V641" s="6">
        <f>IF(ISERROR(VLOOKUP($S$641,'TAR FIN'!$A$1:$O$86,15,0)),0,VLOOKUP($S$641,'TAR FIN'!$A$1:$O$86,15,0))</f>
        <v>0</v>
      </c>
      <c r="W641" s="6">
        <f>IF(ISERROR(VLOOKUP($T$641,'TAR FIN'!$A$1:$O$86,15,0)),0,VLOOKUP($T$641,'TAR FIN'!$A$1:$O$86,15,0))</f>
        <v>285.56</v>
      </c>
      <c r="X641" s="6">
        <f>IF(ISERROR(VLOOKUP($U$641,'TAR FIN'!$A$1:$O$86,15,0)),0,VLOOKUP($U$641,'TAR FIN'!$A$1:$O$86,15,0))</f>
        <v>227.23</v>
      </c>
      <c r="Y641" s="6"/>
      <c r="Z641" s="6">
        <f ca="1">('TUSD BE'!$AM$34+'TUSD BF_350'!$AM$34+'TUSD CVA'!$AM$34)*(1-CUSTOS!$M$38)</f>
        <v>310.34682484351242</v>
      </c>
      <c r="AA641" s="6">
        <f ca="1">('TE BE'!$AB$24+'TE BF_350'!$AB$24+'TE CVA'!$AB$24)*(1-CUSTOS!$M$38)</f>
        <v>216.7476358676706</v>
      </c>
      <c r="AB641" s="6">
        <f>$K$641*$V$641</f>
        <v>0</v>
      </c>
      <c r="AC641" s="6">
        <f>$M$641*$W$641</f>
        <v>2329.8840400000004</v>
      </c>
      <c r="AD641" s="6">
        <f>$O$641*$X$641</f>
        <v>1853.96957</v>
      </c>
      <c r="AE641" s="6">
        <f>$K$641*$Y$641</f>
        <v>0</v>
      </c>
      <c r="AF641" s="6">
        <f ca="1">$M$641*$Z$641</f>
        <v>2532.1197438982181</v>
      </c>
      <c r="AG641" s="6">
        <f ca="1">$O$641*$AA$641</f>
        <v>1768.4439610443246</v>
      </c>
    </row>
    <row r="642" spans="1:33" ht="11.25" customHeight="1" x14ac:dyDescent="0.25">
      <c r="A642" s="4" t="s">
        <v>55</v>
      </c>
      <c r="B642" s="4" t="s">
        <v>42</v>
      </c>
      <c r="C642" s="4" t="s">
        <v>23</v>
      </c>
      <c r="D642" s="4" t="s">
        <v>43</v>
      </c>
      <c r="E642" s="4" t="s">
        <v>51</v>
      </c>
      <c r="F642" s="4" t="s">
        <v>52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6.8000000000000005E-2</v>
      </c>
      <c r="M642" s="6">
        <v>6.8000000000000005E-2</v>
      </c>
      <c r="N642" s="6">
        <v>6.8000000000000005E-2</v>
      </c>
      <c r="O642" s="6">
        <v>6.8000000000000005E-2</v>
      </c>
      <c r="P642" s="6">
        <v>0</v>
      </c>
      <c r="Q642" s="4" t="s">
        <v>26</v>
      </c>
      <c r="R642" s="4">
        <v>0</v>
      </c>
      <c r="S642" s="6">
        <v>0</v>
      </c>
      <c r="T642" s="6">
        <v>30</v>
      </c>
      <c r="U642" s="6">
        <v>70</v>
      </c>
      <c r="V642" s="6">
        <f>IF(ISERROR(VLOOKUP($S$642,'TAR FIN'!$A$1:$O$86,15,0)),0,VLOOKUP($S$642,'TAR FIN'!$A$1:$O$86,15,0))</f>
        <v>0</v>
      </c>
      <c r="W642" s="6">
        <f>IF(ISERROR(VLOOKUP($T$642,'TAR FIN'!$A$1:$O$86,15,0)),0,VLOOKUP($T$642,'TAR FIN'!$A$1:$O$86,15,0))</f>
        <v>285.56</v>
      </c>
      <c r="X642" s="6">
        <f>IF(ISERROR(VLOOKUP($U$642,'TAR FIN'!$A$1:$O$86,15,0)),0,VLOOKUP($U$642,'TAR FIN'!$A$1:$O$86,15,0))</f>
        <v>227.23</v>
      </c>
      <c r="Y642" s="6"/>
      <c r="Z642" s="6">
        <f ca="1">('TUSD BE'!$AM$34+'TUSD BF_350'!$AM$34+'TUSD CVA'!$AM$34)*(1-CUSTOS!$M$38)</f>
        <v>310.34682484351242</v>
      </c>
      <c r="AA642" s="6">
        <f ca="1">('TE BE'!$AB$24+'TE BF_350'!$AB$24+'TE CVA'!$AB$24)*(1-CUSTOS!$M$38)</f>
        <v>216.7476358676706</v>
      </c>
      <c r="AB642" s="6">
        <f>$K$642*$V$642</f>
        <v>0</v>
      </c>
      <c r="AC642" s="6">
        <f>$M$642*$W$642</f>
        <v>19.41808</v>
      </c>
      <c r="AD642" s="6">
        <f>$O$642*$X$642</f>
        <v>15.451640000000001</v>
      </c>
      <c r="AE642" s="6">
        <f>$K$642*$Y$642</f>
        <v>0</v>
      </c>
      <c r="AF642" s="6">
        <f ca="1">$M$642*$Z$642</f>
        <v>21.103584089358847</v>
      </c>
      <c r="AG642" s="6">
        <f ca="1">$O$642*$AA$642</f>
        <v>14.738839239001601</v>
      </c>
    </row>
    <row r="643" spans="1:33" ht="11.25" customHeight="1" x14ac:dyDescent="0.25">
      <c r="A643" s="4" t="s">
        <v>21</v>
      </c>
      <c r="B643" s="4" t="s">
        <v>42</v>
      </c>
      <c r="C643" s="4" t="s">
        <v>23</v>
      </c>
      <c r="D643" s="4" t="s">
        <v>43</v>
      </c>
      <c r="E643" s="4" t="s">
        <v>51</v>
      </c>
      <c r="F643" s="4" t="s">
        <v>52</v>
      </c>
      <c r="G643" s="4" t="s">
        <v>25</v>
      </c>
      <c r="H643" s="4" t="s">
        <v>25</v>
      </c>
      <c r="I643" s="5">
        <v>44440</v>
      </c>
      <c r="J643" s="6">
        <v>0</v>
      </c>
      <c r="K643" s="6">
        <v>0</v>
      </c>
      <c r="L643" s="6">
        <v>9.0139999999999993</v>
      </c>
      <c r="M643" s="6">
        <v>9.0139999999999993</v>
      </c>
      <c r="N643" s="6">
        <v>9.0139999999999993</v>
      </c>
      <c r="O643" s="6">
        <v>9.0139999999999993</v>
      </c>
      <c r="P643" s="6">
        <v>0</v>
      </c>
      <c r="Q643" s="4" t="s">
        <v>26</v>
      </c>
      <c r="R643" s="4">
        <v>0</v>
      </c>
      <c r="S643" s="6">
        <v>0</v>
      </c>
      <c r="T643" s="6">
        <v>30</v>
      </c>
      <c r="U643" s="6">
        <v>70</v>
      </c>
      <c r="V643" s="6">
        <f>IF(ISERROR(VLOOKUP($S$643,'TAR FIN'!$A$1:$O$86,15,0)),0,VLOOKUP($S$643,'TAR FIN'!$A$1:$O$86,15,0))</f>
        <v>0</v>
      </c>
      <c r="W643" s="6">
        <f>IF(ISERROR(VLOOKUP($T$643,'TAR FIN'!$A$1:$O$86,15,0)),0,VLOOKUP($T$643,'TAR FIN'!$A$1:$O$86,15,0))</f>
        <v>285.56</v>
      </c>
      <c r="X643" s="6">
        <f>IF(ISERROR(VLOOKUP($U$643,'TAR FIN'!$A$1:$O$86,15,0)),0,VLOOKUP($U$643,'TAR FIN'!$A$1:$O$86,15,0))</f>
        <v>227.23</v>
      </c>
      <c r="Y643" s="6"/>
      <c r="Z643" s="6">
        <f ca="1">('TUSD BE'!$AM$34+'TUSD BF_350'!$AM$34+'TUSD CVA'!$AM$34)*(1-CUSTOS!$M$38)</f>
        <v>310.34682484351242</v>
      </c>
      <c r="AA643" s="6">
        <f ca="1">('TE BE'!$AB$24+'TE BF_350'!$AB$24+'TE CVA'!$AB$24)*(1-CUSTOS!$M$38)</f>
        <v>216.7476358676706</v>
      </c>
      <c r="AB643" s="6">
        <f>$K$643*$V$643</f>
        <v>0</v>
      </c>
      <c r="AC643" s="6">
        <f>$M$643*$W$643</f>
        <v>2574.03784</v>
      </c>
      <c r="AD643" s="6">
        <f>$O$643*$X$643</f>
        <v>2048.2512199999996</v>
      </c>
      <c r="AE643" s="6">
        <f>$K$643*$Y$643</f>
        <v>0</v>
      </c>
      <c r="AF643" s="6">
        <f ca="1">$M$643*$Z$643</f>
        <v>2797.4662791394207</v>
      </c>
      <c r="AG643" s="6">
        <f ca="1">$O$643*$AA$643</f>
        <v>1953.7631897111826</v>
      </c>
    </row>
    <row r="644" spans="1:33" ht="11.25" customHeight="1" x14ac:dyDescent="0.25">
      <c r="A644" s="4" t="s">
        <v>55</v>
      </c>
      <c r="B644" s="4" t="s">
        <v>42</v>
      </c>
      <c r="C644" s="4" t="s">
        <v>23</v>
      </c>
      <c r="D644" s="4" t="s">
        <v>43</v>
      </c>
      <c r="E644" s="4" t="s">
        <v>51</v>
      </c>
      <c r="F644" s="4" t="s">
        <v>52</v>
      </c>
      <c r="G644" s="4" t="s">
        <v>25</v>
      </c>
      <c r="H644" s="4" t="s">
        <v>25</v>
      </c>
      <c r="I644" s="5">
        <v>44440</v>
      </c>
      <c r="J644" s="6">
        <v>0</v>
      </c>
      <c r="K644" s="6">
        <v>0</v>
      </c>
      <c r="L644" s="6">
        <v>0.1</v>
      </c>
      <c r="M644" s="6">
        <v>0.1</v>
      </c>
      <c r="N644" s="6">
        <v>0.1</v>
      </c>
      <c r="O644" s="6">
        <v>0.1</v>
      </c>
      <c r="P644" s="6">
        <v>0</v>
      </c>
      <c r="Q644" s="4" t="s">
        <v>26</v>
      </c>
      <c r="R644" s="4">
        <v>0</v>
      </c>
      <c r="S644" s="6">
        <v>0</v>
      </c>
      <c r="T644" s="6">
        <v>30</v>
      </c>
      <c r="U644" s="6">
        <v>70</v>
      </c>
      <c r="V644" s="6">
        <f>IF(ISERROR(VLOOKUP($S$644,'TAR FIN'!$A$1:$O$86,15,0)),0,VLOOKUP($S$644,'TAR FIN'!$A$1:$O$86,15,0))</f>
        <v>0</v>
      </c>
      <c r="W644" s="6">
        <f>IF(ISERROR(VLOOKUP($T$644,'TAR FIN'!$A$1:$O$86,15,0)),0,VLOOKUP($T$644,'TAR FIN'!$A$1:$O$86,15,0))</f>
        <v>285.56</v>
      </c>
      <c r="X644" s="6">
        <f>IF(ISERROR(VLOOKUP($U$644,'TAR FIN'!$A$1:$O$86,15,0)),0,VLOOKUP($U$644,'TAR FIN'!$A$1:$O$86,15,0))</f>
        <v>227.23</v>
      </c>
      <c r="Y644" s="6"/>
      <c r="Z644" s="6">
        <f ca="1">('TUSD BE'!$AM$34+'TUSD BF_350'!$AM$34+'TUSD CVA'!$AM$34)*(1-CUSTOS!$M$38)</f>
        <v>310.34682484351242</v>
      </c>
      <c r="AA644" s="6">
        <f ca="1">('TE BE'!$AB$24+'TE BF_350'!$AB$24+'TE CVA'!$AB$24)*(1-CUSTOS!$M$38)</f>
        <v>216.7476358676706</v>
      </c>
      <c r="AB644" s="6">
        <f>$K$644*$V$644</f>
        <v>0</v>
      </c>
      <c r="AC644" s="6">
        <f>$M$644*$W$644</f>
        <v>28.556000000000001</v>
      </c>
      <c r="AD644" s="6">
        <f>$O$644*$X$644</f>
        <v>22.722999999999999</v>
      </c>
      <c r="AE644" s="6">
        <f>$K$644*$Y$644</f>
        <v>0</v>
      </c>
      <c r="AF644" s="6">
        <f ca="1">$M$644*$Z$644</f>
        <v>31.034682484351244</v>
      </c>
      <c r="AG644" s="6">
        <f ca="1">$O$644*$AA$644</f>
        <v>21.67476358676706</v>
      </c>
    </row>
    <row r="645" spans="1:33" ht="11.25" customHeight="1" x14ac:dyDescent="0.25">
      <c r="A645" s="4" t="s">
        <v>21</v>
      </c>
      <c r="B645" s="4" t="s">
        <v>42</v>
      </c>
      <c r="C645" s="4" t="s">
        <v>23</v>
      </c>
      <c r="D645" s="4" t="s">
        <v>43</v>
      </c>
      <c r="E645" s="4" t="s">
        <v>51</v>
      </c>
      <c r="F645" s="4" t="s">
        <v>52</v>
      </c>
      <c r="G645" s="4" t="s">
        <v>25</v>
      </c>
      <c r="H645" s="4" t="s">
        <v>25</v>
      </c>
      <c r="I645" s="5">
        <v>44470</v>
      </c>
      <c r="J645" s="6">
        <v>0</v>
      </c>
      <c r="K645" s="6">
        <v>0</v>
      </c>
      <c r="L645" s="6">
        <v>9.7840000000000007</v>
      </c>
      <c r="M645" s="6">
        <v>9.7840000000000007</v>
      </c>
      <c r="N645" s="6">
        <v>9.7840000000000007</v>
      </c>
      <c r="O645" s="6">
        <v>9.7840000000000007</v>
      </c>
      <c r="P645" s="6">
        <v>0</v>
      </c>
      <c r="Q645" s="4" t="s">
        <v>26</v>
      </c>
      <c r="R645" s="4">
        <v>0</v>
      </c>
      <c r="S645" s="6">
        <v>0</v>
      </c>
      <c r="T645" s="6">
        <v>30</v>
      </c>
      <c r="U645" s="6">
        <v>70</v>
      </c>
      <c r="V645" s="6">
        <f>IF(ISERROR(VLOOKUP($S$645,'TAR FIN'!$A$1:$O$86,15,0)),0,VLOOKUP($S$645,'TAR FIN'!$A$1:$O$86,15,0))</f>
        <v>0</v>
      </c>
      <c r="W645" s="6">
        <f>IF(ISERROR(VLOOKUP($T$645,'TAR FIN'!$A$1:$O$86,15,0)),0,VLOOKUP($T$645,'TAR FIN'!$A$1:$O$86,15,0))</f>
        <v>285.56</v>
      </c>
      <c r="X645" s="6">
        <f>IF(ISERROR(VLOOKUP($U$645,'TAR FIN'!$A$1:$O$86,15,0)),0,VLOOKUP($U$645,'TAR FIN'!$A$1:$O$86,15,0))</f>
        <v>227.23</v>
      </c>
      <c r="Y645" s="6"/>
      <c r="Z645" s="6">
        <f ca="1">('TUSD BE'!$AM$34+'TUSD BF_350'!$AM$34+'TUSD CVA'!$AM$34)*(1-CUSTOS!$M$38)</f>
        <v>310.34682484351242</v>
      </c>
      <c r="AA645" s="6">
        <f ca="1">('TE BE'!$AB$24+'TE BF_350'!$AB$24+'TE CVA'!$AB$24)*(1-CUSTOS!$M$38)</f>
        <v>216.7476358676706</v>
      </c>
      <c r="AB645" s="6">
        <f>$K$645*$V$645</f>
        <v>0</v>
      </c>
      <c r="AC645" s="6">
        <f>$M$645*$W$645</f>
        <v>2793.9190400000002</v>
      </c>
      <c r="AD645" s="6">
        <f>$O$645*$X$645</f>
        <v>2223.2183199999999</v>
      </c>
      <c r="AE645" s="6">
        <f>$K$645*$Y$645</f>
        <v>0</v>
      </c>
      <c r="AF645" s="6">
        <f ca="1">$M$645*$Z$645</f>
        <v>3036.4333342689256</v>
      </c>
      <c r="AG645" s="6">
        <f ca="1">$O$645*$AA$645</f>
        <v>2120.6588693292892</v>
      </c>
    </row>
    <row r="646" spans="1:33" ht="11.25" customHeight="1" x14ac:dyDescent="0.25">
      <c r="A646" s="4" t="s">
        <v>55</v>
      </c>
      <c r="B646" s="4" t="s">
        <v>42</v>
      </c>
      <c r="C646" s="4" t="s">
        <v>23</v>
      </c>
      <c r="D646" s="4" t="s">
        <v>43</v>
      </c>
      <c r="E646" s="4" t="s">
        <v>51</v>
      </c>
      <c r="F646" s="4" t="s">
        <v>52</v>
      </c>
      <c r="G646" s="4" t="s">
        <v>25</v>
      </c>
      <c r="H646" s="4" t="s">
        <v>25</v>
      </c>
      <c r="I646" s="5">
        <v>44470</v>
      </c>
      <c r="J646" s="6">
        <v>0</v>
      </c>
      <c r="K646" s="6">
        <v>0</v>
      </c>
      <c r="L646" s="6">
        <v>0.15</v>
      </c>
      <c r="M646" s="6">
        <v>0.15</v>
      </c>
      <c r="N646" s="6">
        <v>0.15</v>
      </c>
      <c r="O646" s="6">
        <v>0.15</v>
      </c>
      <c r="P646" s="6">
        <v>0</v>
      </c>
      <c r="Q646" s="4" t="s">
        <v>26</v>
      </c>
      <c r="R646" s="4">
        <v>0</v>
      </c>
      <c r="S646" s="6">
        <v>0</v>
      </c>
      <c r="T646" s="6">
        <v>30</v>
      </c>
      <c r="U646" s="6">
        <v>70</v>
      </c>
      <c r="V646" s="6">
        <f>IF(ISERROR(VLOOKUP($S$646,'TAR FIN'!$A$1:$O$86,15,0)),0,VLOOKUP($S$646,'TAR FIN'!$A$1:$O$86,15,0))</f>
        <v>0</v>
      </c>
      <c r="W646" s="6">
        <f>IF(ISERROR(VLOOKUP($T$646,'TAR FIN'!$A$1:$O$86,15,0)),0,VLOOKUP($T$646,'TAR FIN'!$A$1:$O$86,15,0))</f>
        <v>285.56</v>
      </c>
      <c r="X646" s="6">
        <f>IF(ISERROR(VLOOKUP($U$646,'TAR FIN'!$A$1:$O$86,15,0)),0,VLOOKUP($U$646,'TAR FIN'!$A$1:$O$86,15,0))</f>
        <v>227.23</v>
      </c>
      <c r="Y646" s="6"/>
      <c r="Z646" s="6">
        <f ca="1">('TUSD BE'!$AM$34+'TUSD BF_350'!$AM$34+'TUSD CVA'!$AM$34)*(1-CUSTOS!$M$38)</f>
        <v>310.34682484351242</v>
      </c>
      <c r="AA646" s="6">
        <f ca="1">('TE BE'!$AB$24+'TE BF_350'!$AB$24+'TE CVA'!$AB$24)*(1-CUSTOS!$M$38)</f>
        <v>216.7476358676706</v>
      </c>
      <c r="AB646" s="6">
        <f>$K$646*$V$646</f>
        <v>0</v>
      </c>
      <c r="AC646" s="6">
        <f>$M$646*$W$646</f>
        <v>42.833999999999996</v>
      </c>
      <c r="AD646" s="6">
        <f>$O$646*$X$646</f>
        <v>34.084499999999998</v>
      </c>
      <c r="AE646" s="6">
        <f>$K$646*$Y$646</f>
        <v>0</v>
      </c>
      <c r="AF646" s="6">
        <f ca="1">$M$646*$Z$646</f>
        <v>46.552023726526862</v>
      </c>
      <c r="AG646" s="6">
        <f ca="1">$O$646*$AA$646</f>
        <v>32.512145380150585</v>
      </c>
    </row>
    <row r="647" spans="1:33" ht="11.25" customHeight="1" x14ac:dyDescent="0.25">
      <c r="A647" s="4" t="s">
        <v>21</v>
      </c>
      <c r="B647" s="4" t="s">
        <v>42</v>
      </c>
      <c r="C647" s="4" t="s">
        <v>23</v>
      </c>
      <c r="D647" s="4" t="s">
        <v>43</v>
      </c>
      <c r="E647" s="4" t="s">
        <v>51</v>
      </c>
      <c r="F647" s="4" t="s">
        <v>52</v>
      </c>
      <c r="G647" s="4" t="s">
        <v>25</v>
      </c>
      <c r="H647" s="4" t="s">
        <v>25</v>
      </c>
      <c r="I647" s="5">
        <v>44501</v>
      </c>
      <c r="J647" s="6">
        <v>0</v>
      </c>
      <c r="K647" s="6">
        <v>0</v>
      </c>
      <c r="L647" s="6">
        <v>10.707000000000001</v>
      </c>
      <c r="M647" s="6">
        <v>10.707000000000001</v>
      </c>
      <c r="N647" s="6">
        <v>10.707000000000001</v>
      </c>
      <c r="O647" s="6">
        <v>10.707000000000001</v>
      </c>
      <c r="P647" s="6">
        <v>0</v>
      </c>
      <c r="Q647" s="4" t="s">
        <v>26</v>
      </c>
      <c r="R647" s="4">
        <v>0</v>
      </c>
      <c r="S647" s="6">
        <v>0</v>
      </c>
      <c r="T647" s="6">
        <v>30</v>
      </c>
      <c r="U647" s="6">
        <v>70</v>
      </c>
      <c r="V647" s="6">
        <f>IF(ISERROR(VLOOKUP($S$647,'TAR FIN'!$A$1:$O$86,15,0)),0,VLOOKUP($S$647,'TAR FIN'!$A$1:$O$86,15,0))</f>
        <v>0</v>
      </c>
      <c r="W647" s="6">
        <f>IF(ISERROR(VLOOKUP($T$647,'TAR FIN'!$A$1:$O$86,15,0)),0,VLOOKUP($T$647,'TAR FIN'!$A$1:$O$86,15,0))</f>
        <v>285.56</v>
      </c>
      <c r="X647" s="6">
        <f>IF(ISERROR(VLOOKUP($U$647,'TAR FIN'!$A$1:$O$86,15,0)),0,VLOOKUP($U$647,'TAR FIN'!$A$1:$O$86,15,0))</f>
        <v>227.23</v>
      </c>
      <c r="Y647" s="6"/>
      <c r="Z647" s="6">
        <f ca="1">('TUSD BE'!$AM$34+'TUSD BF_350'!$AM$34+'TUSD CVA'!$AM$34)*(1-CUSTOS!$M$38)</f>
        <v>310.34682484351242</v>
      </c>
      <c r="AA647" s="6">
        <f ca="1">('TE BE'!$AB$24+'TE BF_350'!$AB$24+'TE CVA'!$AB$24)*(1-CUSTOS!$M$38)</f>
        <v>216.7476358676706</v>
      </c>
      <c r="AB647" s="6">
        <f>$K$647*$V$647</f>
        <v>0</v>
      </c>
      <c r="AC647" s="6">
        <f>$M$647*$W$647</f>
        <v>3057.4909200000002</v>
      </c>
      <c r="AD647" s="6">
        <f>$O$647*$X$647</f>
        <v>2432.9516100000001</v>
      </c>
      <c r="AE647" s="6">
        <f>$K$647*$Y$647</f>
        <v>0</v>
      </c>
      <c r="AF647" s="6">
        <f ca="1">$M$647*$Z$647</f>
        <v>3322.8834535994879</v>
      </c>
      <c r="AG647" s="6">
        <f ca="1">$O$647*$AA$647</f>
        <v>2320.7169372351491</v>
      </c>
    </row>
    <row r="648" spans="1:33" ht="11.25" customHeight="1" x14ac:dyDescent="0.25">
      <c r="A648" s="4" t="s">
        <v>55</v>
      </c>
      <c r="B648" s="4" t="s">
        <v>42</v>
      </c>
      <c r="C648" s="4" t="s">
        <v>23</v>
      </c>
      <c r="D648" s="4" t="s">
        <v>43</v>
      </c>
      <c r="E648" s="4" t="s">
        <v>51</v>
      </c>
      <c r="F648" s="4" t="s">
        <v>52</v>
      </c>
      <c r="G648" s="4" t="s">
        <v>25</v>
      </c>
      <c r="H648" s="4" t="s">
        <v>25</v>
      </c>
      <c r="I648" s="5">
        <v>44501</v>
      </c>
      <c r="J648" s="6">
        <v>0</v>
      </c>
      <c r="K648" s="6">
        <v>0</v>
      </c>
      <c r="L648" s="6">
        <v>0.15</v>
      </c>
      <c r="M648" s="6">
        <v>0.15</v>
      </c>
      <c r="N648" s="6">
        <v>0.15</v>
      </c>
      <c r="O648" s="6">
        <v>0.15</v>
      </c>
      <c r="P648" s="6">
        <v>0</v>
      </c>
      <c r="Q648" s="4" t="s">
        <v>26</v>
      </c>
      <c r="R648" s="4">
        <v>0</v>
      </c>
      <c r="S648" s="6">
        <v>0</v>
      </c>
      <c r="T648" s="6">
        <v>30</v>
      </c>
      <c r="U648" s="6">
        <v>70</v>
      </c>
      <c r="V648" s="6">
        <f>IF(ISERROR(VLOOKUP($S$648,'TAR FIN'!$A$1:$O$86,15,0)),0,VLOOKUP($S$648,'TAR FIN'!$A$1:$O$86,15,0))</f>
        <v>0</v>
      </c>
      <c r="W648" s="6">
        <f>IF(ISERROR(VLOOKUP($T$648,'TAR FIN'!$A$1:$O$86,15,0)),0,VLOOKUP($T$648,'TAR FIN'!$A$1:$O$86,15,0))</f>
        <v>285.56</v>
      </c>
      <c r="X648" s="6">
        <f>IF(ISERROR(VLOOKUP($U$648,'TAR FIN'!$A$1:$O$86,15,0)),0,VLOOKUP($U$648,'TAR FIN'!$A$1:$O$86,15,0))</f>
        <v>227.23</v>
      </c>
      <c r="Y648" s="6"/>
      <c r="Z648" s="6">
        <f ca="1">('TUSD BE'!$AM$34+'TUSD BF_350'!$AM$34+'TUSD CVA'!$AM$34)*(1-CUSTOS!$M$38)</f>
        <v>310.34682484351242</v>
      </c>
      <c r="AA648" s="6">
        <f ca="1">('TE BE'!$AB$24+'TE BF_350'!$AB$24+'TE CVA'!$AB$24)*(1-CUSTOS!$M$38)</f>
        <v>216.7476358676706</v>
      </c>
      <c r="AB648" s="6">
        <f>$K$648*$V$648</f>
        <v>0</v>
      </c>
      <c r="AC648" s="6">
        <f>$M$648*$W$648</f>
        <v>42.833999999999996</v>
      </c>
      <c r="AD648" s="6">
        <f>$O$648*$X$648</f>
        <v>34.084499999999998</v>
      </c>
      <c r="AE648" s="6">
        <f>$K$648*$Y$648</f>
        <v>0</v>
      </c>
      <c r="AF648" s="6">
        <f ca="1">$M$648*$Z$648</f>
        <v>46.552023726526862</v>
      </c>
      <c r="AG648" s="6">
        <f ca="1">$O$648*$AA$648</f>
        <v>32.512145380150585</v>
      </c>
    </row>
    <row r="649" spans="1:33" ht="11.25" customHeight="1" x14ac:dyDescent="0.25">
      <c r="A649" s="4" t="s">
        <v>21</v>
      </c>
      <c r="B649" s="4" t="s">
        <v>42</v>
      </c>
      <c r="C649" s="4" t="s">
        <v>23</v>
      </c>
      <c r="D649" s="4" t="s">
        <v>43</v>
      </c>
      <c r="E649" s="4" t="s">
        <v>51</v>
      </c>
      <c r="F649" s="4" t="s">
        <v>52</v>
      </c>
      <c r="G649" s="4" t="s">
        <v>25</v>
      </c>
      <c r="H649" s="4" t="s">
        <v>25</v>
      </c>
      <c r="I649" s="5">
        <v>44531</v>
      </c>
      <c r="J649" s="6">
        <v>0</v>
      </c>
      <c r="K649" s="6">
        <v>0</v>
      </c>
      <c r="L649" s="6">
        <v>35.530999999999999</v>
      </c>
      <c r="M649" s="6">
        <v>35.530999999999999</v>
      </c>
      <c r="N649" s="6">
        <v>35.530999999999999</v>
      </c>
      <c r="O649" s="6">
        <v>35.530999999999999</v>
      </c>
      <c r="P649" s="6">
        <v>0</v>
      </c>
      <c r="Q649" s="4" t="s">
        <v>26</v>
      </c>
      <c r="R649" s="4">
        <v>0</v>
      </c>
      <c r="S649" s="6">
        <v>0</v>
      </c>
      <c r="T649" s="6">
        <v>30</v>
      </c>
      <c r="U649" s="6">
        <v>70</v>
      </c>
      <c r="V649" s="6">
        <f>IF(ISERROR(VLOOKUP($S$649,'TAR FIN'!$A$1:$O$86,15,0)),0,VLOOKUP($S$649,'TAR FIN'!$A$1:$O$86,15,0))</f>
        <v>0</v>
      </c>
      <c r="W649" s="6">
        <f>IF(ISERROR(VLOOKUP($T$649,'TAR FIN'!$A$1:$O$86,15,0)),0,VLOOKUP($T$649,'TAR FIN'!$A$1:$O$86,15,0))</f>
        <v>285.56</v>
      </c>
      <c r="X649" s="6">
        <f>IF(ISERROR(VLOOKUP($U$649,'TAR FIN'!$A$1:$O$86,15,0)),0,VLOOKUP($U$649,'TAR FIN'!$A$1:$O$86,15,0))</f>
        <v>227.23</v>
      </c>
      <c r="Y649" s="6"/>
      <c r="Z649" s="6">
        <f ca="1">('TUSD BE'!$AM$34+'TUSD BF_350'!$AM$34+'TUSD CVA'!$AM$34)*(1-CUSTOS!$M$38)</f>
        <v>310.34682484351242</v>
      </c>
      <c r="AA649" s="6">
        <f ca="1">('TE BE'!$AB$24+'TE BF_350'!$AB$24+'TE CVA'!$AB$24)*(1-CUSTOS!$M$38)</f>
        <v>216.7476358676706</v>
      </c>
      <c r="AB649" s="6">
        <f>$K$649*$V$649</f>
        <v>0</v>
      </c>
      <c r="AC649" s="6">
        <f>$M$649*$W$649</f>
        <v>10146.23236</v>
      </c>
      <c r="AD649" s="6">
        <f>$O$649*$X$649</f>
        <v>8073.7091299999993</v>
      </c>
      <c r="AE649" s="6">
        <f>$K$649*$Y$649</f>
        <v>0</v>
      </c>
      <c r="AF649" s="6">
        <f ca="1">$M$649*$Z$649</f>
        <v>11026.933033514839</v>
      </c>
      <c r="AG649" s="6">
        <f ca="1">$O$649*$AA$649</f>
        <v>7701.2602500142038</v>
      </c>
    </row>
    <row r="650" spans="1:33" ht="11.25" customHeight="1" x14ac:dyDescent="0.25">
      <c r="A650" s="4" t="s">
        <v>55</v>
      </c>
      <c r="B650" s="4" t="s">
        <v>42</v>
      </c>
      <c r="C650" s="4" t="s">
        <v>23</v>
      </c>
      <c r="D650" s="4" t="s">
        <v>43</v>
      </c>
      <c r="E650" s="4" t="s">
        <v>51</v>
      </c>
      <c r="F650" s="4" t="s">
        <v>52</v>
      </c>
      <c r="G650" s="4" t="s">
        <v>25</v>
      </c>
      <c r="H650" s="4" t="s">
        <v>25</v>
      </c>
      <c r="I650" s="5">
        <v>44531</v>
      </c>
      <c r="J650" s="6">
        <v>0</v>
      </c>
      <c r="K650" s="6">
        <v>0</v>
      </c>
      <c r="L650" s="6">
        <v>0.1</v>
      </c>
      <c r="M650" s="6">
        <v>0.1</v>
      </c>
      <c r="N650" s="6">
        <v>0.1</v>
      </c>
      <c r="O650" s="6">
        <v>0.1</v>
      </c>
      <c r="P650" s="6">
        <v>0</v>
      </c>
      <c r="Q650" s="4" t="s">
        <v>26</v>
      </c>
      <c r="R650" s="4">
        <v>0</v>
      </c>
      <c r="S650" s="6">
        <v>0</v>
      </c>
      <c r="T650" s="6">
        <v>30</v>
      </c>
      <c r="U650" s="6">
        <v>70</v>
      </c>
      <c r="V650" s="6">
        <f>IF(ISERROR(VLOOKUP($S$650,'TAR FIN'!$A$1:$O$86,15,0)),0,VLOOKUP($S$650,'TAR FIN'!$A$1:$O$86,15,0))</f>
        <v>0</v>
      </c>
      <c r="W650" s="6">
        <f>IF(ISERROR(VLOOKUP($T$650,'TAR FIN'!$A$1:$O$86,15,0)),0,VLOOKUP($T$650,'TAR FIN'!$A$1:$O$86,15,0))</f>
        <v>285.56</v>
      </c>
      <c r="X650" s="6">
        <f>IF(ISERROR(VLOOKUP($U$650,'TAR FIN'!$A$1:$O$86,15,0)),0,VLOOKUP($U$650,'TAR FIN'!$A$1:$O$86,15,0))</f>
        <v>227.23</v>
      </c>
      <c r="Y650" s="6"/>
      <c r="Z650" s="6">
        <f ca="1">('TUSD BE'!$AM$34+'TUSD BF_350'!$AM$34+'TUSD CVA'!$AM$34)*(1-CUSTOS!$M$38)</f>
        <v>310.34682484351242</v>
      </c>
      <c r="AA650" s="6">
        <f ca="1">('TE BE'!$AB$24+'TE BF_350'!$AB$24+'TE CVA'!$AB$24)*(1-CUSTOS!$M$38)</f>
        <v>216.7476358676706</v>
      </c>
      <c r="AB650" s="6">
        <f>$K$650*$V$650</f>
        <v>0</v>
      </c>
      <c r="AC650" s="6">
        <f>$M$650*$W$650</f>
        <v>28.556000000000001</v>
      </c>
      <c r="AD650" s="6">
        <f>$O$650*$X$650</f>
        <v>22.722999999999999</v>
      </c>
      <c r="AE650" s="6">
        <f>$K$650*$Y$650</f>
        <v>0</v>
      </c>
      <c r="AF650" s="6">
        <f ca="1">$M$650*$Z$650</f>
        <v>31.034682484351244</v>
      </c>
      <c r="AG650" s="6">
        <f ca="1">$O$650*$AA$650</f>
        <v>21.67476358676706</v>
      </c>
    </row>
    <row r="651" spans="1:33" ht="11.25" customHeight="1" x14ac:dyDescent="0.25">
      <c r="A651" s="4" t="s">
        <v>21</v>
      </c>
      <c r="B651" s="4" t="s">
        <v>42</v>
      </c>
      <c r="C651" s="4" t="s">
        <v>23</v>
      </c>
      <c r="D651" s="4" t="s">
        <v>43</v>
      </c>
      <c r="E651" s="4" t="s">
        <v>51</v>
      </c>
      <c r="F651" s="4" t="s">
        <v>52</v>
      </c>
      <c r="G651" s="4" t="s">
        <v>25</v>
      </c>
      <c r="H651" s="4" t="s">
        <v>25</v>
      </c>
      <c r="I651" s="5">
        <v>44562</v>
      </c>
      <c r="J651" s="6">
        <v>0</v>
      </c>
      <c r="K651" s="6">
        <v>0</v>
      </c>
      <c r="L651" s="6">
        <v>67.302999999999997</v>
      </c>
      <c r="M651" s="6">
        <v>67.302999999999997</v>
      </c>
      <c r="N651" s="6">
        <v>67.302999999999997</v>
      </c>
      <c r="O651" s="6">
        <v>67.302999999999997</v>
      </c>
      <c r="P651" s="6">
        <v>0</v>
      </c>
      <c r="Q651" s="4" t="s">
        <v>26</v>
      </c>
      <c r="R651" s="4">
        <v>0</v>
      </c>
      <c r="S651" s="6">
        <v>0</v>
      </c>
      <c r="T651" s="6">
        <v>30</v>
      </c>
      <c r="U651" s="6">
        <v>70</v>
      </c>
      <c r="V651" s="6">
        <f>IF(ISERROR(VLOOKUP($S$651,'TAR FIN'!$A$1:$O$86,15,0)),0,VLOOKUP($S$651,'TAR FIN'!$A$1:$O$86,15,0))</f>
        <v>0</v>
      </c>
      <c r="W651" s="6">
        <f>IF(ISERROR(VLOOKUP($T$651,'TAR FIN'!$A$1:$O$86,15,0)),0,VLOOKUP($T$651,'TAR FIN'!$A$1:$O$86,15,0))</f>
        <v>285.56</v>
      </c>
      <c r="X651" s="6">
        <f>IF(ISERROR(VLOOKUP($U$651,'TAR FIN'!$A$1:$O$86,15,0)),0,VLOOKUP($U$651,'TAR FIN'!$A$1:$O$86,15,0))</f>
        <v>227.23</v>
      </c>
      <c r="Y651" s="6"/>
      <c r="Z651" s="6">
        <f ca="1">('TUSD BE'!$AM$34+'TUSD BF_350'!$AM$34+'TUSD CVA'!$AM$34)*(1-CUSTOS!$M$38)</f>
        <v>310.34682484351242</v>
      </c>
      <c r="AA651" s="6">
        <f ca="1">('TE BE'!$AB$24+'TE BF_350'!$AB$24+'TE CVA'!$AB$24)*(1-CUSTOS!$M$38)</f>
        <v>216.7476358676706</v>
      </c>
      <c r="AB651" s="6">
        <f>$K$651*$V$651</f>
        <v>0</v>
      </c>
      <c r="AC651" s="6">
        <f>$M$651*$W$651</f>
        <v>19219.044679999999</v>
      </c>
      <c r="AD651" s="6">
        <f>$O$651*$X$651</f>
        <v>15293.260689999999</v>
      </c>
      <c r="AE651" s="6">
        <f>$K$651*$Y$651</f>
        <v>0</v>
      </c>
      <c r="AF651" s="6">
        <f ca="1">$M$651*$Z$651</f>
        <v>20887.272352442917</v>
      </c>
      <c r="AG651" s="6">
        <f ca="1">$O$651*$AA$651</f>
        <v>14587.766136801834</v>
      </c>
    </row>
    <row r="652" spans="1:33" ht="11.25" customHeight="1" x14ac:dyDescent="0.25">
      <c r="A652" s="4" t="s">
        <v>55</v>
      </c>
      <c r="B652" s="4" t="s">
        <v>42</v>
      </c>
      <c r="C652" s="4" t="s">
        <v>23</v>
      </c>
      <c r="D652" s="4" t="s">
        <v>43</v>
      </c>
      <c r="E652" s="4" t="s">
        <v>51</v>
      </c>
      <c r="F652" s="4" t="s">
        <v>52</v>
      </c>
      <c r="G652" s="4" t="s">
        <v>25</v>
      </c>
      <c r="H652" s="4" t="s">
        <v>25</v>
      </c>
      <c r="I652" s="5">
        <v>44562</v>
      </c>
      <c r="J652" s="6">
        <v>0</v>
      </c>
      <c r="K652" s="6">
        <v>0</v>
      </c>
      <c r="L652" s="6">
        <v>0.15</v>
      </c>
      <c r="M652" s="6">
        <v>0.15</v>
      </c>
      <c r="N652" s="6">
        <v>0.15</v>
      </c>
      <c r="O652" s="6">
        <v>0.15</v>
      </c>
      <c r="P652" s="6">
        <v>0</v>
      </c>
      <c r="Q652" s="4" t="s">
        <v>26</v>
      </c>
      <c r="R652" s="4">
        <v>0</v>
      </c>
      <c r="S652" s="6">
        <v>0</v>
      </c>
      <c r="T652" s="6">
        <v>30</v>
      </c>
      <c r="U652" s="6">
        <v>70</v>
      </c>
      <c r="V652" s="6">
        <f>IF(ISERROR(VLOOKUP($S$652,'TAR FIN'!$A$1:$O$86,15,0)),0,VLOOKUP($S$652,'TAR FIN'!$A$1:$O$86,15,0))</f>
        <v>0</v>
      </c>
      <c r="W652" s="6">
        <f>IF(ISERROR(VLOOKUP($T$652,'TAR FIN'!$A$1:$O$86,15,0)),0,VLOOKUP($T$652,'TAR FIN'!$A$1:$O$86,15,0))</f>
        <v>285.56</v>
      </c>
      <c r="X652" s="6">
        <f>IF(ISERROR(VLOOKUP($U$652,'TAR FIN'!$A$1:$O$86,15,0)),0,VLOOKUP($U$652,'TAR FIN'!$A$1:$O$86,15,0))</f>
        <v>227.23</v>
      </c>
      <c r="Y652" s="6"/>
      <c r="Z652" s="6">
        <f ca="1">('TUSD BE'!$AM$34+'TUSD BF_350'!$AM$34+'TUSD CVA'!$AM$34)*(1-CUSTOS!$M$38)</f>
        <v>310.34682484351242</v>
      </c>
      <c r="AA652" s="6">
        <f ca="1">('TE BE'!$AB$24+'TE BF_350'!$AB$24+'TE CVA'!$AB$24)*(1-CUSTOS!$M$38)</f>
        <v>216.7476358676706</v>
      </c>
      <c r="AB652" s="6">
        <f>$K$652*$V$652</f>
        <v>0</v>
      </c>
      <c r="AC652" s="6">
        <f>$M$652*$W$652</f>
        <v>42.833999999999996</v>
      </c>
      <c r="AD652" s="6">
        <f>$O$652*$X$652</f>
        <v>34.084499999999998</v>
      </c>
      <c r="AE652" s="6">
        <f>$K$652*$Y$652</f>
        <v>0</v>
      </c>
      <c r="AF652" s="6">
        <f ca="1">$M$652*$Z$652</f>
        <v>46.552023726526862</v>
      </c>
      <c r="AG652" s="6">
        <f ca="1">$O$652*$AA$652</f>
        <v>32.512145380150585</v>
      </c>
    </row>
    <row r="653" spans="1:33" ht="11.25" customHeight="1" x14ac:dyDescent="0.25">
      <c r="A653" s="4" t="s">
        <v>21</v>
      </c>
      <c r="B653" s="4" t="s">
        <v>42</v>
      </c>
      <c r="C653" s="4" t="s">
        <v>23</v>
      </c>
      <c r="D653" s="4" t="s">
        <v>43</v>
      </c>
      <c r="E653" s="4" t="s">
        <v>51</v>
      </c>
      <c r="F653" s="4" t="s">
        <v>52</v>
      </c>
      <c r="G653" s="4" t="s">
        <v>25</v>
      </c>
      <c r="H653" s="4" t="s">
        <v>25</v>
      </c>
      <c r="I653" s="5">
        <v>44593</v>
      </c>
      <c r="J653" s="6">
        <v>0</v>
      </c>
      <c r="K653" s="6">
        <v>0</v>
      </c>
      <c r="L653" s="6">
        <v>32.872</v>
      </c>
      <c r="M653" s="6">
        <v>32.872</v>
      </c>
      <c r="N653" s="6">
        <v>32.872</v>
      </c>
      <c r="O653" s="6">
        <v>32.872</v>
      </c>
      <c r="P653" s="6">
        <v>0</v>
      </c>
      <c r="Q653" s="4" t="s">
        <v>26</v>
      </c>
      <c r="R653" s="4">
        <v>0</v>
      </c>
      <c r="S653" s="6">
        <v>0</v>
      </c>
      <c r="T653" s="6">
        <v>30</v>
      </c>
      <c r="U653" s="6">
        <v>70</v>
      </c>
      <c r="V653" s="6">
        <f>IF(ISERROR(VLOOKUP($S$653,'TAR FIN'!$A$1:$O$86,15,0)),0,VLOOKUP($S$653,'TAR FIN'!$A$1:$O$86,15,0))</f>
        <v>0</v>
      </c>
      <c r="W653" s="6">
        <f>IF(ISERROR(VLOOKUP($T$653,'TAR FIN'!$A$1:$O$86,15,0)),0,VLOOKUP($T$653,'TAR FIN'!$A$1:$O$86,15,0))</f>
        <v>285.56</v>
      </c>
      <c r="X653" s="6">
        <f>IF(ISERROR(VLOOKUP($U$653,'TAR FIN'!$A$1:$O$86,15,0)),0,VLOOKUP($U$653,'TAR FIN'!$A$1:$O$86,15,0))</f>
        <v>227.23</v>
      </c>
      <c r="Y653" s="6"/>
      <c r="Z653" s="6">
        <f ca="1">('TUSD BE'!$AM$34+'TUSD BF_350'!$AM$34+'TUSD CVA'!$AM$34)*(1-CUSTOS!$M$38)</f>
        <v>310.34682484351242</v>
      </c>
      <c r="AA653" s="6">
        <f ca="1">('TE BE'!$AB$24+'TE BF_350'!$AB$24+'TE CVA'!$AB$24)*(1-CUSTOS!$M$38)</f>
        <v>216.7476358676706</v>
      </c>
      <c r="AB653" s="6">
        <f>$K$653*$V$653</f>
        <v>0</v>
      </c>
      <c r="AC653" s="6">
        <f>$M$653*$W$653</f>
        <v>9386.9283200000009</v>
      </c>
      <c r="AD653" s="6">
        <f>$O$653*$X$653</f>
        <v>7469.5045599999994</v>
      </c>
      <c r="AE653" s="6">
        <f>$K$653*$Y$653</f>
        <v>0</v>
      </c>
      <c r="AF653" s="6">
        <f ca="1">$M$653*$Z$653</f>
        <v>10201.72082625594</v>
      </c>
      <c r="AG653" s="6">
        <f ca="1">$O$653*$AA$653</f>
        <v>7124.9282862420678</v>
      </c>
    </row>
    <row r="654" spans="1:33" ht="11.25" customHeight="1" x14ac:dyDescent="0.25">
      <c r="A654" s="4" t="s">
        <v>55</v>
      </c>
      <c r="B654" s="4" t="s">
        <v>42</v>
      </c>
      <c r="C654" s="4" t="s">
        <v>23</v>
      </c>
      <c r="D654" s="4" t="s">
        <v>43</v>
      </c>
      <c r="E654" s="4" t="s">
        <v>51</v>
      </c>
      <c r="F654" s="4" t="s">
        <v>52</v>
      </c>
      <c r="G654" s="4" t="s">
        <v>25</v>
      </c>
      <c r="H654" s="4" t="s">
        <v>25</v>
      </c>
      <c r="I654" s="5">
        <v>44593</v>
      </c>
      <c r="J654" s="6">
        <v>0</v>
      </c>
      <c r="K654" s="6">
        <v>0</v>
      </c>
      <c r="L654" s="6">
        <v>0.1</v>
      </c>
      <c r="M654" s="6">
        <v>0.1</v>
      </c>
      <c r="N654" s="6">
        <v>0.1</v>
      </c>
      <c r="O654" s="6">
        <v>0.1</v>
      </c>
      <c r="P654" s="6">
        <v>0</v>
      </c>
      <c r="Q654" s="4" t="s">
        <v>26</v>
      </c>
      <c r="R654" s="4">
        <v>0</v>
      </c>
      <c r="S654" s="6">
        <v>0</v>
      </c>
      <c r="T654" s="6">
        <v>30</v>
      </c>
      <c r="U654" s="6">
        <v>70</v>
      </c>
      <c r="V654" s="6">
        <f>IF(ISERROR(VLOOKUP($S$654,'TAR FIN'!$A$1:$O$86,15,0)),0,VLOOKUP($S$654,'TAR FIN'!$A$1:$O$86,15,0))</f>
        <v>0</v>
      </c>
      <c r="W654" s="6">
        <f>IF(ISERROR(VLOOKUP($T$654,'TAR FIN'!$A$1:$O$86,15,0)),0,VLOOKUP($T$654,'TAR FIN'!$A$1:$O$86,15,0))</f>
        <v>285.56</v>
      </c>
      <c r="X654" s="6">
        <f>IF(ISERROR(VLOOKUP($U$654,'TAR FIN'!$A$1:$O$86,15,0)),0,VLOOKUP($U$654,'TAR FIN'!$A$1:$O$86,15,0))</f>
        <v>227.23</v>
      </c>
      <c r="Y654" s="6"/>
      <c r="Z654" s="6">
        <f ca="1">('TUSD BE'!$AM$34+'TUSD BF_350'!$AM$34+'TUSD CVA'!$AM$34)*(1-CUSTOS!$M$38)</f>
        <v>310.34682484351242</v>
      </c>
      <c r="AA654" s="6">
        <f ca="1">('TE BE'!$AB$24+'TE BF_350'!$AB$24+'TE CVA'!$AB$24)*(1-CUSTOS!$M$38)</f>
        <v>216.7476358676706</v>
      </c>
      <c r="AB654" s="6">
        <f>$K$654*$V$654</f>
        <v>0</v>
      </c>
      <c r="AC654" s="6">
        <f>$M$654*$W$654</f>
        <v>28.556000000000001</v>
      </c>
      <c r="AD654" s="6">
        <f>$O$654*$X$654</f>
        <v>22.722999999999999</v>
      </c>
      <c r="AE654" s="6">
        <f>$K$654*$Y$654</f>
        <v>0</v>
      </c>
      <c r="AF654" s="6">
        <f ca="1">$M$654*$Z$654</f>
        <v>31.034682484351244</v>
      </c>
      <c r="AG654" s="6">
        <f ca="1">$O$654*$AA$654</f>
        <v>21.67476358676706</v>
      </c>
    </row>
    <row r="655" spans="1:33" ht="11.25" customHeight="1" x14ac:dyDescent="0.25">
      <c r="A655" s="4" t="s">
        <v>21</v>
      </c>
      <c r="B655" s="4" t="s">
        <v>42</v>
      </c>
      <c r="C655" s="4" t="s">
        <v>23</v>
      </c>
      <c r="D655" s="4" t="s">
        <v>43</v>
      </c>
      <c r="E655" s="4" t="s">
        <v>51</v>
      </c>
      <c r="F655" s="4" t="s">
        <v>52</v>
      </c>
      <c r="G655" s="4" t="s">
        <v>25</v>
      </c>
      <c r="H655" s="4" t="s">
        <v>25</v>
      </c>
      <c r="I655" s="5">
        <v>44621</v>
      </c>
      <c r="J655" s="6">
        <v>0</v>
      </c>
      <c r="K655" s="6">
        <v>0</v>
      </c>
      <c r="L655" s="6">
        <v>23.164999999999999</v>
      </c>
      <c r="M655" s="6">
        <v>23.164999999999999</v>
      </c>
      <c r="N655" s="6">
        <v>23.164999999999999</v>
      </c>
      <c r="O655" s="6">
        <v>23.164999999999999</v>
      </c>
      <c r="P655" s="6">
        <v>0</v>
      </c>
      <c r="Q655" s="4" t="s">
        <v>26</v>
      </c>
      <c r="R655" s="4">
        <v>0</v>
      </c>
      <c r="S655" s="6">
        <v>0</v>
      </c>
      <c r="T655" s="6">
        <v>30</v>
      </c>
      <c r="U655" s="6">
        <v>70</v>
      </c>
      <c r="V655" s="6">
        <f>IF(ISERROR(VLOOKUP($S$655,'TAR FIN'!$A$1:$O$86,15,0)),0,VLOOKUP($S$655,'TAR FIN'!$A$1:$O$86,15,0))</f>
        <v>0</v>
      </c>
      <c r="W655" s="6">
        <f>IF(ISERROR(VLOOKUP($T$655,'TAR FIN'!$A$1:$O$86,15,0)),0,VLOOKUP($T$655,'TAR FIN'!$A$1:$O$86,15,0))</f>
        <v>285.56</v>
      </c>
      <c r="X655" s="6">
        <f>IF(ISERROR(VLOOKUP($U$655,'TAR FIN'!$A$1:$O$86,15,0)),0,VLOOKUP($U$655,'TAR FIN'!$A$1:$O$86,15,0))</f>
        <v>227.23</v>
      </c>
      <c r="Y655" s="6"/>
      <c r="Z655" s="6">
        <f ca="1">('TUSD BE'!$AM$34+'TUSD BF_350'!$AM$34+'TUSD CVA'!$AM$34)*(1-CUSTOS!$M$38)</f>
        <v>310.34682484351242</v>
      </c>
      <c r="AA655" s="6">
        <f ca="1">('TE BE'!$AB$24+'TE BF_350'!$AB$24+'TE CVA'!$AB$24)*(1-CUSTOS!$M$38)</f>
        <v>216.7476358676706</v>
      </c>
      <c r="AB655" s="6">
        <f>$K$655*$V$655</f>
        <v>0</v>
      </c>
      <c r="AC655" s="6">
        <f>$M$655*$W$655</f>
        <v>6614.9974000000002</v>
      </c>
      <c r="AD655" s="6">
        <f>$O$655*$X$655</f>
        <v>5263.7829499999998</v>
      </c>
      <c r="AE655" s="6">
        <f>$K$655*$Y$655</f>
        <v>0</v>
      </c>
      <c r="AF655" s="6">
        <f ca="1">$M$655*$Z$655</f>
        <v>7189.1841974999652</v>
      </c>
      <c r="AG655" s="6">
        <f ca="1">$O$655*$AA$655</f>
        <v>5020.9589848745891</v>
      </c>
    </row>
    <row r="656" spans="1:33" ht="11.25" customHeight="1" x14ac:dyDescent="0.25">
      <c r="A656" s="4" t="s">
        <v>55</v>
      </c>
      <c r="B656" s="4" t="s">
        <v>42</v>
      </c>
      <c r="C656" s="4" t="s">
        <v>23</v>
      </c>
      <c r="D656" s="4" t="s">
        <v>43</v>
      </c>
      <c r="E656" s="4" t="s">
        <v>51</v>
      </c>
      <c r="F656" s="4" t="s">
        <v>52</v>
      </c>
      <c r="G656" s="4" t="s">
        <v>25</v>
      </c>
      <c r="H656" s="4" t="s">
        <v>25</v>
      </c>
      <c r="I656" s="5">
        <v>44621</v>
      </c>
      <c r="J656" s="6">
        <v>0</v>
      </c>
      <c r="K656" s="6">
        <v>0</v>
      </c>
      <c r="L656" s="6">
        <v>0.1</v>
      </c>
      <c r="M656" s="6">
        <v>0.1</v>
      </c>
      <c r="N656" s="6">
        <v>0.1</v>
      </c>
      <c r="O656" s="6">
        <v>0.1</v>
      </c>
      <c r="P656" s="6">
        <v>0</v>
      </c>
      <c r="Q656" s="4" t="s">
        <v>26</v>
      </c>
      <c r="R656" s="4">
        <v>0</v>
      </c>
      <c r="S656" s="6">
        <v>0</v>
      </c>
      <c r="T656" s="6">
        <v>30</v>
      </c>
      <c r="U656" s="6">
        <v>70</v>
      </c>
      <c r="V656" s="6">
        <f>IF(ISERROR(VLOOKUP($S$656,'TAR FIN'!$A$1:$O$86,15,0)),0,VLOOKUP($S$656,'TAR FIN'!$A$1:$O$86,15,0))</f>
        <v>0</v>
      </c>
      <c r="W656" s="6">
        <f>IF(ISERROR(VLOOKUP($T$656,'TAR FIN'!$A$1:$O$86,15,0)),0,VLOOKUP($T$656,'TAR FIN'!$A$1:$O$86,15,0))</f>
        <v>285.56</v>
      </c>
      <c r="X656" s="6">
        <f>IF(ISERROR(VLOOKUP($U$656,'TAR FIN'!$A$1:$O$86,15,0)),0,VLOOKUP($U$656,'TAR FIN'!$A$1:$O$86,15,0))</f>
        <v>227.23</v>
      </c>
      <c r="Y656" s="6"/>
      <c r="Z656" s="6">
        <f ca="1">('TUSD BE'!$AM$34+'TUSD BF_350'!$AM$34+'TUSD CVA'!$AM$34)*(1-CUSTOS!$M$38)</f>
        <v>310.34682484351242</v>
      </c>
      <c r="AA656" s="6">
        <f ca="1">('TE BE'!$AB$24+'TE BF_350'!$AB$24+'TE CVA'!$AB$24)*(1-CUSTOS!$M$38)</f>
        <v>216.7476358676706</v>
      </c>
      <c r="AB656" s="6">
        <f>$K$656*$V$656</f>
        <v>0</v>
      </c>
      <c r="AC656" s="6">
        <f>$M$656*$W$656</f>
        <v>28.556000000000001</v>
      </c>
      <c r="AD656" s="6">
        <f>$O$656*$X$656</f>
        <v>22.722999999999999</v>
      </c>
      <c r="AE656" s="6">
        <f>$K$656*$Y$656</f>
        <v>0</v>
      </c>
      <c r="AF656" s="6">
        <f ca="1">$M$656*$Z$656</f>
        <v>31.034682484351244</v>
      </c>
      <c r="AG656" s="6">
        <f ca="1">$O$656*$AA$656</f>
        <v>21.67476358676706</v>
      </c>
    </row>
    <row r="657" spans="1:33" ht="11.25" customHeight="1" x14ac:dyDescent="0.25">
      <c r="A657" s="4" t="s">
        <v>21</v>
      </c>
      <c r="B657" s="4" t="s">
        <v>42</v>
      </c>
      <c r="C657" s="4" t="s">
        <v>23</v>
      </c>
      <c r="D657" s="4" t="s">
        <v>43</v>
      </c>
      <c r="E657" s="4" t="s">
        <v>51</v>
      </c>
      <c r="F657" s="4" t="s">
        <v>52</v>
      </c>
      <c r="G657" s="4" t="s">
        <v>25</v>
      </c>
      <c r="H657" s="4" t="s">
        <v>25</v>
      </c>
      <c r="I657" s="5">
        <v>44652</v>
      </c>
      <c r="J657" s="6">
        <v>0</v>
      </c>
      <c r="K657" s="6">
        <v>0</v>
      </c>
      <c r="L657" s="6">
        <v>7.4290000000000003</v>
      </c>
      <c r="M657" s="6">
        <v>7.4290000000000003</v>
      </c>
      <c r="N657" s="6">
        <v>7.4290000000000003</v>
      </c>
      <c r="O657" s="6">
        <v>7.4290000000000003</v>
      </c>
      <c r="P657" s="6">
        <v>0</v>
      </c>
      <c r="Q657" s="4" t="s">
        <v>26</v>
      </c>
      <c r="R657" s="4">
        <v>0</v>
      </c>
      <c r="S657" s="6">
        <v>0</v>
      </c>
      <c r="T657" s="6">
        <v>30</v>
      </c>
      <c r="U657" s="6">
        <v>70</v>
      </c>
      <c r="V657" s="6">
        <f>IF(ISERROR(VLOOKUP($S$657,'TAR FIN'!$A$1:$O$86,15,0)),0,VLOOKUP($S$657,'TAR FIN'!$A$1:$O$86,15,0))</f>
        <v>0</v>
      </c>
      <c r="W657" s="6">
        <f>IF(ISERROR(VLOOKUP($T$657,'TAR FIN'!$A$1:$O$86,15,0)),0,VLOOKUP($T$657,'TAR FIN'!$A$1:$O$86,15,0))</f>
        <v>285.56</v>
      </c>
      <c r="X657" s="6">
        <f>IF(ISERROR(VLOOKUP($U$657,'TAR FIN'!$A$1:$O$86,15,0)),0,VLOOKUP($U$657,'TAR FIN'!$A$1:$O$86,15,0))</f>
        <v>227.23</v>
      </c>
      <c r="Y657" s="6"/>
      <c r="Z657" s="6">
        <f ca="1">('TUSD BE'!$AM$34+'TUSD BF_350'!$AM$34+'TUSD CVA'!$AM$34)*(1-CUSTOS!$M$38)</f>
        <v>310.34682484351242</v>
      </c>
      <c r="AA657" s="6">
        <f ca="1">('TE BE'!$AB$24+'TE BF_350'!$AB$24+'TE CVA'!$AB$24)*(1-CUSTOS!$M$38)</f>
        <v>216.7476358676706</v>
      </c>
      <c r="AB657" s="6">
        <f>$K$657*$V$657</f>
        <v>0</v>
      </c>
      <c r="AC657" s="6">
        <f>$M$657*$W$657</f>
        <v>2121.42524</v>
      </c>
      <c r="AD657" s="6">
        <f>$O$657*$X$657</f>
        <v>1688.09167</v>
      </c>
      <c r="AE657" s="6">
        <f>$K$657*$Y$657</f>
        <v>0</v>
      </c>
      <c r="AF657" s="6">
        <f ca="1">$M$657*$Z$657</f>
        <v>2305.5665617624541</v>
      </c>
      <c r="AG657" s="6">
        <f ca="1">$O$657*$AA$657</f>
        <v>1610.218186860925</v>
      </c>
    </row>
    <row r="658" spans="1:33" ht="11.25" customHeight="1" x14ac:dyDescent="0.25">
      <c r="A658" s="4" t="s">
        <v>55</v>
      </c>
      <c r="B658" s="4" t="s">
        <v>42</v>
      </c>
      <c r="C658" s="4" t="s">
        <v>23</v>
      </c>
      <c r="D658" s="4" t="s">
        <v>43</v>
      </c>
      <c r="E658" s="4" t="s">
        <v>51</v>
      </c>
      <c r="F658" s="4" t="s">
        <v>52</v>
      </c>
      <c r="G658" s="4" t="s">
        <v>25</v>
      </c>
      <c r="H658" s="4" t="s">
        <v>25</v>
      </c>
      <c r="I658" s="5">
        <v>44652</v>
      </c>
      <c r="J658" s="6">
        <v>0</v>
      </c>
      <c r="K658" s="6">
        <v>0</v>
      </c>
      <c r="L658" s="6">
        <v>0.15</v>
      </c>
      <c r="M658" s="6">
        <v>0.15</v>
      </c>
      <c r="N658" s="6">
        <v>0.15</v>
      </c>
      <c r="O658" s="6">
        <v>0.15</v>
      </c>
      <c r="P658" s="6">
        <v>0</v>
      </c>
      <c r="Q658" s="4" t="s">
        <v>26</v>
      </c>
      <c r="R658" s="4">
        <v>0</v>
      </c>
      <c r="S658" s="6">
        <v>0</v>
      </c>
      <c r="T658" s="6">
        <v>30</v>
      </c>
      <c r="U658" s="6">
        <v>70</v>
      </c>
      <c r="V658" s="6">
        <f>IF(ISERROR(VLOOKUP($S$658,'TAR FIN'!$A$1:$O$86,15,0)),0,VLOOKUP($S$658,'TAR FIN'!$A$1:$O$86,15,0))</f>
        <v>0</v>
      </c>
      <c r="W658" s="6">
        <f>IF(ISERROR(VLOOKUP($T$658,'TAR FIN'!$A$1:$O$86,15,0)),0,VLOOKUP($T$658,'TAR FIN'!$A$1:$O$86,15,0))</f>
        <v>285.56</v>
      </c>
      <c r="X658" s="6">
        <f>IF(ISERROR(VLOOKUP($U$658,'TAR FIN'!$A$1:$O$86,15,0)),0,VLOOKUP($U$658,'TAR FIN'!$A$1:$O$86,15,0))</f>
        <v>227.23</v>
      </c>
      <c r="Y658" s="6"/>
      <c r="Z658" s="6">
        <f ca="1">('TUSD BE'!$AM$34+'TUSD BF_350'!$AM$34+'TUSD CVA'!$AM$34)*(1-CUSTOS!$M$38)</f>
        <v>310.34682484351242</v>
      </c>
      <c r="AA658" s="6">
        <f ca="1">('TE BE'!$AB$24+'TE BF_350'!$AB$24+'TE CVA'!$AB$24)*(1-CUSTOS!$M$38)</f>
        <v>216.7476358676706</v>
      </c>
      <c r="AB658" s="6">
        <f>$K$658*$V$658</f>
        <v>0</v>
      </c>
      <c r="AC658" s="6">
        <f>$M$658*$W$658</f>
        <v>42.833999999999996</v>
      </c>
      <c r="AD658" s="6">
        <f>$O$658*$X$658</f>
        <v>34.084499999999998</v>
      </c>
      <c r="AE658" s="6">
        <f>$K$658*$Y$658</f>
        <v>0</v>
      </c>
      <c r="AF658" s="6">
        <f ca="1">$M$658*$Z$658</f>
        <v>46.552023726526862</v>
      </c>
      <c r="AG658" s="6">
        <f ca="1">$O$658*$AA$658</f>
        <v>32.512145380150585</v>
      </c>
    </row>
    <row r="659" spans="1:33" ht="11.25" customHeight="1" x14ac:dyDescent="0.25">
      <c r="A659" s="4" t="s">
        <v>21</v>
      </c>
      <c r="B659" s="4" t="s">
        <v>42</v>
      </c>
      <c r="C659" s="4" t="s">
        <v>23</v>
      </c>
      <c r="D659" s="4" t="s">
        <v>43</v>
      </c>
      <c r="E659" s="4" t="s">
        <v>51</v>
      </c>
      <c r="F659" s="4" t="s">
        <v>52</v>
      </c>
      <c r="G659" s="4" t="s">
        <v>25</v>
      </c>
      <c r="H659" s="4" t="s">
        <v>25</v>
      </c>
      <c r="I659" s="5">
        <v>44682</v>
      </c>
      <c r="J659" s="6">
        <v>0</v>
      </c>
      <c r="K659" s="6">
        <v>0</v>
      </c>
      <c r="L659" s="6">
        <v>6.1859999999999999</v>
      </c>
      <c r="M659" s="6">
        <v>6.1859999999999999</v>
      </c>
      <c r="N659" s="6">
        <v>6.1859999999999999</v>
      </c>
      <c r="O659" s="6">
        <v>6.1859999999999999</v>
      </c>
      <c r="P659" s="6">
        <v>0</v>
      </c>
      <c r="Q659" s="4" t="s">
        <v>26</v>
      </c>
      <c r="R659" s="4">
        <v>0</v>
      </c>
      <c r="S659" s="6">
        <v>0</v>
      </c>
      <c r="T659" s="6">
        <v>30</v>
      </c>
      <c r="U659" s="6">
        <v>70</v>
      </c>
      <c r="V659" s="6">
        <f>IF(ISERROR(VLOOKUP($S$659,'TAR FIN'!$A$1:$O$86,15,0)),0,VLOOKUP($S$659,'TAR FIN'!$A$1:$O$86,15,0))</f>
        <v>0</v>
      </c>
      <c r="W659" s="6">
        <f>IF(ISERROR(VLOOKUP($T$659,'TAR FIN'!$A$1:$O$86,15,0)),0,VLOOKUP($T$659,'TAR FIN'!$A$1:$O$86,15,0))</f>
        <v>285.56</v>
      </c>
      <c r="X659" s="6">
        <f>IF(ISERROR(VLOOKUP($U$659,'TAR FIN'!$A$1:$O$86,15,0)),0,VLOOKUP($U$659,'TAR FIN'!$A$1:$O$86,15,0))</f>
        <v>227.23</v>
      </c>
      <c r="Y659" s="6"/>
      <c r="Z659" s="6">
        <f ca="1">('TUSD BE'!$AM$34+'TUSD BF_350'!$AM$34+'TUSD CVA'!$AM$34)*(1-CUSTOS!$M$38)</f>
        <v>310.34682484351242</v>
      </c>
      <c r="AA659" s="6">
        <f ca="1">('TE BE'!$AB$24+'TE BF_350'!$AB$24+'TE CVA'!$AB$24)*(1-CUSTOS!$M$38)</f>
        <v>216.7476358676706</v>
      </c>
      <c r="AB659" s="6">
        <f>$K$659*$V$659</f>
        <v>0</v>
      </c>
      <c r="AC659" s="6">
        <f>$M$659*$W$659</f>
        <v>1766.47416</v>
      </c>
      <c r="AD659" s="6">
        <f>$O$659*$X$659</f>
        <v>1405.6447799999999</v>
      </c>
      <c r="AE659" s="6">
        <f>$K$659*$Y$659</f>
        <v>0</v>
      </c>
      <c r="AF659" s="6">
        <f ca="1">$M$659*$Z$659</f>
        <v>1919.8054584819679</v>
      </c>
      <c r="AG659" s="6">
        <f ca="1">$O$659*$AA$659</f>
        <v>1340.8008754774103</v>
      </c>
    </row>
    <row r="660" spans="1:33" ht="11.25" customHeight="1" x14ac:dyDescent="0.25">
      <c r="A660" s="4" t="s">
        <v>56</v>
      </c>
      <c r="B660" s="4" t="s">
        <v>42</v>
      </c>
      <c r="C660" s="4" t="s">
        <v>23</v>
      </c>
      <c r="D660" s="4" t="s">
        <v>43</v>
      </c>
      <c r="E660" s="4" t="s">
        <v>51</v>
      </c>
      <c r="F660" s="4" t="s">
        <v>52</v>
      </c>
      <c r="G660" s="4" t="s">
        <v>25</v>
      </c>
      <c r="H660" s="4" t="s">
        <v>25</v>
      </c>
      <c r="I660" s="5">
        <v>44713</v>
      </c>
      <c r="J660" s="6">
        <v>0</v>
      </c>
      <c r="K660" s="6">
        <v>0</v>
      </c>
      <c r="L660" s="6">
        <v>6.1859999999999999</v>
      </c>
      <c r="M660" s="6">
        <v>6.1859999999999999</v>
      </c>
      <c r="N660" s="6">
        <v>6.1859999999999999</v>
      </c>
      <c r="O660" s="6">
        <v>6.1859999999999999</v>
      </c>
      <c r="P660" s="6">
        <v>0</v>
      </c>
      <c r="Q660" s="4" t="s">
        <v>26</v>
      </c>
      <c r="R660" s="4">
        <v>0</v>
      </c>
      <c r="S660" s="6">
        <v>0</v>
      </c>
      <c r="T660" s="6">
        <v>30</v>
      </c>
      <c r="U660" s="6">
        <v>70</v>
      </c>
      <c r="V660" s="6">
        <f>IF(ISERROR(VLOOKUP($S$660,'TAR FIN'!$A$1:$O$86,15,0)),0,VLOOKUP($S$660,'TAR FIN'!$A$1:$O$86,15,0))</f>
        <v>0</v>
      </c>
      <c r="W660" s="6">
        <f>IF(ISERROR(VLOOKUP($T$660,'TAR FIN'!$A$1:$O$86,15,0)),0,VLOOKUP($T$660,'TAR FIN'!$A$1:$O$86,15,0))</f>
        <v>285.56</v>
      </c>
      <c r="X660" s="6">
        <f>IF(ISERROR(VLOOKUP($U$660,'TAR FIN'!$A$1:$O$86,15,0)),0,VLOOKUP($U$660,'TAR FIN'!$A$1:$O$86,15,0))</f>
        <v>227.23</v>
      </c>
      <c r="Y660" s="6"/>
      <c r="Z660" s="6">
        <f ca="1">('TUSD BE'!$AM$34+'TUSD BF_350'!$AM$34+'TUSD CVA'!$AM$34)*(1-CUSTOS!$M$38)</f>
        <v>310.34682484351242</v>
      </c>
      <c r="AA660" s="6">
        <f ca="1">('TE BE'!$AB$24+'TE BF_350'!$AB$24+'TE CVA'!$AB$24)*(1-CUSTOS!$M$38)</f>
        <v>216.7476358676706</v>
      </c>
      <c r="AB660" s="6">
        <f>$K$660*$V$660</f>
        <v>0</v>
      </c>
      <c r="AC660" s="6">
        <f>$M$660*$W$660</f>
        <v>1766.47416</v>
      </c>
      <c r="AD660" s="6">
        <f>$O$660*$X$660</f>
        <v>1405.6447799999999</v>
      </c>
      <c r="AE660" s="6">
        <f>$K$660*$Y$660</f>
        <v>0</v>
      </c>
      <c r="AF660" s="6">
        <f ca="1">$M$660*$Z$660</f>
        <v>1919.8054584819679</v>
      </c>
      <c r="AG660" s="6">
        <f ca="1">$O$660*$AA$660</f>
        <v>1340.8008754774103</v>
      </c>
    </row>
    <row r="661" spans="1:33" ht="11.25" customHeight="1" x14ac:dyDescent="0.25">
      <c r="A661" s="4" t="s">
        <v>21</v>
      </c>
      <c r="B661" s="4" t="s">
        <v>42</v>
      </c>
      <c r="C661" s="4" t="s">
        <v>23</v>
      </c>
      <c r="D661" s="4" t="s">
        <v>43</v>
      </c>
      <c r="E661" s="4" t="s">
        <v>51</v>
      </c>
      <c r="F661" s="4" t="s">
        <v>53</v>
      </c>
      <c r="G661" s="4" t="s">
        <v>25</v>
      </c>
      <c r="H661" s="4" t="s">
        <v>25</v>
      </c>
      <c r="I661" s="5">
        <v>44378</v>
      </c>
      <c r="J661" s="6">
        <v>0</v>
      </c>
      <c r="K661" s="6">
        <v>0</v>
      </c>
      <c r="L661" s="6">
        <v>1.282</v>
      </c>
      <c r="M661" s="6">
        <v>0.51280000000000003</v>
      </c>
      <c r="N661" s="6">
        <v>1.282</v>
      </c>
      <c r="O661" s="6">
        <v>0.51280000000000003</v>
      </c>
      <c r="P661" s="6">
        <v>0</v>
      </c>
      <c r="Q661" s="4" t="s">
        <v>26</v>
      </c>
      <c r="R661" s="4">
        <v>0</v>
      </c>
      <c r="S661" s="6">
        <v>0</v>
      </c>
      <c r="T661" s="6">
        <v>30</v>
      </c>
      <c r="U661" s="6">
        <v>70</v>
      </c>
      <c r="V661" s="6">
        <f>IF(ISERROR(VLOOKUP($S$661,'TAR FIN'!$A$1:$O$86,15,0)),0,VLOOKUP($S$661,'TAR FIN'!$A$1:$O$86,15,0))</f>
        <v>0</v>
      </c>
      <c r="W661" s="6">
        <f>IF(ISERROR(VLOOKUP($T$661,'TAR FIN'!$A$1:$O$86,15,0)),0,VLOOKUP($T$661,'TAR FIN'!$A$1:$O$86,15,0))</f>
        <v>285.56</v>
      </c>
      <c r="X661" s="6">
        <f>IF(ISERROR(VLOOKUP($U$661,'TAR FIN'!$A$1:$O$86,15,0)),0,VLOOKUP($U$661,'TAR FIN'!$A$1:$O$86,15,0))</f>
        <v>227.23</v>
      </c>
      <c r="Y661" s="6"/>
      <c r="Z661" s="6">
        <f ca="1">('TUSD BE'!$AM$34+'TUSD BF_350'!$AM$34+'TUSD CVA'!$AM$34)*(1-CUSTOS!$M$38)</f>
        <v>310.34682484351242</v>
      </c>
      <c r="AA661" s="6">
        <f ca="1">('TE BE'!$AB$24+'TE BF_350'!$AB$24+'TE CVA'!$AB$24)*(1-CUSTOS!$M$38)</f>
        <v>216.7476358676706</v>
      </c>
      <c r="AB661" s="6">
        <f>$K$661*$V$661</f>
        <v>0</v>
      </c>
      <c r="AC661" s="6">
        <f>$M$661*$W$661</f>
        <v>146.435168</v>
      </c>
      <c r="AD661" s="6">
        <f>$O$661*$X$661</f>
        <v>116.523544</v>
      </c>
      <c r="AE661" s="6">
        <f>$K$661*$Y$661</f>
        <v>0</v>
      </c>
      <c r="AF661" s="6">
        <f ca="1">$M$661*$Z$661</f>
        <v>159.14585177975317</v>
      </c>
      <c r="AG661" s="6">
        <f ca="1">$O$661*$AA$661</f>
        <v>111.14818767294149</v>
      </c>
    </row>
    <row r="662" spans="1:33" ht="11.25" customHeight="1" x14ac:dyDescent="0.25">
      <c r="A662" s="4" t="s">
        <v>21</v>
      </c>
      <c r="B662" s="4" t="s">
        <v>42</v>
      </c>
      <c r="C662" s="4" t="s">
        <v>23</v>
      </c>
      <c r="D662" s="4" t="s">
        <v>43</v>
      </c>
      <c r="E662" s="4" t="s">
        <v>51</v>
      </c>
      <c r="F662" s="4" t="s">
        <v>53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0.92400000000000004</v>
      </c>
      <c r="M662" s="6">
        <v>0.36959999999999998</v>
      </c>
      <c r="N662" s="6">
        <v>0.92400000000000004</v>
      </c>
      <c r="O662" s="6">
        <v>0.36959999999999998</v>
      </c>
      <c r="P662" s="6">
        <v>0</v>
      </c>
      <c r="Q662" s="4" t="s">
        <v>26</v>
      </c>
      <c r="R662" s="4">
        <v>0</v>
      </c>
      <c r="S662" s="6">
        <v>0</v>
      </c>
      <c r="T662" s="6">
        <v>30</v>
      </c>
      <c r="U662" s="6">
        <v>70</v>
      </c>
      <c r="V662" s="6">
        <f>IF(ISERROR(VLOOKUP($S$662,'TAR FIN'!$A$1:$O$86,15,0)),0,VLOOKUP($S$662,'TAR FIN'!$A$1:$O$86,15,0))</f>
        <v>0</v>
      </c>
      <c r="W662" s="6">
        <f>IF(ISERROR(VLOOKUP($T$662,'TAR FIN'!$A$1:$O$86,15,0)),0,VLOOKUP($T$662,'TAR FIN'!$A$1:$O$86,15,0))</f>
        <v>285.56</v>
      </c>
      <c r="X662" s="6">
        <f>IF(ISERROR(VLOOKUP($U$662,'TAR FIN'!$A$1:$O$86,15,0)),0,VLOOKUP($U$662,'TAR FIN'!$A$1:$O$86,15,0))</f>
        <v>227.23</v>
      </c>
      <c r="Y662" s="6"/>
      <c r="Z662" s="6">
        <f ca="1">('TUSD BE'!$AM$34+'TUSD BF_350'!$AM$34+'TUSD CVA'!$AM$34)*(1-CUSTOS!$M$38)</f>
        <v>310.34682484351242</v>
      </c>
      <c r="AA662" s="6">
        <f ca="1">('TE BE'!$AB$24+'TE BF_350'!$AB$24+'TE CVA'!$AB$24)*(1-CUSTOS!$M$38)</f>
        <v>216.7476358676706</v>
      </c>
      <c r="AB662" s="6">
        <f>$K$662*$V$662</f>
        <v>0</v>
      </c>
      <c r="AC662" s="6">
        <f>$M$662*$W$662</f>
        <v>105.542976</v>
      </c>
      <c r="AD662" s="6">
        <f>$O$662*$X$662</f>
        <v>83.984207999999995</v>
      </c>
      <c r="AE662" s="6">
        <f>$K$662*$Y$662</f>
        <v>0</v>
      </c>
      <c r="AF662" s="6">
        <f ca="1">$M$662*$Z$662</f>
        <v>114.70418646216218</v>
      </c>
      <c r="AG662" s="6">
        <f ca="1">$O$662*$AA$662</f>
        <v>80.109926216691051</v>
      </c>
    </row>
    <row r="663" spans="1:33" ht="11.25" customHeight="1" x14ac:dyDescent="0.25">
      <c r="A663" s="4" t="s">
        <v>55</v>
      </c>
      <c r="B663" s="4" t="s">
        <v>42</v>
      </c>
      <c r="C663" s="4" t="s">
        <v>23</v>
      </c>
      <c r="D663" s="4" t="s">
        <v>43</v>
      </c>
      <c r="E663" s="4" t="s">
        <v>51</v>
      </c>
      <c r="F663" s="4" t="s">
        <v>53</v>
      </c>
      <c r="G663" s="4" t="s">
        <v>25</v>
      </c>
      <c r="H663" s="4" t="s">
        <v>25</v>
      </c>
      <c r="I663" s="5">
        <v>44409</v>
      </c>
      <c r="J663" s="6">
        <v>0</v>
      </c>
      <c r="K663" s="6">
        <v>0</v>
      </c>
      <c r="L663" s="6">
        <v>9.5000000000000001E-2</v>
      </c>
      <c r="M663" s="6">
        <v>9.5000000000000001E-2</v>
      </c>
      <c r="N663" s="6">
        <v>9.5000000000000001E-2</v>
      </c>
      <c r="O663" s="6">
        <v>9.5000000000000001E-2</v>
      </c>
      <c r="P663" s="6">
        <v>0</v>
      </c>
      <c r="Q663" s="4" t="s">
        <v>26</v>
      </c>
      <c r="R663" s="4">
        <v>0</v>
      </c>
      <c r="S663" s="6">
        <v>0</v>
      </c>
      <c r="T663" s="6">
        <v>30</v>
      </c>
      <c r="U663" s="6">
        <v>70</v>
      </c>
      <c r="V663" s="6">
        <f>IF(ISERROR(VLOOKUP($S$663,'TAR FIN'!$A$1:$O$86,15,0)),0,VLOOKUP($S$663,'TAR FIN'!$A$1:$O$86,15,0))</f>
        <v>0</v>
      </c>
      <c r="W663" s="6">
        <f>IF(ISERROR(VLOOKUP($T$663,'TAR FIN'!$A$1:$O$86,15,0)),0,VLOOKUP($T$663,'TAR FIN'!$A$1:$O$86,15,0))</f>
        <v>285.56</v>
      </c>
      <c r="X663" s="6">
        <f>IF(ISERROR(VLOOKUP($U$663,'TAR FIN'!$A$1:$O$86,15,0)),0,VLOOKUP($U$663,'TAR FIN'!$A$1:$O$86,15,0))</f>
        <v>227.23</v>
      </c>
      <c r="Y663" s="6"/>
      <c r="Z663" s="6">
        <f ca="1">('TUSD BE'!$AM$34+'TUSD BF_350'!$AM$34+'TUSD CVA'!$AM$34)*(1-CUSTOS!$M$38)</f>
        <v>310.34682484351242</v>
      </c>
      <c r="AA663" s="6">
        <f ca="1">('TE BE'!$AB$24+'TE BF_350'!$AB$24+'TE CVA'!$AB$24)*(1-CUSTOS!$M$38)</f>
        <v>216.7476358676706</v>
      </c>
      <c r="AB663" s="6">
        <f>$K$663*$V$663</f>
        <v>0</v>
      </c>
      <c r="AC663" s="6">
        <f>$M$663*$W$663</f>
        <v>27.1282</v>
      </c>
      <c r="AD663" s="6">
        <f>$O$663*$X$663</f>
        <v>21.586849999999998</v>
      </c>
      <c r="AE663" s="6">
        <f>$K$663*$Y$663</f>
        <v>0</v>
      </c>
      <c r="AF663" s="6">
        <f ca="1">$M$663*$Z$663</f>
        <v>29.48294836013368</v>
      </c>
      <c r="AG663" s="6">
        <f ca="1">$O$663*$AA$663</f>
        <v>20.591025407428706</v>
      </c>
    </row>
    <row r="664" spans="1:33" ht="11.25" customHeight="1" x14ac:dyDescent="0.25">
      <c r="A664" s="4" t="s">
        <v>21</v>
      </c>
      <c r="B664" s="4" t="s">
        <v>42</v>
      </c>
      <c r="C664" s="4" t="s">
        <v>23</v>
      </c>
      <c r="D664" s="4" t="s">
        <v>43</v>
      </c>
      <c r="E664" s="4" t="s">
        <v>51</v>
      </c>
      <c r="F664" s="4" t="s">
        <v>53</v>
      </c>
      <c r="G664" s="4" t="s">
        <v>25</v>
      </c>
      <c r="H664" s="4" t="s">
        <v>25</v>
      </c>
      <c r="I664" s="5">
        <v>44440</v>
      </c>
      <c r="J664" s="6">
        <v>0</v>
      </c>
      <c r="K664" s="6">
        <v>0</v>
      </c>
      <c r="L664" s="6">
        <v>1.5880000000000001</v>
      </c>
      <c r="M664" s="6">
        <v>0.63519999999999999</v>
      </c>
      <c r="N664" s="6">
        <v>1.5880000000000001</v>
      </c>
      <c r="O664" s="6">
        <v>0.63519999999999999</v>
      </c>
      <c r="P664" s="6">
        <v>0</v>
      </c>
      <c r="Q664" s="4" t="s">
        <v>26</v>
      </c>
      <c r="R664" s="4">
        <v>0</v>
      </c>
      <c r="S664" s="6">
        <v>0</v>
      </c>
      <c r="T664" s="6">
        <v>30</v>
      </c>
      <c r="U664" s="6">
        <v>70</v>
      </c>
      <c r="V664" s="6">
        <f>IF(ISERROR(VLOOKUP($S$664,'TAR FIN'!$A$1:$O$86,15,0)),0,VLOOKUP($S$664,'TAR FIN'!$A$1:$O$86,15,0))</f>
        <v>0</v>
      </c>
      <c r="W664" s="6">
        <f>IF(ISERROR(VLOOKUP($T$664,'TAR FIN'!$A$1:$O$86,15,0)),0,VLOOKUP($T$664,'TAR FIN'!$A$1:$O$86,15,0))</f>
        <v>285.56</v>
      </c>
      <c r="X664" s="6">
        <f>IF(ISERROR(VLOOKUP($U$664,'TAR FIN'!$A$1:$O$86,15,0)),0,VLOOKUP($U$664,'TAR FIN'!$A$1:$O$86,15,0))</f>
        <v>227.23</v>
      </c>
      <c r="Y664" s="6"/>
      <c r="Z664" s="6">
        <f ca="1">('TUSD BE'!$AM$34+'TUSD BF_350'!$AM$34+'TUSD CVA'!$AM$34)*(1-CUSTOS!$M$38)</f>
        <v>310.34682484351242</v>
      </c>
      <c r="AA664" s="6">
        <f ca="1">('TE BE'!$AB$24+'TE BF_350'!$AB$24+'TE CVA'!$AB$24)*(1-CUSTOS!$M$38)</f>
        <v>216.7476358676706</v>
      </c>
      <c r="AB664" s="6">
        <f>$K$664*$V$664</f>
        <v>0</v>
      </c>
      <c r="AC664" s="6">
        <f>$M$664*$W$664</f>
        <v>181.38771199999999</v>
      </c>
      <c r="AD664" s="6">
        <f>$O$664*$X$664</f>
        <v>144.33649599999998</v>
      </c>
      <c r="AE664" s="6">
        <f>$K$664*$Y$664</f>
        <v>0</v>
      </c>
      <c r="AF664" s="6">
        <f ca="1">$M$664*$Z$664</f>
        <v>197.13230314059908</v>
      </c>
      <c r="AG664" s="6">
        <f ca="1">$O$664*$AA$664</f>
        <v>137.67809830314437</v>
      </c>
    </row>
    <row r="665" spans="1:33" ht="11.25" customHeight="1" x14ac:dyDescent="0.25">
      <c r="A665" s="4" t="s">
        <v>21</v>
      </c>
      <c r="B665" s="4" t="s">
        <v>42</v>
      </c>
      <c r="C665" s="4" t="s">
        <v>23</v>
      </c>
      <c r="D665" s="4" t="s">
        <v>43</v>
      </c>
      <c r="E665" s="4" t="s">
        <v>51</v>
      </c>
      <c r="F665" s="4" t="s">
        <v>53</v>
      </c>
      <c r="G665" s="4" t="s">
        <v>25</v>
      </c>
      <c r="H665" s="4" t="s">
        <v>25</v>
      </c>
      <c r="I665" s="5">
        <v>44470</v>
      </c>
      <c r="J665" s="6">
        <v>0</v>
      </c>
      <c r="K665" s="6">
        <v>0</v>
      </c>
      <c r="L665" s="6">
        <v>1.3839999999999999</v>
      </c>
      <c r="M665" s="6">
        <v>0.55359999999999998</v>
      </c>
      <c r="N665" s="6">
        <v>1.3839999999999999</v>
      </c>
      <c r="O665" s="6">
        <v>0.55359999999999998</v>
      </c>
      <c r="P665" s="6">
        <v>0</v>
      </c>
      <c r="Q665" s="4" t="s">
        <v>26</v>
      </c>
      <c r="R665" s="4">
        <v>0</v>
      </c>
      <c r="S665" s="6">
        <v>0</v>
      </c>
      <c r="T665" s="6">
        <v>30</v>
      </c>
      <c r="U665" s="6">
        <v>70</v>
      </c>
      <c r="V665" s="6">
        <f>IF(ISERROR(VLOOKUP($S$665,'TAR FIN'!$A$1:$O$86,15,0)),0,VLOOKUP($S$665,'TAR FIN'!$A$1:$O$86,15,0))</f>
        <v>0</v>
      </c>
      <c r="W665" s="6">
        <f>IF(ISERROR(VLOOKUP($T$665,'TAR FIN'!$A$1:$O$86,15,0)),0,VLOOKUP($T$665,'TAR FIN'!$A$1:$O$86,15,0))</f>
        <v>285.56</v>
      </c>
      <c r="X665" s="6">
        <f>IF(ISERROR(VLOOKUP($U$665,'TAR FIN'!$A$1:$O$86,15,0)),0,VLOOKUP($U$665,'TAR FIN'!$A$1:$O$86,15,0))</f>
        <v>227.23</v>
      </c>
      <c r="Y665" s="6"/>
      <c r="Z665" s="6">
        <f ca="1">('TUSD BE'!$AM$34+'TUSD BF_350'!$AM$34+'TUSD CVA'!$AM$34)*(1-CUSTOS!$M$38)</f>
        <v>310.34682484351242</v>
      </c>
      <c r="AA665" s="6">
        <f ca="1">('TE BE'!$AB$24+'TE BF_350'!$AB$24+'TE CVA'!$AB$24)*(1-CUSTOS!$M$38)</f>
        <v>216.7476358676706</v>
      </c>
      <c r="AB665" s="6">
        <f>$K$665*$V$665</f>
        <v>0</v>
      </c>
      <c r="AC665" s="6">
        <f>$M$665*$W$665</f>
        <v>158.086016</v>
      </c>
      <c r="AD665" s="6">
        <f>$O$665*$X$665</f>
        <v>125.79452799999999</v>
      </c>
      <c r="AE665" s="6">
        <f>$K$665*$Y$665</f>
        <v>0</v>
      </c>
      <c r="AF665" s="6">
        <f ca="1">$M$665*$Z$665</f>
        <v>171.80800223336848</v>
      </c>
      <c r="AG665" s="6">
        <f ca="1">$O$665*$AA$665</f>
        <v>119.99149121634244</v>
      </c>
    </row>
    <row r="666" spans="1:33" ht="11.25" customHeight="1" x14ac:dyDescent="0.25">
      <c r="A666" s="4" t="s">
        <v>21</v>
      </c>
      <c r="B666" s="4" t="s">
        <v>42</v>
      </c>
      <c r="C666" s="4" t="s">
        <v>23</v>
      </c>
      <c r="D666" s="4" t="s">
        <v>43</v>
      </c>
      <c r="E666" s="4" t="s">
        <v>51</v>
      </c>
      <c r="F666" s="4" t="s">
        <v>53</v>
      </c>
      <c r="G666" s="4" t="s">
        <v>25</v>
      </c>
      <c r="H666" s="4" t="s">
        <v>25</v>
      </c>
      <c r="I666" s="5">
        <v>44501</v>
      </c>
      <c r="J666" s="6">
        <v>0</v>
      </c>
      <c r="K666" s="6">
        <v>0</v>
      </c>
      <c r="L666" s="6">
        <v>22.245000000000001</v>
      </c>
      <c r="M666" s="6">
        <v>8.8979999999999997</v>
      </c>
      <c r="N666" s="6">
        <v>22.245000000000001</v>
      </c>
      <c r="O666" s="6">
        <v>8.8979999999999997</v>
      </c>
      <c r="P666" s="6">
        <v>0</v>
      </c>
      <c r="Q666" s="4" t="s">
        <v>26</v>
      </c>
      <c r="R666" s="4">
        <v>0</v>
      </c>
      <c r="S666" s="6">
        <v>0</v>
      </c>
      <c r="T666" s="6">
        <v>30</v>
      </c>
      <c r="U666" s="6">
        <v>70</v>
      </c>
      <c r="V666" s="6">
        <f>IF(ISERROR(VLOOKUP($S$666,'TAR FIN'!$A$1:$O$86,15,0)),0,VLOOKUP($S$666,'TAR FIN'!$A$1:$O$86,15,0))</f>
        <v>0</v>
      </c>
      <c r="W666" s="6">
        <f>IF(ISERROR(VLOOKUP($T$666,'TAR FIN'!$A$1:$O$86,15,0)),0,VLOOKUP($T$666,'TAR FIN'!$A$1:$O$86,15,0))</f>
        <v>285.56</v>
      </c>
      <c r="X666" s="6">
        <f>IF(ISERROR(VLOOKUP($U$666,'TAR FIN'!$A$1:$O$86,15,0)),0,VLOOKUP($U$666,'TAR FIN'!$A$1:$O$86,15,0))</f>
        <v>227.23</v>
      </c>
      <c r="Y666" s="6"/>
      <c r="Z666" s="6">
        <f ca="1">('TUSD BE'!$AM$34+'TUSD BF_350'!$AM$34+'TUSD CVA'!$AM$34)*(1-CUSTOS!$M$38)</f>
        <v>310.34682484351242</v>
      </c>
      <c r="AA666" s="6">
        <f ca="1">('TE BE'!$AB$24+'TE BF_350'!$AB$24+'TE CVA'!$AB$24)*(1-CUSTOS!$M$38)</f>
        <v>216.7476358676706</v>
      </c>
      <c r="AB666" s="6">
        <f>$K$666*$V$666</f>
        <v>0</v>
      </c>
      <c r="AC666" s="6">
        <f>$M$666*$W$666</f>
        <v>2540.9128799999999</v>
      </c>
      <c r="AD666" s="6">
        <f>$O$666*$X$666</f>
        <v>2021.8925399999998</v>
      </c>
      <c r="AE666" s="6">
        <f>$K$666*$Y$666</f>
        <v>0</v>
      </c>
      <c r="AF666" s="6">
        <f ca="1">$M$666*$Z$666</f>
        <v>2761.4660474575735</v>
      </c>
      <c r="AG666" s="6">
        <f ca="1">$O$666*$AA$666</f>
        <v>1928.6204639505329</v>
      </c>
    </row>
    <row r="667" spans="1:33" ht="11.25" customHeight="1" x14ac:dyDescent="0.25">
      <c r="A667" s="4" t="s">
        <v>21</v>
      </c>
      <c r="B667" s="4" t="s">
        <v>42</v>
      </c>
      <c r="C667" s="4" t="s">
        <v>23</v>
      </c>
      <c r="D667" s="4" t="s">
        <v>43</v>
      </c>
      <c r="E667" s="4" t="s">
        <v>51</v>
      </c>
      <c r="F667" s="4" t="s">
        <v>53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36.807000000000002</v>
      </c>
      <c r="M667" s="6">
        <v>14.722799999999999</v>
      </c>
      <c r="N667" s="6">
        <v>36.807000000000002</v>
      </c>
      <c r="O667" s="6">
        <v>14.722799999999999</v>
      </c>
      <c r="P667" s="6">
        <v>0</v>
      </c>
      <c r="Q667" s="4" t="s">
        <v>26</v>
      </c>
      <c r="R667" s="4">
        <v>0</v>
      </c>
      <c r="S667" s="6">
        <v>0</v>
      </c>
      <c r="T667" s="6">
        <v>30</v>
      </c>
      <c r="U667" s="6">
        <v>70</v>
      </c>
      <c r="V667" s="6">
        <f>IF(ISERROR(VLOOKUP($S$667,'TAR FIN'!$A$1:$O$86,15,0)),0,VLOOKUP($S$667,'TAR FIN'!$A$1:$O$86,15,0))</f>
        <v>0</v>
      </c>
      <c r="W667" s="6">
        <f>IF(ISERROR(VLOOKUP($T$667,'TAR FIN'!$A$1:$O$86,15,0)),0,VLOOKUP($T$667,'TAR FIN'!$A$1:$O$86,15,0))</f>
        <v>285.56</v>
      </c>
      <c r="X667" s="6">
        <f>IF(ISERROR(VLOOKUP($U$667,'TAR FIN'!$A$1:$O$86,15,0)),0,VLOOKUP($U$667,'TAR FIN'!$A$1:$O$86,15,0))</f>
        <v>227.23</v>
      </c>
      <c r="Y667" s="6"/>
      <c r="Z667" s="6">
        <f ca="1">('TUSD BE'!$AM$34+'TUSD BF_350'!$AM$34+'TUSD CVA'!$AM$34)*(1-CUSTOS!$M$38)</f>
        <v>310.34682484351242</v>
      </c>
      <c r="AA667" s="6">
        <f ca="1">('TE BE'!$AB$24+'TE BF_350'!$AB$24+'TE CVA'!$AB$24)*(1-CUSTOS!$M$38)</f>
        <v>216.7476358676706</v>
      </c>
      <c r="AB667" s="6">
        <f>$K$667*$V$667</f>
        <v>0</v>
      </c>
      <c r="AC667" s="6">
        <f>$M$667*$W$667</f>
        <v>4204.2427680000001</v>
      </c>
      <c r="AD667" s="6">
        <f>$O$667*$X$667</f>
        <v>3345.4618439999999</v>
      </c>
      <c r="AE667" s="6">
        <f>$K$667*$Y$667</f>
        <v>0</v>
      </c>
      <c r="AF667" s="6">
        <f ca="1">$M$667*$Z$667</f>
        <v>4569.1742328060645</v>
      </c>
      <c r="AG667" s="6">
        <f ca="1">$O$667*$AA$667</f>
        <v>3191.1320933525403</v>
      </c>
    </row>
    <row r="668" spans="1:33" ht="11.25" customHeight="1" x14ac:dyDescent="0.25">
      <c r="A668" s="4" t="s">
        <v>55</v>
      </c>
      <c r="B668" s="4" t="s">
        <v>42</v>
      </c>
      <c r="C668" s="4" t="s">
        <v>23</v>
      </c>
      <c r="D668" s="4" t="s">
        <v>43</v>
      </c>
      <c r="E668" s="4" t="s">
        <v>51</v>
      </c>
      <c r="F668" s="4" t="s">
        <v>53</v>
      </c>
      <c r="G668" s="4" t="s">
        <v>25</v>
      </c>
      <c r="H668" s="4" t="s">
        <v>25</v>
      </c>
      <c r="I668" s="5">
        <v>44531</v>
      </c>
      <c r="J668" s="6">
        <v>0</v>
      </c>
      <c r="K668" s="6">
        <v>0</v>
      </c>
      <c r="L668" s="6">
        <v>0.55000000000000004</v>
      </c>
      <c r="M668" s="6">
        <v>0.55000000000000004</v>
      </c>
      <c r="N668" s="6">
        <v>0.55000000000000004</v>
      </c>
      <c r="O668" s="6">
        <v>0.55000000000000004</v>
      </c>
      <c r="P668" s="6">
        <v>0</v>
      </c>
      <c r="Q668" s="4" t="s">
        <v>26</v>
      </c>
      <c r="R668" s="4">
        <v>0</v>
      </c>
      <c r="S668" s="6">
        <v>0</v>
      </c>
      <c r="T668" s="6">
        <v>30</v>
      </c>
      <c r="U668" s="6">
        <v>70</v>
      </c>
      <c r="V668" s="6">
        <f>IF(ISERROR(VLOOKUP($S$668,'TAR FIN'!$A$1:$O$86,15,0)),0,VLOOKUP($S$668,'TAR FIN'!$A$1:$O$86,15,0))</f>
        <v>0</v>
      </c>
      <c r="W668" s="6">
        <f>IF(ISERROR(VLOOKUP($T$668,'TAR FIN'!$A$1:$O$86,15,0)),0,VLOOKUP($T$668,'TAR FIN'!$A$1:$O$86,15,0))</f>
        <v>285.56</v>
      </c>
      <c r="X668" s="6">
        <f>IF(ISERROR(VLOOKUP($U$668,'TAR FIN'!$A$1:$O$86,15,0)),0,VLOOKUP($U$668,'TAR FIN'!$A$1:$O$86,15,0))</f>
        <v>227.23</v>
      </c>
      <c r="Y668" s="6"/>
      <c r="Z668" s="6">
        <f ca="1">('TUSD BE'!$AM$34+'TUSD BF_350'!$AM$34+'TUSD CVA'!$AM$34)*(1-CUSTOS!$M$38)</f>
        <v>310.34682484351242</v>
      </c>
      <c r="AA668" s="6">
        <f ca="1">('TE BE'!$AB$24+'TE BF_350'!$AB$24+'TE CVA'!$AB$24)*(1-CUSTOS!$M$38)</f>
        <v>216.7476358676706</v>
      </c>
      <c r="AB668" s="6">
        <f>$K$668*$V$668</f>
        <v>0</v>
      </c>
      <c r="AC668" s="6">
        <f>$M$668*$W$668</f>
        <v>157.05800000000002</v>
      </c>
      <c r="AD668" s="6">
        <f>$O$668*$X$668</f>
        <v>124.9765</v>
      </c>
      <c r="AE668" s="6">
        <f>$K$668*$Y$668</f>
        <v>0</v>
      </c>
      <c r="AF668" s="6">
        <f ca="1">$M$668*$Z$668</f>
        <v>170.69075366393184</v>
      </c>
      <c r="AG668" s="6">
        <f ca="1">$O$668*$AA$668</f>
        <v>119.21119972721884</v>
      </c>
    </row>
    <row r="669" spans="1:33" ht="11.25" customHeight="1" x14ac:dyDescent="0.25">
      <c r="A669" s="4" t="s">
        <v>21</v>
      </c>
      <c r="B669" s="4" t="s">
        <v>42</v>
      </c>
      <c r="C669" s="4" t="s">
        <v>23</v>
      </c>
      <c r="D669" s="4" t="s">
        <v>43</v>
      </c>
      <c r="E669" s="4" t="s">
        <v>51</v>
      </c>
      <c r="F669" s="4" t="s">
        <v>53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79.156999999999996</v>
      </c>
      <c r="M669" s="6">
        <v>31.662800000000001</v>
      </c>
      <c r="N669" s="6">
        <v>79.156999999999996</v>
      </c>
      <c r="O669" s="6">
        <v>31.662800000000001</v>
      </c>
      <c r="P669" s="6">
        <v>0</v>
      </c>
      <c r="Q669" s="4" t="s">
        <v>26</v>
      </c>
      <c r="R669" s="4">
        <v>0</v>
      </c>
      <c r="S669" s="6">
        <v>0</v>
      </c>
      <c r="T669" s="6">
        <v>30</v>
      </c>
      <c r="U669" s="6">
        <v>70</v>
      </c>
      <c r="V669" s="6">
        <f>IF(ISERROR(VLOOKUP($S$669,'TAR FIN'!$A$1:$O$86,15,0)),0,VLOOKUP($S$669,'TAR FIN'!$A$1:$O$86,15,0))</f>
        <v>0</v>
      </c>
      <c r="W669" s="6">
        <f>IF(ISERROR(VLOOKUP($T$669,'TAR FIN'!$A$1:$O$86,15,0)),0,VLOOKUP($T$669,'TAR FIN'!$A$1:$O$86,15,0))</f>
        <v>285.56</v>
      </c>
      <c r="X669" s="6">
        <f>IF(ISERROR(VLOOKUP($U$669,'TAR FIN'!$A$1:$O$86,15,0)),0,VLOOKUP($U$669,'TAR FIN'!$A$1:$O$86,15,0))</f>
        <v>227.23</v>
      </c>
      <c r="Y669" s="6"/>
      <c r="Z669" s="6">
        <f ca="1">('TUSD BE'!$AM$34+'TUSD BF_350'!$AM$34+'TUSD CVA'!$AM$34)*(1-CUSTOS!$M$38)</f>
        <v>310.34682484351242</v>
      </c>
      <c r="AA669" s="6">
        <f ca="1">('TE BE'!$AB$24+'TE BF_350'!$AB$24+'TE CVA'!$AB$24)*(1-CUSTOS!$M$38)</f>
        <v>216.7476358676706</v>
      </c>
      <c r="AB669" s="6">
        <f>$K$669*$V$669</f>
        <v>0</v>
      </c>
      <c r="AC669" s="6">
        <f>$M$669*$W$669</f>
        <v>9041.6291679999995</v>
      </c>
      <c r="AD669" s="6">
        <f>$O$669*$X$669</f>
        <v>7194.7380439999997</v>
      </c>
      <c r="AE669" s="6">
        <f>$K$669*$Y$669</f>
        <v>0</v>
      </c>
      <c r="AF669" s="6">
        <f ca="1">$M$669*$Z$669</f>
        <v>9826.4494456551656</v>
      </c>
      <c r="AG669" s="6">
        <f ca="1">$O$669*$AA$669</f>
        <v>6862.8370449508811</v>
      </c>
    </row>
    <row r="670" spans="1:33" ht="11.25" customHeight="1" x14ac:dyDescent="0.25">
      <c r="A670" s="4" t="s">
        <v>21</v>
      </c>
      <c r="B670" s="4" t="s">
        <v>42</v>
      </c>
      <c r="C670" s="4" t="s">
        <v>23</v>
      </c>
      <c r="D670" s="4" t="s">
        <v>43</v>
      </c>
      <c r="E670" s="4" t="s">
        <v>51</v>
      </c>
      <c r="F670" s="4" t="s">
        <v>53</v>
      </c>
      <c r="G670" s="4" t="s">
        <v>25</v>
      </c>
      <c r="H670" s="4" t="s">
        <v>25</v>
      </c>
      <c r="I670" s="5">
        <v>44593</v>
      </c>
      <c r="J670" s="6">
        <v>0</v>
      </c>
      <c r="K670" s="6">
        <v>0</v>
      </c>
      <c r="L670" s="6">
        <v>27.257999999999999</v>
      </c>
      <c r="M670" s="6">
        <v>10.9032</v>
      </c>
      <c r="N670" s="6">
        <v>27.257999999999999</v>
      </c>
      <c r="O670" s="6">
        <v>10.9032</v>
      </c>
      <c r="P670" s="6">
        <v>0</v>
      </c>
      <c r="Q670" s="4" t="s">
        <v>26</v>
      </c>
      <c r="R670" s="4">
        <v>0</v>
      </c>
      <c r="S670" s="6">
        <v>0</v>
      </c>
      <c r="T670" s="6">
        <v>30</v>
      </c>
      <c r="U670" s="6">
        <v>70</v>
      </c>
      <c r="V670" s="6">
        <f>IF(ISERROR(VLOOKUP($S$670,'TAR FIN'!$A$1:$O$86,15,0)),0,VLOOKUP($S$670,'TAR FIN'!$A$1:$O$86,15,0))</f>
        <v>0</v>
      </c>
      <c r="W670" s="6">
        <f>IF(ISERROR(VLOOKUP($T$670,'TAR FIN'!$A$1:$O$86,15,0)),0,VLOOKUP($T$670,'TAR FIN'!$A$1:$O$86,15,0))</f>
        <v>285.56</v>
      </c>
      <c r="X670" s="6">
        <f>IF(ISERROR(VLOOKUP($U$670,'TAR FIN'!$A$1:$O$86,15,0)),0,VLOOKUP($U$670,'TAR FIN'!$A$1:$O$86,15,0))</f>
        <v>227.23</v>
      </c>
      <c r="Y670" s="6"/>
      <c r="Z670" s="6">
        <f ca="1">('TUSD BE'!$AM$34+'TUSD BF_350'!$AM$34+'TUSD CVA'!$AM$34)*(1-CUSTOS!$M$38)</f>
        <v>310.34682484351242</v>
      </c>
      <c r="AA670" s="6">
        <f ca="1">('TE BE'!$AB$24+'TE BF_350'!$AB$24+'TE CVA'!$AB$24)*(1-CUSTOS!$M$38)</f>
        <v>216.7476358676706</v>
      </c>
      <c r="AB670" s="6">
        <f>$K$670*$V$670</f>
        <v>0</v>
      </c>
      <c r="AC670" s="6">
        <f>$M$670*$W$670</f>
        <v>3113.5177920000001</v>
      </c>
      <c r="AD670" s="6">
        <f>$O$670*$X$670</f>
        <v>2477.5341359999998</v>
      </c>
      <c r="AE670" s="6">
        <f>$K$670*$Y$670</f>
        <v>0</v>
      </c>
      <c r="AF670" s="6">
        <f ca="1">$M$670*$Z$670</f>
        <v>3383.7735006337848</v>
      </c>
      <c r="AG670" s="6">
        <f ca="1">$O$670*$AA$670</f>
        <v>2363.2428233923861</v>
      </c>
    </row>
    <row r="671" spans="1:33" ht="11.25" customHeight="1" x14ac:dyDescent="0.25">
      <c r="A671" s="4" t="s">
        <v>55</v>
      </c>
      <c r="B671" s="4" t="s">
        <v>42</v>
      </c>
      <c r="C671" s="4" t="s">
        <v>23</v>
      </c>
      <c r="D671" s="4" t="s">
        <v>43</v>
      </c>
      <c r="E671" s="4" t="s">
        <v>51</v>
      </c>
      <c r="F671" s="4" t="s">
        <v>53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0.4</v>
      </c>
      <c r="M671" s="6">
        <v>0.4</v>
      </c>
      <c r="N671" s="6">
        <v>0.4</v>
      </c>
      <c r="O671" s="6">
        <v>0.4</v>
      </c>
      <c r="P671" s="6">
        <v>0</v>
      </c>
      <c r="Q671" s="4" t="s">
        <v>26</v>
      </c>
      <c r="R671" s="4">
        <v>0</v>
      </c>
      <c r="S671" s="6">
        <v>0</v>
      </c>
      <c r="T671" s="6">
        <v>30</v>
      </c>
      <c r="U671" s="6">
        <v>70</v>
      </c>
      <c r="V671" s="6">
        <f>IF(ISERROR(VLOOKUP($S$671,'TAR FIN'!$A$1:$O$86,15,0)),0,VLOOKUP($S$671,'TAR FIN'!$A$1:$O$86,15,0))</f>
        <v>0</v>
      </c>
      <c r="W671" s="6">
        <f>IF(ISERROR(VLOOKUP($T$671,'TAR FIN'!$A$1:$O$86,15,0)),0,VLOOKUP($T$671,'TAR FIN'!$A$1:$O$86,15,0))</f>
        <v>285.56</v>
      </c>
      <c r="X671" s="6">
        <f>IF(ISERROR(VLOOKUP($U$671,'TAR FIN'!$A$1:$O$86,15,0)),0,VLOOKUP($U$671,'TAR FIN'!$A$1:$O$86,15,0))</f>
        <v>227.23</v>
      </c>
      <c r="Y671" s="6"/>
      <c r="Z671" s="6">
        <f ca="1">('TUSD BE'!$AM$34+'TUSD BF_350'!$AM$34+'TUSD CVA'!$AM$34)*(1-CUSTOS!$M$38)</f>
        <v>310.34682484351242</v>
      </c>
      <c r="AA671" s="6">
        <f ca="1">('TE BE'!$AB$24+'TE BF_350'!$AB$24+'TE CVA'!$AB$24)*(1-CUSTOS!$M$38)</f>
        <v>216.7476358676706</v>
      </c>
      <c r="AB671" s="6">
        <f>$K$671*$V$671</f>
        <v>0</v>
      </c>
      <c r="AC671" s="6">
        <f>$M$671*$W$671</f>
        <v>114.224</v>
      </c>
      <c r="AD671" s="6">
        <f>$O$671*$X$671</f>
        <v>90.891999999999996</v>
      </c>
      <c r="AE671" s="6">
        <f>$K$671*$Y$671</f>
        <v>0</v>
      </c>
      <c r="AF671" s="6">
        <f ca="1">$M$671*$Z$671</f>
        <v>124.13872993740497</v>
      </c>
      <c r="AG671" s="6">
        <f ca="1">$O$671*$AA$671</f>
        <v>86.699054347068241</v>
      </c>
    </row>
    <row r="672" spans="1:33" ht="11.25" customHeight="1" x14ac:dyDescent="0.25">
      <c r="A672" s="4" t="s">
        <v>21</v>
      </c>
      <c r="B672" s="4" t="s">
        <v>42</v>
      </c>
      <c r="C672" s="4" t="s">
        <v>23</v>
      </c>
      <c r="D672" s="4" t="s">
        <v>43</v>
      </c>
      <c r="E672" s="4" t="s">
        <v>51</v>
      </c>
      <c r="F672" s="4" t="s">
        <v>53</v>
      </c>
      <c r="G672" s="4" t="s">
        <v>25</v>
      </c>
      <c r="H672" s="4" t="s">
        <v>25</v>
      </c>
      <c r="I672" s="5">
        <v>44621</v>
      </c>
      <c r="J672" s="6">
        <v>0</v>
      </c>
      <c r="K672" s="6">
        <v>0</v>
      </c>
      <c r="L672" s="6">
        <v>26.222999999999999</v>
      </c>
      <c r="M672" s="6">
        <v>10.4892</v>
      </c>
      <c r="N672" s="6">
        <v>26.222999999999999</v>
      </c>
      <c r="O672" s="6">
        <v>10.4892</v>
      </c>
      <c r="P672" s="6">
        <v>0</v>
      </c>
      <c r="Q672" s="4" t="s">
        <v>26</v>
      </c>
      <c r="R672" s="4">
        <v>0</v>
      </c>
      <c r="S672" s="6">
        <v>0</v>
      </c>
      <c r="T672" s="6">
        <v>30</v>
      </c>
      <c r="U672" s="6">
        <v>70</v>
      </c>
      <c r="V672" s="6">
        <f>IF(ISERROR(VLOOKUP($S$672,'TAR FIN'!$A$1:$O$86,15,0)),0,VLOOKUP($S$672,'TAR FIN'!$A$1:$O$86,15,0))</f>
        <v>0</v>
      </c>
      <c r="W672" s="6">
        <f>IF(ISERROR(VLOOKUP($T$672,'TAR FIN'!$A$1:$O$86,15,0)),0,VLOOKUP($T$672,'TAR FIN'!$A$1:$O$86,15,0))</f>
        <v>285.56</v>
      </c>
      <c r="X672" s="6">
        <f>IF(ISERROR(VLOOKUP($U$672,'TAR FIN'!$A$1:$O$86,15,0)),0,VLOOKUP($U$672,'TAR FIN'!$A$1:$O$86,15,0))</f>
        <v>227.23</v>
      </c>
      <c r="Y672" s="6"/>
      <c r="Z672" s="6">
        <f ca="1">('TUSD BE'!$AM$34+'TUSD BF_350'!$AM$34+'TUSD CVA'!$AM$34)*(1-CUSTOS!$M$38)</f>
        <v>310.34682484351242</v>
      </c>
      <c r="AA672" s="6">
        <f ca="1">('TE BE'!$AB$24+'TE BF_350'!$AB$24+'TE CVA'!$AB$24)*(1-CUSTOS!$M$38)</f>
        <v>216.7476358676706</v>
      </c>
      <c r="AB672" s="6">
        <f>$K$672*$V$672</f>
        <v>0</v>
      </c>
      <c r="AC672" s="6">
        <f>$M$672*$W$672</f>
        <v>2995.2959519999999</v>
      </c>
      <c r="AD672" s="6">
        <f>$O$672*$X$672</f>
        <v>2383.460916</v>
      </c>
      <c r="AE672" s="6">
        <f>$K$672*$Y$672</f>
        <v>0</v>
      </c>
      <c r="AF672" s="6">
        <f ca="1">$M$672*$Z$672</f>
        <v>3255.2899151485708</v>
      </c>
      <c r="AG672" s="6">
        <f ca="1">$O$672*$AA$672</f>
        <v>2273.5093021431703</v>
      </c>
    </row>
    <row r="673" spans="1:33" ht="11.25" customHeight="1" x14ac:dyDescent="0.25">
      <c r="A673" s="4" t="s">
        <v>55</v>
      </c>
      <c r="B673" s="4" t="s">
        <v>42</v>
      </c>
      <c r="C673" s="4" t="s">
        <v>23</v>
      </c>
      <c r="D673" s="4" t="s">
        <v>43</v>
      </c>
      <c r="E673" s="4" t="s">
        <v>51</v>
      </c>
      <c r="F673" s="4" t="s">
        <v>53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0.25</v>
      </c>
      <c r="M673" s="6">
        <v>0.25</v>
      </c>
      <c r="N673" s="6">
        <v>0.25</v>
      </c>
      <c r="O673" s="6">
        <v>0.25</v>
      </c>
      <c r="P673" s="6">
        <v>0</v>
      </c>
      <c r="Q673" s="4" t="s">
        <v>26</v>
      </c>
      <c r="R673" s="4">
        <v>0</v>
      </c>
      <c r="S673" s="6">
        <v>0</v>
      </c>
      <c r="T673" s="6">
        <v>30</v>
      </c>
      <c r="U673" s="6">
        <v>70</v>
      </c>
      <c r="V673" s="6">
        <f>IF(ISERROR(VLOOKUP($S$673,'TAR FIN'!$A$1:$O$86,15,0)),0,VLOOKUP($S$673,'TAR FIN'!$A$1:$O$86,15,0))</f>
        <v>0</v>
      </c>
      <c r="W673" s="6">
        <f>IF(ISERROR(VLOOKUP($T$673,'TAR FIN'!$A$1:$O$86,15,0)),0,VLOOKUP($T$673,'TAR FIN'!$A$1:$O$86,15,0))</f>
        <v>285.56</v>
      </c>
      <c r="X673" s="6">
        <f>IF(ISERROR(VLOOKUP($U$673,'TAR FIN'!$A$1:$O$86,15,0)),0,VLOOKUP($U$673,'TAR FIN'!$A$1:$O$86,15,0))</f>
        <v>227.23</v>
      </c>
      <c r="Y673" s="6"/>
      <c r="Z673" s="6">
        <f ca="1">('TUSD BE'!$AM$34+'TUSD BF_350'!$AM$34+'TUSD CVA'!$AM$34)*(1-CUSTOS!$M$38)</f>
        <v>310.34682484351242</v>
      </c>
      <c r="AA673" s="6">
        <f ca="1">('TE BE'!$AB$24+'TE BF_350'!$AB$24+'TE CVA'!$AB$24)*(1-CUSTOS!$M$38)</f>
        <v>216.7476358676706</v>
      </c>
      <c r="AB673" s="6">
        <f>$K$673*$V$673</f>
        <v>0</v>
      </c>
      <c r="AC673" s="6">
        <f>$M$673*$W$673</f>
        <v>71.39</v>
      </c>
      <c r="AD673" s="6">
        <f>$O$673*$X$673</f>
        <v>56.807499999999997</v>
      </c>
      <c r="AE673" s="6">
        <f>$K$673*$Y$673</f>
        <v>0</v>
      </c>
      <c r="AF673" s="6">
        <f ca="1">$M$673*$Z$673</f>
        <v>77.586706210878106</v>
      </c>
      <c r="AG673" s="6">
        <f ca="1">$O$673*$AA$673</f>
        <v>54.186908966917649</v>
      </c>
    </row>
    <row r="674" spans="1:33" ht="11.25" customHeight="1" x14ac:dyDescent="0.25">
      <c r="A674" s="4" t="s">
        <v>21</v>
      </c>
      <c r="B674" s="4" t="s">
        <v>42</v>
      </c>
      <c r="C674" s="4" t="s">
        <v>23</v>
      </c>
      <c r="D674" s="4" t="s">
        <v>43</v>
      </c>
      <c r="E674" s="4" t="s">
        <v>51</v>
      </c>
      <c r="F674" s="4" t="s">
        <v>53</v>
      </c>
      <c r="G674" s="4" t="s">
        <v>25</v>
      </c>
      <c r="H674" s="4" t="s">
        <v>25</v>
      </c>
      <c r="I674" s="5">
        <v>44652</v>
      </c>
      <c r="J674" s="6">
        <v>0</v>
      </c>
      <c r="K674" s="6">
        <v>0</v>
      </c>
      <c r="L674" s="6">
        <v>2.411</v>
      </c>
      <c r="M674" s="6">
        <v>0.96440000000000003</v>
      </c>
      <c r="N674" s="6">
        <v>2.411</v>
      </c>
      <c r="O674" s="6">
        <v>0.96440000000000003</v>
      </c>
      <c r="P674" s="6">
        <v>0</v>
      </c>
      <c r="Q674" s="4" t="s">
        <v>26</v>
      </c>
      <c r="R674" s="4">
        <v>0</v>
      </c>
      <c r="S674" s="6">
        <v>0</v>
      </c>
      <c r="T674" s="6">
        <v>30</v>
      </c>
      <c r="U674" s="6">
        <v>70</v>
      </c>
      <c r="V674" s="6">
        <f>IF(ISERROR(VLOOKUP($S$674,'TAR FIN'!$A$1:$O$86,15,0)),0,VLOOKUP($S$674,'TAR FIN'!$A$1:$O$86,15,0))</f>
        <v>0</v>
      </c>
      <c r="W674" s="6">
        <f>IF(ISERROR(VLOOKUP($T$674,'TAR FIN'!$A$1:$O$86,15,0)),0,VLOOKUP($T$674,'TAR FIN'!$A$1:$O$86,15,0))</f>
        <v>285.56</v>
      </c>
      <c r="X674" s="6">
        <f>IF(ISERROR(VLOOKUP($U$674,'TAR FIN'!$A$1:$O$86,15,0)),0,VLOOKUP($U$674,'TAR FIN'!$A$1:$O$86,15,0))</f>
        <v>227.23</v>
      </c>
      <c r="Y674" s="6"/>
      <c r="Z674" s="6">
        <f ca="1">('TUSD BE'!$AM$34+'TUSD BF_350'!$AM$34+'TUSD CVA'!$AM$34)*(1-CUSTOS!$M$38)</f>
        <v>310.34682484351242</v>
      </c>
      <c r="AA674" s="6">
        <f ca="1">('TE BE'!$AB$24+'TE BF_350'!$AB$24+'TE CVA'!$AB$24)*(1-CUSTOS!$M$38)</f>
        <v>216.7476358676706</v>
      </c>
      <c r="AB674" s="6">
        <f>$K$674*$V$674</f>
        <v>0</v>
      </c>
      <c r="AC674" s="6">
        <f>$M$674*$W$674</f>
        <v>275.39406400000001</v>
      </c>
      <c r="AD674" s="6">
        <f>$O$674*$X$674</f>
        <v>219.140612</v>
      </c>
      <c r="AE674" s="6">
        <f>$K$674*$Y$674</f>
        <v>0</v>
      </c>
      <c r="AF674" s="6">
        <f ca="1">$M$674*$Z$674</f>
        <v>299.29847787908341</v>
      </c>
      <c r="AG674" s="6">
        <f ca="1">$O$674*$AA$674</f>
        <v>209.03142003078153</v>
      </c>
    </row>
    <row r="675" spans="1:33" ht="11.25" customHeight="1" x14ac:dyDescent="0.25">
      <c r="A675" s="4" t="s">
        <v>21</v>
      </c>
      <c r="B675" s="4" t="s">
        <v>42</v>
      </c>
      <c r="C675" s="4" t="s">
        <v>23</v>
      </c>
      <c r="D675" s="4" t="s">
        <v>43</v>
      </c>
      <c r="E675" s="4" t="s">
        <v>51</v>
      </c>
      <c r="F675" s="4" t="s">
        <v>53</v>
      </c>
      <c r="G675" s="4" t="s">
        <v>25</v>
      </c>
      <c r="H675" s="4" t="s">
        <v>25</v>
      </c>
      <c r="I675" s="5">
        <v>44682</v>
      </c>
      <c r="J675" s="6">
        <v>0</v>
      </c>
      <c r="K675" s="6">
        <v>0</v>
      </c>
      <c r="L675" s="6">
        <v>6.82</v>
      </c>
      <c r="M675" s="6">
        <v>2.7280000000000002</v>
      </c>
      <c r="N675" s="6">
        <v>6.82</v>
      </c>
      <c r="O675" s="6">
        <v>2.7280000000000002</v>
      </c>
      <c r="P675" s="6">
        <v>0</v>
      </c>
      <c r="Q675" s="4" t="s">
        <v>26</v>
      </c>
      <c r="R675" s="4">
        <v>0</v>
      </c>
      <c r="S675" s="6">
        <v>0</v>
      </c>
      <c r="T675" s="6">
        <v>30</v>
      </c>
      <c r="U675" s="6">
        <v>70</v>
      </c>
      <c r="V675" s="6">
        <f>IF(ISERROR(VLOOKUP($S$675,'TAR FIN'!$A$1:$O$86,15,0)),0,VLOOKUP($S$675,'TAR FIN'!$A$1:$O$86,15,0))</f>
        <v>0</v>
      </c>
      <c r="W675" s="6">
        <f>IF(ISERROR(VLOOKUP($T$675,'TAR FIN'!$A$1:$O$86,15,0)),0,VLOOKUP($T$675,'TAR FIN'!$A$1:$O$86,15,0))</f>
        <v>285.56</v>
      </c>
      <c r="X675" s="6">
        <f>IF(ISERROR(VLOOKUP($U$675,'TAR FIN'!$A$1:$O$86,15,0)),0,VLOOKUP($U$675,'TAR FIN'!$A$1:$O$86,15,0))</f>
        <v>227.23</v>
      </c>
      <c r="Y675" s="6"/>
      <c r="Z675" s="6">
        <f ca="1">('TUSD BE'!$AM$34+'TUSD BF_350'!$AM$34+'TUSD CVA'!$AM$34)*(1-CUSTOS!$M$38)</f>
        <v>310.34682484351242</v>
      </c>
      <c r="AA675" s="6">
        <f ca="1">('TE BE'!$AB$24+'TE BF_350'!$AB$24+'TE CVA'!$AB$24)*(1-CUSTOS!$M$38)</f>
        <v>216.7476358676706</v>
      </c>
      <c r="AB675" s="6">
        <f>$K$675*$V$675</f>
        <v>0</v>
      </c>
      <c r="AC675" s="6">
        <f>$M$675*$W$675</f>
        <v>779.00768000000005</v>
      </c>
      <c r="AD675" s="6">
        <f>$O$675*$X$675</f>
        <v>619.88344000000006</v>
      </c>
      <c r="AE675" s="6">
        <f>$K$675*$Y$675</f>
        <v>0</v>
      </c>
      <c r="AF675" s="6">
        <f ca="1">$M$675*$Z$675</f>
        <v>846.62613817310194</v>
      </c>
      <c r="AG675" s="6">
        <f ca="1">$O$675*$AA$675</f>
        <v>591.28755064700545</v>
      </c>
    </row>
    <row r="676" spans="1:33" ht="11.25" customHeight="1" x14ac:dyDescent="0.25">
      <c r="A676" s="4" t="s">
        <v>56</v>
      </c>
      <c r="B676" s="4" t="s">
        <v>42</v>
      </c>
      <c r="C676" s="4" t="s">
        <v>23</v>
      </c>
      <c r="D676" s="4" t="s">
        <v>43</v>
      </c>
      <c r="E676" s="4" t="s">
        <v>51</v>
      </c>
      <c r="F676" s="4" t="s">
        <v>53</v>
      </c>
      <c r="G676" s="4" t="s">
        <v>25</v>
      </c>
      <c r="H676" s="4" t="s">
        <v>25</v>
      </c>
      <c r="I676" s="5">
        <v>44713</v>
      </c>
      <c r="J676" s="6">
        <v>0</v>
      </c>
      <c r="K676" s="6">
        <v>0</v>
      </c>
      <c r="L676" s="6">
        <v>6.82</v>
      </c>
      <c r="M676" s="6">
        <v>2.7280000000000002</v>
      </c>
      <c r="N676" s="6">
        <v>6.82</v>
      </c>
      <c r="O676" s="6">
        <v>2.7280000000000002</v>
      </c>
      <c r="P676" s="6">
        <v>0</v>
      </c>
      <c r="Q676" s="4" t="s">
        <v>26</v>
      </c>
      <c r="R676" s="4">
        <v>0</v>
      </c>
      <c r="S676" s="6">
        <v>0</v>
      </c>
      <c r="T676" s="6">
        <v>30</v>
      </c>
      <c r="U676" s="6">
        <v>70</v>
      </c>
      <c r="V676" s="6">
        <f>IF(ISERROR(VLOOKUP($S$676,'TAR FIN'!$A$1:$O$86,15,0)),0,VLOOKUP($S$676,'TAR FIN'!$A$1:$O$86,15,0))</f>
        <v>0</v>
      </c>
      <c r="W676" s="6">
        <f>IF(ISERROR(VLOOKUP($T$676,'TAR FIN'!$A$1:$O$86,15,0)),0,VLOOKUP($T$676,'TAR FIN'!$A$1:$O$86,15,0))</f>
        <v>285.56</v>
      </c>
      <c r="X676" s="6">
        <f>IF(ISERROR(VLOOKUP($U$676,'TAR FIN'!$A$1:$O$86,15,0)),0,VLOOKUP($U$676,'TAR FIN'!$A$1:$O$86,15,0))</f>
        <v>227.23</v>
      </c>
      <c r="Y676" s="6"/>
      <c r="Z676" s="6">
        <f ca="1">('TUSD BE'!$AM$34+'TUSD BF_350'!$AM$34+'TUSD CVA'!$AM$34)*(1-CUSTOS!$M$38)</f>
        <v>310.34682484351242</v>
      </c>
      <c r="AA676" s="6">
        <f ca="1">('TE BE'!$AB$24+'TE BF_350'!$AB$24+'TE CVA'!$AB$24)*(1-CUSTOS!$M$38)</f>
        <v>216.7476358676706</v>
      </c>
      <c r="AB676" s="6">
        <f>$K$676*$V$676</f>
        <v>0</v>
      </c>
      <c r="AC676" s="6">
        <f>$M$676*$W$676</f>
        <v>779.00768000000005</v>
      </c>
      <c r="AD676" s="6">
        <f>$O$676*$X$676</f>
        <v>619.88344000000006</v>
      </c>
      <c r="AE676" s="6">
        <f>$K$676*$Y$676</f>
        <v>0</v>
      </c>
      <c r="AF676" s="6">
        <f ca="1">$M$676*$Z$676</f>
        <v>846.62613817310194</v>
      </c>
      <c r="AG676" s="6">
        <f ca="1">$O$676*$AA$676</f>
        <v>591.28755064700545</v>
      </c>
    </row>
    <row r="677" spans="1:33" ht="11.25" customHeight="1" x14ac:dyDescent="0.25">
      <c r="A677" s="4" t="s">
        <v>21</v>
      </c>
      <c r="B677" s="4" t="s">
        <v>42</v>
      </c>
      <c r="C677" s="4" t="s">
        <v>23</v>
      </c>
      <c r="D677" s="4" t="s">
        <v>43</v>
      </c>
      <c r="E677" s="4" t="s">
        <v>54</v>
      </c>
      <c r="F677" s="4" t="s">
        <v>52</v>
      </c>
      <c r="G677" s="4" t="s">
        <v>25</v>
      </c>
      <c r="H677" s="4" t="s">
        <v>25</v>
      </c>
      <c r="I677" s="5">
        <v>44378</v>
      </c>
      <c r="J677" s="6">
        <v>0</v>
      </c>
      <c r="K677" s="6">
        <v>0</v>
      </c>
      <c r="L677" s="6">
        <v>4.6390000000000002</v>
      </c>
      <c r="M677" s="6">
        <v>4.6390000000000002</v>
      </c>
      <c r="N677" s="6">
        <v>4.6390000000000002</v>
      </c>
      <c r="O677" s="6">
        <v>4.6390000000000002</v>
      </c>
      <c r="P677" s="6">
        <v>0</v>
      </c>
      <c r="Q677" s="4" t="s">
        <v>26</v>
      </c>
      <c r="R677" s="4">
        <v>0</v>
      </c>
      <c r="S677" s="6">
        <v>0</v>
      </c>
      <c r="T677" s="6">
        <v>30</v>
      </c>
      <c r="U677" s="6">
        <v>70</v>
      </c>
      <c r="V677" s="6">
        <f>IF(ISERROR(VLOOKUP($S$677,'TAR FIN'!$A$1:$O$86,15,0)),0,VLOOKUP($S$677,'TAR FIN'!$A$1:$O$86,15,0))</f>
        <v>0</v>
      </c>
      <c r="W677" s="6">
        <f>IF(ISERROR(VLOOKUP($T$677,'TAR FIN'!$A$1:$O$86,15,0)),0,VLOOKUP($T$677,'TAR FIN'!$A$1:$O$86,15,0))</f>
        <v>285.56</v>
      </c>
      <c r="X677" s="6">
        <f>IF(ISERROR(VLOOKUP($U$677,'TAR FIN'!$A$1:$O$86,15,0)),0,VLOOKUP($U$677,'TAR FIN'!$A$1:$O$86,15,0))</f>
        <v>227.23</v>
      </c>
      <c r="Y677" s="6"/>
      <c r="Z677" s="6">
        <f ca="1">('TUSD BE'!$AM$34+'TUSD BF_350'!$AM$34+'TUSD CVA'!$AM$34)*(1-CUSTOS!$M$38)</f>
        <v>310.34682484351242</v>
      </c>
      <c r="AA677" s="6">
        <f ca="1">('TE BE'!$AB$24+'TE BF_350'!$AB$24+'TE CVA'!$AB$24)*(1-CUSTOS!$M$38)</f>
        <v>216.7476358676706</v>
      </c>
      <c r="AB677" s="6">
        <f>$K$677*$V$677</f>
        <v>0</v>
      </c>
      <c r="AC677" s="6">
        <f>$M$677*$W$677</f>
        <v>1324.7128400000001</v>
      </c>
      <c r="AD677" s="6">
        <f>$O$677*$X$677</f>
        <v>1054.11997</v>
      </c>
      <c r="AE677" s="6">
        <f>$K$677*$Y$677</f>
        <v>0</v>
      </c>
      <c r="AF677" s="6">
        <f ca="1">$M$677*$Z$677</f>
        <v>1439.6989204490542</v>
      </c>
      <c r="AG677" s="6">
        <f ca="1">$O$677*$AA$677</f>
        <v>1005.4922827901239</v>
      </c>
    </row>
    <row r="678" spans="1:33" ht="11.25" customHeight="1" x14ac:dyDescent="0.25">
      <c r="A678" s="4" t="s">
        <v>21</v>
      </c>
      <c r="B678" s="4" t="s">
        <v>42</v>
      </c>
      <c r="C678" s="4" t="s">
        <v>23</v>
      </c>
      <c r="D678" s="4" t="s">
        <v>43</v>
      </c>
      <c r="E678" s="4" t="s">
        <v>54</v>
      </c>
      <c r="F678" s="4" t="s">
        <v>52</v>
      </c>
      <c r="G678" s="4" t="s">
        <v>25</v>
      </c>
      <c r="H678" s="4" t="s">
        <v>25</v>
      </c>
      <c r="I678" s="5">
        <v>44409</v>
      </c>
      <c r="J678" s="6">
        <v>0</v>
      </c>
      <c r="K678" s="6">
        <v>0</v>
      </c>
      <c r="L678" s="6">
        <v>4.6219999999999999</v>
      </c>
      <c r="M678" s="6">
        <v>4.6219999999999999</v>
      </c>
      <c r="N678" s="6">
        <v>4.6219999999999999</v>
      </c>
      <c r="O678" s="6">
        <v>4.6219999999999999</v>
      </c>
      <c r="P678" s="6">
        <v>0</v>
      </c>
      <c r="Q678" s="4" t="s">
        <v>26</v>
      </c>
      <c r="R678" s="4">
        <v>0</v>
      </c>
      <c r="S678" s="6">
        <v>0</v>
      </c>
      <c r="T678" s="6">
        <v>30</v>
      </c>
      <c r="U678" s="6">
        <v>70</v>
      </c>
      <c r="V678" s="6">
        <f>IF(ISERROR(VLOOKUP($S$678,'TAR FIN'!$A$1:$O$86,15,0)),0,VLOOKUP($S$678,'TAR FIN'!$A$1:$O$86,15,0))</f>
        <v>0</v>
      </c>
      <c r="W678" s="6">
        <f>IF(ISERROR(VLOOKUP($T$678,'TAR FIN'!$A$1:$O$86,15,0)),0,VLOOKUP($T$678,'TAR FIN'!$A$1:$O$86,15,0))</f>
        <v>285.56</v>
      </c>
      <c r="X678" s="6">
        <f>IF(ISERROR(VLOOKUP($U$678,'TAR FIN'!$A$1:$O$86,15,0)),0,VLOOKUP($U$678,'TAR FIN'!$A$1:$O$86,15,0))</f>
        <v>227.23</v>
      </c>
      <c r="Y678" s="6"/>
      <c r="Z678" s="6">
        <f ca="1">('TUSD BE'!$AM$34+'TUSD BF_350'!$AM$34+'TUSD CVA'!$AM$34)*(1-CUSTOS!$M$38)</f>
        <v>310.34682484351242</v>
      </c>
      <c r="AA678" s="6">
        <f ca="1">('TE BE'!$AB$24+'TE BF_350'!$AB$24+'TE CVA'!$AB$24)*(1-CUSTOS!$M$38)</f>
        <v>216.7476358676706</v>
      </c>
      <c r="AB678" s="6">
        <f>$K$678*$V$678</f>
        <v>0</v>
      </c>
      <c r="AC678" s="6">
        <f>$M$678*$W$678</f>
        <v>1319.85832</v>
      </c>
      <c r="AD678" s="6">
        <f>$O$678*$X$678</f>
        <v>1050.2570599999999</v>
      </c>
      <c r="AE678" s="6">
        <f>$K$678*$Y$678</f>
        <v>0</v>
      </c>
      <c r="AF678" s="6">
        <f ca="1">$M$678*$Z$678</f>
        <v>1434.4230244267144</v>
      </c>
      <c r="AG678" s="6">
        <f ca="1">$O$678*$AA$678</f>
        <v>1001.8075729803735</v>
      </c>
    </row>
    <row r="679" spans="1:33" ht="11.25" customHeight="1" x14ac:dyDescent="0.25">
      <c r="A679" s="4" t="s">
        <v>27</v>
      </c>
      <c r="B679" s="4" t="s">
        <v>42</v>
      </c>
      <c r="C679" s="4" t="s">
        <v>23</v>
      </c>
      <c r="D679" s="4" t="s">
        <v>43</v>
      </c>
      <c r="E679" s="4" t="s">
        <v>54</v>
      </c>
      <c r="F679" s="4" t="s">
        <v>52</v>
      </c>
      <c r="G679" s="4" t="s">
        <v>25</v>
      </c>
      <c r="H679" s="4" t="s">
        <v>25</v>
      </c>
      <c r="I679" s="5">
        <v>44409</v>
      </c>
      <c r="J679" s="6">
        <v>0</v>
      </c>
      <c r="K679" s="6">
        <v>0</v>
      </c>
      <c r="L679" s="6">
        <v>-1.766</v>
      </c>
      <c r="M679" s="6">
        <v>-1.766</v>
      </c>
      <c r="N679" s="6">
        <v>-1.766</v>
      </c>
      <c r="O679" s="6">
        <v>-1.766</v>
      </c>
      <c r="P679" s="6">
        <v>0</v>
      </c>
      <c r="Q679" s="4" t="s">
        <v>26</v>
      </c>
      <c r="R679" s="4">
        <v>0</v>
      </c>
      <c r="S679" s="6">
        <v>0</v>
      </c>
      <c r="T679" s="6">
        <v>30</v>
      </c>
      <c r="U679" s="6">
        <v>70</v>
      </c>
      <c r="V679" s="6">
        <f>IF(ISERROR(VLOOKUP($S$679,'TAR FIN'!$A$1:$O$86,15,0)),0,VLOOKUP($S$679,'TAR FIN'!$A$1:$O$86,15,0))</f>
        <v>0</v>
      </c>
      <c r="W679" s="6">
        <f>IF(ISERROR(VLOOKUP($T$679,'TAR FIN'!$A$1:$O$86,15,0)),0,VLOOKUP($T$679,'TAR FIN'!$A$1:$O$86,15,0))</f>
        <v>285.56</v>
      </c>
      <c r="X679" s="6">
        <f>IF(ISERROR(VLOOKUP($U$679,'TAR FIN'!$A$1:$O$86,15,0)),0,VLOOKUP($U$679,'TAR FIN'!$A$1:$O$86,15,0))</f>
        <v>227.23</v>
      </c>
      <c r="Y679" s="6"/>
      <c r="Z679" s="6">
        <f ca="1">('TUSD BE'!$AM$34+'TUSD BF_350'!$AM$34+'TUSD CVA'!$AM$34)*(1-CUSTOS!$M$38)</f>
        <v>310.34682484351242</v>
      </c>
      <c r="AA679" s="6">
        <f ca="1">('TE BE'!$AB$24+'TE BF_350'!$AB$24+'TE CVA'!$AB$24)*(1-CUSTOS!$M$38)</f>
        <v>216.7476358676706</v>
      </c>
      <c r="AB679" s="6">
        <f>$K$679*$V$679</f>
        <v>0</v>
      </c>
      <c r="AC679" s="6">
        <f>$M$679*$W$679</f>
        <v>-504.29896000000002</v>
      </c>
      <c r="AD679" s="6">
        <f>$O$679*$X$679</f>
        <v>-401.28818000000001</v>
      </c>
      <c r="AE679" s="6">
        <f>$K$679*$Y$679</f>
        <v>0</v>
      </c>
      <c r="AF679" s="6">
        <f ca="1">$M$679*$Z$679</f>
        <v>-548.07249267364296</v>
      </c>
      <c r="AG679" s="6">
        <f ca="1">$O$679*$AA$679</f>
        <v>-382.7763249423063</v>
      </c>
    </row>
    <row r="680" spans="1:33" ht="11.25" customHeight="1" x14ac:dyDescent="0.25">
      <c r="A680" s="4" t="s">
        <v>55</v>
      </c>
      <c r="B680" s="4" t="s">
        <v>42</v>
      </c>
      <c r="C680" s="4" t="s">
        <v>23</v>
      </c>
      <c r="D680" s="4" t="s">
        <v>43</v>
      </c>
      <c r="E680" s="4" t="s">
        <v>54</v>
      </c>
      <c r="F680" s="4" t="s">
        <v>52</v>
      </c>
      <c r="G680" s="4" t="s">
        <v>25</v>
      </c>
      <c r="H680" s="4" t="s">
        <v>25</v>
      </c>
      <c r="I680" s="5">
        <v>44409</v>
      </c>
      <c r="J680" s="6">
        <v>0</v>
      </c>
      <c r="K680" s="6">
        <v>0</v>
      </c>
      <c r="L680" s="6">
        <v>1.845</v>
      </c>
      <c r="M680" s="6">
        <v>1.845</v>
      </c>
      <c r="N680" s="6">
        <v>1.845</v>
      </c>
      <c r="O680" s="6">
        <v>1.845</v>
      </c>
      <c r="P680" s="6">
        <v>0</v>
      </c>
      <c r="Q680" s="4" t="s">
        <v>26</v>
      </c>
      <c r="R680" s="4">
        <v>0</v>
      </c>
      <c r="S680" s="6">
        <v>0</v>
      </c>
      <c r="T680" s="6">
        <v>30</v>
      </c>
      <c r="U680" s="6">
        <v>70</v>
      </c>
      <c r="V680" s="6">
        <f>IF(ISERROR(VLOOKUP($S$680,'TAR FIN'!$A$1:$O$86,15,0)),0,VLOOKUP($S$680,'TAR FIN'!$A$1:$O$86,15,0))</f>
        <v>0</v>
      </c>
      <c r="W680" s="6">
        <f>IF(ISERROR(VLOOKUP($T$680,'TAR FIN'!$A$1:$O$86,15,0)),0,VLOOKUP($T$680,'TAR FIN'!$A$1:$O$86,15,0))</f>
        <v>285.56</v>
      </c>
      <c r="X680" s="6">
        <f>IF(ISERROR(VLOOKUP($U$680,'TAR FIN'!$A$1:$O$86,15,0)),0,VLOOKUP($U$680,'TAR FIN'!$A$1:$O$86,15,0))</f>
        <v>227.23</v>
      </c>
      <c r="Y680" s="6"/>
      <c r="Z680" s="6">
        <f ca="1">('TUSD BE'!$AM$34+'TUSD BF_350'!$AM$34+'TUSD CVA'!$AM$34)*(1-CUSTOS!$M$38)</f>
        <v>310.34682484351242</v>
      </c>
      <c r="AA680" s="6">
        <f ca="1">('TE BE'!$AB$24+'TE BF_350'!$AB$24+'TE CVA'!$AB$24)*(1-CUSTOS!$M$38)</f>
        <v>216.7476358676706</v>
      </c>
      <c r="AB680" s="6">
        <f>$K$680*$V$680</f>
        <v>0</v>
      </c>
      <c r="AC680" s="6">
        <f>$M$680*$W$680</f>
        <v>526.85820000000001</v>
      </c>
      <c r="AD680" s="6">
        <f>$O$680*$X$680</f>
        <v>419.23935</v>
      </c>
      <c r="AE680" s="6">
        <f>$K$680*$Y$680</f>
        <v>0</v>
      </c>
      <c r="AF680" s="6">
        <f ca="1">$M$680*$Z$680</f>
        <v>572.58989183628046</v>
      </c>
      <c r="AG680" s="6">
        <f ca="1">$O$680*$AA$680</f>
        <v>399.89938817585227</v>
      </c>
    </row>
    <row r="681" spans="1:33" ht="11.25" customHeight="1" x14ac:dyDescent="0.25">
      <c r="A681" s="4" t="s">
        <v>21</v>
      </c>
      <c r="B681" s="4" t="s">
        <v>42</v>
      </c>
      <c r="C681" s="4" t="s">
        <v>23</v>
      </c>
      <c r="D681" s="4" t="s">
        <v>43</v>
      </c>
      <c r="E681" s="4" t="s">
        <v>54</v>
      </c>
      <c r="F681" s="4" t="s">
        <v>52</v>
      </c>
      <c r="G681" s="4" t="s">
        <v>25</v>
      </c>
      <c r="H681" s="4" t="s">
        <v>25</v>
      </c>
      <c r="I681" s="5">
        <v>44440</v>
      </c>
      <c r="J681" s="6">
        <v>0</v>
      </c>
      <c r="K681" s="6">
        <v>0</v>
      </c>
      <c r="L681" s="6">
        <v>1.7450000000000001</v>
      </c>
      <c r="M681" s="6">
        <v>1.7450000000000001</v>
      </c>
      <c r="N681" s="6">
        <v>1.7450000000000001</v>
      </c>
      <c r="O681" s="6">
        <v>1.7450000000000001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30</v>
      </c>
      <c r="U681" s="6">
        <v>70</v>
      </c>
      <c r="V681" s="6">
        <f>IF(ISERROR(VLOOKUP($S$681,'TAR FIN'!$A$1:$O$86,15,0)),0,VLOOKUP($S$681,'TAR FIN'!$A$1:$O$86,15,0))</f>
        <v>0</v>
      </c>
      <c r="W681" s="6">
        <f>IF(ISERROR(VLOOKUP($T$681,'TAR FIN'!$A$1:$O$86,15,0)),0,VLOOKUP($T$681,'TAR FIN'!$A$1:$O$86,15,0))</f>
        <v>285.56</v>
      </c>
      <c r="X681" s="6">
        <f>IF(ISERROR(VLOOKUP($U$681,'TAR FIN'!$A$1:$O$86,15,0)),0,VLOOKUP($U$681,'TAR FIN'!$A$1:$O$86,15,0))</f>
        <v>227.23</v>
      </c>
      <c r="Y681" s="6"/>
      <c r="Z681" s="6">
        <f ca="1">('TUSD BE'!$AM$34+'TUSD BF_350'!$AM$34+'TUSD CVA'!$AM$34)*(1-CUSTOS!$M$38)</f>
        <v>310.34682484351242</v>
      </c>
      <c r="AA681" s="6">
        <f ca="1">('TE BE'!$AB$24+'TE BF_350'!$AB$24+'TE CVA'!$AB$24)*(1-CUSTOS!$M$38)</f>
        <v>216.7476358676706</v>
      </c>
      <c r="AB681" s="6">
        <f>$K$681*$V$681</f>
        <v>0</v>
      </c>
      <c r="AC681" s="6">
        <f>$M$681*$W$681</f>
        <v>498.30220000000003</v>
      </c>
      <c r="AD681" s="6">
        <f>$O$681*$X$681</f>
        <v>396.51634999999999</v>
      </c>
      <c r="AE681" s="6">
        <f>$K$681*$Y$681</f>
        <v>0</v>
      </c>
      <c r="AF681" s="6">
        <f ca="1">$M$681*$Z$681</f>
        <v>541.55520935192919</v>
      </c>
      <c r="AG681" s="6">
        <f ca="1">$O$681*$AA$681</f>
        <v>378.22462458908524</v>
      </c>
    </row>
    <row r="682" spans="1:33" ht="11.25" customHeight="1" x14ac:dyDescent="0.25">
      <c r="A682" s="4" t="s">
        <v>27</v>
      </c>
      <c r="B682" s="4" t="s">
        <v>42</v>
      </c>
      <c r="C682" s="4" t="s">
        <v>23</v>
      </c>
      <c r="D682" s="4" t="s">
        <v>43</v>
      </c>
      <c r="E682" s="4" t="s">
        <v>54</v>
      </c>
      <c r="F682" s="4" t="s">
        <v>52</v>
      </c>
      <c r="G682" s="4" t="s">
        <v>25</v>
      </c>
      <c r="H682" s="4" t="s">
        <v>25</v>
      </c>
      <c r="I682" s="5">
        <v>44440</v>
      </c>
      <c r="J682" s="6">
        <v>0</v>
      </c>
      <c r="K682" s="6">
        <v>0</v>
      </c>
      <c r="L682" s="6">
        <v>-1.5509999999999999</v>
      </c>
      <c r="M682" s="6">
        <v>-1.5509999999999999</v>
      </c>
      <c r="N682" s="6">
        <v>-1.5509999999999999</v>
      </c>
      <c r="O682" s="6">
        <v>-1.5509999999999999</v>
      </c>
      <c r="P682" s="6">
        <v>0</v>
      </c>
      <c r="Q682" s="4" t="s">
        <v>26</v>
      </c>
      <c r="R682" s="4">
        <v>0</v>
      </c>
      <c r="S682" s="6">
        <v>0</v>
      </c>
      <c r="T682" s="6">
        <v>30</v>
      </c>
      <c r="U682" s="6">
        <v>70</v>
      </c>
      <c r="V682" s="6">
        <f>IF(ISERROR(VLOOKUP($S$682,'TAR FIN'!$A$1:$O$86,15,0)),0,VLOOKUP($S$682,'TAR FIN'!$A$1:$O$86,15,0))</f>
        <v>0</v>
      </c>
      <c r="W682" s="6">
        <f>IF(ISERROR(VLOOKUP($T$682,'TAR FIN'!$A$1:$O$86,15,0)),0,VLOOKUP($T$682,'TAR FIN'!$A$1:$O$86,15,0))</f>
        <v>285.56</v>
      </c>
      <c r="X682" s="6">
        <f>IF(ISERROR(VLOOKUP($U$682,'TAR FIN'!$A$1:$O$86,15,0)),0,VLOOKUP($U$682,'TAR FIN'!$A$1:$O$86,15,0))</f>
        <v>227.23</v>
      </c>
      <c r="Y682" s="6"/>
      <c r="Z682" s="6">
        <f ca="1">('TUSD BE'!$AM$34+'TUSD BF_350'!$AM$34+'TUSD CVA'!$AM$34)*(1-CUSTOS!$M$38)</f>
        <v>310.34682484351242</v>
      </c>
      <c r="AA682" s="6">
        <f ca="1">('TE BE'!$AB$24+'TE BF_350'!$AB$24+'TE CVA'!$AB$24)*(1-CUSTOS!$M$38)</f>
        <v>216.7476358676706</v>
      </c>
      <c r="AB682" s="6">
        <f>$K$682*$V$682</f>
        <v>0</v>
      </c>
      <c r="AC682" s="6">
        <f>$M$682*$W$682</f>
        <v>-442.90355999999997</v>
      </c>
      <c r="AD682" s="6">
        <f>$O$682*$X$682</f>
        <v>-352.43372999999997</v>
      </c>
      <c r="AE682" s="6">
        <f>$K$682*$Y$682</f>
        <v>0</v>
      </c>
      <c r="AF682" s="6">
        <f ca="1">$M$682*$Z$682</f>
        <v>-481.34792533228773</v>
      </c>
      <c r="AG682" s="6">
        <f ca="1">$O$682*$AA$682</f>
        <v>-336.17558323075707</v>
      </c>
    </row>
    <row r="683" spans="1:33" ht="11.25" customHeight="1" x14ac:dyDescent="0.25">
      <c r="A683" s="4" t="s">
        <v>55</v>
      </c>
      <c r="B683" s="4" t="s">
        <v>42</v>
      </c>
      <c r="C683" s="4" t="s">
        <v>23</v>
      </c>
      <c r="D683" s="4" t="s">
        <v>43</v>
      </c>
      <c r="E683" s="4" t="s">
        <v>54</v>
      </c>
      <c r="F683" s="4" t="s">
        <v>52</v>
      </c>
      <c r="G683" s="4" t="s">
        <v>25</v>
      </c>
      <c r="H683" s="4" t="s">
        <v>25</v>
      </c>
      <c r="I683" s="5">
        <v>44440</v>
      </c>
      <c r="J683" s="6">
        <v>0</v>
      </c>
      <c r="K683" s="6">
        <v>0</v>
      </c>
      <c r="L683" s="6">
        <v>10.317</v>
      </c>
      <c r="M683" s="6">
        <v>10.317</v>
      </c>
      <c r="N683" s="6">
        <v>10.317</v>
      </c>
      <c r="O683" s="6">
        <v>10.317</v>
      </c>
      <c r="P683" s="6">
        <v>0</v>
      </c>
      <c r="Q683" s="4" t="s">
        <v>26</v>
      </c>
      <c r="R683" s="4">
        <v>0</v>
      </c>
      <c r="S683" s="6">
        <v>0</v>
      </c>
      <c r="T683" s="6">
        <v>30</v>
      </c>
      <c r="U683" s="6">
        <v>70</v>
      </c>
      <c r="V683" s="6">
        <f>IF(ISERROR(VLOOKUP($S$683,'TAR FIN'!$A$1:$O$86,15,0)),0,VLOOKUP($S$683,'TAR FIN'!$A$1:$O$86,15,0))</f>
        <v>0</v>
      </c>
      <c r="W683" s="6">
        <f>IF(ISERROR(VLOOKUP($T$683,'TAR FIN'!$A$1:$O$86,15,0)),0,VLOOKUP($T$683,'TAR FIN'!$A$1:$O$86,15,0))</f>
        <v>285.56</v>
      </c>
      <c r="X683" s="6">
        <f>IF(ISERROR(VLOOKUP($U$683,'TAR FIN'!$A$1:$O$86,15,0)),0,VLOOKUP($U$683,'TAR FIN'!$A$1:$O$86,15,0))</f>
        <v>227.23</v>
      </c>
      <c r="Y683" s="6"/>
      <c r="Z683" s="6">
        <f ca="1">('TUSD BE'!$AM$34+'TUSD BF_350'!$AM$34+'TUSD CVA'!$AM$34)*(1-CUSTOS!$M$38)</f>
        <v>310.34682484351242</v>
      </c>
      <c r="AA683" s="6">
        <f ca="1">('TE BE'!$AB$24+'TE BF_350'!$AB$24+'TE CVA'!$AB$24)*(1-CUSTOS!$M$38)</f>
        <v>216.7476358676706</v>
      </c>
      <c r="AB683" s="6">
        <f>$K$683*$V$683</f>
        <v>0</v>
      </c>
      <c r="AC683" s="6">
        <f>$M$683*$W$683</f>
        <v>2946.1225199999999</v>
      </c>
      <c r="AD683" s="6">
        <f>$O$683*$X$683</f>
        <v>2344.3319099999999</v>
      </c>
      <c r="AE683" s="6">
        <f>$K$683*$Y$683</f>
        <v>0</v>
      </c>
      <c r="AF683" s="6">
        <f ca="1">$M$683*$Z$683</f>
        <v>3201.8481919105179</v>
      </c>
      <c r="AG683" s="6">
        <f ca="1">$O$683*$AA$683</f>
        <v>2236.1853592467578</v>
      </c>
    </row>
    <row r="684" spans="1:33" ht="11.25" customHeight="1" x14ac:dyDescent="0.25">
      <c r="A684" s="4" t="s">
        <v>21</v>
      </c>
      <c r="B684" s="4" t="s">
        <v>42</v>
      </c>
      <c r="C684" s="4" t="s">
        <v>23</v>
      </c>
      <c r="D684" s="4" t="s">
        <v>43</v>
      </c>
      <c r="E684" s="4" t="s">
        <v>54</v>
      </c>
      <c r="F684" s="4" t="s">
        <v>52</v>
      </c>
      <c r="G684" s="4" t="s">
        <v>25</v>
      </c>
      <c r="H684" s="4" t="s">
        <v>25</v>
      </c>
      <c r="I684" s="5">
        <v>44470</v>
      </c>
      <c r="J684" s="6">
        <v>0</v>
      </c>
      <c r="K684" s="6">
        <v>0</v>
      </c>
      <c r="L684" s="6">
        <v>2.9319999999999999</v>
      </c>
      <c r="M684" s="6">
        <v>2.9319999999999999</v>
      </c>
      <c r="N684" s="6">
        <v>2.9319999999999999</v>
      </c>
      <c r="O684" s="6">
        <v>2.9319999999999999</v>
      </c>
      <c r="P684" s="6">
        <v>0</v>
      </c>
      <c r="Q684" s="4" t="s">
        <v>26</v>
      </c>
      <c r="R684" s="4">
        <v>0</v>
      </c>
      <c r="S684" s="6">
        <v>0</v>
      </c>
      <c r="T684" s="6">
        <v>30</v>
      </c>
      <c r="U684" s="6">
        <v>70</v>
      </c>
      <c r="V684" s="6">
        <f>IF(ISERROR(VLOOKUP($S$684,'TAR FIN'!$A$1:$O$86,15,0)),0,VLOOKUP($S$684,'TAR FIN'!$A$1:$O$86,15,0))</f>
        <v>0</v>
      </c>
      <c r="W684" s="6">
        <f>IF(ISERROR(VLOOKUP($T$684,'TAR FIN'!$A$1:$O$86,15,0)),0,VLOOKUP($T$684,'TAR FIN'!$A$1:$O$86,15,0))</f>
        <v>285.56</v>
      </c>
      <c r="X684" s="6">
        <f>IF(ISERROR(VLOOKUP($U$684,'TAR FIN'!$A$1:$O$86,15,0)),0,VLOOKUP($U$684,'TAR FIN'!$A$1:$O$86,15,0))</f>
        <v>227.23</v>
      </c>
      <c r="Y684" s="6"/>
      <c r="Z684" s="6">
        <f ca="1">('TUSD BE'!$AM$34+'TUSD BF_350'!$AM$34+'TUSD CVA'!$AM$34)*(1-CUSTOS!$M$38)</f>
        <v>310.34682484351242</v>
      </c>
      <c r="AA684" s="6">
        <f ca="1">('TE BE'!$AB$24+'TE BF_350'!$AB$24+'TE CVA'!$AB$24)*(1-CUSTOS!$M$38)</f>
        <v>216.7476358676706</v>
      </c>
      <c r="AB684" s="6">
        <f>$K$684*$V$684</f>
        <v>0</v>
      </c>
      <c r="AC684" s="6">
        <f>$M$684*$W$684</f>
        <v>837.26192000000003</v>
      </c>
      <c r="AD684" s="6">
        <f>$O$684*$X$684</f>
        <v>666.23835999999994</v>
      </c>
      <c r="AE684" s="6">
        <f>$K$684*$Y$684</f>
        <v>0</v>
      </c>
      <c r="AF684" s="6">
        <f ca="1">$M$684*$Z$684</f>
        <v>909.93689044117843</v>
      </c>
      <c r="AG684" s="6">
        <f ca="1">$O$684*$AA$684</f>
        <v>635.50406836401021</v>
      </c>
    </row>
    <row r="685" spans="1:33" ht="11.25" customHeight="1" x14ac:dyDescent="0.25">
      <c r="A685" s="4" t="s">
        <v>55</v>
      </c>
      <c r="B685" s="4" t="s">
        <v>42</v>
      </c>
      <c r="C685" s="4" t="s">
        <v>23</v>
      </c>
      <c r="D685" s="4" t="s">
        <v>43</v>
      </c>
      <c r="E685" s="4" t="s">
        <v>54</v>
      </c>
      <c r="F685" s="4" t="s">
        <v>52</v>
      </c>
      <c r="G685" s="4" t="s">
        <v>25</v>
      </c>
      <c r="H685" s="4" t="s">
        <v>25</v>
      </c>
      <c r="I685" s="5">
        <v>44470</v>
      </c>
      <c r="J685" s="6">
        <v>0</v>
      </c>
      <c r="K685" s="6">
        <v>0</v>
      </c>
      <c r="L685" s="6">
        <v>8.9480000000000004</v>
      </c>
      <c r="M685" s="6">
        <v>8.9480000000000004</v>
      </c>
      <c r="N685" s="6">
        <v>8.9480000000000004</v>
      </c>
      <c r="O685" s="6">
        <v>8.9480000000000004</v>
      </c>
      <c r="P685" s="6">
        <v>0</v>
      </c>
      <c r="Q685" s="4" t="s">
        <v>26</v>
      </c>
      <c r="R685" s="4">
        <v>0</v>
      </c>
      <c r="S685" s="6">
        <v>0</v>
      </c>
      <c r="T685" s="6">
        <v>30</v>
      </c>
      <c r="U685" s="6">
        <v>70</v>
      </c>
      <c r="V685" s="6">
        <f>IF(ISERROR(VLOOKUP($S$685,'TAR FIN'!$A$1:$O$86,15,0)),0,VLOOKUP($S$685,'TAR FIN'!$A$1:$O$86,15,0))</f>
        <v>0</v>
      </c>
      <c r="W685" s="6">
        <f>IF(ISERROR(VLOOKUP($T$685,'TAR FIN'!$A$1:$O$86,15,0)),0,VLOOKUP($T$685,'TAR FIN'!$A$1:$O$86,15,0))</f>
        <v>285.56</v>
      </c>
      <c r="X685" s="6">
        <f>IF(ISERROR(VLOOKUP($U$685,'TAR FIN'!$A$1:$O$86,15,0)),0,VLOOKUP($U$685,'TAR FIN'!$A$1:$O$86,15,0))</f>
        <v>227.23</v>
      </c>
      <c r="Y685" s="6"/>
      <c r="Z685" s="6">
        <f ca="1">('TUSD BE'!$AM$34+'TUSD BF_350'!$AM$34+'TUSD CVA'!$AM$34)*(1-CUSTOS!$M$38)</f>
        <v>310.34682484351242</v>
      </c>
      <c r="AA685" s="6">
        <f ca="1">('TE BE'!$AB$24+'TE BF_350'!$AB$24+'TE CVA'!$AB$24)*(1-CUSTOS!$M$38)</f>
        <v>216.7476358676706</v>
      </c>
      <c r="AB685" s="6">
        <f>$K$685*$V$685</f>
        <v>0</v>
      </c>
      <c r="AC685" s="6">
        <f>$M$685*$W$685</f>
        <v>2555.1908800000001</v>
      </c>
      <c r="AD685" s="6">
        <f>$O$685*$X$685</f>
        <v>2033.25404</v>
      </c>
      <c r="AE685" s="6">
        <f>$K$685*$Y$685</f>
        <v>0</v>
      </c>
      <c r="AF685" s="6">
        <f ca="1">$M$685*$Z$685</f>
        <v>2776.9833886997494</v>
      </c>
      <c r="AG685" s="6">
        <f ca="1">$O$685*$AA$685</f>
        <v>1939.4578457439166</v>
      </c>
    </row>
    <row r="686" spans="1:33" ht="11.25" customHeight="1" x14ac:dyDescent="0.25">
      <c r="A686" s="4" t="s">
        <v>21</v>
      </c>
      <c r="B686" s="4" t="s">
        <v>42</v>
      </c>
      <c r="C686" s="4" t="s">
        <v>23</v>
      </c>
      <c r="D686" s="4" t="s">
        <v>43</v>
      </c>
      <c r="E686" s="4" t="s">
        <v>54</v>
      </c>
      <c r="F686" s="4" t="s">
        <v>52</v>
      </c>
      <c r="G686" s="4" t="s">
        <v>25</v>
      </c>
      <c r="H686" s="4" t="s">
        <v>25</v>
      </c>
      <c r="I686" s="5">
        <v>44501</v>
      </c>
      <c r="J686" s="6">
        <v>0</v>
      </c>
      <c r="K686" s="6">
        <v>0</v>
      </c>
      <c r="L686" s="6">
        <v>2.524</v>
      </c>
      <c r="M686" s="6">
        <v>2.524</v>
      </c>
      <c r="N686" s="6">
        <v>2.524</v>
      </c>
      <c r="O686" s="6">
        <v>2.524</v>
      </c>
      <c r="P686" s="6">
        <v>0</v>
      </c>
      <c r="Q686" s="4" t="s">
        <v>26</v>
      </c>
      <c r="R686" s="4">
        <v>0</v>
      </c>
      <c r="S686" s="6">
        <v>0</v>
      </c>
      <c r="T686" s="6">
        <v>30</v>
      </c>
      <c r="U686" s="6">
        <v>70</v>
      </c>
      <c r="V686" s="6">
        <f>IF(ISERROR(VLOOKUP($S$686,'TAR FIN'!$A$1:$O$86,15,0)),0,VLOOKUP($S$686,'TAR FIN'!$A$1:$O$86,15,0))</f>
        <v>0</v>
      </c>
      <c r="W686" s="6">
        <f>IF(ISERROR(VLOOKUP($T$686,'TAR FIN'!$A$1:$O$86,15,0)),0,VLOOKUP($T$686,'TAR FIN'!$A$1:$O$86,15,0))</f>
        <v>285.56</v>
      </c>
      <c r="X686" s="6">
        <f>IF(ISERROR(VLOOKUP($U$686,'TAR FIN'!$A$1:$O$86,15,0)),0,VLOOKUP($U$686,'TAR FIN'!$A$1:$O$86,15,0))</f>
        <v>227.23</v>
      </c>
      <c r="Y686" s="6"/>
      <c r="Z686" s="6">
        <f ca="1">('TUSD BE'!$AM$34+'TUSD BF_350'!$AM$34+'TUSD CVA'!$AM$34)*(1-CUSTOS!$M$38)</f>
        <v>310.34682484351242</v>
      </c>
      <c r="AA686" s="6">
        <f ca="1">('TE BE'!$AB$24+'TE BF_350'!$AB$24+'TE CVA'!$AB$24)*(1-CUSTOS!$M$38)</f>
        <v>216.7476358676706</v>
      </c>
      <c r="AB686" s="6">
        <f>$K$686*$V$686</f>
        <v>0</v>
      </c>
      <c r="AC686" s="6">
        <f>$M$686*$W$686</f>
        <v>720.75343999999996</v>
      </c>
      <c r="AD686" s="6">
        <f>$O$686*$X$686</f>
        <v>573.52851999999996</v>
      </c>
      <c r="AE686" s="6">
        <f>$K$686*$Y$686</f>
        <v>0</v>
      </c>
      <c r="AF686" s="6">
        <f ca="1">$M$686*$Z$686</f>
        <v>783.31538590502532</v>
      </c>
      <c r="AG686" s="6">
        <f ca="1">$O$686*$AA$686</f>
        <v>547.07103293000057</v>
      </c>
    </row>
    <row r="687" spans="1:33" ht="11.25" customHeight="1" x14ac:dyDescent="0.25">
      <c r="A687" s="4" t="s">
        <v>55</v>
      </c>
      <c r="B687" s="4" t="s">
        <v>42</v>
      </c>
      <c r="C687" s="4" t="s">
        <v>23</v>
      </c>
      <c r="D687" s="4" t="s">
        <v>43</v>
      </c>
      <c r="E687" s="4" t="s">
        <v>54</v>
      </c>
      <c r="F687" s="4" t="s">
        <v>52</v>
      </c>
      <c r="G687" s="4" t="s">
        <v>25</v>
      </c>
      <c r="H687" s="4" t="s">
        <v>25</v>
      </c>
      <c r="I687" s="5">
        <v>44501</v>
      </c>
      <c r="J687" s="6">
        <v>0</v>
      </c>
      <c r="K687" s="6">
        <v>0</v>
      </c>
      <c r="L687" s="6">
        <v>7.024</v>
      </c>
      <c r="M687" s="6">
        <v>7.024</v>
      </c>
      <c r="N687" s="6">
        <v>7.024</v>
      </c>
      <c r="O687" s="6">
        <v>7.024</v>
      </c>
      <c r="P687" s="6">
        <v>0</v>
      </c>
      <c r="Q687" s="4" t="s">
        <v>26</v>
      </c>
      <c r="R687" s="4">
        <v>0</v>
      </c>
      <c r="S687" s="6">
        <v>0</v>
      </c>
      <c r="T687" s="6">
        <v>30</v>
      </c>
      <c r="U687" s="6">
        <v>70</v>
      </c>
      <c r="V687" s="6">
        <f>IF(ISERROR(VLOOKUP($S$687,'TAR FIN'!$A$1:$O$86,15,0)),0,VLOOKUP($S$687,'TAR FIN'!$A$1:$O$86,15,0))</f>
        <v>0</v>
      </c>
      <c r="W687" s="6">
        <f>IF(ISERROR(VLOOKUP($T$687,'TAR FIN'!$A$1:$O$86,15,0)),0,VLOOKUP($T$687,'TAR FIN'!$A$1:$O$86,15,0))</f>
        <v>285.56</v>
      </c>
      <c r="X687" s="6">
        <f>IF(ISERROR(VLOOKUP($U$687,'TAR FIN'!$A$1:$O$86,15,0)),0,VLOOKUP($U$687,'TAR FIN'!$A$1:$O$86,15,0))</f>
        <v>227.23</v>
      </c>
      <c r="Y687" s="6"/>
      <c r="Z687" s="6">
        <f ca="1">('TUSD BE'!$AM$34+'TUSD BF_350'!$AM$34+'TUSD CVA'!$AM$34)*(1-CUSTOS!$M$38)</f>
        <v>310.34682484351242</v>
      </c>
      <c r="AA687" s="6">
        <f ca="1">('TE BE'!$AB$24+'TE BF_350'!$AB$24+'TE CVA'!$AB$24)*(1-CUSTOS!$M$38)</f>
        <v>216.7476358676706</v>
      </c>
      <c r="AB687" s="6">
        <f>$K$687*$V$687</f>
        <v>0</v>
      </c>
      <c r="AC687" s="6">
        <f>$M$687*$W$687</f>
        <v>2005.7734399999999</v>
      </c>
      <c r="AD687" s="6">
        <f>$O$687*$X$687</f>
        <v>1596.0635199999999</v>
      </c>
      <c r="AE687" s="6">
        <f>$K$687*$Y$687</f>
        <v>0</v>
      </c>
      <c r="AF687" s="6">
        <f ca="1">$M$687*$Z$687</f>
        <v>2179.8760977008315</v>
      </c>
      <c r="AG687" s="6">
        <f ca="1">$O$687*$AA$687</f>
        <v>1522.4353943345184</v>
      </c>
    </row>
    <row r="688" spans="1:33" ht="11.25" customHeight="1" x14ac:dyDescent="0.25">
      <c r="A688" s="4" t="s">
        <v>21</v>
      </c>
      <c r="B688" s="4" t="s">
        <v>42</v>
      </c>
      <c r="C688" s="4" t="s">
        <v>23</v>
      </c>
      <c r="D688" s="4" t="s">
        <v>43</v>
      </c>
      <c r="E688" s="4" t="s">
        <v>54</v>
      </c>
      <c r="F688" s="4" t="s">
        <v>52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5.0359999999999996</v>
      </c>
      <c r="M688" s="6">
        <v>5.0359999999999996</v>
      </c>
      <c r="N688" s="6">
        <v>5.0359999999999996</v>
      </c>
      <c r="O688" s="6">
        <v>5.0359999999999996</v>
      </c>
      <c r="P688" s="6">
        <v>0</v>
      </c>
      <c r="Q688" s="4" t="s">
        <v>26</v>
      </c>
      <c r="R688" s="4">
        <v>0</v>
      </c>
      <c r="S688" s="6">
        <v>0</v>
      </c>
      <c r="T688" s="6">
        <v>30</v>
      </c>
      <c r="U688" s="6">
        <v>70</v>
      </c>
      <c r="V688" s="6">
        <f>IF(ISERROR(VLOOKUP($S$688,'TAR FIN'!$A$1:$O$86,15,0)),0,VLOOKUP($S$688,'TAR FIN'!$A$1:$O$86,15,0))</f>
        <v>0</v>
      </c>
      <c r="W688" s="6">
        <f>IF(ISERROR(VLOOKUP($T$688,'TAR FIN'!$A$1:$O$86,15,0)),0,VLOOKUP($T$688,'TAR FIN'!$A$1:$O$86,15,0))</f>
        <v>285.56</v>
      </c>
      <c r="X688" s="6">
        <f>IF(ISERROR(VLOOKUP($U$688,'TAR FIN'!$A$1:$O$86,15,0)),0,VLOOKUP($U$688,'TAR FIN'!$A$1:$O$86,15,0))</f>
        <v>227.23</v>
      </c>
      <c r="Y688" s="6"/>
      <c r="Z688" s="6">
        <f ca="1">('TUSD BE'!$AM$34+'TUSD BF_350'!$AM$34+'TUSD CVA'!$AM$34)*(1-CUSTOS!$M$38)</f>
        <v>310.34682484351242</v>
      </c>
      <c r="AA688" s="6">
        <f ca="1">('TE BE'!$AB$24+'TE BF_350'!$AB$24+'TE CVA'!$AB$24)*(1-CUSTOS!$M$38)</f>
        <v>216.7476358676706</v>
      </c>
      <c r="AB688" s="6">
        <f>$K$688*$V$688</f>
        <v>0</v>
      </c>
      <c r="AC688" s="6">
        <f>$M$688*$W$688</f>
        <v>1438.08016</v>
      </c>
      <c r="AD688" s="6">
        <f>$O$688*$X$688</f>
        <v>1144.3302799999999</v>
      </c>
      <c r="AE688" s="6">
        <f>$K$688*$Y$688</f>
        <v>0</v>
      </c>
      <c r="AF688" s="6">
        <f ca="1">$M$688*$Z$688</f>
        <v>1562.9066099119284</v>
      </c>
      <c r="AG688" s="6">
        <f ca="1">$O$688*$AA$688</f>
        <v>1091.5410942295891</v>
      </c>
    </row>
    <row r="689" spans="1:33" ht="11.25" customHeight="1" x14ac:dyDescent="0.25">
      <c r="A689" s="4" t="s">
        <v>55</v>
      </c>
      <c r="B689" s="4" t="s">
        <v>42</v>
      </c>
      <c r="C689" s="4" t="s">
        <v>23</v>
      </c>
      <c r="D689" s="4" t="s">
        <v>43</v>
      </c>
      <c r="E689" s="4" t="s">
        <v>54</v>
      </c>
      <c r="F689" s="4" t="s">
        <v>52</v>
      </c>
      <c r="G689" s="4" t="s">
        <v>25</v>
      </c>
      <c r="H689" s="4" t="s">
        <v>25</v>
      </c>
      <c r="I689" s="5">
        <v>44531</v>
      </c>
      <c r="J689" s="6">
        <v>0</v>
      </c>
      <c r="K689" s="6">
        <v>0</v>
      </c>
      <c r="L689" s="6">
        <v>8.0090000000000003</v>
      </c>
      <c r="M689" s="6">
        <v>8.0090000000000003</v>
      </c>
      <c r="N689" s="6">
        <v>8.0090000000000003</v>
      </c>
      <c r="O689" s="6">
        <v>8.0090000000000003</v>
      </c>
      <c r="P689" s="6">
        <v>0</v>
      </c>
      <c r="Q689" s="4" t="s">
        <v>26</v>
      </c>
      <c r="R689" s="4">
        <v>0</v>
      </c>
      <c r="S689" s="6">
        <v>0</v>
      </c>
      <c r="T689" s="6">
        <v>30</v>
      </c>
      <c r="U689" s="6">
        <v>70</v>
      </c>
      <c r="V689" s="6">
        <f>IF(ISERROR(VLOOKUP($S$689,'TAR FIN'!$A$1:$O$86,15,0)),0,VLOOKUP($S$689,'TAR FIN'!$A$1:$O$86,15,0))</f>
        <v>0</v>
      </c>
      <c r="W689" s="6">
        <f>IF(ISERROR(VLOOKUP($T$689,'TAR FIN'!$A$1:$O$86,15,0)),0,VLOOKUP($T$689,'TAR FIN'!$A$1:$O$86,15,0))</f>
        <v>285.56</v>
      </c>
      <c r="X689" s="6">
        <f>IF(ISERROR(VLOOKUP($U$689,'TAR FIN'!$A$1:$O$86,15,0)),0,VLOOKUP($U$689,'TAR FIN'!$A$1:$O$86,15,0))</f>
        <v>227.23</v>
      </c>
      <c r="Y689" s="6"/>
      <c r="Z689" s="6">
        <f ca="1">('TUSD BE'!$AM$34+'TUSD BF_350'!$AM$34+'TUSD CVA'!$AM$34)*(1-CUSTOS!$M$38)</f>
        <v>310.34682484351242</v>
      </c>
      <c r="AA689" s="6">
        <f ca="1">('TE BE'!$AB$24+'TE BF_350'!$AB$24+'TE CVA'!$AB$24)*(1-CUSTOS!$M$38)</f>
        <v>216.7476358676706</v>
      </c>
      <c r="AB689" s="6">
        <f>$K$689*$V$689</f>
        <v>0</v>
      </c>
      <c r="AC689" s="6">
        <f>$M$689*$W$689</f>
        <v>2287.0500400000001</v>
      </c>
      <c r="AD689" s="6">
        <f>$O$689*$X$689</f>
        <v>1819.88507</v>
      </c>
      <c r="AE689" s="6">
        <f>$K$689*$Y$689</f>
        <v>0</v>
      </c>
      <c r="AF689" s="6">
        <f ca="1">$M$689*$Z$689</f>
        <v>2485.5677201716912</v>
      </c>
      <c r="AG689" s="6">
        <f ca="1">$O$689*$AA$689</f>
        <v>1735.9318156641739</v>
      </c>
    </row>
    <row r="690" spans="1:33" ht="11.25" customHeight="1" x14ac:dyDescent="0.25">
      <c r="A690" s="4" t="s">
        <v>21</v>
      </c>
      <c r="B690" s="4" t="s">
        <v>42</v>
      </c>
      <c r="C690" s="4" t="s">
        <v>23</v>
      </c>
      <c r="D690" s="4" t="s">
        <v>43</v>
      </c>
      <c r="E690" s="4" t="s">
        <v>54</v>
      </c>
      <c r="F690" s="4" t="s">
        <v>52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7.0739999999999998</v>
      </c>
      <c r="M690" s="6">
        <v>7.0739999999999998</v>
      </c>
      <c r="N690" s="6">
        <v>7.0739999999999998</v>
      </c>
      <c r="O690" s="6">
        <v>7.0739999999999998</v>
      </c>
      <c r="P690" s="6">
        <v>0</v>
      </c>
      <c r="Q690" s="4" t="s">
        <v>26</v>
      </c>
      <c r="R690" s="4">
        <v>0</v>
      </c>
      <c r="S690" s="6">
        <v>0</v>
      </c>
      <c r="T690" s="6">
        <v>30</v>
      </c>
      <c r="U690" s="6">
        <v>70</v>
      </c>
      <c r="V690" s="6">
        <f>IF(ISERROR(VLOOKUP($S$690,'TAR FIN'!$A$1:$O$86,15,0)),0,VLOOKUP($S$690,'TAR FIN'!$A$1:$O$86,15,0))</f>
        <v>0</v>
      </c>
      <c r="W690" s="6">
        <f>IF(ISERROR(VLOOKUP($T$690,'TAR FIN'!$A$1:$O$86,15,0)),0,VLOOKUP($T$690,'TAR FIN'!$A$1:$O$86,15,0))</f>
        <v>285.56</v>
      </c>
      <c r="X690" s="6">
        <f>IF(ISERROR(VLOOKUP($U$690,'TAR FIN'!$A$1:$O$86,15,0)),0,VLOOKUP($U$690,'TAR FIN'!$A$1:$O$86,15,0))</f>
        <v>227.23</v>
      </c>
      <c r="Y690" s="6"/>
      <c r="Z690" s="6">
        <f ca="1">('TUSD BE'!$AM$34+'TUSD BF_350'!$AM$34+'TUSD CVA'!$AM$34)*(1-CUSTOS!$M$38)</f>
        <v>310.34682484351242</v>
      </c>
      <c r="AA690" s="6">
        <f ca="1">('TE BE'!$AB$24+'TE BF_350'!$AB$24+'TE CVA'!$AB$24)*(1-CUSTOS!$M$38)</f>
        <v>216.7476358676706</v>
      </c>
      <c r="AB690" s="6">
        <f>$K$690*$V$690</f>
        <v>0</v>
      </c>
      <c r="AC690" s="6">
        <f>$M$690*$W$690</f>
        <v>2020.05144</v>
      </c>
      <c r="AD690" s="6">
        <f>$O$690*$X$690</f>
        <v>1607.4250199999999</v>
      </c>
      <c r="AE690" s="6">
        <f>$K$690*$Y$690</f>
        <v>0</v>
      </c>
      <c r="AF690" s="6">
        <f ca="1">$M$690*$Z$690</f>
        <v>2195.3934389430069</v>
      </c>
      <c r="AG690" s="6">
        <f ca="1">$O$690*$AA$690</f>
        <v>1533.2727761279018</v>
      </c>
    </row>
    <row r="691" spans="1:33" ht="11.25" customHeight="1" x14ac:dyDescent="0.25">
      <c r="A691" s="4" t="s">
        <v>55</v>
      </c>
      <c r="B691" s="4" t="s">
        <v>42</v>
      </c>
      <c r="C691" s="4" t="s">
        <v>23</v>
      </c>
      <c r="D691" s="4" t="s">
        <v>43</v>
      </c>
      <c r="E691" s="4" t="s">
        <v>54</v>
      </c>
      <c r="F691" s="4" t="s">
        <v>52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7.4219999999999997</v>
      </c>
      <c r="M691" s="6">
        <v>7.4219999999999997</v>
      </c>
      <c r="N691" s="6">
        <v>7.4219999999999997</v>
      </c>
      <c r="O691" s="6">
        <v>7.4219999999999997</v>
      </c>
      <c r="P691" s="6">
        <v>0</v>
      </c>
      <c r="Q691" s="4" t="s">
        <v>26</v>
      </c>
      <c r="R691" s="4">
        <v>0</v>
      </c>
      <c r="S691" s="6">
        <v>0</v>
      </c>
      <c r="T691" s="6">
        <v>30</v>
      </c>
      <c r="U691" s="6">
        <v>70</v>
      </c>
      <c r="V691" s="6">
        <f>IF(ISERROR(VLOOKUP($S$691,'TAR FIN'!$A$1:$O$86,15,0)),0,VLOOKUP($S$691,'TAR FIN'!$A$1:$O$86,15,0))</f>
        <v>0</v>
      </c>
      <c r="W691" s="6">
        <f>IF(ISERROR(VLOOKUP($T$691,'TAR FIN'!$A$1:$O$86,15,0)),0,VLOOKUP($T$691,'TAR FIN'!$A$1:$O$86,15,0))</f>
        <v>285.56</v>
      </c>
      <c r="X691" s="6">
        <f>IF(ISERROR(VLOOKUP($U$691,'TAR FIN'!$A$1:$O$86,15,0)),0,VLOOKUP($U$691,'TAR FIN'!$A$1:$O$86,15,0))</f>
        <v>227.23</v>
      </c>
      <c r="Y691" s="6"/>
      <c r="Z691" s="6">
        <f ca="1">('TUSD BE'!$AM$34+'TUSD BF_350'!$AM$34+'TUSD CVA'!$AM$34)*(1-CUSTOS!$M$38)</f>
        <v>310.34682484351242</v>
      </c>
      <c r="AA691" s="6">
        <f ca="1">('TE BE'!$AB$24+'TE BF_350'!$AB$24+'TE CVA'!$AB$24)*(1-CUSTOS!$M$38)</f>
        <v>216.7476358676706</v>
      </c>
      <c r="AB691" s="6">
        <f>$K$691*$V$691</f>
        <v>0</v>
      </c>
      <c r="AC691" s="6">
        <f>$M$691*$W$691</f>
        <v>2119.42632</v>
      </c>
      <c r="AD691" s="6">
        <f>$O$691*$X$691</f>
        <v>1686.5010599999998</v>
      </c>
      <c r="AE691" s="6">
        <f>$K$691*$Y$691</f>
        <v>0</v>
      </c>
      <c r="AF691" s="6">
        <f ca="1">$M$691*$Z$691</f>
        <v>2303.3941339885491</v>
      </c>
      <c r="AG691" s="6">
        <f ca="1">$O$691*$AA$691</f>
        <v>1608.7009534098511</v>
      </c>
    </row>
    <row r="692" spans="1:33" ht="11.25" customHeight="1" x14ac:dyDescent="0.25">
      <c r="A692" s="4" t="s">
        <v>21</v>
      </c>
      <c r="B692" s="4" t="s">
        <v>42</v>
      </c>
      <c r="C692" s="4" t="s">
        <v>23</v>
      </c>
      <c r="D692" s="4" t="s">
        <v>43</v>
      </c>
      <c r="E692" s="4" t="s">
        <v>54</v>
      </c>
      <c r="F692" s="4" t="s">
        <v>52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5.0780000000000003</v>
      </c>
      <c r="M692" s="6">
        <v>5.0780000000000003</v>
      </c>
      <c r="N692" s="6">
        <v>5.0780000000000003</v>
      </c>
      <c r="O692" s="6">
        <v>5.0780000000000003</v>
      </c>
      <c r="P692" s="6">
        <v>0</v>
      </c>
      <c r="Q692" s="4" t="s">
        <v>26</v>
      </c>
      <c r="R692" s="4">
        <v>0</v>
      </c>
      <c r="S692" s="6">
        <v>0</v>
      </c>
      <c r="T692" s="6">
        <v>30</v>
      </c>
      <c r="U692" s="6">
        <v>70</v>
      </c>
      <c r="V692" s="6">
        <f>IF(ISERROR(VLOOKUP($S$692,'TAR FIN'!$A$1:$O$86,15,0)),0,VLOOKUP($S$692,'TAR FIN'!$A$1:$O$86,15,0))</f>
        <v>0</v>
      </c>
      <c r="W692" s="6">
        <f>IF(ISERROR(VLOOKUP($T$692,'TAR FIN'!$A$1:$O$86,15,0)),0,VLOOKUP($T$692,'TAR FIN'!$A$1:$O$86,15,0))</f>
        <v>285.56</v>
      </c>
      <c r="X692" s="6">
        <f>IF(ISERROR(VLOOKUP($U$692,'TAR FIN'!$A$1:$O$86,15,0)),0,VLOOKUP($U$692,'TAR FIN'!$A$1:$O$86,15,0))</f>
        <v>227.23</v>
      </c>
      <c r="Y692" s="6"/>
      <c r="Z692" s="6">
        <f ca="1">('TUSD BE'!$AM$34+'TUSD BF_350'!$AM$34+'TUSD CVA'!$AM$34)*(1-CUSTOS!$M$38)</f>
        <v>310.34682484351242</v>
      </c>
      <c r="AA692" s="6">
        <f ca="1">('TE BE'!$AB$24+'TE BF_350'!$AB$24+'TE CVA'!$AB$24)*(1-CUSTOS!$M$38)</f>
        <v>216.7476358676706</v>
      </c>
      <c r="AB692" s="6">
        <f>$K$692*$V$692</f>
        <v>0</v>
      </c>
      <c r="AC692" s="6">
        <f>$M$692*$W$692</f>
        <v>1450.0736800000002</v>
      </c>
      <c r="AD692" s="6">
        <f>$O$692*$X$692</f>
        <v>1153.8739399999999</v>
      </c>
      <c r="AE692" s="6">
        <f>$K$692*$Y$692</f>
        <v>0</v>
      </c>
      <c r="AF692" s="6">
        <f ca="1">$M$692*$Z$692</f>
        <v>1575.9411765553562</v>
      </c>
      <c r="AG692" s="6">
        <f ca="1">$O$692*$AA$692</f>
        <v>1100.6444949360314</v>
      </c>
    </row>
    <row r="693" spans="1:33" ht="11.25" customHeight="1" x14ac:dyDescent="0.25">
      <c r="A693" s="4" t="s">
        <v>55</v>
      </c>
      <c r="B693" s="4" t="s">
        <v>42</v>
      </c>
      <c r="C693" s="4" t="s">
        <v>23</v>
      </c>
      <c r="D693" s="4" t="s">
        <v>43</v>
      </c>
      <c r="E693" s="4" t="s">
        <v>54</v>
      </c>
      <c r="F693" s="4" t="s">
        <v>52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9.9499999999999993</v>
      </c>
      <c r="M693" s="6">
        <v>9.9499999999999993</v>
      </c>
      <c r="N693" s="6">
        <v>9.9499999999999993</v>
      </c>
      <c r="O693" s="6">
        <v>9.9499999999999993</v>
      </c>
      <c r="P693" s="6">
        <v>0</v>
      </c>
      <c r="Q693" s="4" t="s">
        <v>26</v>
      </c>
      <c r="R693" s="4">
        <v>0</v>
      </c>
      <c r="S693" s="6">
        <v>0</v>
      </c>
      <c r="T693" s="6">
        <v>30</v>
      </c>
      <c r="U693" s="6">
        <v>70</v>
      </c>
      <c r="V693" s="6">
        <f>IF(ISERROR(VLOOKUP($S$693,'TAR FIN'!$A$1:$O$86,15,0)),0,VLOOKUP($S$693,'TAR FIN'!$A$1:$O$86,15,0))</f>
        <v>0</v>
      </c>
      <c r="W693" s="6">
        <f>IF(ISERROR(VLOOKUP($T$693,'TAR FIN'!$A$1:$O$86,15,0)),0,VLOOKUP($T$693,'TAR FIN'!$A$1:$O$86,15,0))</f>
        <v>285.56</v>
      </c>
      <c r="X693" s="6">
        <f>IF(ISERROR(VLOOKUP($U$693,'TAR FIN'!$A$1:$O$86,15,0)),0,VLOOKUP($U$693,'TAR FIN'!$A$1:$O$86,15,0))</f>
        <v>227.23</v>
      </c>
      <c r="Y693" s="6"/>
      <c r="Z693" s="6">
        <f ca="1">('TUSD BE'!$AM$34+'TUSD BF_350'!$AM$34+'TUSD CVA'!$AM$34)*(1-CUSTOS!$M$38)</f>
        <v>310.34682484351242</v>
      </c>
      <c r="AA693" s="6">
        <f ca="1">('TE BE'!$AB$24+'TE BF_350'!$AB$24+'TE CVA'!$AB$24)*(1-CUSTOS!$M$38)</f>
        <v>216.7476358676706</v>
      </c>
      <c r="AB693" s="6">
        <f>$K$693*$V$693</f>
        <v>0</v>
      </c>
      <c r="AC693" s="6">
        <f>$M$693*$W$693</f>
        <v>2841.3219999999997</v>
      </c>
      <c r="AD693" s="6">
        <f>$O$693*$X$693</f>
        <v>2260.9384999999997</v>
      </c>
      <c r="AE693" s="6">
        <f>$K$693*$Y$693</f>
        <v>0</v>
      </c>
      <c r="AF693" s="6">
        <f ca="1">$M$693*$Z$693</f>
        <v>3087.9509071929483</v>
      </c>
      <c r="AG693" s="6">
        <f ca="1">$O$693*$AA$693</f>
        <v>2156.6389768833224</v>
      </c>
    </row>
    <row r="694" spans="1:33" ht="11.25" customHeight="1" x14ac:dyDescent="0.25">
      <c r="A694" s="4" t="s">
        <v>21</v>
      </c>
      <c r="B694" s="4" t="s">
        <v>42</v>
      </c>
      <c r="C694" s="4" t="s">
        <v>23</v>
      </c>
      <c r="D694" s="4" t="s">
        <v>43</v>
      </c>
      <c r="E694" s="4" t="s">
        <v>54</v>
      </c>
      <c r="F694" s="4" t="s">
        <v>52</v>
      </c>
      <c r="G694" s="4" t="s">
        <v>25</v>
      </c>
      <c r="H694" s="4" t="s">
        <v>25</v>
      </c>
      <c r="I694" s="5">
        <v>44621</v>
      </c>
      <c r="J694" s="6">
        <v>0</v>
      </c>
      <c r="K694" s="6">
        <v>0</v>
      </c>
      <c r="L694" s="6">
        <v>4.3520000000000003</v>
      </c>
      <c r="M694" s="6">
        <v>4.3520000000000003</v>
      </c>
      <c r="N694" s="6">
        <v>4.3520000000000003</v>
      </c>
      <c r="O694" s="6">
        <v>4.3520000000000003</v>
      </c>
      <c r="P694" s="6">
        <v>0</v>
      </c>
      <c r="Q694" s="4" t="s">
        <v>26</v>
      </c>
      <c r="R694" s="4">
        <v>0</v>
      </c>
      <c r="S694" s="6">
        <v>0</v>
      </c>
      <c r="T694" s="6">
        <v>30</v>
      </c>
      <c r="U694" s="6">
        <v>70</v>
      </c>
      <c r="V694" s="6">
        <f>IF(ISERROR(VLOOKUP($S$694,'TAR FIN'!$A$1:$O$86,15,0)),0,VLOOKUP($S$694,'TAR FIN'!$A$1:$O$86,15,0))</f>
        <v>0</v>
      </c>
      <c r="W694" s="6">
        <f>IF(ISERROR(VLOOKUP($T$694,'TAR FIN'!$A$1:$O$86,15,0)),0,VLOOKUP($T$694,'TAR FIN'!$A$1:$O$86,15,0))</f>
        <v>285.56</v>
      </c>
      <c r="X694" s="6">
        <f>IF(ISERROR(VLOOKUP($U$694,'TAR FIN'!$A$1:$O$86,15,0)),0,VLOOKUP($U$694,'TAR FIN'!$A$1:$O$86,15,0))</f>
        <v>227.23</v>
      </c>
      <c r="Y694" s="6"/>
      <c r="Z694" s="6">
        <f ca="1">('TUSD BE'!$AM$34+'TUSD BF_350'!$AM$34+'TUSD CVA'!$AM$34)*(1-CUSTOS!$M$38)</f>
        <v>310.34682484351242</v>
      </c>
      <c r="AA694" s="6">
        <f ca="1">('TE BE'!$AB$24+'TE BF_350'!$AB$24+'TE CVA'!$AB$24)*(1-CUSTOS!$M$38)</f>
        <v>216.7476358676706</v>
      </c>
      <c r="AB694" s="6">
        <f>$K$694*$V$694</f>
        <v>0</v>
      </c>
      <c r="AC694" s="6">
        <f>$M$694*$W$694</f>
        <v>1242.75712</v>
      </c>
      <c r="AD694" s="6">
        <f>$O$694*$X$694</f>
        <v>988.90496000000007</v>
      </c>
      <c r="AE694" s="6">
        <f>$K$694*$Y$694</f>
        <v>0</v>
      </c>
      <c r="AF694" s="6">
        <f ca="1">$M$694*$Z$694</f>
        <v>1350.6293817189662</v>
      </c>
      <c r="AG694" s="6">
        <f ca="1">$O$694*$AA$694</f>
        <v>943.28571129610248</v>
      </c>
    </row>
    <row r="695" spans="1:33" ht="11.25" customHeight="1" x14ac:dyDescent="0.25">
      <c r="A695" s="4" t="s">
        <v>27</v>
      </c>
      <c r="B695" s="4" t="s">
        <v>42</v>
      </c>
      <c r="C695" s="4" t="s">
        <v>23</v>
      </c>
      <c r="D695" s="4" t="s">
        <v>43</v>
      </c>
      <c r="E695" s="4" t="s">
        <v>54</v>
      </c>
      <c r="F695" s="4" t="s">
        <v>52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-0.97199999999999998</v>
      </c>
      <c r="M695" s="6">
        <v>-0.97199999999999998</v>
      </c>
      <c r="N695" s="6">
        <v>-0.97199999999999998</v>
      </c>
      <c r="O695" s="6">
        <v>-0.97199999999999998</v>
      </c>
      <c r="P695" s="6">
        <v>0</v>
      </c>
      <c r="Q695" s="4" t="s">
        <v>26</v>
      </c>
      <c r="R695" s="4">
        <v>0</v>
      </c>
      <c r="S695" s="6">
        <v>0</v>
      </c>
      <c r="T695" s="6">
        <v>30</v>
      </c>
      <c r="U695" s="6">
        <v>70</v>
      </c>
      <c r="V695" s="6">
        <f>IF(ISERROR(VLOOKUP($S$695,'TAR FIN'!$A$1:$O$86,15,0)),0,VLOOKUP($S$695,'TAR FIN'!$A$1:$O$86,15,0))</f>
        <v>0</v>
      </c>
      <c r="W695" s="6">
        <f>IF(ISERROR(VLOOKUP($T$695,'TAR FIN'!$A$1:$O$86,15,0)),0,VLOOKUP($T$695,'TAR FIN'!$A$1:$O$86,15,0))</f>
        <v>285.56</v>
      </c>
      <c r="X695" s="6">
        <f>IF(ISERROR(VLOOKUP($U$695,'TAR FIN'!$A$1:$O$86,15,0)),0,VLOOKUP($U$695,'TAR FIN'!$A$1:$O$86,15,0))</f>
        <v>227.23</v>
      </c>
      <c r="Y695" s="6"/>
      <c r="Z695" s="6">
        <f ca="1">('TUSD BE'!$AM$34+'TUSD BF_350'!$AM$34+'TUSD CVA'!$AM$34)*(1-CUSTOS!$M$38)</f>
        <v>310.34682484351242</v>
      </c>
      <c r="AA695" s="6">
        <f ca="1">('TE BE'!$AB$24+'TE BF_350'!$AB$24+'TE CVA'!$AB$24)*(1-CUSTOS!$M$38)</f>
        <v>216.7476358676706</v>
      </c>
      <c r="AB695" s="6">
        <f>$K$695*$V$695</f>
        <v>0</v>
      </c>
      <c r="AC695" s="6">
        <f>$M$695*$W$695</f>
        <v>-277.56432000000001</v>
      </c>
      <c r="AD695" s="6">
        <f>$O$695*$X$695</f>
        <v>-220.86756</v>
      </c>
      <c r="AE695" s="6">
        <f>$K$695*$Y$695</f>
        <v>0</v>
      </c>
      <c r="AF695" s="6">
        <f ca="1">$M$695*$Z$695</f>
        <v>-301.65711374789407</v>
      </c>
      <c r="AG695" s="6">
        <f ca="1">$O$695*$AA$695</f>
        <v>-210.67870206337582</v>
      </c>
    </row>
    <row r="696" spans="1:33" ht="11.25" customHeight="1" x14ac:dyDescent="0.25">
      <c r="A696" s="4" t="s">
        <v>55</v>
      </c>
      <c r="B696" s="4" t="s">
        <v>42</v>
      </c>
      <c r="C696" s="4" t="s">
        <v>23</v>
      </c>
      <c r="D696" s="4" t="s">
        <v>43</v>
      </c>
      <c r="E696" s="4" t="s">
        <v>54</v>
      </c>
      <c r="F696" s="4" t="s">
        <v>52</v>
      </c>
      <c r="G696" s="4" t="s">
        <v>25</v>
      </c>
      <c r="H696" s="4" t="s">
        <v>25</v>
      </c>
      <c r="I696" s="5">
        <v>44621</v>
      </c>
      <c r="J696" s="6">
        <v>0</v>
      </c>
      <c r="K696" s="6">
        <v>0</v>
      </c>
      <c r="L696" s="6">
        <v>10.961</v>
      </c>
      <c r="M696" s="6">
        <v>10.961</v>
      </c>
      <c r="N696" s="6">
        <v>10.961</v>
      </c>
      <c r="O696" s="6">
        <v>10.961</v>
      </c>
      <c r="P696" s="6">
        <v>0</v>
      </c>
      <c r="Q696" s="4" t="s">
        <v>26</v>
      </c>
      <c r="R696" s="4">
        <v>0</v>
      </c>
      <c r="S696" s="6">
        <v>0</v>
      </c>
      <c r="T696" s="6">
        <v>30</v>
      </c>
      <c r="U696" s="6">
        <v>70</v>
      </c>
      <c r="V696" s="6">
        <f>IF(ISERROR(VLOOKUP($S$696,'TAR FIN'!$A$1:$O$86,15,0)),0,VLOOKUP($S$696,'TAR FIN'!$A$1:$O$86,15,0))</f>
        <v>0</v>
      </c>
      <c r="W696" s="6">
        <f>IF(ISERROR(VLOOKUP($T$696,'TAR FIN'!$A$1:$O$86,15,0)),0,VLOOKUP($T$696,'TAR FIN'!$A$1:$O$86,15,0))</f>
        <v>285.56</v>
      </c>
      <c r="X696" s="6">
        <f>IF(ISERROR(VLOOKUP($U$696,'TAR FIN'!$A$1:$O$86,15,0)),0,VLOOKUP($U$696,'TAR FIN'!$A$1:$O$86,15,0))</f>
        <v>227.23</v>
      </c>
      <c r="Y696" s="6"/>
      <c r="Z696" s="6">
        <f ca="1">('TUSD BE'!$AM$34+'TUSD BF_350'!$AM$34+'TUSD CVA'!$AM$34)*(1-CUSTOS!$M$38)</f>
        <v>310.34682484351242</v>
      </c>
      <c r="AA696" s="6">
        <f ca="1">('TE BE'!$AB$24+'TE BF_350'!$AB$24+'TE CVA'!$AB$24)*(1-CUSTOS!$M$38)</f>
        <v>216.7476358676706</v>
      </c>
      <c r="AB696" s="6">
        <f>$K$696*$V$696</f>
        <v>0</v>
      </c>
      <c r="AC696" s="6">
        <f>$M$696*$W$696</f>
        <v>3130.0231600000002</v>
      </c>
      <c r="AD696" s="6">
        <f>$O$696*$X$696</f>
        <v>2490.6680299999998</v>
      </c>
      <c r="AE696" s="6">
        <f>$K$696*$Y$696</f>
        <v>0</v>
      </c>
      <c r="AF696" s="6">
        <f ca="1">$M$696*$Z$696</f>
        <v>3401.71154710974</v>
      </c>
      <c r="AG696" s="6">
        <f ca="1">$O$696*$AA$696</f>
        <v>2375.7708367455375</v>
      </c>
    </row>
    <row r="697" spans="1:33" ht="11.25" customHeight="1" x14ac:dyDescent="0.25">
      <c r="A697" s="4" t="s">
        <v>21</v>
      </c>
      <c r="B697" s="4" t="s">
        <v>42</v>
      </c>
      <c r="C697" s="4" t="s">
        <v>23</v>
      </c>
      <c r="D697" s="4" t="s">
        <v>43</v>
      </c>
      <c r="E697" s="4" t="s">
        <v>54</v>
      </c>
      <c r="F697" s="4" t="s">
        <v>52</v>
      </c>
      <c r="G697" s="4" t="s">
        <v>25</v>
      </c>
      <c r="H697" s="4" t="s">
        <v>25</v>
      </c>
      <c r="I697" s="5">
        <v>44652</v>
      </c>
      <c r="J697" s="6">
        <v>0</v>
      </c>
      <c r="K697" s="6">
        <v>0</v>
      </c>
      <c r="L697" s="6">
        <v>5.8879999999999999</v>
      </c>
      <c r="M697" s="6">
        <v>5.8879999999999999</v>
      </c>
      <c r="N697" s="6">
        <v>5.8879999999999999</v>
      </c>
      <c r="O697" s="6">
        <v>5.8879999999999999</v>
      </c>
      <c r="P697" s="6">
        <v>0</v>
      </c>
      <c r="Q697" s="4" t="s">
        <v>26</v>
      </c>
      <c r="R697" s="4">
        <v>0</v>
      </c>
      <c r="S697" s="6">
        <v>0</v>
      </c>
      <c r="T697" s="6">
        <v>30</v>
      </c>
      <c r="U697" s="6">
        <v>70</v>
      </c>
      <c r="V697" s="6">
        <f>IF(ISERROR(VLOOKUP($S$697,'TAR FIN'!$A$1:$O$86,15,0)),0,VLOOKUP($S$697,'TAR FIN'!$A$1:$O$86,15,0))</f>
        <v>0</v>
      </c>
      <c r="W697" s="6">
        <f>IF(ISERROR(VLOOKUP($T$697,'TAR FIN'!$A$1:$O$86,15,0)),0,VLOOKUP($T$697,'TAR FIN'!$A$1:$O$86,15,0))</f>
        <v>285.56</v>
      </c>
      <c r="X697" s="6">
        <f>IF(ISERROR(VLOOKUP($U$697,'TAR FIN'!$A$1:$O$86,15,0)),0,VLOOKUP($U$697,'TAR FIN'!$A$1:$O$86,15,0))</f>
        <v>227.23</v>
      </c>
      <c r="Y697" s="6"/>
      <c r="Z697" s="6">
        <f ca="1">('TUSD BE'!$AM$34+'TUSD BF_350'!$AM$34+'TUSD CVA'!$AM$34)*(1-CUSTOS!$M$38)</f>
        <v>310.34682484351242</v>
      </c>
      <c r="AA697" s="6">
        <f ca="1">('TE BE'!$AB$24+'TE BF_350'!$AB$24+'TE CVA'!$AB$24)*(1-CUSTOS!$M$38)</f>
        <v>216.7476358676706</v>
      </c>
      <c r="AB697" s="6">
        <f>$K$697*$V$697</f>
        <v>0</v>
      </c>
      <c r="AC697" s="6">
        <f>$M$697*$W$697</f>
        <v>1681.3772799999999</v>
      </c>
      <c r="AD697" s="6">
        <f>$O$697*$X$697</f>
        <v>1337.9302399999999</v>
      </c>
      <c r="AE697" s="6">
        <f>$K$697*$Y$697</f>
        <v>0</v>
      </c>
      <c r="AF697" s="6">
        <f ca="1">$M$697*$Z$697</f>
        <v>1827.3221046786011</v>
      </c>
      <c r="AG697" s="6">
        <f ca="1">$O$697*$AA$697</f>
        <v>1276.2100799888444</v>
      </c>
    </row>
    <row r="698" spans="1:33" ht="11.25" customHeight="1" x14ac:dyDescent="0.25">
      <c r="A698" s="4" t="s">
        <v>55</v>
      </c>
      <c r="B698" s="4" t="s">
        <v>42</v>
      </c>
      <c r="C698" s="4" t="s">
        <v>23</v>
      </c>
      <c r="D698" s="4" t="s">
        <v>43</v>
      </c>
      <c r="E698" s="4" t="s">
        <v>54</v>
      </c>
      <c r="F698" s="4" t="s">
        <v>52</v>
      </c>
      <c r="G698" s="4" t="s">
        <v>25</v>
      </c>
      <c r="H698" s="4" t="s">
        <v>25</v>
      </c>
      <c r="I698" s="5">
        <v>44652</v>
      </c>
      <c r="J698" s="6">
        <v>0</v>
      </c>
      <c r="K698" s="6">
        <v>0</v>
      </c>
      <c r="L698" s="6">
        <v>10.076000000000001</v>
      </c>
      <c r="M698" s="6">
        <v>10.076000000000001</v>
      </c>
      <c r="N698" s="6">
        <v>10.076000000000001</v>
      </c>
      <c r="O698" s="6">
        <v>10.076000000000001</v>
      </c>
      <c r="P698" s="6">
        <v>0</v>
      </c>
      <c r="Q698" s="4" t="s">
        <v>26</v>
      </c>
      <c r="R698" s="4">
        <v>0</v>
      </c>
      <c r="S698" s="6">
        <v>0</v>
      </c>
      <c r="T698" s="6">
        <v>30</v>
      </c>
      <c r="U698" s="6">
        <v>70</v>
      </c>
      <c r="V698" s="6">
        <f>IF(ISERROR(VLOOKUP($S$698,'TAR FIN'!$A$1:$O$86,15,0)),0,VLOOKUP($S$698,'TAR FIN'!$A$1:$O$86,15,0))</f>
        <v>0</v>
      </c>
      <c r="W698" s="6">
        <f>IF(ISERROR(VLOOKUP($T$698,'TAR FIN'!$A$1:$O$86,15,0)),0,VLOOKUP($T$698,'TAR FIN'!$A$1:$O$86,15,0))</f>
        <v>285.56</v>
      </c>
      <c r="X698" s="6">
        <f>IF(ISERROR(VLOOKUP($U$698,'TAR FIN'!$A$1:$O$86,15,0)),0,VLOOKUP($U$698,'TAR FIN'!$A$1:$O$86,15,0))</f>
        <v>227.23</v>
      </c>
      <c r="Y698" s="6"/>
      <c r="Z698" s="6">
        <f ca="1">('TUSD BE'!$AM$34+'TUSD BF_350'!$AM$34+'TUSD CVA'!$AM$34)*(1-CUSTOS!$M$38)</f>
        <v>310.34682484351242</v>
      </c>
      <c r="AA698" s="6">
        <f ca="1">('TE BE'!$AB$24+'TE BF_350'!$AB$24+'TE CVA'!$AB$24)*(1-CUSTOS!$M$38)</f>
        <v>216.7476358676706</v>
      </c>
      <c r="AB698" s="6">
        <f>$K$698*$V$698</f>
        <v>0</v>
      </c>
      <c r="AC698" s="6">
        <f>$M$698*$W$698</f>
        <v>2877.3025600000001</v>
      </c>
      <c r="AD698" s="6">
        <f>$O$698*$X$698</f>
        <v>2289.5694800000001</v>
      </c>
      <c r="AE698" s="6">
        <f>$K$698*$Y$698</f>
        <v>0</v>
      </c>
      <c r="AF698" s="6">
        <f ca="1">$M$698*$Z$698</f>
        <v>3127.0546071232311</v>
      </c>
      <c r="AG698" s="6">
        <f ca="1">$O$698*$AA$698</f>
        <v>2183.9491790026491</v>
      </c>
    </row>
    <row r="699" spans="1:33" ht="11.25" customHeight="1" x14ac:dyDescent="0.25">
      <c r="A699" s="4" t="s">
        <v>21</v>
      </c>
      <c r="B699" s="4" t="s">
        <v>42</v>
      </c>
      <c r="C699" s="4" t="s">
        <v>23</v>
      </c>
      <c r="D699" s="4" t="s">
        <v>43</v>
      </c>
      <c r="E699" s="4" t="s">
        <v>54</v>
      </c>
      <c r="F699" s="4" t="s">
        <v>52</v>
      </c>
      <c r="G699" s="4" t="s">
        <v>25</v>
      </c>
      <c r="H699" s="4" t="s">
        <v>25</v>
      </c>
      <c r="I699" s="5">
        <v>44682</v>
      </c>
      <c r="J699" s="6">
        <v>0</v>
      </c>
      <c r="K699" s="6">
        <v>0</v>
      </c>
      <c r="L699" s="6">
        <v>6.9560000000000004</v>
      </c>
      <c r="M699" s="6">
        <v>6.9560000000000004</v>
      </c>
      <c r="N699" s="6">
        <v>6.9560000000000004</v>
      </c>
      <c r="O699" s="6">
        <v>6.9560000000000004</v>
      </c>
      <c r="P699" s="6">
        <v>0</v>
      </c>
      <c r="Q699" s="4" t="s">
        <v>26</v>
      </c>
      <c r="R699" s="4">
        <v>0</v>
      </c>
      <c r="S699" s="6">
        <v>0</v>
      </c>
      <c r="T699" s="6">
        <v>30</v>
      </c>
      <c r="U699" s="6">
        <v>70</v>
      </c>
      <c r="V699" s="6">
        <f>IF(ISERROR(VLOOKUP($S$699,'TAR FIN'!$A$1:$O$86,15,0)),0,VLOOKUP($S$699,'TAR FIN'!$A$1:$O$86,15,0))</f>
        <v>0</v>
      </c>
      <c r="W699" s="6">
        <f>IF(ISERROR(VLOOKUP($T$699,'TAR FIN'!$A$1:$O$86,15,0)),0,VLOOKUP($T$699,'TAR FIN'!$A$1:$O$86,15,0))</f>
        <v>285.56</v>
      </c>
      <c r="X699" s="6">
        <f>IF(ISERROR(VLOOKUP($U$699,'TAR FIN'!$A$1:$O$86,15,0)),0,VLOOKUP($U$699,'TAR FIN'!$A$1:$O$86,15,0))</f>
        <v>227.23</v>
      </c>
      <c r="Y699" s="6"/>
      <c r="Z699" s="6">
        <f ca="1">('TUSD BE'!$AM$34+'TUSD BF_350'!$AM$34+'TUSD CVA'!$AM$34)*(1-CUSTOS!$M$38)</f>
        <v>310.34682484351242</v>
      </c>
      <c r="AA699" s="6">
        <f ca="1">('TE BE'!$AB$24+'TE BF_350'!$AB$24+'TE CVA'!$AB$24)*(1-CUSTOS!$M$38)</f>
        <v>216.7476358676706</v>
      </c>
      <c r="AB699" s="6">
        <f>$K$699*$V$699</f>
        <v>0</v>
      </c>
      <c r="AC699" s="6">
        <f>$M$699*$W$699</f>
        <v>1986.35536</v>
      </c>
      <c r="AD699" s="6">
        <f>$O$699*$X$699</f>
        <v>1580.6118799999999</v>
      </c>
      <c r="AE699" s="6">
        <f>$K$699*$Y$699</f>
        <v>0</v>
      </c>
      <c r="AF699" s="6">
        <f ca="1">$M$699*$Z$699</f>
        <v>2158.7725136114727</v>
      </c>
      <c r="AG699" s="6">
        <f ca="1">$O$699*$AA$699</f>
        <v>1507.6965550955167</v>
      </c>
    </row>
    <row r="700" spans="1:33" ht="11.25" customHeight="1" x14ac:dyDescent="0.25">
      <c r="A700" s="4" t="s">
        <v>55</v>
      </c>
      <c r="B700" s="4" t="s">
        <v>42</v>
      </c>
      <c r="C700" s="4" t="s">
        <v>23</v>
      </c>
      <c r="D700" s="4" t="s">
        <v>43</v>
      </c>
      <c r="E700" s="4" t="s">
        <v>54</v>
      </c>
      <c r="F700" s="4" t="s">
        <v>52</v>
      </c>
      <c r="G700" s="4" t="s">
        <v>25</v>
      </c>
      <c r="H700" s="4" t="s">
        <v>25</v>
      </c>
      <c r="I700" s="5">
        <v>44682</v>
      </c>
      <c r="J700" s="6">
        <v>0</v>
      </c>
      <c r="K700" s="6">
        <v>0</v>
      </c>
      <c r="L700" s="6">
        <v>9.52</v>
      </c>
      <c r="M700" s="6">
        <v>9.52</v>
      </c>
      <c r="N700" s="6">
        <v>9.52</v>
      </c>
      <c r="O700" s="6">
        <v>9.52</v>
      </c>
      <c r="P700" s="6">
        <v>0</v>
      </c>
      <c r="Q700" s="4" t="s">
        <v>26</v>
      </c>
      <c r="R700" s="4">
        <v>0</v>
      </c>
      <c r="S700" s="6">
        <v>0</v>
      </c>
      <c r="T700" s="6">
        <v>30</v>
      </c>
      <c r="U700" s="6">
        <v>70</v>
      </c>
      <c r="V700" s="6">
        <f>IF(ISERROR(VLOOKUP($S$700,'TAR FIN'!$A$1:$O$86,15,0)),0,VLOOKUP($S$700,'TAR FIN'!$A$1:$O$86,15,0))</f>
        <v>0</v>
      </c>
      <c r="W700" s="6">
        <f>IF(ISERROR(VLOOKUP($T$700,'TAR FIN'!$A$1:$O$86,15,0)),0,VLOOKUP($T$700,'TAR FIN'!$A$1:$O$86,15,0))</f>
        <v>285.56</v>
      </c>
      <c r="X700" s="6">
        <f>IF(ISERROR(VLOOKUP($U$700,'TAR FIN'!$A$1:$O$86,15,0)),0,VLOOKUP($U$700,'TAR FIN'!$A$1:$O$86,15,0))</f>
        <v>227.23</v>
      </c>
      <c r="Y700" s="6"/>
      <c r="Z700" s="6">
        <f ca="1">('TUSD BE'!$AM$34+'TUSD BF_350'!$AM$34+'TUSD CVA'!$AM$34)*(1-CUSTOS!$M$38)</f>
        <v>310.34682484351242</v>
      </c>
      <c r="AA700" s="6">
        <f ca="1">('TE BE'!$AB$24+'TE BF_350'!$AB$24+'TE CVA'!$AB$24)*(1-CUSTOS!$M$38)</f>
        <v>216.7476358676706</v>
      </c>
      <c r="AB700" s="6">
        <f>$K$700*$V$700</f>
        <v>0</v>
      </c>
      <c r="AC700" s="6">
        <f>$M$700*$W$700</f>
        <v>2718.5311999999999</v>
      </c>
      <c r="AD700" s="6">
        <f>$O$700*$X$700</f>
        <v>2163.2295999999997</v>
      </c>
      <c r="AE700" s="6">
        <f>$K$700*$Y$700</f>
        <v>0</v>
      </c>
      <c r="AF700" s="6">
        <f ca="1">$M$700*$Z$700</f>
        <v>2954.501772510238</v>
      </c>
      <c r="AG700" s="6">
        <f ca="1">$O$700*$AA$700</f>
        <v>2063.4374934602238</v>
      </c>
    </row>
    <row r="701" spans="1:33" ht="11.25" customHeight="1" x14ac:dyDescent="0.25">
      <c r="A701" s="4" t="s">
        <v>56</v>
      </c>
      <c r="B701" s="4" t="s">
        <v>42</v>
      </c>
      <c r="C701" s="4" t="s">
        <v>23</v>
      </c>
      <c r="D701" s="4" t="s">
        <v>43</v>
      </c>
      <c r="E701" s="4" t="s">
        <v>54</v>
      </c>
      <c r="F701" s="4" t="s">
        <v>52</v>
      </c>
      <c r="G701" s="4" t="s">
        <v>25</v>
      </c>
      <c r="H701" s="4" t="s">
        <v>25</v>
      </c>
      <c r="I701" s="5">
        <v>44713</v>
      </c>
      <c r="J701" s="6">
        <v>0</v>
      </c>
      <c r="K701" s="6">
        <v>0</v>
      </c>
      <c r="L701" s="6">
        <v>6.9560000000000004</v>
      </c>
      <c r="M701" s="6">
        <v>6.9560000000000004</v>
      </c>
      <c r="N701" s="6">
        <v>6.9560000000000004</v>
      </c>
      <c r="O701" s="6">
        <v>6.9560000000000004</v>
      </c>
      <c r="P701" s="6">
        <v>0</v>
      </c>
      <c r="Q701" s="4" t="s">
        <v>26</v>
      </c>
      <c r="R701" s="4">
        <v>0</v>
      </c>
      <c r="S701" s="6">
        <v>0</v>
      </c>
      <c r="T701" s="6">
        <v>30</v>
      </c>
      <c r="U701" s="6">
        <v>70</v>
      </c>
      <c r="V701" s="6">
        <f>IF(ISERROR(VLOOKUP($S$701,'TAR FIN'!$A$1:$O$86,15,0)),0,VLOOKUP($S$701,'TAR FIN'!$A$1:$O$86,15,0))</f>
        <v>0</v>
      </c>
      <c r="W701" s="6">
        <f>IF(ISERROR(VLOOKUP($T$701,'TAR FIN'!$A$1:$O$86,15,0)),0,VLOOKUP($T$701,'TAR FIN'!$A$1:$O$86,15,0))</f>
        <v>285.56</v>
      </c>
      <c r="X701" s="6">
        <f>IF(ISERROR(VLOOKUP($U$701,'TAR FIN'!$A$1:$O$86,15,0)),0,VLOOKUP($U$701,'TAR FIN'!$A$1:$O$86,15,0))</f>
        <v>227.23</v>
      </c>
      <c r="Y701" s="6"/>
      <c r="Z701" s="6">
        <f ca="1">('TUSD BE'!$AM$34+'TUSD BF_350'!$AM$34+'TUSD CVA'!$AM$34)*(1-CUSTOS!$M$38)</f>
        <v>310.34682484351242</v>
      </c>
      <c r="AA701" s="6">
        <f ca="1">('TE BE'!$AB$24+'TE BF_350'!$AB$24+'TE CVA'!$AB$24)*(1-CUSTOS!$M$38)</f>
        <v>216.7476358676706</v>
      </c>
      <c r="AB701" s="6">
        <f>$K$701*$V$701</f>
        <v>0</v>
      </c>
      <c r="AC701" s="6">
        <f>$M$701*$W$701</f>
        <v>1986.35536</v>
      </c>
      <c r="AD701" s="6">
        <f>$O$701*$X$701</f>
        <v>1580.6118799999999</v>
      </c>
      <c r="AE701" s="6">
        <f>$K$701*$Y$701</f>
        <v>0</v>
      </c>
      <c r="AF701" s="6">
        <f ca="1">$M$701*$Z$701</f>
        <v>2158.7725136114727</v>
      </c>
      <c r="AG701" s="6">
        <f ca="1">$O$701*$AA$701</f>
        <v>1507.6965550955167</v>
      </c>
    </row>
    <row r="702" spans="1:33" ht="11.25" customHeight="1" x14ac:dyDescent="0.25">
      <c r="A702" s="4" t="s">
        <v>56</v>
      </c>
      <c r="B702" s="4" t="s">
        <v>42</v>
      </c>
      <c r="C702" s="4" t="s">
        <v>23</v>
      </c>
      <c r="D702" s="4" t="s">
        <v>43</v>
      </c>
      <c r="E702" s="4" t="s">
        <v>54</v>
      </c>
      <c r="F702" s="4" t="s">
        <v>52</v>
      </c>
      <c r="G702" s="4" t="s">
        <v>25</v>
      </c>
      <c r="H702" s="4" t="s">
        <v>25</v>
      </c>
      <c r="I702" s="5">
        <v>44713</v>
      </c>
      <c r="J702" s="6">
        <v>0</v>
      </c>
      <c r="K702" s="6">
        <v>0</v>
      </c>
      <c r="L702" s="6">
        <v>9.52</v>
      </c>
      <c r="M702" s="6">
        <v>9.52</v>
      </c>
      <c r="N702" s="6">
        <v>9.52</v>
      </c>
      <c r="O702" s="6">
        <v>9.52</v>
      </c>
      <c r="P702" s="6">
        <v>0</v>
      </c>
      <c r="Q702" s="4" t="s">
        <v>26</v>
      </c>
      <c r="R702" s="4">
        <v>0</v>
      </c>
      <c r="S702" s="6">
        <v>0</v>
      </c>
      <c r="T702" s="6">
        <v>30</v>
      </c>
      <c r="U702" s="6">
        <v>70</v>
      </c>
      <c r="V702" s="6">
        <f>IF(ISERROR(VLOOKUP($S$702,'TAR FIN'!$A$1:$O$86,15,0)),0,VLOOKUP($S$702,'TAR FIN'!$A$1:$O$86,15,0))</f>
        <v>0</v>
      </c>
      <c r="W702" s="6">
        <f>IF(ISERROR(VLOOKUP($T$702,'TAR FIN'!$A$1:$O$86,15,0)),0,VLOOKUP($T$702,'TAR FIN'!$A$1:$O$86,15,0))</f>
        <v>285.56</v>
      </c>
      <c r="X702" s="6">
        <f>IF(ISERROR(VLOOKUP($U$702,'TAR FIN'!$A$1:$O$86,15,0)),0,VLOOKUP($U$702,'TAR FIN'!$A$1:$O$86,15,0))</f>
        <v>227.23</v>
      </c>
      <c r="Y702" s="6"/>
      <c r="Z702" s="6">
        <f ca="1">('TUSD BE'!$AM$34+'TUSD BF_350'!$AM$34+'TUSD CVA'!$AM$34)*(1-CUSTOS!$M$38)</f>
        <v>310.34682484351242</v>
      </c>
      <c r="AA702" s="6">
        <f ca="1">('TE BE'!$AB$24+'TE BF_350'!$AB$24+'TE CVA'!$AB$24)*(1-CUSTOS!$M$38)</f>
        <v>216.7476358676706</v>
      </c>
      <c r="AB702" s="6">
        <f>$K$702*$V$702</f>
        <v>0</v>
      </c>
      <c r="AC702" s="6">
        <f>$M$702*$W$702</f>
        <v>2718.5311999999999</v>
      </c>
      <c r="AD702" s="6">
        <f>$O$702*$X$702</f>
        <v>2163.2295999999997</v>
      </c>
      <c r="AE702" s="6">
        <f>$K$702*$Y$702</f>
        <v>0</v>
      </c>
      <c r="AF702" s="6">
        <f ca="1">$M$702*$Z$702</f>
        <v>2954.501772510238</v>
      </c>
      <c r="AG702" s="6">
        <f ca="1">$O$702*$AA$702</f>
        <v>2063.4374934602238</v>
      </c>
    </row>
    <row r="703" spans="1:33" ht="11.25" customHeight="1" x14ac:dyDescent="0.25">
      <c r="A703" s="4" t="s">
        <v>21</v>
      </c>
      <c r="B703" s="4" t="s">
        <v>42</v>
      </c>
      <c r="C703" s="4" t="s">
        <v>23</v>
      </c>
      <c r="D703" s="4" t="s">
        <v>43</v>
      </c>
      <c r="E703" s="4" t="s">
        <v>54</v>
      </c>
      <c r="F703" s="4" t="s">
        <v>53</v>
      </c>
      <c r="G703" s="4" t="s">
        <v>25</v>
      </c>
      <c r="H703" s="4" t="s">
        <v>25</v>
      </c>
      <c r="I703" s="5">
        <v>44378</v>
      </c>
      <c r="J703" s="6">
        <v>0</v>
      </c>
      <c r="K703" s="6">
        <v>0</v>
      </c>
      <c r="L703" s="6">
        <v>1.758</v>
      </c>
      <c r="M703" s="6">
        <v>0.70320000000000005</v>
      </c>
      <c r="N703" s="6">
        <v>1.758</v>
      </c>
      <c r="O703" s="6">
        <v>0.70320000000000005</v>
      </c>
      <c r="P703" s="6">
        <v>0</v>
      </c>
      <c r="Q703" s="4" t="s">
        <v>26</v>
      </c>
      <c r="R703" s="4">
        <v>0</v>
      </c>
      <c r="S703" s="6">
        <v>0</v>
      </c>
      <c r="T703" s="6">
        <v>30</v>
      </c>
      <c r="U703" s="6">
        <v>70</v>
      </c>
      <c r="V703" s="6">
        <f>IF(ISERROR(VLOOKUP($S$703,'TAR FIN'!$A$1:$O$86,15,0)),0,VLOOKUP($S$703,'TAR FIN'!$A$1:$O$86,15,0))</f>
        <v>0</v>
      </c>
      <c r="W703" s="6">
        <f>IF(ISERROR(VLOOKUP($T$703,'TAR FIN'!$A$1:$O$86,15,0)),0,VLOOKUP($T$703,'TAR FIN'!$A$1:$O$86,15,0))</f>
        <v>285.56</v>
      </c>
      <c r="X703" s="6">
        <f>IF(ISERROR(VLOOKUP($U$703,'TAR FIN'!$A$1:$O$86,15,0)),0,VLOOKUP($U$703,'TAR FIN'!$A$1:$O$86,15,0))</f>
        <v>227.23</v>
      </c>
      <c r="Y703" s="6"/>
      <c r="Z703" s="6">
        <f ca="1">('TUSD BE'!$AM$34+'TUSD BF_350'!$AM$34+'TUSD CVA'!$AM$34)*(1-CUSTOS!$M$38)</f>
        <v>310.34682484351242</v>
      </c>
      <c r="AA703" s="6">
        <f ca="1">('TE BE'!$AB$24+'TE BF_350'!$AB$24+'TE CVA'!$AB$24)*(1-CUSTOS!$M$38)</f>
        <v>216.7476358676706</v>
      </c>
      <c r="AB703" s="6">
        <f>$K$703*$V$703</f>
        <v>0</v>
      </c>
      <c r="AC703" s="6">
        <f>$M$703*$W$703</f>
        <v>200.80579200000003</v>
      </c>
      <c r="AD703" s="6">
        <f>$O$703*$X$703</f>
        <v>159.78813600000001</v>
      </c>
      <c r="AE703" s="6">
        <f>$K$703*$Y$703</f>
        <v>0</v>
      </c>
      <c r="AF703" s="6">
        <f ca="1">$M$703*$Z$703</f>
        <v>218.23588722995794</v>
      </c>
      <c r="AG703" s="6">
        <f ca="1">$O$703*$AA$703</f>
        <v>152.41693754214597</v>
      </c>
    </row>
    <row r="704" spans="1:33" ht="11.25" customHeight="1" x14ac:dyDescent="0.25">
      <c r="A704" s="4" t="s">
        <v>21</v>
      </c>
      <c r="B704" s="4" t="s">
        <v>42</v>
      </c>
      <c r="C704" s="4" t="s">
        <v>23</v>
      </c>
      <c r="D704" s="4" t="s">
        <v>43</v>
      </c>
      <c r="E704" s="4" t="s">
        <v>54</v>
      </c>
      <c r="F704" s="4" t="s">
        <v>53</v>
      </c>
      <c r="G704" s="4" t="s">
        <v>25</v>
      </c>
      <c r="H704" s="4" t="s">
        <v>25</v>
      </c>
      <c r="I704" s="5">
        <v>44409</v>
      </c>
      <c r="J704" s="6">
        <v>0</v>
      </c>
      <c r="K704" s="6">
        <v>0</v>
      </c>
      <c r="L704" s="6">
        <v>0.69899999999999995</v>
      </c>
      <c r="M704" s="6">
        <v>0.27960000000000002</v>
      </c>
      <c r="N704" s="6">
        <v>0.69899999999999995</v>
      </c>
      <c r="O704" s="6">
        <v>0.27960000000000002</v>
      </c>
      <c r="P704" s="6">
        <v>0</v>
      </c>
      <c r="Q704" s="4" t="s">
        <v>26</v>
      </c>
      <c r="R704" s="4">
        <v>0</v>
      </c>
      <c r="S704" s="6">
        <v>0</v>
      </c>
      <c r="T704" s="6">
        <v>30</v>
      </c>
      <c r="U704" s="6">
        <v>70</v>
      </c>
      <c r="V704" s="6">
        <f>IF(ISERROR(VLOOKUP($S$704,'TAR FIN'!$A$1:$O$86,15,0)),0,VLOOKUP($S$704,'TAR FIN'!$A$1:$O$86,15,0))</f>
        <v>0</v>
      </c>
      <c r="W704" s="6">
        <f>IF(ISERROR(VLOOKUP($T$704,'TAR FIN'!$A$1:$O$86,15,0)),0,VLOOKUP($T$704,'TAR FIN'!$A$1:$O$86,15,0))</f>
        <v>285.56</v>
      </c>
      <c r="X704" s="6">
        <f>IF(ISERROR(VLOOKUP($U$704,'TAR FIN'!$A$1:$O$86,15,0)),0,VLOOKUP($U$704,'TAR FIN'!$A$1:$O$86,15,0))</f>
        <v>227.23</v>
      </c>
      <c r="Y704" s="6"/>
      <c r="Z704" s="6">
        <f ca="1">('TUSD BE'!$AM$34+'TUSD BF_350'!$AM$34+'TUSD CVA'!$AM$34)*(1-CUSTOS!$M$38)</f>
        <v>310.34682484351242</v>
      </c>
      <c r="AA704" s="6">
        <f ca="1">('TE BE'!$AB$24+'TE BF_350'!$AB$24+'TE CVA'!$AB$24)*(1-CUSTOS!$M$38)</f>
        <v>216.7476358676706</v>
      </c>
      <c r="AB704" s="6">
        <f>$K$704*$V$704</f>
        <v>0</v>
      </c>
      <c r="AC704" s="6">
        <f>$M$704*$W$704</f>
        <v>79.842576000000008</v>
      </c>
      <c r="AD704" s="6">
        <f>$O$704*$X$704</f>
        <v>63.533507999999998</v>
      </c>
      <c r="AE704" s="6">
        <f>$K$704*$Y$704</f>
        <v>0</v>
      </c>
      <c r="AF704" s="6">
        <f ca="1">$M$704*$Z$704</f>
        <v>86.772972226246083</v>
      </c>
      <c r="AG704" s="6">
        <f ca="1">$O$704*$AA$704</f>
        <v>60.602638988600702</v>
      </c>
    </row>
    <row r="705" spans="1:33" ht="11.25" customHeight="1" x14ac:dyDescent="0.25">
      <c r="A705" s="4" t="s">
        <v>27</v>
      </c>
      <c r="B705" s="4" t="s">
        <v>42</v>
      </c>
      <c r="C705" s="4" t="s">
        <v>23</v>
      </c>
      <c r="D705" s="4" t="s">
        <v>43</v>
      </c>
      <c r="E705" s="4" t="s">
        <v>54</v>
      </c>
      <c r="F705" s="4" t="s">
        <v>53</v>
      </c>
      <c r="G705" s="4" t="s">
        <v>25</v>
      </c>
      <c r="H705" s="4" t="s">
        <v>25</v>
      </c>
      <c r="I705" s="5">
        <v>44409</v>
      </c>
      <c r="J705" s="6">
        <v>0</v>
      </c>
      <c r="K705" s="6">
        <v>0</v>
      </c>
      <c r="L705" s="6">
        <v>4.1000000000000002E-2</v>
      </c>
      <c r="M705" s="6">
        <v>1.6400000000000001E-2</v>
      </c>
      <c r="N705" s="6">
        <v>4.1000000000000002E-2</v>
      </c>
      <c r="O705" s="6">
        <v>1.6400000000000001E-2</v>
      </c>
      <c r="P705" s="6">
        <v>0</v>
      </c>
      <c r="Q705" s="4" t="s">
        <v>26</v>
      </c>
      <c r="R705" s="4">
        <v>0</v>
      </c>
      <c r="S705" s="6">
        <v>0</v>
      </c>
      <c r="T705" s="6">
        <v>30</v>
      </c>
      <c r="U705" s="6">
        <v>70</v>
      </c>
      <c r="V705" s="6">
        <f>IF(ISERROR(VLOOKUP($S$705,'TAR FIN'!$A$1:$O$86,15,0)),0,VLOOKUP($S$705,'TAR FIN'!$A$1:$O$86,15,0))</f>
        <v>0</v>
      </c>
      <c r="W705" s="6">
        <f>IF(ISERROR(VLOOKUP($T$705,'TAR FIN'!$A$1:$O$86,15,0)),0,VLOOKUP($T$705,'TAR FIN'!$A$1:$O$86,15,0))</f>
        <v>285.56</v>
      </c>
      <c r="X705" s="6">
        <f>IF(ISERROR(VLOOKUP($U$705,'TAR FIN'!$A$1:$O$86,15,0)),0,VLOOKUP($U$705,'TAR FIN'!$A$1:$O$86,15,0))</f>
        <v>227.23</v>
      </c>
      <c r="Y705" s="6"/>
      <c r="Z705" s="6">
        <f ca="1">('TUSD BE'!$AM$34+'TUSD BF_350'!$AM$34+'TUSD CVA'!$AM$34)*(1-CUSTOS!$M$38)</f>
        <v>310.34682484351242</v>
      </c>
      <c r="AA705" s="6">
        <f ca="1">('TE BE'!$AB$24+'TE BF_350'!$AB$24+'TE CVA'!$AB$24)*(1-CUSTOS!$M$38)</f>
        <v>216.7476358676706</v>
      </c>
      <c r="AB705" s="6">
        <f>$K$705*$V$705</f>
        <v>0</v>
      </c>
      <c r="AC705" s="6">
        <f>$M$705*$W$705</f>
        <v>4.6831840000000007</v>
      </c>
      <c r="AD705" s="6">
        <f>$O$705*$X$705</f>
        <v>3.726572</v>
      </c>
      <c r="AE705" s="6">
        <f>$K$705*$Y$705</f>
        <v>0</v>
      </c>
      <c r="AF705" s="6">
        <f ca="1">$M$705*$Z$705</f>
        <v>5.0896879274336042</v>
      </c>
      <c r="AG705" s="6">
        <f ca="1">$O$705*$AA$705</f>
        <v>3.554661228229798</v>
      </c>
    </row>
    <row r="706" spans="1:33" ht="11.25" customHeight="1" x14ac:dyDescent="0.25">
      <c r="A706" s="4" t="s">
        <v>55</v>
      </c>
      <c r="B706" s="4" t="s">
        <v>42</v>
      </c>
      <c r="C706" s="4" t="s">
        <v>23</v>
      </c>
      <c r="D706" s="4" t="s">
        <v>43</v>
      </c>
      <c r="E706" s="4" t="s">
        <v>54</v>
      </c>
      <c r="F706" s="4" t="s">
        <v>53</v>
      </c>
      <c r="G706" s="4" t="s">
        <v>25</v>
      </c>
      <c r="H706" s="4" t="s">
        <v>25</v>
      </c>
      <c r="I706" s="5">
        <v>44409</v>
      </c>
      <c r="J706" s="6">
        <v>0</v>
      </c>
      <c r="K706" s="6">
        <v>0</v>
      </c>
      <c r="L706" s="6">
        <v>6.25</v>
      </c>
      <c r="M706" s="6">
        <v>6.25</v>
      </c>
      <c r="N706" s="6">
        <v>6.25</v>
      </c>
      <c r="O706" s="6">
        <v>6.25</v>
      </c>
      <c r="P706" s="6">
        <v>0</v>
      </c>
      <c r="Q706" s="4" t="s">
        <v>26</v>
      </c>
      <c r="R706" s="4">
        <v>0</v>
      </c>
      <c r="S706" s="6">
        <v>0</v>
      </c>
      <c r="T706" s="6">
        <v>30</v>
      </c>
      <c r="U706" s="6">
        <v>70</v>
      </c>
      <c r="V706" s="6">
        <f>IF(ISERROR(VLOOKUP($S$706,'TAR FIN'!$A$1:$O$86,15,0)),0,VLOOKUP($S$706,'TAR FIN'!$A$1:$O$86,15,0))</f>
        <v>0</v>
      </c>
      <c r="W706" s="6">
        <f>IF(ISERROR(VLOOKUP($T$706,'TAR FIN'!$A$1:$O$86,15,0)),0,VLOOKUP($T$706,'TAR FIN'!$A$1:$O$86,15,0))</f>
        <v>285.56</v>
      </c>
      <c r="X706" s="6">
        <f>IF(ISERROR(VLOOKUP($U$706,'TAR FIN'!$A$1:$O$86,15,0)),0,VLOOKUP($U$706,'TAR FIN'!$A$1:$O$86,15,0))</f>
        <v>227.23</v>
      </c>
      <c r="Y706" s="6"/>
      <c r="Z706" s="6">
        <f ca="1">('TUSD BE'!$AM$34+'TUSD BF_350'!$AM$34+'TUSD CVA'!$AM$34)*(1-CUSTOS!$M$38)</f>
        <v>310.34682484351242</v>
      </c>
      <c r="AA706" s="6">
        <f ca="1">('TE BE'!$AB$24+'TE BF_350'!$AB$24+'TE CVA'!$AB$24)*(1-CUSTOS!$M$38)</f>
        <v>216.7476358676706</v>
      </c>
      <c r="AB706" s="6">
        <f>$K$706*$V$706</f>
        <v>0</v>
      </c>
      <c r="AC706" s="6">
        <f>$M$706*$W$706</f>
        <v>1784.75</v>
      </c>
      <c r="AD706" s="6">
        <f>$O$706*$X$706</f>
        <v>1420.1875</v>
      </c>
      <c r="AE706" s="6">
        <f>$K$706*$Y$706</f>
        <v>0</v>
      </c>
      <c r="AF706" s="6">
        <f ca="1">$M$706*$Z$706</f>
        <v>1939.6676552719528</v>
      </c>
      <c r="AG706" s="6">
        <f ca="1">$O$706*$AA$706</f>
        <v>1354.6727241729411</v>
      </c>
    </row>
    <row r="707" spans="1:33" ht="11.25" customHeight="1" x14ac:dyDescent="0.25">
      <c r="A707" s="4" t="s">
        <v>21</v>
      </c>
      <c r="B707" s="4" t="s">
        <v>42</v>
      </c>
      <c r="C707" s="4" t="s">
        <v>23</v>
      </c>
      <c r="D707" s="4" t="s">
        <v>43</v>
      </c>
      <c r="E707" s="4" t="s">
        <v>54</v>
      </c>
      <c r="F707" s="4" t="s">
        <v>53</v>
      </c>
      <c r="G707" s="4" t="s">
        <v>25</v>
      </c>
      <c r="H707" s="4" t="s">
        <v>25</v>
      </c>
      <c r="I707" s="5">
        <v>44440</v>
      </c>
      <c r="J707" s="6">
        <v>0</v>
      </c>
      <c r="K707" s="6">
        <v>0</v>
      </c>
      <c r="L707" s="6">
        <v>2.3479999999999999</v>
      </c>
      <c r="M707" s="6">
        <v>0.93920000000000003</v>
      </c>
      <c r="N707" s="6">
        <v>2.3479999999999999</v>
      </c>
      <c r="O707" s="6">
        <v>0.93920000000000003</v>
      </c>
      <c r="P707" s="6">
        <v>0</v>
      </c>
      <c r="Q707" s="4" t="s">
        <v>26</v>
      </c>
      <c r="R707" s="4">
        <v>0</v>
      </c>
      <c r="S707" s="6">
        <v>0</v>
      </c>
      <c r="T707" s="6">
        <v>30</v>
      </c>
      <c r="U707" s="6">
        <v>70</v>
      </c>
      <c r="V707" s="6">
        <f>IF(ISERROR(VLOOKUP($S$707,'TAR FIN'!$A$1:$O$86,15,0)),0,VLOOKUP($S$707,'TAR FIN'!$A$1:$O$86,15,0))</f>
        <v>0</v>
      </c>
      <c r="W707" s="6">
        <f>IF(ISERROR(VLOOKUP($T$707,'TAR FIN'!$A$1:$O$86,15,0)),0,VLOOKUP($T$707,'TAR FIN'!$A$1:$O$86,15,0))</f>
        <v>285.56</v>
      </c>
      <c r="X707" s="6">
        <f>IF(ISERROR(VLOOKUP($U$707,'TAR FIN'!$A$1:$O$86,15,0)),0,VLOOKUP($U$707,'TAR FIN'!$A$1:$O$86,15,0))</f>
        <v>227.23</v>
      </c>
      <c r="Y707" s="6"/>
      <c r="Z707" s="6">
        <f ca="1">('TUSD BE'!$AM$34+'TUSD BF_350'!$AM$34+'TUSD CVA'!$AM$34)*(1-CUSTOS!$M$38)</f>
        <v>310.34682484351242</v>
      </c>
      <c r="AA707" s="6">
        <f ca="1">('TE BE'!$AB$24+'TE BF_350'!$AB$24+'TE CVA'!$AB$24)*(1-CUSTOS!$M$38)</f>
        <v>216.7476358676706</v>
      </c>
      <c r="AB707" s="6">
        <f>$K$707*$V$707</f>
        <v>0</v>
      </c>
      <c r="AC707" s="6">
        <f>$M$707*$W$707</f>
        <v>268.19795199999999</v>
      </c>
      <c r="AD707" s="6">
        <f>$O$707*$X$707</f>
        <v>213.41441599999999</v>
      </c>
      <c r="AE707" s="6">
        <f>$K$707*$Y$707</f>
        <v>0</v>
      </c>
      <c r="AF707" s="6">
        <f ca="1">$M$707*$Z$707</f>
        <v>291.47773789302687</v>
      </c>
      <c r="AG707" s="6">
        <f ca="1">$O$707*$AA$707</f>
        <v>203.56937960691624</v>
      </c>
    </row>
    <row r="708" spans="1:33" ht="11.25" customHeight="1" x14ac:dyDescent="0.25">
      <c r="A708" s="4" t="s">
        <v>27</v>
      </c>
      <c r="B708" s="4" t="s">
        <v>42</v>
      </c>
      <c r="C708" s="4" t="s">
        <v>23</v>
      </c>
      <c r="D708" s="4" t="s">
        <v>43</v>
      </c>
      <c r="E708" s="4" t="s">
        <v>54</v>
      </c>
      <c r="F708" s="4" t="s">
        <v>53</v>
      </c>
      <c r="G708" s="4" t="s">
        <v>25</v>
      </c>
      <c r="H708" s="4" t="s">
        <v>25</v>
      </c>
      <c r="I708" s="5">
        <v>44440</v>
      </c>
      <c r="J708" s="6">
        <v>0</v>
      </c>
      <c r="K708" s="6">
        <v>0</v>
      </c>
      <c r="L708" s="6">
        <v>4.7E-2</v>
      </c>
      <c r="M708" s="6">
        <v>1.8800000000000001E-2</v>
      </c>
      <c r="N708" s="6">
        <v>4.7E-2</v>
      </c>
      <c r="O708" s="6">
        <v>1.8800000000000001E-2</v>
      </c>
      <c r="P708" s="6">
        <v>0</v>
      </c>
      <c r="Q708" s="4" t="s">
        <v>26</v>
      </c>
      <c r="R708" s="4">
        <v>0</v>
      </c>
      <c r="S708" s="6">
        <v>0</v>
      </c>
      <c r="T708" s="6">
        <v>30</v>
      </c>
      <c r="U708" s="6">
        <v>70</v>
      </c>
      <c r="V708" s="6">
        <f>IF(ISERROR(VLOOKUP($S$708,'TAR FIN'!$A$1:$O$86,15,0)),0,VLOOKUP($S$708,'TAR FIN'!$A$1:$O$86,15,0))</f>
        <v>0</v>
      </c>
      <c r="W708" s="6">
        <f>IF(ISERROR(VLOOKUP($T$708,'TAR FIN'!$A$1:$O$86,15,0)),0,VLOOKUP($T$708,'TAR FIN'!$A$1:$O$86,15,0))</f>
        <v>285.56</v>
      </c>
      <c r="X708" s="6">
        <f>IF(ISERROR(VLOOKUP($U$708,'TAR FIN'!$A$1:$O$86,15,0)),0,VLOOKUP($U$708,'TAR FIN'!$A$1:$O$86,15,0))</f>
        <v>227.23</v>
      </c>
      <c r="Y708" s="6"/>
      <c r="Z708" s="6">
        <f ca="1">('TUSD BE'!$AM$34+'TUSD BF_350'!$AM$34+'TUSD CVA'!$AM$34)*(1-CUSTOS!$M$38)</f>
        <v>310.34682484351242</v>
      </c>
      <c r="AA708" s="6">
        <f ca="1">('TE BE'!$AB$24+'TE BF_350'!$AB$24+'TE CVA'!$AB$24)*(1-CUSTOS!$M$38)</f>
        <v>216.7476358676706</v>
      </c>
      <c r="AB708" s="6">
        <f>$K$708*$V$708</f>
        <v>0</v>
      </c>
      <c r="AC708" s="6">
        <f>$M$708*$W$708</f>
        <v>5.3685280000000004</v>
      </c>
      <c r="AD708" s="6">
        <f>$O$708*$X$708</f>
        <v>4.2719240000000003</v>
      </c>
      <c r="AE708" s="6">
        <f>$K$708*$Y$708</f>
        <v>0</v>
      </c>
      <c r="AF708" s="6">
        <f ca="1">$M$708*$Z$708</f>
        <v>5.8345203070580336</v>
      </c>
      <c r="AG708" s="6">
        <f ca="1">$O$708*$AA$708</f>
        <v>4.0748555543122071</v>
      </c>
    </row>
    <row r="709" spans="1:33" ht="11.25" customHeight="1" x14ac:dyDescent="0.25">
      <c r="A709" s="4" t="s">
        <v>55</v>
      </c>
      <c r="B709" s="4" t="s">
        <v>42</v>
      </c>
      <c r="C709" s="4" t="s">
        <v>23</v>
      </c>
      <c r="D709" s="4" t="s">
        <v>43</v>
      </c>
      <c r="E709" s="4" t="s">
        <v>54</v>
      </c>
      <c r="F709" s="4" t="s">
        <v>53</v>
      </c>
      <c r="G709" s="4" t="s">
        <v>25</v>
      </c>
      <c r="H709" s="4" t="s">
        <v>25</v>
      </c>
      <c r="I709" s="5">
        <v>44440</v>
      </c>
      <c r="J709" s="6">
        <v>0</v>
      </c>
      <c r="K709" s="6">
        <v>0</v>
      </c>
      <c r="L709" s="6">
        <v>10.151</v>
      </c>
      <c r="M709" s="6">
        <v>10.151</v>
      </c>
      <c r="N709" s="6">
        <v>10.151</v>
      </c>
      <c r="O709" s="6">
        <v>10.151</v>
      </c>
      <c r="P709" s="6">
        <v>0</v>
      </c>
      <c r="Q709" s="4" t="s">
        <v>26</v>
      </c>
      <c r="R709" s="4">
        <v>0</v>
      </c>
      <c r="S709" s="6">
        <v>0</v>
      </c>
      <c r="T709" s="6">
        <v>30</v>
      </c>
      <c r="U709" s="6">
        <v>70</v>
      </c>
      <c r="V709" s="6">
        <f>IF(ISERROR(VLOOKUP($S$709,'TAR FIN'!$A$1:$O$86,15,0)),0,VLOOKUP($S$709,'TAR FIN'!$A$1:$O$86,15,0))</f>
        <v>0</v>
      </c>
      <c r="W709" s="6">
        <f>IF(ISERROR(VLOOKUP($T$709,'TAR FIN'!$A$1:$O$86,15,0)),0,VLOOKUP($T$709,'TAR FIN'!$A$1:$O$86,15,0))</f>
        <v>285.56</v>
      </c>
      <c r="X709" s="6">
        <f>IF(ISERROR(VLOOKUP($U$709,'TAR FIN'!$A$1:$O$86,15,0)),0,VLOOKUP($U$709,'TAR FIN'!$A$1:$O$86,15,0))</f>
        <v>227.23</v>
      </c>
      <c r="Y709" s="6"/>
      <c r="Z709" s="6">
        <f ca="1">('TUSD BE'!$AM$34+'TUSD BF_350'!$AM$34+'TUSD CVA'!$AM$34)*(1-CUSTOS!$M$38)</f>
        <v>310.34682484351242</v>
      </c>
      <c r="AA709" s="6">
        <f ca="1">('TE BE'!$AB$24+'TE BF_350'!$AB$24+'TE CVA'!$AB$24)*(1-CUSTOS!$M$38)</f>
        <v>216.7476358676706</v>
      </c>
      <c r="AB709" s="6">
        <f>$K$709*$V$709</f>
        <v>0</v>
      </c>
      <c r="AC709" s="6">
        <f>$M$709*$W$709</f>
        <v>2898.71956</v>
      </c>
      <c r="AD709" s="6">
        <f>$O$709*$X$709</f>
        <v>2306.6117299999996</v>
      </c>
      <c r="AE709" s="6">
        <f>$K$709*$Y$709</f>
        <v>0</v>
      </c>
      <c r="AF709" s="6">
        <f ca="1">$M$709*$Z$709</f>
        <v>3150.3306189864948</v>
      </c>
      <c r="AG709" s="6">
        <f ca="1">$O$709*$AA$709</f>
        <v>2200.2052516927242</v>
      </c>
    </row>
    <row r="710" spans="1:33" ht="11.25" customHeight="1" x14ac:dyDescent="0.25">
      <c r="A710" s="4" t="s">
        <v>21</v>
      </c>
      <c r="B710" s="4" t="s">
        <v>42</v>
      </c>
      <c r="C710" s="4" t="s">
        <v>23</v>
      </c>
      <c r="D710" s="4" t="s">
        <v>43</v>
      </c>
      <c r="E710" s="4" t="s">
        <v>54</v>
      </c>
      <c r="F710" s="4" t="s">
        <v>53</v>
      </c>
      <c r="G710" s="4" t="s">
        <v>25</v>
      </c>
      <c r="H710" s="4" t="s">
        <v>25</v>
      </c>
      <c r="I710" s="5">
        <v>44470</v>
      </c>
      <c r="J710" s="6">
        <v>0</v>
      </c>
      <c r="K710" s="6">
        <v>0</v>
      </c>
      <c r="L710" s="6">
        <v>2.39</v>
      </c>
      <c r="M710" s="6">
        <v>0.95599999999999996</v>
      </c>
      <c r="N710" s="6">
        <v>2.39</v>
      </c>
      <c r="O710" s="6">
        <v>0.95599999999999996</v>
      </c>
      <c r="P710" s="6">
        <v>0</v>
      </c>
      <c r="Q710" s="4" t="s">
        <v>26</v>
      </c>
      <c r="R710" s="4">
        <v>0</v>
      </c>
      <c r="S710" s="6">
        <v>0</v>
      </c>
      <c r="T710" s="6">
        <v>30</v>
      </c>
      <c r="U710" s="6">
        <v>70</v>
      </c>
      <c r="V710" s="6">
        <f>IF(ISERROR(VLOOKUP($S$710,'TAR FIN'!$A$1:$O$86,15,0)),0,VLOOKUP($S$710,'TAR FIN'!$A$1:$O$86,15,0))</f>
        <v>0</v>
      </c>
      <c r="W710" s="6">
        <f>IF(ISERROR(VLOOKUP($T$710,'TAR FIN'!$A$1:$O$86,15,0)),0,VLOOKUP($T$710,'TAR FIN'!$A$1:$O$86,15,0))</f>
        <v>285.56</v>
      </c>
      <c r="X710" s="6">
        <f>IF(ISERROR(VLOOKUP($U$710,'TAR FIN'!$A$1:$O$86,15,0)),0,VLOOKUP($U$710,'TAR FIN'!$A$1:$O$86,15,0))</f>
        <v>227.23</v>
      </c>
      <c r="Y710" s="6"/>
      <c r="Z710" s="6">
        <f ca="1">('TUSD BE'!$AM$34+'TUSD BF_350'!$AM$34+'TUSD CVA'!$AM$34)*(1-CUSTOS!$M$38)</f>
        <v>310.34682484351242</v>
      </c>
      <c r="AA710" s="6">
        <f ca="1">('TE BE'!$AB$24+'TE BF_350'!$AB$24+'TE CVA'!$AB$24)*(1-CUSTOS!$M$38)</f>
        <v>216.7476358676706</v>
      </c>
      <c r="AB710" s="6">
        <f>$K$710*$V$710</f>
        <v>0</v>
      </c>
      <c r="AC710" s="6">
        <f>$M$710*$W$710</f>
        <v>272.99536000000001</v>
      </c>
      <c r="AD710" s="6">
        <f>$O$710*$X$710</f>
        <v>217.23187999999999</v>
      </c>
      <c r="AE710" s="6">
        <f>$K$710*$Y$710</f>
        <v>0</v>
      </c>
      <c r="AF710" s="6">
        <f ca="1">$M$710*$Z$710</f>
        <v>296.69156455039786</v>
      </c>
      <c r="AG710" s="6">
        <f ca="1">$O$710*$AA$710</f>
        <v>207.21073988949308</v>
      </c>
    </row>
    <row r="711" spans="1:33" ht="11.25" customHeight="1" x14ac:dyDescent="0.25">
      <c r="A711" s="4" t="s">
        <v>55</v>
      </c>
      <c r="B711" s="4" t="s">
        <v>42</v>
      </c>
      <c r="C711" s="4" t="s">
        <v>23</v>
      </c>
      <c r="D711" s="4" t="s">
        <v>43</v>
      </c>
      <c r="E711" s="4" t="s">
        <v>54</v>
      </c>
      <c r="F711" s="4" t="s">
        <v>53</v>
      </c>
      <c r="G711" s="4" t="s">
        <v>25</v>
      </c>
      <c r="H711" s="4" t="s">
        <v>25</v>
      </c>
      <c r="I711" s="5">
        <v>44470</v>
      </c>
      <c r="J711" s="6">
        <v>0</v>
      </c>
      <c r="K711" s="6">
        <v>0</v>
      </c>
      <c r="L711" s="6">
        <v>9.3699999999999992</v>
      </c>
      <c r="M711" s="6">
        <v>9.3699999999999992</v>
      </c>
      <c r="N711" s="6">
        <v>9.3699999999999992</v>
      </c>
      <c r="O711" s="6">
        <v>9.3699999999999992</v>
      </c>
      <c r="P711" s="6">
        <v>0</v>
      </c>
      <c r="Q711" s="4" t="s">
        <v>26</v>
      </c>
      <c r="R711" s="4">
        <v>0</v>
      </c>
      <c r="S711" s="6">
        <v>0</v>
      </c>
      <c r="T711" s="6">
        <v>30</v>
      </c>
      <c r="U711" s="6">
        <v>70</v>
      </c>
      <c r="V711" s="6">
        <f>IF(ISERROR(VLOOKUP($S$711,'TAR FIN'!$A$1:$O$86,15,0)),0,VLOOKUP($S$711,'TAR FIN'!$A$1:$O$86,15,0))</f>
        <v>0</v>
      </c>
      <c r="W711" s="6">
        <f>IF(ISERROR(VLOOKUP($T$711,'TAR FIN'!$A$1:$O$86,15,0)),0,VLOOKUP($T$711,'TAR FIN'!$A$1:$O$86,15,0))</f>
        <v>285.56</v>
      </c>
      <c r="X711" s="6">
        <f>IF(ISERROR(VLOOKUP($U$711,'TAR FIN'!$A$1:$O$86,15,0)),0,VLOOKUP($U$711,'TAR FIN'!$A$1:$O$86,15,0))</f>
        <v>227.23</v>
      </c>
      <c r="Y711" s="6"/>
      <c r="Z711" s="6">
        <f ca="1">('TUSD BE'!$AM$34+'TUSD BF_350'!$AM$34+'TUSD CVA'!$AM$34)*(1-CUSTOS!$M$38)</f>
        <v>310.34682484351242</v>
      </c>
      <c r="AA711" s="6">
        <f ca="1">('TE BE'!$AB$24+'TE BF_350'!$AB$24+'TE CVA'!$AB$24)*(1-CUSTOS!$M$38)</f>
        <v>216.7476358676706</v>
      </c>
      <c r="AB711" s="6">
        <f>$K$711*$V$711</f>
        <v>0</v>
      </c>
      <c r="AC711" s="6">
        <f>$M$711*$W$711</f>
        <v>2675.6971999999996</v>
      </c>
      <c r="AD711" s="6">
        <f>$O$711*$X$711</f>
        <v>2129.1450999999997</v>
      </c>
      <c r="AE711" s="6">
        <f>$K$711*$Y$711</f>
        <v>0</v>
      </c>
      <c r="AF711" s="6">
        <f ca="1">$M$711*$Z$711</f>
        <v>2907.9497487837111</v>
      </c>
      <c r="AG711" s="6">
        <f ca="1">$O$711*$AA$711</f>
        <v>2030.9253480800733</v>
      </c>
    </row>
    <row r="712" spans="1:33" ht="11.25" customHeight="1" x14ac:dyDescent="0.25">
      <c r="A712" s="4" t="s">
        <v>21</v>
      </c>
      <c r="B712" s="4" t="s">
        <v>42</v>
      </c>
      <c r="C712" s="4" t="s">
        <v>23</v>
      </c>
      <c r="D712" s="4" t="s">
        <v>43</v>
      </c>
      <c r="E712" s="4" t="s">
        <v>54</v>
      </c>
      <c r="F712" s="4" t="s">
        <v>53</v>
      </c>
      <c r="G712" s="4" t="s">
        <v>25</v>
      </c>
      <c r="H712" s="4" t="s">
        <v>25</v>
      </c>
      <c r="I712" s="5">
        <v>44501</v>
      </c>
      <c r="J712" s="6">
        <v>0</v>
      </c>
      <c r="K712" s="6">
        <v>0</v>
      </c>
      <c r="L712" s="6">
        <v>1.155</v>
      </c>
      <c r="M712" s="6">
        <v>0.46200000000000002</v>
      </c>
      <c r="N712" s="6">
        <v>1.155</v>
      </c>
      <c r="O712" s="6">
        <v>0.46200000000000002</v>
      </c>
      <c r="P712" s="6">
        <v>0</v>
      </c>
      <c r="Q712" s="4" t="s">
        <v>26</v>
      </c>
      <c r="R712" s="4">
        <v>0</v>
      </c>
      <c r="S712" s="6">
        <v>0</v>
      </c>
      <c r="T712" s="6">
        <v>30</v>
      </c>
      <c r="U712" s="6">
        <v>70</v>
      </c>
      <c r="V712" s="6">
        <f>IF(ISERROR(VLOOKUP($S$712,'TAR FIN'!$A$1:$O$86,15,0)),0,VLOOKUP($S$712,'TAR FIN'!$A$1:$O$86,15,0))</f>
        <v>0</v>
      </c>
      <c r="W712" s="6">
        <f>IF(ISERROR(VLOOKUP($T$712,'TAR FIN'!$A$1:$O$86,15,0)),0,VLOOKUP($T$712,'TAR FIN'!$A$1:$O$86,15,0))</f>
        <v>285.56</v>
      </c>
      <c r="X712" s="6">
        <f>IF(ISERROR(VLOOKUP($U$712,'TAR FIN'!$A$1:$O$86,15,0)),0,VLOOKUP($U$712,'TAR FIN'!$A$1:$O$86,15,0))</f>
        <v>227.23</v>
      </c>
      <c r="Y712" s="6"/>
      <c r="Z712" s="6">
        <f ca="1">('TUSD BE'!$AM$34+'TUSD BF_350'!$AM$34+'TUSD CVA'!$AM$34)*(1-CUSTOS!$M$38)</f>
        <v>310.34682484351242</v>
      </c>
      <c r="AA712" s="6">
        <f ca="1">('TE BE'!$AB$24+'TE BF_350'!$AB$24+'TE CVA'!$AB$24)*(1-CUSTOS!$M$38)</f>
        <v>216.7476358676706</v>
      </c>
      <c r="AB712" s="6">
        <f>$K$712*$V$712</f>
        <v>0</v>
      </c>
      <c r="AC712" s="6">
        <f>$M$712*$W$712</f>
        <v>131.92872</v>
      </c>
      <c r="AD712" s="6">
        <f>$O$712*$X$712</f>
        <v>104.98026</v>
      </c>
      <c r="AE712" s="6">
        <f>$K$712*$Y$712</f>
        <v>0</v>
      </c>
      <c r="AF712" s="6">
        <f ca="1">$M$712*$Z$712</f>
        <v>143.38023307770274</v>
      </c>
      <c r="AG712" s="6">
        <f ca="1">$O$712*$AA$712</f>
        <v>100.13740777086382</v>
      </c>
    </row>
    <row r="713" spans="1:33" ht="11.25" customHeight="1" x14ac:dyDescent="0.25">
      <c r="A713" s="4" t="s">
        <v>55</v>
      </c>
      <c r="B713" s="4" t="s">
        <v>42</v>
      </c>
      <c r="C713" s="4" t="s">
        <v>23</v>
      </c>
      <c r="D713" s="4" t="s">
        <v>43</v>
      </c>
      <c r="E713" s="4" t="s">
        <v>54</v>
      </c>
      <c r="F713" s="4" t="s">
        <v>53</v>
      </c>
      <c r="G713" s="4" t="s">
        <v>25</v>
      </c>
      <c r="H713" s="4" t="s">
        <v>25</v>
      </c>
      <c r="I713" s="5">
        <v>44501</v>
      </c>
      <c r="J713" s="6">
        <v>0</v>
      </c>
      <c r="K713" s="6">
        <v>0</v>
      </c>
      <c r="L713" s="6">
        <v>9.85</v>
      </c>
      <c r="M713" s="6">
        <v>9.85</v>
      </c>
      <c r="N713" s="6">
        <v>9.85</v>
      </c>
      <c r="O713" s="6">
        <v>9.85</v>
      </c>
      <c r="P713" s="6">
        <v>0</v>
      </c>
      <c r="Q713" s="4" t="s">
        <v>26</v>
      </c>
      <c r="R713" s="4">
        <v>0</v>
      </c>
      <c r="S713" s="6">
        <v>0</v>
      </c>
      <c r="T713" s="6">
        <v>30</v>
      </c>
      <c r="U713" s="6">
        <v>70</v>
      </c>
      <c r="V713" s="6">
        <f>IF(ISERROR(VLOOKUP($S$713,'TAR FIN'!$A$1:$O$86,15,0)),0,VLOOKUP($S$713,'TAR FIN'!$A$1:$O$86,15,0))</f>
        <v>0</v>
      </c>
      <c r="W713" s="6">
        <f>IF(ISERROR(VLOOKUP($T$713,'TAR FIN'!$A$1:$O$86,15,0)),0,VLOOKUP($T$713,'TAR FIN'!$A$1:$O$86,15,0))</f>
        <v>285.56</v>
      </c>
      <c r="X713" s="6">
        <f>IF(ISERROR(VLOOKUP($U$713,'TAR FIN'!$A$1:$O$86,15,0)),0,VLOOKUP($U$713,'TAR FIN'!$A$1:$O$86,15,0))</f>
        <v>227.23</v>
      </c>
      <c r="Y713" s="6"/>
      <c r="Z713" s="6">
        <f ca="1">('TUSD BE'!$AM$34+'TUSD BF_350'!$AM$34+'TUSD CVA'!$AM$34)*(1-CUSTOS!$M$38)</f>
        <v>310.34682484351242</v>
      </c>
      <c r="AA713" s="6">
        <f ca="1">('TE BE'!$AB$24+'TE BF_350'!$AB$24+'TE CVA'!$AB$24)*(1-CUSTOS!$M$38)</f>
        <v>216.7476358676706</v>
      </c>
      <c r="AB713" s="6">
        <f>$K$713*$V$713</f>
        <v>0</v>
      </c>
      <c r="AC713" s="6">
        <f>$M$713*$W$713</f>
        <v>2812.7660000000001</v>
      </c>
      <c r="AD713" s="6">
        <f>$O$713*$X$713</f>
        <v>2238.2154999999998</v>
      </c>
      <c r="AE713" s="6">
        <f>$K$713*$Y$713</f>
        <v>0</v>
      </c>
      <c r="AF713" s="6">
        <f ca="1">$M$713*$Z$713</f>
        <v>3056.9162247085974</v>
      </c>
      <c r="AG713" s="6">
        <f ca="1">$O$713*$AA$713</f>
        <v>2134.9642132965555</v>
      </c>
    </row>
    <row r="714" spans="1:33" ht="11.25" customHeight="1" x14ac:dyDescent="0.25">
      <c r="A714" s="4" t="s">
        <v>21</v>
      </c>
      <c r="B714" s="4" t="s">
        <v>42</v>
      </c>
      <c r="C714" s="4" t="s">
        <v>23</v>
      </c>
      <c r="D714" s="4" t="s">
        <v>43</v>
      </c>
      <c r="E714" s="4" t="s">
        <v>54</v>
      </c>
      <c r="F714" s="4" t="s">
        <v>53</v>
      </c>
      <c r="G714" s="4" t="s">
        <v>25</v>
      </c>
      <c r="H714" s="4" t="s">
        <v>25</v>
      </c>
      <c r="I714" s="5">
        <v>44531</v>
      </c>
      <c r="J714" s="6">
        <v>0</v>
      </c>
      <c r="K714" s="6">
        <v>0</v>
      </c>
      <c r="L714" s="6">
        <v>2.379</v>
      </c>
      <c r="M714" s="6">
        <v>0.9516</v>
      </c>
      <c r="N714" s="6">
        <v>2.379</v>
      </c>
      <c r="O714" s="6">
        <v>0.9516</v>
      </c>
      <c r="P714" s="6">
        <v>0</v>
      </c>
      <c r="Q714" s="4" t="s">
        <v>26</v>
      </c>
      <c r="R714" s="4">
        <v>0</v>
      </c>
      <c r="S714" s="6">
        <v>0</v>
      </c>
      <c r="T714" s="6">
        <v>30</v>
      </c>
      <c r="U714" s="6">
        <v>70</v>
      </c>
      <c r="V714" s="6">
        <f>IF(ISERROR(VLOOKUP($S$714,'TAR FIN'!$A$1:$O$86,15,0)),0,VLOOKUP($S$714,'TAR FIN'!$A$1:$O$86,15,0))</f>
        <v>0</v>
      </c>
      <c r="W714" s="6">
        <f>IF(ISERROR(VLOOKUP($T$714,'TAR FIN'!$A$1:$O$86,15,0)),0,VLOOKUP($T$714,'TAR FIN'!$A$1:$O$86,15,0))</f>
        <v>285.56</v>
      </c>
      <c r="X714" s="6">
        <f>IF(ISERROR(VLOOKUP($U$714,'TAR FIN'!$A$1:$O$86,15,0)),0,VLOOKUP($U$714,'TAR FIN'!$A$1:$O$86,15,0))</f>
        <v>227.23</v>
      </c>
      <c r="Y714" s="6"/>
      <c r="Z714" s="6">
        <f ca="1">('TUSD BE'!$AM$34+'TUSD BF_350'!$AM$34+'TUSD CVA'!$AM$34)*(1-CUSTOS!$M$38)</f>
        <v>310.34682484351242</v>
      </c>
      <c r="AA714" s="6">
        <f ca="1">('TE BE'!$AB$24+'TE BF_350'!$AB$24+'TE CVA'!$AB$24)*(1-CUSTOS!$M$38)</f>
        <v>216.7476358676706</v>
      </c>
      <c r="AB714" s="6">
        <f>$K$714*$V$714</f>
        <v>0</v>
      </c>
      <c r="AC714" s="6">
        <f>$M$714*$W$714</f>
        <v>271.73889600000001</v>
      </c>
      <c r="AD714" s="6">
        <f>$O$714*$X$714</f>
        <v>216.232068</v>
      </c>
      <c r="AE714" s="6">
        <f>$K$714*$Y$714</f>
        <v>0</v>
      </c>
      <c r="AF714" s="6">
        <f ca="1">$M$714*$Z$714</f>
        <v>295.32603852108645</v>
      </c>
      <c r="AG714" s="6">
        <f ca="1">$O$714*$AA$714</f>
        <v>206.25705029167534</v>
      </c>
    </row>
    <row r="715" spans="1:33" ht="11.25" customHeight="1" x14ac:dyDescent="0.25">
      <c r="A715" s="4" t="s">
        <v>55</v>
      </c>
      <c r="B715" s="4" t="s">
        <v>42</v>
      </c>
      <c r="C715" s="4" t="s">
        <v>23</v>
      </c>
      <c r="D715" s="4" t="s">
        <v>43</v>
      </c>
      <c r="E715" s="4" t="s">
        <v>54</v>
      </c>
      <c r="F715" s="4" t="s">
        <v>53</v>
      </c>
      <c r="G715" s="4" t="s">
        <v>25</v>
      </c>
      <c r="H715" s="4" t="s">
        <v>25</v>
      </c>
      <c r="I715" s="5">
        <v>44531</v>
      </c>
      <c r="J715" s="6">
        <v>0</v>
      </c>
      <c r="K715" s="6">
        <v>0</v>
      </c>
      <c r="L715" s="6">
        <v>10.172000000000001</v>
      </c>
      <c r="M715" s="6">
        <v>10.172000000000001</v>
      </c>
      <c r="N715" s="6">
        <v>10.172000000000001</v>
      </c>
      <c r="O715" s="6">
        <v>10.172000000000001</v>
      </c>
      <c r="P715" s="6">
        <v>0</v>
      </c>
      <c r="Q715" s="4" t="s">
        <v>26</v>
      </c>
      <c r="R715" s="4">
        <v>0</v>
      </c>
      <c r="S715" s="6">
        <v>0</v>
      </c>
      <c r="T715" s="6">
        <v>30</v>
      </c>
      <c r="U715" s="6">
        <v>70</v>
      </c>
      <c r="V715" s="6">
        <f>IF(ISERROR(VLOOKUP($S$715,'TAR FIN'!$A$1:$O$86,15,0)),0,VLOOKUP($S$715,'TAR FIN'!$A$1:$O$86,15,0))</f>
        <v>0</v>
      </c>
      <c r="W715" s="6">
        <f>IF(ISERROR(VLOOKUP($T$715,'TAR FIN'!$A$1:$O$86,15,0)),0,VLOOKUP($T$715,'TAR FIN'!$A$1:$O$86,15,0))</f>
        <v>285.56</v>
      </c>
      <c r="X715" s="6">
        <f>IF(ISERROR(VLOOKUP($U$715,'TAR FIN'!$A$1:$O$86,15,0)),0,VLOOKUP($U$715,'TAR FIN'!$A$1:$O$86,15,0))</f>
        <v>227.23</v>
      </c>
      <c r="Y715" s="6"/>
      <c r="Z715" s="6">
        <f ca="1">('TUSD BE'!$AM$34+'TUSD BF_350'!$AM$34+'TUSD CVA'!$AM$34)*(1-CUSTOS!$M$38)</f>
        <v>310.34682484351242</v>
      </c>
      <c r="AA715" s="6">
        <f ca="1">('TE BE'!$AB$24+'TE BF_350'!$AB$24+'TE CVA'!$AB$24)*(1-CUSTOS!$M$38)</f>
        <v>216.7476358676706</v>
      </c>
      <c r="AB715" s="6">
        <f>$K$715*$V$715</f>
        <v>0</v>
      </c>
      <c r="AC715" s="6">
        <f>$M$715*$W$715</f>
        <v>2904.71632</v>
      </c>
      <c r="AD715" s="6">
        <f>$O$715*$X$715</f>
        <v>2311.3835600000002</v>
      </c>
      <c r="AE715" s="6">
        <f>$K$715*$Y$715</f>
        <v>0</v>
      </c>
      <c r="AF715" s="6">
        <f ca="1">$M$715*$Z$715</f>
        <v>3156.8479023082086</v>
      </c>
      <c r="AG715" s="6">
        <f ca="1">$O$715*$AA$715</f>
        <v>2204.7569520459456</v>
      </c>
    </row>
    <row r="716" spans="1:33" ht="11.25" customHeight="1" x14ac:dyDescent="0.25">
      <c r="A716" s="4" t="s">
        <v>21</v>
      </c>
      <c r="B716" s="4" t="s">
        <v>42</v>
      </c>
      <c r="C716" s="4" t="s">
        <v>23</v>
      </c>
      <c r="D716" s="4" t="s">
        <v>43</v>
      </c>
      <c r="E716" s="4" t="s">
        <v>54</v>
      </c>
      <c r="F716" s="4" t="s">
        <v>53</v>
      </c>
      <c r="G716" s="4" t="s">
        <v>25</v>
      </c>
      <c r="H716" s="4" t="s">
        <v>25</v>
      </c>
      <c r="I716" s="5">
        <v>44562</v>
      </c>
      <c r="J716" s="6">
        <v>0</v>
      </c>
      <c r="K716" s="6">
        <v>0</v>
      </c>
      <c r="L716" s="6">
        <v>6.9930000000000003</v>
      </c>
      <c r="M716" s="6">
        <v>2.7972000000000001</v>
      </c>
      <c r="N716" s="6">
        <v>6.9930000000000003</v>
      </c>
      <c r="O716" s="6">
        <v>2.7972000000000001</v>
      </c>
      <c r="P716" s="6">
        <v>0</v>
      </c>
      <c r="Q716" s="4" t="s">
        <v>26</v>
      </c>
      <c r="R716" s="4">
        <v>0</v>
      </c>
      <c r="S716" s="6">
        <v>0</v>
      </c>
      <c r="T716" s="6">
        <v>30</v>
      </c>
      <c r="U716" s="6">
        <v>70</v>
      </c>
      <c r="V716" s="6">
        <f>IF(ISERROR(VLOOKUP($S$716,'TAR FIN'!$A$1:$O$86,15,0)),0,VLOOKUP($S$716,'TAR FIN'!$A$1:$O$86,15,0))</f>
        <v>0</v>
      </c>
      <c r="W716" s="6">
        <f>IF(ISERROR(VLOOKUP($T$716,'TAR FIN'!$A$1:$O$86,15,0)),0,VLOOKUP($T$716,'TAR FIN'!$A$1:$O$86,15,0))</f>
        <v>285.56</v>
      </c>
      <c r="X716" s="6">
        <f>IF(ISERROR(VLOOKUP($U$716,'TAR FIN'!$A$1:$O$86,15,0)),0,VLOOKUP($U$716,'TAR FIN'!$A$1:$O$86,15,0))</f>
        <v>227.23</v>
      </c>
      <c r="Y716" s="6"/>
      <c r="Z716" s="6">
        <f ca="1">('TUSD BE'!$AM$34+'TUSD BF_350'!$AM$34+'TUSD CVA'!$AM$34)*(1-CUSTOS!$M$38)</f>
        <v>310.34682484351242</v>
      </c>
      <c r="AA716" s="6">
        <f ca="1">('TE BE'!$AB$24+'TE BF_350'!$AB$24+'TE CVA'!$AB$24)*(1-CUSTOS!$M$38)</f>
        <v>216.7476358676706</v>
      </c>
      <c r="AB716" s="6">
        <f>$K$716*$V$716</f>
        <v>0</v>
      </c>
      <c r="AC716" s="6">
        <f>$M$716*$W$716</f>
        <v>798.76843200000008</v>
      </c>
      <c r="AD716" s="6">
        <f>$O$716*$X$716</f>
        <v>635.60775599999999</v>
      </c>
      <c r="AE716" s="6">
        <f>$K$716*$Y$716</f>
        <v>0</v>
      </c>
      <c r="AF716" s="6">
        <f ca="1">$M$716*$Z$716</f>
        <v>868.10213845227304</v>
      </c>
      <c r="AG716" s="6">
        <f ca="1">$O$716*$AA$716</f>
        <v>606.28648704904822</v>
      </c>
    </row>
    <row r="717" spans="1:33" ht="11.25" customHeight="1" x14ac:dyDescent="0.25">
      <c r="A717" s="4" t="s">
        <v>55</v>
      </c>
      <c r="B717" s="4" t="s">
        <v>42</v>
      </c>
      <c r="C717" s="4" t="s">
        <v>23</v>
      </c>
      <c r="D717" s="4" t="s">
        <v>43</v>
      </c>
      <c r="E717" s="4" t="s">
        <v>54</v>
      </c>
      <c r="F717" s="4" t="s">
        <v>53</v>
      </c>
      <c r="G717" s="4" t="s">
        <v>25</v>
      </c>
      <c r="H717" s="4" t="s">
        <v>25</v>
      </c>
      <c r="I717" s="5">
        <v>44562</v>
      </c>
      <c r="J717" s="6">
        <v>0</v>
      </c>
      <c r="K717" s="6">
        <v>0</v>
      </c>
      <c r="L717" s="6">
        <v>9.98</v>
      </c>
      <c r="M717" s="6">
        <v>9.98</v>
      </c>
      <c r="N717" s="6">
        <v>9.98</v>
      </c>
      <c r="O717" s="6">
        <v>9.98</v>
      </c>
      <c r="P717" s="6">
        <v>0</v>
      </c>
      <c r="Q717" s="4" t="s">
        <v>26</v>
      </c>
      <c r="R717" s="4">
        <v>0</v>
      </c>
      <c r="S717" s="6">
        <v>0</v>
      </c>
      <c r="T717" s="6">
        <v>30</v>
      </c>
      <c r="U717" s="6">
        <v>70</v>
      </c>
      <c r="V717" s="6">
        <f>IF(ISERROR(VLOOKUP($S$717,'TAR FIN'!$A$1:$O$86,15,0)),0,VLOOKUP($S$717,'TAR FIN'!$A$1:$O$86,15,0))</f>
        <v>0</v>
      </c>
      <c r="W717" s="6">
        <f>IF(ISERROR(VLOOKUP($T$717,'TAR FIN'!$A$1:$O$86,15,0)),0,VLOOKUP($T$717,'TAR FIN'!$A$1:$O$86,15,0))</f>
        <v>285.56</v>
      </c>
      <c r="X717" s="6">
        <f>IF(ISERROR(VLOOKUP($U$717,'TAR FIN'!$A$1:$O$86,15,0)),0,VLOOKUP($U$717,'TAR FIN'!$A$1:$O$86,15,0))</f>
        <v>227.23</v>
      </c>
      <c r="Y717" s="6"/>
      <c r="Z717" s="6">
        <f ca="1">('TUSD BE'!$AM$34+'TUSD BF_350'!$AM$34+'TUSD CVA'!$AM$34)*(1-CUSTOS!$M$38)</f>
        <v>310.34682484351242</v>
      </c>
      <c r="AA717" s="6">
        <f ca="1">('TE BE'!$AB$24+'TE BF_350'!$AB$24+'TE CVA'!$AB$24)*(1-CUSTOS!$M$38)</f>
        <v>216.7476358676706</v>
      </c>
      <c r="AB717" s="6">
        <f>$K$717*$V$717</f>
        <v>0</v>
      </c>
      <c r="AC717" s="6">
        <f>$M$717*$W$717</f>
        <v>2849.8888000000002</v>
      </c>
      <c r="AD717" s="6">
        <f>$O$717*$X$717</f>
        <v>2267.7554</v>
      </c>
      <c r="AE717" s="6">
        <f>$K$717*$Y$717</f>
        <v>0</v>
      </c>
      <c r="AF717" s="6">
        <f ca="1">$M$717*$Z$717</f>
        <v>3097.261311938254</v>
      </c>
      <c r="AG717" s="6">
        <f ca="1">$O$717*$AA$717</f>
        <v>2163.1414059593526</v>
      </c>
    </row>
    <row r="718" spans="1:33" ht="11.25" customHeight="1" x14ac:dyDescent="0.25">
      <c r="A718" s="4" t="s">
        <v>21</v>
      </c>
      <c r="B718" s="4" t="s">
        <v>42</v>
      </c>
      <c r="C718" s="4" t="s">
        <v>23</v>
      </c>
      <c r="D718" s="4" t="s">
        <v>43</v>
      </c>
      <c r="E718" s="4" t="s">
        <v>54</v>
      </c>
      <c r="F718" s="4" t="s">
        <v>53</v>
      </c>
      <c r="G718" s="4" t="s">
        <v>25</v>
      </c>
      <c r="H718" s="4" t="s">
        <v>25</v>
      </c>
      <c r="I718" s="5">
        <v>44593</v>
      </c>
      <c r="J718" s="6">
        <v>0</v>
      </c>
      <c r="K718" s="6">
        <v>0</v>
      </c>
      <c r="L718" s="6">
        <v>0.98599999999999999</v>
      </c>
      <c r="M718" s="6">
        <v>0.39439999999999997</v>
      </c>
      <c r="N718" s="6">
        <v>0.98599999999999999</v>
      </c>
      <c r="O718" s="6">
        <v>0.39439999999999997</v>
      </c>
      <c r="P718" s="6">
        <v>0</v>
      </c>
      <c r="Q718" s="4" t="s">
        <v>26</v>
      </c>
      <c r="R718" s="4">
        <v>0</v>
      </c>
      <c r="S718" s="6">
        <v>0</v>
      </c>
      <c r="T718" s="6">
        <v>30</v>
      </c>
      <c r="U718" s="6">
        <v>70</v>
      </c>
      <c r="V718" s="6">
        <f>IF(ISERROR(VLOOKUP($S$718,'TAR FIN'!$A$1:$O$86,15,0)),0,VLOOKUP($S$718,'TAR FIN'!$A$1:$O$86,15,0))</f>
        <v>0</v>
      </c>
      <c r="W718" s="6">
        <f>IF(ISERROR(VLOOKUP($T$718,'TAR FIN'!$A$1:$O$86,15,0)),0,VLOOKUP($T$718,'TAR FIN'!$A$1:$O$86,15,0))</f>
        <v>285.56</v>
      </c>
      <c r="X718" s="6">
        <f>IF(ISERROR(VLOOKUP($U$718,'TAR FIN'!$A$1:$O$86,15,0)),0,VLOOKUP($U$718,'TAR FIN'!$A$1:$O$86,15,0))</f>
        <v>227.23</v>
      </c>
      <c r="Y718" s="6"/>
      <c r="Z718" s="6">
        <f ca="1">('TUSD BE'!$AM$34+'TUSD BF_350'!$AM$34+'TUSD CVA'!$AM$34)*(1-CUSTOS!$M$38)</f>
        <v>310.34682484351242</v>
      </c>
      <c r="AA718" s="6">
        <f ca="1">('TE BE'!$AB$24+'TE BF_350'!$AB$24+'TE CVA'!$AB$24)*(1-CUSTOS!$M$38)</f>
        <v>216.7476358676706</v>
      </c>
      <c r="AB718" s="6">
        <f>$K$718*$V$718</f>
        <v>0</v>
      </c>
      <c r="AC718" s="6">
        <f>$M$718*$W$718</f>
        <v>112.62486399999999</v>
      </c>
      <c r="AD718" s="6">
        <f>$O$718*$X$718</f>
        <v>89.619511999999986</v>
      </c>
      <c r="AE718" s="6">
        <f>$K$718*$Y$718</f>
        <v>0</v>
      </c>
      <c r="AF718" s="6">
        <f ca="1">$M$718*$Z$718</f>
        <v>122.40078771828129</v>
      </c>
      <c r="AG718" s="6">
        <f ca="1">$O$718*$AA$718</f>
        <v>85.485267586209275</v>
      </c>
    </row>
    <row r="719" spans="1:33" ht="11.25" customHeight="1" x14ac:dyDescent="0.25">
      <c r="A719" s="4" t="s">
        <v>55</v>
      </c>
      <c r="B719" s="4" t="s">
        <v>42</v>
      </c>
      <c r="C719" s="4" t="s">
        <v>23</v>
      </c>
      <c r="D719" s="4" t="s">
        <v>43</v>
      </c>
      <c r="E719" s="4" t="s">
        <v>54</v>
      </c>
      <c r="F719" s="4" t="s">
        <v>53</v>
      </c>
      <c r="G719" s="4" t="s">
        <v>25</v>
      </c>
      <c r="H719" s="4" t="s">
        <v>25</v>
      </c>
      <c r="I719" s="5">
        <v>44593</v>
      </c>
      <c r="J719" s="6">
        <v>0</v>
      </c>
      <c r="K719" s="6">
        <v>0</v>
      </c>
      <c r="L719" s="6">
        <v>10.452999999999999</v>
      </c>
      <c r="M719" s="6">
        <v>10.452999999999999</v>
      </c>
      <c r="N719" s="6">
        <v>10.452999999999999</v>
      </c>
      <c r="O719" s="6">
        <v>10.452999999999999</v>
      </c>
      <c r="P719" s="6">
        <v>0</v>
      </c>
      <c r="Q719" s="4" t="s">
        <v>26</v>
      </c>
      <c r="R719" s="4">
        <v>0</v>
      </c>
      <c r="S719" s="6">
        <v>0</v>
      </c>
      <c r="T719" s="6">
        <v>30</v>
      </c>
      <c r="U719" s="6">
        <v>70</v>
      </c>
      <c r="V719" s="6">
        <f>IF(ISERROR(VLOOKUP($S$719,'TAR FIN'!$A$1:$O$86,15,0)),0,VLOOKUP($S$719,'TAR FIN'!$A$1:$O$86,15,0))</f>
        <v>0</v>
      </c>
      <c r="W719" s="6">
        <f>IF(ISERROR(VLOOKUP($T$719,'TAR FIN'!$A$1:$O$86,15,0)),0,VLOOKUP($T$719,'TAR FIN'!$A$1:$O$86,15,0))</f>
        <v>285.56</v>
      </c>
      <c r="X719" s="6">
        <f>IF(ISERROR(VLOOKUP($U$719,'TAR FIN'!$A$1:$O$86,15,0)),0,VLOOKUP($U$719,'TAR FIN'!$A$1:$O$86,15,0))</f>
        <v>227.23</v>
      </c>
      <c r="Y719" s="6"/>
      <c r="Z719" s="6">
        <f ca="1">('TUSD BE'!$AM$34+'TUSD BF_350'!$AM$34+'TUSD CVA'!$AM$34)*(1-CUSTOS!$M$38)</f>
        <v>310.34682484351242</v>
      </c>
      <c r="AA719" s="6">
        <f ca="1">('TE BE'!$AB$24+'TE BF_350'!$AB$24+'TE CVA'!$AB$24)*(1-CUSTOS!$M$38)</f>
        <v>216.7476358676706</v>
      </c>
      <c r="AB719" s="6">
        <f>$K$719*$V$719</f>
        <v>0</v>
      </c>
      <c r="AC719" s="6">
        <f>$M$719*$W$719</f>
        <v>2984.9586799999997</v>
      </c>
      <c r="AD719" s="6">
        <f>$O$719*$X$719</f>
        <v>2375.2351899999999</v>
      </c>
      <c r="AE719" s="6">
        <f>$K$719*$Y$719</f>
        <v>0</v>
      </c>
      <c r="AF719" s="6">
        <f ca="1">$M$719*$Z$719</f>
        <v>3244.0553600892354</v>
      </c>
      <c r="AG719" s="6">
        <f ca="1">$O$719*$AA$719</f>
        <v>2265.6630377247607</v>
      </c>
    </row>
    <row r="720" spans="1:33" ht="11.25" customHeight="1" x14ac:dyDescent="0.25">
      <c r="A720" s="4" t="s">
        <v>21</v>
      </c>
      <c r="B720" s="4" t="s">
        <v>42</v>
      </c>
      <c r="C720" s="4" t="s">
        <v>23</v>
      </c>
      <c r="D720" s="4" t="s">
        <v>43</v>
      </c>
      <c r="E720" s="4" t="s">
        <v>54</v>
      </c>
      <c r="F720" s="4" t="s">
        <v>53</v>
      </c>
      <c r="G720" s="4" t="s">
        <v>25</v>
      </c>
      <c r="H720" s="4" t="s">
        <v>25</v>
      </c>
      <c r="I720" s="5">
        <v>44621</v>
      </c>
      <c r="J720" s="6">
        <v>0</v>
      </c>
      <c r="K720" s="6">
        <v>0</v>
      </c>
      <c r="L720" s="6">
        <v>2.355</v>
      </c>
      <c r="M720" s="6">
        <v>0.94199999999999995</v>
      </c>
      <c r="N720" s="6">
        <v>2.355</v>
      </c>
      <c r="O720" s="6">
        <v>0.94199999999999995</v>
      </c>
      <c r="P720" s="6">
        <v>0</v>
      </c>
      <c r="Q720" s="4" t="s">
        <v>26</v>
      </c>
      <c r="R720" s="4">
        <v>0</v>
      </c>
      <c r="S720" s="6">
        <v>0</v>
      </c>
      <c r="T720" s="6">
        <v>30</v>
      </c>
      <c r="U720" s="6">
        <v>70</v>
      </c>
      <c r="V720" s="6">
        <f>IF(ISERROR(VLOOKUP($S$720,'TAR FIN'!$A$1:$O$86,15,0)),0,VLOOKUP($S$720,'TAR FIN'!$A$1:$O$86,15,0))</f>
        <v>0</v>
      </c>
      <c r="W720" s="6">
        <f>IF(ISERROR(VLOOKUP($T$720,'TAR FIN'!$A$1:$O$86,15,0)),0,VLOOKUP($T$720,'TAR FIN'!$A$1:$O$86,15,0))</f>
        <v>285.56</v>
      </c>
      <c r="X720" s="6">
        <f>IF(ISERROR(VLOOKUP($U$720,'TAR FIN'!$A$1:$O$86,15,0)),0,VLOOKUP($U$720,'TAR FIN'!$A$1:$O$86,15,0))</f>
        <v>227.23</v>
      </c>
      <c r="Y720" s="6"/>
      <c r="Z720" s="6">
        <f ca="1">('TUSD BE'!$AM$34+'TUSD BF_350'!$AM$34+'TUSD CVA'!$AM$34)*(1-CUSTOS!$M$38)</f>
        <v>310.34682484351242</v>
      </c>
      <c r="AA720" s="6">
        <f ca="1">('TE BE'!$AB$24+'TE BF_350'!$AB$24+'TE CVA'!$AB$24)*(1-CUSTOS!$M$38)</f>
        <v>216.7476358676706</v>
      </c>
      <c r="AB720" s="6">
        <f>$K$720*$V$720</f>
        <v>0</v>
      </c>
      <c r="AC720" s="6">
        <f>$M$720*$W$720</f>
        <v>268.99752000000001</v>
      </c>
      <c r="AD720" s="6">
        <f>$O$720*$X$720</f>
        <v>214.05065999999997</v>
      </c>
      <c r="AE720" s="6">
        <f>$K$720*$Y$720</f>
        <v>0</v>
      </c>
      <c r="AF720" s="6">
        <f ca="1">$M$720*$Z$720</f>
        <v>292.34670900258868</v>
      </c>
      <c r="AG720" s="6">
        <f ca="1">$O$720*$AA$720</f>
        <v>204.1762729873457</v>
      </c>
    </row>
    <row r="721" spans="1:33" ht="11.25" customHeight="1" x14ac:dyDescent="0.25">
      <c r="A721" s="4" t="s">
        <v>27</v>
      </c>
      <c r="B721" s="4" t="s">
        <v>42</v>
      </c>
      <c r="C721" s="4" t="s">
        <v>23</v>
      </c>
      <c r="D721" s="4" t="s">
        <v>43</v>
      </c>
      <c r="E721" s="4" t="s">
        <v>54</v>
      </c>
      <c r="F721" s="4" t="s">
        <v>53</v>
      </c>
      <c r="G721" s="4" t="s">
        <v>25</v>
      </c>
      <c r="H721" s="4" t="s">
        <v>25</v>
      </c>
      <c r="I721" s="5">
        <v>44621</v>
      </c>
      <c r="J721" s="6">
        <v>0</v>
      </c>
      <c r="K721" s="6">
        <v>0</v>
      </c>
      <c r="L721" s="6">
        <v>1.0999999999999999E-2</v>
      </c>
      <c r="M721" s="6">
        <v>4.4000000000000003E-3</v>
      </c>
      <c r="N721" s="6">
        <v>1.0999999999999999E-2</v>
      </c>
      <c r="O721" s="6">
        <v>4.4000000000000003E-3</v>
      </c>
      <c r="P721" s="6">
        <v>0</v>
      </c>
      <c r="Q721" s="4" t="s">
        <v>26</v>
      </c>
      <c r="R721" s="4">
        <v>0</v>
      </c>
      <c r="S721" s="6">
        <v>0</v>
      </c>
      <c r="T721" s="6">
        <v>30</v>
      </c>
      <c r="U721" s="6">
        <v>70</v>
      </c>
      <c r="V721" s="6">
        <f>IF(ISERROR(VLOOKUP($S$721,'TAR FIN'!$A$1:$O$86,15,0)),0,VLOOKUP($S$721,'TAR FIN'!$A$1:$O$86,15,0))</f>
        <v>0</v>
      </c>
      <c r="W721" s="6">
        <f>IF(ISERROR(VLOOKUP($T$721,'TAR FIN'!$A$1:$O$86,15,0)),0,VLOOKUP($T$721,'TAR FIN'!$A$1:$O$86,15,0))</f>
        <v>285.56</v>
      </c>
      <c r="X721" s="6">
        <f>IF(ISERROR(VLOOKUP($U$721,'TAR FIN'!$A$1:$O$86,15,0)),0,VLOOKUP($U$721,'TAR FIN'!$A$1:$O$86,15,0))</f>
        <v>227.23</v>
      </c>
      <c r="Y721" s="6"/>
      <c r="Z721" s="6">
        <f ca="1">('TUSD BE'!$AM$34+'TUSD BF_350'!$AM$34+'TUSD CVA'!$AM$34)*(1-CUSTOS!$M$38)</f>
        <v>310.34682484351242</v>
      </c>
      <c r="AA721" s="6">
        <f ca="1">('TE BE'!$AB$24+'TE BF_350'!$AB$24+'TE CVA'!$AB$24)*(1-CUSTOS!$M$38)</f>
        <v>216.7476358676706</v>
      </c>
      <c r="AB721" s="6">
        <f>$K$721*$V$721</f>
        <v>0</v>
      </c>
      <c r="AC721" s="6">
        <f>$M$721*$W$721</f>
        <v>1.256464</v>
      </c>
      <c r="AD721" s="6">
        <f>$O$721*$X$721</f>
        <v>0.99981200000000003</v>
      </c>
      <c r="AE721" s="6">
        <f>$K$721*$Y$721</f>
        <v>0</v>
      </c>
      <c r="AF721" s="6">
        <f ca="1">$M$721*$Z$721</f>
        <v>1.3655260293114548</v>
      </c>
      <c r="AG721" s="6">
        <f ca="1">$O$721*$AA$721</f>
        <v>0.95368959781775064</v>
      </c>
    </row>
    <row r="722" spans="1:33" ht="11.25" customHeight="1" x14ac:dyDescent="0.25">
      <c r="A722" s="4" t="s">
        <v>55</v>
      </c>
      <c r="B722" s="4" t="s">
        <v>42</v>
      </c>
      <c r="C722" s="4" t="s">
        <v>23</v>
      </c>
      <c r="D722" s="4" t="s">
        <v>43</v>
      </c>
      <c r="E722" s="4" t="s">
        <v>54</v>
      </c>
      <c r="F722" s="4" t="s">
        <v>53</v>
      </c>
      <c r="G722" s="4" t="s">
        <v>25</v>
      </c>
      <c r="H722" s="4" t="s">
        <v>25</v>
      </c>
      <c r="I722" s="5">
        <v>44621</v>
      </c>
      <c r="J722" s="6">
        <v>0</v>
      </c>
      <c r="K722" s="6">
        <v>0</v>
      </c>
      <c r="L722" s="6">
        <v>9.3070000000000004</v>
      </c>
      <c r="M722" s="6">
        <v>9.3070000000000004</v>
      </c>
      <c r="N722" s="6">
        <v>9.3070000000000004</v>
      </c>
      <c r="O722" s="6">
        <v>9.3070000000000004</v>
      </c>
      <c r="P722" s="6">
        <v>0</v>
      </c>
      <c r="Q722" s="4" t="s">
        <v>26</v>
      </c>
      <c r="R722" s="4">
        <v>0</v>
      </c>
      <c r="S722" s="6">
        <v>0</v>
      </c>
      <c r="T722" s="6">
        <v>30</v>
      </c>
      <c r="U722" s="6">
        <v>70</v>
      </c>
      <c r="V722" s="6">
        <f>IF(ISERROR(VLOOKUP($S$722,'TAR FIN'!$A$1:$O$86,15,0)),0,VLOOKUP($S$722,'TAR FIN'!$A$1:$O$86,15,0))</f>
        <v>0</v>
      </c>
      <c r="W722" s="6">
        <f>IF(ISERROR(VLOOKUP($T$722,'TAR FIN'!$A$1:$O$86,15,0)),0,VLOOKUP($T$722,'TAR FIN'!$A$1:$O$86,15,0))</f>
        <v>285.56</v>
      </c>
      <c r="X722" s="6">
        <f>IF(ISERROR(VLOOKUP($U$722,'TAR FIN'!$A$1:$O$86,15,0)),0,VLOOKUP($U$722,'TAR FIN'!$A$1:$O$86,15,0))</f>
        <v>227.23</v>
      </c>
      <c r="Y722" s="6"/>
      <c r="Z722" s="6">
        <f ca="1">('TUSD BE'!$AM$34+'TUSD BF_350'!$AM$34+'TUSD CVA'!$AM$34)*(1-CUSTOS!$M$38)</f>
        <v>310.34682484351242</v>
      </c>
      <c r="AA722" s="6">
        <f ca="1">('TE BE'!$AB$24+'TE BF_350'!$AB$24+'TE CVA'!$AB$24)*(1-CUSTOS!$M$38)</f>
        <v>216.7476358676706</v>
      </c>
      <c r="AB722" s="6">
        <f>$K$722*$V$722</f>
        <v>0</v>
      </c>
      <c r="AC722" s="6">
        <f>$M$722*$W$722</f>
        <v>2657.7069200000001</v>
      </c>
      <c r="AD722" s="6">
        <f>$O$722*$X$722</f>
        <v>2114.8296099999998</v>
      </c>
      <c r="AE722" s="6">
        <f>$K$722*$Y$722</f>
        <v>0</v>
      </c>
      <c r="AF722" s="6">
        <f ca="1">$M$722*$Z$722</f>
        <v>2888.3978988185704</v>
      </c>
      <c r="AG722" s="6">
        <f ca="1">$O$722*$AA$722</f>
        <v>2017.2702470204104</v>
      </c>
    </row>
    <row r="723" spans="1:33" ht="11.25" customHeight="1" x14ac:dyDescent="0.25">
      <c r="A723" s="4" t="s">
        <v>21</v>
      </c>
      <c r="B723" s="4" t="s">
        <v>42</v>
      </c>
      <c r="C723" s="4" t="s">
        <v>23</v>
      </c>
      <c r="D723" s="4" t="s">
        <v>43</v>
      </c>
      <c r="E723" s="4" t="s">
        <v>54</v>
      </c>
      <c r="F723" s="4" t="s">
        <v>53</v>
      </c>
      <c r="G723" s="4" t="s">
        <v>25</v>
      </c>
      <c r="H723" s="4" t="s">
        <v>25</v>
      </c>
      <c r="I723" s="5">
        <v>44652</v>
      </c>
      <c r="J723" s="6">
        <v>0</v>
      </c>
      <c r="K723" s="6">
        <v>0</v>
      </c>
      <c r="L723" s="6">
        <v>4.0279999999999996</v>
      </c>
      <c r="M723" s="6">
        <v>1.6112</v>
      </c>
      <c r="N723" s="6">
        <v>4.0279999999999996</v>
      </c>
      <c r="O723" s="6">
        <v>1.6112</v>
      </c>
      <c r="P723" s="6">
        <v>0</v>
      </c>
      <c r="Q723" s="4" t="s">
        <v>26</v>
      </c>
      <c r="R723" s="4">
        <v>0</v>
      </c>
      <c r="S723" s="6">
        <v>0</v>
      </c>
      <c r="T723" s="6">
        <v>30</v>
      </c>
      <c r="U723" s="6">
        <v>70</v>
      </c>
      <c r="V723" s="6">
        <f>IF(ISERROR(VLOOKUP($S$723,'TAR FIN'!$A$1:$O$86,15,0)),0,VLOOKUP($S$723,'TAR FIN'!$A$1:$O$86,15,0))</f>
        <v>0</v>
      </c>
      <c r="W723" s="6">
        <f>IF(ISERROR(VLOOKUP($T$723,'TAR FIN'!$A$1:$O$86,15,0)),0,VLOOKUP($T$723,'TAR FIN'!$A$1:$O$86,15,0))</f>
        <v>285.56</v>
      </c>
      <c r="X723" s="6">
        <f>IF(ISERROR(VLOOKUP($U$723,'TAR FIN'!$A$1:$O$86,15,0)),0,VLOOKUP($U$723,'TAR FIN'!$A$1:$O$86,15,0))</f>
        <v>227.23</v>
      </c>
      <c r="Y723" s="6"/>
      <c r="Z723" s="6">
        <f ca="1">('TUSD BE'!$AM$34+'TUSD BF_350'!$AM$34+'TUSD CVA'!$AM$34)*(1-CUSTOS!$M$38)</f>
        <v>310.34682484351242</v>
      </c>
      <c r="AA723" s="6">
        <f ca="1">('TE BE'!$AB$24+'TE BF_350'!$AB$24+'TE CVA'!$AB$24)*(1-CUSTOS!$M$38)</f>
        <v>216.7476358676706</v>
      </c>
      <c r="AB723" s="6">
        <f>$K$723*$V$723</f>
        <v>0</v>
      </c>
      <c r="AC723" s="6">
        <f>$M$723*$W$723</f>
        <v>460.09427199999999</v>
      </c>
      <c r="AD723" s="6">
        <f>$O$723*$X$723</f>
        <v>366.112976</v>
      </c>
      <c r="AE723" s="6">
        <f>$K$723*$Y$723</f>
        <v>0</v>
      </c>
      <c r="AF723" s="6">
        <f ca="1">$M$723*$Z$723</f>
        <v>500.0308041878672</v>
      </c>
      <c r="AG723" s="6">
        <f ca="1">$O$723*$AA$723</f>
        <v>349.22379090999084</v>
      </c>
    </row>
    <row r="724" spans="1:33" ht="11.25" customHeight="1" x14ac:dyDescent="0.25">
      <c r="A724" s="4" t="s">
        <v>55</v>
      </c>
      <c r="B724" s="4" t="s">
        <v>42</v>
      </c>
      <c r="C724" s="4" t="s">
        <v>23</v>
      </c>
      <c r="D724" s="4" t="s">
        <v>43</v>
      </c>
      <c r="E724" s="4" t="s">
        <v>54</v>
      </c>
      <c r="F724" s="4" t="s">
        <v>53</v>
      </c>
      <c r="G724" s="4" t="s">
        <v>25</v>
      </c>
      <c r="H724" s="4" t="s">
        <v>25</v>
      </c>
      <c r="I724" s="5">
        <v>44652</v>
      </c>
      <c r="J724" s="6">
        <v>0</v>
      </c>
      <c r="K724" s="6">
        <v>0</v>
      </c>
      <c r="L724" s="6">
        <v>9.84</v>
      </c>
      <c r="M724" s="6">
        <v>9.84</v>
      </c>
      <c r="N724" s="6">
        <v>9.84</v>
      </c>
      <c r="O724" s="6">
        <v>9.84</v>
      </c>
      <c r="P724" s="6">
        <v>0</v>
      </c>
      <c r="Q724" s="4" t="s">
        <v>26</v>
      </c>
      <c r="R724" s="4">
        <v>0</v>
      </c>
      <c r="S724" s="6">
        <v>0</v>
      </c>
      <c r="T724" s="6">
        <v>30</v>
      </c>
      <c r="U724" s="6">
        <v>70</v>
      </c>
      <c r="V724" s="6">
        <f>IF(ISERROR(VLOOKUP($S$724,'TAR FIN'!$A$1:$O$86,15,0)),0,VLOOKUP($S$724,'TAR FIN'!$A$1:$O$86,15,0))</f>
        <v>0</v>
      </c>
      <c r="W724" s="6">
        <f>IF(ISERROR(VLOOKUP($T$724,'TAR FIN'!$A$1:$O$86,15,0)),0,VLOOKUP($T$724,'TAR FIN'!$A$1:$O$86,15,0))</f>
        <v>285.56</v>
      </c>
      <c r="X724" s="6">
        <f>IF(ISERROR(VLOOKUP($U$724,'TAR FIN'!$A$1:$O$86,15,0)),0,VLOOKUP($U$724,'TAR FIN'!$A$1:$O$86,15,0))</f>
        <v>227.23</v>
      </c>
      <c r="Y724" s="6"/>
      <c r="Z724" s="6">
        <f ca="1">('TUSD BE'!$AM$34+'TUSD BF_350'!$AM$34+'TUSD CVA'!$AM$34)*(1-CUSTOS!$M$38)</f>
        <v>310.34682484351242</v>
      </c>
      <c r="AA724" s="6">
        <f ca="1">('TE BE'!$AB$24+'TE BF_350'!$AB$24+'TE CVA'!$AB$24)*(1-CUSTOS!$M$38)</f>
        <v>216.7476358676706</v>
      </c>
      <c r="AB724" s="6">
        <f>$K$724*$V$724</f>
        <v>0</v>
      </c>
      <c r="AC724" s="6">
        <f>$M$724*$W$724</f>
        <v>2809.9104000000002</v>
      </c>
      <c r="AD724" s="6">
        <f>$O$724*$X$724</f>
        <v>2235.9431999999997</v>
      </c>
      <c r="AE724" s="6">
        <f>$K$724*$Y$724</f>
        <v>0</v>
      </c>
      <c r="AF724" s="6">
        <f ca="1">$M$724*$Z$724</f>
        <v>3053.8127564601623</v>
      </c>
      <c r="AG724" s="6">
        <f ca="1">$O$724*$AA$724</f>
        <v>2132.7967369378784</v>
      </c>
    </row>
    <row r="725" spans="1:33" ht="11.25" customHeight="1" x14ac:dyDescent="0.25">
      <c r="A725" s="4" t="s">
        <v>21</v>
      </c>
      <c r="B725" s="4" t="s">
        <v>42</v>
      </c>
      <c r="C725" s="4" t="s">
        <v>23</v>
      </c>
      <c r="D725" s="4" t="s">
        <v>43</v>
      </c>
      <c r="E725" s="4" t="s">
        <v>54</v>
      </c>
      <c r="F725" s="4" t="s">
        <v>53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1.613</v>
      </c>
      <c r="M725" s="6">
        <v>0.6452</v>
      </c>
      <c r="N725" s="6">
        <v>1.613</v>
      </c>
      <c r="O725" s="6">
        <v>0.6452</v>
      </c>
      <c r="P725" s="6">
        <v>0</v>
      </c>
      <c r="Q725" s="4" t="s">
        <v>26</v>
      </c>
      <c r="R725" s="4">
        <v>0</v>
      </c>
      <c r="S725" s="6">
        <v>0</v>
      </c>
      <c r="T725" s="6">
        <v>30</v>
      </c>
      <c r="U725" s="6">
        <v>70</v>
      </c>
      <c r="V725" s="6">
        <f>IF(ISERROR(VLOOKUP($S$725,'TAR FIN'!$A$1:$O$86,15,0)),0,VLOOKUP($S$725,'TAR FIN'!$A$1:$O$86,15,0))</f>
        <v>0</v>
      </c>
      <c r="W725" s="6">
        <f>IF(ISERROR(VLOOKUP($T$725,'TAR FIN'!$A$1:$O$86,15,0)),0,VLOOKUP($T$725,'TAR FIN'!$A$1:$O$86,15,0))</f>
        <v>285.56</v>
      </c>
      <c r="X725" s="6">
        <f>IF(ISERROR(VLOOKUP($U$725,'TAR FIN'!$A$1:$O$86,15,0)),0,VLOOKUP($U$725,'TAR FIN'!$A$1:$O$86,15,0))</f>
        <v>227.23</v>
      </c>
      <c r="Y725" s="6"/>
      <c r="Z725" s="6">
        <f ca="1">('TUSD BE'!$AM$34+'TUSD BF_350'!$AM$34+'TUSD CVA'!$AM$34)*(1-CUSTOS!$M$38)</f>
        <v>310.34682484351242</v>
      </c>
      <c r="AA725" s="6">
        <f ca="1">('TE BE'!$AB$24+'TE BF_350'!$AB$24+'TE CVA'!$AB$24)*(1-CUSTOS!$M$38)</f>
        <v>216.7476358676706</v>
      </c>
      <c r="AB725" s="6">
        <f>$K$725*$V$725</f>
        <v>0</v>
      </c>
      <c r="AC725" s="6">
        <f>$M$725*$W$725</f>
        <v>184.243312</v>
      </c>
      <c r="AD725" s="6">
        <f>$O$725*$X$725</f>
        <v>146.60879599999998</v>
      </c>
      <c r="AE725" s="6">
        <f>$K$725*$Y$725</f>
        <v>0</v>
      </c>
      <c r="AF725" s="6">
        <f ca="1">$M$725*$Z$725</f>
        <v>200.23577138903423</v>
      </c>
      <c r="AG725" s="6">
        <f ca="1">$O$725*$AA$725</f>
        <v>139.84557466182108</v>
      </c>
    </row>
    <row r="726" spans="1:33" ht="11.25" customHeight="1" x14ac:dyDescent="0.25">
      <c r="A726" s="4" t="s">
        <v>55</v>
      </c>
      <c r="B726" s="4" t="s">
        <v>42</v>
      </c>
      <c r="C726" s="4" t="s">
        <v>23</v>
      </c>
      <c r="D726" s="4" t="s">
        <v>43</v>
      </c>
      <c r="E726" s="4" t="s">
        <v>54</v>
      </c>
      <c r="F726" s="4" t="s">
        <v>53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7.9359999999999999</v>
      </c>
      <c r="M726" s="6">
        <v>7.9359999999999999</v>
      </c>
      <c r="N726" s="6">
        <v>7.9359999999999999</v>
      </c>
      <c r="O726" s="6">
        <v>7.9359999999999999</v>
      </c>
      <c r="P726" s="6">
        <v>0</v>
      </c>
      <c r="Q726" s="4" t="s">
        <v>26</v>
      </c>
      <c r="R726" s="4">
        <v>0</v>
      </c>
      <c r="S726" s="6">
        <v>0</v>
      </c>
      <c r="T726" s="6">
        <v>30</v>
      </c>
      <c r="U726" s="6">
        <v>70</v>
      </c>
      <c r="V726" s="6">
        <f>IF(ISERROR(VLOOKUP($S$726,'TAR FIN'!$A$1:$O$86,15,0)),0,VLOOKUP($S$726,'TAR FIN'!$A$1:$O$86,15,0))</f>
        <v>0</v>
      </c>
      <c r="W726" s="6">
        <f>IF(ISERROR(VLOOKUP($T$726,'TAR FIN'!$A$1:$O$86,15,0)),0,VLOOKUP($T$726,'TAR FIN'!$A$1:$O$86,15,0))</f>
        <v>285.56</v>
      </c>
      <c r="X726" s="6">
        <f>IF(ISERROR(VLOOKUP($U$726,'TAR FIN'!$A$1:$O$86,15,0)),0,VLOOKUP($U$726,'TAR FIN'!$A$1:$O$86,15,0))</f>
        <v>227.23</v>
      </c>
      <c r="Y726" s="6"/>
      <c r="Z726" s="6">
        <f ca="1">('TUSD BE'!$AM$34+'TUSD BF_350'!$AM$34+'TUSD CVA'!$AM$34)*(1-CUSTOS!$M$38)</f>
        <v>310.34682484351242</v>
      </c>
      <c r="AA726" s="6">
        <f ca="1">('TE BE'!$AB$24+'TE BF_350'!$AB$24+'TE CVA'!$AB$24)*(1-CUSTOS!$M$38)</f>
        <v>216.7476358676706</v>
      </c>
      <c r="AB726" s="6">
        <f>$K$726*$V$726</f>
        <v>0</v>
      </c>
      <c r="AC726" s="6">
        <f>$M$726*$W$726</f>
        <v>2266.2041600000002</v>
      </c>
      <c r="AD726" s="6">
        <f>$O$726*$X$726</f>
        <v>1803.29728</v>
      </c>
      <c r="AE726" s="6">
        <f>$K$726*$Y$726</f>
        <v>0</v>
      </c>
      <c r="AF726" s="6">
        <f ca="1">$M$726*$Z$726</f>
        <v>2462.9124019581145</v>
      </c>
      <c r="AG726" s="6">
        <f ca="1">$O$726*$AA$726</f>
        <v>1720.1092382458339</v>
      </c>
    </row>
    <row r="727" spans="1:33" ht="11.25" customHeight="1" x14ac:dyDescent="0.25">
      <c r="A727" s="4" t="s">
        <v>56</v>
      </c>
      <c r="B727" s="4" t="s">
        <v>42</v>
      </c>
      <c r="C727" s="4" t="s">
        <v>23</v>
      </c>
      <c r="D727" s="4" t="s">
        <v>43</v>
      </c>
      <c r="E727" s="4" t="s">
        <v>54</v>
      </c>
      <c r="F727" s="4" t="s">
        <v>53</v>
      </c>
      <c r="G727" s="4" t="s">
        <v>25</v>
      </c>
      <c r="H727" s="4" t="s">
        <v>25</v>
      </c>
      <c r="I727" s="5">
        <v>44713</v>
      </c>
      <c r="J727" s="6">
        <v>0</v>
      </c>
      <c r="K727" s="6">
        <v>0</v>
      </c>
      <c r="L727" s="6">
        <v>1.613</v>
      </c>
      <c r="M727" s="6">
        <v>0.6452</v>
      </c>
      <c r="N727" s="6">
        <v>1.613</v>
      </c>
      <c r="O727" s="6">
        <v>0.6452</v>
      </c>
      <c r="P727" s="6">
        <v>0</v>
      </c>
      <c r="Q727" s="4" t="s">
        <v>26</v>
      </c>
      <c r="R727" s="4">
        <v>0</v>
      </c>
      <c r="S727" s="6">
        <v>0</v>
      </c>
      <c r="T727" s="6">
        <v>30</v>
      </c>
      <c r="U727" s="6">
        <v>70</v>
      </c>
      <c r="V727" s="6">
        <f>IF(ISERROR(VLOOKUP($S$727,'TAR FIN'!$A$1:$O$86,15,0)),0,VLOOKUP($S$727,'TAR FIN'!$A$1:$O$86,15,0))</f>
        <v>0</v>
      </c>
      <c r="W727" s="6">
        <f>IF(ISERROR(VLOOKUP($T$727,'TAR FIN'!$A$1:$O$86,15,0)),0,VLOOKUP($T$727,'TAR FIN'!$A$1:$O$86,15,0))</f>
        <v>285.56</v>
      </c>
      <c r="X727" s="6">
        <f>IF(ISERROR(VLOOKUP($U$727,'TAR FIN'!$A$1:$O$86,15,0)),0,VLOOKUP($U$727,'TAR FIN'!$A$1:$O$86,15,0))</f>
        <v>227.23</v>
      </c>
      <c r="Y727" s="6"/>
      <c r="Z727" s="6">
        <f ca="1">('TUSD BE'!$AM$34+'TUSD BF_350'!$AM$34+'TUSD CVA'!$AM$34)*(1-CUSTOS!$M$38)</f>
        <v>310.34682484351242</v>
      </c>
      <c r="AA727" s="6">
        <f ca="1">('TE BE'!$AB$24+'TE BF_350'!$AB$24+'TE CVA'!$AB$24)*(1-CUSTOS!$M$38)</f>
        <v>216.7476358676706</v>
      </c>
      <c r="AB727" s="6">
        <f>$K$727*$V$727</f>
        <v>0</v>
      </c>
      <c r="AC727" s="6">
        <f>$M$727*$W$727</f>
        <v>184.243312</v>
      </c>
      <c r="AD727" s="6">
        <f>$O$727*$X$727</f>
        <v>146.60879599999998</v>
      </c>
      <c r="AE727" s="6">
        <f>$K$727*$Y$727</f>
        <v>0</v>
      </c>
      <c r="AF727" s="6">
        <f ca="1">$M$727*$Z$727</f>
        <v>200.23577138903423</v>
      </c>
      <c r="AG727" s="6">
        <f ca="1">$O$727*$AA$727</f>
        <v>139.84557466182108</v>
      </c>
    </row>
    <row r="728" spans="1:33" ht="11.25" customHeight="1" x14ac:dyDescent="0.25">
      <c r="A728" s="4" t="s">
        <v>56</v>
      </c>
      <c r="B728" s="4" t="s">
        <v>42</v>
      </c>
      <c r="C728" s="4" t="s">
        <v>23</v>
      </c>
      <c r="D728" s="4" t="s">
        <v>43</v>
      </c>
      <c r="E728" s="4" t="s">
        <v>54</v>
      </c>
      <c r="F728" s="4" t="s">
        <v>53</v>
      </c>
      <c r="G728" s="4" t="s">
        <v>25</v>
      </c>
      <c r="H728" s="4" t="s">
        <v>25</v>
      </c>
      <c r="I728" s="5">
        <v>44713</v>
      </c>
      <c r="J728" s="6">
        <v>0</v>
      </c>
      <c r="K728" s="6">
        <v>0</v>
      </c>
      <c r="L728" s="6">
        <v>7.9359999999999999</v>
      </c>
      <c r="M728" s="6">
        <v>7.9359999999999999</v>
      </c>
      <c r="N728" s="6">
        <v>7.9359999999999999</v>
      </c>
      <c r="O728" s="6">
        <v>7.9359999999999999</v>
      </c>
      <c r="P728" s="6">
        <v>0</v>
      </c>
      <c r="Q728" s="4" t="s">
        <v>26</v>
      </c>
      <c r="R728" s="4">
        <v>0</v>
      </c>
      <c r="S728" s="6">
        <v>0</v>
      </c>
      <c r="T728" s="6">
        <v>30</v>
      </c>
      <c r="U728" s="6">
        <v>70</v>
      </c>
      <c r="V728" s="6">
        <f>IF(ISERROR(VLOOKUP($S$728,'TAR FIN'!$A$1:$O$86,15,0)),0,VLOOKUP($S$728,'TAR FIN'!$A$1:$O$86,15,0))</f>
        <v>0</v>
      </c>
      <c r="W728" s="6">
        <f>IF(ISERROR(VLOOKUP($T$728,'TAR FIN'!$A$1:$O$86,15,0)),0,VLOOKUP($T$728,'TAR FIN'!$A$1:$O$86,15,0))</f>
        <v>285.56</v>
      </c>
      <c r="X728" s="6">
        <f>IF(ISERROR(VLOOKUP($U$728,'TAR FIN'!$A$1:$O$86,15,0)),0,VLOOKUP($U$728,'TAR FIN'!$A$1:$O$86,15,0))</f>
        <v>227.23</v>
      </c>
      <c r="Y728" s="6"/>
      <c r="Z728" s="6">
        <f ca="1">('TUSD BE'!$AM$34+'TUSD BF_350'!$AM$34+'TUSD CVA'!$AM$34)*(1-CUSTOS!$M$38)</f>
        <v>310.34682484351242</v>
      </c>
      <c r="AA728" s="6">
        <f ca="1">('TE BE'!$AB$24+'TE BF_350'!$AB$24+'TE CVA'!$AB$24)*(1-CUSTOS!$M$38)</f>
        <v>216.7476358676706</v>
      </c>
      <c r="AB728" s="6">
        <f>$K$728*$V$728</f>
        <v>0</v>
      </c>
      <c r="AC728" s="6">
        <f>$M$728*$W$728</f>
        <v>2266.2041600000002</v>
      </c>
      <c r="AD728" s="6">
        <f>$O$728*$X$728</f>
        <v>1803.29728</v>
      </c>
      <c r="AE728" s="6">
        <f>$K$728*$Y$728</f>
        <v>0</v>
      </c>
      <c r="AF728" s="6">
        <f ca="1">$M$728*$Z$728</f>
        <v>2462.9124019581145</v>
      </c>
      <c r="AG728" s="6">
        <f ca="1">$O$728*$AA$728</f>
        <v>1720.1092382458339</v>
      </c>
    </row>
    <row r="729" spans="1:33" ht="11.25" customHeight="1" x14ac:dyDescent="0.25">
      <c r="A729" s="4" t="s">
        <v>21</v>
      </c>
      <c r="B729" s="4" t="s">
        <v>42</v>
      </c>
      <c r="C729" s="4" t="s">
        <v>23</v>
      </c>
      <c r="D729" s="4" t="s">
        <v>43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44378</v>
      </c>
      <c r="J729" s="6">
        <v>0</v>
      </c>
      <c r="K729" s="6">
        <v>0</v>
      </c>
      <c r="L729" s="6">
        <v>1461.049</v>
      </c>
      <c r="M729" s="6">
        <v>1461.049</v>
      </c>
      <c r="N729" s="6">
        <v>1461.049</v>
      </c>
      <c r="O729" s="6">
        <v>1461.049</v>
      </c>
      <c r="P729" s="6">
        <v>3611</v>
      </c>
      <c r="Q729" s="4" t="s">
        <v>26</v>
      </c>
      <c r="R729" s="4">
        <v>0</v>
      </c>
      <c r="S729" s="6">
        <v>0</v>
      </c>
      <c r="T729" s="6">
        <v>30</v>
      </c>
      <c r="U729" s="6">
        <v>70</v>
      </c>
      <c r="V729" s="6">
        <f>IF(ISERROR(VLOOKUP($S$729,'TAR FIN'!$A$1:$O$86,15,0)),0,VLOOKUP($S$729,'TAR FIN'!$A$1:$O$86,15,0))</f>
        <v>0</v>
      </c>
      <c r="W729" s="6">
        <f>IF(ISERROR(VLOOKUP($T$729,'TAR FIN'!$A$1:$O$86,15,0)),0,VLOOKUP($T$729,'TAR FIN'!$A$1:$O$86,15,0))</f>
        <v>285.56</v>
      </c>
      <c r="X729" s="6">
        <f>IF(ISERROR(VLOOKUP($U$729,'TAR FIN'!$A$1:$O$86,15,0)),0,VLOOKUP($U$729,'TAR FIN'!$A$1:$O$86,15,0))</f>
        <v>227.23</v>
      </c>
      <c r="Y729" s="6"/>
      <c r="Z729" s="6">
        <f ca="1">('TUSD BE'!$AM$34+'TUSD BF_350'!$AM$34+'TUSD CVA'!$AM$34)*(1-CUSTOS!$M$38)</f>
        <v>310.34682484351242</v>
      </c>
      <c r="AA729" s="6">
        <f ca="1">('TE BE'!$AB$24+'TE BF_350'!$AB$24+'TE CVA'!$AB$24)*(1-CUSTOS!$M$38)</f>
        <v>216.7476358676706</v>
      </c>
      <c r="AB729" s="6">
        <f>$K$729*$V$729</f>
        <v>0</v>
      </c>
      <c r="AC729" s="6">
        <f>$M$729*$W$729</f>
        <v>417217.15243999998</v>
      </c>
      <c r="AD729" s="6">
        <f>$O$729*$X$729</f>
        <v>331994.16427000001</v>
      </c>
      <c r="AE729" s="6">
        <f>$K$729*$Y$729</f>
        <v>0</v>
      </c>
      <c r="AF729" s="6">
        <f ca="1">$M$729*$Z$729</f>
        <v>453431.918090789</v>
      </c>
      <c r="AG729" s="6">
        <f ca="1">$O$729*$AA$729</f>
        <v>316678.91663682426</v>
      </c>
    </row>
    <row r="730" spans="1:33" ht="11.25" customHeight="1" x14ac:dyDescent="0.25">
      <c r="A730" s="4" t="s">
        <v>27</v>
      </c>
      <c r="B730" s="4" t="s">
        <v>42</v>
      </c>
      <c r="C730" s="4" t="s">
        <v>23</v>
      </c>
      <c r="D730" s="4" t="s">
        <v>43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44378</v>
      </c>
      <c r="J730" s="6">
        <v>0</v>
      </c>
      <c r="K730" s="6">
        <v>0</v>
      </c>
      <c r="L730" s="6">
        <v>-2.8149999999999999</v>
      </c>
      <c r="M730" s="6">
        <v>-2.8149999999999999</v>
      </c>
      <c r="N730" s="6">
        <v>-2.8149999999999999</v>
      </c>
      <c r="O730" s="6">
        <v>-2.8149999999999999</v>
      </c>
      <c r="P730" s="6">
        <v>0</v>
      </c>
      <c r="Q730" s="4" t="s">
        <v>26</v>
      </c>
      <c r="R730" s="4">
        <v>0</v>
      </c>
      <c r="S730" s="6">
        <v>0</v>
      </c>
      <c r="T730" s="6">
        <v>30</v>
      </c>
      <c r="U730" s="6">
        <v>70</v>
      </c>
      <c r="V730" s="6">
        <f>IF(ISERROR(VLOOKUP($S$730,'TAR FIN'!$A$1:$O$86,15,0)),0,VLOOKUP($S$730,'TAR FIN'!$A$1:$O$86,15,0))</f>
        <v>0</v>
      </c>
      <c r="W730" s="6">
        <f>IF(ISERROR(VLOOKUP($T$730,'TAR FIN'!$A$1:$O$86,15,0)),0,VLOOKUP($T$730,'TAR FIN'!$A$1:$O$86,15,0))</f>
        <v>285.56</v>
      </c>
      <c r="X730" s="6">
        <f>IF(ISERROR(VLOOKUP($U$730,'TAR FIN'!$A$1:$O$86,15,0)),0,VLOOKUP($U$730,'TAR FIN'!$A$1:$O$86,15,0))</f>
        <v>227.23</v>
      </c>
      <c r="Y730" s="6"/>
      <c r="Z730" s="6">
        <f ca="1">('TUSD BE'!$AM$34+'TUSD BF_350'!$AM$34+'TUSD CVA'!$AM$34)*(1-CUSTOS!$M$38)</f>
        <v>310.34682484351242</v>
      </c>
      <c r="AA730" s="6">
        <f ca="1">('TE BE'!$AB$24+'TE BF_350'!$AB$24+'TE CVA'!$AB$24)*(1-CUSTOS!$M$38)</f>
        <v>216.7476358676706</v>
      </c>
      <c r="AB730" s="6">
        <f>$K$730*$V$730</f>
        <v>0</v>
      </c>
      <c r="AC730" s="6">
        <f>$M$730*$W$730</f>
        <v>-803.85140000000001</v>
      </c>
      <c r="AD730" s="6">
        <f>$O$730*$X$730</f>
        <v>-639.65244999999993</v>
      </c>
      <c r="AE730" s="6">
        <f>$K$730*$Y$730</f>
        <v>0</v>
      </c>
      <c r="AF730" s="6">
        <f ca="1">$M$730*$Z$730</f>
        <v>-873.62631193448749</v>
      </c>
      <c r="AG730" s="6">
        <f ca="1">$O$730*$AA$730</f>
        <v>-610.14459496749271</v>
      </c>
    </row>
    <row r="731" spans="1:33" ht="11.25" customHeight="1" x14ac:dyDescent="0.25">
      <c r="A731" s="4" t="s">
        <v>21</v>
      </c>
      <c r="B731" s="4" t="s">
        <v>42</v>
      </c>
      <c r="C731" s="4" t="s">
        <v>23</v>
      </c>
      <c r="D731" s="4" t="s">
        <v>43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44409</v>
      </c>
      <c r="J731" s="6">
        <v>0</v>
      </c>
      <c r="K731" s="6">
        <v>0</v>
      </c>
      <c r="L731" s="6">
        <v>1449.085</v>
      </c>
      <c r="M731" s="6">
        <v>1449.085</v>
      </c>
      <c r="N731" s="6">
        <v>1449.085</v>
      </c>
      <c r="O731" s="6">
        <v>1449.085</v>
      </c>
      <c r="P731" s="6">
        <v>3596</v>
      </c>
      <c r="Q731" s="4" t="s">
        <v>26</v>
      </c>
      <c r="R731" s="4">
        <v>0</v>
      </c>
      <c r="S731" s="6">
        <v>0</v>
      </c>
      <c r="T731" s="6">
        <v>30</v>
      </c>
      <c r="U731" s="6">
        <v>70</v>
      </c>
      <c r="V731" s="6">
        <f>IF(ISERROR(VLOOKUP($S$731,'TAR FIN'!$A$1:$O$86,15,0)),0,VLOOKUP($S$731,'TAR FIN'!$A$1:$O$86,15,0))</f>
        <v>0</v>
      </c>
      <c r="W731" s="6">
        <f>IF(ISERROR(VLOOKUP($T$731,'TAR FIN'!$A$1:$O$86,15,0)),0,VLOOKUP($T$731,'TAR FIN'!$A$1:$O$86,15,0))</f>
        <v>285.56</v>
      </c>
      <c r="X731" s="6">
        <f>IF(ISERROR(VLOOKUP($U$731,'TAR FIN'!$A$1:$O$86,15,0)),0,VLOOKUP($U$731,'TAR FIN'!$A$1:$O$86,15,0))</f>
        <v>227.23</v>
      </c>
      <c r="Y731" s="6"/>
      <c r="Z731" s="6">
        <f ca="1">('TUSD BE'!$AM$34+'TUSD BF_350'!$AM$34+'TUSD CVA'!$AM$34)*(1-CUSTOS!$M$38)</f>
        <v>310.34682484351242</v>
      </c>
      <c r="AA731" s="6">
        <f ca="1">('TE BE'!$AB$24+'TE BF_350'!$AB$24+'TE CVA'!$AB$24)*(1-CUSTOS!$M$38)</f>
        <v>216.7476358676706</v>
      </c>
      <c r="AB731" s="6">
        <f>$K$731*$V$731</f>
        <v>0</v>
      </c>
      <c r="AC731" s="6">
        <f>$M$731*$W$731</f>
        <v>413800.71260000003</v>
      </c>
      <c r="AD731" s="6">
        <f>$O$731*$X$731</f>
        <v>329275.58454999997</v>
      </c>
      <c r="AE731" s="6">
        <f>$K$731*$Y$731</f>
        <v>0</v>
      </c>
      <c r="AF731" s="6">
        <f ca="1">$M$731*$Z$731</f>
        <v>449718.92867836123</v>
      </c>
      <c r="AG731" s="6">
        <f ca="1">$O$731*$AA$731</f>
        <v>314085.74792130344</v>
      </c>
    </row>
    <row r="732" spans="1:33" ht="11.25" customHeight="1" x14ac:dyDescent="0.25">
      <c r="A732" s="4" t="s">
        <v>27</v>
      </c>
      <c r="B732" s="4" t="s">
        <v>42</v>
      </c>
      <c r="C732" s="4" t="s">
        <v>23</v>
      </c>
      <c r="D732" s="4" t="s">
        <v>43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44409</v>
      </c>
      <c r="J732" s="6">
        <v>0</v>
      </c>
      <c r="K732" s="6">
        <v>0</v>
      </c>
      <c r="L732" s="6">
        <v>-3.5960000000000001</v>
      </c>
      <c r="M732" s="6">
        <v>-3.5960000000000001</v>
      </c>
      <c r="N732" s="6">
        <v>-3.5960000000000001</v>
      </c>
      <c r="O732" s="6">
        <v>-3.5960000000000001</v>
      </c>
      <c r="P732" s="6">
        <v>0</v>
      </c>
      <c r="Q732" s="4" t="s">
        <v>26</v>
      </c>
      <c r="R732" s="4">
        <v>0</v>
      </c>
      <c r="S732" s="6">
        <v>0</v>
      </c>
      <c r="T732" s="6">
        <v>30</v>
      </c>
      <c r="U732" s="6">
        <v>70</v>
      </c>
      <c r="V732" s="6">
        <f>IF(ISERROR(VLOOKUP($S$732,'TAR FIN'!$A$1:$O$86,15,0)),0,VLOOKUP($S$732,'TAR FIN'!$A$1:$O$86,15,0))</f>
        <v>0</v>
      </c>
      <c r="W732" s="6">
        <f>IF(ISERROR(VLOOKUP($T$732,'TAR FIN'!$A$1:$O$86,15,0)),0,VLOOKUP($T$732,'TAR FIN'!$A$1:$O$86,15,0))</f>
        <v>285.56</v>
      </c>
      <c r="X732" s="6">
        <f>IF(ISERROR(VLOOKUP($U$732,'TAR FIN'!$A$1:$O$86,15,0)),0,VLOOKUP($U$732,'TAR FIN'!$A$1:$O$86,15,0))</f>
        <v>227.23</v>
      </c>
      <c r="Y732" s="6"/>
      <c r="Z732" s="6">
        <f ca="1">('TUSD BE'!$AM$34+'TUSD BF_350'!$AM$34+'TUSD CVA'!$AM$34)*(1-CUSTOS!$M$38)</f>
        <v>310.34682484351242</v>
      </c>
      <c r="AA732" s="6">
        <f ca="1">('TE BE'!$AB$24+'TE BF_350'!$AB$24+'TE CVA'!$AB$24)*(1-CUSTOS!$M$38)</f>
        <v>216.7476358676706</v>
      </c>
      <c r="AB732" s="6">
        <f>$K$732*$V$732</f>
        <v>0</v>
      </c>
      <c r="AC732" s="6">
        <f>$M$732*$W$732</f>
        <v>-1026.8737599999999</v>
      </c>
      <c r="AD732" s="6">
        <f>$O$732*$X$732</f>
        <v>-817.11907999999994</v>
      </c>
      <c r="AE732" s="6">
        <f>$K$732*$Y$732</f>
        <v>0</v>
      </c>
      <c r="AF732" s="6">
        <f ca="1">$M$732*$Z$732</f>
        <v>-1116.0071821372708</v>
      </c>
      <c r="AG732" s="6">
        <f ca="1">$O$732*$AA$732</f>
        <v>-779.42449858014345</v>
      </c>
    </row>
    <row r="733" spans="1:33" ht="11.25" customHeight="1" x14ac:dyDescent="0.25">
      <c r="A733" s="4" t="s">
        <v>55</v>
      </c>
      <c r="B733" s="4" t="s">
        <v>42</v>
      </c>
      <c r="C733" s="4" t="s">
        <v>23</v>
      </c>
      <c r="D733" s="4" t="s">
        <v>43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44409</v>
      </c>
      <c r="J733" s="6">
        <v>0</v>
      </c>
      <c r="K733" s="6">
        <v>0</v>
      </c>
      <c r="L733" s="6">
        <v>50.58</v>
      </c>
      <c r="M733" s="6">
        <v>50.58</v>
      </c>
      <c r="N733" s="6">
        <v>50.58</v>
      </c>
      <c r="O733" s="6">
        <v>50.58</v>
      </c>
      <c r="P733" s="6">
        <v>140</v>
      </c>
      <c r="Q733" s="4" t="s">
        <v>26</v>
      </c>
      <c r="R733" s="4">
        <v>0</v>
      </c>
      <c r="S733" s="6">
        <v>0</v>
      </c>
      <c r="T733" s="6">
        <v>30</v>
      </c>
      <c r="U733" s="6">
        <v>70</v>
      </c>
      <c r="V733" s="6">
        <f>IF(ISERROR(VLOOKUP($S$733,'TAR FIN'!$A$1:$O$86,15,0)),0,VLOOKUP($S$733,'TAR FIN'!$A$1:$O$86,15,0))</f>
        <v>0</v>
      </c>
      <c r="W733" s="6">
        <f>IF(ISERROR(VLOOKUP($T$733,'TAR FIN'!$A$1:$O$86,15,0)),0,VLOOKUP($T$733,'TAR FIN'!$A$1:$O$86,15,0))</f>
        <v>285.56</v>
      </c>
      <c r="X733" s="6">
        <f>IF(ISERROR(VLOOKUP($U$733,'TAR FIN'!$A$1:$O$86,15,0)),0,VLOOKUP($U$733,'TAR FIN'!$A$1:$O$86,15,0))</f>
        <v>227.23</v>
      </c>
      <c r="Y733" s="6"/>
      <c r="Z733" s="6">
        <f ca="1">('TUSD BE'!$AM$34+'TUSD BF_350'!$AM$34+'TUSD CVA'!$AM$34)*(1-CUSTOS!$M$38)</f>
        <v>310.34682484351242</v>
      </c>
      <c r="AA733" s="6">
        <f ca="1">('TE BE'!$AB$24+'TE BF_350'!$AB$24+'TE CVA'!$AB$24)*(1-CUSTOS!$M$38)</f>
        <v>216.7476358676706</v>
      </c>
      <c r="AB733" s="6">
        <f>$K$733*$V$733</f>
        <v>0</v>
      </c>
      <c r="AC733" s="6">
        <f>$M$733*$W$733</f>
        <v>14443.6248</v>
      </c>
      <c r="AD733" s="6">
        <f>$O$733*$X$733</f>
        <v>11493.293399999999</v>
      </c>
      <c r="AE733" s="6">
        <f>$K$733*$Y$733</f>
        <v>0</v>
      </c>
      <c r="AF733" s="6">
        <f ca="1">$M$733*$Z$733</f>
        <v>15697.342400584857</v>
      </c>
      <c r="AG733" s="6">
        <f ca="1">$O$733*$AA$733</f>
        <v>10963.095422186778</v>
      </c>
    </row>
    <row r="734" spans="1:33" ht="11.25" customHeight="1" x14ac:dyDescent="0.25">
      <c r="A734" s="4" t="s">
        <v>55</v>
      </c>
      <c r="B734" s="4" t="s">
        <v>42</v>
      </c>
      <c r="C734" s="4" t="s">
        <v>23</v>
      </c>
      <c r="D734" s="4" t="s">
        <v>43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44409</v>
      </c>
      <c r="J734" s="6">
        <v>0</v>
      </c>
      <c r="K734" s="6">
        <v>0</v>
      </c>
      <c r="L734" s="6">
        <v>2.86</v>
      </c>
      <c r="M734" s="6">
        <v>2.86</v>
      </c>
      <c r="N734" s="6">
        <v>2.86</v>
      </c>
      <c r="O734" s="6">
        <v>2.86</v>
      </c>
      <c r="P734" s="6">
        <v>1</v>
      </c>
      <c r="Q734" s="4" t="s">
        <v>26</v>
      </c>
      <c r="R734" s="4">
        <v>0</v>
      </c>
      <c r="S734" s="6">
        <v>0</v>
      </c>
      <c r="T734" s="6">
        <v>30</v>
      </c>
      <c r="U734" s="6">
        <v>70</v>
      </c>
      <c r="V734" s="6">
        <f>IF(ISERROR(VLOOKUP($S$734,'TAR FIN'!$A$1:$O$86,15,0)),0,VLOOKUP($S$734,'TAR FIN'!$A$1:$O$86,15,0))</f>
        <v>0</v>
      </c>
      <c r="W734" s="6">
        <f>IF(ISERROR(VLOOKUP($T$734,'TAR FIN'!$A$1:$O$86,15,0)),0,VLOOKUP($T$734,'TAR FIN'!$A$1:$O$86,15,0))</f>
        <v>285.56</v>
      </c>
      <c r="X734" s="6">
        <f>IF(ISERROR(VLOOKUP($U$734,'TAR FIN'!$A$1:$O$86,15,0)),0,VLOOKUP($U$734,'TAR FIN'!$A$1:$O$86,15,0))</f>
        <v>227.23</v>
      </c>
      <c r="Y734" s="6"/>
      <c r="Z734" s="6">
        <f ca="1">('TUSD BE'!$AM$34+'TUSD BF_350'!$AM$34+'TUSD CVA'!$AM$34)*(1-CUSTOS!$M$38)</f>
        <v>310.34682484351242</v>
      </c>
      <c r="AA734" s="6">
        <f ca="1">('TE BE'!$AB$24+'TE BF_350'!$AB$24+'TE CVA'!$AB$24)*(1-CUSTOS!$M$38)</f>
        <v>216.7476358676706</v>
      </c>
      <c r="AB734" s="6">
        <f>$K$734*$V$734</f>
        <v>0</v>
      </c>
      <c r="AC734" s="6">
        <f>$M$734*$W$734</f>
        <v>816.70159999999998</v>
      </c>
      <c r="AD734" s="6">
        <f>$O$734*$X$734</f>
        <v>649.87779999999998</v>
      </c>
      <c r="AE734" s="6">
        <f>$K$734*$Y$734</f>
        <v>0</v>
      </c>
      <c r="AF734" s="6">
        <f ca="1">$M$734*$Z$734</f>
        <v>887.59191905244552</v>
      </c>
      <c r="AG734" s="6">
        <f ca="1">$O$734*$AA$734</f>
        <v>619.89823858153784</v>
      </c>
    </row>
    <row r="735" spans="1:33" ht="11.25" customHeight="1" x14ac:dyDescent="0.25">
      <c r="A735" s="4" t="s">
        <v>21</v>
      </c>
      <c r="B735" s="4" t="s">
        <v>42</v>
      </c>
      <c r="C735" s="4" t="s">
        <v>23</v>
      </c>
      <c r="D735" s="4" t="s">
        <v>43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44440</v>
      </c>
      <c r="J735" s="6">
        <v>0</v>
      </c>
      <c r="K735" s="6">
        <v>0</v>
      </c>
      <c r="L735" s="6">
        <v>1487.13</v>
      </c>
      <c r="M735" s="6">
        <v>1487.13</v>
      </c>
      <c r="N735" s="6">
        <v>1487.13</v>
      </c>
      <c r="O735" s="6">
        <v>1487.13</v>
      </c>
      <c r="P735" s="6">
        <v>3587</v>
      </c>
      <c r="Q735" s="4" t="s">
        <v>26</v>
      </c>
      <c r="R735" s="4">
        <v>0</v>
      </c>
      <c r="S735" s="6">
        <v>0</v>
      </c>
      <c r="T735" s="6">
        <v>30</v>
      </c>
      <c r="U735" s="6">
        <v>70</v>
      </c>
      <c r="V735" s="6">
        <f>IF(ISERROR(VLOOKUP($S$735,'TAR FIN'!$A$1:$O$86,15,0)),0,VLOOKUP($S$735,'TAR FIN'!$A$1:$O$86,15,0))</f>
        <v>0</v>
      </c>
      <c r="W735" s="6">
        <f>IF(ISERROR(VLOOKUP($T$735,'TAR FIN'!$A$1:$O$86,15,0)),0,VLOOKUP($T$735,'TAR FIN'!$A$1:$O$86,15,0))</f>
        <v>285.56</v>
      </c>
      <c r="X735" s="6">
        <f>IF(ISERROR(VLOOKUP($U$735,'TAR FIN'!$A$1:$O$86,15,0)),0,VLOOKUP($U$735,'TAR FIN'!$A$1:$O$86,15,0))</f>
        <v>227.23</v>
      </c>
      <c r="Y735" s="6"/>
      <c r="Z735" s="6">
        <f ca="1">('TUSD BE'!$AM$34+'TUSD BF_350'!$AM$34+'TUSD CVA'!$AM$34)*(1-CUSTOS!$M$38)</f>
        <v>310.34682484351242</v>
      </c>
      <c r="AA735" s="6">
        <f ca="1">('TE BE'!$AB$24+'TE BF_350'!$AB$24+'TE CVA'!$AB$24)*(1-CUSTOS!$M$38)</f>
        <v>216.7476358676706</v>
      </c>
      <c r="AB735" s="6">
        <f>$K$735*$V$735</f>
        <v>0</v>
      </c>
      <c r="AC735" s="6">
        <f>$M$735*$W$735</f>
        <v>424664.84280000004</v>
      </c>
      <c r="AD735" s="6">
        <f>$O$735*$X$735</f>
        <v>337920.54989999998</v>
      </c>
      <c r="AE735" s="6">
        <f>$K$735*$Y$735</f>
        <v>0</v>
      </c>
      <c r="AF735" s="6">
        <f ca="1">$M$735*$Z$735</f>
        <v>461526.07362953265</v>
      </c>
      <c r="AG735" s="6">
        <f ca="1">$O$735*$AA$735</f>
        <v>322331.91172788898</v>
      </c>
    </row>
    <row r="736" spans="1:33" ht="11.25" customHeight="1" x14ac:dyDescent="0.25">
      <c r="A736" s="4" t="s">
        <v>27</v>
      </c>
      <c r="B736" s="4" t="s">
        <v>42</v>
      </c>
      <c r="C736" s="4" t="s">
        <v>23</v>
      </c>
      <c r="D736" s="4" t="s">
        <v>43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44440</v>
      </c>
      <c r="J736" s="6">
        <v>0</v>
      </c>
      <c r="K736" s="6">
        <v>0</v>
      </c>
      <c r="L736" s="6">
        <v>-2.6749999999999998</v>
      </c>
      <c r="M736" s="6">
        <v>-2.6749999999999998</v>
      </c>
      <c r="N736" s="6">
        <v>-2.6749999999999998</v>
      </c>
      <c r="O736" s="6">
        <v>-2.6749999999999998</v>
      </c>
      <c r="P736" s="6">
        <v>0</v>
      </c>
      <c r="Q736" s="4" t="s">
        <v>26</v>
      </c>
      <c r="R736" s="4">
        <v>0</v>
      </c>
      <c r="S736" s="6">
        <v>0</v>
      </c>
      <c r="T736" s="6">
        <v>30</v>
      </c>
      <c r="U736" s="6">
        <v>70</v>
      </c>
      <c r="V736" s="6">
        <f>IF(ISERROR(VLOOKUP($S$736,'TAR FIN'!$A$1:$O$86,15,0)),0,VLOOKUP($S$736,'TAR FIN'!$A$1:$O$86,15,0))</f>
        <v>0</v>
      </c>
      <c r="W736" s="6">
        <f>IF(ISERROR(VLOOKUP($T$736,'TAR FIN'!$A$1:$O$86,15,0)),0,VLOOKUP($T$736,'TAR FIN'!$A$1:$O$86,15,0))</f>
        <v>285.56</v>
      </c>
      <c r="X736" s="6">
        <f>IF(ISERROR(VLOOKUP($U$736,'TAR FIN'!$A$1:$O$86,15,0)),0,VLOOKUP($U$736,'TAR FIN'!$A$1:$O$86,15,0))</f>
        <v>227.23</v>
      </c>
      <c r="Y736" s="6"/>
      <c r="Z736" s="6">
        <f ca="1">('TUSD BE'!$AM$34+'TUSD BF_350'!$AM$34+'TUSD CVA'!$AM$34)*(1-CUSTOS!$M$38)</f>
        <v>310.34682484351242</v>
      </c>
      <c r="AA736" s="6">
        <f ca="1">('TE BE'!$AB$24+'TE BF_350'!$AB$24+'TE CVA'!$AB$24)*(1-CUSTOS!$M$38)</f>
        <v>216.7476358676706</v>
      </c>
      <c r="AB736" s="6">
        <f>$K$736*$V$736</f>
        <v>0</v>
      </c>
      <c r="AC736" s="6">
        <f>$M$736*$W$736</f>
        <v>-763.87299999999993</v>
      </c>
      <c r="AD736" s="6">
        <f>$O$736*$X$736</f>
        <v>-607.84024999999997</v>
      </c>
      <c r="AE736" s="6">
        <f>$K$736*$Y$736</f>
        <v>0</v>
      </c>
      <c r="AF736" s="6">
        <f ca="1">$M$736*$Z$736</f>
        <v>-830.17775645639563</v>
      </c>
      <c r="AG736" s="6">
        <f ca="1">$O$736*$AA$736</f>
        <v>-579.79992594601879</v>
      </c>
    </row>
    <row r="737" spans="1:33" ht="11.25" customHeight="1" x14ac:dyDescent="0.25">
      <c r="A737" s="4" t="s">
        <v>55</v>
      </c>
      <c r="B737" s="4" t="s">
        <v>42</v>
      </c>
      <c r="C737" s="4" t="s">
        <v>23</v>
      </c>
      <c r="D737" s="4" t="s">
        <v>43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44440</v>
      </c>
      <c r="J737" s="6">
        <v>0</v>
      </c>
      <c r="K737" s="6">
        <v>0</v>
      </c>
      <c r="L737" s="6">
        <v>42.877000000000002</v>
      </c>
      <c r="M737" s="6">
        <v>42.877000000000002</v>
      </c>
      <c r="N737" s="6">
        <v>42.877000000000002</v>
      </c>
      <c r="O737" s="6">
        <v>42.877000000000002</v>
      </c>
      <c r="P737" s="6">
        <v>142</v>
      </c>
      <c r="Q737" s="4" t="s">
        <v>26</v>
      </c>
      <c r="R737" s="4">
        <v>0</v>
      </c>
      <c r="S737" s="6">
        <v>0</v>
      </c>
      <c r="T737" s="6">
        <v>30</v>
      </c>
      <c r="U737" s="6">
        <v>70</v>
      </c>
      <c r="V737" s="6">
        <f>IF(ISERROR(VLOOKUP($S$737,'TAR FIN'!$A$1:$O$86,15,0)),0,VLOOKUP($S$737,'TAR FIN'!$A$1:$O$86,15,0))</f>
        <v>0</v>
      </c>
      <c r="W737" s="6">
        <f>IF(ISERROR(VLOOKUP($T$737,'TAR FIN'!$A$1:$O$86,15,0)),0,VLOOKUP($T$737,'TAR FIN'!$A$1:$O$86,15,0))</f>
        <v>285.56</v>
      </c>
      <c r="X737" s="6">
        <f>IF(ISERROR(VLOOKUP($U$737,'TAR FIN'!$A$1:$O$86,15,0)),0,VLOOKUP($U$737,'TAR FIN'!$A$1:$O$86,15,0))</f>
        <v>227.23</v>
      </c>
      <c r="Y737" s="6"/>
      <c r="Z737" s="6">
        <f ca="1">('TUSD BE'!$AM$34+'TUSD BF_350'!$AM$34+'TUSD CVA'!$AM$34)*(1-CUSTOS!$M$38)</f>
        <v>310.34682484351242</v>
      </c>
      <c r="AA737" s="6">
        <f ca="1">('TE BE'!$AB$24+'TE BF_350'!$AB$24+'TE CVA'!$AB$24)*(1-CUSTOS!$M$38)</f>
        <v>216.7476358676706</v>
      </c>
      <c r="AB737" s="6">
        <f>$K$737*$V$737</f>
        <v>0</v>
      </c>
      <c r="AC737" s="6">
        <f>$M$737*$W$737</f>
        <v>12243.956120000001</v>
      </c>
      <c r="AD737" s="6">
        <f>$O$737*$X$737</f>
        <v>9742.9407100000008</v>
      </c>
      <c r="AE737" s="6">
        <f>$K$737*$Y$737</f>
        <v>0</v>
      </c>
      <c r="AF737" s="6">
        <f ca="1">$M$737*$Z$737</f>
        <v>13306.740808815282</v>
      </c>
      <c r="AG737" s="6">
        <f ca="1">$O$737*$AA$737</f>
        <v>9293.4883830981125</v>
      </c>
    </row>
    <row r="738" spans="1:33" ht="11.25" customHeight="1" x14ac:dyDescent="0.25">
      <c r="A738" s="4" t="s">
        <v>21</v>
      </c>
      <c r="B738" s="4" t="s">
        <v>42</v>
      </c>
      <c r="C738" s="4" t="s">
        <v>23</v>
      </c>
      <c r="D738" s="4" t="s">
        <v>43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44470</v>
      </c>
      <c r="J738" s="6">
        <v>0</v>
      </c>
      <c r="K738" s="6">
        <v>0</v>
      </c>
      <c r="L738" s="6">
        <v>1471.472</v>
      </c>
      <c r="M738" s="6">
        <v>1471.472</v>
      </c>
      <c r="N738" s="6">
        <v>1471.472</v>
      </c>
      <c r="O738" s="6">
        <v>1471.472</v>
      </c>
      <c r="P738" s="6">
        <v>3564</v>
      </c>
      <c r="Q738" s="4" t="s">
        <v>26</v>
      </c>
      <c r="R738" s="4">
        <v>0</v>
      </c>
      <c r="S738" s="6">
        <v>0</v>
      </c>
      <c r="T738" s="6">
        <v>30</v>
      </c>
      <c r="U738" s="6">
        <v>70</v>
      </c>
      <c r="V738" s="6">
        <f>IF(ISERROR(VLOOKUP($S$738,'TAR FIN'!$A$1:$O$86,15,0)),0,VLOOKUP($S$738,'TAR FIN'!$A$1:$O$86,15,0))</f>
        <v>0</v>
      </c>
      <c r="W738" s="6">
        <f>IF(ISERROR(VLOOKUP($T$738,'TAR FIN'!$A$1:$O$86,15,0)),0,VLOOKUP($T$738,'TAR FIN'!$A$1:$O$86,15,0))</f>
        <v>285.56</v>
      </c>
      <c r="X738" s="6">
        <f>IF(ISERROR(VLOOKUP($U$738,'TAR FIN'!$A$1:$O$86,15,0)),0,VLOOKUP($U$738,'TAR FIN'!$A$1:$O$86,15,0))</f>
        <v>227.23</v>
      </c>
      <c r="Y738" s="6"/>
      <c r="Z738" s="6">
        <f ca="1">('TUSD BE'!$AM$34+'TUSD BF_350'!$AM$34+'TUSD CVA'!$AM$34)*(1-CUSTOS!$M$38)</f>
        <v>310.34682484351242</v>
      </c>
      <c r="AA738" s="6">
        <f ca="1">('TE BE'!$AB$24+'TE BF_350'!$AB$24+'TE CVA'!$AB$24)*(1-CUSTOS!$M$38)</f>
        <v>216.7476358676706</v>
      </c>
      <c r="AB738" s="6">
        <f>$K$738*$V$738</f>
        <v>0</v>
      </c>
      <c r="AC738" s="6">
        <f>$M$738*$W$738</f>
        <v>420193.54431999999</v>
      </c>
      <c r="AD738" s="6">
        <f>$O$738*$X$738</f>
        <v>334362.58255999995</v>
      </c>
      <c r="AE738" s="6">
        <f>$K$738*$Y$738</f>
        <v>0</v>
      </c>
      <c r="AF738" s="6">
        <f ca="1">$M$738*$Z$738</f>
        <v>456666.66304613289</v>
      </c>
      <c r="AG738" s="6">
        <f ca="1">$O$738*$AA$738</f>
        <v>318938.07724547299</v>
      </c>
    </row>
    <row r="739" spans="1:33" ht="11.25" customHeight="1" x14ac:dyDescent="0.25">
      <c r="A739" s="4" t="s">
        <v>27</v>
      </c>
      <c r="B739" s="4" t="s">
        <v>42</v>
      </c>
      <c r="C739" s="4" t="s">
        <v>23</v>
      </c>
      <c r="D739" s="4" t="s">
        <v>43</v>
      </c>
      <c r="E739" s="4" t="s">
        <v>25</v>
      </c>
      <c r="F739" s="4" t="s">
        <v>25</v>
      </c>
      <c r="G739" s="4" t="s">
        <v>25</v>
      </c>
      <c r="H739" s="4" t="s">
        <v>25</v>
      </c>
      <c r="I739" s="5">
        <v>44470</v>
      </c>
      <c r="J739" s="6">
        <v>0</v>
      </c>
      <c r="K739" s="6">
        <v>0</v>
      </c>
      <c r="L739" s="6">
        <v>-0.53800000000000003</v>
      </c>
      <c r="M739" s="6">
        <v>-0.53800000000000003</v>
      </c>
      <c r="N739" s="6">
        <v>-0.53800000000000003</v>
      </c>
      <c r="O739" s="6">
        <v>-0.53800000000000003</v>
      </c>
      <c r="P739" s="6">
        <v>0</v>
      </c>
      <c r="Q739" s="4" t="s">
        <v>26</v>
      </c>
      <c r="R739" s="4">
        <v>0</v>
      </c>
      <c r="S739" s="6">
        <v>0</v>
      </c>
      <c r="T739" s="6">
        <v>30</v>
      </c>
      <c r="U739" s="6">
        <v>70</v>
      </c>
      <c r="V739" s="6">
        <f>IF(ISERROR(VLOOKUP($S$739,'TAR FIN'!$A$1:$O$86,15,0)),0,VLOOKUP($S$739,'TAR FIN'!$A$1:$O$86,15,0))</f>
        <v>0</v>
      </c>
      <c r="W739" s="6">
        <f>IF(ISERROR(VLOOKUP($T$739,'TAR FIN'!$A$1:$O$86,15,0)),0,VLOOKUP($T$739,'TAR FIN'!$A$1:$O$86,15,0))</f>
        <v>285.56</v>
      </c>
      <c r="X739" s="6">
        <f>IF(ISERROR(VLOOKUP($U$739,'TAR FIN'!$A$1:$O$86,15,0)),0,VLOOKUP($U$739,'TAR FIN'!$A$1:$O$86,15,0))</f>
        <v>227.23</v>
      </c>
      <c r="Y739" s="6"/>
      <c r="Z739" s="6">
        <f ca="1">('TUSD BE'!$AM$34+'TUSD BF_350'!$AM$34+'TUSD CVA'!$AM$34)*(1-CUSTOS!$M$38)</f>
        <v>310.34682484351242</v>
      </c>
      <c r="AA739" s="6">
        <f ca="1">('TE BE'!$AB$24+'TE BF_350'!$AB$24+'TE CVA'!$AB$24)*(1-CUSTOS!$M$38)</f>
        <v>216.7476358676706</v>
      </c>
      <c r="AB739" s="6">
        <f>$K$739*$V$739</f>
        <v>0</v>
      </c>
      <c r="AC739" s="6">
        <f>$M$739*$W$739</f>
        <v>-153.63128</v>
      </c>
      <c r="AD739" s="6">
        <f>$O$739*$X$739</f>
        <v>-122.24974</v>
      </c>
      <c r="AE739" s="6">
        <f>$K$739*$Y$739</f>
        <v>0</v>
      </c>
      <c r="AF739" s="6">
        <f ca="1">$M$739*$Z$739</f>
        <v>-166.96659176580968</v>
      </c>
      <c r="AG739" s="6">
        <f ca="1">$O$739*$AA$739</f>
        <v>-116.61022809680679</v>
      </c>
    </row>
    <row r="740" spans="1:33" ht="11.25" customHeight="1" x14ac:dyDescent="0.25">
      <c r="A740" s="4" t="s">
        <v>55</v>
      </c>
      <c r="B740" s="4" t="s">
        <v>42</v>
      </c>
      <c r="C740" s="4" t="s">
        <v>23</v>
      </c>
      <c r="D740" s="4" t="s">
        <v>43</v>
      </c>
      <c r="E740" s="4" t="s">
        <v>25</v>
      </c>
      <c r="F740" s="4" t="s">
        <v>25</v>
      </c>
      <c r="G740" s="4" t="s">
        <v>25</v>
      </c>
      <c r="H740" s="4" t="s">
        <v>25</v>
      </c>
      <c r="I740" s="5">
        <v>44470</v>
      </c>
      <c r="J740" s="6">
        <v>0</v>
      </c>
      <c r="K740" s="6">
        <v>0</v>
      </c>
      <c r="L740" s="6">
        <v>153.453</v>
      </c>
      <c r="M740" s="6">
        <v>153.453</v>
      </c>
      <c r="N740" s="6">
        <v>153.453</v>
      </c>
      <c r="O740" s="6">
        <v>153.453</v>
      </c>
      <c r="P740" s="6">
        <v>154</v>
      </c>
      <c r="Q740" s="4" t="s">
        <v>26</v>
      </c>
      <c r="R740" s="4">
        <v>0</v>
      </c>
      <c r="S740" s="6">
        <v>0</v>
      </c>
      <c r="T740" s="6">
        <v>30</v>
      </c>
      <c r="U740" s="6">
        <v>70</v>
      </c>
      <c r="V740" s="6">
        <f>IF(ISERROR(VLOOKUP($S$740,'TAR FIN'!$A$1:$O$86,15,0)),0,VLOOKUP($S$740,'TAR FIN'!$A$1:$O$86,15,0))</f>
        <v>0</v>
      </c>
      <c r="W740" s="6">
        <f>IF(ISERROR(VLOOKUP($T$740,'TAR FIN'!$A$1:$O$86,15,0)),0,VLOOKUP($T$740,'TAR FIN'!$A$1:$O$86,15,0))</f>
        <v>285.56</v>
      </c>
      <c r="X740" s="6">
        <f>IF(ISERROR(VLOOKUP($U$740,'TAR FIN'!$A$1:$O$86,15,0)),0,VLOOKUP($U$740,'TAR FIN'!$A$1:$O$86,15,0))</f>
        <v>227.23</v>
      </c>
      <c r="Y740" s="6"/>
      <c r="Z740" s="6">
        <f ca="1">('TUSD BE'!$AM$34+'TUSD BF_350'!$AM$34+'TUSD CVA'!$AM$34)*(1-CUSTOS!$M$38)</f>
        <v>310.34682484351242</v>
      </c>
      <c r="AA740" s="6">
        <f ca="1">('TE BE'!$AB$24+'TE BF_350'!$AB$24+'TE CVA'!$AB$24)*(1-CUSTOS!$M$38)</f>
        <v>216.7476358676706</v>
      </c>
      <c r="AB740" s="6">
        <f>$K$740*$V$740</f>
        <v>0</v>
      </c>
      <c r="AC740" s="6">
        <f>$M$740*$W$740</f>
        <v>43820.038679999998</v>
      </c>
      <c r="AD740" s="6">
        <f>$O$740*$X$740</f>
        <v>34869.125189999999</v>
      </c>
      <c r="AE740" s="6">
        <f>$K$740*$Y$740</f>
        <v>0</v>
      </c>
      <c r="AF740" s="6">
        <f ca="1">$M$740*$Z$740</f>
        <v>47623.65131271151</v>
      </c>
      <c r="AG740" s="6">
        <f ca="1">$O$740*$AA$740</f>
        <v>33260.574966801658</v>
      </c>
    </row>
    <row r="741" spans="1:33" ht="11.25" customHeight="1" x14ac:dyDescent="0.25">
      <c r="A741" s="4" t="s">
        <v>55</v>
      </c>
      <c r="B741" s="4" t="s">
        <v>42</v>
      </c>
      <c r="C741" s="4" t="s">
        <v>23</v>
      </c>
      <c r="D741" s="4" t="s">
        <v>43</v>
      </c>
      <c r="E741" s="4" t="s">
        <v>25</v>
      </c>
      <c r="F741" s="4" t="s">
        <v>25</v>
      </c>
      <c r="G741" s="4" t="s">
        <v>25</v>
      </c>
      <c r="H741" s="4" t="s">
        <v>25</v>
      </c>
      <c r="I741" s="5">
        <v>44470</v>
      </c>
      <c r="J741" s="6">
        <v>0</v>
      </c>
      <c r="K741" s="6">
        <v>0</v>
      </c>
      <c r="L741" s="6">
        <v>-99.662999999999997</v>
      </c>
      <c r="M741" s="6">
        <v>-99.662999999999997</v>
      </c>
      <c r="N741" s="6">
        <v>-99.662999999999997</v>
      </c>
      <c r="O741" s="6">
        <v>-99.662999999999997</v>
      </c>
      <c r="P741" s="6">
        <v>2</v>
      </c>
      <c r="Q741" s="4" t="s">
        <v>26</v>
      </c>
      <c r="R741" s="4">
        <v>0</v>
      </c>
      <c r="S741" s="6">
        <v>0</v>
      </c>
      <c r="T741" s="6">
        <v>30</v>
      </c>
      <c r="U741" s="6">
        <v>70</v>
      </c>
      <c r="V741" s="6">
        <f>IF(ISERROR(VLOOKUP($S$741,'TAR FIN'!$A$1:$O$86,15,0)),0,VLOOKUP($S$741,'TAR FIN'!$A$1:$O$86,15,0))</f>
        <v>0</v>
      </c>
      <c r="W741" s="6">
        <f>IF(ISERROR(VLOOKUP($T$741,'TAR FIN'!$A$1:$O$86,15,0)),0,VLOOKUP($T$741,'TAR FIN'!$A$1:$O$86,15,0))</f>
        <v>285.56</v>
      </c>
      <c r="X741" s="6">
        <f>IF(ISERROR(VLOOKUP($U$741,'TAR FIN'!$A$1:$O$86,15,0)),0,VLOOKUP($U$741,'TAR FIN'!$A$1:$O$86,15,0))</f>
        <v>227.23</v>
      </c>
      <c r="Y741" s="6"/>
      <c r="Z741" s="6">
        <f ca="1">('TUSD BE'!$AM$34+'TUSD BF_350'!$AM$34+'TUSD CVA'!$AM$34)*(1-CUSTOS!$M$38)</f>
        <v>310.34682484351242</v>
      </c>
      <c r="AA741" s="6">
        <f ca="1">('TE BE'!$AB$24+'TE BF_350'!$AB$24+'TE CVA'!$AB$24)*(1-CUSTOS!$M$38)</f>
        <v>216.7476358676706</v>
      </c>
      <c r="AB741" s="6">
        <f>$K$741*$V$741</f>
        <v>0</v>
      </c>
      <c r="AC741" s="6">
        <f>$M$741*$W$741</f>
        <v>-28459.76628</v>
      </c>
      <c r="AD741" s="6">
        <f>$O$741*$X$741</f>
        <v>-22646.423489999997</v>
      </c>
      <c r="AE741" s="6">
        <f>$K$741*$Y$741</f>
        <v>0</v>
      </c>
      <c r="AF741" s="6">
        <f ca="1">$M$741*$Z$741</f>
        <v>-30930.095604378977</v>
      </c>
      <c r="AG741" s="6">
        <f ca="1">$O$741*$AA$741</f>
        <v>-21601.719633479654</v>
      </c>
    </row>
    <row r="742" spans="1:33" ht="11.25" customHeight="1" x14ac:dyDescent="0.25">
      <c r="A742" s="4" t="s">
        <v>21</v>
      </c>
      <c r="B742" s="4" t="s">
        <v>42</v>
      </c>
      <c r="C742" s="4" t="s">
        <v>23</v>
      </c>
      <c r="D742" s="4" t="s">
        <v>43</v>
      </c>
      <c r="E742" s="4" t="s">
        <v>25</v>
      </c>
      <c r="F742" s="4" t="s">
        <v>25</v>
      </c>
      <c r="G742" s="4" t="s">
        <v>25</v>
      </c>
      <c r="H742" s="4" t="s">
        <v>25</v>
      </c>
      <c r="I742" s="5">
        <v>44501</v>
      </c>
      <c r="J742" s="6">
        <v>0</v>
      </c>
      <c r="K742" s="6">
        <v>0</v>
      </c>
      <c r="L742" s="6">
        <v>1486.4380000000001</v>
      </c>
      <c r="M742" s="6">
        <v>1486.4380000000001</v>
      </c>
      <c r="N742" s="6">
        <v>1486.4380000000001</v>
      </c>
      <c r="O742" s="6">
        <v>1486.4380000000001</v>
      </c>
      <c r="P742" s="6">
        <v>3541</v>
      </c>
      <c r="Q742" s="4" t="s">
        <v>26</v>
      </c>
      <c r="R742" s="4">
        <v>0</v>
      </c>
      <c r="S742" s="6">
        <v>0</v>
      </c>
      <c r="T742" s="6">
        <v>30</v>
      </c>
      <c r="U742" s="6">
        <v>70</v>
      </c>
      <c r="V742" s="6">
        <f>IF(ISERROR(VLOOKUP($S$742,'TAR FIN'!$A$1:$O$86,15,0)),0,VLOOKUP($S$742,'TAR FIN'!$A$1:$O$86,15,0))</f>
        <v>0</v>
      </c>
      <c r="W742" s="6">
        <f>IF(ISERROR(VLOOKUP($T$742,'TAR FIN'!$A$1:$O$86,15,0)),0,VLOOKUP($T$742,'TAR FIN'!$A$1:$O$86,15,0))</f>
        <v>285.56</v>
      </c>
      <c r="X742" s="6">
        <f>IF(ISERROR(VLOOKUP($U$742,'TAR FIN'!$A$1:$O$86,15,0)),0,VLOOKUP($U$742,'TAR FIN'!$A$1:$O$86,15,0))</f>
        <v>227.23</v>
      </c>
      <c r="Y742" s="6"/>
      <c r="Z742" s="6">
        <f ca="1">('TUSD BE'!$AM$34+'TUSD BF_350'!$AM$34+'TUSD CVA'!$AM$34)*(1-CUSTOS!$M$38)</f>
        <v>310.34682484351242</v>
      </c>
      <c r="AA742" s="6">
        <f ca="1">('TE BE'!$AB$24+'TE BF_350'!$AB$24+'TE CVA'!$AB$24)*(1-CUSTOS!$M$38)</f>
        <v>216.7476358676706</v>
      </c>
      <c r="AB742" s="6">
        <f>$K$742*$V$742</f>
        <v>0</v>
      </c>
      <c r="AC742" s="6">
        <f>$M$742*$W$742</f>
        <v>424467.23528000002</v>
      </c>
      <c r="AD742" s="6">
        <f>$O$742*$X$742</f>
        <v>337763.30674000003</v>
      </c>
      <c r="AE742" s="6">
        <f>$K$742*$Y$742</f>
        <v>0</v>
      </c>
      <c r="AF742" s="6">
        <f ca="1">$M$742*$Z$742</f>
        <v>461311.31362674094</v>
      </c>
      <c r="AG742" s="6">
        <f ca="1">$O$742*$AA$742</f>
        <v>322181.92236386857</v>
      </c>
    </row>
    <row r="743" spans="1:33" ht="11.25" customHeight="1" x14ac:dyDescent="0.25">
      <c r="A743" s="4" t="s">
        <v>27</v>
      </c>
      <c r="B743" s="4" t="s">
        <v>42</v>
      </c>
      <c r="C743" s="4" t="s">
        <v>23</v>
      </c>
      <c r="D743" s="4" t="s">
        <v>43</v>
      </c>
      <c r="E743" s="4" t="s">
        <v>25</v>
      </c>
      <c r="F743" s="4" t="s">
        <v>25</v>
      </c>
      <c r="G743" s="4" t="s">
        <v>25</v>
      </c>
      <c r="H743" s="4" t="s">
        <v>25</v>
      </c>
      <c r="I743" s="5">
        <v>44501</v>
      </c>
      <c r="J743" s="6">
        <v>0</v>
      </c>
      <c r="K743" s="6">
        <v>0</v>
      </c>
      <c r="L743" s="6">
        <v>-7.9989999999999997</v>
      </c>
      <c r="M743" s="6">
        <v>-7.9989999999999997</v>
      </c>
      <c r="N743" s="6">
        <v>-7.9989999999999997</v>
      </c>
      <c r="O743" s="6">
        <v>-7.9989999999999997</v>
      </c>
      <c r="P743" s="6">
        <v>0</v>
      </c>
      <c r="Q743" s="4" t="s">
        <v>26</v>
      </c>
      <c r="R743" s="4">
        <v>0</v>
      </c>
      <c r="S743" s="6">
        <v>0</v>
      </c>
      <c r="T743" s="6">
        <v>30</v>
      </c>
      <c r="U743" s="6">
        <v>70</v>
      </c>
      <c r="V743" s="6">
        <f>IF(ISERROR(VLOOKUP($S$743,'TAR FIN'!$A$1:$O$86,15,0)),0,VLOOKUP($S$743,'TAR FIN'!$A$1:$O$86,15,0))</f>
        <v>0</v>
      </c>
      <c r="W743" s="6">
        <f>IF(ISERROR(VLOOKUP($T$743,'TAR FIN'!$A$1:$O$86,15,0)),0,VLOOKUP($T$743,'TAR FIN'!$A$1:$O$86,15,0))</f>
        <v>285.56</v>
      </c>
      <c r="X743" s="6">
        <f>IF(ISERROR(VLOOKUP($U$743,'TAR FIN'!$A$1:$O$86,15,0)),0,VLOOKUP($U$743,'TAR FIN'!$A$1:$O$86,15,0))</f>
        <v>227.23</v>
      </c>
      <c r="Y743" s="6"/>
      <c r="Z743" s="6">
        <f ca="1">('TUSD BE'!$AM$34+'TUSD BF_350'!$AM$34+'TUSD CVA'!$AM$34)*(1-CUSTOS!$M$38)</f>
        <v>310.34682484351242</v>
      </c>
      <c r="AA743" s="6">
        <f ca="1">('TE BE'!$AB$24+'TE BF_350'!$AB$24+'TE CVA'!$AB$24)*(1-CUSTOS!$M$38)</f>
        <v>216.7476358676706</v>
      </c>
      <c r="AB743" s="6">
        <f>$K$743*$V$743</f>
        <v>0</v>
      </c>
      <c r="AC743" s="6">
        <f>$M$743*$W$743</f>
        <v>-2284.1944399999998</v>
      </c>
      <c r="AD743" s="6">
        <f>$O$743*$X$743</f>
        <v>-1817.61277</v>
      </c>
      <c r="AE743" s="6">
        <f>$K$743*$Y$743</f>
        <v>0</v>
      </c>
      <c r="AF743" s="6">
        <f ca="1">$M$743*$Z$743</f>
        <v>-2482.4642519232557</v>
      </c>
      <c r="AG743" s="6">
        <f ca="1">$O$743*$AA$743</f>
        <v>-1733.7643393054971</v>
      </c>
    </row>
    <row r="744" spans="1:33" ht="11.25" customHeight="1" x14ac:dyDescent="0.25">
      <c r="A744" s="4" t="s">
        <v>55</v>
      </c>
      <c r="B744" s="4" t="s">
        <v>42</v>
      </c>
      <c r="C744" s="4" t="s">
        <v>23</v>
      </c>
      <c r="D744" s="4" t="s">
        <v>43</v>
      </c>
      <c r="E744" s="4" t="s">
        <v>25</v>
      </c>
      <c r="F744" s="4" t="s">
        <v>25</v>
      </c>
      <c r="G744" s="4" t="s">
        <v>25</v>
      </c>
      <c r="H744" s="4" t="s">
        <v>25</v>
      </c>
      <c r="I744" s="5">
        <v>44501</v>
      </c>
      <c r="J744" s="6">
        <v>0</v>
      </c>
      <c r="K744" s="6">
        <v>0</v>
      </c>
      <c r="L744" s="6">
        <v>48.371000000000002</v>
      </c>
      <c r="M744" s="6">
        <v>48.371000000000002</v>
      </c>
      <c r="N744" s="6">
        <v>48.371000000000002</v>
      </c>
      <c r="O744" s="6">
        <v>48.371000000000002</v>
      </c>
      <c r="P744" s="6">
        <v>175</v>
      </c>
      <c r="Q744" s="4" t="s">
        <v>26</v>
      </c>
      <c r="R744" s="4">
        <v>0</v>
      </c>
      <c r="S744" s="6">
        <v>0</v>
      </c>
      <c r="T744" s="6">
        <v>30</v>
      </c>
      <c r="U744" s="6">
        <v>70</v>
      </c>
      <c r="V744" s="6">
        <f>IF(ISERROR(VLOOKUP($S$744,'TAR FIN'!$A$1:$O$86,15,0)),0,VLOOKUP($S$744,'TAR FIN'!$A$1:$O$86,15,0))</f>
        <v>0</v>
      </c>
      <c r="W744" s="6">
        <f>IF(ISERROR(VLOOKUP($T$744,'TAR FIN'!$A$1:$O$86,15,0)),0,VLOOKUP($T$744,'TAR FIN'!$A$1:$O$86,15,0))</f>
        <v>285.56</v>
      </c>
      <c r="X744" s="6">
        <f>IF(ISERROR(VLOOKUP($U$744,'TAR FIN'!$A$1:$O$86,15,0)),0,VLOOKUP($U$744,'TAR FIN'!$A$1:$O$86,15,0))</f>
        <v>227.23</v>
      </c>
      <c r="Y744" s="6"/>
      <c r="Z744" s="6">
        <f ca="1">('TUSD BE'!$AM$34+'TUSD BF_350'!$AM$34+'TUSD CVA'!$AM$34)*(1-CUSTOS!$M$38)</f>
        <v>310.34682484351242</v>
      </c>
      <c r="AA744" s="6">
        <f ca="1">('TE BE'!$AB$24+'TE BF_350'!$AB$24+'TE CVA'!$AB$24)*(1-CUSTOS!$M$38)</f>
        <v>216.7476358676706</v>
      </c>
      <c r="AB744" s="6">
        <f>$K$744*$V$744</f>
        <v>0</v>
      </c>
      <c r="AC744" s="6">
        <f>$M$744*$W$744</f>
        <v>13812.822760000001</v>
      </c>
      <c r="AD744" s="6">
        <f>$O$744*$X$744</f>
        <v>10991.342329999999</v>
      </c>
      <c r="AE744" s="6">
        <f>$K$744*$Y$744</f>
        <v>0</v>
      </c>
      <c r="AF744" s="6">
        <f ca="1">$M$744*$Z$744</f>
        <v>15011.786264505539</v>
      </c>
      <c r="AG744" s="6">
        <f ca="1">$O$744*$AA$744</f>
        <v>10484.299894555095</v>
      </c>
    </row>
    <row r="745" spans="1:33" ht="11.25" customHeight="1" x14ac:dyDescent="0.25">
      <c r="A745" s="4" t="s">
        <v>55</v>
      </c>
      <c r="B745" s="4" t="s">
        <v>42</v>
      </c>
      <c r="C745" s="4" t="s">
        <v>23</v>
      </c>
      <c r="D745" s="4" t="s">
        <v>43</v>
      </c>
      <c r="E745" s="4" t="s">
        <v>25</v>
      </c>
      <c r="F745" s="4" t="s">
        <v>25</v>
      </c>
      <c r="G745" s="4" t="s">
        <v>25</v>
      </c>
      <c r="H745" s="4" t="s">
        <v>25</v>
      </c>
      <c r="I745" s="5">
        <v>44501</v>
      </c>
      <c r="J745" s="6">
        <v>0</v>
      </c>
      <c r="K745" s="6">
        <v>0</v>
      </c>
      <c r="L745" s="6">
        <v>-0.42099999999999999</v>
      </c>
      <c r="M745" s="6">
        <v>-0.42099999999999999</v>
      </c>
      <c r="N745" s="6">
        <v>-0.42099999999999999</v>
      </c>
      <c r="O745" s="6">
        <v>-0.42099999999999999</v>
      </c>
      <c r="P745" s="6">
        <v>3</v>
      </c>
      <c r="Q745" s="4" t="s">
        <v>26</v>
      </c>
      <c r="R745" s="4">
        <v>0</v>
      </c>
      <c r="S745" s="6">
        <v>0</v>
      </c>
      <c r="T745" s="6">
        <v>30</v>
      </c>
      <c r="U745" s="6">
        <v>70</v>
      </c>
      <c r="V745" s="6">
        <f>IF(ISERROR(VLOOKUP($S$745,'TAR FIN'!$A$1:$O$86,15,0)),0,VLOOKUP($S$745,'TAR FIN'!$A$1:$O$86,15,0))</f>
        <v>0</v>
      </c>
      <c r="W745" s="6">
        <f>IF(ISERROR(VLOOKUP($T$745,'TAR FIN'!$A$1:$O$86,15,0)),0,VLOOKUP($T$745,'TAR FIN'!$A$1:$O$86,15,0))</f>
        <v>285.56</v>
      </c>
      <c r="X745" s="6">
        <f>IF(ISERROR(VLOOKUP($U$745,'TAR FIN'!$A$1:$O$86,15,0)),0,VLOOKUP($U$745,'TAR FIN'!$A$1:$O$86,15,0))</f>
        <v>227.23</v>
      </c>
      <c r="Y745" s="6"/>
      <c r="Z745" s="6">
        <f ca="1">('TUSD BE'!$AM$34+'TUSD BF_350'!$AM$34+'TUSD CVA'!$AM$34)*(1-CUSTOS!$M$38)</f>
        <v>310.34682484351242</v>
      </c>
      <c r="AA745" s="6">
        <f ca="1">('TE BE'!$AB$24+'TE BF_350'!$AB$24+'TE CVA'!$AB$24)*(1-CUSTOS!$M$38)</f>
        <v>216.7476358676706</v>
      </c>
      <c r="AB745" s="6">
        <f>$K$745*$V$745</f>
        <v>0</v>
      </c>
      <c r="AC745" s="6">
        <f>$M$745*$W$745</f>
        <v>-120.22076</v>
      </c>
      <c r="AD745" s="6">
        <f>$O$745*$X$745</f>
        <v>-95.66382999999999</v>
      </c>
      <c r="AE745" s="6">
        <f>$K$745*$Y$745</f>
        <v>0</v>
      </c>
      <c r="AF745" s="6">
        <f ca="1">$M$745*$Z$745</f>
        <v>-130.65601325911874</v>
      </c>
      <c r="AG745" s="6">
        <f ca="1">$O$745*$AA$745</f>
        <v>-91.25075470028932</v>
      </c>
    </row>
    <row r="746" spans="1:33" ht="11.25" customHeight="1" x14ac:dyDescent="0.25">
      <c r="A746" s="4" t="s">
        <v>21</v>
      </c>
      <c r="B746" s="4" t="s">
        <v>42</v>
      </c>
      <c r="C746" s="4" t="s">
        <v>23</v>
      </c>
      <c r="D746" s="4" t="s">
        <v>43</v>
      </c>
      <c r="E746" s="4" t="s">
        <v>25</v>
      </c>
      <c r="F746" s="4" t="s">
        <v>25</v>
      </c>
      <c r="G746" s="4" t="s">
        <v>25</v>
      </c>
      <c r="H746" s="4" t="s">
        <v>25</v>
      </c>
      <c r="I746" s="5">
        <v>44531</v>
      </c>
      <c r="J746" s="6">
        <v>0</v>
      </c>
      <c r="K746" s="6">
        <v>0</v>
      </c>
      <c r="L746" s="6">
        <v>1485.425</v>
      </c>
      <c r="M746" s="6">
        <v>1485.425</v>
      </c>
      <c r="N746" s="6">
        <v>1485.425</v>
      </c>
      <c r="O746" s="6">
        <v>1485.425</v>
      </c>
      <c r="P746" s="6">
        <v>3487</v>
      </c>
      <c r="Q746" s="4" t="s">
        <v>26</v>
      </c>
      <c r="R746" s="4">
        <v>0</v>
      </c>
      <c r="S746" s="6">
        <v>0</v>
      </c>
      <c r="T746" s="6">
        <v>30</v>
      </c>
      <c r="U746" s="6">
        <v>70</v>
      </c>
      <c r="V746" s="6">
        <f>IF(ISERROR(VLOOKUP($S$746,'TAR FIN'!$A$1:$O$86,15,0)),0,VLOOKUP($S$746,'TAR FIN'!$A$1:$O$86,15,0))</f>
        <v>0</v>
      </c>
      <c r="W746" s="6">
        <f>IF(ISERROR(VLOOKUP($T$746,'TAR FIN'!$A$1:$O$86,15,0)),0,VLOOKUP($T$746,'TAR FIN'!$A$1:$O$86,15,0))</f>
        <v>285.56</v>
      </c>
      <c r="X746" s="6">
        <f>IF(ISERROR(VLOOKUP($U$746,'TAR FIN'!$A$1:$O$86,15,0)),0,VLOOKUP($U$746,'TAR FIN'!$A$1:$O$86,15,0))</f>
        <v>227.23</v>
      </c>
      <c r="Y746" s="6"/>
      <c r="Z746" s="6">
        <f ca="1">('TUSD BE'!$AM$34+'TUSD BF_350'!$AM$34+'TUSD CVA'!$AM$34)*(1-CUSTOS!$M$38)</f>
        <v>310.34682484351242</v>
      </c>
      <c r="AA746" s="6">
        <f ca="1">('TE BE'!$AB$24+'TE BF_350'!$AB$24+'TE CVA'!$AB$24)*(1-CUSTOS!$M$38)</f>
        <v>216.7476358676706</v>
      </c>
      <c r="AB746" s="6">
        <f>$K$746*$V$746</f>
        <v>0</v>
      </c>
      <c r="AC746" s="6">
        <f>$M$746*$W$746</f>
        <v>424177.96299999999</v>
      </c>
      <c r="AD746" s="6">
        <f>$O$746*$X$746</f>
        <v>337533.12274999998</v>
      </c>
      <c r="AE746" s="6">
        <f>$K$746*$Y$746</f>
        <v>0</v>
      </c>
      <c r="AF746" s="6">
        <f ca="1">$M$746*$Z$746</f>
        <v>460996.93229317444</v>
      </c>
      <c r="AG746" s="6">
        <f ca="1">$O$746*$AA$746</f>
        <v>321962.3570087346</v>
      </c>
    </row>
    <row r="747" spans="1:33" ht="11.25" customHeight="1" x14ac:dyDescent="0.25">
      <c r="A747" s="4" t="s">
        <v>27</v>
      </c>
      <c r="B747" s="4" t="s">
        <v>42</v>
      </c>
      <c r="C747" s="4" t="s">
        <v>23</v>
      </c>
      <c r="D747" s="4" t="s">
        <v>43</v>
      </c>
      <c r="E747" s="4" t="s">
        <v>25</v>
      </c>
      <c r="F747" s="4" t="s">
        <v>25</v>
      </c>
      <c r="G747" s="4" t="s">
        <v>25</v>
      </c>
      <c r="H747" s="4" t="s">
        <v>25</v>
      </c>
      <c r="I747" s="5">
        <v>44531</v>
      </c>
      <c r="J747" s="6">
        <v>0</v>
      </c>
      <c r="K747" s="6">
        <v>0</v>
      </c>
      <c r="L747" s="6">
        <v>-4.8369999999999997</v>
      </c>
      <c r="M747" s="6">
        <v>-4.8369999999999997</v>
      </c>
      <c r="N747" s="6">
        <v>-4.8369999999999997</v>
      </c>
      <c r="O747" s="6">
        <v>-4.8369999999999997</v>
      </c>
      <c r="P747" s="6">
        <v>0</v>
      </c>
      <c r="Q747" s="4" t="s">
        <v>26</v>
      </c>
      <c r="R747" s="4">
        <v>0</v>
      </c>
      <c r="S747" s="6">
        <v>0</v>
      </c>
      <c r="T747" s="6">
        <v>30</v>
      </c>
      <c r="U747" s="6">
        <v>70</v>
      </c>
      <c r="V747" s="6">
        <f>IF(ISERROR(VLOOKUP($S$747,'TAR FIN'!$A$1:$O$86,15,0)),0,VLOOKUP($S$747,'TAR FIN'!$A$1:$O$86,15,0))</f>
        <v>0</v>
      </c>
      <c r="W747" s="6">
        <f>IF(ISERROR(VLOOKUP($T$747,'TAR FIN'!$A$1:$O$86,15,0)),0,VLOOKUP($T$747,'TAR FIN'!$A$1:$O$86,15,0))</f>
        <v>285.56</v>
      </c>
      <c r="X747" s="6">
        <f>IF(ISERROR(VLOOKUP($U$747,'TAR FIN'!$A$1:$O$86,15,0)),0,VLOOKUP($U$747,'TAR FIN'!$A$1:$O$86,15,0))</f>
        <v>227.23</v>
      </c>
      <c r="Y747" s="6"/>
      <c r="Z747" s="6">
        <f ca="1">('TUSD BE'!$AM$34+'TUSD BF_350'!$AM$34+'TUSD CVA'!$AM$34)*(1-CUSTOS!$M$38)</f>
        <v>310.34682484351242</v>
      </c>
      <c r="AA747" s="6">
        <f ca="1">('TE BE'!$AB$24+'TE BF_350'!$AB$24+'TE CVA'!$AB$24)*(1-CUSTOS!$M$38)</f>
        <v>216.7476358676706</v>
      </c>
      <c r="AB747" s="6">
        <f>$K$747*$V$747</f>
        <v>0</v>
      </c>
      <c r="AC747" s="6">
        <f>$M$747*$W$747</f>
        <v>-1381.2537199999999</v>
      </c>
      <c r="AD747" s="6">
        <f>$O$747*$X$747</f>
        <v>-1099.11151</v>
      </c>
      <c r="AE747" s="6">
        <f>$K$747*$Y$747</f>
        <v>0</v>
      </c>
      <c r="AF747" s="6">
        <f ca="1">$M$747*$Z$747</f>
        <v>-1501.1475917680696</v>
      </c>
      <c r="AG747" s="6">
        <f ca="1">$O$747*$AA$747</f>
        <v>-1048.4083146919227</v>
      </c>
    </row>
    <row r="748" spans="1:33" ht="11.25" customHeight="1" x14ac:dyDescent="0.25">
      <c r="A748" s="4" t="s">
        <v>55</v>
      </c>
      <c r="B748" s="4" t="s">
        <v>42</v>
      </c>
      <c r="C748" s="4" t="s">
        <v>23</v>
      </c>
      <c r="D748" s="4" t="s">
        <v>43</v>
      </c>
      <c r="E748" s="4" t="s">
        <v>25</v>
      </c>
      <c r="F748" s="4" t="s">
        <v>25</v>
      </c>
      <c r="G748" s="4" t="s">
        <v>25</v>
      </c>
      <c r="H748" s="4" t="s">
        <v>25</v>
      </c>
      <c r="I748" s="5">
        <v>44531</v>
      </c>
      <c r="J748" s="6">
        <v>0</v>
      </c>
      <c r="K748" s="6">
        <v>0</v>
      </c>
      <c r="L748" s="6">
        <v>54.66</v>
      </c>
      <c r="M748" s="6">
        <v>54.66</v>
      </c>
      <c r="N748" s="6">
        <v>54.66</v>
      </c>
      <c r="O748" s="6">
        <v>54.66</v>
      </c>
      <c r="P748" s="6">
        <v>202</v>
      </c>
      <c r="Q748" s="4" t="s">
        <v>26</v>
      </c>
      <c r="R748" s="4">
        <v>0</v>
      </c>
      <c r="S748" s="6">
        <v>0</v>
      </c>
      <c r="T748" s="6">
        <v>30</v>
      </c>
      <c r="U748" s="6">
        <v>70</v>
      </c>
      <c r="V748" s="6">
        <f>IF(ISERROR(VLOOKUP($S$748,'TAR FIN'!$A$1:$O$86,15,0)),0,VLOOKUP($S$748,'TAR FIN'!$A$1:$O$86,15,0))</f>
        <v>0</v>
      </c>
      <c r="W748" s="6">
        <f>IF(ISERROR(VLOOKUP($T$748,'TAR FIN'!$A$1:$O$86,15,0)),0,VLOOKUP($T$748,'TAR FIN'!$A$1:$O$86,15,0))</f>
        <v>285.56</v>
      </c>
      <c r="X748" s="6">
        <f>IF(ISERROR(VLOOKUP($U$748,'TAR FIN'!$A$1:$O$86,15,0)),0,VLOOKUP($U$748,'TAR FIN'!$A$1:$O$86,15,0))</f>
        <v>227.23</v>
      </c>
      <c r="Y748" s="6"/>
      <c r="Z748" s="6">
        <f ca="1">('TUSD BE'!$AM$34+'TUSD BF_350'!$AM$34+'TUSD CVA'!$AM$34)*(1-CUSTOS!$M$38)</f>
        <v>310.34682484351242</v>
      </c>
      <c r="AA748" s="6">
        <f ca="1">('TE BE'!$AB$24+'TE BF_350'!$AB$24+'TE CVA'!$AB$24)*(1-CUSTOS!$M$38)</f>
        <v>216.7476358676706</v>
      </c>
      <c r="AB748" s="6">
        <f>$K$748*$V$748</f>
        <v>0</v>
      </c>
      <c r="AC748" s="6">
        <f>$M$748*$W$748</f>
        <v>15608.709599999998</v>
      </c>
      <c r="AD748" s="6">
        <f>$O$748*$X$748</f>
        <v>12420.391799999999</v>
      </c>
      <c r="AE748" s="6">
        <f>$K$748*$Y$748</f>
        <v>0</v>
      </c>
      <c r="AF748" s="6">
        <f ca="1">$M$748*$Z$748</f>
        <v>16963.55744594639</v>
      </c>
      <c r="AG748" s="6">
        <f ca="1">$O$748*$AA$748</f>
        <v>11847.425776526874</v>
      </c>
    </row>
    <row r="749" spans="1:33" ht="11.25" customHeight="1" x14ac:dyDescent="0.25">
      <c r="A749" s="4" t="s">
        <v>55</v>
      </c>
      <c r="B749" s="4" t="s">
        <v>42</v>
      </c>
      <c r="C749" s="4" t="s">
        <v>23</v>
      </c>
      <c r="D749" s="4" t="s">
        <v>43</v>
      </c>
      <c r="E749" s="4" t="s">
        <v>25</v>
      </c>
      <c r="F749" s="4" t="s">
        <v>25</v>
      </c>
      <c r="G749" s="4" t="s">
        <v>25</v>
      </c>
      <c r="H749" s="4" t="s">
        <v>25</v>
      </c>
      <c r="I749" s="5">
        <v>44531</v>
      </c>
      <c r="J749" s="6">
        <v>0</v>
      </c>
      <c r="K749" s="6">
        <v>0</v>
      </c>
      <c r="L749" s="6">
        <v>-3.8969999999999998</v>
      </c>
      <c r="M749" s="6">
        <v>-3.8969999999999998</v>
      </c>
      <c r="N749" s="6">
        <v>-3.8969999999999998</v>
      </c>
      <c r="O749" s="6">
        <v>-3.8969999999999998</v>
      </c>
      <c r="P749" s="6">
        <v>3</v>
      </c>
      <c r="Q749" s="4" t="s">
        <v>26</v>
      </c>
      <c r="R749" s="4">
        <v>0</v>
      </c>
      <c r="S749" s="6">
        <v>0</v>
      </c>
      <c r="T749" s="6">
        <v>30</v>
      </c>
      <c r="U749" s="6">
        <v>70</v>
      </c>
      <c r="V749" s="6">
        <f>IF(ISERROR(VLOOKUP($S$749,'TAR FIN'!$A$1:$O$86,15,0)),0,VLOOKUP($S$749,'TAR FIN'!$A$1:$O$86,15,0))</f>
        <v>0</v>
      </c>
      <c r="W749" s="6">
        <f>IF(ISERROR(VLOOKUP($T$749,'TAR FIN'!$A$1:$O$86,15,0)),0,VLOOKUP($T$749,'TAR FIN'!$A$1:$O$86,15,0))</f>
        <v>285.56</v>
      </c>
      <c r="X749" s="6">
        <f>IF(ISERROR(VLOOKUP($U$749,'TAR FIN'!$A$1:$O$86,15,0)),0,VLOOKUP($U$749,'TAR FIN'!$A$1:$O$86,15,0))</f>
        <v>227.23</v>
      </c>
      <c r="Y749" s="6"/>
      <c r="Z749" s="6">
        <f ca="1">('TUSD BE'!$AM$34+'TUSD BF_350'!$AM$34+'TUSD CVA'!$AM$34)*(1-CUSTOS!$M$38)</f>
        <v>310.34682484351242</v>
      </c>
      <c r="AA749" s="6">
        <f ca="1">('TE BE'!$AB$24+'TE BF_350'!$AB$24+'TE CVA'!$AB$24)*(1-CUSTOS!$M$38)</f>
        <v>216.7476358676706</v>
      </c>
      <c r="AB749" s="6">
        <f>$K$749*$V$749</f>
        <v>0</v>
      </c>
      <c r="AC749" s="6">
        <f>$M$749*$W$749</f>
        <v>-1112.8273199999999</v>
      </c>
      <c r="AD749" s="6">
        <f>$O$749*$X$749</f>
        <v>-885.51530999999989</v>
      </c>
      <c r="AE749" s="6">
        <f>$K$749*$Y$749</f>
        <v>0</v>
      </c>
      <c r="AF749" s="6">
        <f ca="1">$M$749*$Z$749</f>
        <v>-1209.4215764151679</v>
      </c>
      <c r="AG749" s="6">
        <f ca="1">$O$749*$AA$749</f>
        <v>-844.6655369763123</v>
      </c>
    </row>
    <row r="750" spans="1:33" ht="11.25" customHeight="1" x14ac:dyDescent="0.25">
      <c r="A750" s="4" t="s">
        <v>21</v>
      </c>
      <c r="B750" s="4" t="s">
        <v>42</v>
      </c>
      <c r="C750" s="4" t="s">
        <v>23</v>
      </c>
      <c r="D750" s="4" t="s">
        <v>43</v>
      </c>
      <c r="E750" s="4" t="s">
        <v>25</v>
      </c>
      <c r="F750" s="4" t="s">
        <v>25</v>
      </c>
      <c r="G750" s="4" t="s">
        <v>25</v>
      </c>
      <c r="H750" s="4" t="s">
        <v>25</v>
      </c>
      <c r="I750" s="5">
        <v>44562</v>
      </c>
      <c r="J750" s="6">
        <v>0</v>
      </c>
      <c r="K750" s="6">
        <v>0</v>
      </c>
      <c r="L750" s="6">
        <v>1602.441</v>
      </c>
      <c r="M750" s="6">
        <v>1602.441</v>
      </c>
      <c r="N750" s="6">
        <v>1602.441</v>
      </c>
      <c r="O750" s="6">
        <v>1602.441</v>
      </c>
      <c r="P750" s="6">
        <v>3483</v>
      </c>
      <c r="Q750" s="4" t="s">
        <v>26</v>
      </c>
      <c r="R750" s="4">
        <v>0</v>
      </c>
      <c r="S750" s="6">
        <v>0</v>
      </c>
      <c r="T750" s="6">
        <v>30</v>
      </c>
      <c r="U750" s="6">
        <v>70</v>
      </c>
      <c r="V750" s="6">
        <f>IF(ISERROR(VLOOKUP($S$750,'TAR FIN'!$A$1:$O$86,15,0)),0,VLOOKUP($S$750,'TAR FIN'!$A$1:$O$86,15,0))</f>
        <v>0</v>
      </c>
      <c r="W750" s="6">
        <f>IF(ISERROR(VLOOKUP($T$750,'TAR FIN'!$A$1:$O$86,15,0)),0,VLOOKUP($T$750,'TAR FIN'!$A$1:$O$86,15,0))</f>
        <v>285.56</v>
      </c>
      <c r="X750" s="6">
        <f>IF(ISERROR(VLOOKUP($U$750,'TAR FIN'!$A$1:$O$86,15,0)),0,VLOOKUP($U$750,'TAR FIN'!$A$1:$O$86,15,0))</f>
        <v>227.23</v>
      </c>
      <c r="Y750" s="6"/>
      <c r="Z750" s="6">
        <f ca="1">('TUSD BE'!$AM$34+'TUSD BF_350'!$AM$34+'TUSD CVA'!$AM$34)*(1-CUSTOS!$M$38)</f>
        <v>310.34682484351242</v>
      </c>
      <c r="AA750" s="6">
        <f ca="1">('TE BE'!$AB$24+'TE BF_350'!$AB$24+'TE CVA'!$AB$24)*(1-CUSTOS!$M$38)</f>
        <v>216.7476358676706</v>
      </c>
      <c r="AB750" s="6">
        <f>$K$750*$V$750</f>
        <v>0</v>
      </c>
      <c r="AC750" s="6">
        <f>$M$750*$W$750</f>
        <v>457593.05196000001</v>
      </c>
      <c r="AD750" s="6">
        <f>$O$750*$X$750</f>
        <v>364122.66842999996</v>
      </c>
      <c r="AE750" s="6">
        <f>$K$750*$Y$750</f>
        <v>0</v>
      </c>
      <c r="AF750" s="6">
        <f ca="1">$M$750*$Z$750</f>
        <v>497312.47634906293</v>
      </c>
      <c r="AG750" s="6">
        <f ca="1">$O$750*$AA$750</f>
        <v>347325.29836742592</v>
      </c>
    </row>
    <row r="751" spans="1:33" ht="11.25" customHeight="1" x14ac:dyDescent="0.25">
      <c r="A751" s="4" t="s">
        <v>27</v>
      </c>
      <c r="B751" s="4" t="s">
        <v>42</v>
      </c>
      <c r="C751" s="4" t="s">
        <v>23</v>
      </c>
      <c r="D751" s="4" t="s">
        <v>43</v>
      </c>
      <c r="E751" s="4" t="s">
        <v>25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-60.328000000000003</v>
      </c>
      <c r="M751" s="6">
        <v>-60.328000000000003</v>
      </c>
      <c r="N751" s="6">
        <v>-60.328000000000003</v>
      </c>
      <c r="O751" s="6">
        <v>-60.328000000000003</v>
      </c>
      <c r="P751" s="6">
        <v>0</v>
      </c>
      <c r="Q751" s="4" t="s">
        <v>26</v>
      </c>
      <c r="R751" s="4">
        <v>0</v>
      </c>
      <c r="S751" s="6">
        <v>0</v>
      </c>
      <c r="T751" s="6">
        <v>30</v>
      </c>
      <c r="U751" s="6">
        <v>70</v>
      </c>
      <c r="V751" s="6">
        <f>IF(ISERROR(VLOOKUP($S$751,'TAR FIN'!$A$1:$O$86,15,0)),0,VLOOKUP($S$751,'TAR FIN'!$A$1:$O$86,15,0))</f>
        <v>0</v>
      </c>
      <c r="W751" s="6">
        <f>IF(ISERROR(VLOOKUP($T$751,'TAR FIN'!$A$1:$O$86,15,0)),0,VLOOKUP($T$751,'TAR FIN'!$A$1:$O$86,15,0))</f>
        <v>285.56</v>
      </c>
      <c r="X751" s="6">
        <f>IF(ISERROR(VLOOKUP($U$751,'TAR FIN'!$A$1:$O$86,15,0)),0,VLOOKUP($U$751,'TAR FIN'!$A$1:$O$86,15,0))</f>
        <v>227.23</v>
      </c>
      <c r="Y751" s="6"/>
      <c r="Z751" s="6">
        <f ca="1">('TUSD BE'!$AM$34+'TUSD BF_350'!$AM$34+'TUSD CVA'!$AM$34)*(1-CUSTOS!$M$38)</f>
        <v>310.34682484351242</v>
      </c>
      <c r="AA751" s="6">
        <f ca="1">('TE BE'!$AB$24+'TE BF_350'!$AB$24+'TE CVA'!$AB$24)*(1-CUSTOS!$M$38)</f>
        <v>216.7476358676706</v>
      </c>
      <c r="AB751" s="6">
        <f>$K$751*$V$751</f>
        <v>0</v>
      </c>
      <c r="AC751" s="6">
        <f>$M$751*$W$751</f>
        <v>-17227.26368</v>
      </c>
      <c r="AD751" s="6">
        <f>$O$751*$X$751</f>
        <v>-13708.33144</v>
      </c>
      <c r="AE751" s="6">
        <f>$K$751*$Y$751</f>
        <v>0</v>
      </c>
      <c r="AF751" s="6">
        <f ca="1">$M$751*$Z$751</f>
        <v>-18722.60324915942</v>
      </c>
      <c r="AG751" s="6">
        <f ca="1">$O$751*$AA$751</f>
        <v>-13075.951376624833</v>
      </c>
    </row>
    <row r="752" spans="1:33" ht="11.25" customHeight="1" x14ac:dyDescent="0.25">
      <c r="A752" s="4" t="s">
        <v>55</v>
      </c>
      <c r="B752" s="4" t="s">
        <v>42</v>
      </c>
      <c r="C752" s="4" t="s">
        <v>23</v>
      </c>
      <c r="D752" s="4" t="s">
        <v>43</v>
      </c>
      <c r="E752" s="4" t="s">
        <v>25</v>
      </c>
      <c r="F752" s="4" t="s">
        <v>25</v>
      </c>
      <c r="G752" s="4" t="s">
        <v>25</v>
      </c>
      <c r="H752" s="4" t="s">
        <v>25</v>
      </c>
      <c r="I752" s="5">
        <v>44562</v>
      </c>
      <c r="J752" s="6">
        <v>0</v>
      </c>
      <c r="K752" s="6">
        <v>0</v>
      </c>
      <c r="L752" s="6">
        <v>48.277000000000001</v>
      </c>
      <c r="M752" s="6">
        <v>48.277000000000001</v>
      </c>
      <c r="N752" s="6">
        <v>48.277000000000001</v>
      </c>
      <c r="O752" s="6">
        <v>48.277000000000001</v>
      </c>
      <c r="P752" s="6">
        <v>205</v>
      </c>
      <c r="Q752" s="4" t="s">
        <v>26</v>
      </c>
      <c r="R752" s="4">
        <v>0</v>
      </c>
      <c r="S752" s="6">
        <v>0</v>
      </c>
      <c r="T752" s="6">
        <v>30</v>
      </c>
      <c r="U752" s="6">
        <v>70</v>
      </c>
      <c r="V752" s="6">
        <f>IF(ISERROR(VLOOKUP($S$752,'TAR FIN'!$A$1:$O$86,15,0)),0,VLOOKUP($S$752,'TAR FIN'!$A$1:$O$86,15,0))</f>
        <v>0</v>
      </c>
      <c r="W752" s="6">
        <f>IF(ISERROR(VLOOKUP($T$752,'TAR FIN'!$A$1:$O$86,15,0)),0,VLOOKUP($T$752,'TAR FIN'!$A$1:$O$86,15,0))</f>
        <v>285.56</v>
      </c>
      <c r="X752" s="6">
        <f>IF(ISERROR(VLOOKUP($U$752,'TAR FIN'!$A$1:$O$86,15,0)),0,VLOOKUP($U$752,'TAR FIN'!$A$1:$O$86,15,0))</f>
        <v>227.23</v>
      </c>
      <c r="Y752" s="6"/>
      <c r="Z752" s="6">
        <f ca="1">('TUSD BE'!$AM$34+'TUSD BF_350'!$AM$34+'TUSD CVA'!$AM$34)*(1-CUSTOS!$M$38)</f>
        <v>310.34682484351242</v>
      </c>
      <c r="AA752" s="6">
        <f ca="1">('TE BE'!$AB$24+'TE BF_350'!$AB$24+'TE CVA'!$AB$24)*(1-CUSTOS!$M$38)</f>
        <v>216.7476358676706</v>
      </c>
      <c r="AB752" s="6">
        <f>$K$752*$V$752</f>
        <v>0</v>
      </c>
      <c r="AC752" s="6">
        <f>$M$752*$W$752</f>
        <v>13785.98012</v>
      </c>
      <c r="AD752" s="6">
        <f>$O$752*$X$752</f>
        <v>10969.98271</v>
      </c>
      <c r="AE752" s="6">
        <f>$K$752*$Y$752</f>
        <v>0</v>
      </c>
      <c r="AF752" s="6">
        <f ca="1">$M$752*$Z$752</f>
        <v>14982.613662970249</v>
      </c>
      <c r="AG752" s="6">
        <f ca="1">$O$752*$AA$752</f>
        <v>10463.925616783534</v>
      </c>
    </row>
    <row r="753" spans="1:33" ht="11.25" customHeight="1" x14ac:dyDescent="0.25">
      <c r="A753" s="4" t="s">
        <v>21</v>
      </c>
      <c r="B753" s="4" t="s">
        <v>42</v>
      </c>
      <c r="C753" s="4" t="s">
        <v>23</v>
      </c>
      <c r="D753" s="4" t="s">
        <v>43</v>
      </c>
      <c r="E753" s="4" t="s">
        <v>25</v>
      </c>
      <c r="F753" s="4" t="s">
        <v>25</v>
      </c>
      <c r="G753" s="4" t="s">
        <v>25</v>
      </c>
      <c r="H753" s="4" t="s">
        <v>25</v>
      </c>
      <c r="I753" s="5">
        <v>44593</v>
      </c>
      <c r="J753" s="6">
        <v>0</v>
      </c>
      <c r="K753" s="6">
        <v>0</v>
      </c>
      <c r="L753" s="6">
        <v>1841.87</v>
      </c>
      <c r="M753" s="6">
        <v>1841.87</v>
      </c>
      <c r="N753" s="6">
        <v>1841.87</v>
      </c>
      <c r="O753" s="6">
        <v>1841.87</v>
      </c>
      <c r="P753" s="6">
        <v>3436</v>
      </c>
      <c r="Q753" s="4" t="s">
        <v>26</v>
      </c>
      <c r="R753" s="4">
        <v>0</v>
      </c>
      <c r="S753" s="6">
        <v>0</v>
      </c>
      <c r="T753" s="6">
        <v>30</v>
      </c>
      <c r="U753" s="6">
        <v>70</v>
      </c>
      <c r="V753" s="6">
        <f>IF(ISERROR(VLOOKUP($S$753,'TAR FIN'!$A$1:$O$86,15,0)),0,VLOOKUP($S$753,'TAR FIN'!$A$1:$O$86,15,0))</f>
        <v>0</v>
      </c>
      <c r="W753" s="6">
        <f>IF(ISERROR(VLOOKUP($T$753,'TAR FIN'!$A$1:$O$86,15,0)),0,VLOOKUP($T$753,'TAR FIN'!$A$1:$O$86,15,0))</f>
        <v>285.56</v>
      </c>
      <c r="X753" s="6">
        <f>IF(ISERROR(VLOOKUP($U$753,'TAR FIN'!$A$1:$O$86,15,0)),0,VLOOKUP($U$753,'TAR FIN'!$A$1:$O$86,15,0))</f>
        <v>227.23</v>
      </c>
      <c r="Y753" s="6"/>
      <c r="Z753" s="6">
        <f ca="1">('TUSD BE'!$AM$34+'TUSD BF_350'!$AM$34+'TUSD CVA'!$AM$34)*(1-CUSTOS!$M$38)</f>
        <v>310.34682484351242</v>
      </c>
      <c r="AA753" s="6">
        <f ca="1">('TE BE'!$AB$24+'TE BF_350'!$AB$24+'TE CVA'!$AB$24)*(1-CUSTOS!$M$38)</f>
        <v>216.7476358676706</v>
      </c>
      <c r="AB753" s="6">
        <f>$K$753*$V$753</f>
        <v>0</v>
      </c>
      <c r="AC753" s="6">
        <f>$M$753*$W$753</f>
        <v>525964.39720000001</v>
      </c>
      <c r="AD753" s="6">
        <f>$O$753*$X$753</f>
        <v>418528.12009999994</v>
      </c>
      <c r="AE753" s="6">
        <f>$K$753*$Y$753</f>
        <v>0</v>
      </c>
      <c r="AF753" s="6">
        <f ca="1">$M$753*$Z$753</f>
        <v>571618.50627452019</v>
      </c>
      <c r="AG753" s="6">
        <f ca="1">$O$753*$AA$753</f>
        <v>399220.96807558642</v>
      </c>
    </row>
    <row r="754" spans="1:33" ht="11.25" customHeight="1" x14ac:dyDescent="0.25">
      <c r="A754" s="4" t="s">
        <v>27</v>
      </c>
      <c r="B754" s="4" t="s">
        <v>42</v>
      </c>
      <c r="C754" s="4" t="s">
        <v>23</v>
      </c>
      <c r="D754" s="4" t="s">
        <v>43</v>
      </c>
      <c r="E754" s="4" t="s">
        <v>25</v>
      </c>
      <c r="F754" s="4" t="s">
        <v>25</v>
      </c>
      <c r="G754" s="4" t="s">
        <v>25</v>
      </c>
      <c r="H754" s="4" t="s">
        <v>25</v>
      </c>
      <c r="I754" s="5">
        <v>44593</v>
      </c>
      <c r="J754" s="6">
        <v>0</v>
      </c>
      <c r="K754" s="6">
        <v>0</v>
      </c>
      <c r="L754" s="6">
        <v>-1.823</v>
      </c>
      <c r="M754" s="6">
        <v>-1.823</v>
      </c>
      <c r="N754" s="6">
        <v>-1.823</v>
      </c>
      <c r="O754" s="6">
        <v>-1.823</v>
      </c>
      <c r="P754" s="6">
        <v>0</v>
      </c>
      <c r="Q754" s="4" t="s">
        <v>26</v>
      </c>
      <c r="R754" s="4">
        <v>0</v>
      </c>
      <c r="S754" s="6">
        <v>0</v>
      </c>
      <c r="T754" s="6">
        <v>30</v>
      </c>
      <c r="U754" s="6">
        <v>70</v>
      </c>
      <c r="V754" s="6">
        <f>IF(ISERROR(VLOOKUP($S$754,'TAR FIN'!$A$1:$O$86,15,0)),0,VLOOKUP($S$754,'TAR FIN'!$A$1:$O$86,15,0))</f>
        <v>0</v>
      </c>
      <c r="W754" s="6">
        <f>IF(ISERROR(VLOOKUP($T$754,'TAR FIN'!$A$1:$O$86,15,0)),0,VLOOKUP($T$754,'TAR FIN'!$A$1:$O$86,15,0))</f>
        <v>285.56</v>
      </c>
      <c r="X754" s="6">
        <f>IF(ISERROR(VLOOKUP($U$754,'TAR FIN'!$A$1:$O$86,15,0)),0,VLOOKUP($U$754,'TAR FIN'!$A$1:$O$86,15,0))</f>
        <v>227.23</v>
      </c>
      <c r="Y754" s="6"/>
      <c r="Z754" s="6">
        <f ca="1">('TUSD BE'!$AM$34+'TUSD BF_350'!$AM$34+'TUSD CVA'!$AM$34)*(1-CUSTOS!$M$38)</f>
        <v>310.34682484351242</v>
      </c>
      <c r="AA754" s="6">
        <f ca="1">('TE BE'!$AB$24+'TE BF_350'!$AB$24+'TE CVA'!$AB$24)*(1-CUSTOS!$M$38)</f>
        <v>216.7476358676706</v>
      </c>
      <c r="AB754" s="6">
        <f>$K$754*$V$754</f>
        <v>0</v>
      </c>
      <c r="AC754" s="6">
        <f>$M$754*$W$754</f>
        <v>-520.57587999999998</v>
      </c>
      <c r="AD754" s="6">
        <f>$O$754*$X$754</f>
        <v>-414.24028999999996</v>
      </c>
      <c r="AE754" s="6">
        <f>$K$754*$Y$754</f>
        <v>0</v>
      </c>
      <c r="AF754" s="6">
        <f ca="1">$M$754*$Z$754</f>
        <v>-565.76226168972312</v>
      </c>
      <c r="AG754" s="6">
        <f ca="1">$O$754*$AA$754</f>
        <v>-395.1309401867635</v>
      </c>
    </row>
    <row r="755" spans="1:33" ht="11.25" customHeight="1" x14ac:dyDescent="0.25">
      <c r="A755" s="4" t="s">
        <v>55</v>
      </c>
      <c r="B755" s="4" t="s">
        <v>42</v>
      </c>
      <c r="C755" s="4" t="s">
        <v>23</v>
      </c>
      <c r="D755" s="4" t="s">
        <v>43</v>
      </c>
      <c r="E755" s="4" t="s">
        <v>25</v>
      </c>
      <c r="F755" s="4" t="s">
        <v>25</v>
      </c>
      <c r="G755" s="4" t="s">
        <v>25</v>
      </c>
      <c r="H755" s="4" t="s">
        <v>25</v>
      </c>
      <c r="I755" s="5">
        <v>44593</v>
      </c>
      <c r="J755" s="6">
        <v>0</v>
      </c>
      <c r="K755" s="6">
        <v>0</v>
      </c>
      <c r="L755" s="6">
        <v>55.790999999999997</v>
      </c>
      <c r="M755" s="6">
        <v>55.790999999999997</v>
      </c>
      <c r="N755" s="6">
        <v>55.790999999999997</v>
      </c>
      <c r="O755" s="6">
        <v>55.790999999999997</v>
      </c>
      <c r="P755" s="6">
        <v>233</v>
      </c>
      <c r="Q755" s="4" t="s">
        <v>26</v>
      </c>
      <c r="R755" s="4">
        <v>0</v>
      </c>
      <c r="S755" s="6">
        <v>0</v>
      </c>
      <c r="T755" s="6">
        <v>30</v>
      </c>
      <c r="U755" s="6">
        <v>70</v>
      </c>
      <c r="V755" s="6">
        <f>IF(ISERROR(VLOOKUP($S$755,'TAR FIN'!$A$1:$O$86,15,0)),0,VLOOKUP($S$755,'TAR FIN'!$A$1:$O$86,15,0))</f>
        <v>0</v>
      </c>
      <c r="W755" s="6">
        <f>IF(ISERROR(VLOOKUP($T$755,'TAR FIN'!$A$1:$O$86,15,0)),0,VLOOKUP($T$755,'TAR FIN'!$A$1:$O$86,15,0))</f>
        <v>285.56</v>
      </c>
      <c r="X755" s="6">
        <f>IF(ISERROR(VLOOKUP($U$755,'TAR FIN'!$A$1:$O$86,15,0)),0,VLOOKUP($U$755,'TAR FIN'!$A$1:$O$86,15,0))</f>
        <v>227.23</v>
      </c>
      <c r="Y755" s="6"/>
      <c r="Z755" s="6">
        <f ca="1">('TUSD BE'!$AM$34+'TUSD BF_350'!$AM$34+'TUSD CVA'!$AM$34)*(1-CUSTOS!$M$38)</f>
        <v>310.34682484351242</v>
      </c>
      <c r="AA755" s="6">
        <f ca="1">('TE BE'!$AB$24+'TE BF_350'!$AB$24+'TE CVA'!$AB$24)*(1-CUSTOS!$M$38)</f>
        <v>216.7476358676706</v>
      </c>
      <c r="AB755" s="6">
        <f>$K$755*$V$755</f>
        <v>0</v>
      </c>
      <c r="AC755" s="6">
        <f>$M$755*$W$755</f>
        <v>15931.677959999999</v>
      </c>
      <c r="AD755" s="6">
        <f>$O$755*$X$755</f>
        <v>12677.388929999999</v>
      </c>
      <c r="AE755" s="6">
        <f>$K$755*$Y$755</f>
        <v>0</v>
      </c>
      <c r="AF755" s="6">
        <f ca="1">$M$755*$Z$755</f>
        <v>17314.5597048444</v>
      </c>
      <c r="AG755" s="6">
        <f ca="1">$O$755*$AA$755</f>
        <v>12092.56735269321</v>
      </c>
    </row>
    <row r="756" spans="1:33" ht="11.25" customHeight="1" x14ac:dyDescent="0.25">
      <c r="A756" s="4" t="s">
        <v>21</v>
      </c>
      <c r="B756" s="4" t="s">
        <v>42</v>
      </c>
      <c r="C756" s="4" t="s">
        <v>23</v>
      </c>
      <c r="D756" s="4" t="s">
        <v>43</v>
      </c>
      <c r="E756" s="4" t="s">
        <v>25</v>
      </c>
      <c r="F756" s="4" t="s">
        <v>25</v>
      </c>
      <c r="G756" s="4" t="s">
        <v>25</v>
      </c>
      <c r="H756" s="4" t="s">
        <v>25</v>
      </c>
      <c r="I756" s="5">
        <v>44621</v>
      </c>
      <c r="J756" s="6">
        <v>0</v>
      </c>
      <c r="K756" s="6">
        <v>0</v>
      </c>
      <c r="L756" s="6">
        <v>1456.9090000000001</v>
      </c>
      <c r="M756" s="6">
        <v>1456.9090000000001</v>
      </c>
      <c r="N756" s="6">
        <v>1456.9090000000001</v>
      </c>
      <c r="O756" s="6">
        <v>1456.9090000000001</v>
      </c>
      <c r="P756" s="6">
        <v>3418</v>
      </c>
      <c r="Q756" s="4" t="s">
        <v>26</v>
      </c>
      <c r="R756" s="4">
        <v>0</v>
      </c>
      <c r="S756" s="6">
        <v>0</v>
      </c>
      <c r="T756" s="6">
        <v>30</v>
      </c>
      <c r="U756" s="6">
        <v>70</v>
      </c>
      <c r="V756" s="6">
        <f>IF(ISERROR(VLOOKUP($S$756,'TAR FIN'!$A$1:$O$86,15,0)),0,VLOOKUP($S$756,'TAR FIN'!$A$1:$O$86,15,0))</f>
        <v>0</v>
      </c>
      <c r="W756" s="6">
        <f>IF(ISERROR(VLOOKUP($T$756,'TAR FIN'!$A$1:$O$86,15,0)),0,VLOOKUP($T$756,'TAR FIN'!$A$1:$O$86,15,0))</f>
        <v>285.56</v>
      </c>
      <c r="X756" s="6">
        <f>IF(ISERROR(VLOOKUP($U$756,'TAR FIN'!$A$1:$O$86,15,0)),0,VLOOKUP($U$756,'TAR FIN'!$A$1:$O$86,15,0))</f>
        <v>227.23</v>
      </c>
      <c r="Y756" s="6"/>
      <c r="Z756" s="6">
        <f ca="1">('TUSD BE'!$AM$34+'TUSD BF_350'!$AM$34+'TUSD CVA'!$AM$34)*(1-CUSTOS!$M$38)</f>
        <v>310.34682484351242</v>
      </c>
      <c r="AA756" s="6">
        <f ca="1">('TE BE'!$AB$24+'TE BF_350'!$AB$24+'TE CVA'!$AB$24)*(1-CUSTOS!$M$38)</f>
        <v>216.7476358676706</v>
      </c>
      <c r="AB756" s="6">
        <f>$K$756*$V$756</f>
        <v>0</v>
      </c>
      <c r="AC756" s="6">
        <f>$M$756*$W$756</f>
        <v>416034.93404000002</v>
      </c>
      <c r="AD756" s="6">
        <f>$O$756*$X$756</f>
        <v>331053.43206999998</v>
      </c>
      <c r="AE756" s="6">
        <f>$K$756*$Y$756</f>
        <v>0</v>
      </c>
      <c r="AF756" s="6">
        <f ca="1">$M$756*$Z$756</f>
        <v>452147.08223593689</v>
      </c>
      <c r="AG756" s="6">
        <f ca="1">$O$756*$AA$756</f>
        <v>315781.58142433211</v>
      </c>
    </row>
    <row r="757" spans="1:33" ht="11.25" customHeight="1" x14ac:dyDescent="0.25">
      <c r="A757" s="4" t="s">
        <v>27</v>
      </c>
      <c r="B757" s="4" t="s">
        <v>42</v>
      </c>
      <c r="C757" s="4" t="s">
        <v>23</v>
      </c>
      <c r="D757" s="4" t="s">
        <v>43</v>
      </c>
      <c r="E757" s="4" t="s">
        <v>25</v>
      </c>
      <c r="F757" s="4" t="s">
        <v>25</v>
      </c>
      <c r="G757" s="4" t="s">
        <v>25</v>
      </c>
      <c r="H757" s="4" t="s">
        <v>25</v>
      </c>
      <c r="I757" s="5">
        <v>44621</v>
      </c>
      <c r="J757" s="6">
        <v>0</v>
      </c>
      <c r="K757" s="6">
        <v>0</v>
      </c>
      <c r="L757" s="6">
        <v>-196.922</v>
      </c>
      <c r="M757" s="6">
        <v>-196.922</v>
      </c>
      <c r="N757" s="6">
        <v>-196.922</v>
      </c>
      <c r="O757" s="6">
        <v>-196.922</v>
      </c>
      <c r="P757" s="6">
        <v>0</v>
      </c>
      <c r="Q757" s="4" t="s">
        <v>26</v>
      </c>
      <c r="R757" s="4">
        <v>0</v>
      </c>
      <c r="S757" s="6">
        <v>0</v>
      </c>
      <c r="T757" s="6">
        <v>30</v>
      </c>
      <c r="U757" s="6">
        <v>70</v>
      </c>
      <c r="V757" s="6">
        <f>IF(ISERROR(VLOOKUP($S$757,'TAR FIN'!$A$1:$O$86,15,0)),0,VLOOKUP($S$757,'TAR FIN'!$A$1:$O$86,15,0))</f>
        <v>0</v>
      </c>
      <c r="W757" s="6">
        <f>IF(ISERROR(VLOOKUP($T$757,'TAR FIN'!$A$1:$O$86,15,0)),0,VLOOKUP($T$757,'TAR FIN'!$A$1:$O$86,15,0))</f>
        <v>285.56</v>
      </c>
      <c r="X757" s="6">
        <f>IF(ISERROR(VLOOKUP($U$757,'TAR FIN'!$A$1:$O$86,15,0)),0,VLOOKUP($U$757,'TAR FIN'!$A$1:$O$86,15,0))</f>
        <v>227.23</v>
      </c>
      <c r="Y757" s="6"/>
      <c r="Z757" s="6">
        <f ca="1">('TUSD BE'!$AM$34+'TUSD BF_350'!$AM$34+'TUSD CVA'!$AM$34)*(1-CUSTOS!$M$38)</f>
        <v>310.34682484351242</v>
      </c>
      <c r="AA757" s="6">
        <f ca="1">('TE BE'!$AB$24+'TE BF_350'!$AB$24+'TE CVA'!$AB$24)*(1-CUSTOS!$M$38)</f>
        <v>216.7476358676706</v>
      </c>
      <c r="AB757" s="6">
        <f>$K$757*$V$757</f>
        <v>0</v>
      </c>
      <c r="AC757" s="6">
        <f>$M$757*$W$757</f>
        <v>-56233.046320000001</v>
      </c>
      <c r="AD757" s="6">
        <f>$O$757*$X$757</f>
        <v>-44746.586059999994</v>
      </c>
      <c r="AE757" s="6">
        <f>$K$757*$Y$757</f>
        <v>0</v>
      </c>
      <c r="AF757" s="6">
        <f ca="1">$M$757*$Z$757</f>
        <v>-61114.117441834154</v>
      </c>
      <c r="AG757" s="6">
        <f ca="1">$O$757*$AA$757</f>
        <v>-42682.37795033343</v>
      </c>
    </row>
    <row r="758" spans="1:33" ht="11.25" customHeight="1" x14ac:dyDescent="0.25">
      <c r="A758" s="4" t="s">
        <v>55</v>
      </c>
      <c r="B758" s="4" t="s">
        <v>42</v>
      </c>
      <c r="C758" s="4" t="s">
        <v>23</v>
      </c>
      <c r="D758" s="4" t="s">
        <v>43</v>
      </c>
      <c r="E758" s="4" t="s">
        <v>25</v>
      </c>
      <c r="F758" s="4" t="s">
        <v>25</v>
      </c>
      <c r="G758" s="4" t="s">
        <v>25</v>
      </c>
      <c r="H758" s="4" t="s">
        <v>25</v>
      </c>
      <c r="I758" s="5">
        <v>44621</v>
      </c>
      <c r="J758" s="6">
        <v>0</v>
      </c>
      <c r="K758" s="6">
        <v>0</v>
      </c>
      <c r="L758" s="6">
        <v>60.874000000000002</v>
      </c>
      <c r="M758" s="6">
        <v>60.874000000000002</v>
      </c>
      <c r="N758" s="6">
        <v>60.874000000000002</v>
      </c>
      <c r="O758" s="6">
        <v>60.874000000000002</v>
      </c>
      <c r="P758" s="6">
        <v>256</v>
      </c>
      <c r="Q758" s="4" t="s">
        <v>26</v>
      </c>
      <c r="R758" s="4">
        <v>0</v>
      </c>
      <c r="S758" s="6">
        <v>0</v>
      </c>
      <c r="T758" s="6">
        <v>30</v>
      </c>
      <c r="U758" s="6">
        <v>70</v>
      </c>
      <c r="V758" s="6">
        <f>IF(ISERROR(VLOOKUP($S$758,'TAR FIN'!$A$1:$O$86,15,0)),0,VLOOKUP($S$758,'TAR FIN'!$A$1:$O$86,15,0))</f>
        <v>0</v>
      </c>
      <c r="W758" s="6">
        <f>IF(ISERROR(VLOOKUP($T$758,'TAR FIN'!$A$1:$O$86,15,0)),0,VLOOKUP($T$758,'TAR FIN'!$A$1:$O$86,15,0))</f>
        <v>285.56</v>
      </c>
      <c r="X758" s="6">
        <f>IF(ISERROR(VLOOKUP($U$758,'TAR FIN'!$A$1:$O$86,15,0)),0,VLOOKUP($U$758,'TAR FIN'!$A$1:$O$86,15,0))</f>
        <v>227.23</v>
      </c>
      <c r="Y758" s="6"/>
      <c r="Z758" s="6">
        <f ca="1">('TUSD BE'!$AM$34+'TUSD BF_350'!$AM$34+'TUSD CVA'!$AM$34)*(1-CUSTOS!$M$38)</f>
        <v>310.34682484351242</v>
      </c>
      <c r="AA758" s="6">
        <f ca="1">('TE BE'!$AB$24+'TE BF_350'!$AB$24+'TE CVA'!$AB$24)*(1-CUSTOS!$M$38)</f>
        <v>216.7476358676706</v>
      </c>
      <c r="AB758" s="6">
        <f>$K$758*$V$758</f>
        <v>0</v>
      </c>
      <c r="AC758" s="6">
        <f>$M$758*$W$758</f>
        <v>17383.17944</v>
      </c>
      <c r="AD758" s="6">
        <f>$O$758*$X$758</f>
        <v>13832.399020000001</v>
      </c>
      <c r="AE758" s="6">
        <f>$K$758*$Y$758</f>
        <v>0</v>
      </c>
      <c r="AF758" s="6">
        <f ca="1">$M$758*$Z$758</f>
        <v>18892.052615523975</v>
      </c>
      <c r="AG758" s="6">
        <f ca="1">$O$758*$AA$758</f>
        <v>13194.295585808581</v>
      </c>
    </row>
    <row r="759" spans="1:33" ht="11.25" customHeight="1" x14ac:dyDescent="0.25">
      <c r="A759" s="4" t="s">
        <v>55</v>
      </c>
      <c r="B759" s="4" t="s">
        <v>42</v>
      </c>
      <c r="C759" s="4" t="s">
        <v>23</v>
      </c>
      <c r="D759" s="4" t="s">
        <v>43</v>
      </c>
      <c r="E759" s="4" t="s">
        <v>25</v>
      </c>
      <c r="F759" s="4" t="s">
        <v>25</v>
      </c>
      <c r="G759" s="4" t="s">
        <v>25</v>
      </c>
      <c r="H759" s="4" t="s">
        <v>25</v>
      </c>
      <c r="I759" s="5">
        <v>44621</v>
      </c>
      <c r="J759" s="6">
        <v>0</v>
      </c>
      <c r="K759" s="6">
        <v>0</v>
      </c>
      <c r="L759" s="6">
        <v>0.2</v>
      </c>
      <c r="M759" s="6">
        <v>0.2</v>
      </c>
      <c r="N759" s="6">
        <v>0.2</v>
      </c>
      <c r="O759" s="6">
        <v>0.2</v>
      </c>
      <c r="P759" s="6">
        <v>2</v>
      </c>
      <c r="Q759" s="4" t="s">
        <v>26</v>
      </c>
      <c r="R759" s="4">
        <v>0</v>
      </c>
      <c r="S759" s="6">
        <v>0</v>
      </c>
      <c r="T759" s="6">
        <v>30</v>
      </c>
      <c r="U759" s="6">
        <v>70</v>
      </c>
      <c r="V759" s="6">
        <f>IF(ISERROR(VLOOKUP($S$759,'TAR FIN'!$A$1:$O$86,15,0)),0,VLOOKUP($S$759,'TAR FIN'!$A$1:$O$86,15,0))</f>
        <v>0</v>
      </c>
      <c r="W759" s="6">
        <f>IF(ISERROR(VLOOKUP($T$759,'TAR FIN'!$A$1:$O$86,15,0)),0,VLOOKUP($T$759,'TAR FIN'!$A$1:$O$86,15,0))</f>
        <v>285.56</v>
      </c>
      <c r="X759" s="6">
        <f>IF(ISERROR(VLOOKUP($U$759,'TAR FIN'!$A$1:$O$86,15,0)),0,VLOOKUP($U$759,'TAR FIN'!$A$1:$O$86,15,0))</f>
        <v>227.23</v>
      </c>
      <c r="Y759" s="6"/>
      <c r="Z759" s="6">
        <f ca="1">('TUSD BE'!$AM$34+'TUSD BF_350'!$AM$34+'TUSD CVA'!$AM$34)*(1-CUSTOS!$M$38)</f>
        <v>310.34682484351242</v>
      </c>
      <c r="AA759" s="6">
        <f ca="1">('TE BE'!$AB$24+'TE BF_350'!$AB$24+'TE CVA'!$AB$24)*(1-CUSTOS!$M$38)</f>
        <v>216.7476358676706</v>
      </c>
      <c r="AB759" s="6">
        <f>$K$759*$V$759</f>
        <v>0</v>
      </c>
      <c r="AC759" s="6">
        <f>$M$759*$W$759</f>
        <v>57.112000000000002</v>
      </c>
      <c r="AD759" s="6">
        <f>$O$759*$X$759</f>
        <v>45.445999999999998</v>
      </c>
      <c r="AE759" s="6">
        <f>$K$759*$Y$759</f>
        <v>0</v>
      </c>
      <c r="AF759" s="6">
        <f ca="1">$M$759*$Z$759</f>
        <v>62.069364968702487</v>
      </c>
      <c r="AG759" s="6">
        <f ca="1">$O$759*$AA$759</f>
        <v>43.349527173534121</v>
      </c>
    </row>
    <row r="760" spans="1:33" ht="11.25" customHeight="1" x14ac:dyDescent="0.25">
      <c r="A760" s="4" t="s">
        <v>21</v>
      </c>
      <c r="B760" s="4" t="s">
        <v>42</v>
      </c>
      <c r="C760" s="4" t="s">
        <v>23</v>
      </c>
      <c r="D760" s="4" t="s">
        <v>43</v>
      </c>
      <c r="E760" s="4" t="s">
        <v>25</v>
      </c>
      <c r="F760" s="4" t="s">
        <v>25</v>
      </c>
      <c r="G760" s="4" t="s">
        <v>25</v>
      </c>
      <c r="H760" s="4" t="s">
        <v>25</v>
      </c>
      <c r="I760" s="5">
        <v>44652</v>
      </c>
      <c r="J760" s="6">
        <v>0</v>
      </c>
      <c r="K760" s="6">
        <v>0</v>
      </c>
      <c r="L760" s="6">
        <v>1410.451</v>
      </c>
      <c r="M760" s="6">
        <v>1410.451</v>
      </c>
      <c r="N760" s="6">
        <v>1410.451</v>
      </c>
      <c r="O760" s="6">
        <v>1410.451</v>
      </c>
      <c r="P760" s="6">
        <v>3394</v>
      </c>
      <c r="Q760" s="4" t="s">
        <v>26</v>
      </c>
      <c r="R760" s="4">
        <v>0</v>
      </c>
      <c r="S760" s="6">
        <v>0</v>
      </c>
      <c r="T760" s="6">
        <v>30</v>
      </c>
      <c r="U760" s="6">
        <v>70</v>
      </c>
      <c r="V760" s="6">
        <f>IF(ISERROR(VLOOKUP($S$760,'TAR FIN'!$A$1:$O$86,15,0)),0,VLOOKUP($S$760,'TAR FIN'!$A$1:$O$86,15,0))</f>
        <v>0</v>
      </c>
      <c r="W760" s="6">
        <f>IF(ISERROR(VLOOKUP($T$760,'TAR FIN'!$A$1:$O$86,15,0)),0,VLOOKUP($T$760,'TAR FIN'!$A$1:$O$86,15,0))</f>
        <v>285.56</v>
      </c>
      <c r="X760" s="6">
        <f>IF(ISERROR(VLOOKUP($U$760,'TAR FIN'!$A$1:$O$86,15,0)),0,VLOOKUP($U$760,'TAR FIN'!$A$1:$O$86,15,0))</f>
        <v>227.23</v>
      </c>
      <c r="Y760" s="6"/>
      <c r="Z760" s="6">
        <f ca="1">('TUSD BE'!$AM$34+'TUSD BF_350'!$AM$34+'TUSD CVA'!$AM$34)*(1-CUSTOS!$M$38)</f>
        <v>310.34682484351242</v>
      </c>
      <c r="AA760" s="6">
        <f ca="1">('TE BE'!$AB$24+'TE BF_350'!$AB$24+'TE CVA'!$AB$24)*(1-CUSTOS!$M$38)</f>
        <v>216.7476358676706</v>
      </c>
      <c r="AB760" s="6">
        <f>$K$760*$V$760</f>
        <v>0</v>
      </c>
      <c r="AC760" s="6">
        <f>$M$760*$W$760</f>
        <v>402768.38756</v>
      </c>
      <c r="AD760" s="6">
        <f>$O$760*$X$760</f>
        <v>320496.78073</v>
      </c>
      <c r="AE760" s="6">
        <f>$K$760*$Y$760</f>
        <v>0</v>
      </c>
      <c r="AF760" s="6">
        <f ca="1">$M$760*$Z$760</f>
        <v>437728.98944735696</v>
      </c>
      <c r="AG760" s="6">
        <f ca="1">$O$760*$AA$760</f>
        <v>305711.91975719185</v>
      </c>
    </row>
    <row r="761" spans="1:33" ht="11.25" customHeight="1" x14ac:dyDescent="0.25">
      <c r="A761" s="4" t="s">
        <v>27</v>
      </c>
      <c r="B761" s="4" t="s">
        <v>42</v>
      </c>
      <c r="C761" s="4" t="s">
        <v>23</v>
      </c>
      <c r="D761" s="4" t="s">
        <v>43</v>
      </c>
      <c r="E761" s="4" t="s">
        <v>25</v>
      </c>
      <c r="F761" s="4" t="s">
        <v>25</v>
      </c>
      <c r="G761" s="4" t="s">
        <v>25</v>
      </c>
      <c r="H761" s="4" t="s">
        <v>25</v>
      </c>
      <c r="I761" s="5">
        <v>44652</v>
      </c>
      <c r="J761" s="6">
        <v>0</v>
      </c>
      <c r="K761" s="6">
        <v>0</v>
      </c>
      <c r="L761" s="6">
        <v>-112.73</v>
      </c>
      <c r="M761" s="6">
        <v>-112.73</v>
      </c>
      <c r="N761" s="6">
        <v>-112.73</v>
      </c>
      <c r="O761" s="6">
        <v>-112.73</v>
      </c>
      <c r="P761" s="6">
        <v>0</v>
      </c>
      <c r="Q761" s="4" t="s">
        <v>26</v>
      </c>
      <c r="R761" s="4">
        <v>0</v>
      </c>
      <c r="S761" s="6">
        <v>0</v>
      </c>
      <c r="T761" s="6">
        <v>30</v>
      </c>
      <c r="U761" s="6">
        <v>70</v>
      </c>
      <c r="V761" s="6">
        <f>IF(ISERROR(VLOOKUP($S$761,'TAR FIN'!$A$1:$O$86,15,0)),0,VLOOKUP($S$761,'TAR FIN'!$A$1:$O$86,15,0))</f>
        <v>0</v>
      </c>
      <c r="W761" s="6">
        <f>IF(ISERROR(VLOOKUP($T$761,'TAR FIN'!$A$1:$O$86,15,0)),0,VLOOKUP($T$761,'TAR FIN'!$A$1:$O$86,15,0))</f>
        <v>285.56</v>
      </c>
      <c r="X761" s="6">
        <f>IF(ISERROR(VLOOKUP($U$761,'TAR FIN'!$A$1:$O$86,15,0)),0,VLOOKUP($U$761,'TAR FIN'!$A$1:$O$86,15,0))</f>
        <v>227.23</v>
      </c>
      <c r="Y761" s="6"/>
      <c r="Z761" s="6">
        <f ca="1">('TUSD BE'!$AM$34+'TUSD BF_350'!$AM$34+'TUSD CVA'!$AM$34)*(1-CUSTOS!$M$38)</f>
        <v>310.34682484351242</v>
      </c>
      <c r="AA761" s="6">
        <f ca="1">('TE BE'!$AB$24+'TE BF_350'!$AB$24+'TE CVA'!$AB$24)*(1-CUSTOS!$M$38)</f>
        <v>216.7476358676706</v>
      </c>
      <c r="AB761" s="6">
        <f>$K$761*$V$761</f>
        <v>0</v>
      </c>
      <c r="AC761" s="6">
        <f>$M$761*$W$761</f>
        <v>-32191.178800000002</v>
      </c>
      <c r="AD761" s="6">
        <f>$O$761*$X$761</f>
        <v>-25615.637900000002</v>
      </c>
      <c r="AE761" s="6">
        <f>$K$761*$Y$761</f>
        <v>0</v>
      </c>
      <c r="AF761" s="6">
        <f ca="1">$M$761*$Z$761</f>
        <v>-34985.397564609157</v>
      </c>
      <c r="AG761" s="6">
        <f ca="1">$O$761*$AA$761</f>
        <v>-24433.960991362506</v>
      </c>
    </row>
    <row r="762" spans="1:33" ht="11.25" customHeight="1" x14ac:dyDescent="0.25">
      <c r="A762" s="4" t="s">
        <v>55</v>
      </c>
      <c r="B762" s="4" t="s">
        <v>42</v>
      </c>
      <c r="C762" s="4" t="s">
        <v>23</v>
      </c>
      <c r="D762" s="4" t="s">
        <v>43</v>
      </c>
      <c r="E762" s="4" t="s">
        <v>25</v>
      </c>
      <c r="F762" s="4" t="s">
        <v>25</v>
      </c>
      <c r="G762" s="4" t="s">
        <v>25</v>
      </c>
      <c r="H762" s="4" t="s">
        <v>25</v>
      </c>
      <c r="I762" s="5">
        <v>44652</v>
      </c>
      <c r="J762" s="6">
        <v>0</v>
      </c>
      <c r="K762" s="6">
        <v>0</v>
      </c>
      <c r="L762" s="6">
        <v>95.173000000000002</v>
      </c>
      <c r="M762" s="6">
        <v>95.173000000000002</v>
      </c>
      <c r="N762" s="6">
        <v>95.173000000000002</v>
      </c>
      <c r="O762" s="6">
        <v>95.173000000000002</v>
      </c>
      <c r="P762" s="6">
        <v>276</v>
      </c>
      <c r="Q762" s="4" t="s">
        <v>26</v>
      </c>
      <c r="R762" s="4">
        <v>0</v>
      </c>
      <c r="S762" s="6">
        <v>0</v>
      </c>
      <c r="T762" s="6">
        <v>30</v>
      </c>
      <c r="U762" s="6">
        <v>70</v>
      </c>
      <c r="V762" s="6">
        <f>IF(ISERROR(VLOOKUP($S$762,'TAR FIN'!$A$1:$O$86,15,0)),0,VLOOKUP($S$762,'TAR FIN'!$A$1:$O$86,15,0))</f>
        <v>0</v>
      </c>
      <c r="W762" s="6">
        <f>IF(ISERROR(VLOOKUP($T$762,'TAR FIN'!$A$1:$O$86,15,0)),0,VLOOKUP($T$762,'TAR FIN'!$A$1:$O$86,15,0))</f>
        <v>285.56</v>
      </c>
      <c r="X762" s="6">
        <f>IF(ISERROR(VLOOKUP($U$762,'TAR FIN'!$A$1:$O$86,15,0)),0,VLOOKUP($U$762,'TAR FIN'!$A$1:$O$86,15,0))</f>
        <v>227.23</v>
      </c>
      <c r="Y762" s="6"/>
      <c r="Z762" s="6">
        <f ca="1">('TUSD BE'!$AM$34+'TUSD BF_350'!$AM$34+'TUSD CVA'!$AM$34)*(1-CUSTOS!$M$38)</f>
        <v>310.34682484351242</v>
      </c>
      <c r="AA762" s="6">
        <f ca="1">('TE BE'!$AB$24+'TE BF_350'!$AB$24+'TE CVA'!$AB$24)*(1-CUSTOS!$M$38)</f>
        <v>216.7476358676706</v>
      </c>
      <c r="AB762" s="6">
        <f>$K$762*$V$762</f>
        <v>0</v>
      </c>
      <c r="AC762" s="6">
        <f>$M$762*$W$762</f>
        <v>27177.601880000002</v>
      </c>
      <c r="AD762" s="6">
        <f>$O$762*$X$762</f>
        <v>21626.160789999998</v>
      </c>
      <c r="AE762" s="6">
        <f>$K$762*$Y$762</f>
        <v>0</v>
      </c>
      <c r="AF762" s="6">
        <f ca="1">$M$762*$Z$762</f>
        <v>29536.63836083161</v>
      </c>
      <c r="AG762" s="6">
        <f ca="1">$O$762*$AA$762</f>
        <v>20628.522748433814</v>
      </c>
    </row>
    <row r="763" spans="1:33" ht="11.25" customHeight="1" x14ac:dyDescent="0.25">
      <c r="A763" s="4" t="s">
        <v>21</v>
      </c>
      <c r="B763" s="4" t="s">
        <v>42</v>
      </c>
      <c r="C763" s="4" t="s">
        <v>23</v>
      </c>
      <c r="D763" s="4" t="s">
        <v>43</v>
      </c>
      <c r="E763" s="4" t="s">
        <v>25</v>
      </c>
      <c r="F763" s="4" t="s">
        <v>25</v>
      </c>
      <c r="G763" s="4" t="s">
        <v>25</v>
      </c>
      <c r="H763" s="4" t="s">
        <v>25</v>
      </c>
      <c r="I763" s="5">
        <v>44682</v>
      </c>
      <c r="J763" s="6">
        <v>0</v>
      </c>
      <c r="K763" s="6">
        <v>0</v>
      </c>
      <c r="L763" s="6">
        <v>1287.5889999999999</v>
      </c>
      <c r="M763" s="6">
        <v>1287.5889999999999</v>
      </c>
      <c r="N763" s="6">
        <v>1287.5889999999999</v>
      </c>
      <c r="O763" s="6">
        <v>1287.5889999999999</v>
      </c>
      <c r="P763" s="6">
        <v>3370</v>
      </c>
      <c r="Q763" s="4" t="s">
        <v>26</v>
      </c>
      <c r="R763" s="4">
        <v>0</v>
      </c>
      <c r="S763" s="6">
        <v>0</v>
      </c>
      <c r="T763" s="6">
        <v>30</v>
      </c>
      <c r="U763" s="6">
        <v>70</v>
      </c>
      <c r="V763" s="6">
        <f>IF(ISERROR(VLOOKUP($S$763,'TAR FIN'!$A$1:$O$86,15,0)),0,VLOOKUP($S$763,'TAR FIN'!$A$1:$O$86,15,0))</f>
        <v>0</v>
      </c>
      <c r="W763" s="6">
        <f>IF(ISERROR(VLOOKUP($T$763,'TAR FIN'!$A$1:$O$86,15,0)),0,VLOOKUP($T$763,'TAR FIN'!$A$1:$O$86,15,0))</f>
        <v>285.56</v>
      </c>
      <c r="X763" s="6">
        <f>IF(ISERROR(VLOOKUP($U$763,'TAR FIN'!$A$1:$O$86,15,0)),0,VLOOKUP($U$763,'TAR FIN'!$A$1:$O$86,15,0))</f>
        <v>227.23</v>
      </c>
      <c r="Y763" s="6"/>
      <c r="Z763" s="6">
        <f ca="1">('TUSD BE'!$AM$34+'TUSD BF_350'!$AM$34+'TUSD CVA'!$AM$34)*(1-CUSTOS!$M$38)</f>
        <v>310.34682484351242</v>
      </c>
      <c r="AA763" s="6">
        <f ca="1">('TE BE'!$AB$24+'TE BF_350'!$AB$24+'TE CVA'!$AB$24)*(1-CUSTOS!$M$38)</f>
        <v>216.7476358676706</v>
      </c>
      <c r="AB763" s="6">
        <f>$K$763*$V$763</f>
        <v>0</v>
      </c>
      <c r="AC763" s="6">
        <f>$M$763*$W$763</f>
        <v>367683.91483999998</v>
      </c>
      <c r="AD763" s="6">
        <f>$O$763*$X$763</f>
        <v>292578.84846999997</v>
      </c>
      <c r="AE763" s="6">
        <f>$K$763*$Y$763</f>
        <v>0</v>
      </c>
      <c r="AF763" s="6">
        <f ca="1">$M$763*$Z$763</f>
        <v>399599.15785343328</v>
      </c>
      <c r="AG763" s="6">
        <f ca="1">$O$763*$AA$763</f>
        <v>279081.87171921809</v>
      </c>
    </row>
    <row r="764" spans="1:33" ht="11.25" customHeight="1" x14ac:dyDescent="0.25">
      <c r="A764" s="4" t="s">
        <v>27</v>
      </c>
      <c r="B764" s="4" t="s">
        <v>42</v>
      </c>
      <c r="C764" s="4" t="s">
        <v>23</v>
      </c>
      <c r="D764" s="4" t="s">
        <v>43</v>
      </c>
      <c r="E764" s="4" t="s">
        <v>25</v>
      </c>
      <c r="F764" s="4" t="s">
        <v>25</v>
      </c>
      <c r="G764" s="4" t="s">
        <v>25</v>
      </c>
      <c r="H764" s="4" t="s">
        <v>25</v>
      </c>
      <c r="I764" s="5">
        <v>44682</v>
      </c>
      <c r="J764" s="6">
        <v>0</v>
      </c>
      <c r="K764" s="6">
        <v>0</v>
      </c>
      <c r="L764" s="6">
        <v>-4.1399999999999997</v>
      </c>
      <c r="M764" s="6">
        <v>-4.1399999999999997</v>
      </c>
      <c r="N764" s="6">
        <v>-4.1399999999999997</v>
      </c>
      <c r="O764" s="6">
        <v>-4.1399999999999997</v>
      </c>
      <c r="P764" s="6">
        <v>0</v>
      </c>
      <c r="Q764" s="4" t="s">
        <v>26</v>
      </c>
      <c r="R764" s="4">
        <v>0</v>
      </c>
      <c r="S764" s="6">
        <v>0</v>
      </c>
      <c r="T764" s="6">
        <v>30</v>
      </c>
      <c r="U764" s="6">
        <v>70</v>
      </c>
      <c r="V764" s="6">
        <f>IF(ISERROR(VLOOKUP($S$764,'TAR FIN'!$A$1:$O$86,15,0)),0,VLOOKUP($S$764,'TAR FIN'!$A$1:$O$86,15,0))</f>
        <v>0</v>
      </c>
      <c r="W764" s="6">
        <f>IF(ISERROR(VLOOKUP($T$764,'TAR FIN'!$A$1:$O$86,15,0)),0,VLOOKUP($T$764,'TAR FIN'!$A$1:$O$86,15,0))</f>
        <v>285.56</v>
      </c>
      <c r="X764" s="6">
        <f>IF(ISERROR(VLOOKUP($U$764,'TAR FIN'!$A$1:$O$86,15,0)),0,VLOOKUP($U$764,'TAR FIN'!$A$1:$O$86,15,0))</f>
        <v>227.23</v>
      </c>
      <c r="Y764" s="6"/>
      <c r="Z764" s="6">
        <f ca="1">('TUSD BE'!$AM$34+'TUSD BF_350'!$AM$34+'TUSD CVA'!$AM$34)*(1-CUSTOS!$M$38)</f>
        <v>310.34682484351242</v>
      </c>
      <c r="AA764" s="6">
        <f ca="1">('TE BE'!$AB$24+'TE BF_350'!$AB$24+'TE CVA'!$AB$24)*(1-CUSTOS!$M$38)</f>
        <v>216.7476358676706</v>
      </c>
      <c r="AB764" s="6">
        <f>$K$764*$V$764</f>
        <v>0</v>
      </c>
      <c r="AC764" s="6">
        <f>$M$764*$W$764</f>
        <v>-1182.2184</v>
      </c>
      <c r="AD764" s="6">
        <f>$O$764*$X$764</f>
        <v>-940.73219999999992</v>
      </c>
      <c r="AE764" s="6">
        <f>$K$764*$Y$764</f>
        <v>0</v>
      </c>
      <c r="AF764" s="6">
        <f ca="1">$M$764*$Z$764</f>
        <v>-1284.8358548521414</v>
      </c>
      <c r="AG764" s="6">
        <f ca="1">$O$764*$AA$764</f>
        <v>-897.33521249215619</v>
      </c>
    </row>
    <row r="765" spans="1:33" ht="11.25" customHeight="1" x14ac:dyDescent="0.25">
      <c r="A765" s="4" t="s">
        <v>55</v>
      </c>
      <c r="B765" s="4" t="s">
        <v>42</v>
      </c>
      <c r="C765" s="4" t="s">
        <v>23</v>
      </c>
      <c r="D765" s="4" t="s">
        <v>43</v>
      </c>
      <c r="E765" s="4" t="s">
        <v>25</v>
      </c>
      <c r="F765" s="4" t="s">
        <v>25</v>
      </c>
      <c r="G765" s="4" t="s">
        <v>25</v>
      </c>
      <c r="H765" s="4" t="s">
        <v>25</v>
      </c>
      <c r="I765" s="5">
        <v>44682</v>
      </c>
      <c r="J765" s="6">
        <v>0</v>
      </c>
      <c r="K765" s="6">
        <v>0</v>
      </c>
      <c r="L765" s="6">
        <v>87.944000000000003</v>
      </c>
      <c r="M765" s="6">
        <v>87.944000000000003</v>
      </c>
      <c r="N765" s="6">
        <v>87.944000000000003</v>
      </c>
      <c r="O765" s="6">
        <v>87.944000000000003</v>
      </c>
      <c r="P765" s="6">
        <v>293</v>
      </c>
      <c r="Q765" s="4" t="s">
        <v>26</v>
      </c>
      <c r="R765" s="4">
        <v>0</v>
      </c>
      <c r="S765" s="6">
        <v>0</v>
      </c>
      <c r="T765" s="6">
        <v>30</v>
      </c>
      <c r="U765" s="6">
        <v>70</v>
      </c>
      <c r="V765" s="6">
        <f>IF(ISERROR(VLOOKUP($S$765,'TAR FIN'!$A$1:$O$86,15,0)),0,VLOOKUP($S$765,'TAR FIN'!$A$1:$O$86,15,0))</f>
        <v>0</v>
      </c>
      <c r="W765" s="6">
        <f>IF(ISERROR(VLOOKUP($T$765,'TAR FIN'!$A$1:$O$86,15,0)),0,VLOOKUP($T$765,'TAR FIN'!$A$1:$O$86,15,0))</f>
        <v>285.56</v>
      </c>
      <c r="X765" s="6">
        <f>IF(ISERROR(VLOOKUP($U$765,'TAR FIN'!$A$1:$O$86,15,0)),0,VLOOKUP($U$765,'TAR FIN'!$A$1:$O$86,15,0))</f>
        <v>227.23</v>
      </c>
      <c r="Y765" s="6"/>
      <c r="Z765" s="6">
        <f ca="1">('TUSD BE'!$AM$34+'TUSD BF_350'!$AM$34+'TUSD CVA'!$AM$34)*(1-CUSTOS!$M$38)</f>
        <v>310.34682484351242</v>
      </c>
      <c r="AA765" s="6">
        <f ca="1">('TE BE'!$AB$24+'TE BF_350'!$AB$24+'TE CVA'!$AB$24)*(1-CUSTOS!$M$38)</f>
        <v>216.7476358676706</v>
      </c>
      <c r="AB765" s="6">
        <f>$K$765*$V$765</f>
        <v>0</v>
      </c>
      <c r="AC765" s="6">
        <f>$M$765*$W$765</f>
        <v>25113.288640000002</v>
      </c>
      <c r="AD765" s="6">
        <f>$O$765*$X$765</f>
        <v>19983.51512</v>
      </c>
      <c r="AE765" s="6">
        <f>$K$765*$Y$765</f>
        <v>0</v>
      </c>
      <c r="AF765" s="6">
        <f ca="1">$M$765*$Z$765</f>
        <v>27293.141164037857</v>
      </c>
      <c r="AG765" s="6">
        <f ca="1">$O$765*$AA$765</f>
        <v>19061.654088746422</v>
      </c>
    </row>
    <row r="766" spans="1:33" ht="11.25" customHeight="1" x14ac:dyDescent="0.25">
      <c r="A766" s="4" t="s">
        <v>55</v>
      </c>
      <c r="B766" s="4" t="s">
        <v>42</v>
      </c>
      <c r="C766" s="4" t="s">
        <v>23</v>
      </c>
      <c r="D766" s="4" t="s">
        <v>43</v>
      </c>
      <c r="E766" s="4" t="s">
        <v>25</v>
      </c>
      <c r="F766" s="4" t="s">
        <v>25</v>
      </c>
      <c r="G766" s="4" t="s">
        <v>25</v>
      </c>
      <c r="H766" s="4" t="s">
        <v>25</v>
      </c>
      <c r="I766" s="5">
        <v>44682</v>
      </c>
      <c r="J766" s="6">
        <v>0</v>
      </c>
      <c r="K766" s="6">
        <v>0</v>
      </c>
      <c r="L766" s="6">
        <v>-0.11899999999999999</v>
      </c>
      <c r="M766" s="6">
        <v>-0.11899999999999999</v>
      </c>
      <c r="N766" s="6">
        <v>-0.11899999999999999</v>
      </c>
      <c r="O766" s="6">
        <v>-0.11899999999999999</v>
      </c>
      <c r="P766" s="6">
        <v>2</v>
      </c>
      <c r="Q766" s="4" t="s">
        <v>26</v>
      </c>
      <c r="R766" s="4">
        <v>0</v>
      </c>
      <c r="S766" s="6">
        <v>0</v>
      </c>
      <c r="T766" s="6">
        <v>30</v>
      </c>
      <c r="U766" s="6">
        <v>70</v>
      </c>
      <c r="V766" s="6">
        <f>IF(ISERROR(VLOOKUP($S$766,'TAR FIN'!$A$1:$O$86,15,0)),0,VLOOKUP($S$766,'TAR FIN'!$A$1:$O$86,15,0))</f>
        <v>0</v>
      </c>
      <c r="W766" s="6">
        <f>IF(ISERROR(VLOOKUP($T$766,'TAR FIN'!$A$1:$O$86,15,0)),0,VLOOKUP($T$766,'TAR FIN'!$A$1:$O$86,15,0))</f>
        <v>285.56</v>
      </c>
      <c r="X766" s="6">
        <f>IF(ISERROR(VLOOKUP($U$766,'TAR FIN'!$A$1:$O$86,15,0)),0,VLOOKUP($U$766,'TAR FIN'!$A$1:$O$86,15,0))</f>
        <v>227.23</v>
      </c>
      <c r="Y766" s="6"/>
      <c r="Z766" s="6">
        <f ca="1">('TUSD BE'!$AM$34+'TUSD BF_350'!$AM$34+'TUSD CVA'!$AM$34)*(1-CUSTOS!$M$38)</f>
        <v>310.34682484351242</v>
      </c>
      <c r="AA766" s="6">
        <f ca="1">('TE BE'!$AB$24+'TE BF_350'!$AB$24+'TE CVA'!$AB$24)*(1-CUSTOS!$M$38)</f>
        <v>216.7476358676706</v>
      </c>
      <c r="AB766" s="6">
        <f>$K$766*$V$766</f>
        <v>0</v>
      </c>
      <c r="AC766" s="6">
        <f>$M$766*$W$766</f>
        <v>-33.981639999999999</v>
      </c>
      <c r="AD766" s="6">
        <f>$O$766*$X$766</f>
        <v>-27.040369999999996</v>
      </c>
      <c r="AE766" s="6">
        <f>$K$766*$Y$766</f>
        <v>0</v>
      </c>
      <c r="AF766" s="6">
        <f ca="1">$M$766*$Z$766</f>
        <v>-36.931272156377979</v>
      </c>
      <c r="AG766" s="6">
        <f ca="1">$O$766*$AA$766</f>
        <v>-25.792968668252801</v>
      </c>
    </row>
    <row r="767" spans="1:33" ht="11.25" customHeight="1" x14ac:dyDescent="0.25">
      <c r="A767" s="4" t="s">
        <v>56</v>
      </c>
      <c r="B767" s="4" t="s">
        <v>42</v>
      </c>
      <c r="C767" s="4" t="s">
        <v>23</v>
      </c>
      <c r="D767" s="4" t="s">
        <v>43</v>
      </c>
      <c r="E767" s="4" t="s">
        <v>25</v>
      </c>
      <c r="F767" s="4" t="s">
        <v>25</v>
      </c>
      <c r="G767" s="4" t="s">
        <v>25</v>
      </c>
      <c r="H767" s="4" t="s">
        <v>25</v>
      </c>
      <c r="I767" s="5">
        <v>44713</v>
      </c>
      <c r="J767" s="6">
        <v>0</v>
      </c>
      <c r="K767" s="6">
        <v>0</v>
      </c>
      <c r="L767" s="6">
        <v>1287.5889999999999</v>
      </c>
      <c r="M767" s="6">
        <v>1287.5889999999999</v>
      </c>
      <c r="N767" s="6">
        <v>1287.5889999999999</v>
      </c>
      <c r="O767" s="6">
        <v>1287.5889999999999</v>
      </c>
      <c r="P767" s="6">
        <v>3370</v>
      </c>
      <c r="Q767" s="4" t="s">
        <v>26</v>
      </c>
      <c r="R767" s="4">
        <v>0</v>
      </c>
      <c r="S767" s="6">
        <v>0</v>
      </c>
      <c r="T767" s="6">
        <v>30</v>
      </c>
      <c r="U767" s="6">
        <v>70</v>
      </c>
      <c r="V767" s="6">
        <f>IF(ISERROR(VLOOKUP($S$767,'TAR FIN'!$A$1:$O$86,15,0)),0,VLOOKUP($S$767,'TAR FIN'!$A$1:$O$86,15,0))</f>
        <v>0</v>
      </c>
      <c r="W767" s="6">
        <f>IF(ISERROR(VLOOKUP($T$767,'TAR FIN'!$A$1:$O$86,15,0)),0,VLOOKUP($T$767,'TAR FIN'!$A$1:$O$86,15,0))</f>
        <v>285.56</v>
      </c>
      <c r="X767" s="6">
        <f>IF(ISERROR(VLOOKUP($U$767,'TAR FIN'!$A$1:$O$86,15,0)),0,VLOOKUP($U$767,'TAR FIN'!$A$1:$O$86,15,0))</f>
        <v>227.23</v>
      </c>
      <c r="Y767" s="6"/>
      <c r="Z767" s="6">
        <f ca="1">('TUSD BE'!$AM$34+'TUSD BF_350'!$AM$34+'TUSD CVA'!$AM$34)*(1-CUSTOS!$M$38)</f>
        <v>310.34682484351242</v>
      </c>
      <c r="AA767" s="6">
        <f ca="1">('TE BE'!$AB$24+'TE BF_350'!$AB$24+'TE CVA'!$AB$24)*(1-CUSTOS!$M$38)</f>
        <v>216.7476358676706</v>
      </c>
      <c r="AB767" s="6">
        <f>$K$767*$V$767</f>
        <v>0</v>
      </c>
      <c r="AC767" s="6">
        <f>$M$767*$W$767</f>
        <v>367683.91483999998</v>
      </c>
      <c r="AD767" s="6">
        <f>$O$767*$X$767</f>
        <v>292578.84846999997</v>
      </c>
      <c r="AE767" s="6">
        <f>$K$767*$Y$767</f>
        <v>0</v>
      </c>
      <c r="AF767" s="6">
        <f ca="1">$M$767*$Z$767</f>
        <v>399599.15785343328</v>
      </c>
      <c r="AG767" s="6">
        <f ca="1">$O$767*$AA$767</f>
        <v>279081.87171921809</v>
      </c>
    </row>
    <row r="768" spans="1:33" ht="11.25" customHeight="1" x14ac:dyDescent="0.25">
      <c r="A768" s="4" t="s">
        <v>56</v>
      </c>
      <c r="B768" s="4" t="s">
        <v>42</v>
      </c>
      <c r="C768" s="4" t="s">
        <v>23</v>
      </c>
      <c r="D768" s="4" t="s">
        <v>43</v>
      </c>
      <c r="E768" s="4" t="s">
        <v>25</v>
      </c>
      <c r="F768" s="4" t="s">
        <v>25</v>
      </c>
      <c r="G768" s="4" t="s">
        <v>25</v>
      </c>
      <c r="H768" s="4" t="s">
        <v>25</v>
      </c>
      <c r="I768" s="5">
        <v>44713</v>
      </c>
      <c r="J768" s="6">
        <v>0</v>
      </c>
      <c r="K768" s="6">
        <v>0</v>
      </c>
      <c r="L768" s="6">
        <v>-4.1399999999999997</v>
      </c>
      <c r="M768" s="6">
        <v>-4.1399999999999997</v>
      </c>
      <c r="N768" s="6">
        <v>-4.1399999999999997</v>
      </c>
      <c r="O768" s="6">
        <v>-4.1399999999999997</v>
      </c>
      <c r="P768" s="6">
        <v>0</v>
      </c>
      <c r="Q768" s="4" t="s">
        <v>26</v>
      </c>
      <c r="R768" s="4">
        <v>0</v>
      </c>
      <c r="S768" s="6">
        <v>0</v>
      </c>
      <c r="T768" s="6">
        <v>30</v>
      </c>
      <c r="U768" s="6">
        <v>70</v>
      </c>
      <c r="V768" s="6">
        <f>IF(ISERROR(VLOOKUP($S$768,'TAR FIN'!$A$1:$O$86,15,0)),0,VLOOKUP($S$768,'TAR FIN'!$A$1:$O$86,15,0))</f>
        <v>0</v>
      </c>
      <c r="W768" s="6">
        <f>IF(ISERROR(VLOOKUP($T$768,'TAR FIN'!$A$1:$O$86,15,0)),0,VLOOKUP($T$768,'TAR FIN'!$A$1:$O$86,15,0))</f>
        <v>285.56</v>
      </c>
      <c r="X768" s="6">
        <f>IF(ISERROR(VLOOKUP($U$768,'TAR FIN'!$A$1:$O$86,15,0)),0,VLOOKUP($U$768,'TAR FIN'!$A$1:$O$86,15,0))</f>
        <v>227.23</v>
      </c>
      <c r="Y768" s="6"/>
      <c r="Z768" s="6">
        <f ca="1">('TUSD BE'!$AM$34+'TUSD BF_350'!$AM$34+'TUSD CVA'!$AM$34)*(1-CUSTOS!$M$38)</f>
        <v>310.34682484351242</v>
      </c>
      <c r="AA768" s="6">
        <f ca="1">('TE BE'!$AB$24+'TE BF_350'!$AB$24+'TE CVA'!$AB$24)*(1-CUSTOS!$M$38)</f>
        <v>216.7476358676706</v>
      </c>
      <c r="AB768" s="6">
        <f>$K$768*$V$768</f>
        <v>0</v>
      </c>
      <c r="AC768" s="6">
        <f>$M$768*$W$768</f>
        <v>-1182.2184</v>
      </c>
      <c r="AD768" s="6">
        <f>$O$768*$X$768</f>
        <v>-940.73219999999992</v>
      </c>
      <c r="AE768" s="6">
        <f>$K$768*$Y$768</f>
        <v>0</v>
      </c>
      <c r="AF768" s="6">
        <f ca="1">$M$768*$Z$768</f>
        <v>-1284.8358548521414</v>
      </c>
      <c r="AG768" s="6">
        <f ca="1">$O$768*$AA$768</f>
        <v>-897.33521249215619</v>
      </c>
    </row>
    <row r="769" spans="1:33" ht="11.25" customHeight="1" x14ac:dyDescent="0.25">
      <c r="A769" s="4" t="s">
        <v>56</v>
      </c>
      <c r="B769" s="4" t="s">
        <v>42</v>
      </c>
      <c r="C769" s="4" t="s">
        <v>23</v>
      </c>
      <c r="D769" s="4" t="s">
        <v>43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44713</v>
      </c>
      <c r="J769" s="6">
        <v>0</v>
      </c>
      <c r="K769" s="6">
        <v>0</v>
      </c>
      <c r="L769" s="6">
        <v>87.944000000000003</v>
      </c>
      <c r="M769" s="6">
        <v>87.944000000000003</v>
      </c>
      <c r="N769" s="6">
        <v>87.944000000000003</v>
      </c>
      <c r="O769" s="6">
        <v>87.944000000000003</v>
      </c>
      <c r="P769" s="6">
        <v>293</v>
      </c>
      <c r="Q769" s="4" t="s">
        <v>26</v>
      </c>
      <c r="R769" s="4">
        <v>0</v>
      </c>
      <c r="S769" s="6">
        <v>0</v>
      </c>
      <c r="T769" s="6">
        <v>30</v>
      </c>
      <c r="U769" s="6">
        <v>70</v>
      </c>
      <c r="V769" s="6">
        <f>IF(ISERROR(VLOOKUP($S$769,'TAR FIN'!$A$1:$O$86,15,0)),0,VLOOKUP($S$769,'TAR FIN'!$A$1:$O$86,15,0))</f>
        <v>0</v>
      </c>
      <c r="W769" s="6">
        <f>IF(ISERROR(VLOOKUP($T$769,'TAR FIN'!$A$1:$O$86,15,0)),0,VLOOKUP($T$769,'TAR FIN'!$A$1:$O$86,15,0))</f>
        <v>285.56</v>
      </c>
      <c r="X769" s="6">
        <f>IF(ISERROR(VLOOKUP($U$769,'TAR FIN'!$A$1:$O$86,15,0)),0,VLOOKUP($U$769,'TAR FIN'!$A$1:$O$86,15,0))</f>
        <v>227.23</v>
      </c>
      <c r="Y769" s="6"/>
      <c r="Z769" s="6">
        <f ca="1">('TUSD BE'!$AM$34+'TUSD BF_350'!$AM$34+'TUSD CVA'!$AM$34)*(1-CUSTOS!$M$38)</f>
        <v>310.34682484351242</v>
      </c>
      <c r="AA769" s="6">
        <f ca="1">('TE BE'!$AB$24+'TE BF_350'!$AB$24+'TE CVA'!$AB$24)*(1-CUSTOS!$M$38)</f>
        <v>216.7476358676706</v>
      </c>
      <c r="AB769" s="6">
        <f>$K$769*$V$769</f>
        <v>0</v>
      </c>
      <c r="AC769" s="6">
        <f>$M$769*$W$769</f>
        <v>25113.288640000002</v>
      </c>
      <c r="AD769" s="6">
        <f>$O$769*$X$769</f>
        <v>19983.51512</v>
      </c>
      <c r="AE769" s="6">
        <f>$K$769*$Y$769</f>
        <v>0</v>
      </c>
      <c r="AF769" s="6">
        <f ca="1">$M$769*$Z$769</f>
        <v>27293.141164037857</v>
      </c>
      <c r="AG769" s="6">
        <f ca="1">$O$769*$AA$769</f>
        <v>19061.654088746422</v>
      </c>
    </row>
    <row r="770" spans="1:33" ht="11.25" customHeight="1" x14ac:dyDescent="0.25">
      <c r="A770" s="4" t="s">
        <v>56</v>
      </c>
      <c r="B770" s="4" t="s">
        <v>42</v>
      </c>
      <c r="C770" s="4" t="s">
        <v>23</v>
      </c>
      <c r="D770" s="4" t="s">
        <v>43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44713</v>
      </c>
      <c r="J770" s="6">
        <v>0</v>
      </c>
      <c r="K770" s="6">
        <v>0</v>
      </c>
      <c r="L770" s="6">
        <v>-0.11899999999999999</v>
      </c>
      <c r="M770" s="6">
        <v>-0.11899999999999999</v>
      </c>
      <c r="N770" s="6">
        <v>-0.11899999999999999</v>
      </c>
      <c r="O770" s="6">
        <v>-0.11899999999999999</v>
      </c>
      <c r="P770" s="6">
        <v>2</v>
      </c>
      <c r="Q770" s="4" t="s">
        <v>26</v>
      </c>
      <c r="R770" s="4">
        <v>0</v>
      </c>
      <c r="S770" s="6">
        <v>0</v>
      </c>
      <c r="T770" s="6">
        <v>30</v>
      </c>
      <c r="U770" s="6">
        <v>70</v>
      </c>
      <c r="V770" s="6">
        <f>IF(ISERROR(VLOOKUP($S$770,'TAR FIN'!$A$1:$O$86,15,0)),0,VLOOKUP($S$770,'TAR FIN'!$A$1:$O$86,15,0))</f>
        <v>0</v>
      </c>
      <c r="W770" s="6">
        <f>IF(ISERROR(VLOOKUP($T$770,'TAR FIN'!$A$1:$O$86,15,0)),0,VLOOKUP($T$770,'TAR FIN'!$A$1:$O$86,15,0))</f>
        <v>285.56</v>
      </c>
      <c r="X770" s="6">
        <f>IF(ISERROR(VLOOKUP($U$770,'TAR FIN'!$A$1:$O$86,15,0)),0,VLOOKUP($U$770,'TAR FIN'!$A$1:$O$86,15,0))</f>
        <v>227.23</v>
      </c>
      <c r="Y770" s="6"/>
      <c r="Z770" s="6">
        <f ca="1">('TUSD BE'!$AM$34+'TUSD BF_350'!$AM$34+'TUSD CVA'!$AM$34)*(1-CUSTOS!$M$38)</f>
        <v>310.34682484351242</v>
      </c>
      <c r="AA770" s="6">
        <f ca="1">('TE BE'!$AB$24+'TE BF_350'!$AB$24+'TE CVA'!$AB$24)*(1-CUSTOS!$M$38)</f>
        <v>216.7476358676706</v>
      </c>
      <c r="AB770" s="6">
        <f>$K$770*$V$770</f>
        <v>0</v>
      </c>
      <c r="AC770" s="6">
        <f>$M$770*$W$770</f>
        <v>-33.981639999999999</v>
      </c>
      <c r="AD770" s="6">
        <f>$O$770*$X$770</f>
        <v>-27.040369999999996</v>
      </c>
      <c r="AE770" s="6">
        <f>$K$770*$Y$770</f>
        <v>0</v>
      </c>
      <c r="AF770" s="6">
        <f ca="1">$M$770*$Z$770</f>
        <v>-36.931272156377979</v>
      </c>
      <c r="AG770" s="6">
        <f ca="1">$O$770*$AA$770</f>
        <v>-25.792968668252801</v>
      </c>
    </row>
    <row r="771" spans="1:33" ht="11.25" customHeight="1" x14ac:dyDescent="0.25">
      <c r="A771" s="4" t="s">
        <v>21</v>
      </c>
      <c r="B771" s="4" t="s">
        <v>36</v>
      </c>
      <c r="C771" s="4" t="s">
        <v>32</v>
      </c>
      <c r="D771" s="4" t="s">
        <v>41</v>
      </c>
      <c r="E771" s="4" t="s">
        <v>25</v>
      </c>
      <c r="F771" s="4" t="s">
        <v>25</v>
      </c>
      <c r="G771" s="4" t="s">
        <v>25</v>
      </c>
      <c r="H771" s="4" t="s">
        <v>34</v>
      </c>
      <c r="I771" s="5">
        <v>44378</v>
      </c>
      <c r="J771" s="6">
        <v>0</v>
      </c>
      <c r="K771" s="6">
        <v>0</v>
      </c>
      <c r="L771" s="6">
        <v>19.925000000000001</v>
      </c>
      <c r="M771" s="6">
        <v>19.925000000000001</v>
      </c>
      <c r="N771" s="6">
        <v>19.925000000000001</v>
      </c>
      <c r="O771" s="6">
        <v>19.925000000000001</v>
      </c>
      <c r="P771" s="6">
        <v>0</v>
      </c>
      <c r="Q771" s="4" t="s">
        <v>26</v>
      </c>
      <c r="R771" s="4">
        <v>0</v>
      </c>
      <c r="S771" s="6">
        <v>0</v>
      </c>
      <c r="T771" s="6">
        <v>26</v>
      </c>
      <c r="U771" s="6">
        <v>69</v>
      </c>
      <c r="V771" s="6">
        <f>IF(ISERROR(VLOOKUP($S$771,'TAR FIN'!$A$1:$O$86,15,0)),0,VLOOKUP($S$771,'TAR FIN'!$A$1:$O$86,15,0))</f>
        <v>0</v>
      </c>
      <c r="W771" s="6">
        <f>IF(ISERROR(VLOOKUP($T$771,'TAR FIN'!$A$1:$O$86,15,0)),0,VLOOKUP($T$771,'TAR FIN'!$A$1:$O$86,15,0))</f>
        <v>245.71</v>
      </c>
      <c r="X771" s="6">
        <f>IF(ISERROR(VLOOKUP($U$771,'TAR FIN'!$A$1:$O$86,15,0)),0,VLOOKUP($U$771,'TAR FIN'!$A$1:$O$86,15,0))</f>
        <v>246.3</v>
      </c>
      <c r="Y771" s="6"/>
      <c r="Z771" s="6">
        <f ca="1">('TUSD BE'!$AM$48+'TUSD BF_350'!$AM$48+'TUSD CVA'!$AM$48)*1</f>
        <v>223.26795372656312</v>
      </c>
      <c r="AA771" s="6">
        <f ca="1">('TE BE'!$AB$38+'TE BF_350'!$AB$38+'TE CVA'!$AB$38)*1</f>
        <v>219.40364509824883</v>
      </c>
      <c r="AB771" s="6">
        <f>$K$771*$V$771</f>
        <v>0</v>
      </c>
      <c r="AC771" s="6">
        <f>$M$771*$W$771</f>
        <v>4895.7717499999999</v>
      </c>
      <c r="AD771" s="6">
        <f>$O$771*$X$771</f>
        <v>4907.5275000000001</v>
      </c>
      <c r="AE771" s="6">
        <f>$K$771*$Y$771</f>
        <v>0</v>
      </c>
      <c r="AF771" s="6">
        <f ca="1">$M$771*$Z$771</f>
        <v>4448.6139780017702</v>
      </c>
      <c r="AG771" s="6">
        <f ca="1">$O$771*$AA$771</f>
        <v>4371.6176285826077</v>
      </c>
    </row>
    <row r="772" spans="1:33" ht="11.25" customHeight="1" x14ac:dyDescent="0.25">
      <c r="A772" s="4" t="s">
        <v>21</v>
      </c>
      <c r="B772" s="4" t="s">
        <v>36</v>
      </c>
      <c r="C772" s="4" t="s">
        <v>32</v>
      </c>
      <c r="D772" s="4" t="s">
        <v>41</v>
      </c>
      <c r="E772" s="4" t="s">
        <v>25</v>
      </c>
      <c r="F772" s="4" t="s">
        <v>25</v>
      </c>
      <c r="G772" s="4" t="s">
        <v>25</v>
      </c>
      <c r="H772" s="4" t="s">
        <v>34</v>
      </c>
      <c r="I772" s="5">
        <v>44409</v>
      </c>
      <c r="J772" s="6">
        <v>0</v>
      </c>
      <c r="K772" s="6">
        <v>0</v>
      </c>
      <c r="L772" s="6">
        <v>17.105</v>
      </c>
      <c r="M772" s="6">
        <v>17.105</v>
      </c>
      <c r="N772" s="6">
        <v>17.105</v>
      </c>
      <c r="O772" s="6">
        <v>17.105</v>
      </c>
      <c r="P772" s="6">
        <v>0</v>
      </c>
      <c r="Q772" s="4" t="s">
        <v>26</v>
      </c>
      <c r="R772" s="4">
        <v>0</v>
      </c>
      <c r="S772" s="6">
        <v>0</v>
      </c>
      <c r="T772" s="6">
        <v>26</v>
      </c>
      <c r="U772" s="6">
        <v>69</v>
      </c>
      <c r="V772" s="6">
        <f>IF(ISERROR(VLOOKUP($S$772,'TAR FIN'!$A$1:$O$86,15,0)),0,VLOOKUP($S$772,'TAR FIN'!$A$1:$O$86,15,0))</f>
        <v>0</v>
      </c>
      <c r="W772" s="6">
        <f>IF(ISERROR(VLOOKUP($T$772,'TAR FIN'!$A$1:$O$86,15,0)),0,VLOOKUP($T$772,'TAR FIN'!$A$1:$O$86,15,0))</f>
        <v>245.71</v>
      </c>
      <c r="X772" s="6">
        <f>IF(ISERROR(VLOOKUP($U$772,'TAR FIN'!$A$1:$O$86,15,0)),0,VLOOKUP($U$772,'TAR FIN'!$A$1:$O$86,15,0))</f>
        <v>246.3</v>
      </c>
      <c r="Y772" s="6"/>
      <c r="Z772" s="6">
        <f ca="1">('TUSD BE'!$AM$48+'TUSD BF_350'!$AM$48+'TUSD CVA'!$AM$48)*1</f>
        <v>223.26795372656312</v>
      </c>
      <c r="AA772" s="6">
        <f ca="1">('TE BE'!$AB$38+'TE BF_350'!$AB$38+'TE CVA'!$AB$38)*1</f>
        <v>219.40364509824883</v>
      </c>
      <c r="AB772" s="6">
        <f>$K$772*$V$772</f>
        <v>0</v>
      </c>
      <c r="AC772" s="6">
        <f>$M$772*$W$772</f>
        <v>4202.8695500000003</v>
      </c>
      <c r="AD772" s="6">
        <f>$O$772*$X$772</f>
        <v>4212.9615000000003</v>
      </c>
      <c r="AE772" s="6">
        <f>$K$772*$Y$772</f>
        <v>0</v>
      </c>
      <c r="AF772" s="6">
        <f ca="1">$M$772*$Z$772</f>
        <v>3818.9983484928621</v>
      </c>
      <c r="AG772" s="6">
        <f ca="1">$O$772*$AA$772</f>
        <v>3752.8993494055462</v>
      </c>
    </row>
    <row r="773" spans="1:33" ht="11.25" customHeight="1" x14ac:dyDescent="0.25">
      <c r="A773" s="4" t="s">
        <v>21</v>
      </c>
      <c r="B773" s="4" t="s">
        <v>36</v>
      </c>
      <c r="C773" s="4" t="s">
        <v>32</v>
      </c>
      <c r="D773" s="4" t="s">
        <v>41</v>
      </c>
      <c r="E773" s="4" t="s">
        <v>25</v>
      </c>
      <c r="F773" s="4" t="s">
        <v>25</v>
      </c>
      <c r="G773" s="4" t="s">
        <v>25</v>
      </c>
      <c r="H773" s="4" t="s">
        <v>34</v>
      </c>
      <c r="I773" s="5">
        <v>44440</v>
      </c>
      <c r="J773" s="6">
        <v>0</v>
      </c>
      <c r="K773" s="6">
        <v>0</v>
      </c>
      <c r="L773" s="6">
        <v>16.241</v>
      </c>
      <c r="M773" s="6">
        <v>16.241</v>
      </c>
      <c r="N773" s="6">
        <v>16.241</v>
      </c>
      <c r="O773" s="6">
        <v>16.241</v>
      </c>
      <c r="P773" s="6">
        <v>0</v>
      </c>
      <c r="Q773" s="4" t="s">
        <v>26</v>
      </c>
      <c r="R773" s="4">
        <v>0</v>
      </c>
      <c r="S773" s="6">
        <v>0</v>
      </c>
      <c r="T773" s="6">
        <v>26</v>
      </c>
      <c r="U773" s="6">
        <v>69</v>
      </c>
      <c r="V773" s="6">
        <f>IF(ISERROR(VLOOKUP($S$773,'TAR FIN'!$A$1:$O$86,15,0)),0,VLOOKUP($S$773,'TAR FIN'!$A$1:$O$86,15,0))</f>
        <v>0</v>
      </c>
      <c r="W773" s="6">
        <f>IF(ISERROR(VLOOKUP($T$773,'TAR FIN'!$A$1:$O$86,15,0)),0,VLOOKUP($T$773,'TAR FIN'!$A$1:$O$86,15,0))</f>
        <v>245.71</v>
      </c>
      <c r="X773" s="6">
        <f>IF(ISERROR(VLOOKUP($U$773,'TAR FIN'!$A$1:$O$86,15,0)),0,VLOOKUP($U$773,'TAR FIN'!$A$1:$O$86,15,0))</f>
        <v>246.3</v>
      </c>
      <c r="Y773" s="6"/>
      <c r="Z773" s="6">
        <f ca="1">('TUSD BE'!$AM$48+'TUSD BF_350'!$AM$48+'TUSD CVA'!$AM$48)*1</f>
        <v>223.26795372656312</v>
      </c>
      <c r="AA773" s="6">
        <f ca="1">('TE BE'!$AB$38+'TE BF_350'!$AB$38+'TE CVA'!$AB$38)*1</f>
        <v>219.40364509824883</v>
      </c>
      <c r="AB773" s="6">
        <f>$K$773*$V$773</f>
        <v>0</v>
      </c>
      <c r="AC773" s="6">
        <f>$M$773*$W$773</f>
        <v>3990.57611</v>
      </c>
      <c r="AD773" s="6">
        <f>$O$773*$X$773</f>
        <v>4000.1583000000001</v>
      </c>
      <c r="AE773" s="6">
        <f>$K$773*$Y$773</f>
        <v>0</v>
      </c>
      <c r="AF773" s="6">
        <f ca="1">$M$773*$Z$773</f>
        <v>3626.0948364731116</v>
      </c>
      <c r="AG773" s="6">
        <f ca="1">$O$773*$AA$773</f>
        <v>3563.3346000406591</v>
      </c>
    </row>
    <row r="774" spans="1:33" ht="11.25" customHeight="1" x14ac:dyDescent="0.25">
      <c r="A774" s="4" t="s">
        <v>21</v>
      </c>
      <c r="B774" s="4" t="s">
        <v>36</v>
      </c>
      <c r="C774" s="4" t="s">
        <v>32</v>
      </c>
      <c r="D774" s="4" t="s">
        <v>41</v>
      </c>
      <c r="E774" s="4" t="s">
        <v>25</v>
      </c>
      <c r="F774" s="4" t="s">
        <v>25</v>
      </c>
      <c r="G774" s="4" t="s">
        <v>25</v>
      </c>
      <c r="H774" s="4" t="s">
        <v>34</v>
      </c>
      <c r="I774" s="5">
        <v>44470</v>
      </c>
      <c r="J774" s="6">
        <v>0</v>
      </c>
      <c r="K774" s="6">
        <v>0</v>
      </c>
      <c r="L774" s="6">
        <v>16.625</v>
      </c>
      <c r="M774" s="6">
        <v>16.625</v>
      </c>
      <c r="N774" s="6">
        <v>16.625</v>
      </c>
      <c r="O774" s="6">
        <v>16.625</v>
      </c>
      <c r="P774" s="6">
        <v>0</v>
      </c>
      <c r="Q774" s="4" t="s">
        <v>26</v>
      </c>
      <c r="R774" s="4">
        <v>0</v>
      </c>
      <c r="S774" s="6">
        <v>0</v>
      </c>
      <c r="T774" s="6">
        <v>26</v>
      </c>
      <c r="U774" s="6">
        <v>69</v>
      </c>
      <c r="V774" s="6">
        <f>IF(ISERROR(VLOOKUP($S$774,'TAR FIN'!$A$1:$O$86,15,0)),0,VLOOKUP($S$774,'TAR FIN'!$A$1:$O$86,15,0))</f>
        <v>0</v>
      </c>
      <c r="W774" s="6">
        <f>IF(ISERROR(VLOOKUP($T$774,'TAR FIN'!$A$1:$O$86,15,0)),0,VLOOKUP($T$774,'TAR FIN'!$A$1:$O$86,15,0))</f>
        <v>245.71</v>
      </c>
      <c r="X774" s="6">
        <f>IF(ISERROR(VLOOKUP($U$774,'TAR FIN'!$A$1:$O$86,15,0)),0,VLOOKUP($U$774,'TAR FIN'!$A$1:$O$86,15,0))</f>
        <v>246.3</v>
      </c>
      <c r="Y774" s="6"/>
      <c r="Z774" s="6">
        <f ca="1">('TUSD BE'!$AM$48+'TUSD BF_350'!$AM$48+'TUSD CVA'!$AM$48)*1</f>
        <v>223.26795372656312</v>
      </c>
      <c r="AA774" s="6">
        <f ca="1">('TE BE'!$AB$38+'TE BF_350'!$AB$38+'TE CVA'!$AB$38)*1</f>
        <v>219.40364509824883</v>
      </c>
      <c r="AB774" s="6">
        <f>$K$774*$V$774</f>
        <v>0</v>
      </c>
      <c r="AC774" s="6">
        <f>$M$774*$W$774</f>
        <v>4084.92875</v>
      </c>
      <c r="AD774" s="6">
        <f>$O$774*$X$774</f>
        <v>4094.7375000000002</v>
      </c>
      <c r="AE774" s="6">
        <f>$K$774*$Y$774</f>
        <v>0</v>
      </c>
      <c r="AF774" s="6">
        <f ca="1">$M$774*$Z$774</f>
        <v>3711.8297307041121</v>
      </c>
      <c r="AG774" s="6">
        <f ca="1">$O$774*$AA$774</f>
        <v>3647.5855997583867</v>
      </c>
    </row>
    <row r="775" spans="1:33" ht="11.25" customHeight="1" x14ac:dyDescent="0.25">
      <c r="A775" s="4" t="s">
        <v>21</v>
      </c>
      <c r="B775" s="4" t="s">
        <v>36</v>
      </c>
      <c r="C775" s="4" t="s">
        <v>32</v>
      </c>
      <c r="D775" s="4" t="s">
        <v>41</v>
      </c>
      <c r="E775" s="4" t="s">
        <v>25</v>
      </c>
      <c r="F775" s="4" t="s">
        <v>25</v>
      </c>
      <c r="G775" s="4" t="s">
        <v>25</v>
      </c>
      <c r="H775" s="4" t="s">
        <v>34</v>
      </c>
      <c r="I775" s="5">
        <v>44501</v>
      </c>
      <c r="J775" s="6">
        <v>0</v>
      </c>
      <c r="K775" s="6">
        <v>0</v>
      </c>
      <c r="L775" s="6">
        <v>18.853000000000002</v>
      </c>
      <c r="M775" s="6">
        <v>18.853000000000002</v>
      </c>
      <c r="N775" s="6">
        <v>18.853000000000002</v>
      </c>
      <c r="O775" s="6">
        <v>18.853000000000002</v>
      </c>
      <c r="P775" s="6">
        <v>0</v>
      </c>
      <c r="Q775" s="4" t="s">
        <v>26</v>
      </c>
      <c r="R775" s="4">
        <v>0</v>
      </c>
      <c r="S775" s="6">
        <v>0</v>
      </c>
      <c r="T775" s="6">
        <v>26</v>
      </c>
      <c r="U775" s="6">
        <v>69</v>
      </c>
      <c r="V775" s="6">
        <f>IF(ISERROR(VLOOKUP($S$775,'TAR FIN'!$A$1:$O$86,15,0)),0,VLOOKUP($S$775,'TAR FIN'!$A$1:$O$86,15,0))</f>
        <v>0</v>
      </c>
      <c r="W775" s="6">
        <f>IF(ISERROR(VLOOKUP($T$775,'TAR FIN'!$A$1:$O$86,15,0)),0,VLOOKUP($T$775,'TAR FIN'!$A$1:$O$86,15,0))</f>
        <v>245.71</v>
      </c>
      <c r="X775" s="6">
        <f>IF(ISERROR(VLOOKUP($U$775,'TAR FIN'!$A$1:$O$86,15,0)),0,VLOOKUP($U$775,'TAR FIN'!$A$1:$O$86,15,0))</f>
        <v>246.3</v>
      </c>
      <c r="Y775" s="6"/>
      <c r="Z775" s="6">
        <f ca="1">('TUSD BE'!$AM$48+'TUSD BF_350'!$AM$48+'TUSD CVA'!$AM$48)*1</f>
        <v>223.26795372656312</v>
      </c>
      <c r="AA775" s="6">
        <f ca="1">('TE BE'!$AB$38+'TE BF_350'!$AB$38+'TE CVA'!$AB$38)*1</f>
        <v>219.40364509824883</v>
      </c>
      <c r="AB775" s="6">
        <f>$K$775*$V$775</f>
        <v>0</v>
      </c>
      <c r="AC775" s="6">
        <f>$M$775*$W$775</f>
        <v>4632.3706300000003</v>
      </c>
      <c r="AD775" s="6">
        <f>$O$775*$X$775</f>
        <v>4643.4939000000004</v>
      </c>
      <c r="AE775" s="6">
        <f>$K$775*$Y$775</f>
        <v>0</v>
      </c>
      <c r="AF775" s="6">
        <f ca="1">$M$775*$Z$775</f>
        <v>4209.2707316068945</v>
      </c>
      <c r="AG775" s="6">
        <f ca="1">$O$775*$AA$775</f>
        <v>4136.4169210372856</v>
      </c>
    </row>
    <row r="776" spans="1:33" ht="11.25" customHeight="1" x14ac:dyDescent="0.25">
      <c r="A776" s="4" t="s">
        <v>21</v>
      </c>
      <c r="B776" s="4" t="s">
        <v>36</v>
      </c>
      <c r="C776" s="4" t="s">
        <v>32</v>
      </c>
      <c r="D776" s="4" t="s">
        <v>41</v>
      </c>
      <c r="E776" s="4" t="s">
        <v>25</v>
      </c>
      <c r="F776" s="4" t="s">
        <v>25</v>
      </c>
      <c r="G776" s="4" t="s">
        <v>25</v>
      </c>
      <c r="H776" s="4" t="s">
        <v>34</v>
      </c>
      <c r="I776" s="5">
        <v>44531</v>
      </c>
      <c r="J776" s="6">
        <v>0</v>
      </c>
      <c r="K776" s="6">
        <v>0</v>
      </c>
      <c r="L776" s="6">
        <v>18.457999999999998</v>
      </c>
      <c r="M776" s="6">
        <v>18.457999999999998</v>
      </c>
      <c r="N776" s="6">
        <v>18.457999999999998</v>
      </c>
      <c r="O776" s="6">
        <v>18.457999999999998</v>
      </c>
      <c r="P776" s="6">
        <v>0</v>
      </c>
      <c r="Q776" s="4" t="s">
        <v>26</v>
      </c>
      <c r="R776" s="4">
        <v>0</v>
      </c>
      <c r="S776" s="6">
        <v>0</v>
      </c>
      <c r="T776" s="6">
        <v>26</v>
      </c>
      <c r="U776" s="6">
        <v>69</v>
      </c>
      <c r="V776" s="6">
        <f>IF(ISERROR(VLOOKUP($S$776,'TAR FIN'!$A$1:$O$86,15,0)),0,VLOOKUP($S$776,'TAR FIN'!$A$1:$O$86,15,0))</f>
        <v>0</v>
      </c>
      <c r="W776" s="6">
        <f>IF(ISERROR(VLOOKUP($T$776,'TAR FIN'!$A$1:$O$86,15,0)),0,VLOOKUP($T$776,'TAR FIN'!$A$1:$O$86,15,0))</f>
        <v>245.71</v>
      </c>
      <c r="X776" s="6">
        <f>IF(ISERROR(VLOOKUP($U$776,'TAR FIN'!$A$1:$O$86,15,0)),0,VLOOKUP($U$776,'TAR FIN'!$A$1:$O$86,15,0))</f>
        <v>246.3</v>
      </c>
      <c r="Y776" s="6"/>
      <c r="Z776" s="6">
        <f ca="1">('TUSD BE'!$AM$48+'TUSD BF_350'!$AM$48+'TUSD CVA'!$AM$48)*1</f>
        <v>223.26795372656312</v>
      </c>
      <c r="AA776" s="6">
        <f ca="1">('TE BE'!$AB$38+'TE BF_350'!$AB$38+'TE CVA'!$AB$38)*1</f>
        <v>219.40364509824883</v>
      </c>
      <c r="AB776" s="6">
        <f>$K$776*$V$776</f>
        <v>0</v>
      </c>
      <c r="AC776" s="6">
        <f>$M$776*$W$776</f>
        <v>4535.3151799999996</v>
      </c>
      <c r="AD776" s="6">
        <f>$O$776*$X$776</f>
        <v>4546.2053999999998</v>
      </c>
      <c r="AE776" s="6">
        <f>$K$776*$Y$776</f>
        <v>0</v>
      </c>
      <c r="AF776" s="6">
        <f ca="1">$M$776*$Z$776</f>
        <v>4121.0798898849016</v>
      </c>
      <c r="AG776" s="6">
        <f ca="1">$O$776*$AA$776</f>
        <v>4049.7524812234765</v>
      </c>
    </row>
    <row r="777" spans="1:33" ht="11.25" customHeight="1" x14ac:dyDescent="0.25">
      <c r="A777" s="4" t="s">
        <v>21</v>
      </c>
      <c r="B777" s="4" t="s">
        <v>36</v>
      </c>
      <c r="C777" s="4" t="s">
        <v>32</v>
      </c>
      <c r="D777" s="4" t="s">
        <v>41</v>
      </c>
      <c r="E777" s="4" t="s">
        <v>25</v>
      </c>
      <c r="F777" s="4" t="s">
        <v>25</v>
      </c>
      <c r="G777" s="4" t="s">
        <v>25</v>
      </c>
      <c r="H777" s="4" t="s">
        <v>34</v>
      </c>
      <c r="I777" s="5">
        <v>44562</v>
      </c>
      <c r="J777" s="6">
        <v>0</v>
      </c>
      <c r="K777" s="6">
        <v>0</v>
      </c>
      <c r="L777" s="6">
        <v>25.123999999999999</v>
      </c>
      <c r="M777" s="6">
        <v>25.123999999999999</v>
      </c>
      <c r="N777" s="6">
        <v>25.123999999999999</v>
      </c>
      <c r="O777" s="6">
        <v>25.123999999999999</v>
      </c>
      <c r="P777" s="6">
        <v>0</v>
      </c>
      <c r="Q777" s="4" t="s">
        <v>26</v>
      </c>
      <c r="R777" s="4">
        <v>0</v>
      </c>
      <c r="S777" s="6">
        <v>0</v>
      </c>
      <c r="T777" s="6">
        <v>26</v>
      </c>
      <c r="U777" s="6">
        <v>69</v>
      </c>
      <c r="V777" s="6">
        <f>IF(ISERROR(VLOOKUP($S$777,'TAR FIN'!$A$1:$O$86,15,0)),0,VLOOKUP($S$777,'TAR FIN'!$A$1:$O$86,15,0))</f>
        <v>0</v>
      </c>
      <c r="W777" s="6">
        <f>IF(ISERROR(VLOOKUP($T$777,'TAR FIN'!$A$1:$O$86,15,0)),0,VLOOKUP($T$777,'TAR FIN'!$A$1:$O$86,15,0))</f>
        <v>245.71</v>
      </c>
      <c r="X777" s="6">
        <f>IF(ISERROR(VLOOKUP($U$777,'TAR FIN'!$A$1:$O$86,15,0)),0,VLOOKUP($U$777,'TAR FIN'!$A$1:$O$86,15,0))</f>
        <v>246.3</v>
      </c>
      <c r="Y777" s="6"/>
      <c r="Z777" s="6">
        <f ca="1">('TUSD BE'!$AM$48+'TUSD BF_350'!$AM$48+'TUSD CVA'!$AM$48)*1</f>
        <v>223.26795372656312</v>
      </c>
      <c r="AA777" s="6">
        <f ca="1">('TE BE'!$AB$38+'TE BF_350'!$AB$38+'TE CVA'!$AB$38)*1</f>
        <v>219.40364509824883</v>
      </c>
      <c r="AB777" s="6">
        <f>$K$777*$V$777</f>
        <v>0</v>
      </c>
      <c r="AC777" s="6">
        <f>$M$777*$W$777</f>
        <v>6173.2180399999997</v>
      </c>
      <c r="AD777" s="6">
        <f>$O$777*$X$777</f>
        <v>6188.0411999999997</v>
      </c>
      <c r="AE777" s="6">
        <f>$K$777*$Y$777</f>
        <v>0</v>
      </c>
      <c r="AF777" s="6">
        <f ca="1">$M$777*$Z$777</f>
        <v>5609.3840694261717</v>
      </c>
      <c r="AG777" s="6">
        <f ca="1">$O$777*$AA$777</f>
        <v>5512.2971794484038</v>
      </c>
    </row>
    <row r="778" spans="1:33" ht="11.25" customHeight="1" x14ac:dyDescent="0.25">
      <c r="A778" s="4" t="s">
        <v>21</v>
      </c>
      <c r="B778" s="4" t="s">
        <v>36</v>
      </c>
      <c r="C778" s="4" t="s">
        <v>32</v>
      </c>
      <c r="D778" s="4" t="s">
        <v>41</v>
      </c>
      <c r="E778" s="4" t="s">
        <v>25</v>
      </c>
      <c r="F778" s="4" t="s">
        <v>25</v>
      </c>
      <c r="G778" s="4" t="s">
        <v>25</v>
      </c>
      <c r="H778" s="4" t="s">
        <v>34</v>
      </c>
      <c r="I778" s="5">
        <v>44593</v>
      </c>
      <c r="J778" s="6">
        <v>0</v>
      </c>
      <c r="K778" s="6">
        <v>0</v>
      </c>
      <c r="L778" s="6">
        <v>17.977</v>
      </c>
      <c r="M778" s="6">
        <v>17.977</v>
      </c>
      <c r="N778" s="6">
        <v>17.977</v>
      </c>
      <c r="O778" s="6">
        <v>17.977</v>
      </c>
      <c r="P778" s="6">
        <v>0</v>
      </c>
      <c r="Q778" s="4" t="s">
        <v>26</v>
      </c>
      <c r="R778" s="4">
        <v>0</v>
      </c>
      <c r="S778" s="6">
        <v>0</v>
      </c>
      <c r="T778" s="6">
        <v>26</v>
      </c>
      <c r="U778" s="6">
        <v>69</v>
      </c>
      <c r="V778" s="6">
        <f>IF(ISERROR(VLOOKUP($S$778,'TAR FIN'!$A$1:$O$86,15,0)),0,VLOOKUP($S$778,'TAR FIN'!$A$1:$O$86,15,0))</f>
        <v>0</v>
      </c>
      <c r="W778" s="6">
        <f>IF(ISERROR(VLOOKUP($T$778,'TAR FIN'!$A$1:$O$86,15,0)),0,VLOOKUP($T$778,'TAR FIN'!$A$1:$O$86,15,0))</f>
        <v>245.71</v>
      </c>
      <c r="X778" s="6">
        <f>IF(ISERROR(VLOOKUP($U$778,'TAR FIN'!$A$1:$O$86,15,0)),0,VLOOKUP($U$778,'TAR FIN'!$A$1:$O$86,15,0))</f>
        <v>246.3</v>
      </c>
      <c r="Y778" s="6"/>
      <c r="Z778" s="6">
        <f ca="1">('TUSD BE'!$AM$48+'TUSD BF_350'!$AM$48+'TUSD CVA'!$AM$48)*1</f>
        <v>223.26795372656312</v>
      </c>
      <c r="AA778" s="6">
        <f ca="1">('TE BE'!$AB$38+'TE BF_350'!$AB$38+'TE CVA'!$AB$38)*1</f>
        <v>219.40364509824883</v>
      </c>
      <c r="AB778" s="6">
        <f>$K$778*$V$778</f>
        <v>0</v>
      </c>
      <c r="AC778" s="6">
        <f>$M$778*$W$778</f>
        <v>4417.1286700000001</v>
      </c>
      <c r="AD778" s="6">
        <f>$O$778*$X$778</f>
        <v>4427.7350999999999</v>
      </c>
      <c r="AE778" s="6">
        <f>$K$778*$Y$778</f>
        <v>0</v>
      </c>
      <c r="AF778" s="6">
        <f ca="1">$M$778*$Z$778</f>
        <v>4013.6880041424251</v>
      </c>
      <c r="AG778" s="6">
        <f ca="1">$O$778*$AA$778</f>
        <v>3944.2193279312191</v>
      </c>
    </row>
    <row r="779" spans="1:33" ht="11.25" customHeight="1" x14ac:dyDescent="0.25">
      <c r="A779" s="4" t="s">
        <v>21</v>
      </c>
      <c r="B779" s="4" t="s">
        <v>36</v>
      </c>
      <c r="C779" s="4" t="s">
        <v>32</v>
      </c>
      <c r="D779" s="4" t="s">
        <v>41</v>
      </c>
      <c r="E779" s="4" t="s">
        <v>25</v>
      </c>
      <c r="F779" s="4" t="s">
        <v>25</v>
      </c>
      <c r="G779" s="4" t="s">
        <v>25</v>
      </c>
      <c r="H779" s="4" t="s">
        <v>34</v>
      </c>
      <c r="I779" s="5">
        <v>44621</v>
      </c>
      <c r="J779" s="6">
        <v>0</v>
      </c>
      <c r="K779" s="6">
        <v>0</v>
      </c>
      <c r="L779" s="6">
        <v>13.593999999999999</v>
      </c>
      <c r="M779" s="6">
        <v>13.593999999999999</v>
      </c>
      <c r="N779" s="6">
        <v>13.593999999999999</v>
      </c>
      <c r="O779" s="6">
        <v>13.593999999999999</v>
      </c>
      <c r="P779" s="6">
        <v>0</v>
      </c>
      <c r="Q779" s="4" t="s">
        <v>26</v>
      </c>
      <c r="R779" s="4">
        <v>0</v>
      </c>
      <c r="S779" s="6">
        <v>0</v>
      </c>
      <c r="T779" s="6">
        <v>26</v>
      </c>
      <c r="U779" s="6">
        <v>69</v>
      </c>
      <c r="V779" s="6">
        <f>IF(ISERROR(VLOOKUP($S$779,'TAR FIN'!$A$1:$O$86,15,0)),0,VLOOKUP($S$779,'TAR FIN'!$A$1:$O$86,15,0))</f>
        <v>0</v>
      </c>
      <c r="W779" s="6">
        <f>IF(ISERROR(VLOOKUP($T$779,'TAR FIN'!$A$1:$O$86,15,0)),0,VLOOKUP($T$779,'TAR FIN'!$A$1:$O$86,15,0))</f>
        <v>245.71</v>
      </c>
      <c r="X779" s="6">
        <f>IF(ISERROR(VLOOKUP($U$779,'TAR FIN'!$A$1:$O$86,15,0)),0,VLOOKUP($U$779,'TAR FIN'!$A$1:$O$86,15,0))</f>
        <v>246.3</v>
      </c>
      <c r="Y779" s="6"/>
      <c r="Z779" s="6">
        <f ca="1">('TUSD BE'!$AM$48+'TUSD BF_350'!$AM$48+'TUSD CVA'!$AM$48)*1</f>
        <v>223.26795372656312</v>
      </c>
      <c r="AA779" s="6">
        <f ca="1">('TE BE'!$AB$38+'TE BF_350'!$AB$38+'TE CVA'!$AB$38)*1</f>
        <v>219.40364509824883</v>
      </c>
      <c r="AB779" s="6">
        <f>$K$779*$V$779</f>
        <v>0</v>
      </c>
      <c r="AC779" s="6">
        <f>$M$779*$W$779</f>
        <v>3340.18174</v>
      </c>
      <c r="AD779" s="6">
        <f>$O$779*$X$779</f>
        <v>3348.2022000000002</v>
      </c>
      <c r="AE779" s="6">
        <f>$K$779*$Y$779</f>
        <v>0</v>
      </c>
      <c r="AF779" s="6">
        <f ca="1">$M$779*$Z$779</f>
        <v>3035.1045629588989</v>
      </c>
      <c r="AG779" s="6">
        <f ca="1">$O$779*$AA$779</f>
        <v>2982.5731514655945</v>
      </c>
    </row>
    <row r="780" spans="1:33" ht="11.25" customHeight="1" x14ac:dyDescent="0.25">
      <c r="A780" s="4" t="s">
        <v>21</v>
      </c>
      <c r="B780" s="4" t="s">
        <v>36</v>
      </c>
      <c r="C780" s="4" t="s">
        <v>32</v>
      </c>
      <c r="D780" s="4" t="s">
        <v>41</v>
      </c>
      <c r="E780" s="4" t="s">
        <v>25</v>
      </c>
      <c r="F780" s="4" t="s">
        <v>25</v>
      </c>
      <c r="G780" s="4" t="s">
        <v>25</v>
      </c>
      <c r="H780" s="4" t="s">
        <v>34</v>
      </c>
      <c r="I780" s="5">
        <v>44652</v>
      </c>
      <c r="J780" s="6">
        <v>0</v>
      </c>
      <c r="K780" s="6">
        <v>0</v>
      </c>
      <c r="L780" s="6">
        <v>21.498999999999999</v>
      </c>
      <c r="M780" s="6">
        <v>21.498999999999999</v>
      </c>
      <c r="N780" s="6">
        <v>21.498999999999999</v>
      </c>
      <c r="O780" s="6">
        <v>21.498999999999999</v>
      </c>
      <c r="P780" s="6">
        <v>0</v>
      </c>
      <c r="Q780" s="4" t="s">
        <v>26</v>
      </c>
      <c r="R780" s="4">
        <v>0</v>
      </c>
      <c r="S780" s="6">
        <v>0</v>
      </c>
      <c r="T780" s="6">
        <v>26</v>
      </c>
      <c r="U780" s="6">
        <v>69</v>
      </c>
      <c r="V780" s="6">
        <f>IF(ISERROR(VLOOKUP($S$780,'TAR FIN'!$A$1:$O$86,15,0)),0,VLOOKUP($S$780,'TAR FIN'!$A$1:$O$86,15,0))</f>
        <v>0</v>
      </c>
      <c r="W780" s="6">
        <f>IF(ISERROR(VLOOKUP($T$780,'TAR FIN'!$A$1:$O$86,15,0)),0,VLOOKUP($T$780,'TAR FIN'!$A$1:$O$86,15,0))</f>
        <v>245.71</v>
      </c>
      <c r="X780" s="6">
        <f>IF(ISERROR(VLOOKUP($U$780,'TAR FIN'!$A$1:$O$86,15,0)),0,VLOOKUP($U$780,'TAR FIN'!$A$1:$O$86,15,0))</f>
        <v>246.3</v>
      </c>
      <c r="Y780" s="6"/>
      <c r="Z780" s="6">
        <f ca="1">('TUSD BE'!$AM$48+'TUSD BF_350'!$AM$48+'TUSD CVA'!$AM$48)*1</f>
        <v>223.26795372656312</v>
      </c>
      <c r="AA780" s="6">
        <f ca="1">('TE BE'!$AB$38+'TE BF_350'!$AB$38+'TE CVA'!$AB$38)*1</f>
        <v>219.40364509824883</v>
      </c>
      <c r="AB780" s="6">
        <f>$K$780*$V$780</f>
        <v>0</v>
      </c>
      <c r="AC780" s="6">
        <f>$M$780*$W$780</f>
        <v>5282.5192900000002</v>
      </c>
      <c r="AD780" s="6">
        <f>$O$780*$X$780</f>
        <v>5295.2037</v>
      </c>
      <c r="AE780" s="6">
        <f>$K$780*$Y$780</f>
        <v>0</v>
      </c>
      <c r="AF780" s="6">
        <f ca="1">$M$780*$Z$780</f>
        <v>4800.0377371673803</v>
      </c>
      <c r="AG780" s="6">
        <f ca="1">$O$780*$AA$780</f>
        <v>4716.9589659672511</v>
      </c>
    </row>
    <row r="781" spans="1:33" ht="11.25" customHeight="1" x14ac:dyDescent="0.25">
      <c r="A781" s="4" t="s">
        <v>21</v>
      </c>
      <c r="B781" s="4" t="s">
        <v>36</v>
      </c>
      <c r="C781" s="4" t="s">
        <v>32</v>
      </c>
      <c r="D781" s="4" t="s">
        <v>41</v>
      </c>
      <c r="E781" s="4" t="s">
        <v>25</v>
      </c>
      <c r="F781" s="4" t="s">
        <v>25</v>
      </c>
      <c r="G781" s="4" t="s">
        <v>25</v>
      </c>
      <c r="H781" s="4" t="s">
        <v>34</v>
      </c>
      <c r="I781" s="5">
        <v>44682</v>
      </c>
      <c r="J781" s="6">
        <v>0</v>
      </c>
      <c r="K781" s="6">
        <v>0</v>
      </c>
      <c r="L781" s="6">
        <v>15.483000000000001</v>
      </c>
      <c r="M781" s="6">
        <v>15.483000000000001</v>
      </c>
      <c r="N781" s="6">
        <v>15.483000000000001</v>
      </c>
      <c r="O781" s="6">
        <v>15.483000000000001</v>
      </c>
      <c r="P781" s="6">
        <v>0</v>
      </c>
      <c r="Q781" s="4" t="s">
        <v>26</v>
      </c>
      <c r="R781" s="4">
        <v>0</v>
      </c>
      <c r="S781" s="6">
        <v>0</v>
      </c>
      <c r="T781" s="6">
        <v>26</v>
      </c>
      <c r="U781" s="6">
        <v>69</v>
      </c>
      <c r="V781" s="6">
        <f>IF(ISERROR(VLOOKUP($S$781,'TAR FIN'!$A$1:$O$86,15,0)),0,VLOOKUP($S$781,'TAR FIN'!$A$1:$O$86,15,0))</f>
        <v>0</v>
      </c>
      <c r="W781" s="6">
        <f>IF(ISERROR(VLOOKUP($T$781,'TAR FIN'!$A$1:$O$86,15,0)),0,VLOOKUP($T$781,'TAR FIN'!$A$1:$O$86,15,0))</f>
        <v>245.71</v>
      </c>
      <c r="X781" s="6">
        <f>IF(ISERROR(VLOOKUP($U$781,'TAR FIN'!$A$1:$O$86,15,0)),0,VLOOKUP($U$781,'TAR FIN'!$A$1:$O$86,15,0))</f>
        <v>246.3</v>
      </c>
      <c r="Y781" s="6"/>
      <c r="Z781" s="6">
        <f ca="1">('TUSD BE'!$AM$48+'TUSD BF_350'!$AM$48+'TUSD CVA'!$AM$48)*1</f>
        <v>223.26795372656312</v>
      </c>
      <c r="AA781" s="6">
        <f ca="1">('TE BE'!$AB$38+'TE BF_350'!$AB$38+'TE CVA'!$AB$38)*1</f>
        <v>219.40364509824883</v>
      </c>
      <c r="AB781" s="6">
        <f>$K$781*$V$781</f>
        <v>0</v>
      </c>
      <c r="AC781" s="6">
        <f>$M$781*$W$781</f>
        <v>3804.3279300000004</v>
      </c>
      <c r="AD781" s="6">
        <f>$O$781*$X$781</f>
        <v>3813.4629000000004</v>
      </c>
      <c r="AE781" s="6">
        <f>$K$781*$Y$781</f>
        <v>0</v>
      </c>
      <c r="AF781" s="6">
        <f ca="1">$M$781*$Z$781</f>
        <v>3456.8577275483767</v>
      </c>
      <c r="AG781" s="6">
        <f ca="1">$O$781*$AA$781</f>
        <v>3397.0266370561867</v>
      </c>
    </row>
    <row r="782" spans="1:33" ht="11.25" customHeight="1" x14ac:dyDescent="0.25">
      <c r="A782" s="4" t="s">
        <v>56</v>
      </c>
      <c r="B782" s="4" t="s">
        <v>36</v>
      </c>
      <c r="C782" s="4" t="s">
        <v>32</v>
      </c>
      <c r="D782" s="4" t="s">
        <v>41</v>
      </c>
      <c r="E782" s="4" t="s">
        <v>25</v>
      </c>
      <c r="F782" s="4" t="s">
        <v>25</v>
      </c>
      <c r="G782" s="4" t="s">
        <v>25</v>
      </c>
      <c r="H782" s="4" t="s">
        <v>34</v>
      </c>
      <c r="I782" s="5">
        <v>44713</v>
      </c>
      <c r="J782" s="6">
        <v>0</v>
      </c>
      <c r="K782" s="6">
        <v>0</v>
      </c>
      <c r="L782" s="6">
        <v>15.483000000000001</v>
      </c>
      <c r="M782" s="6">
        <v>15.483000000000001</v>
      </c>
      <c r="N782" s="6">
        <v>15.483000000000001</v>
      </c>
      <c r="O782" s="6">
        <v>15.483000000000001</v>
      </c>
      <c r="P782" s="6">
        <v>0</v>
      </c>
      <c r="Q782" s="4" t="s">
        <v>26</v>
      </c>
      <c r="R782" s="4">
        <v>0</v>
      </c>
      <c r="S782" s="6">
        <v>0</v>
      </c>
      <c r="T782" s="6">
        <v>26</v>
      </c>
      <c r="U782" s="6">
        <v>69</v>
      </c>
      <c r="V782" s="6">
        <f>IF(ISERROR(VLOOKUP($S$782,'TAR FIN'!$A$1:$O$86,15,0)),0,VLOOKUP($S$782,'TAR FIN'!$A$1:$O$86,15,0))</f>
        <v>0</v>
      </c>
      <c r="W782" s="6">
        <f>IF(ISERROR(VLOOKUP($T$782,'TAR FIN'!$A$1:$O$86,15,0)),0,VLOOKUP($T$782,'TAR FIN'!$A$1:$O$86,15,0))</f>
        <v>245.71</v>
      </c>
      <c r="X782" s="6">
        <f>IF(ISERROR(VLOOKUP($U$782,'TAR FIN'!$A$1:$O$86,15,0)),0,VLOOKUP($U$782,'TAR FIN'!$A$1:$O$86,15,0))</f>
        <v>246.3</v>
      </c>
      <c r="Y782" s="6"/>
      <c r="Z782" s="6">
        <f ca="1">('TUSD BE'!$AM$48+'TUSD BF_350'!$AM$48+'TUSD CVA'!$AM$48)*1</f>
        <v>223.26795372656312</v>
      </c>
      <c r="AA782" s="6">
        <f ca="1">('TE BE'!$AB$38+'TE BF_350'!$AB$38+'TE CVA'!$AB$38)*1</f>
        <v>219.40364509824883</v>
      </c>
      <c r="AB782" s="6">
        <f>$K$782*$V$782</f>
        <v>0</v>
      </c>
      <c r="AC782" s="6">
        <f>$M$782*$W$782</f>
        <v>3804.3279300000004</v>
      </c>
      <c r="AD782" s="6">
        <f>$O$782*$X$782</f>
        <v>3813.4629000000004</v>
      </c>
      <c r="AE782" s="6">
        <f>$K$782*$Y$782</f>
        <v>0</v>
      </c>
      <c r="AF782" s="6">
        <f ca="1">$M$782*$Z$782</f>
        <v>3456.8577275483767</v>
      </c>
      <c r="AG782" s="6">
        <f ca="1">$O$782*$AA$782</f>
        <v>3397.0266370561867</v>
      </c>
    </row>
    <row r="783" spans="1:33" ht="11.25" customHeight="1" x14ac:dyDescent="0.25">
      <c r="A783" s="4" t="s">
        <v>21</v>
      </c>
      <c r="B783" s="4" t="s">
        <v>36</v>
      </c>
      <c r="C783" s="4" t="s">
        <v>32</v>
      </c>
      <c r="D783" s="4" t="s">
        <v>41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44378</v>
      </c>
      <c r="J783" s="6">
        <v>0</v>
      </c>
      <c r="K783" s="6">
        <v>0</v>
      </c>
      <c r="L783" s="6">
        <v>1.2869999999999999</v>
      </c>
      <c r="M783" s="6">
        <v>1.2869999999999999</v>
      </c>
      <c r="N783" s="6">
        <v>1.2869999999999999</v>
      </c>
      <c r="O783" s="6">
        <v>1.2869999999999999</v>
      </c>
      <c r="P783" s="6">
        <v>0</v>
      </c>
      <c r="Q783" s="4" t="s">
        <v>26</v>
      </c>
      <c r="R783" s="4">
        <v>0</v>
      </c>
      <c r="S783" s="6">
        <v>0</v>
      </c>
      <c r="T783" s="6">
        <v>31</v>
      </c>
      <c r="U783" s="6">
        <v>71</v>
      </c>
      <c r="V783" s="6">
        <f>IF(ISERROR(VLOOKUP($S$783,'TAR FIN'!$A$1:$O$86,15,0)),0,VLOOKUP($S$783,'TAR FIN'!$A$1:$O$86,15,0))</f>
        <v>0</v>
      </c>
      <c r="W783" s="6">
        <f>IF(ISERROR(VLOOKUP($T$783,'TAR FIN'!$A$1:$O$86,15,0)),0,VLOOKUP($T$783,'TAR FIN'!$A$1:$O$86,15,0))</f>
        <v>479.1</v>
      </c>
      <c r="X783" s="6">
        <f>IF(ISERROR(VLOOKUP($U$783,'TAR FIN'!$A$1:$O$86,15,0)),0,VLOOKUP($U$783,'TAR FIN'!$A$1:$O$86,15,0))</f>
        <v>246.3</v>
      </c>
      <c r="Y783" s="6"/>
      <c r="Z783" s="6">
        <f ca="1">('TUSD BE'!$AM$47+'TUSD BF_350'!$AM$47+'TUSD CVA'!$AM$47)*1</f>
        <v>420.60013627588546</v>
      </c>
      <c r="AA783" s="6">
        <f ca="1">('TE BE'!$AB$37+'TE BF_350'!$AB$37+'TE CVA'!$AB$37)*1</f>
        <v>219.40364509824883</v>
      </c>
      <c r="AB783" s="6">
        <f>$K$783*$V$783</f>
        <v>0</v>
      </c>
      <c r="AC783" s="6">
        <f>$M$783*$W$783</f>
        <v>616.60169999999994</v>
      </c>
      <c r="AD783" s="6">
        <f>$O$783*$X$783</f>
        <v>316.98809999999997</v>
      </c>
      <c r="AE783" s="6">
        <f>$K$783*$Y$783</f>
        <v>0</v>
      </c>
      <c r="AF783" s="6">
        <f ca="1">$M$783*$Z$783</f>
        <v>541.31237538706455</v>
      </c>
      <c r="AG783" s="6">
        <f ca="1">$O$783*$AA$783</f>
        <v>282.37249124144626</v>
      </c>
    </row>
    <row r="784" spans="1:33" ht="11.25" customHeight="1" x14ac:dyDescent="0.25">
      <c r="A784" s="4" t="s">
        <v>21</v>
      </c>
      <c r="B784" s="4" t="s">
        <v>36</v>
      </c>
      <c r="C784" s="4" t="s">
        <v>32</v>
      </c>
      <c r="D784" s="4" t="s">
        <v>41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44409</v>
      </c>
      <c r="J784" s="6">
        <v>0</v>
      </c>
      <c r="K784" s="6">
        <v>0</v>
      </c>
      <c r="L784" s="6">
        <v>1.155</v>
      </c>
      <c r="M784" s="6">
        <v>1.155</v>
      </c>
      <c r="N784" s="6">
        <v>1.155</v>
      </c>
      <c r="O784" s="6">
        <v>1.155</v>
      </c>
      <c r="P784" s="6">
        <v>0</v>
      </c>
      <c r="Q784" s="4" t="s">
        <v>26</v>
      </c>
      <c r="R784" s="4">
        <v>0</v>
      </c>
      <c r="S784" s="6">
        <v>0</v>
      </c>
      <c r="T784" s="6">
        <v>31</v>
      </c>
      <c r="U784" s="6">
        <v>71</v>
      </c>
      <c r="V784" s="6">
        <f>IF(ISERROR(VLOOKUP($S$784,'TAR FIN'!$A$1:$O$86,15,0)),0,VLOOKUP($S$784,'TAR FIN'!$A$1:$O$86,15,0))</f>
        <v>0</v>
      </c>
      <c r="W784" s="6">
        <f>IF(ISERROR(VLOOKUP($T$784,'TAR FIN'!$A$1:$O$86,15,0)),0,VLOOKUP($T$784,'TAR FIN'!$A$1:$O$86,15,0))</f>
        <v>479.1</v>
      </c>
      <c r="X784" s="6">
        <f>IF(ISERROR(VLOOKUP($U$784,'TAR FIN'!$A$1:$O$86,15,0)),0,VLOOKUP($U$784,'TAR FIN'!$A$1:$O$86,15,0))</f>
        <v>246.3</v>
      </c>
      <c r="Y784" s="6"/>
      <c r="Z784" s="6">
        <f ca="1">('TUSD BE'!$AM$47+'TUSD BF_350'!$AM$47+'TUSD CVA'!$AM$47)*1</f>
        <v>420.60013627588546</v>
      </c>
      <c r="AA784" s="6">
        <f ca="1">('TE BE'!$AB$37+'TE BF_350'!$AB$37+'TE CVA'!$AB$37)*1</f>
        <v>219.40364509824883</v>
      </c>
      <c r="AB784" s="6">
        <f>$K$784*$V$784</f>
        <v>0</v>
      </c>
      <c r="AC784" s="6">
        <f>$M$784*$W$784</f>
        <v>553.3605</v>
      </c>
      <c r="AD784" s="6">
        <f>$O$784*$X$784</f>
        <v>284.47650000000004</v>
      </c>
      <c r="AE784" s="6">
        <f>$K$784*$Y$784</f>
        <v>0</v>
      </c>
      <c r="AF784" s="6">
        <f ca="1">$M$784*$Z$784</f>
        <v>485.79315739864774</v>
      </c>
      <c r="AG784" s="6">
        <f ca="1">$O$784*$AA$784</f>
        <v>253.41121008847742</v>
      </c>
    </row>
    <row r="785" spans="1:33" ht="11.25" customHeight="1" x14ac:dyDescent="0.25">
      <c r="A785" s="4" t="s">
        <v>21</v>
      </c>
      <c r="B785" s="4" t="s">
        <v>36</v>
      </c>
      <c r="C785" s="4" t="s">
        <v>32</v>
      </c>
      <c r="D785" s="4" t="s">
        <v>41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44440</v>
      </c>
      <c r="J785" s="6">
        <v>0</v>
      </c>
      <c r="K785" s="6">
        <v>0</v>
      </c>
      <c r="L785" s="6">
        <v>1.115</v>
      </c>
      <c r="M785" s="6">
        <v>1.115</v>
      </c>
      <c r="N785" s="6">
        <v>1.115</v>
      </c>
      <c r="O785" s="6">
        <v>1.115</v>
      </c>
      <c r="P785" s="6">
        <v>0</v>
      </c>
      <c r="Q785" s="4" t="s">
        <v>26</v>
      </c>
      <c r="R785" s="4">
        <v>0</v>
      </c>
      <c r="S785" s="6">
        <v>0</v>
      </c>
      <c r="T785" s="6">
        <v>31</v>
      </c>
      <c r="U785" s="6">
        <v>71</v>
      </c>
      <c r="V785" s="6">
        <f>IF(ISERROR(VLOOKUP($S$785,'TAR FIN'!$A$1:$O$86,15,0)),0,VLOOKUP($S$785,'TAR FIN'!$A$1:$O$86,15,0))</f>
        <v>0</v>
      </c>
      <c r="W785" s="6">
        <f>IF(ISERROR(VLOOKUP($T$785,'TAR FIN'!$A$1:$O$86,15,0)),0,VLOOKUP($T$785,'TAR FIN'!$A$1:$O$86,15,0))</f>
        <v>479.1</v>
      </c>
      <c r="X785" s="6">
        <f>IF(ISERROR(VLOOKUP($U$785,'TAR FIN'!$A$1:$O$86,15,0)),0,VLOOKUP($U$785,'TAR FIN'!$A$1:$O$86,15,0))</f>
        <v>246.3</v>
      </c>
      <c r="Y785" s="6"/>
      <c r="Z785" s="6">
        <f ca="1">('TUSD BE'!$AM$47+'TUSD BF_350'!$AM$47+'TUSD CVA'!$AM$47)*1</f>
        <v>420.60013627588546</v>
      </c>
      <c r="AA785" s="6">
        <f ca="1">('TE BE'!$AB$37+'TE BF_350'!$AB$37+'TE CVA'!$AB$37)*1</f>
        <v>219.40364509824883</v>
      </c>
      <c r="AB785" s="6">
        <f>$K$785*$V$785</f>
        <v>0</v>
      </c>
      <c r="AC785" s="6">
        <f>$M$785*$W$785</f>
        <v>534.19650000000001</v>
      </c>
      <c r="AD785" s="6">
        <f>$O$785*$X$785</f>
        <v>274.62450000000001</v>
      </c>
      <c r="AE785" s="6">
        <f>$K$785*$Y$785</f>
        <v>0</v>
      </c>
      <c r="AF785" s="6">
        <f ca="1">$M$785*$Z$785</f>
        <v>468.96915194761226</v>
      </c>
      <c r="AG785" s="6">
        <f ca="1">$O$785*$AA$785</f>
        <v>244.63506428454744</v>
      </c>
    </row>
    <row r="786" spans="1:33" ht="11.25" customHeight="1" x14ac:dyDescent="0.25">
      <c r="A786" s="4" t="s">
        <v>21</v>
      </c>
      <c r="B786" s="4" t="s">
        <v>36</v>
      </c>
      <c r="C786" s="4" t="s">
        <v>32</v>
      </c>
      <c r="D786" s="4" t="s">
        <v>41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44470</v>
      </c>
      <c r="J786" s="6">
        <v>0</v>
      </c>
      <c r="K786" s="6">
        <v>0</v>
      </c>
      <c r="L786" s="6">
        <v>1.157</v>
      </c>
      <c r="M786" s="6">
        <v>1.157</v>
      </c>
      <c r="N786" s="6">
        <v>1.157</v>
      </c>
      <c r="O786" s="6">
        <v>1.157</v>
      </c>
      <c r="P786" s="6">
        <v>0</v>
      </c>
      <c r="Q786" s="4" t="s">
        <v>26</v>
      </c>
      <c r="R786" s="4">
        <v>0</v>
      </c>
      <c r="S786" s="6">
        <v>0</v>
      </c>
      <c r="T786" s="6">
        <v>31</v>
      </c>
      <c r="U786" s="6">
        <v>71</v>
      </c>
      <c r="V786" s="6">
        <f>IF(ISERROR(VLOOKUP($S$786,'TAR FIN'!$A$1:$O$86,15,0)),0,VLOOKUP($S$786,'TAR FIN'!$A$1:$O$86,15,0))</f>
        <v>0</v>
      </c>
      <c r="W786" s="6">
        <f>IF(ISERROR(VLOOKUP($T$786,'TAR FIN'!$A$1:$O$86,15,0)),0,VLOOKUP($T$786,'TAR FIN'!$A$1:$O$86,15,0))</f>
        <v>479.1</v>
      </c>
      <c r="X786" s="6">
        <f>IF(ISERROR(VLOOKUP($U$786,'TAR FIN'!$A$1:$O$86,15,0)),0,VLOOKUP($U$786,'TAR FIN'!$A$1:$O$86,15,0))</f>
        <v>246.3</v>
      </c>
      <c r="Y786" s="6"/>
      <c r="Z786" s="6">
        <f ca="1">('TUSD BE'!$AM$47+'TUSD BF_350'!$AM$47+'TUSD CVA'!$AM$47)*1</f>
        <v>420.60013627588546</v>
      </c>
      <c r="AA786" s="6">
        <f ca="1">('TE BE'!$AB$37+'TE BF_350'!$AB$37+'TE CVA'!$AB$37)*1</f>
        <v>219.40364509824883</v>
      </c>
      <c r="AB786" s="6">
        <f>$K$786*$V$786</f>
        <v>0</v>
      </c>
      <c r="AC786" s="6">
        <f>$M$786*$W$786</f>
        <v>554.31870000000004</v>
      </c>
      <c r="AD786" s="6">
        <f>$O$786*$X$786</f>
        <v>284.96910000000003</v>
      </c>
      <c r="AE786" s="6">
        <f>$K$786*$Y$786</f>
        <v>0</v>
      </c>
      <c r="AF786" s="6">
        <f ca="1">$M$786*$Z$786</f>
        <v>486.6343576711995</v>
      </c>
      <c r="AG786" s="6">
        <f ca="1">$O$786*$AA$786</f>
        <v>253.8500173786739</v>
      </c>
    </row>
    <row r="787" spans="1:33" ht="11.25" customHeight="1" x14ac:dyDescent="0.25">
      <c r="A787" s="4" t="s">
        <v>21</v>
      </c>
      <c r="B787" s="4" t="s">
        <v>36</v>
      </c>
      <c r="C787" s="4" t="s">
        <v>32</v>
      </c>
      <c r="D787" s="4" t="s">
        <v>41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44501</v>
      </c>
      <c r="J787" s="6">
        <v>0</v>
      </c>
      <c r="K787" s="6">
        <v>0</v>
      </c>
      <c r="L787" s="6">
        <v>1.415</v>
      </c>
      <c r="M787" s="6">
        <v>1.415</v>
      </c>
      <c r="N787" s="6">
        <v>1.415</v>
      </c>
      <c r="O787" s="6">
        <v>1.415</v>
      </c>
      <c r="P787" s="6">
        <v>0</v>
      </c>
      <c r="Q787" s="4" t="s">
        <v>26</v>
      </c>
      <c r="R787" s="4">
        <v>0</v>
      </c>
      <c r="S787" s="6">
        <v>0</v>
      </c>
      <c r="T787" s="6">
        <v>31</v>
      </c>
      <c r="U787" s="6">
        <v>71</v>
      </c>
      <c r="V787" s="6">
        <f>IF(ISERROR(VLOOKUP($S$787,'TAR FIN'!$A$1:$O$86,15,0)),0,VLOOKUP($S$787,'TAR FIN'!$A$1:$O$86,15,0))</f>
        <v>0</v>
      </c>
      <c r="W787" s="6">
        <f>IF(ISERROR(VLOOKUP($T$787,'TAR FIN'!$A$1:$O$86,15,0)),0,VLOOKUP($T$787,'TAR FIN'!$A$1:$O$86,15,0))</f>
        <v>479.1</v>
      </c>
      <c r="X787" s="6">
        <f>IF(ISERROR(VLOOKUP($U$787,'TAR FIN'!$A$1:$O$86,15,0)),0,VLOOKUP($U$787,'TAR FIN'!$A$1:$O$86,15,0))</f>
        <v>246.3</v>
      </c>
      <c r="Y787" s="6"/>
      <c r="Z787" s="6">
        <f ca="1">('TUSD BE'!$AM$47+'TUSD BF_350'!$AM$47+'TUSD CVA'!$AM$47)*1</f>
        <v>420.60013627588546</v>
      </c>
      <c r="AA787" s="6">
        <f ca="1">('TE BE'!$AB$37+'TE BF_350'!$AB$37+'TE CVA'!$AB$37)*1</f>
        <v>219.40364509824883</v>
      </c>
      <c r="AB787" s="6">
        <f>$K$787*$V$787</f>
        <v>0</v>
      </c>
      <c r="AC787" s="6">
        <f>$M$787*$W$787</f>
        <v>677.92650000000003</v>
      </c>
      <c r="AD787" s="6">
        <f>$O$787*$X$787</f>
        <v>348.5145</v>
      </c>
      <c r="AE787" s="6">
        <f>$K$787*$Y$787</f>
        <v>0</v>
      </c>
      <c r="AF787" s="6">
        <f ca="1">$M$787*$Z$787</f>
        <v>595.14919283037796</v>
      </c>
      <c r="AG787" s="6">
        <f ca="1">$O$787*$AA$787</f>
        <v>310.45615781402211</v>
      </c>
    </row>
    <row r="788" spans="1:33" ht="11.25" customHeight="1" x14ac:dyDescent="0.25">
      <c r="A788" s="4" t="s">
        <v>21</v>
      </c>
      <c r="B788" s="4" t="s">
        <v>36</v>
      </c>
      <c r="C788" s="4" t="s">
        <v>32</v>
      </c>
      <c r="D788" s="4" t="s">
        <v>41</v>
      </c>
      <c r="E788" s="4" t="s">
        <v>25</v>
      </c>
      <c r="F788" s="4" t="s">
        <v>25</v>
      </c>
      <c r="G788" s="4" t="s">
        <v>25</v>
      </c>
      <c r="H788" s="4" t="s">
        <v>35</v>
      </c>
      <c r="I788" s="5">
        <v>44531</v>
      </c>
      <c r="J788" s="6">
        <v>0</v>
      </c>
      <c r="K788" s="6">
        <v>0</v>
      </c>
      <c r="L788" s="6">
        <v>1.536</v>
      </c>
      <c r="M788" s="6">
        <v>1.536</v>
      </c>
      <c r="N788" s="6">
        <v>1.536</v>
      </c>
      <c r="O788" s="6">
        <v>1.536</v>
      </c>
      <c r="P788" s="6">
        <v>0</v>
      </c>
      <c r="Q788" s="4" t="s">
        <v>26</v>
      </c>
      <c r="R788" s="4">
        <v>0</v>
      </c>
      <c r="S788" s="6">
        <v>0</v>
      </c>
      <c r="T788" s="6">
        <v>31</v>
      </c>
      <c r="U788" s="6">
        <v>71</v>
      </c>
      <c r="V788" s="6">
        <f>IF(ISERROR(VLOOKUP($S$788,'TAR FIN'!$A$1:$O$86,15,0)),0,VLOOKUP($S$788,'TAR FIN'!$A$1:$O$86,15,0))</f>
        <v>0</v>
      </c>
      <c r="W788" s="6">
        <f>IF(ISERROR(VLOOKUP($T$788,'TAR FIN'!$A$1:$O$86,15,0)),0,VLOOKUP($T$788,'TAR FIN'!$A$1:$O$86,15,0))</f>
        <v>479.1</v>
      </c>
      <c r="X788" s="6">
        <f>IF(ISERROR(VLOOKUP($U$788,'TAR FIN'!$A$1:$O$86,15,0)),0,VLOOKUP($U$788,'TAR FIN'!$A$1:$O$86,15,0))</f>
        <v>246.3</v>
      </c>
      <c r="Y788" s="6"/>
      <c r="Z788" s="6">
        <f ca="1">('TUSD BE'!$AM$47+'TUSD BF_350'!$AM$47+'TUSD CVA'!$AM$47)*1</f>
        <v>420.60013627588546</v>
      </c>
      <c r="AA788" s="6">
        <f ca="1">('TE BE'!$AB$37+'TE BF_350'!$AB$37+'TE CVA'!$AB$37)*1</f>
        <v>219.40364509824883</v>
      </c>
      <c r="AB788" s="6">
        <f>$K$788*$V$788</f>
        <v>0</v>
      </c>
      <c r="AC788" s="6">
        <f>$M$788*$W$788</f>
        <v>735.89760000000001</v>
      </c>
      <c r="AD788" s="6">
        <f>$O$788*$X$788</f>
        <v>378.3168</v>
      </c>
      <c r="AE788" s="6">
        <f>$K$788*$Y$788</f>
        <v>0</v>
      </c>
      <c r="AF788" s="6">
        <f ca="1">$M$788*$Z$788</f>
        <v>646.04180931976009</v>
      </c>
      <c r="AG788" s="6">
        <f ca="1">$O$788*$AA$788</f>
        <v>337.00399887091021</v>
      </c>
    </row>
    <row r="789" spans="1:33" ht="11.25" customHeight="1" x14ac:dyDescent="0.25">
      <c r="A789" s="4" t="s">
        <v>21</v>
      </c>
      <c r="B789" s="4" t="s">
        <v>36</v>
      </c>
      <c r="C789" s="4" t="s">
        <v>32</v>
      </c>
      <c r="D789" s="4" t="s">
        <v>41</v>
      </c>
      <c r="E789" s="4" t="s">
        <v>25</v>
      </c>
      <c r="F789" s="4" t="s">
        <v>25</v>
      </c>
      <c r="G789" s="4" t="s">
        <v>25</v>
      </c>
      <c r="H789" s="4" t="s">
        <v>35</v>
      </c>
      <c r="I789" s="5">
        <v>44562</v>
      </c>
      <c r="J789" s="6">
        <v>0</v>
      </c>
      <c r="K789" s="6">
        <v>0</v>
      </c>
      <c r="L789" s="6">
        <v>2.0840000000000001</v>
      </c>
      <c r="M789" s="6">
        <v>2.0840000000000001</v>
      </c>
      <c r="N789" s="6">
        <v>2.0840000000000001</v>
      </c>
      <c r="O789" s="6">
        <v>2.0840000000000001</v>
      </c>
      <c r="P789" s="6">
        <v>0</v>
      </c>
      <c r="Q789" s="4" t="s">
        <v>26</v>
      </c>
      <c r="R789" s="4">
        <v>0</v>
      </c>
      <c r="S789" s="6">
        <v>0</v>
      </c>
      <c r="T789" s="6">
        <v>31</v>
      </c>
      <c r="U789" s="6">
        <v>71</v>
      </c>
      <c r="V789" s="6">
        <f>IF(ISERROR(VLOOKUP($S$789,'TAR FIN'!$A$1:$O$86,15,0)),0,VLOOKUP($S$789,'TAR FIN'!$A$1:$O$86,15,0))</f>
        <v>0</v>
      </c>
      <c r="W789" s="6">
        <f>IF(ISERROR(VLOOKUP($T$789,'TAR FIN'!$A$1:$O$86,15,0)),0,VLOOKUP($T$789,'TAR FIN'!$A$1:$O$86,15,0))</f>
        <v>479.1</v>
      </c>
      <c r="X789" s="6">
        <f>IF(ISERROR(VLOOKUP($U$789,'TAR FIN'!$A$1:$O$86,15,0)),0,VLOOKUP($U$789,'TAR FIN'!$A$1:$O$86,15,0))</f>
        <v>246.3</v>
      </c>
      <c r="Y789" s="6"/>
      <c r="Z789" s="6">
        <f ca="1">('TUSD BE'!$AM$47+'TUSD BF_350'!$AM$47+'TUSD CVA'!$AM$47)*1</f>
        <v>420.60013627588546</v>
      </c>
      <c r="AA789" s="6">
        <f ca="1">('TE BE'!$AB$37+'TE BF_350'!$AB$37+'TE CVA'!$AB$37)*1</f>
        <v>219.40364509824883</v>
      </c>
      <c r="AB789" s="6">
        <f>$K$789*$V$789</f>
        <v>0</v>
      </c>
      <c r="AC789" s="6">
        <f>$M$789*$W$789</f>
        <v>998.44440000000009</v>
      </c>
      <c r="AD789" s="6">
        <f>$O$789*$X$789</f>
        <v>513.28920000000005</v>
      </c>
      <c r="AE789" s="6">
        <f>$K$789*$Y$789</f>
        <v>0</v>
      </c>
      <c r="AF789" s="6">
        <f ca="1">$M$789*$Z$789</f>
        <v>876.53068399894528</v>
      </c>
      <c r="AG789" s="6">
        <f ca="1">$O$789*$AA$789</f>
        <v>457.23719638475058</v>
      </c>
    </row>
    <row r="790" spans="1:33" ht="11.25" customHeight="1" x14ac:dyDescent="0.25">
      <c r="A790" s="4" t="s">
        <v>21</v>
      </c>
      <c r="B790" s="4" t="s">
        <v>36</v>
      </c>
      <c r="C790" s="4" t="s">
        <v>32</v>
      </c>
      <c r="D790" s="4" t="s">
        <v>41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44593</v>
      </c>
      <c r="J790" s="6">
        <v>0</v>
      </c>
      <c r="K790" s="6">
        <v>0</v>
      </c>
      <c r="L790" s="6">
        <v>1.64</v>
      </c>
      <c r="M790" s="6">
        <v>1.64</v>
      </c>
      <c r="N790" s="6">
        <v>1.64</v>
      </c>
      <c r="O790" s="6">
        <v>1.64</v>
      </c>
      <c r="P790" s="6">
        <v>0</v>
      </c>
      <c r="Q790" s="4" t="s">
        <v>26</v>
      </c>
      <c r="R790" s="4">
        <v>0</v>
      </c>
      <c r="S790" s="6">
        <v>0</v>
      </c>
      <c r="T790" s="6">
        <v>31</v>
      </c>
      <c r="U790" s="6">
        <v>71</v>
      </c>
      <c r="V790" s="6">
        <f>IF(ISERROR(VLOOKUP($S$790,'TAR FIN'!$A$1:$O$86,15,0)),0,VLOOKUP($S$790,'TAR FIN'!$A$1:$O$86,15,0))</f>
        <v>0</v>
      </c>
      <c r="W790" s="6">
        <f>IF(ISERROR(VLOOKUP($T$790,'TAR FIN'!$A$1:$O$86,15,0)),0,VLOOKUP($T$790,'TAR FIN'!$A$1:$O$86,15,0))</f>
        <v>479.1</v>
      </c>
      <c r="X790" s="6">
        <f>IF(ISERROR(VLOOKUP($U$790,'TAR FIN'!$A$1:$O$86,15,0)),0,VLOOKUP($U$790,'TAR FIN'!$A$1:$O$86,15,0))</f>
        <v>246.3</v>
      </c>
      <c r="Y790" s="6"/>
      <c r="Z790" s="6">
        <f ca="1">('TUSD BE'!$AM$47+'TUSD BF_350'!$AM$47+'TUSD CVA'!$AM$47)*1</f>
        <v>420.60013627588546</v>
      </c>
      <c r="AA790" s="6">
        <f ca="1">('TE BE'!$AB$37+'TE BF_350'!$AB$37+'TE CVA'!$AB$37)*1</f>
        <v>219.40364509824883</v>
      </c>
      <c r="AB790" s="6">
        <f>$K$790*$V$790</f>
        <v>0</v>
      </c>
      <c r="AC790" s="6">
        <f>$M$790*$W$790</f>
        <v>785.72400000000005</v>
      </c>
      <c r="AD790" s="6">
        <f>$O$790*$X$790</f>
        <v>403.93200000000002</v>
      </c>
      <c r="AE790" s="6">
        <f>$K$790*$Y$790</f>
        <v>0</v>
      </c>
      <c r="AF790" s="6">
        <f ca="1">$M$790*$Z$790</f>
        <v>689.78422349245216</v>
      </c>
      <c r="AG790" s="6">
        <f ca="1">$O$790*$AA$790</f>
        <v>359.82197796112808</v>
      </c>
    </row>
    <row r="791" spans="1:33" ht="11.25" customHeight="1" x14ac:dyDescent="0.25">
      <c r="A791" s="4" t="s">
        <v>21</v>
      </c>
      <c r="B791" s="4" t="s">
        <v>36</v>
      </c>
      <c r="C791" s="4" t="s">
        <v>32</v>
      </c>
      <c r="D791" s="4" t="s">
        <v>41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44621</v>
      </c>
      <c r="J791" s="6">
        <v>0</v>
      </c>
      <c r="K791" s="6">
        <v>0</v>
      </c>
      <c r="L791" s="6">
        <v>1.492</v>
      </c>
      <c r="M791" s="6">
        <v>1.492</v>
      </c>
      <c r="N791" s="6">
        <v>1.492</v>
      </c>
      <c r="O791" s="6">
        <v>1.492</v>
      </c>
      <c r="P791" s="6">
        <v>0</v>
      </c>
      <c r="Q791" s="4" t="s">
        <v>26</v>
      </c>
      <c r="R791" s="4">
        <v>0</v>
      </c>
      <c r="S791" s="6">
        <v>0</v>
      </c>
      <c r="T791" s="6">
        <v>31</v>
      </c>
      <c r="U791" s="6">
        <v>71</v>
      </c>
      <c r="V791" s="6">
        <f>IF(ISERROR(VLOOKUP($S$791,'TAR FIN'!$A$1:$O$86,15,0)),0,VLOOKUP($S$791,'TAR FIN'!$A$1:$O$86,15,0))</f>
        <v>0</v>
      </c>
      <c r="W791" s="6">
        <f>IF(ISERROR(VLOOKUP($T$791,'TAR FIN'!$A$1:$O$86,15,0)),0,VLOOKUP($T$791,'TAR FIN'!$A$1:$O$86,15,0))</f>
        <v>479.1</v>
      </c>
      <c r="X791" s="6">
        <f>IF(ISERROR(VLOOKUP($U$791,'TAR FIN'!$A$1:$O$86,15,0)),0,VLOOKUP($U$791,'TAR FIN'!$A$1:$O$86,15,0))</f>
        <v>246.3</v>
      </c>
      <c r="Y791" s="6"/>
      <c r="Z791" s="6">
        <f ca="1">('TUSD BE'!$AM$47+'TUSD BF_350'!$AM$47+'TUSD CVA'!$AM$47)*1</f>
        <v>420.60013627588546</v>
      </c>
      <c r="AA791" s="6">
        <f ca="1">('TE BE'!$AB$37+'TE BF_350'!$AB$37+'TE CVA'!$AB$37)*1</f>
        <v>219.40364509824883</v>
      </c>
      <c r="AB791" s="6">
        <f>$K$791*$V$791</f>
        <v>0</v>
      </c>
      <c r="AC791" s="6">
        <f>$M$791*$W$791</f>
        <v>714.81720000000007</v>
      </c>
      <c r="AD791" s="6">
        <f>$O$791*$X$791</f>
        <v>367.4796</v>
      </c>
      <c r="AE791" s="6">
        <f>$K$791*$Y$791</f>
        <v>0</v>
      </c>
      <c r="AF791" s="6">
        <f ca="1">$M$791*$Z$791</f>
        <v>627.53540332362115</v>
      </c>
      <c r="AG791" s="6">
        <f ca="1">$O$791*$AA$791</f>
        <v>327.35023848658727</v>
      </c>
    </row>
    <row r="792" spans="1:33" ht="11.25" customHeight="1" x14ac:dyDescent="0.25">
      <c r="A792" s="4" t="s">
        <v>21</v>
      </c>
      <c r="B792" s="4" t="s">
        <v>36</v>
      </c>
      <c r="C792" s="4" t="s">
        <v>32</v>
      </c>
      <c r="D792" s="4" t="s">
        <v>41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44652</v>
      </c>
      <c r="J792" s="6">
        <v>0</v>
      </c>
      <c r="K792" s="6">
        <v>0</v>
      </c>
      <c r="L792" s="6">
        <v>1.5289999999999999</v>
      </c>
      <c r="M792" s="6">
        <v>1.5289999999999999</v>
      </c>
      <c r="N792" s="6">
        <v>1.5289999999999999</v>
      </c>
      <c r="O792" s="6">
        <v>1.5289999999999999</v>
      </c>
      <c r="P792" s="6">
        <v>0</v>
      </c>
      <c r="Q792" s="4" t="s">
        <v>26</v>
      </c>
      <c r="R792" s="4">
        <v>0</v>
      </c>
      <c r="S792" s="6">
        <v>0</v>
      </c>
      <c r="T792" s="6">
        <v>31</v>
      </c>
      <c r="U792" s="6">
        <v>71</v>
      </c>
      <c r="V792" s="6">
        <f>IF(ISERROR(VLOOKUP($S$792,'TAR FIN'!$A$1:$O$86,15,0)),0,VLOOKUP($S$792,'TAR FIN'!$A$1:$O$86,15,0))</f>
        <v>0</v>
      </c>
      <c r="W792" s="6">
        <f>IF(ISERROR(VLOOKUP($T$792,'TAR FIN'!$A$1:$O$86,15,0)),0,VLOOKUP($T$792,'TAR FIN'!$A$1:$O$86,15,0))</f>
        <v>479.1</v>
      </c>
      <c r="X792" s="6">
        <f>IF(ISERROR(VLOOKUP($U$792,'TAR FIN'!$A$1:$O$86,15,0)),0,VLOOKUP($U$792,'TAR FIN'!$A$1:$O$86,15,0))</f>
        <v>246.3</v>
      </c>
      <c r="Y792" s="6"/>
      <c r="Z792" s="6">
        <f ca="1">('TUSD BE'!$AM$47+'TUSD BF_350'!$AM$47+'TUSD CVA'!$AM$47)*1</f>
        <v>420.60013627588546</v>
      </c>
      <c r="AA792" s="6">
        <f ca="1">('TE BE'!$AB$37+'TE BF_350'!$AB$37+'TE CVA'!$AB$37)*1</f>
        <v>219.40364509824883</v>
      </c>
      <c r="AB792" s="6">
        <f>$K$792*$V$792</f>
        <v>0</v>
      </c>
      <c r="AC792" s="6">
        <f>$M$792*$W$792</f>
        <v>732.54390000000001</v>
      </c>
      <c r="AD792" s="6">
        <f>$O$792*$X$792</f>
        <v>376.59269999999998</v>
      </c>
      <c r="AE792" s="6">
        <f>$K$792*$Y$792</f>
        <v>0</v>
      </c>
      <c r="AF792" s="6">
        <f ca="1">$M$792*$Z$792</f>
        <v>643.09760836582882</v>
      </c>
      <c r="AG792" s="6">
        <f ca="1">$O$792*$AA$792</f>
        <v>335.46817335522246</v>
      </c>
    </row>
    <row r="793" spans="1:33" ht="11.25" customHeight="1" x14ac:dyDescent="0.25">
      <c r="A793" s="4" t="s">
        <v>21</v>
      </c>
      <c r="B793" s="4" t="s">
        <v>36</v>
      </c>
      <c r="C793" s="4" t="s">
        <v>32</v>
      </c>
      <c r="D793" s="4" t="s">
        <v>41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44682</v>
      </c>
      <c r="J793" s="6">
        <v>0</v>
      </c>
      <c r="K793" s="6">
        <v>0</v>
      </c>
      <c r="L793" s="6">
        <v>1.139</v>
      </c>
      <c r="M793" s="6">
        <v>1.139</v>
      </c>
      <c r="N793" s="6">
        <v>1.139</v>
      </c>
      <c r="O793" s="6">
        <v>1.139</v>
      </c>
      <c r="P793" s="6">
        <v>0</v>
      </c>
      <c r="Q793" s="4" t="s">
        <v>26</v>
      </c>
      <c r="R793" s="4">
        <v>0</v>
      </c>
      <c r="S793" s="6">
        <v>0</v>
      </c>
      <c r="T793" s="6">
        <v>31</v>
      </c>
      <c r="U793" s="6">
        <v>71</v>
      </c>
      <c r="V793" s="6">
        <f>IF(ISERROR(VLOOKUP($S$793,'TAR FIN'!$A$1:$O$86,15,0)),0,VLOOKUP($S$793,'TAR FIN'!$A$1:$O$86,15,0))</f>
        <v>0</v>
      </c>
      <c r="W793" s="6">
        <f>IF(ISERROR(VLOOKUP($T$793,'TAR FIN'!$A$1:$O$86,15,0)),0,VLOOKUP($T$793,'TAR FIN'!$A$1:$O$86,15,0))</f>
        <v>479.1</v>
      </c>
      <c r="X793" s="6">
        <f>IF(ISERROR(VLOOKUP($U$793,'TAR FIN'!$A$1:$O$86,15,0)),0,VLOOKUP($U$793,'TAR FIN'!$A$1:$O$86,15,0))</f>
        <v>246.3</v>
      </c>
      <c r="Y793" s="6"/>
      <c r="Z793" s="6">
        <f ca="1">('TUSD BE'!$AM$47+'TUSD BF_350'!$AM$47+'TUSD CVA'!$AM$47)*1</f>
        <v>420.60013627588546</v>
      </c>
      <c r="AA793" s="6">
        <f ca="1">('TE BE'!$AB$37+'TE BF_350'!$AB$37+'TE CVA'!$AB$37)*1</f>
        <v>219.40364509824883</v>
      </c>
      <c r="AB793" s="6">
        <f>$K$793*$V$793</f>
        <v>0</v>
      </c>
      <c r="AC793" s="6">
        <f>$M$793*$W$793</f>
        <v>545.69490000000008</v>
      </c>
      <c r="AD793" s="6">
        <f>$O$793*$X$793</f>
        <v>280.53570000000002</v>
      </c>
      <c r="AE793" s="6">
        <f>$K$793*$Y$793</f>
        <v>0</v>
      </c>
      <c r="AF793" s="6">
        <f ca="1">$M$793*$Z$793</f>
        <v>479.06355521823355</v>
      </c>
      <c r="AG793" s="6">
        <f ca="1">$O$793*$AA$793</f>
        <v>249.90075176690542</v>
      </c>
    </row>
    <row r="794" spans="1:33" ht="11.25" customHeight="1" x14ac:dyDescent="0.25">
      <c r="A794" s="4" t="s">
        <v>56</v>
      </c>
      <c r="B794" s="4" t="s">
        <v>36</v>
      </c>
      <c r="C794" s="4" t="s">
        <v>32</v>
      </c>
      <c r="D794" s="4" t="s">
        <v>41</v>
      </c>
      <c r="E794" s="4" t="s">
        <v>25</v>
      </c>
      <c r="F794" s="4" t="s">
        <v>25</v>
      </c>
      <c r="G794" s="4" t="s">
        <v>25</v>
      </c>
      <c r="H794" s="4" t="s">
        <v>35</v>
      </c>
      <c r="I794" s="5">
        <v>44713</v>
      </c>
      <c r="J794" s="6">
        <v>0</v>
      </c>
      <c r="K794" s="6">
        <v>0</v>
      </c>
      <c r="L794" s="6">
        <v>1.139</v>
      </c>
      <c r="M794" s="6">
        <v>1.139</v>
      </c>
      <c r="N794" s="6">
        <v>1.139</v>
      </c>
      <c r="O794" s="6">
        <v>1.139</v>
      </c>
      <c r="P794" s="6">
        <v>0</v>
      </c>
      <c r="Q794" s="4" t="s">
        <v>26</v>
      </c>
      <c r="R794" s="4">
        <v>0</v>
      </c>
      <c r="S794" s="6">
        <v>0</v>
      </c>
      <c r="T794" s="6">
        <v>31</v>
      </c>
      <c r="U794" s="6">
        <v>71</v>
      </c>
      <c r="V794" s="6">
        <f>IF(ISERROR(VLOOKUP($S$794,'TAR FIN'!$A$1:$O$86,15,0)),0,VLOOKUP($S$794,'TAR FIN'!$A$1:$O$86,15,0))</f>
        <v>0</v>
      </c>
      <c r="W794" s="6">
        <f>IF(ISERROR(VLOOKUP($T$794,'TAR FIN'!$A$1:$O$86,15,0)),0,VLOOKUP($T$794,'TAR FIN'!$A$1:$O$86,15,0))</f>
        <v>479.1</v>
      </c>
      <c r="X794" s="6">
        <f>IF(ISERROR(VLOOKUP($U$794,'TAR FIN'!$A$1:$O$86,15,0)),0,VLOOKUP($U$794,'TAR FIN'!$A$1:$O$86,15,0))</f>
        <v>246.3</v>
      </c>
      <c r="Y794" s="6"/>
      <c r="Z794" s="6">
        <f ca="1">('TUSD BE'!$AM$47+'TUSD BF_350'!$AM$47+'TUSD CVA'!$AM$47)*1</f>
        <v>420.60013627588546</v>
      </c>
      <c r="AA794" s="6">
        <f ca="1">('TE BE'!$AB$37+'TE BF_350'!$AB$37+'TE CVA'!$AB$37)*1</f>
        <v>219.40364509824883</v>
      </c>
      <c r="AB794" s="6">
        <f>$K$794*$V$794</f>
        <v>0</v>
      </c>
      <c r="AC794" s="6">
        <f>$M$794*$W$794</f>
        <v>545.69490000000008</v>
      </c>
      <c r="AD794" s="6">
        <f>$O$794*$X$794</f>
        <v>280.53570000000002</v>
      </c>
      <c r="AE794" s="6">
        <f>$K$794*$Y$794</f>
        <v>0</v>
      </c>
      <c r="AF794" s="6">
        <f ca="1">$M$794*$Z$794</f>
        <v>479.06355521823355</v>
      </c>
      <c r="AG794" s="6">
        <f ca="1">$O$794*$AA$794</f>
        <v>249.90075176690542</v>
      </c>
    </row>
    <row r="795" spans="1:33" ht="11.25" customHeight="1" x14ac:dyDescent="0.25">
      <c r="A795" s="4" t="s">
        <v>21</v>
      </c>
      <c r="B795" s="4" t="s">
        <v>36</v>
      </c>
      <c r="C795" s="4" t="s">
        <v>32</v>
      </c>
      <c r="D795" s="4" t="s">
        <v>41</v>
      </c>
      <c r="E795" s="4" t="s">
        <v>25</v>
      </c>
      <c r="F795" s="4" t="s">
        <v>25</v>
      </c>
      <c r="G795" s="4" t="s">
        <v>25</v>
      </c>
      <c r="H795" s="4" t="s">
        <v>33</v>
      </c>
      <c r="I795" s="5">
        <v>44378</v>
      </c>
      <c r="J795" s="6">
        <v>0</v>
      </c>
      <c r="K795" s="6">
        <v>0</v>
      </c>
      <c r="L795" s="6">
        <v>1.661</v>
      </c>
      <c r="M795" s="6">
        <v>1.661</v>
      </c>
      <c r="N795" s="6">
        <v>1.661</v>
      </c>
      <c r="O795" s="6">
        <v>1.661</v>
      </c>
      <c r="P795" s="6">
        <v>0</v>
      </c>
      <c r="Q795" s="4" t="s">
        <v>26</v>
      </c>
      <c r="R795" s="4">
        <v>0</v>
      </c>
      <c r="S795" s="6">
        <v>0</v>
      </c>
      <c r="T795" s="6">
        <v>33</v>
      </c>
      <c r="U795" s="6">
        <v>75</v>
      </c>
      <c r="V795" s="6">
        <f>IF(ISERROR(VLOOKUP($S$795,'TAR FIN'!$A$1:$O$86,15,0)),0,VLOOKUP($S$795,'TAR FIN'!$A$1:$O$86,15,0))</f>
        <v>0</v>
      </c>
      <c r="W795" s="6">
        <f>IF(ISERROR(VLOOKUP($T$795,'TAR FIN'!$A$1:$O$86,15,0)),0,VLOOKUP($T$795,'TAR FIN'!$A$1:$O$86,15,0))</f>
        <v>858.83</v>
      </c>
      <c r="X795" s="6">
        <f>IF(ISERROR(VLOOKUP($U$795,'TAR FIN'!$A$1:$O$86,15,0)),0,VLOOKUP($U$795,'TAR FIN'!$A$1:$O$86,15,0))</f>
        <v>389.21</v>
      </c>
      <c r="Y795" s="6"/>
      <c r="Z795" s="6">
        <f ca="1">('TUSD BE'!$AM$46+'TUSD BF_350'!$AM$46+'TUSD CVA'!$AM$46)*1</f>
        <v>1111.2627392273312</v>
      </c>
      <c r="AA795" s="6">
        <f ca="1">('TE BE'!$AB$36+'TE BF_350'!$AB$36+'TE CVA'!$AB$36)*1</f>
        <v>353.55100010229148</v>
      </c>
      <c r="AB795" s="6">
        <f>$K$795*$V$795</f>
        <v>0</v>
      </c>
      <c r="AC795" s="6">
        <f>$M$795*$W$795</f>
        <v>1426.5166300000001</v>
      </c>
      <c r="AD795" s="6">
        <f>$O$795*$X$795</f>
        <v>646.47780999999998</v>
      </c>
      <c r="AE795" s="6">
        <f>$K$795*$Y$795</f>
        <v>0</v>
      </c>
      <c r="AF795" s="6">
        <f ca="1">$M$795*$Z$795</f>
        <v>1845.8074098565971</v>
      </c>
      <c r="AG795" s="6">
        <f ca="1">$O$795*$AA$795</f>
        <v>587.2482111699062</v>
      </c>
    </row>
    <row r="796" spans="1:33" ht="11.25" customHeight="1" x14ac:dyDescent="0.25">
      <c r="A796" s="4" t="s">
        <v>21</v>
      </c>
      <c r="B796" s="4" t="s">
        <v>36</v>
      </c>
      <c r="C796" s="4" t="s">
        <v>32</v>
      </c>
      <c r="D796" s="4" t="s">
        <v>41</v>
      </c>
      <c r="E796" s="4" t="s">
        <v>25</v>
      </c>
      <c r="F796" s="4" t="s">
        <v>25</v>
      </c>
      <c r="G796" s="4" t="s">
        <v>25</v>
      </c>
      <c r="H796" s="4" t="s">
        <v>33</v>
      </c>
      <c r="I796" s="5">
        <v>44409</v>
      </c>
      <c r="J796" s="6">
        <v>0</v>
      </c>
      <c r="K796" s="6">
        <v>0</v>
      </c>
      <c r="L796" s="6">
        <v>1.4</v>
      </c>
      <c r="M796" s="6">
        <v>1.4</v>
      </c>
      <c r="N796" s="6">
        <v>1.4</v>
      </c>
      <c r="O796" s="6">
        <v>1.4</v>
      </c>
      <c r="P796" s="6">
        <v>0</v>
      </c>
      <c r="Q796" s="4" t="s">
        <v>26</v>
      </c>
      <c r="R796" s="4">
        <v>0</v>
      </c>
      <c r="S796" s="6">
        <v>0</v>
      </c>
      <c r="T796" s="6">
        <v>33</v>
      </c>
      <c r="U796" s="6">
        <v>75</v>
      </c>
      <c r="V796" s="6">
        <f>IF(ISERROR(VLOOKUP($S$796,'TAR FIN'!$A$1:$O$86,15,0)),0,VLOOKUP($S$796,'TAR FIN'!$A$1:$O$86,15,0))</f>
        <v>0</v>
      </c>
      <c r="W796" s="6">
        <f>IF(ISERROR(VLOOKUP($T$796,'TAR FIN'!$A$1:$O$86,15,0)),0,VLOOKUP($T$796,'TAR FIN'!$A$1:$O$86,15,0))</f>
        <v>858.83</v>
      </c>
      <c r="X796" s="6">
        <f>IF(ISERROR(VLOOKUP($U$796,'TAR FIN'!$A$1:$O$86,15,0)),0,VLOOKUP($U$796,'TAR FIN'!$A$1:$O$86,15,0))</f>
        <v>389.21</v>
      </c>
      <c r="Y796" s="6"/>
      <c r="Z796" s="6">
        <f ca="1">('TUSD BE'!$AM$46+'TUSD BF_350'!$AM$46+'TUSD CVA'!$AM$46)*1</f>
        <v>1111.2627392273312</v>
      </c>
      <c r="AA796" s="6">
        <f ca="1">('TE BE'!$AB$36+'TE BF_350'!$AB$36+'TE CVA'!$AB$36)*1</f>
        <v>353.55100010229148</v>
      </c>
      <c r="AB796" s="6">
        <f>$K$796*$V$796</f>
        <v>0</v>
      </c>
      <c r="AC796" s="6">
        <f>$M$796*$W$796</f>
        <v>1202.3620000000001</v>
      </c>
      <c r="AD796" s="6">
        <f>$O$796*$X$796</f>
        <v>544.89399999999989</v>
      </c>
      <c r="AE796" s="6">
        <f>$K$796*$Y$796</f>
        <v>0</v>
      </c>
      <c r="AF796" s="6">
        <f ca="1">$M$796*$Z$796</f>
        <v>1555.7678349182636</v>
      </c>
      <c r="AG796" s="6">
        <f ca="1">$O$796*$AA$796</f>
        <v>494.97140014320803</v>
      </c>
    </row>
    <row r="797" spans="1:33" ht="11.25" customHeight="1" x14ac:dyDescent="0.25">
      <c r="A797" s="4" t="s">
        <v>21</v>
      </c>
      <c r="B797" s="4" t="s">
        <v>36</v>
      </c>
      <c r="C797" s="4" t="s">
        <v>32</v>
      </c>
      <c r="D797" s="4" t="s">
        <v>41</v>
      </c>
      <c r="E797" s="4" t="s">
        <v>25</v>
      </c>
      <c r="F797" s="4" t="s">
        <v>25</v>
      </c>
      <c r="G797" s="4" t="s">
        <v>25</v>
      </c>
      <c r="H797" s="4" t="s">
        <v>33</v>
      </c>
      <c r="I797" s="5">
        <v>44440</v>
      </c>
      <c r="J797" s="6">
        <v>0</v>
      </c>
      <c r="K797" s="6">
        <v>0</v>
      </c>
      <c r="L797" s="6">
        <v>1.401</v>
      </c>
      <c r="M797" s="6">
        <v>1.401</v>
      </c>
      <c r="N797" s="6">
        <v>1.401</v>
      </c>
      <c r="O797" s="6">
        <v>1.401</v>
      </c>
      <c r="P797" s="6">
        <v>0</v>
      </c>
      <c r="Q797" s="4" t="s">
        <v>26</v>
      </c>
      <c r="R797" s="4">
        <v>0</v>
      </c>
      <c r="S797" s="6">
        <v>0</v>
      </c>
      <c r="T797" s="6">
        <v>33</v>
      </c>
      <c r="U797" s="6">
        <v>75</v>
      </c>
      <c r="V797" s="6">
        <f>IF(ISERROR(VLOOKUP($S$797,'TAR FIN'!$A$1:$O$86,15,0)),0,VLOOKUP($S$797,'TAR FIN'!$A$1:$O$86,15,0))</f>
        <v>0</v>
      </c>
      <c r="W797" s="6">
        <f>IF(ISERROR(VLOOKUP($T$797,'TAR FIN'!$A$1:$O$86,15,0)),0,VLOOKUP($T$797,'TAR FIN'!$A$1:$O$86,15,0))</f>
        <v>858.83</v>
      </c>
      <c r="X797" s="6">
        <f>IF(ISERROR(VLOOKUP($U$797,'TAR FIN'!$A$1:$O$86,15,0)),0,VLOOKUP($U$797,'TAR FIN'!$A$1:$O$86,15,0))</f>
        <v>389.21</v>
      </c>
      <c r="Y797" s="6"/>
      <c r="Z797" s="6">
        <f ca="1">('TUSD BE'!$AM$46+'TUSD BF_350'!$AM$46+'TUSD CVA'!$AM$46)*1</f>
        <v>1111.2627392273312</v>
      </c>
      <c r="AA797" s="6">
        <f ca="1">('TE BE'!$AB$36+'TE BF_350'!$AB$36+'TE CVA'!$AB$36)*1</f>
        <v>353.55100010229148</v>
      </c>
      <c r="AB797" s="6">
        <f>$K$797*$V$797</f>
        <v>0</v>
      </c>
      <c r="AC797" s="6">
        <f>$M$797*$W$797</f>
        <v>1203.22083</v>
      </c>
      <c r="AD797" s="6">
        <f>$O$797*$X$797</f>
        <v>545.28320999999994</v>
      </c>
      <c r="AE797" s="6">
        <f>$K$797*$Y$797</f>
        <v>0</v>
      </c>
      <c r="AF797" s="6">
        <f ca="1">$M$797*$Z$797</f>
        <v>1556.879097657491</v>
      </c>
      <c r="AG797" s="6">
        <f ca="1">$O$797*$AA$797</f>
        <v>495.32495114331039</v>
      </c>
    </row>
    <row r="798" spans="1:33" ht="11.25" customHeight="1" x14ac:dyDescent="0.25">
      <c r="A798" s="4" t="s">
        <v>21</v>
      </c>
      <c r="B798" s="4" t="s">
        <v>36</v>
      </c>
      <c r="C798" s="4" t="s">
        <v>32</v>
      </c>
      <c r="D798" s="4" t="s">
        <v>41</v>
      </c>
      <c r="E798" s="4" t="s">
        <v>25</v>
      </c>
      <c r="F798" s="4" t="s">
        <v>25</v>
      </c>
      <c r="G798" s="4" t="s">
        <v>25</v>
      </c>
      <c r="H798" s="4" t="s">
        <v>33</v>
      </c>
      <c r="I798" s="5">
        <v>44470</v>
      </c>
      <c r="J798" s="6">
        <v>0</v>
      </c>
      <c r="K798" s="6">
        <v>0</v>
      </c>
      <c r="L798" s="6">
        <v>1.506</v>
      </c>
      <c r="M798" s="6">
        <v>1.506</v>
      </c>
      <c r="N798" s="6">
        <v>1.506</v>
      </c>
      <c r="O798" s="6">
        <v>1.506</v>
      </c>
      <c r="P798" s="6">
        <v>0</v>
      </c>
      <c r="Q798" s="4" t="s">
        <v>26</v>
      </c>
      <c r="R798" s="4">
        <v>0</v>
      </c>
      <c r="S798" s="6">
        <v>0</v>
      </c>
      <c r="T798" s="6">
        <v>33</v>
      </c>
      <c r="U798" s="6">
        <v>75</v>
      </c>
      <c r="V798" s="6">
        <f>IF(ISERROR(VLOOKUP($S$798,'TAR FIN'!$A$1:$O$86,15,0)),0,VLOOKUP($S$798,'TAR FIN'!$A$1:$O$86,15,0))</f>
        <v>0</v>
      </c>
      <c r="W798" s="6">
        <f>IF(ISERROR(VLOOKUP($T$798,'TAR FIN'!$A$1:$O$86,15,0)),0,VLOOKUP($T$798,'TAR FIN'!$A$1:$O$86,15,0))</f>
        <v>858.83</v>
      </c>
      <c r="X798" s="6">
        <f>IF(ISERROR(VLOOKUP($U$798,'TAR FIN'!$A$1:$O$86,15,0)),0,VLOOKUP($U$798,'TAR FIN'!$A$1:$O$86,15,0))</f>
        <v>389.21</v>
      </c>
      <c r="Y798" s="6"/>
      <c r="Z798" s="6">
        <f ca="1">('TUSD BE'!$AM$46+'TUSD BF_350'!$AM$46+'TUSD CVA'!$AM$46)*1</f>
        <v>1111.2627392273312</v>
      </c>
      <c r="AA798" s="6">
        <f ca="1">('TE BE'!$AB$36+'TE BF_350'!$AB$36+'TE CVA'!$AB$36)*1</f>
        <v>353.55100010229148</v>
      </c>
      <c r="AB798" s="6">
        <f>$K$798*$V$798</f>
        <v>0</v>
      </c>
      <c r="AC798" s="6">
        <f>$M$798*$W$798</f>
        <v>1293.39798</v>
      </c>
      <c r="AD798" s="6">
        <f>$O$798*$X$798</f>
        <v>586.15026</v>
      </c>
      <c r="AE798" s="6">
        <f>$K$798*$Y$798</f>
        <v>0</v>
      </c>
      <c r="AF798" s="6">
        <f ca="1">$M$798*$Z$798</f>
        <v>1673.5616852763608</v>
      </c>
      <c r="AG798" s="6">
        <f ca="1">$O$798*$AA$798</f>
        <v>532.44780615405102</v>
      </c>
    </row>
    <row r="799" spans="1:33" ht="11.25" customHeight="1" x14ac:dyDescent="0.25">
      <c r="A799" s="4" t="s">
        <v>21</v>
      </c>
      <c r="B799" s="4" t="s">
        <v>36</v>
      </c>
      <c r="C799" s="4" t="s">
        <v>32</v>
      </c>
      <c r="D799" s="4" t="s">
        <v>41</v>
      </c>
      <c r="E799" s="4" t="s">
        <v>25</v>
      </c>
      <c r="F799" s="4" t="s">
        <v>25</v>
      </c>
      <c r="G799" s="4" t="s">
        <v>25</v>
      </c>
      <c r="H799" s="4" t="s">
        <v>33</v>
      </c>
      <c r="I799" s="5">
        <v>44501</v>
      </c>
      <c r="J799" s="6">
        <v>0</v>
      </c>
      <c r="K799" s="6">
        <v>0</v>
      </c>
      <c r="L799" s="6">
        <v>1.865</v>
      </c>
      <c r="M799" s="6">
        <v>1.865</v>
      </c>
      <c r="N799" s="6">
        <v>1.865</v>
      </c>
      <c r="O799" s="6">
        <v>1.865</v>
      </c>
      <c r="P799" s="6">
        <v>0</v>
      </c>
      <c r="Q799" s="4" t="s">
        <v>26</v>
      </c>
      <c r="R799" s="4">
        <v>0</v>
      </c>
      <c r="S799" s="6">
        <v>0</v>
      </c>
      <c r="T799" s="6">
        <v>33</v>
      </c>
      <c r="U799" s="6">
        <v>75</v>
      </c>
      <c r="V799" s="6">
        <f>IF(ISERROR(VLOOKUP($S$799,'TAR FIN'!$A$1:$O$86,15,0)),0,VLOOKUP($S$799,'TAR FIN'!$A$1:$O$86,15,0))</f>
        <v>0</v>
      </c>
      <c r="W799" s="6">
        <f>IF(ISERROR(VLOOKUP($T$799,'TAR FIN'!$A$1:$O$86,15,0)),0,VLOOKUP($T$799,'TAR FIN'!$A$1:$O$86,15,0))</f>
        <v>858.83</v>
      </c>
      <c r="X799" s="6">
        <f>IF(ISERROR(VLOOKUP($U$799,'TAR FIN'!$A$1:$O$86,15,0)),0,VLOOKUP($U$799,'TAR FIN'!$A$1:$O$86,15,0))</f>
        <v>389.21</v>
      </c>
      <c r="Y799" s="6"/>
      <c r="Z799" s="6">
        <f ca="1">('TUSD BE'!$AM$46+'TUSD BF_350'!$AM$46+'TUSD CVA'!$AM$46)*1</f>
        <v>1111.2627392273312</v>
      </c>
      <c r="AA799" s="6">
        <f ca="1">('TE BE'!$AB$36+'TE BF_350'!$AB$36+'TE CVA'!$AB$36)*1</f>
        <v>353.55100010229148</v>
      </c>
      <c r="AB799" s="6">
        <f>$K$799*$V$799</f>
        <v>0</v>
      </c>
      <c r="AC799" s="6">
        <f>$M$799*$W$799</f>
        <v>1601.71795</v>
      </c>
      <c r="AD799" s="6">
        <f>$O$799*$X$799</f>
        <v>725.87664999999993</v>
      </c>
      <c r="AE799" s="6">
        <f>$K$799*$Y$799</f>
        <v>0</v>
      </c>
      <c r="AF799" s="6">
        <f ca="1">$M$799*$Z$799</f>
        <v>2072.5050086589727</v>
      </c>
      <c r="AG799" s="6">
        <f ca="1">$O$799*$AA$799</f>
        <v>659.37261519077356</v>
      </c>
    </row>
    <row r="800" spans="1:33" ht="11.25" customHeight="1" x14ac:dyDescent="0.25">
      <c r="A800" s="4" t="s">
        <v>21</v>
      </c>
      <c r="B800" s="4" t="s">
        <v>36</v>
      </c>
      <c r="C800" s="4" t="s">
        <v>32</v>
      </c>
      <c r="D800" s="4" t="s">
        <v>41</v>
      </c>
      <c r="E800" s="4" t="s">
        <v>25</v>
      </c>
      <c r="F800" s="4" t="s">
        <v>25</v>
      </c>
      <c r="G800" s="4" t="s">
        <v>25</v>
      </c>
      <c r="H800" s="4" t="s">
        <v>33</v>
      </c>
      <c r="I800" s="5">
        <v>44531</v>
      </c>
      <c r="J800" s="6">
        <v>0</v>
      </c>
      <c r="K800" s="6">
        <v>0</v>
      </c>
      <c r="L800" s="6">
        <v>1.996</v>
      </c>
      <c r="M800" s="6">
        <v>1.996</v>
      </c>
      <c r="N800" s="6">
        <v>1.996</v>
      </c>
      <c r="O800" s="6">
        <v>1.996</v>
      </c>
      <c r="P800" s="6">
        <v>0</v>
      </c>
      <c r="Q800" s="4" t="s">
        <v>26</v>
      </c>
      <c r="R800" s="4">
        <v>0</v>
      </c>
      <c r="S800" s="6">
        <v>0</v>
      </c>
      <c r="T800" s="6">
        <v>33</v>
      </c>
      <c r="U800" s="6">
        <v>75</v>
      </c>
      <c r="V800" s="6">
        <f>IF(ISERROR(VLOOKUP($S$800,'TAR FIN'!$A$1:$O$86,15,0)),0,VLOOKUP($S$800,'TAR FIN'!$A$1:$O$86,15,0))</f>
        <v>0</v>
      </c>
      <c r="W800" s="6">
        <f>IF(ISERROR(VLOOKUP($T$800,'TAR FIN'!$A$1:$O$86,15,0)),0,VLOOKUP($T$800,'TAR FIN'!$A$1:$O$86,15,0))</f>
        <v>858.83</v>
      </c>
      <c r="X800" s="6">
        <f>IF(ISERROR(VLOOKUP($U$800,'TAR FIN'!$A$1:$O$86,15,0)),0,VLOOKUP($U$800,'TAR FIN'!$A$1:$O$86,15,0))</f>
        <v>389.21</v>
      </c>
      <c r="Y800" s="6"/>
      <c r="Z800" s="6">
        <f ca="1">('TUSD BE'!$AM$46+'TUSD BF_350'!$AM$46+'TUSD CVA'!$AM$46)*1</f>
        <v>1111.2627392273312</v>
      </c>
      <c r="AA800" s="6">
        <f ca="1">('TE BE'!$AB$36+'TE BF_350'!$AB$36+'TE CVA'!$AB$36)*1</f>
        <v>353.55100010229148</v>
      </c>
      <c r="AB800" s="6">
        <f>$K$800*$V$800</f>
        <v>0</v>
      </c>
      <c r="AC800" s="6">
        <f>$M$800*$W$800</f>
        <v>1714.22468</v>
      </c>
      <c r="AD800" s="6">
        <f>$O$800*$X$800</f>
        <v>776.86315999999999</v>
      </c>
      <c r="AE800" s="6">
        <f>$K$800*$Y$800</f>
        <v>0</v>
      </c>
      <c r="AF800" s="6">
        <f ca="1">$M$800*$Z$800</f>
        <v>2218.0804274977531</v>
      </c>
      <c r="AG800" s="6">
        <f ca="1">$O$800*$AA$800</f>
        <v>705.68779620417376</v>
      </c>
    </row>
    <row r="801" spans="1:33" ht="11.25" customHeight="1" x14ac:dyDescent="0.25">
      <c r="A801" s="4" t="s">
        <v>21</v>
      </c>
      <c r="B801" s="4" t="s">
        <v>36</v>
      </c>
      <c r="C801" s="4" t="s">
        <v>32</v>
      </c>
      <c r="D801" s="4" t="s">
        <v>41</v>
      </c>
      <c r="E801" s="4" t="s">
        <v>25</v>
      </c>
      <c r="F801" s="4" t="s">
        <v>25</v>
      </c>
      <c r="G801" s="4" t="s">
        <v>25</v>
      </c>
      <c r="H801" s="4" t="s">
        <v>33</v>
      </c>
      <c r="I801" s="5">
        <v>44562</v>
      </c>
      <c r="J801" s="6">
        <v>0</v>
      </c>
      <c r="K801" s="6">
        <v>0</v>
      </c>
      <c r="L801" s="6">
        <v>2.5379999999999998</v>
      </c>
      <c r="M801" s="6">
        <v>2.5379999999999998</v>
      </c>
      <c r="N801" s="6">
        <v>2.5379999999999998</v>
      </c>
      <c r="O801" s="6">
        <v>2.5379999999999998</v>
      </c>
      <c r="P801" s="6">
        <v>0</v>
      </c>
      <c r="Q801" s="4" t="s">
        <v>26</v>
      </c>
      <c r="R801" s="4">
        <v>0</v>
      </c>
      <c r="S801" s="6">
        <v>0</v>
      </c>
      <c r="T801" s="6">
        <v>33</v>
      </c>
      <c r="U801" s="6">
        <v>75</v>
      </c>
      <c r="V801" s="6">
        <f>IF(ISERROR(VLOOKUP($S$801,'TAR FIN'!$A$1:$O$86,15,0)),0,VLOOKUP($S$801,'TAR FIN'!$A$1:$O$86,15,0))</f>
        <v>0</v>
      </c>
      <c r="W801" s="6">
        <f>IF(ISERROR(VLOOKUP($T$801,'TAR FIN'!$A$1:$O$86,15,0)),0,VLOOKUP($T$801,'TAR FIN'!$A$1:$O$86,15,0))</f>
        <v>858.83</v>
      </c>
      <c r="X801" s="6">
        <f>IF(ISERROR(VLOOKUP($U$801,'TAR FIN'!$A$1:$O$86,15,0)),0,VLOOKUP($U$801,'TAR FIN'!$A$1:$O$86,15,0))</f>
        <v>389.21</v>
      </c>
      <c r="Y801" s="6"/>
      <c r="Z801" s="6">
        <f ca="1">('TUSD BE'!$AM$46+'TUSD BF_350'!$AM$46+'TUSD CVA'!$AM$46)*1</f>
        <v>1111.2627392273312</v>
      </c>
      <c r="AA801" s="6">
        <f ca="1">('TE BE'!$AB$36+'TE BF_350'!$AB$36+'TE CVA'!$AB$36)*1</f>
        <v>353.55100010229148</v>
      </c>
      <c r="AB801" s="6">
        <f>$K$801*$V$801</f>
        <v>0</v>
      </c>
      <c r="AC801" s="6">
        <f>$M$801*$W$801</f>
        <v>2179.71054</v>
      </c>
      <c r="AD801" s="6">
        <f>$O$801*$X$801</f>
        <v>987.81497999999988</v>
      </c>
      <c r="AE801" s="6">
        <f>$K$801*$Y$801</f>
        <v>0</v>
      </c>
      <c r="AF801" s="6">
        <f ca="1">$M$801*$Z$801</f>
        <v>2820.3848321589662</v>
      </c>
      <c r="AG801" s="6">
        <f ca="1">$O$801*$AA$801</f>
        <v>897.31243825961576</v>
      </c>
    </row>
    <row r="802" spans="1:33" ht="11.25" customHeight="1" x14ac:dyDescent="0.25">
      <c r="A802" s="4" t="s">
        <v>21</v>
      </c>
      <c r="B802" s="4" t="s">
        <v>36</v>
      </c>
      <c r="C802" s="4" t="s">
        <v>32</v>
      </c>
      <c r="D802" s="4" t="s">
        <v>41</v>
      </c>
      <c r="E802" s="4" t="s">
        <v>25</v>
      </c>
      <c r="F802" s="4" t="s">
        <v>25</v>
      </c>
      <c r="G802" s="4" t="s">
        <v>25</v>
      </c>
      <c r="H802" s="4" t="s">
        <v>33</v>
      </c>
      <c r="I802" s="5">
        <v>44593</v>
      </c>
      <c r="J802" s="6">
        <v>0</v>
      </c>
      <c r="K802" s="6">
        <v>0</v>
      </c>
      <c r="L802" s="6">
        <v>1.871</v>
      </c>
      <c r="M802" s="6">
        <v>1.871</v>
      </c>
      <c r="N802" s="6">
        <v>1.871</v>
      </c>
      <c r="O802" s="6">
        <v>1.871</v>
      </c>
      <c r="P802" s="6">
        <v>0</v>
      </c>
      <c r="Q802" s="4" t="s">
        <v>26</v>
      </c>
      <c r="R802" s="4">
        <v>0</v>
      </c>
      <c r="S802" s="6">
        <v>0</v>
      </c>
      <c r="T802" s="6">
        <v>33</v>
      </c>
      <c r="U802" s="6">
        <v>75</v>
      </c>
      <c r="V802" s="6">
        <f>IF(ISERROR(VLOOKUP($S$802,'TAR FIN'!$A$1:$O$86,15,0)),0,VLOOKUP($S$802,'TAR FIN'!$A$1:$O$86,15,0))</f>
        <v>0</v>
      </c>
      <c r="W802" s="6">
        <f>IF(ISERROR(VLOOKUP($T$802,'TAR FIN'!$A$1:$O$86,15,0)),0,VLOOKUP($T$802,'TAR FIN'!$A$1:$O$86,15,0))</f>
        <v>858.83</v>
      </c>
      <c r="X802" s="6">
        <f>IF(ISERROR(VLOOKUP($U$802,'TAR FIN'!$A$1:$O$86,15,0)),0,VLOOKUP($U$802,'TAR FIN'!$A$1:$O$86,15,0))</f>
        <v>389.21</v>
      </c>
      <c r="Y802" s="6"/>
      <c r="Z802" s="6">
        <f ca="1">('TUSD BE'!$AM$46+'TUSD BF_350'!$AM$46+'TUSD CVA'!$AM$46)*1</f>
        <v>1111.2627392273312</v>
      </c>
      <c r="AA802" s="6">
        <f ca="1">('TE BE'!$AB$36+'TE BF_350'!$AB$36+'TE CVA'!$AB$36)*1</f>
        <v>353.55100010229148</v>
      </c>
      <c r="AB802" s="6">
        <f>$K$802*$V$802</f>
        <v>0</v>
      </c>
      <c r="AC802" s="6">
        <f>$M$802*$W$802</f>
        <v>1606.87093</v>
      </c>
      <c r="AD802" s="6">
        <f>$O$802*$X$802</f>
        <v>728.21190999999999</v>
      </c>
      <c r="AE802" s="6">
        <f>$K$802*$Y$802</f>
        <v>0</v>
      </c>
      <c r="AF802" s="6">
        <f ca="1">$M$802*$Z$802</f>
        <v>2079.1725850943367</v>
      </c>
      <c r="AG802" s="6">
        <f ca="1">$O$802*$AA$802</f>
        <v>661.49392119138736</v>
      </c>
    </row>
    <row r="803" spans="1:33" ht="11.25" customHeight="1" x14ac:dyDescent="0.25">
      <c r="A803" s="4" t="s">
        <v>21</v>
      </c>
      <c r="B803" s="4" t="s">
        <v>36</v>
      </c>
      <c r="C803" s="4" t="s">
        <v>32</v>
      </c>
      <c r="D803" s="4" t="s">
        <v>41</v>
      </c>
      <c r="E803" s="4" t="s">
        <v>25</v>
      </c>
      <c r="F803" s="4" t="s">
        <v>25</v>
      </c>
      <c r="G803" s="4" t="s">
        <v>25</v>
      </c>
      <c r="H803" s="4" t="s">
        <v>33</v>
      </c>
      <c r="I803" s="5">
        <v>44621</v>
      </c>
      <c r="J803" s="6">
        <v>0</v>
      </c>
      <c r="K803" s="6">
        <v>0</v>
      </c>
      <c r="L803" s="6">
        <v>1.47</v>
      </c>
      <c r="M803" s="6">
        <v>1.47</v>
      </c>
      <c r="N803" s="6">
        <v>1.47</v>
      </c>
      <c r="O803" s="6">
        <v>1.47</v>
      </c>
      <c r="P803" s="6">
        <v>0</v>
      </c>
      <c r="Q803" s="4" t="s">
        <v>26</v>
      </c>
      <c r="R803" s="4">
        <v>0</v>
      </c>
      <c r="S803" s="6">
        <v>0</v>
      </c>
      <c r="T803" s="6">
        <v>33</v>
      </c>
      <c r="U803" s="6">
        <v>75</v>
      </c>
      <c r="V803" s="6">
        <f>IF(ISERROR(VLOOKUP($S$803,'TAR FIN'!$A$1:$O$86,15,0)),0,VLOOKUP($S$803,'TAR FIN'!$A$1:$O$86,15,0))</f>
        <v>0</v>
      </c>
      <c r="W803" s="6">
        <f>IF(ISERROR(VLOOKUP($T$803,'TAR FIN'!$A$1:$O$86,15,0)),0,VLOOKUP($T$803,'TAR FIN'!$A$1:$O$86,15,0))</f>
        <v>858.83</v>
      </c>
      <c r="X803" s="6">
        <f>IF(ISERROR(VLOOKUP($U$803,'TAR FIN'!$A$1:$O$86,15,0)),0,VLOOKUP($U$803,'TAR FIN'!$A$1:$O$86,15,0))</f>
        <v>389.21</v>
      </c>
      <c r="Y803" s="6"/>
      <c r="Z803" s="6">
        <f ca="1">('TUSD BE'!$AM$46+'TUSD BF_350'!$AM$46+'TUSD CVA'!$AM$46)*1</f>
        <v>1111.2627392273312</v>
      </c>
      <c r="AA803" s="6">
        <f ca="1">('TE BE'!$AB$36+'TE BF_350'!$AB$36+'TE CVA'!$AB$36)*1</f>
        <v>353.55100010229148</v>
      </c>
      <c r="AB803" s="6">
        <f>$K$803*$V$803</f>
        <v>0</v>
      </c>
      <c r="AC803" s="6">
        <f>$M$803*$W$803</f>
        <v>1262.4801</v>
      </c>
      <c r="AD803" s="6">
        <f>$O$803*$X$803</f>
        <v>572.13869999999997</v>
      </c>
      <c r="AE803" s="6">
        <f>$K$803*$Y$803</f>
        <v>0</v>
      </c>
      <c r="AF803" s="6">
        <f ca="1">$M$803*$Z$803</f>
        <v>1633.5562266641768</v>
      </c>
      <c r="AG803" s="6">
        <f ca="1">$O$803*$AA$803</f>
        <v>519.71997015036845</v>
      </c>
    </row>
    <row r="804" spans="1:33" ht="11.25" customHeight="1" x14ac:dyDescent="0.25">
      <c r="A804" s="4" t="s">
        <v>21</v>
      </c>
      <c r="B804" s="4" t="s">
        <v>36</v>
      </c>
      <c r="C804" s="4" t="s">
        <v>32</v>
      </c>
      <c r="D804" s="4" t="s">
        <v>41</v>
      </c>
      <c r="E804" s="4" t="s">
        <v>25</v>
      </c>
      <c r="F804" s="4" t="s">
        <v>25</v>
      </c>
      <c r="G804" s="4" t="s">
        <v>25</v>
      </c>
      <c r="H804" s="4" t="s">
        <v>33</v>
      </c>
      <c r="I804" s="5">
        <v>44652</v>
      </c>
      <c r="J804" s="6">
        <v>0</v>
      </c>
      <c r="K804" s="6">
        <v>0</v>
      </c>
      <c r="L804" s="6">
        <v>1.9059999999999999</v>
      </c>
      <c r="M804" s="6">
        <v>1.9059999999999999</v>
      </c>
      <c r="N804" s="6">
        <v>1.9059999999999999</v>
      </c>
      <c r="O804" s="6">
        <v>1.9059999999999999</v>
      </c>
      <c r="P804" s="6">
        <v>0</v>
      </c>
      <c r="Q804" s="4" t="s">
        <v>26</v>
      </c>
      <c r="R804" s="4">
        <v>0</v>
      </c>
      <c r="S804" s="6">
        <v>0</v>
      </c>
      <c r="T804" s="6">
        <v>33</v>
      </c>
      <c r="U804" s="6">
        <v>75</v>
      </c>
      <c r="V804" s="6">
        <f>IF(ISERROR(VLOOKUP($S$804,'TAR FIN'!$A$1:$O$86,15,0)),0,VLOOKUP($S$804,'TAR FIN'!$A$1:$O$86,15,0))</f>
        <v>0</v>
      </c>
      <c r="W804" s="6">
        <f>IF(ISERROR(VLOOKUP($T$804,'TAR FIN'!$A$1:$O$86,15,0)),0,VLOOKUP($T$804,'TAR FIN'!$A$1:$O$86,15,0))</f>
        <v>858.83</v>
      </c>
      <c r="X804" s="6">
        <f>IF(ISERROR(VLOOKUP($U$804,'TAR FIN'!$A$1:$O$86,15,0)),0,VLOOKUP($U$804,'TAR FIN'!$A$1:$O$86,15,0))</f>
        <v>389.21</v>
      </c>
      <c r="Y804" s="6"/>
      <c r="Z804" s="6">
        <f ca="1">('TUSD BE'!$AM$46+'TUSD BF_350'!$AM$46+'TUSD CVA'!$AM$46)*1</f>
        <v>1111.2627392273312</v>
      </c>
      <c r="AA804" s="6">
        <f ca="1">('TE BE'!$AB$36+'TE BF_350'!$AB$36+'TE CVA'!$AB$36)*1</f>
        <v>353.55100010229148</v>
      </c>
      <c r="AB804" s="6">
        <f>$K$804*$V$804</f>
        <v>0</v>
      </c>
      <c r="AC804" s="6">
        <f>$M$804*$W$804</f>
        <v>1636.9299800000001</v>
      </c>
      <c r="AD804" s="6">
        <f>$O$804*$X$804</f>
        <v>741.83425999999997</v>
      </c>
      <c r="AE804" s="6">
        <f>$K$804*$Y$804</f>
        <v>0</v>
      </c>
      <c r="AF804" s="6">
        <f ca="1">$M$804*$Z$804</f>
        <v>2118.0667809672932</v>
      </c>
      <c r="AG804" s="6">
        <f ca="1">$O$804*$AA$804</f>
        <v>673.86820619496757</v>
      </c>
    </row>
    <row r="805" spans="1:33" ht="11.25" customHeight="1" x14ac:dyDescent="0.25">
      <c r="A805" s="4" t="s">
        <v>21</v>
      </c>
      <c r="B805" s="4" t="s">
        <v>36</v>
      </c>
      <c r="C805" s="4" t="s">
        <v>32</v>
      </c>
      <c r="D805" s="4" t="s">
        <v>41</v>
      </c>
      <c r="E805" s="4" t="s">
        <v>25</v>
      </c>
      <c r="F805" s="4" t="s">
        <v>25</v>
      </c>
      <c r="G805" s="4" t="s">
        <v>25</v>
      </c>
      <c r="H805" s="4" t="s">
        <v>33</v>
      </c>
      <c r="I805" s="5">
        <v>44682</v>
      </c>
      <c r="J805" s="6">
        <v>0</v>
      </c>
      <c r="K805" s="6">
        <v>0</v>
      </c>
      <c r="L805" s="6">
        <v>1.429</v>
      </c>
      <c r="M805" s="6">
        <v>1.429</v>
      </c>
      <c r="N805" s="6">
        <v>1.429</v>
      </c>
      <c r="O805" s="6">
        <v>1.429</v>
      </c>
      <c r="P805" s="6">
        <v>0</v>
      </c>
      <c r="Q805" s="4" t="s">
        <v>26</v>
      </c>
      <c r="R805" s="4">
        <v>0</v>
      </c>
      <c r="S805" s="6">
        <v>0</v>
      </c>
      <c r="T805" s="6">
        <v>33</v>
      </c>
      <c r="U805" s="6">
        <v>75</v>
      </c>
      <c r="V805" s="6">
        <f>IF(ISERROR(VLOOKUP($S$805,'TAR FIN'!$A$1:$O$86,15,0)),0,VLOOKUP($S$805,'TAR FIN'!$A$1:$O$86,15,0))</f>
        <v>0</v>
      </c>
      <c r="W805" s="6">
        <f>IF(ISERROR(VLOOKUP($T$805,'TAR FIN'!$A$1:$O$86,15,0)),0,VLOOKUP($T$805,'TAR FIN'!$A$1:$O$86,15,0))</f>
        <v>858.83</v>
      </c>
      <c r="X805" s="6">
        <f>IF(ISERROR(VLOOKUP($U$805,'TAR FIN'!$A$1:$O$86,15,0)),0,VLOOKUP($U$805,'TAR FIN'!$A$1:$O$86,15,0))</f>
        <v>389.21</v>
      </c>
      <c r="Y805" s="6"/>
      <c r="Z805" s="6">
        <f ca="1">('TUSD BE'!$AM$46+'TUSD BF_350'!$AM$46+'TUSD CVA'!$AM$46)*1</f>
        <v>1111.2627392273312</v>
      </c>
      <c r="AA805" s="6">
        <f ca="1">('TE BE'!$AB$36+'TE BF_350'!$AB$36+'TE CVA'!$AB$36)*1</f>
        <v>353.55100010229148</v>
      </c>
      <c r="AB805" s="6">
        <f>$K$805*$V$805</f>
        <v>0</v>
      </c>
      <c r="AC805" s="6">
        <f>$M$805*$W$805</f>
        <v>1227.2680700000001</v>
      </c>
      <c r="AD805" s="6">
        <f>$O$805*$X$805</f>
        <v>556.18109000000004</v>
      </c>
      <c r="AE805" s="6">
        <f>$K$805*$Y$805</f>
        <v>0</v>
      </c>
      <c r="AF805" s="6">
        <f ca="1">$M$805*$Z$805</f>
        <v>1587.9944543558563</v>
      </c>
      <c r="AG805" s="6">
        <f ca="1">$O$805*$AA$805</f>
        <v>505.22437914617456</v>
      </c>
    </row>
    <row r="806" spans="1:33" ht="11.25" customHeight="1" x14ac:dyDescent="0.25">
      <c r="A806" s="4" t="s">
        <v>56</v>
      </c>
      <c r="B806" s="4" t="s">
        <v>36</v>
      </c>
      <c r="C806" s="4" t="s">
        <v>32</v>
      </c>
      <c r="D806" s="4" t="s">
        <v>41</v>
      </c>
      <c r="E806" s="4" t="s">
        <v>25</v>
      </c>
      <c r="F806" s="4" t="s">
        <v>25</v>
      </c>
      <c r="G806" s="4" t="s">
        <v>25</v>
      </c>
      <c r="H806" s="4" t="s">
        <v>33</v>
      </c>
      <c r="I806" s="5">
        <v>44713</v>
      </c>
      <c r="J806" s="6">
        <v>0</v>
      </c>
      <c r="K806" s="6">
        <v>0</v>
      </c>
      <c r="L806" s="6">
        <v>1.429</v>
      </c>
      <c r="M806" s="6">
        <v>1.429</v>
      </c>
      <c r="N806" s="6">
        <v>1.429</v>
      </c>
      <c r="O806" s="6">
        <v>1.429</v>
      </c>
      <c r="P806" s="6">
        <v>0</v>
      </c>
      <c r="Q806" s="4" t="s">
        <v>26</v>
      </c>
      <c r="R806" s="4">
        <v>0</v>
      </c>
      <c r="S806" s="6">
        <v>0</v>
      </c>
      <c r="T806" s="6">
        <v>33</v>
      </c>
      <c r="U806" s="6">
        <v>75</v>
      </c>
      <c r="V806" s="6">
        <f>IF(ISERROR(VLOOKUP($S$806,'TAR FIN'!$A$1:$O$86,15,0)),0,VLOOKUP($S$806,'TAR FIN'!$A$1:$O$86,15,0))</f>
        <v>0</v>
      </c>
      <c r="W806" s="6">
        <f>IF(ISERROR(VLOOKUP($T$806,'TAR FIN'!$A$1:$O$86,15,0)),0,VLOOKUP($T$806,'TAR FIN'!$A$1:$O$86,15,0))</f>
        <v>858.83</v>
      </c>
      <c r="X806" s="6">
        <f>IF(ISERROR(VLOOKUP($U$806,'TAR FIN'!$A$1:$O$86,15,0)),0,VLOOKUP($U$806,'TAR FIN'!$A$1:$O$86,15,0))</f>
        <v>389.21</v>
      </c>
      <c r="Y806" s="6"/>
      <c r="Z806" s="6">
        <f ca="1">('TUSD BE'!$AM$46+'TUSD BF_350'!$AM$46+'TUSD CVA'!$AM$46)*1</f>
        <v>1111.2627392273312</v>
      </c>
      <c r="AA806" s="6">
        <f ca="1">('TE BE'!$AB$36+'TE BF_350'!$AB$36+'TE CVA'!$AB$36)*1</f>
        <v>353.55100010229148</v>
      </c>
      <c r="AB806" s="6">
        <f>$K$806*$V$806</f>
        <v>0</v>
      </c>
      <c r="AC806" s="6">
        <f>$M$806*$W$806</f>
        <v>1227.2680700000001</v>
      </c>
      <c r="AD806" s="6">
        <f>$O$806*$X$806</f>
        <v>556.18109000000004</v>
      </c>
      <c r="AE806" s="6">
        <f>$K$806*$Y$806</f>
        <v>0</v>
      </c>
      <c r="AF806" s="6">
        <f ca="1">$M$806*$Z$806</f>
        <v>1587.9944543558563</v>
      </c>
      <c r="AG806" s="6">
        <f ca="1">$O$806*$AA$806</f>
        <v>505.22437914617456</v>
      </c>
    </row>
    <row r="807" spans="1:33" ht="11.25" customHeight="1" x14ac:dyDescent="0.25">
      <c r="A807" s="4" t="s">
        <v>21</v>
      </c>
      <c r="B807" s="4" t="s">
        <v>36</v>
      </c>
      <c r="C807" s="4" t="s">
        <v>23</v>
      </c>
      <c r="D807" s="4" t="s">
        <v>41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44378</v>
      </c>
      <c r="J807" s="6">
        <v>0</v>
      </c>
      <c r="K807" s="6">
        <v>0</v>
      </c>
      <c r="L807" s="6">
        <v>1496.1780000000001</v>
      </c>
      <c r="M807" s="6">
        <v>1496.1780000000001</v>
      </c>
      <c r="N807" s="6">
        <v>1496.1780000000001</v>
      </c>
      <c r="O807" s="6">
        <v>1496.1780000000001</v>
      </c>
      <c r="P807" s="6">
        <v>3511</v>
      </c>
      <c r="Q807" s="4" t="s">
        <v>26</v>
      </c>
      <c r="R807" s="4">
        <v>0</v>
      </c>
      <c r="S807" s="6">
        <v>0</v>
      </c>
      <c r="T807" s="6">
        <v>34</v>
      </c>
      <c r="U807" s="6">
        <v>80</v>
      </c>
      <c r="V807" s="6">
        <f>IF(ISERROR(VLOOKUP($S$807,'TAR FIN'!$A$1:$O$86,15,0)),0,VLOOKUP($S$807,'TAR FIN'!$A$1:$O$86,15,0))</f>
        <v>0</v>
      </c>
      <c r="W807" s="6">
        <f>IF(ISERROR(VLOOKUP($T$807,'TAR FIN'!$A$1:$O$86,15,0)),0,VLOOKUP($T$807,'TAR FIN'!$A$1:$O$86,15,0))</f>
        <v>324.5</v>
      </c>
      <c r="X807" s="6">
        <f>IF(ISERROR(VLOOKUP($U$807,'TAR FIN'!$A$1:$O$86,15,0)),0,VLOOKUP($U$807,'TAR FIN'!$A$1:$O$86,15,0))</f>
        <v>258.20999999999998</v>
      </c>
      <c r="Y807" s="6"/>
      <c r="Z807" s="6">
        <f ca="1">('TUSD BE'!$AM$49+'TUSD BF_350'!$AM$49+'TUSD CVA'!$AM$49)*1</f>
        <v>330.1561966420345</v>
      </c>
      <c r="AA807" s="6">
        <f ca="1">('TE BE'!$AB$39+'TE BF_350'!$AB$39+'TE CVA'!$AB$39)*1</f>
        <v>230.58259134858577</v>
      </c>
      <c r="AB807" s="6">
        <f>$K$807*$V$807</f>
        <v>0</v>
      </c>
      <c r="AC807" s="6">
        <f>$M$807*$W$807</f>
        <v>485509.76100000006</v>
      </c>
      <c r="AD807" s="6">
        <f>$O$807*$X$807</f>
        <v>386328.12138000003</v>
      </c>
      <c r="AE807" s="6">
        <f>$K$807*$Y$807</f>
        <v>0</v>
      </c>
      <c r="AF807" s="6">
        <f ca="1">$M$807*$Z$807</f>
        <v>493972.43797948596</v>
      </c>
      <c r="AG807" s="6">
        <f ca="1">$O$807*$AA$807</f>
        <v>344992.60035874438</v>
      </c>
    </row>
    <row r="808" spans="1:33" ht="11.25" customHeight="1" x14ac:dyDescent="0.25">
      <c r="A808" s="4" t="s">
        <v>27</v>
      </c>
      <c r="B808" s="4" t="s">
        <v>36</v>
      </c>
      <c r="C808" s="4" t="s">
        <v>23</v>
      </c>
      <c r="D808" s="4" t="s">
        <v>41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44378</v>
      </c>
      <c r="J808" s="6">
        <v>0</v>
      </c>
      <c r="K808" s="6">
        <v>0</v>
      </c>
      <c r="L808" s="6">
        <v>4.2000000000000003E-2</v>
      </c>
      <c r="M808" s="6">
        <v>4.2000000000000003E-2</v>
      </c>
      <c r="N808" s="6">
        <v>4.2000000000000003E-2</v>
      </c>
      <c r="O808" s="6">
        <v>4.2000000000000003E-2</v>
      </c>
      <c r="P808" s="6">
        <v>0</v>
      </c>
      <c r="Q808" s="4" t="s">
        <v>26</v>
      </c>
      <c r="R808" s="4">
        <v>0</v>
      </c>
      <c r="S808" s="6">
        <v>0</v>
      </c>
      <c r="T808" s="6">
        <v>34</v>
      </c>
      <c r="U808" s="6">
        <v>80</v>
      </c>
      <c r="V808" s="6">
        <f>IF(ISERROR(VLOOKUP($S$808,'TAR FIN'!$A$1:$O$86,15,0)),0,VLOOKUP($S$808,'TAR FIN'!$A$1:$O$86,15,0))</f>
        <v>0</v>
      </c>
      <c r="W808" s="6">
        <f>IF(ISERROR(VLOOKUP($T$808,'TAR FIN'!$A$1:$O$86,15,0)),0,VLOOKUP($T$808,'TAR FIN'!$A$1:$O$86,15,0))</f>
        <v>324.5</v>
      </c>
      <c r="X808" s="6">
        <f>IF(ISERROR(VLOOKUP($U$808,'TAR FIN'!$A$1:$O$86,15,0)),0,VLOOKUP($U$808,'TAR FIN'!$A$1:$O$86,15,0))</f>
        <v>258.20999999999998</v>
      </c>
      <c r="Y808" s="6"/>
      <c r="Z808" s="6">
        <f ca="1">('TUSD BE'!$AM$49+'TUSD BF_350'!$AM$49+'TUSD CVA'!$AM$49)*1</f>
        <v>330.1561966420345</v>
      </c>
      <c r="AA808" s="6">
        <f ca="1">('TE BE'!$AB$39+'TE BF_350'!$AB$39+'TE CVA'!$AB$39)*1</f>
        <v>230.58259134858577</v>
      </c>
      <c r="AB808" s="6">
        <f>$K$808*$V$808</f>
        <v>0</v>
      </c>
      <c r="AC808" s="6">
        <f>$M$808*$W$808</f>
        <v>13.629000000000001</v>
      </c>
      <c r="AD808" s="6">
        <f>$O$808*$X$808</f>
        <v>10.84482</v>
      </c>
      <c r="AE808" s="6">
        <f>$K$808*$Y$808</f>
        <v>0</v>
      </c>
      <c r="AF808" s="6">
        <f ca="1">$M$808*$Z$808</f>
        <v>13.86656025896545</v>
      </c>
      <c r="AG808" s="6">
        <f ca="1">$O$808*$AA$808</f>
        <v>9.6844688366406029</v>
      </c>
    </row>
    <row r="809" spans="1:33" ht="11.25" customHeight="1" x14ac:dyDescent="0.25">
      <c r="A809" s="4" t="s">
        <v>21</v>
      </c>
      <c r="B809" s="4" t="s">
        <v>36</v>
      </c>
      <c r="C809" s="4" t="s">
        <v>23</v>
      </c>
      <c r="D809" s="4" t="s">
        <v>41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44409</v>
      </c>
      <c r="J809" s="6">
        <v>0</v>
      </c>
      <c r="K809" s="6">
        <v>0</v>
      </c>
      <c r="L809" s="6">
        <v>1480.2719999999999</v>
      </c>
      <c r="M809" s="6">
        <v>1480.2719999999999</v>
      </c>
      <c r="N809" s="6">
        <v>1480.2719999999999</v>
      </c>
      <c r="O809" s="6">
        <v>1480.2719999999999</v>
      </c>
      <c r="P809" s="6">
        <v>3497</v>
      </c>
      <c r="Q809" s="4" t="s">
        <v>26</v>
      </c>
      <c r="R809" s="4">
        <v>0</v>
      </c>
      <c r="S809" s="6">
        <v>0</v>
      </c>
      <c r="T809" s="6">
        <v>34</v>
      </c>
      <c r="U809" s="6">
        <v>80</v>
      </c>
      <c r="V809" s="6">
        <f>IF(ISERROR(VLOOKUP($S$809,'TAR FIN'!$A$1:$O$86,15,0)),0,VLOOKUP($S$809,'TAR FIN'!$A$1:$O$86,15,0))</f>
        <v>0</v>
      </c>
      <c r="W809" s="6">
        <f>IF(ISERROR(VLOOKUP($T$809,'TAR FIN'!$A$1:$O$86,15,0)),0,VLOOKUP($T$809,'TAR FIN'!$A$1:$O$86,15,0))</f>
        <v>324.5</v>
      </c>
      <c r="X809" s="6">
        <f>IF(ISERROR(VLOOKUP($U$809,'TAR FIN'!$A$1:$O$86,15,0)),0,VLOOKUP($U$809,'TAR FIN'!$A$1:$O$86,15,0))</f>
        <v>258.20999999999998</v>
      </c>
      <c r="Y809" s="6"/>
      <c r="Z809" s="6">
        <f ca="1">('TUSD BE'!$AM$49+'TUSD BF_350'!$AM$49+'TUSD CVA'!$AM$49)*1</f>
        <v>330.1561966420345</v>
      </c>
      <c r="AA809" s="6">
        <f ca="1">('TE BE'!$AB$39+'TE BF_350'!$AB$39+'TE CVA'!$AB$39)*1</f>
        <v>230.58259134858577</v>
      </c>
      <c r="AB809" s="6">
        <f>$K$809*$V$809</f>
        <v>0</v>
      </c>
      <c r="AC809" s="6">
        <f>$M$809*$W$809</f>
        <v>480348.26399999997</v>
      </c>
      <c r="AD809" s="6">
        <f>$O$809*$X$809</f>
        <v>382221.03311999998</v>
      </c>
      <c r="AE809" s="6">
        <f>$K$809*$Y$809</f>
        <v>0</v>
      </c>
      <c r="AF809" s="6">
        <f ca="1">$M$809*$Z$809</f>
        <v>488720.9735156977</v>
      </c>
      <c r="AG809" s="6">
        <f ca="1">$O$809*$AA$809</f>
        <v>341324.95366075373</v>
      </c>
    </row>
    <row r="810" spans="1:33" ht="11.25" customHeight="1" x14ac:dyDescent="0.25">
      <c r="A810" s="4" t="s">
        <v>27</v>
      </c>
      <c r="B810" s="4" t="s">
        <v>36</v>
      </c>
      <c r="C810" s="4" t="s">
        <v>23</v>
      </c>
      <c r="D810" s="4" t="s">
        <v>41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44409</v>
      </c>
      <c r="J810" s="6">
        <v>0</v>
      </c>
      <c r="K810" s="6">
        <v>0</v>
      </c>
      <c r="L810" s="6">
        <v>-6.6000000000000003E-2</v>
      </c>
      <c r="M810" s="6">
        <v>-6.6000000000000003E-2</v>
      </c>
      <c r="N810" s="6">
        <v>-6.6000000000000003E-2</v>
      </c>
      <c r="O810" s="6">
        <v>-6.6000000000000003E-2</v>
      </c>
      <c r="P810" s="6">
        <v>0</v>
      </c>
      <c r="Q810" s="4" t="s">
        <v>26</v>
      </c>
      <c r="R810" s="4">
        <v>0</v>
      </c>
      <c r="S810" s="6">
        <v>0</v>
      </c>
      <c r="T810" s="6">
        <v>34</v>
      </c>
      <c r="U810" s="6">
        <v>80</v>
      </c>
      <c r="V810" s="6">
        <f>IF(ISERROR(VLOOKUP($S$810,'TAR FIN'!$A$1:$O$86,15,0)),0,VLOOKUP($S$810,'TAR FIN'!$A$1:$O$86,15,0))</f>
        <v>0</v>
      </c>
      <c r="W810" s="6">
        <f>IF(ISERROR(VLOOKUP($T$810,'TAR FIN'!$A$1:$O$86,15,0)),0,VLOOKUP($T$810,'TAR FIN'!$A$1:$O$86,15,0))</f>
        <v>324.5</v>
      </c>
      <c r="X810" s="6">
        <f>IF(ISERROR(VLOOKUP($U$810,'TAR FIN'!$A$1:$O$86,15,0)),0,VLOOKUP($U$810,'TAR FIN'!$A$1:$O$86,15,0))</f>
        <v>258.20999999999998</v>
      </c>
      <c r="Y810" s="6"/>
      <c r="Z810" s="6">
        <f ca="1">('TUSD BE'!$AM$49+'TUSD BF_350'!$AM$49+'TUSD CVA'!$AM$49)*1</f>
        <v>330.1561966420345</v>
      </c>
      <c r="AA810" s="6">
        <f ca="1">('TE BE'!$AB$39+'TE BF_350'!$AB$39+'TE CVA'!$AB$39)*1</f>
        <v>230.58259134858577</v>
      </c>
      <c r="AB810" s="6">
        <f>$K$810*$V$810</f>
        <v>0</v>
      </c>
      <c r="AC810" s="6">
        <f>$M$810*$W$810</f>
        <v>-21.417000000000002</v>
      </c>
      <c r="AD810" s="6">
        <f>$O$810*$X$810</f>
        <v>-17.04186</v>
      </c>
      <c r="AE810" s="6">
        <f>$K$810*$Y$810</f>
        <v>0</v>
      </c>
      <c r="AF810" s="6">
        <f ca="1">$M$810*$Z$810</f>
        <v>-21.790308978374277</v>
      </c>
      <c r="AG810" s="6">
        <f ca="1">$O$810*$AA$810</f>
        <v>-15.218451029006662</v>
      </c>
    </row>
    <row r="811" spans="1:33" ht="11.25" customHeight="1" x14ac:dyDescent="0.25">
      <c r="A811" s="4" t="s">
        <v>55</v>
      </c>
      <c r="B811" s="4" t="s">
        <v>36</v>
      </c>
      <c r="C811" s="4" t="s">
        <v>23</v>
      </c>
      <c r="D811" s="4" t="s">
        <v>41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44409</v>
      </c>
      <c r="J811" s="6">
        <v>0</v>
      </c>
      <c r="K811" s="6">
        <v>0</v>
      </c>
      <c r="L811" s="6">
        <v>98.412000000000006</v>
      </c>
      <c r="M811" s="6">
        <v>98.412000000000006</v>
      </c>
      <c r="N811" s="6">
        <v>98.412000000000006</v>
      </c>
      <c r="O811" s="6">
        <v>98.412000000000006</v>
      </c>
      <c r="P811" s="6">
        <v>263</v>
      </c>
      <c r="Q811" s="4" t="s">
        <v>26</v>
      </c>
      <c r="R811" s="4">
        <v>0</v>
      </c>
      <c r="S811" s="6">
        <v>0</v>
      </c>
      <c r="T811" s="6">
        <v>34</v>
      </c>
      <c r="U811" s="6">
        <v>80</v>
      </c>
      <c r="V811" s="6">
        <f>IF(ISERROR(VLOOKUP($S$811,'TAR FIN'!$A$1:$O$86,15,0)),0,VLOOKUP($S$811,'TAR FIN'!$A$1:$O$86,15,0))</f>
        <v>0</v>
      </c>
      <c r="W811" s="6">
        <f>IF(ISERROR(VLOOKUP($T$811,'TAR FIN'!$A$1:$O$86,15,0)),0,VLOOKUP($T$811,'TAR FIN'!$A$1:$O$86,15,0))</f>
        <v>324.5</v>
      </c>
      <c r="X811" s="6">
        <f>IF(ISERROR(VLOOKUP($U$811,'TAR FIN'!$A$1:$O$86,15,0)),0,VLOOKUP($U$811,'TAR FIN'!$A$1:$O$86,15,0))</f>
        <v>258.20999999999998</v>
      </c>
      <c r="Y811" s="6"/>
      <c r="Z811" s="6">
        <f ca="1">('TUSD BE'!$AM$49+'TUSD BF_350'!$AM$49+'TUSD CVA'!$AM$49)*1</f>
        <v>330.1561966420345</v>
      </c>
      <c r="AA811" s="6">
        <f ca="1">('TE BE'!$AB$39+'TE BF_350'!$AB$39+'TE CVA'!$AB$39)*1</f>
        <v>230.58259134858577</v>
      </c>
      <c r="AB811" s="6">
        <f>$K$811*$V$811</f>
        <v>0</v>
      </c>
      <c r="AC811" s="6">
        <f>$M$811*$W$811</f>
        <v>31934.694000000003</v>
      </c>
      <c r="AD811" s="6">
        <f>$O$811*$X$811</f>
        <v>25410.962520000001</v>
      </c>
      <c r="AE811" s="6">
        <f>$K$811*$Y$811</f>
        <v>0</v>
      </c>
      <c r="AF811" s="6">
        <f ca="1">$M$811*$Z$811</f>
        <v>32491.331623935901</v>
      </c>
      <c r="AG811" s="6">
        <f ca="1">$O$811*$AA$811</f>
        <v>22692.093979797024</v>
      </c>
    </row>
    <row r="812" spans="1:33" ht="11.25" customHeight="1" x14ac:dyDescent="0.25">
      <c r="A812" s="4" t="s">
        <v>21</v>
      </c>
      <c r="B812" s="4" t="s">
        <v>36</v>
      </c>
      <c r="C812" s="4" t="s">
        <v>23</v>
      </c>
      <c r="D812" s="4" t="s">
        <v>41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44440</v>
      </c>
      <c r="J812" s="6">
        <v>0</v>
      </c>
      <c r="K812" s="6">
        <v>0</v>
      </c>
      <c r="L812" s="6">
        <v>1433.048</v>
      </c>
      <c r="M812" s="6">
        <v>1433.048</v>
      </c>
      <c r="N812" s="6">
        <v>1433.048</v>
      </c>
      <c r="O812" s="6">
        <v>1433.048</v>
      </c>
      <c r="P812" s="6">
        <v>3490</v>
      </c>
      <c r="Q812" s="4" t="s">
        <v>26</v>
      </c>
      <c r="R812" s="4">
        <v>0</v>
      </c>
      <c r="S812" s="6">
        <v>0</v>
      </c>
      <c r="T812" s="6">
        <v>34</v>
      </c>
      <c r="U812" s="6">
        <v>80</v>
      </c>
      <c r="V812" s="6">
        <f>IF(ISERROR(VLOOKUP($S$812,'TAR FIN'!$A$1:$O$86,15,0)),0,VLOOKUP($S$812,'TAR FIN'!$A$1:$O$86,15,0))</f>
        <v>0</v>
      </c>
      <c r="W812" s="6">
        <f>IF(ISERROR(VLOOKUP($T$812,'TAR FIN'!$A$1:$O$86,15,0)),0,VLOOKUP($T$812,'TAR FIN'!$A$1:$O$86,15,0))</f>
        <v>324.5</v>
      </c>
      <c r="X812" s="6">
        <f>IF(ISERROR(VLOOKUP($U$812,'TAR FIN'!$A$1:$O$86,15,0)),0,VLOOKUP($U$812,'TAR FIN'!$A$1:$O$86,15,0))</f>
        <v>258.20999999999998</v>
      </c>
      <c r="Y812" s="6"/>
      <c r="Z812" s="6">
        <f ca="1">('TUSD BE'!$AM$49+'TUSD BF_350'!$AM$49+'TUSD CVA'!$AM$49)*1</f>
        <v>330.1561966420345</v>
      </c>
      <c r="AA812" s="6">
        <f ca="1">('TE BE'!$AB$39+'TE BF_350'!$AB$39+'TE CVA'!$AB$39)*1</f>
        <v>230.58259134858577</v>
      </c>
      <c r="AB812" s="6">
        <f>$K$812*$V$812</f>
        <v>0</v>
      </c>
      <c r="AC812" s="6">
        <f>$M$812*$W$812</f>
        <v>465024.076</v>
      </c>
      <c r="AD812" s="6">
        <f>$O$812*$X$812</f>
        <v>370027.32407999999</v>
      </c>
      <c r="AE812" s="6">
        <f>$K$812*$Y$812</f>
        <v>0</v>
      </c>
      <c r="AF812" s="6">
        <f ca="1">$M$812*$Z$812</f>
        <v>473129.67728547426</v>
      </c>
      <c r="AG812" s="6">
        <f ca="1">$O$812*$AA$812</f>
        <v>330435.92136690812</v>
      </c>
    </row>
    <row r="813" spans="1:33" ht="11.25" customHeight="1" x14ac:dyDescent="0.25">
      <c r="A813" s="4" t="s">
        <v>27</v>
      </c>
      <c r="B813" s="4" t="s">
        <v>36</v>
      </c>
      <c r="C813" s="4" t="s">
        <v>23</v>
      </c>
      <c r="D813" s="4" t="s">
        <v>41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44440</v>
      </c>
      <c r="J813" s="6">
        <v>0</v>
      </c>
      <c r="K813" s="6">
        <v>0</v>
      </c>
      <c r="L813" s="6">
        <v>-3.03</v>
      </c>
      <c r="M813" s="6">
        <v>-3.03</v>
      </c>
      <c r="N813" s="6">
        <v>-3.03</v>
      </c>
      <c r="O813" s="6">
        <v>-3.03</v>
      </c>
      <c r="P813" s="6">
        <v>0</v>
      </c>
      <c r="Q813" s="4" t="s">
        <v>26</v>
      </c>
      <c r="R813" s="4">
        <v>0</v>
      </c>
      <c r="S813" s="6">
        <v>0</v>
      </c>
      <c r="T813" s="6">
        <v>34</v>
      </c>
      <c r="U813" s="6">
        <v>80</v>
      </c>
      <c r="V813" s="6">
        <f>IF(ISERROR(VLOOKUP($S$813,'TAR FIN'!$A$1:$O$86,15,0)),0,VLOOKUP($S$813,'TAR FIN'!$A$1:$O$86,15,0))</f>
        <v>0</v>
      </c>
      <c r="W813" s="6">
        <f>IF(ISERROR(VLOOKUP($T$813,'TAR FIN'!$A$1:$O$86,15,0)),0,VLOOKUP($T$813,'TAR FIN'!$A$1:$O$86,15,0))</f>
        <v>324.5</v>
      </c>
      <c r="X813" s="6">
        <f>IF(ISERROR(VLOOKUP($U$813,'TAR FIN'!$A$1:$O$86,15,0)),0,VLOOKUP($U$813,'TAR FIN'!$A$1:$O$86,15,0))</f>
        <v>258.20999999999998</v>
      </c>
      <c r="Y813" s="6"/>
      <c r="Z813" s="6">
        <f ca="1">('TUSD BE'!$AM$49+'TUSD BF_350'!$AM$49+'TUSD CVA'!$AM$49)*1</f>
        <v>330.1561966420345</v>
      </c>
      <c r="AA813" s="6">
        <f ca="1">('TE BE'!$AB$39+'TE BF_350'!$AB$39+'TE CVA'!$AB$39)*1</f>
        <v>230.58259134858577</v>
      </c>
      <c r="AB813" s="6">
        <f>$K$813*$V$813</f>
        <v>0</v>
      </c>
      <c r="AC813" s="6">
        <f>$M$813*$W$813</f>
        <v>-983.2349999999999</v>
      </c>
      <c r="AD813" s="6">
        <f>$O$813*$X$813</f>
        <v>-782.3762999999999</v>
      </c>
      <c r="AE813" s="6">
        <f>$K$813*$Y$813</f>
        <v>0</v>
      </c>
      <c r="AF813" s="6">
        <f ca="1">$M$813*$Z$813</f>
        <v>-1000.3732758253644</v>
      </c>
      <c r="AG813" s="6">
        <f ca="1">$O$813*$AA$813</f>
        <v>-698.66525178621487</v>
      </c>
    </row>
    <row r="814" spans="1:33" ht="11.25" customHeight="1" x14ac:dyDescent="0.25">
      <c r="A814" s="4" t="s">
        <v>55</v>
      </c>
      <c r="B814" s="4" t="s">
        <v>36</v>
      </c>
      <c r="C814" s="4" t="s">
        <v>23</v>
      </c>
      <c r="D814" s="4" t="s">
        <v>41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44440</v>
      </c>
      <c r="J814" s="6">
        <v>0</v>
      </c>
      <c r="K814" s="6">
        <v>0</v>
      </c>
      <c r="L814" s="6">
        <v>102.071</v>
      </c>
      <c r="M814" s="6">
        <v>102.071</v>
      </c>
      <c r="N814" s="6">
        <v>102.071</v>
      </c>
      <c r="O814" s="6">
        <v>102.071</v>
      </c>
      <c r="P814" s="6">
        <v>279</v>
      </c>
      <c r="Q814" s="4" t="s">
        <v>26</v>
      </c>
      <c r="R814" s="4">
        <v>0</v>
      </c>
      <c r="S814" s="6">
        <v>0</v>
      </c>
      <c r="T814" s="6">
        <v>34</v>
      </c>
      <c r="U814" s="6">
        <v>80</v>
      </c>
      <c r="V814" s="6">
        <f>IF(ISERROR(VLOOKUP($S$814,'TAR FIN'!$A$1:$O$86,15,0)),0,VLOOKUP($S$814,'TAR FIN'!$A$1:$O$86,15,0))</f>
        <v>0</v>
      </c>
      <c r="W814" s="6">
        <f>IF(ISERROR(VLOOKUP($T$814,'TAR FIN'!$A$1:$O$86,15,0)),0,VLOOKUP($T$814,'TAR FIN'!$A$1:$O$86,15,0))</f>
        <v>324.5</v>
      </c>
      <c r="X814" s="6">
        <f>IF(ISERROR(VLOOKUP($U$814,'TAR FIN'!$A$1:$O$86,15,0)),0,VLOOKUP($U$814,'TAR FIN'!$A$1:$O$86,15,0))</f>
        <v>258.20999999999998</v>
      </c>
      <c r="Y814" s="6"/>
      <c r="Z814" s="6">
        <f ca="1">('TUSD BE'!$AM$49+'TUSD BF_350'!$AM$49+'TUSD CVA'!$AM$49)*1</f>
        <v>330.1561966420345</v>
      </c>
      <c r="AA814" s="6">
        <f ca="1">('TE BE'!$AB$39+'TE BF_350'!$AB$39+'TE CVA'!$AB$39)*1</f>
        <v>230.58259134858577</v>
      </c>
      <c r="AB814" s="6">
        <f>$K$814*$V$814</f>
        <v>0</v>
      </c>
      <c r="AC814" s="6">
        <f>$M$814*$W$814</f>
        <v>33122.039499999999</v>
      </c>
      <c r="AD814" s="6">
        <f>$O$814*$X$814</f>
        <v>26355.752909999996</v>
      </c>
      <c r="AE814" s="6">
        <f>$K$814*$Y$814</f>
        <v>0</v>
      </c>
      <c r="AF814" s="6">
        <f ca="1">$M$814*$Z$814</f>
        <v>33699.3731474491</v>
      </c>
      <c r="AG814" s="6">
        <f ca="1">$O$814*$AA$814</f>
        <v>23535.795681541498</v>
      </c>
    </row>
    <row r="815" spans="1:33" ht="11.25" customHeight="1" x14ac:dyDescent="0.25">
      <c r="A815" s="4" t="s">
        <v>55</v>
      </c>
      <c r="B815" s="4" t="s">
        <v>36</v>
      </c>
      <c r="C815" s="4" t="s">
        <v>23</v>
      </c>
      <c r="D815" s="4" t="s">
        <v>41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44440</v>
      </c>
      <c r="J815" s="6">
        <v>0</v>
      </c>
      <c r="K815" s="6">
        <v>0</v>
      </c>
      <c r="L815" s="6">
        <v>0.997</v>
      </c>
      <c r="M815" s="6">
        <v>0.997</v>
      </c>
      <c r="N815" s="6">
        <v>0.997</v>
      </c>
      <c r="O815" s="6">
        <v>0.997</v>
      </c>
      <c r="P815" s="6">
        <v>1</v>
      </c>
      <c r="Q815" s="4" t="s">
        <v>26</v>
      </c>
      <c r="R815" s="4">
        <v>0</v>
      </c>
      <c r="S815" s="6">
        <v>0</v>
      </c>
      <c r="T815" s="6">
        <v>34</v>
      </c>
      <c r="U815" s="6">
        <v>80</v>
      </c>
      <c r="V815" s="6">
        <f>IF(ISERROR(VLOOKUP($S$815,'TAR FIN'!$A$1:$O$86,15,0)),0,VLOOKUP($S$815,'TAR FIN'!$A$1:$O$86,15,0))</f>
        <v>0</v>
      </c>
      <c r="W815" s="6">
        <f>IF(ISERROR(VLOOKUP($T$815,'TAR FIN'!$A$1:$O$86,15,0)),0,VLOOKUP($T$815,'TAR FIN'!$A$1:$O$86,15,0))</f>
        <v>324.5</v>
      </c>
      <c r="X815" s="6">
        <f>IF(ISERROR(VLOOKUP($U$815,'TAR FIN'!$A$1:$O$86,15,0)),0,VLOOKUP($U$815,'TAR FIN'!$A$1:$O$86,15,0))</f>
        <v>258.20999999999998</v>
      </c>
      <c r="Y815" s="6"/>
      <c r="Z815" s="6">
        <f ca="1">('TUSD BE'!$AM$49+'TUSD BF_350'!$AM$49+'TUSD CVA'!$AM$49)*1</f>
        <v>330.1561966420345</v>
      </c>
      <c r="AA815" s="6">
        <f ca="1">('TE BE'!$AB$39+'TE BF_350'!$AB$39+'TE CVA'!$AB$39)*1</f>
        <v>230.58259134858577</v>
      </c>
      <c r="AB815" s="6">
        <f>$K$815*$V$815</f>
        <v>0</v>
      </c>
      <c r="AC815" s="6">
        <f>$M$815*$W$815</f>
        <v>323.5265</v>
      </c>
      <c r="AD815" s="6">
        <f>$O$815*$X$815</f>
        <v>257.43536999999998</v>
      </c>
      <c r="AE815" s="6">
        <f>$K$815*$Y$815</f>
        <v>0</v>
      </c>
      <c r="AF815" s="6">
        <f ca="1">$M$815*$Z$815</f>
        <v>329.16572805210842</v>
      </c>
      <c r="AG815" s="6">
        <f ca="1">$O$815*$AA$815</f>
        <v>229.89084357454001</v>
      </c>
    </row>
    <row r="816" spans="1:33" ht="11.25" customHeight="1" x14ac:dyDescent="0.25">
      <c r="A816" s="4" t="s">
        <v>21</v>
      </c>
      <c r="B816" s="4" t="s">
        <v>36</v>
      </c>
      <c r="C816" s="4" t="s">
        <v>23</v>
      </c>
      <c r="D816" s="4" t="s">
        <v>41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44470</v>
      </c>
      <c r="J816" s="6">
        <v>0</v>
      </c>
      <c r="K816" s="6">
        <v>0</v>
      </c>
      <c r="L816" s="6">
        <v>1456.4770000000001</v>
      </c>
      <c r="M816" s="6">
        <v>1456.4770000000001</v>
      </c>
      <c r="N816" s="6">
        <v>1456.4770000000001</v>
      </c>
      <c r="O816" s="6">
        <v>1456.4770000000001</v>
      </c>
      <c r="P816" s="6">
        <v>3478</v>
      </c>
      <c r="Q816" s="4" t="s">
        <v>26</v>
      </c>
      <c r="R816" s="4">
        <v>0</v>
      </c>
      <c r="S816" s="6">
        <v>0</v>
      </c>
      <c r="T816" s="6">
        <v>34</v>
      </c>
      <c r="U816" s="6">
        <v>80</v>
      </c>
      <c r="V816" s="6">
        <f>IF(ISERROR(VLOOKUP($S$816,'TAR FIN'!$A$1:$O$86,15,0)),0,VLOOKUP($S$816,'TAR FIN'!$A$1:$O$86,15,0))</f>
        <v>0</v>
      </c>
      <c r="W816" s="6">
        <f>IF(ISERROR(VLOOKUP($T$816,'TAR FIN'!$A$1:$O$86,15,0)),0,VLOOKUP($T$816,'TAR FIN'!$A$1:$O$86,15,0))</f>
        <v>324.5</v>
      </c>
      <c r="X816" s="6">
        <f>IF(ISERROR(VLOOKUP($U$816,'TAR FIN'!$A$1:$O$86,15,0)),0,VLOOKUP($U$816,'TAR FIN'!$A$1:$O$86,15,0))</f>
        <v>258.20999999999998</v>
      </c>
      <c r="Y816" s="6"/>
      <c r="Z816" s="6">
        <f ca="1">('TUSD BE'!$AM$49+'TUSD BF_350'!$AM$49+'TUSD CVA'!$AM$49)*1</f>
        <v>330.1561966420345</v>
      </c>
      <c r="AA816" s="6">
        <f ca="1">('TE BE'!$AB$39+'TE BF_350'!$AB$39+'TE CVA'!$AB$39)*1</f>
        <v>230.58259134858577</v>
      </c>
      <c r="AB816" s="6">
        <f>$K$816*$V$816</f>
        <v>0</v>
      </c>
      <c r="AC816" s="6">
        <f>$M$816*$W$816</f>
        <v>472626.78650000005</v>
      </c>
      <c r="AD816" s="6">
        <f>$O$816*$X$816</f>
        <v>376076.92616999999</v>
      </c>
      <c r="AE816" s="6">
        <f>$K$816*$Y$816</f>
        <v>0</v>
      </c>
      <c r="AF816" s="6">
        <f ca="1">$M$816*$Z$816</f>
        <v>480864.90681660053</v>
      </c>
      <c r="AG816" s="6">
        <f ca="1">$O$816*$AA$816</f>
        <v>335838.24089961417</v>
      </c>
    </row>
    <row r="817" spans="1:33" ht="11.25" customHeight="1" x14ac:dyDescent="0.25">
      <c r="A817" s="4" t="s">
        <v>27</v>
      </c>
      <c r="B817" s="4" t="s">
        <v>36</v>
      </c>
      <c r="C817" s="4" t="s">
        <v>23</v>
      </c>
      <c r="D817" s="4" t="s">
        <v>41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44470</v>
      </c>
      <c r="J817" s="6">
        <v>0</v>
      </c>
      <c r="K817" s="6">
        <v>0</v>
      </c>
      <c r="L817" s="6">
        <v>-11.048999999999999</v>
      </c>
      <c r="M817" s="6">
        <v>-11.048999999999999</v>
      </c>
      <c r="N817" s="6">
        <v>-11.048999999999999</v>
      </c>
      <c r="O817" s="6">
        <v>-11.048999999999999</v>
      </c>
      <c r="P817" s="6">
        <v>0</v>
      </c>
      <c r="Q817" s="4" t="s">
        <v>26</v>
      </c>
      <c r="R817" s="4">
        <v>0</v>
      </c>
      <c r="S817" s="6">
        <v>0</v>
      </c>
      <c r="T817" s="6">
        <v>34</v>
      </c>
      <c r="U817" s="6">
        <v>80</v>
      </c>
      <c r="V817" s="6">
        <f>IF(ISERROR(VLOOKUP($S$817,'TAR FIN'!$A$1:$O$86,15,0)),0,VLOOKUP($S$817,'TAR FIN'!$A$1:$O$86,15,0))</f>
        <v>0</v>
      </c>
      <c r="W817" s="6">
        <f>IF(ISERROR(VLOOKUP($T$817,'TAR FIN'!$A$1:$O$86,15,0)),0,VLOOKUP($T$817,'TAR FIN'!$A$1:$O$86,15,0))</f>
        <v>324.5</v>
      </c>
      <c r="X817" s="6">
        <f>IF(ISERROR(VLOOKUP($U$817,'TAR FIN'!$A$1:$O$86,15,0)),0,VLOOKUP($U$817,'TAR FIN'!$A$1:$O$86,15,0))</f>
        <v>258.20999999999998</v>
      </c>
      <c r="Y817" s="6"/>
      <c r="Z817" s="6">
        <f ca="1">('TUSD BE'!$AM$49+'TUSD BF_350'!$AM$49+'TUSD CVA'!$AM$49)*1</f>
        <v>330.1561966420345</v>
      </c>
      <c r="AA817" s="6">
        <f ca="1">('TE BE'!$AB$39+'TE BF_350'!$AB$39+'TE CVA'!$AB$39)*1</f>
        <v>230.58259134858577</v>
      </c>
      <c r="AB817" s="6">
        <f>$K$817*$V$817</f>
        <v>0</v>
      </c>
      <c r="AC817" s="6">
        <f>$M$817*$W$817</f>
        <v>-3585.4004999999997</v>
      </c>
      <c r="AD817" s="6">
        <f>$O$817*$X$817</f>
        <v>-2852.9622899999995</v>
      </c>
      <c r="AE817" s="6">
        <f>$K$817*$Y$817</f>
        <v>0</v>
      </c>
      <c r="AF817" s="6">
        <f ca="1">$M$817*$Z$817</f>
        <v>-3647.8958166978391</v>
      </c>
      <c r="AG817" s="6">
        <f ca="1">$O$817*$AA$817</f>
        <v>-2547.7070518105238</v>
      </c>
    </row>
    <row r="818" spans="1:33" ht="11.25" customHeight="1" x14ac:dyDescent="0.25">
      <c r="A818" s="4" t="s">
        <v>55</v>
      </c>
      <c r="B818" s="4" t="s">
        <v>36</v>
      </c>
      <c r="C818" s="4" t="s">
        <v>23</v>
      </c>
      <c r="D818" s="4" t="s">
        <v>41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44470</v>
      </c>
      <c r="J818" s="6">
        <v>0</v>
      </c>
      <c r="K818" s="6">
        <v>0</v>
      </c>
      <c r="L818" s="6">
        <v>94.376000000000005</v>
      </c>
      <c r="M818" s="6">
        <v>94.376000000000005</v>
      </c>
      <c r="N818" s="6">
        <v>94.376000000000005</v>
      </c>
      <c r="O818" s="6">
        <v>94.376000000000005</v>
      </c>
      <c r="P818" s="6">
        <v>289</v>
      </c>
      <c r="Q818" s="4" t="s">
        <v>26</v>
      </c>
      <c r="R818" s="4">
        <v>0</v>
      </c>
      <c r="S818" s="6">
        <v>0</v>
      </c>
      <c r="T818" s="6">
        <v>34</v>
      </c>
      <c r="U818" s="6">
        <v>80</v>
      </c>
      <c r="V818" s="6">
        <f>IF(ISERROR(VLOOKUP($S$818,'TAR FIN'!$A$1:$O$86,15,0)),0,VLOOKUP($S$818,'TAR FIN'!$A$1:$O$86,15,0))</f>
        <v>0</v>
      </c>
      <c r="W818" s="6">
        <f>IF(ISERROR(VLOOKUP($T$818,'TAR FIN'!$A$1:$O$86,15,0)),0,VLOOKUP($T$818,'TAR FIN'!$A$1:$O$86,15,0))</f>
        <v>324.5</v>
      </c>
      <c r="X818" s="6">
        <f>IF(ISERROR(VLOOKUP($U$818,'TAR FIN'!$A$1:$O$86,15,0)),0,VLOOKUP($U$818,'TAR FIN'!$A$1:$O$86,15,0))</f>
        <v>258.20999999999998</v>
      </c>
      <c r="Y818" s="6"/>
      <c r="Z818" s="6">
        <f ca="1">('TUSD BE'!$AM$49+'TUSD BF_350'!$AM$49+'TUSD CVA'!$AM$49)*1</f>
        <v>330.1561966420345</v>
      </c>
      <c r="AA818" s="6">
        <f ca="1">('TE BE'!$AB$39+'TE BF_350'!$AB$39+'TE CVA'!$AB$39)*1</f>
        <v>230.58259134858577</v>
      </c>
      <c r="AB818" s="6">
        <f>$K$818*$V$818</f>
        <v>0</v>
      </c>
      <c r="AC818" s="6">
        <f>$M$818*$W$818</f>
        <v>30625.012000000002</v>
      </c>
      <c r="AD818" s="6">
        <f>$O$818*$X$818</f>
        <v>24368.826959999999</v>
      </c>
      <c r="AE818" s="6">
        <f>$K$818*$Y$818</f>
        <v>0</v>
      </c>
      <c r="AF818" s="6">
        <f ca="1">$M$818*$Z$818</f>
        <v>31158.821214288651</v>
      </c>
      <c r="AG818" s="6">
        <f ca="1">$O$818*$AA$818</f>
        <v>21761.462641114133</v>
      </c>
    </row>
    <row r="819" spans="1:33" ht="11.25" customHeight="1" x14ac:dyDescent="0.25">
      <c r="A819" s="4" t="s">
        <v>21</v>
      </c>
      <c r="B819" s="4" t="s">
        <v>36</v>
      </c>
      <c r="C819" s="4" t="s">
        <v>23</v>
      </c>
      <c r="D819" s="4" t="s">
        <v>41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44501</v>
      </c>
      <c r="J819" s="6">
        <v>0</v>
      </c>
      <c r="K819" s="6">
        <v>0</v>
      </c>
      <c r="L819" s="6">
        <v>1624.27</v>
      </c>
      <c r="M819" s="6">
        <v>1624.27</v>
      </c>
      <c r="N819" s="6">
        <v>1624.27</v>
      </c>
      <c r="O819" s="6">
        <v>1624.27</v>
      </c>
      <c r="P819" s="6">
        <v>3459</v>
      </c>
      <c r="Q819" s="4" t="s">
        <v>26</v>
      </c>
      <c r="R819" s="4">
        <v>0</v>
      </c>
      <c r="S819" s="6">
        <v>0</v>
      </c>
      <c r="T819" s="6">
        <v>34</v>
      </c>
      <c r="U819" s="6">
        <v>80</v>
      </c>
      <c r="V819" s="6">
        <f>IF(ISERROR(VLOOKUP($S$819,'TAR FIN'!$A$1:$O$86,15,0)),0,VLOOKUP($S$819,'TAR FIN'!$A$1:$O$86,15,0))</f>
        <v>0</v>
      </c>
      <c r="W819" s="6">
        <f>IF(ISERROR(VLOOKUP($T$819,'TAR FIN'!$A$1:$O$86,15,0)),0,VLOOKUP($T$819,'TAR FIN'!$A$1:$O$86,15,0))</f>
        <v>324.5</v>
      </c>
      <c r="X819" s="6">
        <f>IF(ISERROR(VLOOKUP($U$819,'TAR FIN'!$A$1:$O$86,15,0)),0,VLOOKUP($U$819,'TAR FIN'!$A$1:$O$86,15,0))</f>
        <v>258.20999999999998</v>
      </c>
      <c r="Y819" s="6"/>
      <c r="Z819" s="6">
        <f ca="1">('TUSD BE'!$AM$49+'TUSD BF_350'!$AM$49+'TUSD CVA'!$AM$49)*1</f>
        <v>330.1561966420345</v>
      </c>
      <c r="AA819" s="6">
        <f ca="1">('TE BE'!$AB$39+'TE BF_350'!$AB$39+'TE CVA'!$AB$39)*1</f>
        <v>230.58259134858577</v>
      </c>
      <c r="AB819" s="6">
        <f>$K$819*$V$819</f>
        <v>0</v>
      </c>
      <c r="AC819" s="6">
        <f>$M$819*$W$819</f>
        <v>527075.61499999999</v>
      </c>
      <c r="AD819" s="6">
        <f>$O$819*$X$819</f>
        <v>419402.75669999997</v>
      </c>
      <c r="AE819" s="6">
        <f>$K$819*$Y$819</f>
        <v>0</v>
      </c>
      <c r="AF819" s="6">
        <f ca="1">$M$819*$Z$819</f>
        <v>536262.80551975733</v>
      </c>
      <c r="AG819" s="6">
        <f ca="1">$O$819*$AA$819</f>
        <v>374528.38564976741</v>
      </c>
    </row>
    <row r="820" spans="1:33" ht="11.25" customHeight="1" x14ac:dyDescent="0.25">
      <c r="A820" s="4" t="s">
        <v>27</v>
      </c>
      <c r="B820" s="4" t="s">
        <v>36</v>
      </c>
      <c r="C820" s="4" t="s">
        <v>23</v>
      </c>
      <c r="D820" s="4" t="s">
        <v>41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44501</v>
      </c>
      <c r="J820" s="6">
        <v>0</v>
      </c>
      <c r="K820" s="6">
        <v>0</v>
      </c>
      <c r="L820" s="6">
        <v>-7.5990000000000002</v>
      </c>
      <c r="M820" s="6">
        <v>-7.5990000000000002</v>
      </c>
      <c r="N820" s="6">
        <v>-7.5990000000000002</v>
      </c>
      <c r="O820" s="6">
        <v>-7.5990000000000002</v>
      </c>
      <c r="P820" s="6">
        <v>0</v>
      </c>
      <c r="Q820" s="4" t="s">
        <v>26</v>
      </c>
      <c r="R820" s="4">
        <v>0</v>
      </c>
      <c r="S820" s="6">
        <v>0</v>
      </c>
      <c r="T820" s="6">
        <v>34</v>
      </c>
      <c r="U820" s="6">
        <v>80</v>
      </c>
      <c r="V820" s="6">
        <f>IF(ISERROR(VLOOKUP($S$820,'TAR FIN'!$A$1:$O$86,15,0)),0,VLOOKUP($S$820,'TAR FIN'!$A$1:$O$86,15,0))</f>
        <v>0</v>
      </c>
      <c r="W820" s="6">
        <f>IF(ISERROR(VLOOKUP($T$820,'TAR FIN'!$A$1:$O$86,15,0)),0,VLOOKUP($T$820,'TAR FIN'!$A$1:$O$86,15,0))</f>
        <v>324.5</v>
      </c>
      <c r="X820" s="6">
        <f>IF(ISERROR(VLOOKUP($U$820,'TAR FIN'!$A$1:$O$86,15,0)),0,VLOOKUP($U$820,'TAR FIN'!$A$1:$O$86,15,0))</f>
        <v>258.20999999999998</v>
      </c>
      <c r="Y820" s="6"/>
      <c r="Z820" s="6">
        <f ca="1">('TUSD BE'!$AM$49+'TUSD BF_350'!$AM$49+'TUSD CVA'!$AM$49)*1</f>
        <v>330.1561966420345</v>
      </c>
      <c r="AA820" s="6">
        <f ca="1">('TE BE'!$AB$39+'TE BF_350'!$AB$39+'TE CVA'!$AB$39)*1</f>
        <v>230.58259134858577</v>
      </c>
      <c r="AB820" s="6">
        <f>$K$820*$V$820</f>
        <v>0</v>
      </c>
      <c r="AC820" s="6">
        <f>$M$820*$W$820</f>
        <v>-2465.8755000000001</v>
      </c>
      <c r="AD820" s="6">
        <f>$O$820*$X$820</f>
        <v>-1962.13779</v>
      </c>
      <c r="AE820" s="6">
        <f>$K$820*$Y$820</f>
        <v>0</v>
      </c>
      <c r="AF820" s="6">
        <f ca="1">$M$820*$Z$820</f>
        <v>-2508.8569382828205</v>
      </c>
      <c r="AG820" s="6">
        <f ca="1">$O$820*$AA$820</f>
        <v>-1752.1971116579032</v>
      </c>
    </row>
    <row r="821" spans="1:33" ht="11.25" customHeight="1" x14ac:dyDescent="0.25">
      <c r="A821" s="4" t="s">
        <v>55</v>
      </c>
      <c r="B821" s="4" t="s">
        <v>36</v>
      </c>
      <c r="C821" s="4" t="s">
        <v>23</v>
      </c>
      <c r="D821" s="4" t="s">
        <v>41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44501</v>
      </c>
      <c r="J821" s="6">
        <v>0</v>
      </c>
      <c r="K821" s="6">
        <v>0</v>
      </c>
      <c r="L821" s="6">
        <v>91.132999999999996</v>
      </c>
      <c r="M821" s="6">
        <v>91.132999999999996</v>
      </c>
      <c r="N821" s="6">
        <v>91.132999999999996</v>
      </c>
      <c r="O821" s="6">
        <v>91.132999999999996</v>
      </c>
      <c r="P821" s="6">
        <v>308</v>
      </c>
      <c r="Q821" s="4" t="s">
        <v>26</v>
      </c>
      <c r="R821" s="4">
        <v>0</v>
      </c>
      <c r="S821" s="6">
        <v>0</v>
      </c>
      <c r="T821" s="6">
        <v>34</v>
      </c>
      <c r="U821" s="6">
        <v>80</v>
      </c>
      <c r="V821" s="6">
        <f>IF(ISERROR(VLOOKUP($S$821,'TAR FIN'!$A$1:$O$86,15,0)),0,VLOOKUP($S$821,'TAR FIN'!$A$1:$O$86,15,0))</f>
        <v>0</v>
      </c>
      <c r="W821" s="6">
        <f>IF(ISERROR(VLOOKUP($T$821,'TAR FIN'!$A$1:$O$86,15,0)),0,VLOOKUP($T$821,'TAR FIN'!$A$1:$O$86,15,0))</f>
        <v>324.5</v>
      </c>
      <c r="X821" s="6">
        <f>IF(ISERROR(VLOOKUP($U$821,'TAR FIN'!$A$1:$O$86,15,0)),0,VLOOKUP($U$821,'TAR FIN'!$A$1:$O$86,15,0))</f>
        <v>258.20999999999998</v>
      </c>
      <c r="Y821" s="6"/>
      <c r="Z821" s="6">
        <f ca="1">('TUSD BE'!$AM$49+'TUSD BF_350'!$AM$49+'TUSD CVA'!$AM$49)*1</f>
        <v>330.1561966420345</v>
      </c>
      <c r="AA821" s="6">
        <f ca="1">('TE BE'!$AB$39+'TE BF_350'!$AB$39+'TE CVA'!$AB$39)*1</f>
        <v>230.58259134858577</v>
      </c>
      <c r="AB821" s="6">
        <f>$K$821*$V$821</f>
        <v>0</v>
      </c>
      <c r="AC821" s="6">
        <f>$M$821*$W$821</f>
        <v>29572.658499999998</v>
      </c>
      <c r="AD821" s="6">
        <f>$O$821*$X$821</f>
        <v>23531.451929999996</v>
      </c>
      <c r="AE821" s="6">
        <f>$K$821*$Y$821</f>
        <v>0</v>
      </c>
      <c r="AF821" s="6">
        <f ca="1">$M$821*$Z$821</f>
        <v>30088.12466857853</v>
      </c>
      <c r="AG821" s="6">
        <f ca="1">$O$821*$AA$821</f>
        <v>21013.683297370666</v>
      </c>
    </row>
    <row r="822" spans="1:33" ht="11.25" customHeight="1" x14ac:dyDescent="0.25">
      <c r="A822" s="4" t="s">
        <v>21</v>
      </c>
      <c r="B822" s="4" t="s">
        <v>36</v>
      </c>
      <c r="C822" s="4" t="s">
        <v>23</v>
      </c>
      <c r="D822" s="4" t="s">
        <v>41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44531</v>
      </c>
      <c r="J822" s="6">
        <v>0</v>
      </c>
      <c r="K822" s="6">
        <v>0</v>
      </c>
      <c r="L822" s="6">
        <v>1704.2360000000001</v>
      </c>
      <c r="M822" s="6">
        <v>1704.2360000000001</v>
      </c>
      <c r="N822" s="6">
        <v>1704.2360000000001</v>
      </c>
      <c r="O822" s="6">
        <v>1704.2360000000001</v>
      </c>
      <c r="P822" s="6">
        <v>3467</v>
      </c>
      <c r="Q822" s="4" t="s">
        <v>26</v>
      </c>
      <c r="R822" s="4">
        <v>0</v>
      </c>
      <c r="S822" s="6">
        <v>0</v>
      </c>
      <c r="T822" s="6">
        <v>34</v>
      </c>
      <c r="U822" s="6">
        <v>80</v>
      </c>
      <c r="V822" s="6">
        <f>IF(ISERROR(VLOOKUP($S$822,'TAR FIN'!$A$1:$O$86,15,0)),0,VLOOKUP($S$822,'TAR FIN'!$A$1:$O$86,15,0))</f>
        <v>0</v>
      </c>
      <c r="W822" s="6">
        <f>IF(ISERROR(VLOOKUP($T$822,'TAR FIN'!$A$1:$O$86,15,0)),0,VLOOKUP($T$822,'TAR FIN'!$A$1:$O$86,15,0))</f>
        <v>324.5</v>
      </c>
      <c r="X822" s="6">
        <f>IF(ISERROR(VLOOKUP($U$822,'TAR FIN'!$A$1:$O$86,15,0)),0,VLOOKUP($U$822,'TAR FIN'!$A$1:$O$86,15,0))</f>
        <v>258.20999999999998</v>
      </c>
      <c r="Y822" s="6"/>
      <c r="Z822" s="6">
        <f ca="1">('TUSD BE'!$AM$49+'TUSD BF_350'!$AM$49+'TUSD CVA'!$AM$49)*1</f>
        <v>330.1561966420345</v>
      </c>
      <c r="AA822" s="6">
        <f ca="1">('TE BE'!$AB$39+'TE BF_350'!$AB$39+'TE CVA'!$AB$39)*1</f>
        <v>230.58259134858577</v>
      </c>
      <c r="AB822" s="6">
        <f>$K$822*$V$822</f>
        <v>0</v>
      </c>
      <c r="AC822" s="6">
        <f>$M$822*$W$822</f>
        <v>553024.58200000005</v>
      </c>
      <c r="AD822" s="6">
        <f>$O$822*$X$822</f>
        <v>440050.77756000002</v>
      </c>
      <c r="AE822" s="6">
        <f>$K$822*$Y$822</f>
        <v>0</v>
      </c>
      <c r="AF822" s="6">
        <f ca="1">$M$822*$Z$822</f>
        <v>562664.07594043436</v>
      </c>
      <c r="AG822" s="6">
        <f ca="1">$O$822*$AA$822</f>
        <v>392967.15314954845</v>
      </c>
    </row>
    <row r="823" spans="1:33" ht="11.25" customHeight="1" x14ac:dyDescent="0.25">
      <c r="A823" s="4" t="s">
        <v>27</v>
      </c>
      <c r="B823" s="4" t="s">
        <v>36</v>
      </c>
      <c r="C823" s="4" t="s">
        <v>23</v>
      </c>
      <c r="D823" s="4" t="s">
        <v>41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44531</v>
      </c>
      <c r="J823" s="6">
        <v>0</v>
      </c>
      <c r="K823" s="6">
        <v>0</v>
      </c>
      <c r="L823" s="6">
        <v>-211.714</v>
      </c>
      <c r="M823" s="6">
        <v>-211.714</v>
      </c>
      <c r="N823" s="6">
        <v>-211.714</v>
      </c>
      <c r="O823" s="6">
        <v>-211.714</v>
      </c>
      <c r="P823" s="6">
        <v>0</v>
      </c>
      <c r="Q823" s="4" t="s">
        <v>26</v>
      </c>
      <c r="R823" s="4">
        <v>0</v>
      </c>
      <c r="S823" s="6">
        <v>0</v>
      </c>
      <c r="T823" s="6">
        <v>34</v>
      </c>
      <c r="U823" s="6">
        <v>80</v>
      </c>
      <c r="V823" s="6">
        <f>IF(ISERROR(VLOOKUP($S$823,'TAR FIN'!$A$1:$O$86,15,0)),0,VLOOKUP($S$823,'TAR FIN'!$A$1:$O$86,15,0))</f>
        <v>0</v>
      </c>
      <c r="W823" s="6">
        <f>IF(ISERROR(VLOOKUP($T$823,'TAR FIN'!$A$1:$O$86,15,0)),0,VLOOKUP($T$823,'TAR FIN'!$A$1:$O$86,15,0))</f>
        <v>324.5</v>
      </c>
      <c r="X823" s="6">
        <f>IF(ISERROR(VLOOKUP($U$823,'TAR FIN'!$A$1:$O$86,15,0)),0,VLOOKUP($U$823,'TAR FIN'!$A$1:$O$86,15,0))</f>
        <v>258.20999999999998</v>
      </c>
      <c r="Y823" s="6"/>
      <c r="Z823" s="6">
        <f ca="1">('TUSD BE'!$AM$49+'TUSD BF_350'!$AM$49+'TUSD CVA'!$AM$49)*1</f>
        <v>330.1561966420345</v>
      </c>
      <c r="AA823" s="6">
        <f ca="1">('TE BE'!$AB$39+'TE BF_350'!$AB$39+'TE CVA'!$AB$39)*1</f>
        <v>230.58259134858577</v>
      </c>
      <c r="AB823" s="6">
        <f>$K$823*$V$823</f>
        <v>0</v>
      </c>
      <c r="AC823" s="6">
        <f>$M$823*$W$823</f>
        <v>-68701.192999999999</v>
      </c>
      <c r="AD823" s="6">
        <f>$O$823*$X$823</f>
        <v>-54666.671939999993</v>
      </c>
      <c r="AE823" s="6">
        <f>$K$823*$Y$823</f>
        <v>0</v>
      </c>
      <c r="AF823" s="6">
        <f ca="1">$M$823*$Z$823</f>
        <v>-69898.689015871685</v>
      </c>
      <c r="AG823" s="6">
        <f ca="1">$O$823*$AA$823</f>
        <v>-48817.562744774485</v>
      </c>
    </row>
    <row r="824" spans="1:33" ht="11.25" customHeight="1" x14ac:dyDescent="0.25">
      <c r="A824" s="4" t="s">
        <v>55</v>
      </c>
      <c r="B824" s="4" t="s">
        <v>36</v>
      </c>
      <c r="C824" s="4" t="s">
        <v>23</v>
      </c>
      <c r="D824" s="4" t="s">
        <v>41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120.959</v>
      </c>
      <c r="M824" s="6">
        <v>120.959</v>
      </c>
      <c r="N824" s="6">
        <v>120.959</v>
      </c>
      <c r="O824" s="6">
        <v>120.959</v>
      </c>
      <c r="P824" s="6">
        <v>330</v>
      </c>
      <c r="Q824" s="4" t="s">
        <v>26</v>
      </c>
      <c r="R824" s="4">
        <v>0</v>
      </c>
      <c r="S824" s="6">
        <v>0</v>
      </c>
      <c r="T824" s="6">
        <v>34</v>
      </c>
      <c r="U824" s="6">
        <v>80</v>
      </c>
      <c r="V824" s="6">
        <f>IF(ISERROR(VLOOKUP($S$824,'TAR FIN'!$A$1:$O$86,15,0)),0,VLOOKUP($S$824,'TAR FIN'!$A$1:$O$86,15,0))</f>
        <v>0</v>
      </c>
      <c r="W824" s="6">
        <f>IF(ISERROR(VLOOKUP($T$824,'TAR FIN'!$A$1:$O$86,15,0)),0,VLOOKUP($T$824,'TAR FIN'!$A$1:$O$86,15,0))</f>
        <v>324.5</v>
      </c>
      <c r="X824" s="6">
        <f>IF(ISERROR(VLOOKUP($U$824,'TAR FIN'!$A$1:$O$86,15,0)),0,VLOOKUP($U$824,'TAR FIN'!$A$1:$O$86,15,0))</f>
        <v>258.20999999999998</v>
      </c>
      <c r="Y824" s="6"/>
      <c r="Z824" s="6">
        <f ca="1">('TUSD BE'!$AM$49+'TUSD BF_350'!$AM$49+'TUSD CVA'!$AM$49)*1</f>
        <v>330.1561966420345</v>
      </c>
      <c r="AA824" s="6">
        <f ca="1">('TE BE'!$AB$39+'TE BF_350'!$AB$39+'TE CVA'!$AB$39)*1</f>
        <v>230.58259134858577</v>
      </c>
      <c r="AB824" s="6">
        <f>$K$824*$V$824</f>
        <v>0</v>
      </c>
      <c r="AC824" s="6">
        <f>$M$824*$W$824</f>
        <v>39251.195500000002</v>
      </c>
      <c r="AD824" s="6">
        <f>$O$824*$X$824</f>
        <v>31232.823389999998</v>
      </c>
      <c r="AE824" s="6">
        <f>$K$824*$Y$824</f>
        <v>0</v>
      </c>
      <c r="AF824" s="6">
        <f ca="1">$M$824*$Z$824</f>
        <v>39935.363389623853</v>
      </c>
      <c r="AG824" s="6">
        <f ca="1">$O$824*$AA$824</f>
        <v>27891.039666933586</v>
      </c>
    </row>
    <row r="825" spans="1:33" ht="11.25" customHeight="1" x14ac:dyDescent="0.25">
      <c r="A825" s="4" t="s">
        <v>55</v>
      </c>
      <c r="B825" s="4" t="s">
        <v>36</v>
      </c>
      <c r="C825" s="4" t="s">
        <v>23</v>
      </c>
      <c r="D825" s="4" t="s">
        <v>41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44531</v>
      </c>
      <c r="J825" s="6">
        <v>0</v>
      </c>
      <c r="K825" s="6">
        <v>0</v>
      </c>
      <c r="L825" s="6">
        <v>0.1</v>
      </c>
      <c r="M825" s="6">
        <v>0.1</v>
      </c>
      <c r="N825" s="6">
        <v>0.1</v>
      </c>
      <c r="O825" s="6">
        <v>0.1</v>
      </c>
      <c r="P825" s="6">
        <v>1</v>
      </c>
      <c r="Q825" s="4" t="s">
        <v>26</v>
      </c>
      <c r="R825" s="4">
        <v>0</v>
      </c>
      <c r="S825" s="6">
        <v>0</v>
      </c>
      <c r="T825" s="6">
        <v>34</v>
      </c>
      <c r="U825" s="6">
        <v>80</v>
      </c>
      <c r="V825" s="6">
        <f>IF(ISERROR(VLOOKUP($S$825,'TAR FIN'!$A$1:$O$86,15,0)),0,VLOOKUP($S$825,'TAR FIN'!$A$1:$O$86,15,0))</f>
        <v>0</v>
      </c>
      <c r="W825" s="6">
        <f>IF(ISERROR(VLOOKUP($T$825,'TAR FIN'!$A$1:$O$86,15,0)),0,VLOOKUP($T$825,'TAR FIN'!$A$1:$O$86,15,0))</f>
        <v>324.5</v>
      </c>
      <c r="X825" s="6">
        <f>IF(ISERROR(VLOOKUP($U$825,'TAR FIN'!$A$1:$O$86,15,0)),0,VLOOKUP($U$825,'TAR FIN'!$A$1:$O$86,15,0))</f>
        <v>258.20999999999998</v>
      </c>
      <c r="Y825" s="6"/>
      <c r="Z825" s="6">
        <f ca="1">('TUSD BE'!$AM$49+'TUSD BF_350'!$AM$49+'TUSD CVA'!$AM$49)*1</f>
        <v>330.1561966420345</v>
      </c>
      <c r="AA825" s="6">
        <f ca="1">('TE BE'!$AB$39+'TE BF_350'!$AB$39+'TE CVA'!$AB$39)*1</f>
        <v>230.58259134858577</v>
      </c>
      <c r="AB825" s="6">
        <f>$K$825*$V$825</f>
        <v>0</v>
      </c>
      <c r="AC825" s="6">
        <f>$M$825*$W$825</f>
        <v>32.450000000000003</v>
      </c>
      <c r="AD825" s="6">
        <f>$O$825*$X$825</f>
        <v>25.820999999999998</v>
      </c>
      <c r="AE825" s="6">
        <f>$K$825*$Y$825</f>
        <v>0</v>
      </c>
      <c r="AF825" s="6">
        <f ca="1">$M$825*$Z$825</f>
        <v>33.015619664203449</v>
      </c>
      <c r="AG825" s="6">
        <f ca="1">$O$825*$AA$825</f>
        <v>23.058259134858577</v>
      </c>
    </row>
    <row r="826" spans="1:33" ht="11.25" customHeight="1" x14ac:dyDescent="0.25">
      <c r="A826" s="4" t="s">
        <v>21</v>
      </c>
      <c r="B826" s="4" t="s">
        <v>36</v>
      </c>
      <c r="C826" s="4" t="s">
        <v>23</v>
      </c>
      <c r="D826" s="4" t="s">
        <v>41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44562</v>
      </c>
      <c r="J826" s="6">
        <v>0</v>
      </c>
      <c r="K826" s="6">
        <v>0</v>
      </c>
      <c r="L826" s="6">
        <v>1899.3979999999999</v>
      </c>
      <c r="M826" s="6">
        <v>1899.3979999999999</v>
      </c>
      <c r="N826" s="6">
        <v>1899.3979999999999</v>
      </c>
      <c r="O826" s="6">
        <v>1899.3979999999999</v>
      </c>
      <c r="P826" s="6">
        <v>3426</v>
      </c>
      <c r="Q826" s="4" t="s">
        <v>26</v>
      </c>
      <c r="R826" s="4">
        <v>0</v>
      </c>
      <c r="S826" s="6">
        <v>0</v>
      </c>
      <c r="T826" s="6">
        <v>34</v>
      </c>
      <c r="U826" s="6">
        <v>80</v>
      </c>
      <c r="V826" s="6">
        <f>IF(ISERROR(VLOOKUP($S$826,'TAR FIN'!$A$1:$O$86,15,0)),0,VLOOKUP($S$826,'TAR FIN'!$A$1:$O$86,15,0))</f>
        <v>0</v>
      </c>
      <c r="W826" s="6">
        <f>IF(ISERROR(VLOOKUP($T$826,'TAR FIN'!$A$1:$O$86,15,0)),0,VLOOKUP($T$826,'TAR FIN'!$A$1:$O$86,15,0))</f>
        <v>324.5</v>
      </c>
      <c r="X826" s="6">
        <f>IF(ISERROR(VLOOKUP($U$826,'TAR FIN'!$A$1:$O$86,15,0)),0,VLOOKUP($U$826,'TAR FIN'!$A$1:$O$86,15,0))</f>
        <v>258.20999999999998</v>
      </c>
      <c r="Y826" s="6"/>
      <c r="Z826" s="6">
        <f ca="1">('TUSD BE'!$AM$49+'TUSD BF_350'!$AM$49+'TUSD CVA'!$AM$49)*1</f>
        <v>330.1561966420345</v>
      </c>
      <c r="AA826" s="6">
        <f ca="1">('TE BE'!$AB$39+'TE BF_350'!$AB$39+'TE CVA'!$AB$39)*1</f>
        <v>230.58259134858577</v>
      </c>
      <c r="AB826" s="6">
        <f>$K$826*$V$826</f>
        <v>0</v>
      </c>
      <c r="AC826" s="6">
        <f>$M$826*$W$826</f>
        <v>616354.65099999995</v>
      </c>
      <c r="AD826" s="6">
        <f>$O$826*$X$826</f>
        <v>490443.55757999996</v>
      </c>
      <c r="AE826" s="6">
        <f>$K$826*$Y$826</f>
        <v>0</v>
      </c>
      <c r="AF826" s="6">
        <f ca="1">$M$826*$Z$826</f>
        <v>627098.019589487</v>
      </c>
      <c r="AG826" s="6">
        <f ca="1">$O$826*$AA$826</f>
        <v>437968.1128423211</v>
      </c>
    </row>
    <row r="827" spans="1:33" ht="11.25" customHeight="1" x14ac:dyDescent="0.25">
      <c r="A827" s="4" t="s">
        <v>27</v>
      </c>
      <c r="B827" s="4" t="s">
        <v>36</v>
      </c>
      <c r="C827" s="4" t="s">
        <v>23</v>
      </c>
      <c r="D827" s="4" t="s">
        <v>41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44562</v>
      </c>
      <c r="J827" s="6">
        <v>0</v>
      </c>
      <c r="K827" s="6">
        <v>0</v>
      </c>
      <c r="L827" s="6">
        <v>-0.47399999999999998</v>
      </c>
      <c r="M827" s="6">
        <v>-0.47399999999999998</v>
      </c>
      <c r="N827" s="6">
        <v>-0.47399999999999998</v>
      </c>
      <c r="O827" s="6">
        <v>-0.47399999999999998</v>
      </c>
      <c r="P827" s="6">
        <v>0</v>
      </c>
      <c r="Q827" s="4" t="s">
        <v>26</v>
      </c>
      <c r="R827" s="4">
        <v>0</v>
      </c>
      <c r="S827" s="6">
        <v>0</v>
      </c>
      <c r="T827" s="6">
        <v>34</v>
      </c>
      <c r="U827" s="6">
        <v>80</v>
      </c>
      <c r="V827" s="6">
        <f>IF(ISERROR(VLOOKUP($S$827,'TAR FIN'!$A$1:$O$86,15,0)),0,VLOOKUP($S$827,'TAR FIN'!$A$1:$O$86,15,0))</f>
        <v>0</v>
      </c>
      <c r="W827" s="6">
        <f>IF(ISERROR(VLOOKUP($T$827,'TAR FIN'!$A$1:$O$86,15,0)),0,VLOOKUP($T$827,'TAR FIN'!$A$1:$O$86,15,0))</f>
        <v>324.5</v>
      </c>
      <c r="X827" s="6">
        <f>IF(ISERROR(VLOOKUP($U$827,'TAR FIN'!$A$1:$O$86,15,0)),0,VLOOKUP($U$827,'TAR FIN'!$A$1:$O$86,15,0))</f>
        <v>258.20999999999998</v>
      </c>
      <c r="Y827" s="6"/>
      <c r="Z827" s="6">
        <f ca="1">('TUSD BE'!$AM$49+'TUSD BF_350'!$AM$49+'TUSD CVA'!$AM$49)*1</f>
        <v>330.1561966420345</v>
      </c>
      <c r="AA827" s="6">
        <f ca="1">('TE BE'!$AB$39+'TE BF_350'!$AB$39+'TE CVA'!$AB$39)*1</f>
        <v>230.58259134858577</v>
      </c>
      <c r="AB827" s="6">
        <f>$K$827*$V$827</f>
        <v>0</v>
      </c>
      <c r="AC827" s="6">
        <f>$M$827*$W$827</f>
        <v>-153.81299999999999</v>
      </c>
      <c r="AD827" s="6">
        <f>$O$827*$X$827</f>
        <v>-122.39153999999998</v>
      </c>
      <c r="AE827" s="6">
        <f>$K$827*$Y$827</f>
        <v>0</v>
      </c>
      <c r="AF827" s="6">
        <f ca="1">$M$827*$Z$827</f>
        <v>-156.49403720832436</v>
      </c>
      <c r="AG827" s="6">
        <f ca="1">$O$827*$AA$827</f>
        <v>-109.29614829922964</v>
      </c>
    </row>
    <row r="828" spans="1:33" ht="11.25" customHeight="1" x14ac:dyDescent="0.25">
      <c r="A828" s="4" t="s">
        <v>55</v>
      </c>
      <c r="B828" s="4" t="s">
        <v>36</v>
      </c>
      <c r="C828" s="4" t="s">
        <v>23</v>
      </c>
      <c r="D828" s="4" t="s">
        <v>41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44562</v>
      </c>
      <c r="J828" s="6">
        <v>0</v>
      </c>
      <c r="K828" s="6">
        <v>0</v>
      </c>
      <c r="L828" s="6">
        <v>115.46</v>
      </c>
      <c r="M828" s="6">
        <v>115.46</v>
      </c>
      <c r="N828" s="6">
        <v>115.46</v>
      </c>
      <c r="O828" s="6">
        <v>115.46</v>
      </c>
      <c r="P828" s="6">
        <v>344</v>
      </c>
      <c r="Q828" s="4" t="s">
        <v>26</v>
      </c>
      <c r="R828" s="4">
        <v>0</v>
      </c>
      <c r="S828" s="6">
        <v>0</v>
      </c>
      <c r="T828" s="6">
        <v>34</v>
      </c>
      <c r="U828" s="6">
        <v>80</v>
      </c>
      <c r="V828" s="6">
        <f>IF(ISERROR(VLOOKUP($S$828,'TAR FIN'!$A$1:$O$86,15,0)),0,VLOOKUP($S$828,'TAR FIN'!$A$1:$O$86,15,0))</f>
        <v>0</v>
      </c>
      <c r="W828" s="6">
        <f>IF(ISERROR(VLOOKUP($T$828,'TAR FIN'!$A$1:$O$86,15,0)),0,VLOOKUP($T$828,'TAR FIN'!$A$1:$O$86,15,0))</f>
        <v>324.5</v>
      </c>
      <c r="X828" s="6">
        <f>IF(ISERROR(VLOOKUP($U$828,'TAR FIN'!$A$1:$O$86,15,0)),0,VLOOKUP($U$828,'TAR FIN'!$A$1:$O$86,15,0))</f>
        <v>258.20999999999998</v>
      </c>
      <c r="Y828" s="6"/>
      <c r="Z828" s="6">
        <f ca="1">('TUSD BE'!$AM$49+'TUSD BF_350'!$AM$49+'TUSD CVA'!$AM$49)*1</f>
        <v>330.1561966420345</v>
      </c>
      <c r="AA828" s="6">
        <f ca="1">('TE BE'!$AB$39+'TE BF_350'!$AB$39+'TE CVA'!$AB$39)*1</f>
        <v>230.58259134858577</v>
      </c>
      <c r="AB828" s="6">
        <f>$K$828*$V$828</f>
        <v>0</v>
      </c>
      <c r="AC828" s="6">
        <f>$M$828*$W$828</f>
        <v>37466.769999999997</v>
      </c>
      <c r="AD828" s="6">
        <f>$O$828*$X$828</f>
        <v>29812.926599999995</v>
      </c>
      <c r="AE828" s="6">
        <f>$K$828*$Y$828</f>
        <v>0</v>
      </c>
      <c r="AF828" s="6">
        <f ca="1">$M$828*$Z$828</f>
        <v>38119.834464289299</v>
      </c>
      <c r="AG828" s="6">
        <f ca="1">$O$828*$AA$828</f>
        <v>26623.065997107711</v>
      </c>
    </row>
    <row r="829" spans="1:33" ht="11.25" customHeight="1" x14ac:dyDescent="0.25">
      <c r="A829" s="4" t="s">
        <v>55</v>
      </c>
      <c r="B829" s="4" t="s">
        <v>36</v>
      </c>
      <c r="C829" s="4" t="s">
        <v>23</v>
      </c>
      <c r="D829" s="4" t="s">
        <v>41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44562</v>
      </c>
      <c r="J829" s="6">
        <v>0</v>
      </c>
      <c r="K829" s="6">
        <v>0</v>
      </c>
      <c r="L829" s="6">
        <v>0.1</v>
      </c>
      <c r="M829" s="6">
        <v>0.1</v>
      </c>
      <c r="N829" s="6">
        <v>0.1</v>
      </c>
      <c r="O829" s="6">
        <v>0.1</v>
      </c>
      <c r="P829" s="6">
        <v>1</v>
      </c>
      <c r="Q829" s="4" t="s">
        <v>26</v>
      </c>
      <c r="R829" s="4">
        <v>0</v>
      </c>
      <c r="S829" s="6">
        <v>0</v>
      </c>
      <c r="T829" s="6">
        <v>34</v>
      </c>
      <c r="U829" s="6">
        <v>80</v>
      </c>
      <c r="V829" s="6">
        <f>IF(ISERROR(VLOOKUP($S$829,'TAR FIN'!$A$1:$O$86,15,0)),0,VLOOKUP($S$829,'TAR FIN'!$A$1:$O$86,15,0))</f>
        <v>0</v>
      </c>
      <c r="W829" s="6">
        <f>IF(ISERROR(VLOOKUP($T$829,'TAR FIN'!$A$1:$O$86,15,0)),0,VLOOKUP($T$829,'TAR FIN'!$A$1:$O$86,15,0))</f>
        <v>324.5</v>
      </c>
      <c r="X829" s="6">
        <f>IF(ISERROR(VLOOKUP($U$829,'TAR FIN'!$A$1:$O$86,15,0)),0,VLOOKUP($U$829,'TAR FIN'!$A$1:$O$86,15,0))</f>
        <v>258.20999999999998</v>
      </c>
      <c r="Y829" s="6"/>
      <c r="Z829" s="6">
        <f ca="1">('TUSD BE'!$AM$49+'TUSD BF_350'!$AM$49+'TUSD CVA'!$AM$49)*1</f>
        <v>330.1561966420345</v>
      </c>
      <c r="AA829" s="6">
        <f ca="1">('TE BE'!$AB$39+'TE BF_350'!$AB$39+'TE CVA'!$AB$39)*1</f>
        <v>230.58259134858577</v>
      </c>
      <c r="AB829" s="6">
        <f>$K$829*$V$829</f>
        <v>0</v>
      </c>
      <c r="AC829" s="6">
        <f>$M$829*$W$829</f>
        <v>32.450000000000003</v>
      </c>
      <c r="AD829" s="6">
        <f>$O$829*$X$829</f>
        <v>25.820999999999998</v>
      </c>
      <c r="AE829" s="6">
        <f>$K$829*$Y$829</f>
        <v>0</v>
      </c>
      <c r="AF829" s="6">
        <f ca="1">$M$829*$Z$829</f>
        <v>33.015619664203449</v>
      </c>
      <c r="AG829" s="6">
        <f ca="1">$O$829*$AA$829</f>
        <v>23.058259134858577</v>
      </c>
    </row>
    <row r="830" spans="1:33" ht="11.25" customHeight="1" x14ac:dyDescent="0.25">
      <c r="A830" s="4" t="s">
        <v>21</v>
      </c>
      <c r="B830" s="4" t="s">
        <v>36</v>
      </c>
      <c r="C830" s="4" t="s">
        <v>23</v>
      </c>
      <c r="D830" s="4" t="s">
        <v>41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44593</v>
      </c>
      <c r="J830" s="6">
        <v>0</v>
      </c>
      <c r="K830" s="6">
        <v>0</v>
      </c>
      <c r="L830" s="6">
        <v>1757.3530000000001</v>
      </c>
      <c r="M830" s="6">
        <v>1757.3530000000001</v>
      </c>
      <c r="N830" s="6">
        <v>1757.3530000000001</v>
      </c>
      <c r="O830" s="6">
        <v>1757.3530000000001</v>
      </c>
      <c r="P830" s="6">
        <v>3403</v>
      </c>
      <c r="Q830" s="4" t="s">
        <v>26</v>
      </c>
      <c r="R830" s="4">
        <v>0</v>
      </c>
      <c r="S830" s="6">
        <v>0</v>
      </c>
      <c r="T830" s="6">
        <v>34</v>
      </c>
      <c r="U830" s="6">
        <v>80</v>
      </c>
      <c r="V830" s="6">
        <f>IF(ISERROR(VLOOKUP($S$830,'TAR FIN'!$A$1:$O$86,15,0)),0,VLOOKUP($S$830,'TAR FIN'!$A$1:$O$86,15,0))</f>
        <v>0</v>
      </c>
      <c r="W830" s="6">
        <f>IF(ISERROR(VLOOKUP($T$830,'TAR FIN'!$A$1:$O$86,15,0)),0,VLOOKUP($T$830,'TAR FIN'!$A$1:$O$86,15,0))</f>
        <v>324.5</v>
      </c>
      <c r="X830" s="6">
        <f>IF(ISERROR(VLOOKUP($U$830,'TAR FIN'!$A$1:$O$86,15,0)),0,VLOOKUP($U$830,'TAR FIN'!$A$1:$O$86,15,0))</f>
        <v>258.20999999999998</v>
      </c>
      <c r="Y830" s="6"/>
      <c r="Z830" s="6">
        <f ca="1">('TUSD BE'!$AM$49+'TUSD BF_350'!$AM$49+'TUSD CVA'!$AM$49)*1</f>
        <v>330.1561966420345</v>
      </c>
      <c r="AA830" s="6">
        <f ca="1">('TE BE'!$AB$39+'TE BF_350'!$AB$39+'TE CVA'!$AB$39)*1</f>
        <v>230.58259134858577</v>
      </c>
      <c r="AB830" s="6">
        <f>$K$830*$V$830</f>
        <v>0</v>
      </c>
      <c r="AC830" s="6">
        <f>$M$830*$W$830</f>
        <v>570261.04850000003</v>
      </c>
      <c r="AD830" s="6">
        <f>$O$830*$X$830</f>
        <v>453766.11812999996</v>
      </c>
      <c r="AE830" s="6">
        <f>$K$830*$Y$830</f>
        <v>0</v>
      </c>
      <c r="AF830" s="6">
        <f ca="1">$M$830*$Z$830</f>
        <v>580200.98263746931</v>
      </c>
      <c r="AG830" s="6">
        <f ca="1">$O$830*$AA$830</f>
        <v>405215.00865421124</v>
      </c>
    </row>
    <row r="831" spans="1:33" ht="11.25" customHeight="1" x14ac:dyDescent="0.25">
      <c r="A831" s="4" t="s">
        <v>27</v>
      </c>
      <c r="B831" s="4" t="s">
        <v>36</v>
      </c>
      <c r="C831" s="4" t="s">
        <v>23</v>
      </c>
      <c r="D831" s="4" t="s">
        <v>41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44593</v>
      </c>
      <c r="J831" s="6">
        <v>0</v>
      </c>
      <c r="K831" s="6">
        <v>0</v>
      </c>
      <c r="L831" s="6">
        <v>-1.524</v>
      </c>
      <c r="M831" s="6">
        <v>-1.524</v>
      </c>
      <c r="N831" s="6">
        <v>-1.524</v>
      </c>
      <c r="O831" s="6">
        <v>-1.524</v>
      </c>
      <c r="P831" s="6">
        <v>0</v>
      </c>
      <c r="Q831" s="4" t="s">
        <v>26</v>
      </c>
      <c r="R831" s="4">
        <v>0</v>
      </c>
      <c r="S831" s="6">
        <v>0</v>
      </c>
      <c r="T831" s="6">
        <v>34</v>
      </c>
      <c r="U831" s="6">
        <v>80</v>
      </c>
      <c r="V831" s="6">
        <f>IF(ISERROR(VLOOKUP($S$831,'TAR FIN'!$A$1:$O$86,15,0)),0,VLOOKUP($S$831,'TAR FIN'!$A$1:$O$86,15,0))</f>
        <v>0</v>
      </c>
      <c r="W831" s="6">
        <f>IF(ISERROR(VLOOKUP($T$831,'TAR FIN'!$A$1:$O$86,15,0)),0,VLOOKUP($T$831,'TAR FIN'!$A$1:$O$86,15,0))</f>
        <v>324.5</v>
      </c>
      <c r="X831" s="6">
        <f>IF(ISERROR(VLOOKUP($U$831,'TAR FIN'!$A$1:$O$86,15,0)),0,VLOOKUP($U$831,'TAR FIN'!$A$1:$O$86,15,0))</f>
        <v>258.20999999999998</v>
      </c>
      <c r="Y831" s="6"/>
      <c r="Z831" s="6">
        <f ca="1">('TUSD BE'!$AM$49+'TUSD BF_350'!$AM$49+'TUSD CVA'!$AM$49)*1</f>
        <v>330.1561966420345</v>
      </c>
      <c r="AA831" s="6">
        <f ca="1">('TE BE'!$AB$39+'TE BF_350'!$AB$39+'TE CVA'!$AB$39)*1</f>
        <v>230.58259134858577</v>
      </c>
      <c r="AB831" s="6">
        <f>$K$831*$V$831</f>
        <v>0</v>
      </c>
      <c r="AC831" s="6">
        <f>$M$831*$W$831</f>
        <v>-494.53800000000001</v>
      </c>
      <c r="AD831" s="6">
        <f>$O$831*$X$831</f>
        <v>-393.51203999999996</v>
      </c>
      <c r="AE831" s="6">
        <f>$K$831*$Y$831</f>
        <v>0</v>
      </c>
      <c r="AF831" s="6">
        <f ca="1">$M$831*$Z$831</f>
        <v>-503.15804368246057</v>
      </c>
      <c r="AG831" s="6">
        <f ca="1">$O$831*$AA$831</f>
        <v>-351.40786921524472</v>
      </c>
    </row>
    <row r="832" spans="1:33" ht="11.25" customHeight="1" x14ac:dyDescent="0.25">
      <c r="A832" s="4" t="s">
        <v>55</v>
      </c>
      <c r="B832" s="4" t="s">
        <v>36</v>
      </c>
      <c r="C832" s="4" t="s">
        <v>23</v>
      </c>
      <c r="D832" s="4" t="s">
        <v>41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44593</v>
      </c>
      <c r="J832" s="6">
        <v>0</v>
      </c>
      <c r="K832" s="6">
        <v>0</v>
      </c>
      <c r="L832" s="6">
        <v>138.67599999999999</v>
      </c>
      <c r="M832" s="6">
        <v>138.67599999999999</v>
      </c>
      <c r="N832" s="6">
        <v>138.67599999999999</v>
      </c>
      <c r="O832" s="6">
        <v>138.67599999999999</v>
      </c>
      <c r="P832" s="6">
        <v>364</v>
      </c>
      <c r="Q832" s="4" t="s">
        <v>26</v>
      </c>
      <c r="R832" s="4">
        <v>0</v>
      </c>
      <c r="S832" s="6">
        <v>0</v>
      </c>
      <c r="T832" s="6">
        <v>34</v>
      </c>
      <c r="U832" s="6">
        <v>80</v>
      </c>
      <c r="V832" s="6">
        <f>IF(ISERROR(VLOOKUP($S$832,'TAR FIN'!$A$1:$O$86,15,0)),0,VLOOKUP($S$832,'TAR FIN'!$A$1:$O$86,15,0))</f>
        <v>0</v>
      </c>
      <c r="W832" s="6">
        <f>IF(ISERROR(VLOOKUP($T$832,'TAR FIN'!$A$1:$O$86,15,0)),0,VLOOKUP($T$832,'TAR FIN'!$A$1:$O$86,15,0))</f>
        <v>324.5</v>
      </c>
      <c r="X832" s="6">
        <f>IF(ISERROR(VLOOKUP($U$832,'TAR FIN'!$A$1:$O$86,15,0)),0,VLOOKUP($U$832,'TAR FIN'!$A$1:$O$86,15,0))</f>
        <v>258.20999999999998</v>
      </c>
      <c r="Y832" s="6"/>
      <c r="Z832" s="6">
        <f ca="1">('TUSD BE'!$AM$49+'TUSD BF_350'!$AM$49+'TUSD CVA'!$AM$49)*1</f>
        <v>330.1561966420345</v>
      </c>
      <c r="AA832" s="6">
        <f ca="1">('TE BE'!$AB$39+'TE BF_350'!$AB$39+'TE CVA'!$AB$39)*1</f>
        <v>230.58259134858577</v>
      </c>
      <c r="AB832" s="6">
        <f>$K$832*$V$832</f>
        <v>0</v>
      </c>
      <c r="AC832" s="6">
        <f>$M$832*$W$832</f>
        <v>45000.361999999994</v>
      </c>
      <c r="AD832" s="6">
        <f>$O$832*$X$832</f>
        <v>35807.529959999993</v>
      </c>
      <c r="AE832" s="6">
        <f>$K$832*$Y$832</f>
        <v>0</v>
      </c>
      <c r="AF832" s="6">
        <f ca="1">$M$832*$Z$832</f>
        <v>45784.74072553077</v>
      </c>
      <c r="AG832" s="6">
        <f ca="1">$O$832*$AA$832</f>
        <v>31976.271437856478</v>
      </c>
    </row>
    <row r="833" spans="1:33" ht="11.25" customHeight="1" x14ac:dyDescent="0.25">
      <c r="A833" s="4" t="s">
        <v>21</v>
      </c>
      <c r="B833" s="4" t="s">
        <v>36</v>
      </c>
      <c r="C833" s="4" t="s">
        <v>23</v>
      </c>
      <c r="D833" s="4" t="s">
        <v>41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44621</v>
      </c>
      <c r="J833" s="6">
        <v>0</v>
      </c>
      <c r="K833" s="6">
        <v>0</v>
      </c>
      <c r="L833" s="6">
        <v>1864.232</v>
      </c>
      <c r="M833" s="6">
        <v>1864.232</v>
      </c>
      <c r="N833" s="6">
        <v>1864.232</v>
      </c>
      <c r="O833" s="6">
        <v>1864.232</v>
      </c>
      <c r="P833" s="6">
        <v>3405</v>
      </c>
      <c r="Q833" s="4" t="s">
        <v>26</v>
      </c>
      <c r="R833" s="4">
        <v>0</v>
      </c>
      <c r="S833" s="6">
        <v>0</v>
      </c>
      <c r="T833" s="6">
        <v>34</v>
      </c>
      <c r="U833" s="6">
        <v>80</v>
      </c>
      <c r="V833" s="6">
        <f>IF(ISERROR(VLOOKUP($S$833,'TAR FIN'!$A$1:$O$86,15,0)),0,VLOOKUP($S$833,'TAR FIN'!$A$1:$O$86,15,0))</f>
        <v>0</v>
      </c>
      <c r="W833" s="6">
        <f>IF(ISERROR(VLOOKUP($T$833,'TAR FIN'!$A$1:$O$86,15,0)),0,VLOOKUP($T$833,'TAR FIN'!$A$1:$O$86,15,0))</f>
        <v>324.5</v>
      </c>
      <c r="X833" s="6">
        <f>IF(ISERROR(VLOOKUP($U$833,'TAR FIN'!$A$1:$O$86,15,0)),0,VLOOKUP($U$833,'TAR FIN'!$A$1:$O$86,15,0))</f>
        <v>258.20999999999998</v>
      </c>
      <c r="Y833" s="6"/>
      <c r="Z833" s="6">
        <f ca="1">('TUSD BE'!$AM$49+'TUSD BF_350'!$AM$49+'TUSD CVA'!$AM$49)*1</f>
        <v>330.1561966420345</v>
      </c>
      <c r="AA833" s="6">
        <f ca="1">('TE BE'!$AB$39+'TE BF_350'!$AB$39+'TE CVA'!$AB$39)*1</f>
        <v>230.58259134858577</v>
      </c>
      <c r="AB833" s="6">
        <f>$K$833*$V$833</f>
        <v>0</v>
      </c>
      <c r="AC833" s="6">
        <f>$M$833*$W$833</f>
        <v>604943.28399999999</v>
      </c>
      <c r="AD833" s="6">
        <f>$O$833*$X$833</f>
        <v>481363.34471999994</v>
      </c>
      <c r="AE833" s="6">
        <f>$K$833*$Y$833</f>
        <v>0</v>
      </c>
      <c r="AF833" s="6">
        <f ca="1">$M$833*$Z$833</f>
        <v>615487.74677837326</v>
      </c>
      <c r="AG833" s="6">
        <f ca="1">$O$833*$AA$833</f>
        <v>429859.44543495675</v>
      </c>
    </row>
    <row r="834" spans="1:33" ht="11.25" customHeight="1" x14ac:dyDescent="0.25">
      <c r="A834" s="4" t="s">
        <v>27</v>
      </c>
      <c r="B834" s="4" t="s">
        <v>36</v>
      </c>
      <c r="C834" s="4" t="s">
        <v>23</v>
      </c>
      <c r="D834" s="4" t="s">
        <v>41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44621</v>
      </c>
      <c r="J834" s="6">
        <v>0</v>
      </c>
      <c r="K834" s="6">
        <v>0</v>
      </c>
      <c r="L834" s="6">
        <v>-0.33700000000000002</v>
      </c>
      <c r="M834" s="6">
        <v>-0.33700000000000002</v>
      </c>
      <c r="N834" s="6">
        <v>-0.33700000000000002</v>
      </c>
      <c r="O834" s="6">
        <v>-0.33700000000000002</v>
      </c>
      <c r="P834" s="6">
        <v>0</v>
      </c>
      <c r="Q834" s="4" t="s">
        <v>26</v>
      </c>
      <c r="R834" s="4">
        <v>0</v>
      </c>
      <c r="S834" s="6">
        <v>0</v>
      </c>
      <c r="T834" s="6">
        <v>34</v>
      </c>
      <c r="U834" s="6">
        <v>80</v>
      </c>
      <c r="V834" s="6">
        <f>IF(ISERROR(VLOOKUP($S$834,'TAR FIN'!$A$1:$O$86,15,0)),0,VLOOKUP($S$834,'TAR FIN'!$A$1:$O$86,15,0))</f>
        <v>0</v>
      </c>
      <c r="W834" s="6">
        <f>IF(ISERROR(VLOOKUP($T$834,'TAR FIN'!$A$1:$O$86,15,0)),0,VLOOKUP($T$834,'TAR FIN'!$A$1:$O$86,15,0))</f>
        <v>324.5</v>
      </c>
      <c r="X834" s="6">
        <f>IF(ISERROR(VLOOKUP($U$834,'TAR FIN'!$A$1:$O$86,15,0)),0,VLOOKUP($U$834,'TAR FIN'!$A$1:$O$86,15,0))</f>
        <v>258.20999999999998</v>
      </c>
      <c r="Y834" s="6"/>
      <c r="Z834" s="6">
        <f ca="1">('TUSD BE'!$AM$49+'TUSD BF_350'!$AM$49+'TUSD CVA'!$AM$49)*1</f>
        <v>330.1561966420345</v>
      </c>
      <c r="AA834" s="6">
        <f ca="1">('TE BE'!$AB$39+'TE BF_350'!$AB$39+'TE CVA'!$AB$39)*1</f>
        <v>230.58259134858577</v>
      </c>
      <c r="AB834" s="6">
        <f>$K$834*$V$834</f>
        <v>0</v>
      </c>
      <c r="AC834" s="6">
        <f>$M$834*$W$834</f>
        <v>-109.35650000000001</v>
      </c>
      <c r="AD834" s="6">
        <f>$O$834*$X$834</f>
        <v>-87.016769999999994</v>
      </c>
      <c r="AE834" s="6">
        <f>$K$834*$Y$834</f>
        <v>0</v>
      </c>
      <c r="AF834" s="6">
        <f ca="1">$M$834*$Z$834</f>
        <v>-111.26263826836563</v>
      </c>
      <c r="AG834" s="6">
        <f ca="1">$O$834*$AA$834</f>
        <v>-77.706333284473402</v>
      </c>
    </row>
    <row r="835" spans="1:33" ht="11.25" customHeight="1" x14ac:dyDescent="0.25">
      <c r="A835" s="4" t="s">
        <v>55</v>
      </c>
      <c r="B835" s="4" t="s">
        <v>36</v>
      </c>
      <c r="C835" s="4" t="s">
        <v>23</v>
      </c>
      <c r="D835" s="4" t="s">
        <v>41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44621</v>
      </c>
      <c r="J835" s="6">
        <v>0</v>
      </c>
      <c r="K835" s="6">
        <v>0</v>
      </c>
      <c r="L835" s="6">
        <v>162.666</v>
      </c>
      <c r="M835" s="6">
        <v>162.666</v>
      </c>
      <c r="N835" s="6">
        <v>162.666</v>
      </c>
      <c r="O835" s="6">
        <v>162.666</v>
      </c>
      <c r="P835" s="6">
        <v>373</v>
      </c>
      <c r="Q835" s="4" t="s">
        <v>26</v>
      </c>
      <c r="R835" s="4">
        <v>0</v>
      </c>
      <c r="S835" s="6">
        <v>0</v>
      </c>
      <c r="T835" s="6">
        <v>34</v>
      </c>
      <c r="U835" s="6">
        <v>80</v>
      </c>
      <c r="V835" s="6">
        <f>IF(ISERROR(VLOOKUP($S$835,'TAR FIN'!$A$1:$O$86,15,0)),0,VLOOKUP($S$835,'TAR FIN'!$A$1:$O$86,15,0))</f>
        <v>0</v>
      </c>
      <c r="W835" s="6">
        <f>IF(ISERROR(VLOOKUP($T$835,'TAR FIN'!$A$1:$O$86,15,0)),0,VLOOKUP($T$835,'TAR FIN'!$A$1:$O$86,15,0))</f>
        <v>324.5</v>
      </c>
      <c r="X835" s="6">
        <f>IF(ISERROR(VLOOKUP($U$835,'TAR FIN'!$A$1:$O$86,15,0)),0,VLOOKUP($U$835,'TAR FIN'!$A$1:$O$86,15,0))</f>
        <v>258.20999999999998</v>
      </c>
      <c r="Y835" s="6"/>
      <c r="Z835" s="6">
        <f ca="1">('TUSD BE'!$AM$49+'TUSD BF_350'!$AM$49+'TUSD CVA'!$AM$49)*1</f>
        <v>330.1561966420345</v>
      </c>
      <c r="AA835" s="6">
        <f ca="1">('TE BE'!$AB$39+'TE BF_350'!$AB$39+'TE CVA'!$AB$39)*1</f>
        <v>230.58259134858577</v>
      </c>
      <c r="AB835" s="6">
        <f>$K$835*$V$835</f>
        <v>0</v>
      </c>
      <c r="AC835" s="6">
        <f>$M$835*$W$835</f>
        <v>52785.116999999998</v>
      </c>
      <c r="AD835" s="6">
        <f>$O$835*$X$835</f>
        <v>42001.987859999994</v>
      </c>
      <c r="AE835" s="6">
        <f>$K$835*$Y$835</f>
        <v>0</v>
      </c>
      <c r="AF835" s="6">
        <f ca="1">$M$835*$Z$835</f>
        <v>53705.187882973187</v>
      </c>
      <c r="AG835" s="6">
        <f ca="1">$O$835*$AA$835</f>
        <v>37507.947804309049</v>
      </c>
    </row>
    <row r="836" spans="1:33" ht="11.25" customHeight="1" x14ac:dyDescent="0.25">
      <c r="A836" s="4" t="s">
        <v>55</v>
      </c>
      <c r="B836" s="4" t="s">
        <v>36</v>
      </c>
      <c r="C836" s="4" t="s">
        <v>23</v>
      </c>
      <c r="D836" s="4" t="s">
        <v>41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44621</v>
      </c>
      <c r="J836" s="6">
        <v>0</v>
      </c>
      <c r="K836" s="6">
        <v>0</v>
      </c>
      <c r="L836" s="6">
        <v>-1.3220000000000001</v>
      </c>
      <c r="M836" s="6">
        <v>-1.3220000000000001</v>
      </c>
      <c r="N836" s="6">
        <v>-1.3220000000000001</v>
      </c>
      <c r="O836" s="6">
        <v>-1.3220000000000001</v>
      </c>
      <c r="P836" s="6">
        <v>8</v>
      </c>
      <c r="Q836" s="4" t="s">
        <v>26</v>
      </c>
      <c r="R836" s="4">
        <v>0</v>
      </c>
      <c r="S836" s="6">
        <v>0</v>
      </c>
      <c r="T836" s="6">
        <v>34</v>
      </c>
      <c r="U836" s="6">
        <v>80</v>
      </c>
      <c r="V836" s="6">
        <f>IF(ISERROR(VLOOKUP($S$836,'TAR FIN'!$A$1:$O$86,15,0)),0,VLOOKUP($S$836,'TAR FIN'!$A$1:$O$86,15,0))</f>
        <v>0</v>
      </c>
      <c r="W836" s="6">
        <f>IF(ISERROR(VLOOKUP($T$836,'TAR FIN'!$A$1:$O$86,15,0)),0,VLOOKUP($T$836,'TAR FIN'!$A$1:$O$86,15,0))</f>
        <v>324.5</v>
      </c>
      <c r="X836" s="6">
        <f>IF(ISERROR(VLOOKUP($U$836,'TAR FIN'!$A$1:$O$86,15,0)),0,VLOOKUP($U$836,'TAR FIN'!$A$1:$O$86,15,0))</f>
        <v>258.20999999999998</v>
      </c>
      <c r="Y836" s="6"/>
      <c r="Z836" s="6">
        <f ca="1">('TUSD BE'!$AM$49+'TUSD BF_350'!$AM$49+'TUSD CVA'!$AM$49)*1</f>
        <v>330.1561966420345</v>
      </c>
      <c r="AA836" s="6">
        <f ca="1">('TE BE'!$AB$39+'TE BF_350'!$AB$39+'TE CVA'!$AB$39)*1</f>
        <v>230.58259134858577</v>
      </c>
      <c r="AB836" s="6">
        <f>$K$836*$V$836</f>
        <v>0</v>
      </c>
      <c r="AC836" s="6">
        <f>$M$836*$W$836</f>
        <v>-428.98900000000003</v>
      </c>
      <c r="AD836" s="6">
        <f>$O$836*$X$836</f>
        <v>-341.35361999999998</v>
      </c>
      <c r="AE836" s="6">
        <f>$K$836*$Y$836</f>
        <v>0</v>
      </c>
      <c r="AF836" s="6">
        <f ca="1">$M$836*$Z$836</f>
        <v>-436.46649196076964</v>
      </c>
      <c r="AG836" s="6">
        <f ca="1">$O$836*$AA$836</f>
        <v>-304.83018576283041</v>
      </c>
    </row>
    <row r="837" spans="1:33" ht="11.25" customHeight="1" x14ac:dyDescent="0.25">
      <c r="A837" s="4" t="s">
        <v>21</v>
      </c>
      <c r="B837" s="4" t="s">
        <v>36</v>
      </c>
      <c r="C837" s="4" t="s">
        <v>23</v>
      </c>
      <c r="D837" s="4" t="s">
        <v>41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44652</v>
      </c>
      <c r="J837" s="6">
        <v>0</v>
      </c>
      <c r="K837" s="6">
        <v>0</v>
      </c>
      <c r="L837" s="6">
        <v>1404.752</v>
      </c>
      <c r="M837" s="6">
        <v>1404.752</v>
      </c>
      <c r="N837" s="6">
        <v>1404.752</v>
      </c>
      <c r="O837" s="6">
        <v>1404.752</v>
      </c>
      <c r="P837" s="6">
        <v>3393</v>
      </c>
      <c r="Q837" s="4" t="s">
        <v>26</v>
      </c>
      <c r="R837" s="4">
        <v>0</v>
      </c>
      <c r="S837" s="6">
        <v>0</v>
      </c>
      <c r="T837" s="6">
        <v>34</v>
      </c>
      <c r="U837" s="6">
        <v>80</v>
      </c>
      <c r="V837" s="6">
        <f>IF(ISERROR(VLOOKUP($S$837,'TAR FIN'!$A$1:$O$86,15,0)),0,VLOOKUP($S$837,'TAR FIN'!$A$1:$O$86,15,0))</f>
        <v>0</v>
      </c>
      <c r="W837" s="6">
        <f>IF(ISERROR(VLOOKUP($T$837,'TAR FIN'!$A$1:$O$86,15,0)),0,VLOOKUP($T$837,'TAR FIN'!$A$1:$O$86,15,0))</f>
        <v>324.5</v>
      </c>
      <c r="X837" s="6">
        <f>IF(ISERROR(VLOOKUP($U$837,'TAR FIN'!$A$1:$O$86,15,0)),0,VLOOKUP($U$837,'TAR FIN'!$A$1:$O$86,15,0))</f>
        <v>258.20999999999998</v>
      </c>
      <c r="Y837" s="6"/>
      <c r="Z837" s="6">
        <f ca="1">('TUSD BE'!$AM$49+'TUSD BF_350'!$AM$49+'TUSD CVA'!$AM$49)*1</f>
        <v>330.1561966420345</v>
      </c>
      <c r="AA837" s="6">
        <f ca="1">('TE BE'!$AB$39+'TE BF_350'!$AB$39+'TE CVA'!$AB$39)*1</f>
        <v>230.58259134858577</v>
      </c>
      <c r="AB837" s="6">
        <f>$K$837*$V$837</f>
        <v>0</v>
      </c>
      <c r="AC837" s="6">
        <f>$M$837*$W$837</f>
        <v>455842.02399999998</v>
      </c>
      <c r="AD837" s="6">
        <f>$O$837*$X$837</f>
        <v>362721.01391999994</v>
      </c>
      <c r="AE837" s="6">
        <f>$K$837*$Y$837</f>
        <v>0</v>
      </c>
      <c r="AF837" s="6">
        <f ca="1">$M$837*$Z$837</f>
        <v>463787.57754529122</v>
      </c>
      <c r="AG837" s="6">
        <f ca="1">$O$837*$AA$837</f>
        <v>323911.35636210855</v>
      </c>
    </row>
    <row r="838" spans="1:33" ht="11.25" customHeight="1" x14ac:dyDescent="0.25">
      <c r="A838" s="4" t="s">
        <v>27</v>
      </c>
      <c r="B838" s="4" t="s">
        <v>36</v>
      </c>
      <c r="C838" s="4" t="s">
        <v>23</v>
      </c>
      <c r="D838" s="4" t="s">
        <v>41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44652</v>
      </c>
      <c r="J838" s="6">
        <v>0</v>
      </c>
      <c r="K838" s="6">
        <v>0</v>
      </c>
      <c r="L838" s="6">
        <v>-2.246</v>
      </c>
      <c r="M838" s="6">
        <v>-2.246</v>
      </c>
      <c r="N838" s="6">
        <v>-2.246</v>
      </c>
      <c r="O838" s="6">
        <v>-2.246</v>
      </c>
      <c r="P838" s="6">
        <v>0</v>
      </c>
      <c r="Q838" s="4" t="s">
        <v>26</v>
      </c>
      <c r="R838" s="4">
        <v>0</v>
      </c>
      <c r="S838" s="6">
        <v>0</v>
      </c>
      <c r="T838" s="6">
        <v>34</v>
      </c>
      <c r="U838" s="6">
        <v>80</v>
      </c>
      <c r="V838" s="6">
        <f>IF(ISERROR(VLOOKUP($S$838,'TAR FIN'!$A$1:$O$86,15,0)),0,VLOOKUP($S$838,'TAR FIN'!$A$1:$O$86,15,0))</f>
        <v>0</v>
      </c>
      <c r="W838" s="6">
        <f>IF(ISERROR(VLOOKUP($T$838,'TAR FIN'!$A$1:$O$86,15,0)),0,VLOOKUP($T$838,'TAR FIN'!$A$1:$O$86,15,0))</f>
        <v>324.5</v>
      </c>
      <c r="X838" s="6">
        <f>IF(ISERROR(VLOOKUP($U$838,'TAR FIN'!$A$1:$O$86,15,0)),0,VLOOKUP($U$838,'TAR FIN'!$A$1:$O$86,15,0))</f>
        <v>258.20999999999998</v>
      </c>
      <c r="Y838" s="6"/>
      <c r="Z838" s="6">
        <f ca="1">('TUSD BE'!$AM$49+'TUSD BF_350'!$AM$49+'TUSD CVA'!$AM$49)*1</f>
        <v>330.1561966420345</v>
      </c>
      <c r="AA838" s="6">
        <f ca="1">('TE BE'!$AB$39+'TE BF_350'!$AB$39+'TE CVA'!$AB$39)*1</f>
        <v>230.58259134858577</v>
      </c>
      <c r="AB838" s="6">
        <f>$K$838*$V$838</f>
        <v>0</v>
      </c>
      <c r="AC838" s="6">
        <f>$M$838*$W$838</f>
        <v>-728.827</v>
      </c>
      <c r="AD838" s="6">
        <f>$O$838*$X$838</f>
        <v>-579.93966</v>
      </c>
      <c r="AE838" s="6">
        <f>$K$838*$Y$838</f>
        <v>0</v>
      </c>
      <c r="AF838" s="6">
        <f ca="1">$M$838*$Z$838</f>
        <v>-741.53081765800948</v>
      </c>
      <c r="AG838" s="6">
        <f ca="1">$O$838*$AA$838</f>
        <v>-517.88850016892366</v>
      </c>
    </row>
    <row r="839" spans="1:33" ht="11.25" customHeight="1" x14ac:dyDescent="0.25">
      <c r="A839" s="4" t="s">
        <v>55</v>
      </c>
      <c r="B839" s="4" t="s">
        <v>36</v>
      </c>
      <c r="C839" s="4" t="s">
        <v>23</v>
      </c>
      <c r="D839" s="4" t="s">
        <v>41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44652</v>
      </c>
      <c r="J839" s="6">
        <v>0</v>
      </c>
      <c r="K839" s="6">
        <v>0</v>
      </c>
      <c r="L839" s="6">
        <v>141.43</v>
      </c>
      <c r="M839" s="6">
        <v>141.43</v>
      </c>
      <c r="N839" s="6">
        <v>141.43</v>
      </c>
      <c r="O839" s="6">
        <v>141.43</v>
      </c>
      <c r="P839" s="6">
        <v>376</v>
      </c>
      <c r="Q839" s="4" t="s">
        <v>26</v>
      </c>
      <c r="R839" s="4">
        <v>0</v>
      </c>
      <c r="S839" s="6">
        <v>0</v>
      </c>
      <c r="T839" s="6">
        <v>34</v>
      </c>
      <c r="U839" s="6">
        <v>80</v>
      </c>
      <c r="V839" s="6">
        <f>IF(ISERROR(VLOOKUP($S$839,'TAR FIN'!$A$1:$O$86,15,0)),0,VLOOKUP($S$839,'TAR FIN'!$A$1:$O$86,15,0))</f>
        <v>0</v>
      </c>
      <c r="W839" s="6">
        <f>IF(ISERROR(VLOOKUP($T$839,'TAR FIN'!$A$1:$O$86,15,0)),0,VLOOKUP($T$839,'TAR FIN'!$A$1:$O$86,15,0))</f>
        <v>324.5</v>
      </c>
      <c r="X839" s="6">
        <f>IF(ISERROR(VLOOKUP($U$839,'TAR FIN'!$A$1:$O$86,15,0)),0,VLOOKUP($U$839,'TAR FIN'!$A$1:$O$86,15,0))</f>
        <v>258.20999999999998</v>
      </c>
      <c r="Y839" s="6"/>
      <c r="Z839" s="6">
        <f ca="1">('TUSD BE'!$AM$49+'TUSD BF_350'!$AM$49+'TUSD CVA'!$AM$49)*1</f>
        <v>330.1561966420345</v>
      </c>
      <c r="AA839" s="6">
        <f ca="1">('TE BE'!$AB$39+'TE BF_350'!$AB$39+'TE CVA'!$AB$39)*1</f>
        <v>230.58259134858577</v>
      </c>
      <c r="AB839" s="6">
        <f>$K$839*$V$839</f>
        <v>0</v>
      </c>
      <c r="AC839" s="6">
        <f>$M$839*$W$839</f>
        <v>45894.035000000003</v>
      </c>
      <c r="AD839" s="6">
        <f>$O$839*$X$839</f>
        <v>36518.640299999999</v>
      </c>
      <c r="AE839" s="6">
        <f>$K$839*$Y$839</f>
        <v>0</v>
      </c>
      <c r="AF839" s="6">
        <f ca="1">$M$839*$Z$839</f>
        <v>46693.99089108294</v>
      </c>
      <c r="AG839" s="6">
        <f ca="1">$O$839*$AA$839</f>
        <v>32611.295894430485</v>
      </c>
    </row>
    <row r="840" spans="1:33" ht="11.25" customHeight="1" x14ac:dyDescent="0.25">
      <c r="A840" s="4" t="s">
        <v>55</v>
      </c>
      <c r="B840" s="4" t="s">
        <v>36</v>
      </c>
      <c r="C840" s="4" t="s">
        <v>23</v>
      </c>
      <c r="D840" s="4" t="s">
        <v>41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9.5510000000000002</v>
      </c>
      <c r="M840" s="6">
        <v>9.5510000000000002</v>
      </c>
      <c r="N840" s="6">
        <v>9.5510000000000002</v>
      </c>
      <c r="O840" s="6">
        <v>9.5510000000000002</v>
      </c>
      <c r="P840" s="6">
        <v>11</v>
      </c>
      <c r="Q840" s="4" t="s">
        <v>26</v>
      </c>
      <c r="R840" s="4">
        <v>0</v>
      </c>
      <c r="S840" s="6">
        <v>0</v>
      </c>
      <c r="T840" s="6">
        <v>34</v>
      </c>
      <c r="U840" s="6">
        <v>80</v>
      </c>
      <c r="V840" s="6">
        <f>IF(ISERROR(VLOOKUP($S$840,'TAR FIN'!$A$1:$O$86,15,0)),0,VLOOKUP($S$840,'TAR FIN'!$A$1:$O$86,15,0))</f>
        <v>0</v>
      </c>
      <c r="W840" s="6">
        <f>IF(ISERROR(VLOOKUP($T$840,'TAR FIN'!$A$1:$O$86,15,0)),0,VLOOKUP($T$840,'TAR FIN'!$A$1:$O$86,15,0))</f>
        <v>324.5</v>
      </c>
      <c r="X840" s="6">
        <f>IF(ISERROR(VLOOKUP($U$840,'TAR FIN'!$A$1:$O$86,15,0)),0,VLOOKUP($U$840,'TAR FIN'!$A$1:$O$86,15,0))</f>
        <v>258.20999999999998</v>
      </c>
      <c r="Y840" s="6"/>
      <c r="Z840" s="6">
        <f ca="1">('TUSD BE'!$AM$49+'TUSD BF_350'!$AM$49+'TUSD CVA'!$AM$49)*1</f>
        <v>330.1561966420345</v>
      </c>
      <c r="AA840" s="6">
        <f ca="1">('TE BE'!$AB$39+'TE BF_350'!$AB$39+'TE CVA'!$AB$39)*1</f>
        <v>230.58259134858577</v>
      </c>
      <c r="AB840" s="6">
        <f>$K$840*$V$840</f>
        <v>0</v>
      </c>
      <c r="AC840" s="6">
        <f>$M$840*$W$840</f>
        <v>3099.2995000000001</v>
      </c>
      <c r="AD840" s="6">
        <f>$O$840*$X$840</f>
        <v>2466.1637099999998</v>
      </c>
      <c r="AE840" s="6">
        <f>$K$840*$Y$840</f>
        <v>0</v>
      </c>
      <c r="AF840" s="6">
        <f ca="1">$M$840*$Z$840</f>
        <v>3153.3218341280717</v>
      </c>
      <c r="AG840" s="6">
        <f ca="1">$O$840*$AA$840</f>
        <v>2202.2943299703425</v>
      </c>
    </row>
    <row r="841" spans="1:33" ht="11.25" customHeight="1" x14ac:dyDescent="0.25">
      <c r="A841" s="4" t="s">
        <v>21</v>
      </c>
      <c r="B841" s="4" t="s">
        <v>36</v>
      </c>
      <c r="C841" s="4" t="s">
        <v>23</v>
      </c>
      <c r="D841" s="4" t="s">
        <v>41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44682</v>
      </c>
      <c r="J841" s="6">
        <v>0</v>
      </c>
      <c r="K841" s="6">
        <v>0</v>
      </c>
      <c r="L841" s="6">
        <v>1289.569</v>
      </c>
      <c r="M841" s="6">
        <v>1289.569</v>
      </c>
      <c r="N841" s="6">
        <v>1289.569</v>
      </c>
      <c r="O841" s="6">
        <v>1289.569</v>
      </c>
      <c r="P841" s="6">
        <v>3370</v>
      </c>
      <c r="Q841" s="4" t="s">
        <v>26</v>
      </c>
      <c r="R841" s="4">
        <v>0</v>
      </c>
      <c r="S841" s="6">
        <v>0</v>
      </c>
      <c r="T841" s="6">
        <v>34</v>
      </c>
      <c r="U841" s="6">
        <v>80</v>
      </c>
      <c r="V841" s="6">
        <f>IF(ISERROR(VLOOKUP($S$841,'TAR FIN'!$A$1:$O$86,15,0)),0,VLOOKUP($S$841,'TAR FIN'!$A$1:$O$86,15,0))</f>
        <v>0</v>
      </c>
      <c r="W841" s="6">
        <f>IF(ISERROR(VLOOKUP($T$841,'TAR FIN'!$A$1:$O$86,15,0)),0,VLOOKUP($T$841,'TAR FIN'!$A$1:$O$86,15,0))</f>
        <v>324.5</v>
      </c>
      <c r="X841" s="6">
        <f>IF(ISERROR(VLOOKUP($U$841,'TAR FIN'!$A$1:$O$86,15,0)),0,VLOOKUP($U$841,'TAR FIN'!$A$1:$O$86,15,0))</f>
        <v>258.20999999999998</v>
      </c>
      <c r="Y841" s="6"/>
      <c r="Z841" s="6">
        <f ca="1">('TUSD BE'!$AM$49+'TUSD BF_350'!$AM$49+'TUSD CVA'!$AM$49)*1</f>
        <v>330.1561966420345</v>
      </c>
      <c r="AA841" s="6">
        <f ca="1">('TE BE'!$AB$39+'TE BF_350'!$AB$39+'TE CVA'!$AB$39)*1</f>
        <v>230.58259134858577</v>
      </c>
      <c r="AB841" s="6">
        <f>$K$841*$V$841</f>
        <v>0</v>
      </c>
      <c r="AC841" s="6">
        <f>$M$841*$W$841</f>
        <v>418465.14049999998</v>
      </c>
      <c r="AD841" s="6">
        <f>$O$841*$X$841</f>
        <v>332979.61148999998</v>
      </c>
      <c r="AE841" s="6">
        <f>$K$841*$Y$841</f>
        <v>0</v>
      </c>
      <c r="AF841" s="6">
        <f ca="1">$M$841*$Z$841</f>
        <v>425759.19634747179</v>
      </c>
      <c r="AG841" s="6">
        <f ca="1">$O$841*$AA$841</f>
        <v>297352.1617428044</v>
      </c>
    </row>
    <row r="842" spans="1:33" ht="11.25" customHeight="1" x14ac:dyDescent="0.25">
      <c r="A842" s="4" t="s">
        <v>55</v>
      </c>
      <c r="B842" s="4" t="s">
        <v>36</v>
      </c>
      <c r="C842" s="4" t="s">
        <v>23</v>
      </c>
      <c r="D842" s="4" t="s">
        <v>41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44682</v>
      </c>
      <c r="J842" s="6">
        <v>0</v>
      </c>
      <c r="K842" s="6">
        <v>0</v>
      </c>
      <c r="L842" s="6">
        <v>159.91200000000001</v>
      </c>
      <c r="M842" s="6">
        <v>159.91200000000001</v>
      </c>
      <c r="N842" s="6">
        <v>159.91200000000001</v>
      </c>
      <c r="O842" s="6">
        <v>159.91200000000001</v>
      </c>
      <c r="P842" s="6">
        <v>405</v>
      </c>
      <c r="Q842" s="4" t="s">
        <v>26</v>
      </c>
      <c r="R842" s="4">
        <v>0</v>
      </c>
      <c r="S842" s="6">
        <v>0</v>
      </c>
      <c r="T842" s="6">
        <v>34</v>
      </c>
      <c r="U842" s="6">
        <v>80</v>
      </c>
      <c r="V842" s="6">
        <f>IF(ISERROR(VLOOKUP($S$842,'TAR FIN'!$A$1:$O$86,15,0)),0,VLOOKUP($S$842,'TAR FIN'!$A$1:$O$86,15,0))</f>
        <v>0</v>
      </c>
      <c r="W842" s="6">
        <f>IF(ISERROR(VLOOKUP($T$842,'TAR FIN'!$A$1:$O$86,15,0)),0,VLOOKUP($T$842,'TAR FIN'!$A$1:$O$86,15,0))</f>
        <v>324.5</v>
      </c>
      <c r="X842" s="6">
        <f>IF(ISERROR(VLOOKUP($U$842,'TAR FIN'!$A$1:$O$86,15,0)),0,VLOOKUP($U$842,'TAR FIN'!$A$1:$O$86,15,0))</f>
        <v>258.20999999999998</v>
      </c>
      <c r="Y842" s="6"/>
      <c r="Z842" s="6">
        <f ca="1">('TUSD BE'!$AM$49+'TUSD BF_350'!$AM$49+'TUSD CVA'!$AM$49)*1</f>
        <v>330.1561966420345</v>
      </c>
      <c r="AA842" s="6">
        <f ca="1">('TE BE'!$AB$39+'TE BF_350'!$AB$39+'TE CVA'!$AB$39)*1</f>
        <v>230.58259134858577</v>
      </c>
      <c r="AB842" s="6">
        <f>$K$842*$V$842</f>
        <v>0</v>
      </c>
      <c r="AC842" s="6">
        <f>$M$842*$W$842</f>
        <v>51891.444000000003</v>
      </c>
      <c r="AD842" s="6">
        <f>$O$842*$X$842</f>
        <v>41290.877520000002</v>
      </c>
      <c r="AE842" s="6">
        <f>$K$842*$Y$842</f>
        <v>0</v>
      </c>
      <c r="AF842" s="6">
        <f ca="1">$M$842*$Z$842</f>
        <v>52795.937717421024</v>
      </c>
      <c r="AG842" s="6">
        <f ca="1">$O$842*$AA$842</f>
        <v>36872.92334773505</v>
      </c>
    </row>
    <row r="843" spans="1:33" ht="11.25" customHeight="1" x14ac:dyDescent="0.25">
      <c r="A843" s="4" t="s">
        <v>56</v>
      </c>
      <c r="B843" s="4" t="s">
        <v>36</v>
      </c>
      <c r="C843" s="4" t="s">
        <v>23</v>
      </c>
      <c r="D843" s="4" t="s">
        <v>41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44713</v>
      </c>
      <c r="J843" s="6">
        <v>0</v>
      </c>
      <c r="K843" s="6">
        <v>0</v>
      </c>
      <c r="L843" s="6">
        <v>1289.569</v>
      </c>
      <c r="M843" s="6">
        <v>1289.569</v>
      </c>
      <c r="N843" s="6">
        <v>1289.569</v>
      </c>
      <c r="O843" s="6">
        <v>1289.569</v>
      </c>
      <c r="P843" s="6">
        <v>3370</v>
      </c>
      <c r="Q843" s="4" t="s">
        <v>26</v>
      </c>
      <c r="R843" s="4">
        <v>0</v>
      </c>
      <c r="S843" s="6">
        <v>0</v>
      </c>
      <c r="T843" s="6">
        <v>34</v>
      </c>
      <c r="U843" s="6">
        <v>80</v>
      </c>
      <c r="V843" s="6">
        <f>IF(ISERROR(VLOOKUP($S$843,'TAR FIN'!$A$1:$O$86,15,0)),0,VLOOKUP($S$843,'TAR FIN'!$A$1:$O$86,15,0))</f>
        <v>0</v>
      </c>
      <c r="W843" s="6">
        <f>IF(ISERROR(VLOOKUP($T$843,'TAR FIN'!$A$1:$O$86,15,0)),0,VLOOKUP($T$843,'TAR FIN'!$A$1:$O$86,15,0))</f>
        <v>324.5</v>
      </c>
      <c r="X843" s="6">
        <f>IF(ISERROR(VLOOKUP($U$843,'TAR FIN'!$A$1:$O$86,15,0)),0,VLOOKUP($U$843,'TAR FIN'!$A$1:$O$86,15,0))</f>
        <v>258.20999999999998</v>
      </c>
      <c r="Y843" s="6"/>
      <c r="Z843" s="6">
        <f ca="1">('TUSD BE'!$AM$49+'TUSD BF_350'!$AM$49+'TUSD CVA'!$AM$49)*1</f>
        <v>330.1561966420345</v>
      </c>
      <c r="AA843" s="6">
        <f ca="1">('TE BE'!$AB$39+'TE BF_350'!$AB$39+'TE CVA'!$AB$39)*1</f>
        <v>230.58259134858577</v>
      </c>
      <c r="AB843" s="6">
        <f>$K$843*$V$843</f>
        <v>0</v>
      </c>
      <c r="AC843" s="6">
        <f>$M$843*$W$843</f>
        <v>418465.14049999998</v>
      </c>
      <c r="AD843" s="6">
        <f>$O$843*$X$843</f>
        <v>332979.61148999998</v>
      </c>
      <c r="AE843" s="6">
        <f>$K$843*$Y$843</f>
        <v>0</v>
      </c>
      <c r="AF843" s="6">
        <f ca="1">$M$843*$Z$843</f>
        <v>425759.19634747179</v>
      </c>
      <c r="AG843" s="6">
        <f ca="1">$O$843*$AA$843</f>
        <v>297352.1617428044</v>
      </c>
    </row>
    <row r="844" spans="1:33" ht="11.25" customHeight="1" x14ac:dyDescent="0.25">
      <c r="A844" s="4" t="s">
        <v>56</v>
      </c>
      <c r="B844" s="4" t="s">
        <v>36</v>
      </c>
      <c r="C844" s="4" t="s">
        <v>23</v>
      </c>
      <c r="D844" s="4" t="s">
        <v>41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44713</v>
      </c>
      <c r="J844" s="6">
        <v>0</v>
      </c>
      <c r="K844" s="6">
        <v>0</v>
      </c>
      <c r="L844" s="6">
        <v>159.91200000000001</v>
      </c>
      <c r="M844" s="6">
        <v>159.91200000000001</v>
      </c>
      <c r="N844" s="6">
        <v>159.91200000000001</v>
      </c>
      <c r="O844" s="6">
        <v>159.91200000000001</v>
      </c>
      <c r="P844" s="6">
        <v>405</v>
      </c>
      <c r="Q844" s="4" t="s">
        <v>26</v>
      </c>
      <c r="R844" s="4">
        <v>0</v>
      </c>
      <c r="S844" s="6">
        <v>0</v>
      </c>
      <c r="T844" s="6">
        <v>34</v>
      </c>
      <c r="U844" s="6">
        <v>80</v>
      </c>
      <c r="V844" s="6">
        <f>IF(ISERROR(VLOOKUP($S$844,'TAR FIN'!$A$1:$O$86,15,0)),0,VLOOKUP($S$844,'TAR FIN'!$A$1:$O$86,15,0))</f>
        <v>0</v>
      </c>
      <c r="W844" s="6">
        <f>IF(ISERROR(VLOOKUP($T$844,'TAR FIN'!$A$1:$O$86,15,0)),0,VLOOKUP($T$844,'TAR FIN'!$A$1:$O$86,15,0))</f>
        <v>324.5</v>
      </c>
      <c r="X844" s="6">
        <f>IF(ISERROR(VLOOKUP($U$844,'TAR FIN'!$A$1:$O$86,15,0)),0,VLOOKUP($U$844,'TAR FIN'!$A$1:$O$86,15,0))</f>
        <v>258.20999999999998</v>
      </c>
      <c r="Y844" s="6"/>
      <c r="Z844" s="6">
        <f ca="1">('TUSD BE'!$AM$49+'TUSD BF_350'!$AM$49+'TUSD CVA'!$AM$49)*1</f>
        <v>330.1561966420345</v>
      </c>
      <c r="AA844" s="6">
        <f ca="1">('TE BE'!$AB$39+'TE BF_350'!$AB$39+'TE CVA'!$AB$39)*1</f>
        <v>230.58259134858577</v>
      </c>
      <c r="AB844" s="6">
        <f>$K$844*$V$844</f>
        <v>0</v>
      </c>
      <c r="AC844" s="6">
        <f>$M$844*$W$844</f>
        <v>51891.444000000003</v>
      </c>
      <c r="AD844" s="6">
        <f>$O$844*$X$844</f>
        <v>41290.877520000002</v>
      </c>
      <c r="AE844" s="6">
        <f>$K$844*$Y$844</f>
        <v>0</v>
      </c>
      <c r="AF844" s="6">
        <f ca="1">$M$844*$Z$844</f>
        <v>52795.937717421024</v>
      </c>
      <c r="AG844" s="6">
        <f ca="1">$O$844*$AA$844</f>
        <v>36872.92334773505</v>
      </c>
    </row>
    <row r="845" spans="1:33" ht="11.25" customHeight="1" x14ac:dyDescent="0.25">
      <c r="A845" s="4" t="s">
        <v>21</v>
      </c>
      <c r="B845" s="4" t="s">
        <v>36</v>
      </c>
      <c r="C845" s="4" t="s">
        <v>23</v>
      </c>
      <c r="D845" s="4" t="s">
        <v>50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44378</v>
      </c>
      <c r="J845" s="6">
        <v>0</v>
      </c>
      <c r="K845" s="6">
        <v>0</v>
      </c>
      <c r="L845" s="6">
        <v>6.26</v>
      </c>
      <c r="M845" s="6">
        <v>6.26</v>
      </c>
      <c r="N845" s="6">
        <v>6.26</v>
      </c>
      <c r="O845" s="6">
        <v>6.26</v>
      </c>
      <c r="P845" s="6">
        <v>4</v>
      </c>
      <c r="Q845" s="4" t="s">
        <v>26</v>
      </c>
      <c r="R845" s="4">
        <v>0</v>
      </c>
      <c r="S845" s="6">
        <v>0</v>
      </c>
      <c r="T845" s="6">
        <v>34</v>
      </c>
      <c r="U845" s="6">
        <v>80</v>
      </c>
      <c r="V845" s="6">
        <f>IF(ISERROR(VLOOKUP($S$845,'TAR FIN'!$A$1:$O$86,15,0)),0,VLOOKUP($S$845,'TAR FIN'!$A$1:$O$86,15,0))</f>
        <v>0</v>
      </c>
      <c r="W845" s="6">
        <f>IF(ISERROR(VLOOKUP($T$845,'TAR FIN'!$A$1:$O$86,15,0)),0,VLOOKUP($T$845,'TAR FIN'!$A$1:$O$86,15,0))</f>
        <v>324.5</v>
      </c>
      <c r="X845" s="6">
        <f>IF(ISERROR(VLOOKUP($U$845,'TAR FIN'!$A$1:$O$86,15,0)),0,VLOOKUP($U$845,'TAR FIN'!$A$1:$O$86,15,0))</f>
        <v>258.20999999999998</v>
      </c>
      <c r="Y845" s="6"/>
      <c r="Z845" s="6">
        <f ca="1">('TUSD BE'!$AM$49+'TUSD BF_350'!$AM$49+'TUSD CVA'!$AM$49)*1</f>
        <v>330.1561966420345</v>
      </c>
      <c r="AA845" s="6">
        <f ca="1">('TE BE'!$AB$39+'TE BF_350'!$AB$39+'TE CVA'!$AB$39)*1</f>
        <v>230.58259134858577</v>
      </c>
      <c r="AB845" s="6">
        <f>$K$845*$V$845</f>
        <v>0</v>
      </c>
      <c r="AC845" s="6">
        <f>$M$845*$W$845</f>
        <v>2031.37</v>
      </c>
      <c r="AD845" s="6">
        <f>$O$845*$X$845</f>
        <v>1616.3945999999999</v>
      </c>
      <c r="AE845" s="6">
        <f>$K$845*$Y$845</f>
        <v>0</v>
      </c>
      <c r="AF845" s="6">
        <f ca="1">$M$845*$Z$845</f>
        <v>2066.7777909791357</v>
      </c>
      <c r="AG845" s="6">
        <f ca="1">$O$845*$AA$845</f>
        <v>1443.4470218421468</v>
      </c>
    </row>
    <row r="846" spans="1:33" ht="11.25" customHeight="1" x14ac:dyDescent="0.25">
      <c r="A846" s="4" t="s">
        <v>21</v>
      </c>
      <c r="B846" s="4" t="s">
        <v>36</v>
      </c>
      <c r="C846" s="4" t="s">
        <v>23</v>
      </c>
      <c r="D846" s="4" t="s">
        <v>50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44409</v>
      </c>
      <c r="J846" s="6">
        <v>0</v>
      </c>
      <c r="K846" s="6">
        <v>0</v>
      </c>
      <c r="L846" s="6">
        <v>6.88</v>
      </c>
      <c r="M846" s="6">
        <v>6.88</v>
      </c>
      <c r="N846" s="6">
        <v>6.88</v>
      </c>
      <c r="O846" s="6">
        <v>6.88</v>
      </c>
      <c r="P846" s="6">
        <v>4</v>
      </c>
      <c r="Q846" s="4" t="s">
        <v>26</v>
      </c>
      <c r="R846" s="4">
        <v>0</v>
      </c>
      <c r="S846" s="6">
        <v>0</v>
      </c>
      <c r="T846" s="6">
        <v>34</v>
      </c>
      <c r="U846" s="6">
        <v>80</v>
      </c>
      <c r="V846" s="6">
        <f>IF(ISERROR(VLOOKUP($S$846,'TAR FIN'!$A$1:$O$86,15,0)),0,VLOOKUP($S$846,'TAR FIN'!$A$1:$O$86,15,0))</f>
        <v>0</v>
      </c>
      <c r="W846" s="6">
        <f>IF(ISERROR(VLOOKUP($T$846,'TAR FIN'!$A$1:$O$86,15,0)),0,VLOOKUP($T$846,'TAR FIN'!$A$1:$O$86,15,0))</f>
        <v>324.5</v>
      </c>
      <c r="X846" s="6">
        <f>IF(ISERROR(VLOOKUP($U$846,'TAR FIN'!$A$1:$O$86,15,0)),0,VLOOKUP($U$846,'TAR FIN'!$A$1:$O$86,15,0))</f>
        <v>258.20999999999998</v>
      </c>
      <c r="Y846" s="6"/>
      <c r="Z846" s="6">
        <f ca="1">('TUSD BE'!$AM$49+'TUSD BF_350'!$AM$49+'TUSD CVA'!$AM$49)*1</f>
        <v>330.1561966420345</v>
      </c>
      <c r="AA846" s="6">
        <f ca="1">('TE BE'!$AB$39+'TE BF_350'!$AB$39+'TE CVA'!$AB$39)*1</f>
        <v>230.58259134858577</v>
      </c>
      <c r="AB846" s="6">
        <f>$K$846*$V$846</f>
        <v>0</v>
      </c>
      <c r="AC846" s="6">
        <f>$M$846*$W$846</f>
        <v>2232.56</v>
      </c>
      <c r="AD846" s="6">
        <f>$O$846*$X$846</f>
        <v>1776.4847999999997</v>
      </c>
      <c r="AE846" s="6">
        <f>$K$846*$Y$846</f>
        <v>0</v>
      </c>
      <c r="AF846" s="6">
        <f ca="1">$M$846*$Z$846</f>
        <v>2271.4746328971974</v>
      </c>
      <c r="AG846" s="6">
        <f ca="1">$O$846*$AA$846</f>
        <v>1586.4082284782701</v>
      </c>
    </row>
    <row r="847" spans="1:33" ht="11.25" customHeight="1" x14ac:dyDescent="0.25">
      <c r="A847" s="4" t="s">
        <v>21</v>
      </c>
      <c r="B847" s="4" t="s">
        <v>36</v>
      </c>
      <c r="C847" s="4" t="s">
        <v>23</v>
      </c>
      <c r="D847" s="4" t="s">
        <v>50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44440</v>
      </c>
      <c r="J847" s="6">
        <v>0</v>
      </c>
      <c r="K847" s="6">
        <v>0</v>
      </c>
      <c r="L847" s="6">
        <v>6.58</v>
      </c>
      <c r="M847" s="6">
        <v>6.58</v>
      </c>
      <c r="N847" s="6">
        <v>6.58</v>
      </c>
      <c r="O847" s="6">
        <v>6.58</v>
      </c>
      <c r="P847" s="6">
        <v>4</v>
      </c>
      <c r="Q847" s="4" t="s">
        <v>26</v>
      </c>
      <c r="R847" s="4">
        <v>0</v>
      </c>
      <c r="S847" s="6">
        <v>0</v>
      </c>
      <c r="T847" s="6">
        <v>34</v>
      </c>
      <c r="U847" s="6">
        <v>80</v>
      </c>
      <c r="V847" s="6">
        <f>IF(ISERROR(VLOOKUP($S$847,'TAR FIN'!$A$1:$O$86,15,0)),0,VLOOKUP($S$847,'TAR FIN'!$A$1:$O$86,15,0))</f>
        <v>0</v>
      </c>
      <c r="W847" s="6">
        <f>IF(ISERROR(VLOOKUP($T$847,'TAR FIN'!$A$1:$O$86,15,0)),0,VLOOKUP($T$847,'TAR FIN'!$A$1:$O$86,15,0))</f>
        <v>324.5</v>
      </c>
      <c r="X847" s="6">
        <f>IF(ISERROR(VLOOKUP($U$847,'TAR FIN'!$A$1:$O$86,15,0)),0,VLOOKUP($U$847,'TAR FIN'!$A$1:$O$86,15,0))</f>
        <v>258.20999999999998</v>
      </c>
      <c r="Y847" s="6"/>
      <c r="Z847" s="6">
        <f ca="1">('TUSD BE'!$AM$49+'TUSD BF_350'!$AM$49+'TUSD CVA'!$AM$49)*1</f>
        <v>330.1561966420345</v>
      </c>
      <c r="AA847" s="6">
        <f ca="1">('TE BE'!$AB$39+'TE BF_350'!$AB$39+'TE CVA'!$AB$39)*1</f>
        <v>230.58259134858577</v>
      </c>
      <c r="AB847" s="6">
        <f>$K$847*$V$847</f>
        <v>0</v>
      </c>
      <c r="AC847" s="6">
        <f>$M$847*$W$847</f>
        <v>2135.21</v>
      </c>
      <c r="AD847" s="6">
        <f>$O$847*$X$847</f>
        <v>1699.0218</v>
      </c>
      <c r="AE847" s="6">
        <f>$K$847*$Y$847</f>
        <v>0</v>
      </c>
      <c r="AF847" s="6">
        <f ca="1">$M$847*$Z$847</f>
        <v>2172.427773904587</v>
      </c>
      <c r="AG847" s="6">
        <f ca="1">$O$847*$AA$847</f>
        <v>1517.2334510736944</v>
      </c>
    </row>
    <row r="848" spans="1:33" ht="11.25" customHeight="1" x14ac:dyDescent="0.25">
      <c r="A848" s="4" t="s">
        <v>21</v>
      </c>
      <c r="B848" s="4" t="s">
        <v>36</v>
      </c>
      <c r="C848" s="4" t="s">
        <v>23</v>
      </c>
      <c r="D848" s="4" t="s">
        <v>50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44470</v>
      </c>
      <c r="J848" s="6">
        <v>0</v>
      </c>
      <c r="K848" s="6">
        <v>0</v>
      </c>
      <c r="L848" s="6">
        <v>7.3239999999999998</v>
      </c>
      <c r="M848" s="6">
        <v>7.3239999999999998</v>
      </c>
      <c r="N848" s="6">
        <v>7.3239999999999998</v>
      </c>
      <c r="O848" s="6">
        <v>7.3239999999999998</v>
      </c>
      <c r="P848" s="6">
        <v>4</v>
      </c>
      <c r="Q848" s="4" t="s">
        <v>26</v>
      </c>
      <c r="R848" s="4">
        <v>0</v>
      </c>
      <c r="S848" s="6">
        <v>0</v>
      </c>
      <c r="T848" s="6">
        <v>34</v>
      </c>
      <c r="U848" s="6">
        <v>80</v>
      </c>
      <c r="V848" s="6">
        <f>IF(ISERROR(VLOOKUP($S$848,'TAR FIN'!$A$1:$O$86,15,0)),0,VLOOKUP($S$848,'TAR FIN'!$A$1:$O$86,15,0))</f>
        <v>0</v>
      </c>
      <c r="W848" s="6">
        <f>IF(ISERROR(VLOOKUP($T$848,'TAR FIN'!$A$1:$O$86,15,0)),0,VLOOKUP($T$848,'TAR FIN'!$A$1:$O$86,15,0))</f>
        <v>324.5</v>
      </c>
      <c r="X848" s="6">
        <f>IF(ISERROR(VLOOKUP($U$848,'TAR FIN'!$A$1:$O$86,15,0)),0,VLOOKUP($U$848,'TAR FIN'!$A$1:$O$86,15,0))</f>
        <v>258.20999999999998</v>
      </c>
      <c r="Y848" s="6"/>
      <c r="Z848" s="6">
        <f ca="1">('TUSD BE'!$AM$49+'TUSD BF_350'!$AM$49+'TUSD CVA'!$AM$49)*1</f>
        <v>330.1561966420345</v>
      </c>
      <c r="AA848" s="6">
        <f ca="1">('TE BE'!$AB$39+'TE BF_350'!$AB$39+'TE CVA'!$AB$39)*1</f>
        <v>230.58259134858577</v>
      </c>
      <c r="AB848" s="6">
        <f>$K$848*$V$848</f>
        <v>0</v>
      </c>
      <c r="AC848" s="6">
        <f>$M$848*$W$848</f>
        <v>2376.6379999999999</v>
      </c>
      <c r="AD848" s="6">
        <f>$O$848*$X$848</f>
        <v>1891.1300399999998</v>
      </c>
      <c r="AE848" s="6">
        <f>$K$848*$Y$848</f>
        <v>0</v>
      </c>
      <c r="AF848" s="6">
        <f ca="1">$M$848*$Z$848</f>
        <v>2418.0639842062606</v>
      </c>
      <c r="AG848" s="6">
        <f ca="1">$O$848*$AA$848</f>
        <v>1688.7868990370421</v>
      </c>
    </row>
    <row r="849" spans="1:33" ht="11.25" customHeight="1" x14ac:dyDescent="0.25">
      <c r="A849" s="4" t="s">
        <v>21</v>
      </c>
      <c r="B849" s="4" t="s">
        <v>36</v>
      </c>
      <c r="C849" s="4" t="s">
        <v>23</v>
      </c>
      <c r="D849" s="4" t="s">
        <v>50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44501</v>
      </c>
      <c r="J849" s="6">
        <v>0</v>
      </c>
      <c r="K849" s="6">
        <v>0</v>
      </c>
      <c r="L849" s="6">
        <v>6.5979999999999999</v>
      </c>
      <c r="M849" s="6">
        <v>6.5979999999999999</v>
      </c>
      <c r="N849" s="6">
        <v>6.5979999999999999</v>
      </c>
      <c r="O849" s="6">
        <v>6.5979999999999999</v>
      </c>
      <c r="P849" s="6">
        <v>4</v>
      </c>
      <c r="Q849" s="4" t="s">
        <v>26</v>
      </c>
      <c r="R849" s="4">
        <v>0</v>
      </c>
      <c r="S849" s="6">
        <v>0</v>
      </c>
      <c r="T849" s="6">
        <v>34</v>
      </c>
      <c r="U849" s="6">
        <v>80</v>
      </c>
      <c r="V849" s="6">
        <f>IF(ISERROR(VLOOKUP($S$849,'TAR FIN'!$A$1:$O$86,15,0)),0,VLOOKUP($S$849,'TAR FIN'!$A$1:$O$86,15,0))</f>
        <v>0</v>
      </c>
      <c r="W849" s="6">
        <f>IF(ISERROR(VLOOKUP($T$849,'TAR FIN'!$A$1:$O$86,15,0)),0,VLOOKUP($T$849,'TAR FIN'!$A$1:$O$86,15,0))</f>
        <v>324.5</v>
      </c>
      <c r="X849" s="6">
        <f>IF(ISERROR(VLOOKUP($U$849,'TAR FIN'!$A$1:$O$86,15,0)),0,VLOOKUP($U$849,'TAR FIN'!$A$1:$O$86,15,0))</f>
        <v>258.20999999999998</v>
      </c>
      <c r="Y849" s="6"/>
      <c r="Z849" s="6">
        <f ca="1">('TUSD BE'!$AM$49+'TUSD BF_350'!$AM$49+'TUSD CVA'!$AM$49)*1</f>
        <v>330.1561966420345</v>
      </c>
      <c r="AA849" s="6">
        <f ca="1">('TE BE'!$AB$39+'TE BF_350'!$AB$39+'TE CVA'!$AB$39)*1</f>
        <v>230.58259134858577</v>
      </c>
      <c r="AB849" s="6">
        <f>$K$849*$V$849</f>
        <v>0</v>
      </c>
      <c r="AC849" s="6">
        <f>$M$849*$W$849</f>
        <v>2141.0509999999999</v>
      </c>
      <c r="AD849" s="6">
        <f>$O$849*$X$849</f>
        <v>1703.6695799999998</v>
      </c>
      <c r="AE849" s="6">
        <f>$K$849*$Y$849</f>
        <v>0</v>
      </c>
      <c r="AF849" s="6">
        <f ca="1">$M$849*$Z$849</f>
        <v>2178.3705854441437</v>
      </c>
      <c r="AG849" s="6">
        <f ca="1">$O$849*$AA$849</f>
        <v>1521.3839377179688</v>
      </c>
    </row>
    <row r="850" spans="1:33" ht="11.25" customHeight="1" x14ac:dyDescent="0.25">
      <c r="A850" s="4" t="s">
        <v>21</v>
      </c>
      <c r="B850" s="4" t="s">
        <v>36</v>
      </c>
      <c r="C850" s="4" t="s">
        <v>23</v>
      </c>
      <c r="D850" s="4" t="s">
        <v>50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44531</v>
      </c>
      <c r="J850" s="6">
        <v>0</v>
      </c>
      <c r="K850" s="6">
        <v>0</v>
      </c>
      <c r="L850" s="6">
        <v>7.2380000000000004</v>
      </c>
      <c r="M850" s="6">
        <v>7.2380000000000004</v>
      </c>
      <c r="N850" s="6">
        <v>7.2380000000000004</v>
      </c>
      <c r="O850" s="6">
        <v>7.2380000000000004</v>
      </c>
      <c r="P850" s="6">
        <v>4</v>
      </c>
      <c r="Q850" s="4" t="s">
        <v>26</v>
      </c>
      <c r="R850" s="4">
        <v>0</v>
      </c>
      <c r="S850" s="6">
        <v>0</v>
      </c>
      <c r="T850" s="6">
        <v>34</v>
      </c>
      <c r="U850" s="6">
        <v>80</v>
      </c>
      <c r="V850" s="6">
        <f>IF(ISERROR(VLOOKUP($S$850,'TAR FIN'!$A$1:$O$86,15,0)),0,VLOOKUP($S$850,'TAR FIN'!$A$1:$O$86,15,0))</f>
        <v>0</v>
      </c>
      <c r="W850" s="6">
        <f>IF(ISERROR(VLOOKUP($T$850,'TAR FIN'!$A$1:$O$86,15,0)),0,VLOOKUP($T$850,'TAR FIN'!$A$1:$O$86,15,0))</f>
        <v>324.5</v>
      </c>
      <c r="X850" s="6">
        <f>IF(ISERROR(VLOOKUP($U$850,'TAR FIN'!$A$1:$O$86,15,0)),0,VLOOKUP($U$850,'TAR FIN'!$A$1:$O$86,15,0))</f>
        <v>258.20999999999998</v>
      </c>
      <c r="Y850" s="6"/>
      <c r="Z850" s="6">
        <f ca="1">('TUSD BE'!$AM$49+'TUSD BF_350'!$AM$49+'TUSD CVA'!$AM$49)*1</f>
        <v>330.1561966420345</v>
      </c>
      <c r="AA850" s="6">
        <f ca="1">('TE BE'!$AB$39+'TE BF_350'!$AB$39+'TE CVA'!$AB$39)*1</f>
        <v>230.58259134858577</v>
      </c>
      <c r="AB850" s="6">
        <f>$K$850*$V$850</f>
        <v>0</v>
      </c>
      <c r="AC850" s="6">
        <f>$M$850*$W$850</f>
        <v>2348.7310000000002</v>
      </c>
      <c r="AD850" s="6">
        <f>$O$850*$X$850</f>
        <v>1868.92398</v>
      </c>
      <c r="AE850" s="6">
        <f>$K$850*$Y$850</f>
        <v>0</v>
      </c>
      <c r="AF850" s="6">
        <f ca="1">$M$850*$Z$850</f>
        <v>2389.6705512950457</v>
      </c>
      <c r="AG850" s="6">
        <f ca="1">$O$850*$AA$850</f>
        <v>1668.956796181064</v>
      </c>
    </row>
    <row r="851" spans="1:33" ht="11.25" customHeight="1" x14ac:dyDescent="0.25">
      <c r="A851" s="4" t="s">
        <v>21</v>
      </c>
      <c r="B851" s="4" t="s">
        <v>36</v>
      </c>
      <c r="C851" s="4" t="s">
        <v>23</v>
      </c>
      <c r="D851" s="4" t="s">
        <v>50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44562</v>
      </c>
      <c r="J851" s="6">
        <v>0</v>
      </c>
      <c r="K851" s="6">
        <v>0</v>
      </c>
      <c r="L851" s="6">
        <v>9.24</v>
      </c>
      <c r="M851" s="6">
        <v>9.24</v>
      </c>
      <c r="N851" s="6">
        <v>9.24</v>
      </c>
      <c r="O851" s="6">
        <v>9.24</v>
      </c>
      <c r="P851" s="6">
        <v>4</v>
      </c>
      <c r="Q851" s="4" t="s">
        <v>26</v>
      </c>
      <c r="R851" s="4">
        <v>0</v>
      </c>
      <c r="S851" s="6">
        <v>0</v>
      </c>
      <c r="T851" s="6">
        <v>34</v>
      </c>
      <c r="U851" s="6">
        <v>80</v>
      </c>
      <c r="V851" s="6">
        <f>IF(ISERROR(VLOOKUP($S$851,'TAR FIN'!$A$1:$O$86,15,0)),0,VLOOKUP($S$851,'TAR FIN'!$A$1:$O$86,15,0))</f>
        <v>0</v>
      </c>
      <c r="W851" s="6">
        <f>IF(ISERROR(VLOOKUP($T$851,'TAR FIN'!$A$1:$O$86,15,0)),0,VLOOKUP($T$851,'TAR FIN'!$A$1:$O$86,15,0))</f>
        <v>324.5</v>
      </c>
      <c r="X851" s="6">
        <f>IF(ISERROR(VLOOKUP($U$851,'TAR FIN'!$A$1:$O$86,15,0)),0,VLOOKUP($U$851,'TAR FIN'!$A$1:$O$86,15,0))</f>
        <v>258.20999999999998</v>
      </c>
      <c r="Y851" s="6"/>
      <c r="Z851" s="6">
        <f ca="1">('TUSD BE'!$AM$49+'TUSD BF_350'!$AM$49+'TUSD CVA'!$AM$49)*1</f>
        <v>330.1561966420345</v>
      </c>
      <c r="AA851" s="6">
        <f ca="1">('TE BE'!$AB$39+'TE BF_350'!$AB$39+'TE CVA'!$AB$39)*1</f>
        <v>230.58259134858577</v>
      </c>
      <c r="AB851" s="6">
        <f>$K$851*$V$851</f>
        <v>0</v>
      </c>
      <c r="AC851" s="6">
        <f>$M$851*$W$851</f>
        <v>2998.38</v>
      </c>
      <c r="AD851" s="6">
        <f>$O$851*$X$851</f>
        <v>2385.8604</v>
      </c>
      <c r="AE851" s="6">
        <f>$K$851*$Y$851</f>
        <v>0</v>
      </c>
      <c r="AF851" s="6">
        <f ca="1">$M$851*$Z$851</f>
        <v>3050.6432569723988</v>
      </c>
      <c r="AG851" s="6">
        <f ca="1">$O$851*$AA$851</f>
        <v>2130.5831440609327</v>
      </c>
    </row>
    <row r="852" spans="1:33" ht="11.25" customHeight="1" x14ac:dyDescent="0.25">
      <c r="A852" s="4" t="s">
        <v>21</v>
      </c>
      <c r="B852" s="4" t="s">
        <v>36</v>
      </c>
      <c r="C852" s="4" t="s">
        <v>23</v>
      </c>
      <c r="D852" s="4" t="s">
        <v>50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44593</v>
      </c>
      <c r="J852" s="6">
        <v>0</v>
      </c>
      <c r="K852" s="6">
        <v>0</v>
      </c>
      <c r="L852" s="6">
        <v>7.9509999999999996</v>
      </c>
      <c r="M852" s="6">
        <v>7.9509999999999996</v>
      </c>
      <c r="N852" s="6">
        <v>7.9509999999999996</v>
      </c>
      <c r="O852" s="6">
        <v>7.9509999999999996</v>
      </c>
      <c r="P852" s="6">
        <v>4</v>
      </c>
      <c r="Q852" s="4" t="s">
        <v>26</v>
      </c>
      <c r="R852" s="4">
        <v>0</v>
      </c>
      <c r="S852" s="6">
        <v>0</v>
      </c>
      <c r="T852" s="6">
        <v>34</v>
      </c>
      <c r="U852" s="6">
        <v>80</v>
      </c>
      <c r="V852" s="6">
        <f>IF(ISERROR(VLOOKUP($S$852,'TAR FIN'!$A$1:$O$86,15,0)),0,VLOOKUP($S$852,'TAR FIN'!$A$1:$O$86,15,0))</f>
        <v>0</v>
      </c>
      <c r="W852" s="6">
        <f>IF(ISERROR(VLOOKUP($T$852,'TAR FIN'!$A$1:$O$86,15,0)),0,VLOOKUP($T$852,'TAR FIN'!$A$1:$O$86,15,0))</f>
        <v>324.5</v>
      </c>
      <c r="X852" s="6">
        <f>IF(ISERROR(VLOOKUP($U$852,'TAR FIN'!$A$1:$O$86,15,0)),0,VLOOKUP($U$852,'TAR FIN'!$A$1:$O$86,15,0))</f>
        <v>258.20999999999998</v>
      </c>
      <c r="Y852" s="6"/>
      <c r="Z852" s="6">
        <f ca="1">('TUSD BE'!$AM$49+'TUSD BF_350'!$AM$49+'TUSD CVA'!$AM$49)*1</f>
        <v>330.1561966420345</v>
      </c>
      <c r="AA852" s="6">
        <f ca="1">('TE BE'!$AB$39+'TE BF_350'!$AB$39+'TE CVA'!$AB$39)*1</f>
        <v>230.58259134858577</v>
      </c>
      <c r="AB852" s="6">
        <f>$K$852*$V$852</f>
        <v>0</v>
      </c>
      <c r="AC852" s="6">
        <f>$M$852*$W$852</f>
        <v>2580.0994999999998</v>
      </c>
      <c r="AD852" s="6">
        <f>$O$852*$X$852</f>
        <v>2053.0277099999998</v>
      </c>
      <c r="AE852" s="6">
        <f>$K$852*$Y$852</f>
        <v>0</v>
      </c>
      <c r="AF852" s="6">
        <f ca="1">$M$852*$Z$852</f>
        <v>2625.0719195008164</v>
      </c>
      <c r="AG852" s="6">
        <f ca="1">$O$852*$AA$852</f>
        <v>1833.3621838126053</v>
      </c>
    </row>
    <row r="853" spans="1:33" ht="11.25" customHeight="1" x14ac:dyDescent="0.25">
      <c r="A853" s="4" t="s">
        <v>21</v>
      </c>
      <c r="B853" s="4" t="s">
        <v>36</v>
      </c>
      <c r="C853" s="4" t="s">
        <v>23</v>
      </c>
      <c r="D853" s="4" t="s">
        <v>50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44621</v>
      </c>
      <c r="J853" s="6">
        <v>0</v>
      </c>
      <c r="K853" s="6">
        <v>0</v>
      </c>
      <c r="L853" s="6">
        <v>7.4459999999999997</v>
      </c>
      <c r="M853" s="6">
        <v>7.4459999999999997</v>
      </c>
      <c r="N853" s="6">
        <v>7.4459999999999997</v>
      </c>
      <c r="O853" s="6">
        <v>7.4459999999999997</v>
      </c>
      <c r="P853" s="6">
        <v>4</v>
      </c>
      <c r="Q853" s="4" t="s">
        <v>26</v>
      </c>
      <c r="R853" s="4">
        <v>0</v>
      </c>
      <c r="S853" s="6">
        <v>0</v>
      </c>
      <c r="T853" s="6">
        <v>34</v>
      </c>
      <c r="U853" s="6">
        <v>80</v>
      </c>
      <c r="V853" s="6">
        <f>IF(ISERROR(VLOOKUP($S$853,'TAR FIN'!$A$1:$O$86,15,0)),0,VLOOKUP($S$853,'TAR FIN'!$A$1:$O$86,15,0))</f>
        <v>0</v>
      </c>
      <c r="W853" s="6">
        <f>IF(ISERROR(VLOOKUP($T$853,'TAR FIN'!$A$1:$O$86,15,0)),0,VLOOKUP($T$853,'TAR FIN'!$A$1:$O$86,15,0))</f>
        <v>324.5</v>
      </c>
      <c r="X853" s="6">
        <f>IF(ISERROR(VLOOKUP($U$853,'TAR FIN'!$A$1:$O$86,15,0)),0,VLOOKUP($U$853,'TAR FIN'!$A$1:$O$86,15,0))</f>
        <v>258.20999999999998</v>
      </c>
      <c r="Y853" s="6"/>
      <c r="Z853" s="6">
        <f ca="1">('TUSD BE'!$AM$49+'TUSD BF_350'!$AM$49+'TUSD CVA'!$AM$49)*1</f>
        <v>330.1561966420345</v>
      </c>
      <c r="AA853" s="6">
        <f ca="1">('TE BE'!$AB$39+'TE BF_350'!$AB$39+'TE CVA'!$AB$39)*1</f>
        <v>230.58259134858577</v>
      </c>
      <c r="AB853" s="6">
        <f>$K$853*$V$853</f>
        <v>0</v>
      </c>
      <c r="AC853" s="6">
        <f>$M$853*$W$853</f>
        <v>2416.2269999999999</v>
      </c>
      <c r="AD853" s="6">
        <f>$O$853*$X$853</f>
        <v>1922.6316599999998</v>
      </c>
      <c r="AE853" s="6">
        <f>$K$853*$Y$853</f>
        <v>0</v>
      </c>
      <c r="AF853" s="6">
        <f ca="1">$M$853*$Z$853</f>
        <v>2458.3430401965888</v>
      </c>
      <c r="AG853" s="6">
        <f ca="1">$O$853*$AA$853</f>
        <v>1716.9179751815695</v>
      </c>
    </row>
    <row r="854" spans="1:33" ht="11.25" customHeight="1" x14ac:dyDescent="0.25">
      <c r="A854" s="4" t="s">
        <v>21</v>
      </c>
      <c r="B854" s="4" t="s">
        <v>36</v>
      </c>
      <c r="C854" s="4" t="s">
        <v>23</v>
      </c>
      <c r="D854" s="4" t="s">
        <v>50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44652</v>
      </c>
      <c r="J854" s="6">
        <v>0</v>
      </c>
      <c r="K854" s="6">
        <v>0</v>
      </c>
      <c r="L854" s="6">
        <v>7.6</v>
      </c>
      <c r="M854" s="6">
        <v>7.6</v>
      </c>
      <c r="N854" s="6">
        <v>7.6</v>
      </c>
      <c r="O854" s="6">
        <v>7.6</v>
      </c>
      <c r="P854" s="6">
        <v>4</v>
      </c>
      <c r="Q854" s="4" t="s">
        <v>26</v>
      </c>
      <c r="R854" s="4">
        <v>0</v>
      </c>
      <c r="S854" s="6">
        <v>0</v>
      </c>
      <c r="T854" s="6">
        <v>34</v>
      </c>
      <c r="U854" s="6">
        <v>80</v>
      </c>
      <c r="V854" s="6">
        <f>IF(ISERROR(VLOOKUP($S$854,'TAR FIN'!$A$1:$O$86,15,0)),0,VLOOKUP($S$854,'TAR FIN'!$A$1:$O$86,15,0))</f>
        <v>0</v>
      </c>
      <c r="W854" s="6">
        <f>IF(ISERROR(VLOOKUP($T$854,'TAR FIN'!$A$1:$O$86,15,0)),0,VLOOKUP($T$854,'TAR FIN'!$A$1:$O$86,15,0))</f>
        <v>324.5</v>
      </c>
      <c r="X854" s="6">
        <f>IF(ISERROR(VLOOKUP($U$854,'TAR FIN'!$A$1:$O$86,15,0)),0,VLOOKUP($U$854,'TAR FIN'!$A$1:$O$86,15,0))</f>
        <v>258.20999999999998</v>
      </c>
      <c r="Y854" s="6"/>
      <c r="Z854" s="6">
        <f ca="1">('TUSD BE'!$AM$49+'TUSD BF_350'!$AM$49+'TUSD CVA'!$AM$49)*1</f>
        <v>330.1561966420345</v>
      </c>
      <c r="AA854" s="6">
        <f ca="1">('TE BE'!$AB$39+'TE BF_350'!$AB$39+'TE CVA'!$AB$39)*1</f>
        <v>230.58259134858577</v>
      </c>
      <c r="AB854" s="6">
        <f>$K$854*$V$854</f>
        <v>0</v>
      </c>
      <c r="AC854" s="6">
        <f>$M$854*$W$854</f>
        <v>2466.1999999999998</v>
      </c>
      <c r="AD854" s="6">
        <f>$O$854*$X$854</f>
        <v>1962.3959999999997</v>
      </c>
      <c r="AE854" s="6">
        <f>$K$854*$Y$854</f>
        <v>0</v>
      </c>
      <c r="AF854" s="6">
        <f ca="1">$M$854*$Z$854</f>
        <v>2509.1870944794623</v>
      </c>
      <c r="AG854" s="6">
        <f ca="1">$O$854*$AA$854</f>
        <v>1752.4276942492518</v>
      </c>
    </row>
    <row r="855" spans="1:33" ht="11.25" customHeight="1" x14ac:dyDescent="0.25">
      <c r="A855" s="4" t="s">
        <v>21</v>
      </c>
      <c r="B855" s="4" t="s">
        <v>36</v>
      </c>
      <c r="C855" s="4" t="s">
        <v>23</v>
      </c>
      <c r="D855" s="4" t="s">
        <v>50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44682</v>
      </c>
      <c r="J855" s="6">
        <v>0</v>
      </c>
      <c r="K855" s="6">
        <v>0</v>
      </c>
      <c r="L855" s="6">
        <v>6.72</v>
      </c>
      <c r="M855" s="6">
        <v>6.72</v>
      </c>
      <c r="N855" s="6">
        <v>6.72</v>
      </c>
      <c r="O855" s="6">
        <v>6.72</v>
      </c>
      <c r="P855" s="6">
        <v>4</v>
      </c>
      <c r="Q855" s="4" t="s">
        <v>26</v>
      </c>
      <c r="R855" s="4">
        <v>0</v>
      </c>
      <c r="S855" s="6">
        <v>0</v>
      </c>
      <c r="T855" s="6">
        <v>34</v>
      </c>
      <c r="U855" s="6">
        <v>80</v>
      </c>
      <c r="V855" s="6">
        <f>IF(ISERROR(VLOOKUP($S$855,'TAR FIN'!$A$1:$O$86,15,0)),0,VLOOKUP($S$855,'TAR FIN'!$A$1:$O$86,15,0))</f>
        <v>0</v>
      </c>
      <c r="W855" s="6">
        <f>IF(ISERROR(VLOOKUP($T$855,'TAR FIN'!$A$1:$O$86,15,0)),0,VLOOKUP($T$855,'TAR FIN'!$A$1:$O$86,15,0))</f>
        <v>324.5</v>
      </c>
      <c r="X855" s="6">
        <f>IF(ISERROR(VLOOKUP($U$855,'TAR FIN'!$A$1:$O$86,15,0)),0,VLOOKUP($U$855,'TAR FIN'!$A$1:$O$86,15,0))</f>
        <v>258.20999999999998</v>
      </c>
      <c r="Y855" s="6"/>
      <c r="Z855" s="6">
        <f ca="1">('TUSD BE'!$AM$49+'TUSD BF_350'!$AM$49+'TUSD CVA'!$AM$49)*1</f>
        <v>330.1561966420345</v>
      </c>
      <c r="AA855" s="6">
        <f ca="1">('TE BE'!$AB$39+'TE BF_350'!$AB$39+'TE CVA'!$AB$39)*1</f>
        <v>230.58259134858577</v>
      </c>
      <c r="AB855" s="6">
        <f>$K$855*$V$855</f>
        <v>0</v>
      </c>
      <c r="AC855" s="6">
        <f>$M$855*$W$855</f>
        <v>2180.64</v>
      </c>
      <c r="AD855" s="6">
        <f>$O$855*$X$855</f>
        <v>1735.1711999999998</v>
      </c>
      <c r="AE855" s="6">
        <f>$K$855*$Y$855</f>
        <v>0</v>
      </c>
      <c r="AF855" s="6">
        <f ca="1">$M$855*$Z$855</f>
        <v>2218.649641434472</v>
      </c>
      <c r="AG855" s="6">
        <f ca="1">$O$855*$AA$855</f>
        <v>1549.5150138624963</v>
      </c>
    </row>
    <row r="856" spans="1:33" ht="11.25" customHeight="1" x14ac:dyDescent="0.25">
      <c r="A856" s="4" t="s">
        <v>56</v>
      </c>
      <c r="B856" s="4" t="s">
        <v>36</v>
      </c>
      <c r="C856" s="4" t="s">
        <v>23</v>
      </c>
      <c r="D856" s="4" t="s">
        <v>50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44713</v>
      </c>
      <c r="J856" s="6">
        <v>0</v>
      </c>
      <c r="K856" s="6">
        <v>0</v>
      </c>
      <c r="L856" s="6">
        <v>6.72</v>
      </c>
      <c r="M856" s="6">
        <v>6.72</v>
      </c>
      <c r="N856" s="6">
        <v>6.72</v>
      </c>
      <c r="O856" s="6">
        <v>6.72</v>
      </c>
      <c r="P856" s="6">
        <v>4</v>
      </c>
      <c r="Q856" s="4" t="s">
        <v>26</v>
      </c>
      <c r="R856" s="4">
        <v>0</v>
      </c>
      <c r="S856" s="6">
        <v>0</v>
      </c>
      <c r="T856" s="6">
        <v>34</v>
      </c>
      <c r="U856" s="6">
        <v>80</v>
      </c>
      <c r="V856" s="6">
        <f>IF(ISERROR(VLOOKUP($S$856,'TAR FIN'!$A$1:$O$86,15,0)),0,VLOOKUP($S$856,'TAR FIN'!$A$1:$O$86,15,0))</f>
        <v>0</v>
      </c>
      <c r="W856" s="6">
        <f>IF(ISERROR(VLOOKUP($T$856,'TAR FIN'!$A$1:$O$86,15,0)),0,VLOOKUP($T$856,'TAR FIN'!$A$1:$O$86,15,0))</f>
        <v>324.5</v>
      </c>
      <c r="X856" s="6">
        <f>IF(ISERROR(VLOOKUP($U$856,'TAR FIN'!$A$1:$O$86,15,0)),0,VLOOKUP($U$856,'TAR FIN'!$A$1:$O$86,15,0))</f>
        <v>258.20999999999998</v>
      </c>
      <c r="Y856" s="6"/>
      <c r="Z856" s="6">
        <f ca="1">('TUSD BE'!$AM$49+'TUSD BF_350'!$AM$49+'TUSD CVA'!$AM$49)*1</f>
        <v>330.1561966420345</v>
      </c>
      <c r="AA856" s="6">
        <f ca="1">('TE BE'!$AB$39+'TE BF_350'!$AB$39+'TE CVA'!$AB$39)*1</f>
        <v>230.58259134858577</v>
      </c>
      <c r="AB856" s="6">
        <f>$K$856*$V$856</f>
        <v>0</v>
      </c>
      <c r="AC856" s="6">
        <f>$M$856*$W$856</f>
        <v>2180.64</v>
      </c>
      <c r="AD856" s="6">
        <f>$O$856*$X$856</f>
        <v>1735.1711999999998</v>
      </c>
      <c r="AE856" s="6">
        <f>$K$856*$Y$856</f>
        <v>0</v>
      </c>
      <c r="AF856" s="6">
        <f ca="1">$M$856*$Z$856</f>
        <v>2218.649641434472</v>
      </c>
      <c r="AG856" s="6">
        <f ca="1">$O$856*$AA$856</f>
        <v>1549.5150138624963</v>
      </c>
    </row>
    <row r="857" spans="1:33" ht="11.25" customHeight="1" x14ac:dyDescent="0.25">
      <c r="A857" s="4" t="s">
        <v>21</v>
      </c>
      <c r="B857" s="4" t="s">
        <v>36</v>
      </c>
      <c r="C857" s="4" t="s">
        <v>23</v>
      </c>
      <c r="D857" s="4" t="s">
        <v>37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44378</v>
      </c>
      <c r="J857" s="6">
        <v>0</v>
      </c>
      <c r="K857" s="6">
        <v>0</v>
      </c>
      <c r="L857" s="6">
        <v>91.245000000000005</v>
      </c>
      <c r="M857" s="6">
        <v>91.245000000000005</v>
      </c>
      <c r="N857" s="6">
        <v>91.245000000000005</v>
      </c>
      <c r="O857" s="6">
        <v>91.245000000000005</v>
      </c>
      <c r="P857" s="6">
        <v>99</v>
      </c>
      <c r="Q857" s="4" t="s">
        <v>26</v>
      </c>
      <c r="R857" s="4">
        <v>0</v>
      </c>
      <c r="S857" s="6">
        <v>0</v>
      </c>
      <c r="T857" s="6">
        <v>34</v>
      </c>
      <c r="U857" s="6">
        <v>80</v>
      </c>
      <c r="V857" s="6">
        <f>IF(ISERROR(VLOOKUP($S$857,'TAR FIN'!$A$1:$O$86,15,0)),0,VLOOKUP($S$857,'TAR FIN'!$A$1:$O$86,15,0))</f>
        <v>0</v>
      </c>
      <c r="W857" s="6">
        <f>IF(ISERROR(VLOOKUP($T$857,'TAR FIN'!$A$1:$O$86,15,0)),0,VLOOKUP($T$857,'TAR FIN'!$A$1:$O$86,15,0))</f>
        <v>324.5</v>
      </c>
      <c r="X857" s="6">
        <f>IF(ISERROR(VLOOKUP($U$857,'TAR FIN'!$A$1:$O$86,15,0)),0,VLOOKUP($U$857,'TAR FIN'!$A$1:$O$86,15,0))</f>
        <v>258.20999999999998</v>
      </c>
      <c r="Y857" s="6"/>
      <c r="Z857" s="6">
        <f ca="1">('TUSD BE'!$AM$49+'TUSD BF_350'!$AM$49+'TUSD CVA'!$AM$49)*1</f>
        <v>330.1561966420345</v>
      </c>
      <c r="AA857" s="6">
        <f ca="1">('TE BE'!$AB$39+'TE BF_350'!$AB$39+'TE CVA'!$AB$39)*1</f>
        <v>230.58259134858577</v>
      </c>
      <c r="AB857" s="6">
        <f>$K$857*$V$857</f>
        <v>0</v>
      </c>
      <c r="AC857" s="6">
        <f>$M$857*$W$857</f>
        <v>29609.002500000002</v>
      </c>
      <c r="AD857" s="6">
        <f>$O$857*$X$857</f>
        <v>23560.371449999999</v>
      </c>
      <c r="AE857" s="6">
        <f>$K$857*$Y$857</f>
        <v>0</v>
      </c>
      <c r="AF857" s="6">
        <f ca="1">$M$857*$Z$857</f>
        <v>30125.102162602441</v>
      </c>
      <c r="AG857" s="6">
        <f ca="1">$O$857*$AA$857</f>
        <v>21039.508547601708</v>
      </c>
    </row>
    <row r="858" spans="1:33" ht="11.25" customHeight="1" x14ac:dyDescent="0.25">
      <c r="A858" s="4" t="s">
        <v>21</v>
      </c>
      <c r="B858" s="4" t="s">
        <v>36</v>
      </c>
      <c r="C858" s="4" t="s">
        <v>23</v>
      </c>
      <c r="D858" s="4" t="s">
        <v>37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44409</v>
      </c>
      <c r="J858" s="6">
        <v>0</v>
      </c>
      <c r="K858" s="6">
        <v>0</v>
      </c>
      <c r="L858" s="6">
        <v>94.638999999999996</v>
      </c>
      <c r="M858" s="6">
        <v>94.638999999999996</v>
      </c>
      <c r="N858" s="6">
        <v>94.638999999999996</v>
      </c>
      <c r="O858" s="6">
        <v>94.638999999999996</v>
      </c>
      <c r="P858" s="6">
        <v>100</v>
      </c>
      <c r="Q858" s="4" t="s">
        <v>26</v>
      </c>
      <c r="R858" s="4">
        <v>0</v>
      </c>
      <c r="S858" s="6">
        <v>0</v>
      </c>
      <c r="T858" s="6">
        <v>34</v>
      </c>
      <c r="U858" s="6">
        <v>80</v>
      </c>
      <c r="V858" s="6">
        <f>IF(ISERROR(VLOOKUP($S$858,'TAR FIN'!$A$1:$O$86,15,0)),0,VLOOKUP($S$858,'TAR FIN'!$A$1:$O$86,15,0))</f>
        <v>0</v>
      </c>
      <c r="W858" s="6">
        <f>IF(ISERROR(VLOOKUP($T$858,'TAR FIN'!$A$1:$O$86,15,0)),0,VLOOKUP($T$858,'TAR FIN'!$A$1:$O$86,15,0))</f>
        <v>324.5</v>
      </c>
      <c r="X858" s="6">
        <f>IF(ISERROR(VLOOKUP($U$858,'TAR FIN'!$A$1:$O$86,15,0)),0,VLOOKUP($U$858,'TAR FIN'!$A$1:$O$86,15,0))</f>
        <v>258.20999999999998</v>
      </c>
      <c r="Y858" s="6"/>
      <c r="Z858" s="6">
        <f ca="1">('TUSD BE'!$AM$49+'TUSD BF_350'!$AM$49+'TUSD CVA'!$AM$49)*1</f>
        <v>330.1561966420345</v>
      </c>
      <c r="AA858" s="6">
        <f ca="1">('TE BE'!$AB$39+'TE BF_350'!$AB$39+'TE CVA'!$AB$39)*1</f>
        <v>230.58259134858577</v>
      </c>
      <c r="AB858" s="6">
        <f>$K$858*$V$858</f>
        <v>0</v>
      </c>
      <c r="AC858" s="6">
        <f>$M$858*$W$858</f>
        <v>30710.355499999998</v>
      </c>
      <c r="AD858" s="6">
        <f>$O$858*$X$858</f>
        <v>24436.736189999996</v>
      </c>
      <c r="AE858" s="6">
        <f>$K$858*$Y$858</f>
        <v>0</v>
      </c>
      <c r="AF858" s="6">
        <f ca="1">$M$858*$Z$858</f>
        <v>31245.6522940055</v>
      </c>
      <c r="AG858" s="6">
        <f ca="1">$O$858*$AA$858</f>
        <v>21822.105862638808</v>
      </c>
    </row>
    <row r="859" spans="1:33" ht="11.25" customHeight="1" x14ac:dyDescent="0.25">
      <c r="A859" s="4" t="s">
        <v>55</v>
      </c>
      <c r="B859" s="4" t="s">
        <v>36</v>
      </c>
      <c r="C859" s="4" t="s">
        <v>23</v>
      </c>
      <c r="D859" s="4" t="s">
        <v>37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44409</v>
      </c>
      <c r="J859" s="6">
        <v>0</v>
      </c>
      <c r="K859" s="6">
        <v>0</v>
      </c>
      <c r="L859" s="6">
        <v>13.840999999999999</v>
      </c>
      <c r="M859" s="6">
        <v>13.840999999999999</v>
      </c>
      <c r="N859" s="6">
        <v>13.840999999999999</v>
      </c>
      <c r="O859" s="6">
        <v>13.840999999999999</v>
      </c>
      <c r="P859" s="6">
        <v>16</v>
      </c>
      <c r="Q859" s="4" t="s">
        <v>26</v>
      </c>
      <c r="R859" s="4">
        <v>0</v>
      </c>
      <c r="S859" s="6">
        <v>0</v>
      </c>
      <c r="T859" s="6">
        <v>34</v>
      </c>
      <c r="U859" s="6">
        <v>80</v>
      </c>
      <c r="V859" s="6">
        <f>IF(ISERROR(VLOOKUP($S$859,'TAR FIN'!$A$1:$O$86,15,0)),0,VLOOKUP($S$859,'TAR FIN'!$A$1:$O$86,15,0))</f>
        <v>0</v>
      </c>
      <c r="W859" s="6">
        <f>IF(ISERROR(VLOOKUP($T$859,'TAR FIN'!$A$1:$O$86,15,0)),0,VLOOKUP($T$859,'TAR FIN'!$A$1:$O$86,15,0))</f>
        <v>324.5</v>
      </c>
      <c r="X859" s="6">
        <f>IF(ISERROR(VLOOKUP($U$859,'TAR FIN'!$A$1:$O$86,15,0)),0,VLOOKUP($U$859,'TAR FIN'!$A$1:$O$86,15,0))</f>
        <v>258.20999999999998</v>
      </c>
      <c r="Y859" s="6"/>
      <c r="Z859" s="6">
        <f ca="1">('TUSD BE'!$AM$49+'TUSD BF_350'!$AM$49+'TUSD CVA'!$AM$49)*1</f>
        <v>330.1561966420345</v>
      </c>
      <c r="AA859" s="6">
        <f ca="1">('TE BE'!$AB$39+'TE BF_350'!$AB$39+'TE CVA'!$AB$39)*1</f>
        <v>230.58259134858577</v>
      </c>
      <c r="AB859" s="6">
        <f>$K$859*$V$859</f>
        <v>0</v>
      </c>
      <c r="AC859" s="6">
        <f>$M$859*$W$859</f>
        <v>4491.4044999999996</v>
      </c>
      <c r="AD859" s="6">
        <f>$O$859*$X$859</f>
        <v>3573.8846099999996</v>
      </c>
      <c r="AE859" s="6">
        <f>$K$859*$Y$859</f>
        <v>0</v>
      </c>
      <c r="AF859" s="6">
        <f ca="1">$M$859*$Z$859</f>
        <v>4569.691917722399</v>
      </c>
      <c r="AG859" s="6">
        <f ca="1">$O$859*$AA$859</f>
        <v>3191.4936468557753</v>
      </c>
    </row>
    <row r="860" spans="1:33" ht="11.25" customHeight="1" x14ac:dyDescent="0.25">
      <c r="A860" s="4" t="s">
        <v>21</v>
      </c>
      <c r="B860" s="4" t="s">
        <v>36</v>
      </c>
      <c r="C860" s="4" t="s">
        <v>23</v>
      </c>
      <c r="D860" s="4" t="s">
        <v>37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44440</v>
      </c>
      <c r="J860" s="6">
        <v>0</v>
      </c>
      <c r="K860" s="6">
        <v>0</v>
      </c>
      <c r="L860" s="6">
        <v>96.843999999999994</v>
      </c>
      <c r="M860" s="6">
        <v>96.843999999999994</v>
      </c>
      <c r="N860" s="6">
        <v>96.843999999999994</v>
      </c>
      <c r="O860" s="6">
        <v>96.843999999999994</v>
      </c>
      <c r="P860" s="6">
        <v>103</v>
      </c>
      <c r="Q860" s="4" t="s">
        <v>26</v>
      </c>
      <c r="R860" s="4">
        <v>0</v>
      </c>
      <c r="S860" s="6">
        <v>0</v>
      </c>
      <c r="T860" s="6">
        <v>34</v>
      </c>
      <c r="U860" s="6">
        <v>80</v>
      </c>
      <c r="V860" s="6">
        <f>IF(ISERROR(VLOOKUP($S$860,'TAR FIN'!$A$1:$O$86,15,0)),0,VLOOKUP($S$860,'TAR FIN'!$A$1:$O$86,15,0))</f>
        <v>0</v>
      </c>
      <c r="W860" s="6">
        <f>IF(ISERROR(VLOOKUP($T$860,'TAR FIN'!$A$1:$O$86,15,0)),0,VLOOKUP($T$860,'TAR FIN'!$A$1:$O$86,15,0))</f>
        <v>324.5</v>
      </c>
      <c r="X860" s="6">
        <f>IF(ISERROR(VLOOKUP($U$860,'TAR FIN'!$A$1:$O$86,15,0)),0,VLOOKUP($U$860,'TAR FIN'!$A$1:$O$86,15,0))</f>
        <v>258.20999999999998</v>
      </c>
      <c r="Y860" s="6"/>
      <c r="Z860" s="6">
        <f ca="1">('TUSD BE'!$AM$49+'TUSD BF_350'!$AM$49+'TUSD CVA'!$AM$49)*1</f>
        <v>330.1561966420345</v>
      </c>
      <c r="AA860" s="6">
        <f ca="1">('TE BE'!$AB$39+'TE BF_350'!$AB$39+'TE CVA'!$AB$39)*1</f>
        <v>230.58259134858577</v>
      </c>
      <c r="AB860" s="6">
        <f>$K$860*$V$860</f>
        <v>0</v>
      </c>
      <c r="AC860" s="6">
        <f>$M$860*$W$860</f>
        <v>31425.877999999997</v>
      </c>
      <c r="AD860" s="6">
        <f>$O$860*$X$860</f>
        <v>25006.089239999998</v>
      </c>
      <c r="AE860" s="6">
        <f>$K$860*$Y$860</f>
        <v>0</v>
      </c>
      <c r="AF860" s="6">
        <f ca="1">$M$860*$Z$860</f>
        <v>31973.646707601187</v>
      </c>
      <c r="AG860" s="6">
        <f ca="1">$O$860*$AA$860</f>
        <v>22330.540476562437</v>
      </c>
    </row>
    <row r="861" spans="1:33" ht="11.25" customHeight="1" x14ac:dyDescent="0.25">
      <c r="A861" s="4" t="s">
        <v>55</v>
      </c>
      <c r="B861" s="4" t="s">
        <v>36</v>
      </c>
      <c r="C861" s="4" t="s">
        <v>23</v>
      </c>
      <c r="D861" s="4" t="s">
        <v>37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44440</v>
      </c>
      <c r="J861" s="6">
        <v>0</v>
      </c>
      <c r="K861" s="6">
        <v>0</v>
      </c>
      <c r="L861" s="6">
        <v>16.565999999999999</v>
      </c>
      <c r="M861" s="6">
        <v>16.565999999999999</v>
      </c>
      <c r="N861" s="6">
        <v>16.565999999999999</v>
      </c>
      <c r="O861" s="6">
        <v>16.565999999999999</v>
      </c>
      <c r="P861" s="6">
        <v>16</v>
      </c>
      <c r="Q861" s="4" t="s">
        <v>26</v>
      </c>
      <c r="R861" s="4">
        <v>0</v>
      </c>
      <c r="S861" s="6">
        <v>0</v>
      </c>
      <c r="T861" s="6">
        <v>34</v>
      </c>
      <c r="U861" s="6">
        <v>80</v>
      </c>
      <c r="V861" s="6">
        <f>IF(ISERROR(VLOOKUP($S$861,'TAR FIN'!$A$1:$O$86,15,0)),0,VLOOKUP($S$861,'TAR FIN'!$A$1:$O$86,15,0))</f>
        <v>0</v>
      </c>
      <c r="W861" s="6">
        <f>IF(ISERROR(VLOOKUP($T$861,'TAR FIN'!$A$1:$O$86,15,0)),0,VLOOKUP($T$861,'TAR FIN'!$A$1:$O$86,15,0))</f>
        <v>324.5</v>
      </c>
      <c r="X861" s="6">
        <f>IF(ISERROR(VLOOKUP($U$861,'TAR FIN'!$A$1:$O$86,15,0)),0,VLOOKUP($U$861,'TAR FIN'!$A$1:$O$86,15,0))</f>
        <v>258.20999999999998</v>
      </c>
      <c r="Y861" s="6"/>
      <c r="Z861" s="6">
        <f ca="1">('TUSD BE'!$AM$49+'TUSD BF_350'!$AM$49+'TUSD CVA'!$AM$49)*1</f>
        <v>330.1561966420345</v>
      </c>
      <c r="AA861" s="6">
        <f ca="1">('TE BE'!$AB$39+'TE BF_350'!$AB$39+'TE CVA'!$AB$39)*1</f>
        <v>230.58259134858577</v>
      </c>
      <c r="AB861" s="6">
        <f>$K$861*$V$861</f>
        <v>0</v>
      </c>
      <c r="AC861" s="6">
        <f>$M$861*$W$861</f>
        <v>5375.6669999999995</v>
      </c>
      <c r="AD861" s="6">
        <f>$O$861*$X$861</f>
        <v>4277.5068599999995</v>
      </c>
      <c r="AE861" s="6">
        <f>$K$861*$Y$861</f>
        <v>0</v>
      </c>
      <c r="AF861" s="6">
        <f ca="1">$M$861*$Z$861</f>
        <v>5469.3675535719431</v>
      </c>
      <c r="AG861" s="6">
        <f ca="1">$O$861*$AA$861</f>
        <v>3819.8312082806715</v>
      </c>
    </row>
    <row r="862" spans="1:33" ht="11.25" customHeight="1" x14ac:dyDescent="0.25">
      <c r="A862" s="4" t="s">
        <v>21</v>
      </c>
      <c r="B862" s="4" t="s">
        <v>36</v>
      </c>
      <c r="C862" s="4" t="s">
        <v>23</v>
      </c>
      <c r="D862" s="4" t="s">
        <v>37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44470</v>
      </c>
      <c r="J862" s="6">
        <v>0</v>
      </c>
      <c r="K862" s="6">
        <v>0</v>
      </c>
      <c r="L862" s="6">
        <v>104.761</v>
      </c>
      <c r="M862" s="6">
        <v>104.761</v>
      </c>
      <c r="N862" s="6">
        <v>104.761</v>
      </c>
      <c r="O862" s="6">
        <v>104.761</v>
      </c>
      <c r="P862" s="6">
        <v>103</v>
      </c>
      <c r="Q862" s="4" t="s">
        <v>26</v>
      </c>
      <c r="R862" s="4">
        <v>0</v>
      </c>
      <c r="S862" s="6">
        <v>0</v>
      </c>
      <c r="T862" s="6">
        <v>34</v>
      </c>
      <c r="U862" s="6">
        <v>80</v>
      </c>
      <c r="V862" s="6">
        <f>IF(ISERROR(VLOOKUP($S$862,'TAR FIN'!$A$1:$O$86,15,0)),0,VLOOKUP($S$862,'TAR FIN'!$A$1:$O$86,15,0))</f>
        <v>0</v>
      </c>
      <c r="W862" s="6">
        <f>IF(ISERROR(VLOOKUP($T$862,'TAR FIN'!$A$1:$O$86,15,0)),0,VLOOKUP($T$862,'TAR FIN'!$A$1:$O$86,15,0))</f>
        <v>324.5</v>
      </c>
      <c r="X862" s="6">
        <f>IF(ISERROR(VLOOKUP($U$862,'TAR FIN'!$A$1:$O$86,15,0)),0,VLOOKUP($U$862,'TAR FIN'!$A$1:$O$86,15,0))</f>
        <v>258.20999999999998</v>
      </c>
      <c r="Y862" s="6"/>
      <c r="Z862" s="6">
        <f ca="1">('TUSD BE'!$AM$49+'TUSD BF_350'!$AM$49+'TUSD CVA'!$AM$49)*1</f>
        <v>330.1561966420345</v>
      </c>
      <c r="AA862" s="6">
        <f ca="1">('TE BE'!$AB$39+'TE BF_350'!$AB$39+'TE CVA'!$AB$39)*1</f>
        <v>230.58259134858577</v>
      </c>
      <c r="AB862" s="6">
        <f>$K$862*$V$862</f>
        <v>0</v>
      </c>
      <c r="AC862" s="6">
        <f>$M$862*$W$862</f>
        <v>33994.944499999998</v>
      </c>
      <c r="AD862" s="6">
        <f>$O$862*$X$862</f>
        <v>27050.337809999997</v>
      </c>
      <c r="AE862" s="6">
        <f>$K$862*$Y$862</f>
        <v>0</v>
      </c>
      <c r="AF862" s="6">
        <f ca="1">$M$862*$Z$862</f>
        <v>34587.493316416178</v>
      </c>
      <c r="AG862" s="6">
        <f ca="1">$O$862*$AA$862</f>
        <v>24156.062852269191</v>
      </c>
    </row>
    <row r="863" spans="1:33" ht="11.25" customHeight="1" x14ac:dyDescent="0.25">
      <c r="A863" s="4" t="s">
        <v>55</v>
      </c>
      <c r="B863" s="4" t="s">
        <v>36</v>
      </c>
      <c r="C863" s="4" t="s">
        <v>23</v>
      </c>
      <c r="D863" s="4" t="s">
        <v>37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44470</v>
      </c>
      <c r="J863" s="6">
        <v>0</v>
      </c>
      <c r="K863" s="6">
        <v>0</v>
      </c>
      <c r="L863" s="6">
        <v>16.713999999999999</v>
      </c>
      <c r="M863" s="6">
        <v>16.713999999999999</v>
      </c>
      <c r="N863" s="6">
        <v>16.713999999999999</v>
      </c>
      <c r="O863" s="6">
        <v>16.713999999999999</v>
      </c>
      <c r="P863" s="6">
        <v>16</v>
      </c>
      <c r="Q863" s="4" t="s">
        <v>26</v>
      </c>
      <c r="R863" s="4">
        <v>0</v>
      </c>
      <c r="S863" s="6">
        <v>0</v>
      </c>
      <c r="T863" s="6">
        <v>34</v>
      </c>
      <c r="U863" s="6">
        <v>80</v>
      </c>
      <c r="V863" s="6">
        <f>IF(ISERROR(VLOOKUP($S$863,'TAR FIN'!$A$1:$O$86,15,0)),0,VLOOKUP($S$863,'TAR FIN'!$A$1:$O$86,15,0))</f>
        <v>0</v>
      </c>
      <c r="W863" s="6">
        <f>IF(ISERROR(VLOOKUP($T$863,'TAR FIN'!$A$1:$O$86,15,0)),0,VLOOKUP($T$863,'TAR FIN'!$A$1:$O$86,15,0))</f>
        <v>324.5</v>
      </c>
      <c r="X863" s="6">
        <f>IF(ISERROR(VLOOKUP($U$863,'TAR FIN'!$A$1:$O$86,15,0)),0,VLOOKUP($U$863,'TAR FIN'!$A$1:$O$86,15,0))</f>
        <v>258.20999999999998</v>
      </c>
      <c r="Y863" s="6"/>
      <c r="Z863" s="6">
        <f ca="1">('TUSD BE'!$AM$49+'TUSD BF_350'!$AM$49+'TUSD CVA'!$AM$49)*1</f>
        <v>330.1561966420345</v>
      </c>
      <c r="AA863" s="6">
        <f ca="1">('TE BE'!$AB$39+'TE BF_350'!$AB$39+'TE CVA'!$AB$39)*1</f>
        <v>230.58259134858577</v>
      </c>
      <c r="AB863" s="6">
        <f>$K$863*$V$863</f>
        <v>0</v>
      </c>
      <c r="AC863" s="6">
        <f>$M$863*$W$863</f>
        <v>5423.6929999999993</v>
      </c>
      <c r="AD863" s="6">
        <f>$O$863*$X$863</f>
        <v>4315.7219399999994</v>
      </c>
      <c r="AE863" s="6">
        <f>$K$863*$Y$863</f>
        <v>0</v>
      </c>
      <c r="AF863" s="6">
        <f ca="1">$M$863*$Z$863</f>
        <v>5518.2306706749641</v>
      </c>
      <c r="AG863" s="6">
        <f ca="1">$O$863*$AA$863</f>
        <v>3853.9574318002624</v>
      </c>
    </row>
    <row r="864" spans="1:33" ht="11.25" customHeight="1" x14ac:dyDescent="0.25">
      <c r="A864" s="4" t="s">
        <v>21</v>
      </c>
      <c r="B864" s="4" t="s">
        <v>36</v>
      </c>
      <c r="C864" s="4" t="s">
        <v>23</v>
      </c>
      <c r="D864" s="4" t="s">
        <v>37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44501</v>
      </c>
      <c r="J864" s="6">
        <v>0</v>
      </c>
      <c r="K864" s="6">
        <v>0</v>
      </c>
      <c r="L864" s="6">
        <v>123.17700000000001</v>
      </c>
      <c r="M864" s="6">
        <v>123.17700000000001</v>
      </c>
      <c r="N864" s="6">
        <v>123.17700000000001</v>
      </c>
      <c r="O864" s="6">
        <v>123.17700000000001</v>
      </c>
      <c r="P864" s="6">
        <v>105</v>
      </c>
      <c r="Q864" s="4" t="s">
        <v>26</v>
      </c>
      <c r="R864" s="4">
        <v>0</v>
      </c>
      <c r="S864" s="6">
        <v>0</v>
      </c>
      <c r="T864" s="6">
        <v>34</v>
      </c>
      <c r="U864" s="6">
        <v>80</v>
      </c>
      <c r="V864" s="6">
        <f>IF(ISERROR(VLOOKUP($S$864,'TAR FIN'!$A$1:$O$86,15,0)),0,VLOOKUP($S$864,'TAR FIN'!$A$1:$O$86,15,0))</f>
        <v>0</v>
      </c>
      <c r="W864" s="6">
        <f>IF(ISERROR(VLOOKUP($T$864,'TAR FIN'!$A$1:$O$86,15,0)),0,VLOOKUP($T$864,'TAR FIN'!$A$1:$O$86,15,0))</f>
        <v>324.5</v>
      </c>
      <c r="X864" s="6">
        <f>IF(ISERROR(VLOOKUP($U$864,'TAR FIN'!$A$1:$O$86,15,0)),0,VLOOKUP($U$864,'TAR FIN'!$A$1:$O$86,15,0))</f>
        <v>258.20999999999998</v>
      </c>
      <c r="Y864" s="6"/>
      <c r="Z864" s="6">
        <f ca="1">('TUSD BE'!$AM$49+'TUSD BF_350'!$AM$49+'TUSD CVA'!$AM$49)*1</f>
        <v>330.1561966420345</v>
      </c>
      <c r="AA864" s="6">
        <f ca="1">('TE BE'!$AB$39+'TE BF_350'!$AB$39+'TE CVA'!$AB$39)*1</f>
        <v>230.58259134858577</v>
      </c>
      <c r="AB864" s="6">
        <f>$K$864*$V$864</f>
        <v>0</v>
      </c>
      <c r="AC864" s="6">
        <f>$M$864*$W$864</f>
        <v>39970.936500000003</v>
      </c>
      <c r="AD864" s="6">
        <f>$O$864*$X$864</f>
        <v>31805.533169999999</v>
      </c>
      <c r="AE864" s="6">
        <f>$K$864*$Y$864</f>
        <v>0</v>
      </c>
      <c r="AF864" s="6">
        <f ca="1">$M$864*$Z$864</f>
        <v>40667.649833775889</v>
      </c>
      <c r="AG864" s="6">
        <f ca="1">$O$864*$AA$864</f>
        <v>28402.47185454475</v>
      </c>
    </row>
    <row r="865" spans="1:33" ht="11.25" customHeight="1" x14ac:dyDescent="0.25">
      <c r="A865" s="4" t="s">
        <v>55</v>
      </c>
      <c r="B865" s="4" t="s">
        <v>36</v>
      </c>
      <c r="C865" s="4" t="s">
        <v>23</v>
      </c>
      <c r="D865" s="4" t="s">
        <v>37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44501</v>
      </c>
      <c r="J865" s="6">
        <v>0</v>
      </c>
      <c r="K865" s="6">
        <v>0</v>
      </c>
      <c r="L865" s="6">
        <v>15.544</v>
      </c>
      <c r="M865" s="6">
        <v>15.544</v>
      </c>
      <c r="N865" s="6">
        <v>15.544</v>
      </c>
      <c r="O865" s="6">
        <v>15.544</v>
      </c>
      <c r="P865" s="6">
        <v>17</v>
      </c>
      <c r="Q865" s="4" t="s">
        <v>26</v>
      </c>
      <c r="R865" s="4">
        <v>0</v>
      </c>
      <c r="S865" s="6">
        <v>0</v>
      </c>
      <c r="T865" s="6">
        <v>34</v>
      </c>
      <c r="U865" s="6">
        <v>80</v>
      </c>
      <c r="V865" s="6">
        <f>IF(ISERROR(VLOOKUP($S$865,'TAR FIN'!$A$1:$O$86,15,0)),0,VLOOKUP($S$865,'TAR FIN'!$A$1:$O$86,15,0))</f>
        <v>0</v>
      </c>
      <c r="W865" s="6">
        <f>IF(ISERROR(VLOOKUP($T$865,'TAR FIN'!$A$1:$O$86,15,0)),0,VLOOKUP($T$865,'TAR FIN'!$A$1:$O$86,15,0))</f>
        <v>324.5</v>
      </c>
      <c r="X865" s="6">
        <f>IF(ISERROR(VLOOKUP($U$865,'TAR FIN'!$A$1:$O$86,15,0)),0,VLOOKUP($U$865,'TAR FIN'!$A$1:$O$86,15,0))</f>
        <v>258.20999999999998</v>
      </c>
      <c r="Y865" s="6"/>
      <c r="Z865" s="6">
        <f ca="1">('TUSD BE'!$AM$49+'TUSD BF_350'!$AM$49+'TUSD CVA'!$AM$49)*1</f>
        <v>330.1561966420345</v>
      </c>
      <c r="AA865" s="6">
        <f ca="1">('TE BE'!$AB$39+'TE BF_350'!$AB$39+'TE CVA'!$AB$39)*1</f>
        <v>230.58259134858577</v>
      </c>
      <c r="AB865" s="6">
        <f>$K$865*$V$865</f>
        <v>0</v>
      </c>
      <c r="AC865" s="6">
        <f>$M$865*$W$865</f>
        <v>5044.0280000000002</v>
      </c>
      <c r="AD865" s="6">
        <f>$O$865*$X$865</f>
        <v>4013.6162399999998</v>
      </c>
      <c r="AE865" s="6">
        <f>$K$865*$Y$865</f>
        <v>0</v>
      </c>
      <c r="AF865" s="6">
        <f ca="1">$M$865*$Z$865</f>
        <v>5131.947920603784</v>
      </c>
      <c r="AG865" s="6">
        <f ca="1">$O$865*$AA$865</f>
        <v>3584.1757999224174</v>
      </c>
    </row>
    <row r="866" spans="1:33" ht="11.25" customHeight="1" x14ac:dyDescent="0.25">
      <c r="A866" s="4" t="s">
        <v>21</v>
      </c>
      <c r="B866" s="4" t="s">
        <v>36</v>
      </c>
      <c r="C866" s="4" t="s">
        <v>23</v>
      </c>
      <c r="D866" s="4" t="s">
        <v>37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44531</v>
      </c>
      <c r="J866" s="6">
        <v>0</v>
      </c>
      <c r="K866" s="6">
        <v>0</v>
      </c>
      <c r="L866" s="6">
        <v>130.61099999999999</v>
      </c>
      <c r="M866" s="6">
        <v>130.61099999999999</v>
      </c>
      <c r="N866" s="6">
        <v>130.61099999999999</v>
      </c>
      <c r="O866" s="6">
        <v>130.61099999999999</v>
      </c>
      <c r="P866" s="6">
        <v>105</v>
      </c>
      <c r="Q866" s="4" t="s">
        <v>26</v>
      </c>
      <c r="R866" s="4">
        <v>0</v>
      </c>
      <c r="S866" s="6">
        <v>0</v>
      </c>
      <c r="T866" s="6">
        <v>34</v>
      </c>
      <c r="U866" s="6">
        <v>80</v>
      </c>
      <c r="V866" s="6">
        <f>IF(ISERROR(VLOOKUP($S$866,'TAR FIN'!$A$1:$O$86,15,0)),0,VLOOKUP($S$866,'TAR FIN'!$A$1:$O$86,15,0))</f>
        <v>0</v>
      </c>
      <c r="W866" s="6">
        <f>IF(ISERROR(VLOOKUP($T$866,'TAR FIN'!$A$1:$O$86,15,0)),0,VLOOKUP($T$866,'TAR FIN'!$A$1:$O$86,15,0))</f>
        <v>324.5</v>
      </c>
      <c r="X866" s="6">
        <f>IF(ISERROR(VLOOKUP($U$866,'TAR FIN'!$A$1:$O$86,15,0)),0,VLOOKUP($U$866,'TAR FIN'!$A$1:$O$86,15,0))</f>
        <v>258.20999999999998</v>
      </c>
      <c r="Y866" s="6"/>
      <c r="Z866" s="6">
        <f ca="1">('TUSD BE'!$AM$49+'TUSD BF_350'!$AM$49+'TUSD CVA'!$AM$49)*1</f>
        <v>330.1561966420345</v>
      </c>
      <c r="AA866" s="6">
        <f ca="1">('TE BE'!$AB$39+'TE BF_350'!$AB$39+'TE CVA'!$AB$39)*1</f>
        <v>230.58259134858577</v>
      </c>
      <c r="AB866" s="6">
        <f>$K$866*$V$866</f>
        <v>0</v>
      </c>
      <c r="AC866" s="6">
        <f>$M$866*$W$866</f>
        <v>42383.269499999995</v>
      </c>
      <c r="AD866" s="6">
        <f>$O$866*$X$866</f>
        <v>33725.066309999995</v>
      </c>
      <c r="AE866" s="6">
        <f>$K$866*$Y$866</f>
        <v>0</v>
      </c>
      <c r="AF866" s="6">
        <f ca="1">$M$866*$Z$866</f>
        <v>43122.030999612762</v>
      </c>
      <c r="AG866" s="6">
        <f ca="1">$O$866*$AA$866</f>
        <v>30116.622838630134</v>
      </c>
    </row>
    <row r="867" spans="1:33" ht="11.25" customHeight="1" x14ac:dyDescent="0.25">
      <c r="A867" s="4" t="s">
        <v>27</v>
      </c>
      <c r="B867" s="4" t="s">
        <v>36</v>
      </c>
      <c r="C867" s="4" t="s">
        <v>23</v>
      </c>
      <c r="D867" s="4" t="s">
        <v>37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44531</v>
      </c>
      <c r="J867" s="6">
        <v>0</v>
      </c>
      <c r="K867" s="6">
        <v>0</v>
      </c>
      <c r="L867" s="6">
        <v>209.90799999999999</v>
      </c>
      <c r="M867" s="6">
        <v>209.90799999999999</v>
      </c>
      <c r="N867" s="6">
        <v>209.90799999999999</v>
      </c>
      <c r="O867" s="6">
        <v>209.90799999999999</v>
      </c>
      <c r="P867" s="6">
        <v>0</v>
      </c>
      <c r="Q867" s="4" t="s">
        <v>26</v>
      </c>
      <c r="R867" s="4">
        <v>0</v>
      </c>
      <c r="S867" s="6">
        <v>0</v>
      </c>
      <c r="T867" s="6">
        <v>34</v>
      </c>
      <c r="U867" s="6">
        <v>80</v>
      </c>
      <c r="V867" s="6">
        <f>IF(ISERROR(VLOOKUP($S$867,'TAR FIN'!$A$1:$O$86,15,0)),0,VLOOKUP($S$867,'TAR FIN'!$A$1:$O$86,15,0))</f>
        <v>0</v>
      </c>
      <c r="W867" s="6">
        <f>IF(ISERROR(VLOOKUP($T$867,'TAR FIN'!$A$1:$O$86,15,0)),0,VLOOKUP($T$867,'TAR FIN'!$A$1:$O$86,15,0))</f>
        <v>324.5</v>
      </c>
      <c r="X867" s="6">
        <f>IF(ISERROR(VLOOKUP($U$867,'TAR FIN'!$A$1:$O$86,15,0)),0,VLOOKUP($U$867,'TAR FIN'!$A$1:$O$86,15,0))</f>
        <v>258.20999999999998</v>
      </c>
      <c r="Y867" s="6"/>
      <c r="Z867" s="6">
        <f ca="1">('TUSD BE'!$AM$49+'TUSD BF_350'!$AM$49+'TUSD CVA'!$AM$49)*1</f>
        <v>330.1561966420345</v>
      </c>
      <c r="AA867" s="6">
        <f ca="1">('TE BE'!$AB$39+'TE BF_350'!$AB$39+'TE CVA'!$AB$39)*1</f>
        <v>230.58259134858577</v>
      </c>
      <c r="AB867" s="6">
        <f>$K$867*$V$867</f>
        <v>0</v>
      </c>
      <c r="AC867" s="6">
        <f>$M$867*$W$867</f>
        <v>68115.145999999993</v>
      </c>
      <c r="AD867" s="6">
        <f>$O$867*$X$867</f>
        <v>54200.344679999995</v>
      </c>
      <c r="AE867" s="6">
        <f>$K$867*$Y$867</f>
        <v>0</v>
      </c>
      <c r="AF867" s="6">
        <f ca="1">$M$867*$Z$867</f>
        <v>69302.426924736181</v>
      </c>
      <c r="AG867" s="6">
        <f ca="1">$O$867*$AA$867</f>
        <v>48401.130584798935</v>
      </c>
    </row>
    <row r="868" spans="1:33" ht="11.25" customHeight="1" x14ac:dyDescent="0.25">
      <c r="A868" s="4" t="s">
        <v>55</v>
      </c>
      <c r="B868" s="4" t="s">
        <v>36</v>
      </c>
      <c r="C868" s="4" t="s">
        <v>23</v>
      </c>
      <c r="D868" s="4" t="s">
        <v>37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44531</v>
      </c>
      <c r="J868" s="6">
        <v>0</v>
      </c>
      <c r="K868" s="6">
        <v>0</v>
      </c>
      <c r="L868" s="6">
        <v>18.53</v>
      </c>
      <c r="M868" s="6">
        <v>18.53</v>
      </c>
      <c r="N868" s="6">
        <v>18.53</v>
      </c>
      <c r="O868" s="6">
        <v>18.53</v>
      </c>
      <c r="P868" s="6">
        <v>16</v>
      </c>
      <c r="Q868" s="4" t="s">
        <v>26</v>
      </c>
      <c r="R868" s="4">
        <v>0</v>
      </c>
      <c r="S868" s="6">
        <v>0</v>
      </c>
      <c r="T868" s="6">
        <v>34</v>
      </c>
      <c r="U868" s="6">
        <v>80</v>
      </c>
      <c r="V868" s="6">
        <f>IF(ISERROR(VLOOKUP($S$868,'TAR FIN'!$A$1:$O$86,15,0)),0,VLOOKUP($S$868,'TAR FIN'!$A$1:$O$86,15,0))</f>
        <v>0</v>
      </c>
      <c r="W868" s="6">
        <f>IF(ISERROR(VLOOKUP($T$868,'TAR FIN'!$A$1:$O$86,15,0)),0,VLOOKUP($T$868,'TAR FIN'!$A$1:$O$86,15,0))</f>
        <v>324.5</v>
      </c>
      <c r="X868" s="6">
        <f>IF(ISERROR(VLOOKUP($U$868,'TAR FIN'!$A$1:$O$86,15,0)),0,VLOOKUP($U$868,'TAR FIN'!$A$1:$O$86,15,0))</f>
        <v>258.20999999999998</v>
      </c>
      <c r="Y868" s="6"/>
      <c r="Z868" s="6">
        <f ca="1">('TUSD BE'!$AM$49+'TUSD BF_350'!$AM$49+'TUSD CVA'!$AM$49)*1</f>
        <v>330.1561966420345</v>
      </c>
      <c r="AA868" s="6">
        <f ca="1">('TE BE'!$AB$39+'TE BF_350'!$AB$39+'TE CVA'!$AB$39)*1</f>
        <v>230.58259134858577</v>
      </c>
      <c r="AB868" s="6">
        <f>$K$868*$V$868</f>
        <v>0</v>
      </c>
      <c r="AC868" s="6">
        <f>$M$868*$W$868</f>
        <v>6012.9850000000006</v>
      </c>
      <c r="AD868" s="6">
        <f>$O$868*$X$868</f>
        <v>4784.6313</v>
      </c>
      <c r="AE868" s="6">
        <f>$K$868*$Y$868</f>
        <v>0</v>
      </c>
      <c r="AF868" s="6">
        <f ca="1">$M$868*$Z$868</f>
        <v>6117.7943237768995</v>
      </c>
      <c r="AG868" s="6">
        <f ca="1">$O$868*$AA$868</f>
        <v>4272.6954176892941</v>
      </c>
    </row>
    <row r="869" spans="1:33" ht="11.25" customHeight="1" x14ac:dyDescent="0.25">
      <c r="A869" s="4" t="s">
        <v>21</v>
      </c>
      <c r="B869" s="4" t="s">
        <v>36</v>
      </c>
      <c r="C869" s="4" t="s">
        <v>23</v>
      </c>
      <c r="D869" s="4" t="s">
        <v>37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44562</v>
      </c>
      <c r="J869" s="6">
        <v>0</v>
      </c>
      <c r="K869" s="6">
        <v>0</v>
      </c>
      <c r="L869" s="6">
        <v>125.572</v>
      </c>
      <c r="M869" s="6">
        <v>125.572</v>
      </c>
      <c r="N869" s="6">
        <v>125.572</v>
      </c>
      <c r="O869" s="6">
        <v>125.572</v>
      </c>
      <c r="P869" s="6">
        <v>103</v>
      </c>
      <c r="Q869" s="4" t="s">
        <v>26</v>
      </c>
      <c r="R869" s="4">
        <v>0</v>
      </c>
      <c r="S869" s="6">
        <v>0</v>
      </c>
      <c r="T869" s="6">
        <v>34</v>
      </c>
      <c r="U869" s="6">
        <v>80</v>
      </c>
      <c r="V869" s="6">
        <f>IF(ISERROR(VLOOKUP($S$869,'TAR FIN'!$A$1:$O$86,15,0)),0,VLOOKUP($S$869,'TAR FIN'!$A$1:$O$86,15,0))</f>
        <v>0</v>
      </c>
      <c r="W869" s="6">
        <f>IF(ISERROR(VLOOKUP($T$869,'TAR FIN'!$A$1:$O$86,15,0)),0,VLOOKUP($T$869,'TAR FIN'!$A$1:$O$86,15,0))</f>
        <v>324.5</v>
      </c>
      <c r="X869" s="6">
        <f>IF(ISERROR(VLOOKUP($U$869,'TAR FIN'!$A$1:$O$86,15,0)),0,VLOOKUP($U$869,'TAR FIN'!$A$1:$O$86,15,0))</f>
        <v>258.20999999999998</v>
      </c>
      <c r="Y869" s="6"/>
      <c r="Z869" s="6">
        <f ca="1">('TUSD BE'!$AM$49+'TUSD BF_350'!$AM$49+'TUSD CVA'!$AM$49)*1</f>
        <v>330.1561966420345</v>
      </c>
      <c r="AA869" s="6">
        <f ca="1">('TE BE'!$AB$39+'TE BF_350'!$AB$39+'TE CVA'!$AB$39)*1</f>
        <v>230.58259134858577</v>
      </c>
      <c r="AB869" s="6">
        <f>$K$869*$V$869</f>
        <v>0</v>
      </c>
      <c r="AC869" s="6">
        <f>$M$869*$W$869</f>
        <v>40748.114000000001</v>
      </c>
      <c r="AD869" s="6">
        <f>$O$869*$X$869</f>
        <v>32423.946119999997</v>
      </c>
      <c r="AE869" s="6">
        <f>$K$869*$Y$869</f>
        <v>0</v>
      </c>
      <c r="AF869" s="6">
        <f ca="1">$M$869*$Z$869</f>
        <v>41458.373924733554</v>
      </c>
      <c r="AG869" s="6">
        <f ca="1">$O$869*$AA$869</f>
        <v>28954.717160824614</v>
      </c>
    </row>
    <row r="870" spans="1:33" ht="11.25" customHeight="1" x14ac:dyDescent="0.25">
      <c r="A870" s="4" t="s">
        <v>55</v>
      </c>
      <c r="B870" s="4" t="s">
        <v>36</v>
      </c>
      <c r="C870" s="4" t="s">
        <v>23</v>
      </c>
      <c r="D870" s="4" t="s">
        <v>37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44562</v>
      </c>
      <c r="J870" s="6">
        <v>0</v>
      </c>
      <c r="K870" s="6">
        <v>0</v>
      </c>
      <c r="L870" s="6">
        <v>11.912000000000001</v>
      </c>
      <c r="M870" s="6">
        <v>11.912000000000001</v>
      </c>
      <c r="N870" s="6">
        <v>11.912000000000001</v>
      </c>
      <c r="O870" s="6">
        <v>11.912000000000001</v>
      </c>
      <c r="P870" s="6">
        <v>17</v>
      </c>
      <c r="Q870" s="4" t="s">
        <v>26</v>
      </c>
      <c r="R870" s="4">
        <v>0</v>
      </c>
      <c r="S870" s="6">
        <v>0</v>
      </c>
      <c r="T870" s="6">
        <v>34</v>
      </c>
      <c r="U870" s="6">
        <v>80</v>
      </c>
      <c r="V870" s="6">
        <f>IF(ISERROR(VLOOKUP($S$870,'TAR FIN'!$A$1:$O$86,15,0)),0,VLOOKUP($S$870,'TAR FIN'!$A$1:$O$86,15,0))</f>
        <v>0</v>
      </c>
      <c r="W870" s="6">
        <f>IF(ISERROR(VLOOKUP($T$870,'TAR FIN'!$A$1:$O$86,15,0)),0,VLOOKUP($T$870,'TAR FIN'!$A$1:$O$86,15,0))</f>
        <v>324.5</v>
      </c>
      <c r="X870" s="6">
        <f>IF(ISERROR(VLOOKUP($U$870,'TAR FIN'!$A$1:$O$86,15,0)),0,VLOOKUP($U$870,'TAR FIN'!$A$1:$O$86,15,0))</f>
        <v>258.20999999999998</v>
      </c>
      <c r="Y870" s="6"/>
      <c r="Z870" s="6">
        <f ca="1">('TUSD BE'!$AM$49+'TUSD BF_350'!$AM$49+'TUSD CVA'!$AM$49)*1</f>
        <v>330.1561966420345</v>
      </c>
      <c r="AA870" s="6">
        <f ca="1">('TE BE'!$AB$39+'TE BF_350'!$AB$39+'TE CVA'!$AB$39)*1</f>
        <v>230.58259134858577</v>
      </c>
      <c r="AB870" s="6">
        <f>$K$870*$V$870</f>
        <v>0</v>
      </c>
      <c r="AC870" s="6">
        <f>$M$870*$W$870</f>
        <v>3865.4440000000004</v>
      </c>
      <c r="AD870" s="6">
        <f>$O$870*$X$870</f>
        <v>3075.7975200000001</v>
      </c>
      <c r="AE870" s="6">
        <f>$K$870*$Y$870</f>
        <v>0</v>
      </c>
      <c r="AF870" s="6">
        <f ca="1">$M$870*$Z$870</f>
        <v>3932.820614399915</v>
      </c>
      <c r="AG870" s="6">
        <f ca="1">$O$870*$AA$870</f>
        <v>2746.6998281443539</v>
      </c>
    </row>
    <row r="871" spans="1:33" ht="11.25" customHeight="1" x14ac:dyDescent="0.25">
      <c r="A871" s="4" t="s">
        <v>21</v>
      </c>
      <c r="B871" s="4" t="s">
        <v>36</v>
      </c>
      <c r="C871" s="4" t="s">
        <v>23</v>
      </c>
      <c r="D871" s="4" t="s">
        <v>37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44593</v>
      </c>
      <c r="J871" s="6">
        <v>0</v>
      </c>
      <c r="K871" s="6">
        <v>0</v>
      </c>
      <c r="L871" s="6">
        <v>100.13200000000001</v>
      </c>
      <c r="M871" s="6">
        <v>100.13200000000001</v>
      </c>
      <c r="N871" s="6">
        <v>100.13200000000001</v>
      </c>
      <c r="O871" s="6">
        <v>100.13200000000001</v>
      </c>
      <c r="P871" s="6">
        <v>98</v>
      </c>
      <c r="Q871" s="4" t="s">
        <v>26</v>
      </c>
      <c r="R871" s="4">
        <v>0</v>
      </c>
      <c r="S871" s="6">
        <v>0</v>
      </c>
      <c r="T871" s="6">
        <v>34</v>
      </c>
      <c r="U871" s="6">
        <v>80</v>
      </c>
      <c r="V871" s="6">
        <f>IF(ISERROR(VLOOKUP($S$871,'TAR FIN'!$A$1:$O$86,15,0)),0,VLOOKUP($S$871,'TAR FIN'!$A$1:$O$86,15,0))</f>
        <v>0</v>
      </c>
      <c r="W871" s="6">
        <f>IF(ISERROR(VLOOKUP($T$871,'TAR FIN'!$A$1:$O$86,15,0)),0,VLOOKUP($T$871,'TAR FIN'!$A$1:$O$86,15,0))</f>
        <v>324.5</v>
      </c>
      <c r="X871" s="6">
        <f>IF(ISERROR(VLOOKUP($U$871,'TAR FIN'!$A$1:$O$86,15,0)),0,VLOOKUP($U$871,'TAR FIN'!$A$1:$O$86,15,0))</f>
        <v>258.20999999999998</v>
      </c>
      <c r="Y871" s="6"/>
      <c r="Z871" s="6">
        <f ca="1">('TUSD BE'!$AM$49+'TUSD BF_350'!$AM$49+'TUSD CVA'!$AM$49)*1</f>
        <v>330.1561966420345</v>
      </c>
      <c r="AA871" s="6">
        <f ca="1">('TE BE'!$AB$39+'TE BF_350'!$AB$39+'TE CVA'!$AB$39)*1</f>
        <v>230.58259134858577</v>
      </c>
      <c r="AB871" s="6">
        <f>$K$871*$V$871</f>
        <v>0</v>
      </c>
      <c r="AC871" s="6">
        <f>$M$871*$W$871</f>
        <v>32492.834000000003</v>
      </c>
      <c r="AD871" s="6">
        <f>$O$871*$X$871</f>
        <v>25855.083719999999</v>
      </c>
      <c r="AE871" s="6">
        <f>$K$871*$Y$871</f>
        <v>0</v>
      </c>
      <c r="AF871" s="6">
        <f ca="1">$M$871*$Z$871</f>
        <v>33059.2002821602</v>
      </c>
      <c r="AG871" s="6">
        <f ca="1">$O$871*$AA$871</f>
        <v>23088.69603691659</v>
      </c>
    </row>
    <row r="872" spans="1:33" ht="11.25" customHeight="1" x14ac:dyDescent="0.25">
      <c r="A872" s="4" t="s">
        <v>55</v>
      </c>
      <c r="B872" s="4" t="s">
        <v>36</v>
      </c>
      <c r="C872" s="4" t="s">
        <v>23</v>
      </c>
      <c r="D872" s="4" t="s">
        <v>37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44593</v>
      </c>
      <c r="J872" s="6">
        <v>0</v>
      </c>
      <c r="K872" s="6">
        <v>0</v>
      </c>
      <c r="L872" s="6">
        <v>25.227</v>
      </c>
      <c r="M872" s="6">
        <v>25.227</v>
      </c>
      <c r="N872" s="6">
        <v>25.227</v>
      </c>
      <c r="O872" s="6">
        <v>25.227</v>
      </c>
      <c r="P872" s="6">
        <v>21</v>
      </c>
      <c r="Q872" s="4" t="s">
        <v>26</v>
      </c>
      <c r="R872" s="4">
        <v>0</v>
      </c>
      <c r="S872" s="6">
        <v>0</v>
      </c>
      <c r="T872" s="6">
        <v>34</v>
      </c>
      <c r="U872" s="6">
        <v>80</v>
      </c>
      <c r="V872" s="6">
        <f>IF(ISERROR(VLOOKUP($S$872,'TAR FIN'!$A$1:$O$86,15,0)),0,VLOOKUP($S$872,'TAR FIN'!$A$1:$O$86,15,0))</f>
        <v>0</v>
      </c>
      <c r="W872" s="6">
        <f>IF(ISERROR(VLOOKUP($T$872,'TAR FIN'!$A$1:$O$86,15,0)),0,VLOOKUP($T$872,'TAR FIN'!$A$1:$O$86,15,0))</f>
        <v>324.5</v>
      </c>
      <c r="X872" s="6">
        <f>IF(ISERROR(VLOOKUP($U$872,'TAR FIN'!$A$1:$O$86,15,0)),0,VLOOKUP($U$872,'TAR FIN'!$A$1:$O$86,15,0))</f>
        <v>258.20999999999998</v>
      </c>
      <c r="Y872" s="6"/>
      <c r="Z872" s="6">
        <f ca="1">('TUSD BE'!$AM$49+'TUSD BF_350'!$AM$49+'TUSD CVA'!$AM$49)*1</f>
        <v>330.1561966420345</v>
      </c>
      <c r="AA872" s="6">
        <f ca="1">('TE BE'!$AB$39+'TE BF_350'!$AB$39+'TE CVA'!$AB$39)*1</f>
        <v>230.58259134858577</v>
      </c>
      <c r="AB872" s="6">
        <f>$K$872*$V$872</f>
        <v>0</v>
      </c>
      <c r="AC872" s="6">
        <f>$M$872*$W$872</f>
        <v>8186.1615000000002</v>
      </c>
      <c r="AD872" s="6">
        <f>$O$872*$X$872</f>
        <v>6513.8636699999997</v>
      </c>
      <c r="AE872" s="6">
        <f>$K$872*$Y$872</f>
        <v>0</v>
      </c>
      <c r="AF872" s="6">
        <f ca="1">$M$872*$Z$872</f>
        <v>8328.8503726886047</v>
      </c>
      <c r="AG872" s="6">
        <f ca="1">$O$872*$AA$872</f>
        <v>5816.9070319507728</v>
      </c>
    </row>
    <row r="873" spans="1:33" ht="11.25" customHeight="1" x14ac:dyDescent="0.25">
      <c r="A873" s="4" t="s">
        <v>21</v>
      </c>
      <c r="B873" s="4" t="s">
        <v>36</v>
      </c>
      <c r="C873" s="4" t="s">
        <v>23</v>
      </c>
      <c r="D873" s="4" t="s">
        <v>37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44621</v>
      </c>
      <c r="J873" s="6">
        <v>0</v>
      </c>
      <c r="K873" s="6">
        <v>0</v>
      </c>
      <c r="L873" s="6">
        <v>93.885000000000005</v>
      </c>
      <c r="M873" s="6">
        <v>93.885000000000005</v>
      </c>
      <c r="N873" s="6">
        <v>93.885000000000005</v>
      </c>
      <c r="O873" s="6">
        <v>93.885000000000005</v>
      </c>
      <c r="P873" s="6">
        <v>98</v>
      </c>
      <c r="Q873" s="4" t="s">
        <v>26</v>
      </c>
      <c r="R873" s="4">
        <v>0</v>
      </c>
      <c r="S873" s="6">
        <v>0</v>
      </c>
      <c r="T873" s="6">
        <v>34</v>
      </c>
      <c r="U873" s="6">
        <v>80</v>
      </c>
      <c r="V873" s="6">
        <f>IF(ISERROR(VLOOKUP($S$873,'TAR FIN'!$A$1:$O$86,15,0)),0,VLOOKUP($S$873,'TAR FIN'!$A$1:$O$86,15,0))</f>
        <v>0</v>
      </c>
      <c r="W873" s="6">
        <f>IF(ISERROR(VLOOKUP($T$873,'TAR FIN'!$A$1:$O$86,15,0)),0,VLOOKUP($T$873,'TAR FIN'!$A$1:$O$86,15,0))</f>
        <v>324.5</v>
      </c>
      <c r="X873" s="6">
        <f>IF(ISERROR(VLOOKUP($U$873,'TAR FIN'!$A$1:$O$86,15,0)),0,VLOOKUP($U$873,'TAR FIN'!$A$1:$O$86,15,0))</f>
        <v>258.20999999999998</v>
      </c>
      <c r="Y873" s="6"/>
      <c r="Z873" s="6">
        <f ca="1">('TUSD BE'!$AM$49+'TUSD BF_350'!$AM$49+'TUSD CVA'!$AM$49)*1</f>
        <v>330.1561966420345</v>
      </c>
      <c r="AA873" s="6">
        <f ca="1">('TE BE'!$AB$39+'TE BF_350'!$AB$39+'TE CVA'!$AB$39)*1</f>
        <v>230.58259134858577</v>
      </c>
      <c r="AB873" s="6">
        <f>$K$873*$V$873</f>
        <v>0</v>
      </c>
      <c r="AC873" s="6">
        <f>$M$873*$W$873</f>
        <v>30465.682500000003</v>
      </c>
      <c r="AD873" s="6">
        <f>$O$873*$X$873</f>
        <v>24242.045849999999</v>
      </c>
      <c r="AE873" s="6">
        <f>$K$873*$Y$873</f>
        <v>0</v>
      </c>
      <c r="AF873" s="6">
        <f ca="1">$M$873*$Z$873</f>
        <v>30996.714521737409</v>
      </c>
      <c r="AG873" s="6">
        <f ca="1">$O$873*$AA$873</f>
        <v>21648.246588761976</v>
      </c>
    </row>
    <row r="874" spans="1:33" ht="11.25" customHeight="1" x14ac:dyDescent="0.25">
      <c r="A874" s="4" t="s">
        <v>55</v>
      </c>
      <c r="B874" s="4" t="s">
        <v>36</v>
      </c>
      <c r="C874" s="4" t="s">
        <v>23</v>
      </c>
      <c r="D874" s="4" t="s">
        <v>37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44621</v>
      </c>
      <c r="J874" s="6">
        <v>0</v>
      </c>
      <c r="K874" s="6">
        <v>0</v>
      </c>
      <c r="L874" s="6">
        <v>16.547000000000001</v>
      </c>
      <c r="M874" s="6">
        <v>16.547000000000001</v>
      </c>
      <c r="N874" s="6">
        <v>16.547000000000001</v>
      </c>
      <c r="O874" s="6">
        <v>16.547000000000001</v>
      </c>
      <c r="P874" s="6">
        <v>21</v>
      </c>
      <c r="Q874" s="4" t="s">
        <v>26</v>
      </c>
      <c r="R874" s="4">
        <v>0</v>
      </c>
      <c r="S874" s="6">
        <v>0</v>
      </c>
      <c r="T874" s="6">
        <v>34</v>
      </c>
      <c r="U874" s="6">
        <v>80</v>
      </c>
      <c r="V874" s="6">
        <f>IF(ISERROR(VLOOKUP($S$874,'TAR FIN'!$A$1:$O$86,15,0)),0,VLOOKUP($S$874,'TAR FIN'!$A$1:$O$86,15,0))</f>
        <v>0</v>
      </c>
      <c r="W874" s="6">
        <f>IF(ISERROR(VLOOKUP($T$874,'TAR FIN'!$A$1:$O$86,15,0)),0,VLOOKUP($T$874,'TAR FIN'!$A$1:$O$86,15,0))</f>
        <v>324.5</v>
      </c>
      <c r="X874" s="6">
        <f>IF(ISERROR(VLOOKUP($U$874,'TAR FIN'!$A$1:$O$86,15,0)),0,VLOOKUP($U$874,'TAR FIN'!$A$1:$O$86,15,0))</f>
        <v>258.20999999999998</v>
      </c>
      <c r="Y874" s="6"/>
      <c r="Z874" s="6">
        <f ca="1">('TUSD BE'!$AM$49+'TUSD BF_350'!$AM$49+'TUSD CVA'!$AM$49)*1</f>
        <v>330.1561966420345</v>
      </c>
      <c r="AA874" s="6">
        <f ca="1">('TE BE'!$AB$39+'TE BF_350'!$AB$39+'TE CVA'!$AB$39)*1</f>
        <v>230.58259134858577</v>
      </c>
      <c r="AB874" s="6">
        <f>$K$874*$V$874</f>
        <v>0</v>
      </c>
      <c r="AC874" s="6">
        <f>$M$874*$W$874</f>
        <v>5369.5015000000003</v>
      </c>
      <c r="AD874" s="6">
        <f>$O$874*$X$874</f>
        <v>4272.6008700000002</v>
      </c>
      <c r="AE874" s="6">
        <f>$K$874*$Y$874</f>
        <v>0</v>
      </c>
      <c r="AF874" s="6">
        <f ca="1">$M$874*$Z$874</f>
        <v>5463.0945858357454</v>
      </c>
      <c r="AG874" s="6">
        <f ca="1">$O$874*$AA$874</f>
        <v>3815.4501390450487</v>
      </c>
    </row>
    <row r="875" spans="1:33" ht="11.25" customHeight="1" x14ac:dyDescent="0.25">
      <c r="A875" s="4" t="s">
        <v>21</v>
      </c>
      <c r="B875" s="4" t="s">
        <v>36</v>
      </c>
      <c r="C875" s="4" t="s">
        <v>23</v>
      </c>
      <c r="D875" s="4" t="s">
        <v>37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44652</v>
      </c>
      <c r="J875" s="6">
        <v>0</v>
      </c>
      <c r="K875" s="6">
        <v>0</v>
      </c>
      <c r="L875" s="6">
        <v>97.992000000000004</v>
      </c>
      <c r="M875" s="6">
        <v>97.992000000000004</v>
      </c>
      <c r="N875" s="6">
        <v>97.992000000000004</v>
      </c>
      <c r="O875" s="6">
        <v>97.992000000000004</v>
      </c>
      <c r="P875" s="6">
        <v>97</v>
      </c>
      <c r="Q875" s="4" t="s">
        <v>26</v>
      </c>
      <c r="R875" s="4">
        <v>0</v>
      </c>
      <c r="S875" s="6">
        <v>0</v>
      </c>
      <c r="T875" s="6">
        <v>34</v>
      </c>
      <c r="U875" s="6">
        <v>80</v>
      </c>
      <c r="V875" s="6">
        <f>IF(ISERROR(VLOOKUP($S$875,'TAR FIN'!$A$1:$O$86,15,0)),0,VLOOKUP($S$875,'TAR FIN'!$A$1:$O$86,15,0))</f>
        <v>0</v>
      </c>
      <c r="W875" s="6">
        <f>IF(ISERROR(VLOOKUP($T$875,'TAR FIN'!$A$1:$O$86,15,0)),0,VLOOKUP($T$875,'TAR FIN'!$A$1:$O$86,15,0))</f>
        <v>324.5</v>
      </c>
      <c r="X875" s="6">
        <f>IF(ISERROR(VLOOKUP($U$875,'TAR FIN'!$A$1:$O$86,15,0)),0,VLOOKUP($U$875,'TAR FIN'!$A$1:$O$86,15,0))</f>
        <v>258.20999999999998</v>
      </c>
      <c r="Y875" s="6"/>
      <c r="Z875" s="6">
        <f ca="1">('TUSD BE'!$AM$49+'TUSD BF_350'!$AM$49+'TUSD CVA'!$AM$49)*1</f>
        <v>330.1561966420345</v>
      </c>
      <c r="AA875" s="6">
        <f ca="1">('TE BE'!$AB$39+'TE BF_350'!$AB$39+'TE CVA'!$AB$39)*1</f>
        <v>230.58259134858577</v>
      </c>
      <c r="AB875" s="6">
        <f>$K$875*$V$875</f>
        <v>0</v>
      </c>
      <c r="AC875" s="6">
        <f>$M$875*$W$875</f>
        <v>31798.404000000002</v>
      </c>
      <c r="AD875" s="6">
        <f>$O$875*$X$875</f>
        <v>25302.514319999998</v>
      </c>
      <c r="AE875" s="6">
        <f>$K$875*$Y$875</f>
        <v>0</v>
      </c>
      <c r="AF875" s="6">
        <f ca="1">$M$875*$Z$875</f>
        <v>32352.666021346246</v>
      </c>
      <c r="AG875" s="6">
        <f ca="1">$O$875*$AA$875</f>
        <v>22595.249291430617</v>
      </c>
    </row>
    <row r="876" spans="1:33" ht="11.25" customHeight="1" x14ac:dyDescent="0.25">
      <c r="A876" s="4" t="s">
        <v>55</v>
      </c>
      <c r="B876" s="4" t="s">
        <v>36</v>
      </c>
      <c r="C876" s="4" t="s">
        <v>23</v>
      </c>
      <c r="D876" s="4" t="s">
        <v>37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44652</v>
      </c>
      <c r="J876" s="6">
        <v>0</v>
      </c>
      <c r="K876" s="6">
        <v>0</v>
      </c>
      <c r="L876" s="6">
        <v>11.519</v>
      </c>
      <c r="M876" s="6">
        <v>11.519</v>
      </c>
      <c r="N876" s="6">
        <v>11.519</v>
      </c>
      <c r="O876" s="6">
        <v>11.519</v>
      </c>
      <c r="P876" s="6">
        <v>21</v>
      </c>
      <c r="Q876" s="4" t="s">
        <v>26</v>
      </c>
      <c r="R876" s="4">
        <v>0</v>
      </c>
      <c r="S876" s="6">
        <v>0</v>
      </c>
      <c r="T876" s="6">
        <v>34</v>
      </c>
      <c r="U876" s="6">
        <v>80</v>
      </c>
      <c r="V876" s="6">
        <f>IF(ISERROR(VLOOKUP($S$876,'TAR FIN'!$A$1:$O$86,15,0)),0,VLOOKUP($S$876,'TAR FIN'!$A$1:$O$86,15,0))</f>
        <v>0</v>
      </c>
      <c r="W876" s="6">
        <f>IF(ISERROR(VLOOKUP($T$876,'TAR FIN'!$A$1:$O$86,15,0)),0,VLOOKUP($T$876,'TAR FIN'!$A$1:$O$86,15,0))</f>
        <v>324.5</v>
      </c>
      <c r="X876" s="6">
        <f>IF(ISERROR(VLOOKUP($U$876,'TAR FIN'!$A$1:$O$86,15,0)),0,VLOOKUP($U$876,'TAR FIN'!$A$1:$O$86,15,0))</f>
        <v>258.20999999999998</v>
      </c>
      <c r="Y876" s="6"/>
      <c r="Z876" s="6">
        <f ca="1">('TUSD BE'!$AM$49+'TUSD BF_350'!$AM$49+'TUSD CVA'!$AM$49)*1</f>
        <v>330.1561966420345</v>
      </c>
      <c r="AA876" s="6">
        <f ca="1">('TE BE'!$AB$39+'TE BF_350'!$AB$39+'TE CVA'!$AB$39)*1</f>
        <v>230.58259134858577</v>
      </c>
      <c r="AB876" s="6">
        <f>$K$876*$V$876</f>
        <v>0</v>
      </c>
      <c r="AC876" s="6">
        <f>$M$876*$W$876</f>
        <v>3737.9155000000001</v>
      </c>
      <c r="AD876" s="6">
        <f>$O$876*$X$876</f>
        <v>2974.3209899999997</v>
      </c>
      <c r="AE876" s="6">
        <f>$K$876*$Y$876</f>
        <v>0</v>
      </c>
      <c r="AF876" s="6">
        <f ca="1">$M$876*$Z$876</f>
        <v>3803.0692291195955</v>
      </c>
      <c r="AG876" s="6">
        <f ca="1">$O$876*$AA$876</f>
        <v>2656.0808697443595</v>
      </c>
    </row>
    <row r="877" spans="1:33" ht="11.25" customHeight="1" x14ac:dyDescent="0.25">
      <c r="A877" s="4" t="s">
        <v>21</v>
      </c>
      <c r="B877" s="4" t="s">
        <v>36</v>
      </c>
      <c r="C877" s="4" t="s">
        <v>23</v>
      </c>
      <c r="D877" s="4" t="s">
        <v>37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44682</v>
      </c>
      <c r="J877" s="6">
        <v>0</v>
      </c>
      <c r="K877" s="6">
        <v>0</v>
      </c>
      <c r="L877" s="6">
        <v>74.156000000000006</v>
      </c>
      <c r="M877" s="6">
        <v>74.156000000000006</v>
      </c>
      <c r="N877" s="6">
        <v>74.156000000000006</v>
      </c>
      <c r="O877" s="6">
        <v>74.156000000000006</v>
      </c>
      <c r="P877" s="6">
        <v>94</v>
      </c>
      <c r="Q877" s="4" t="s">
        <v>26</v>
      </c>
      <c r="R877" s="4">
        <v>0</v>
      </c>
      <c r="S877" s="6">
        <v>0</v>
      </c>
      <c r="T877" s="6">
        <v>34</v>
      </c>
      <c r="U877" s="6">
        <v>80</v>
      </c>
      <c r="V877" s="6">
        <f>IF(ISERROR(VLOOKUP($S$877,'TAR FIN'!$A$1:$O$86,15,0)),0,VLOOKUP($S$877,'TAR FIN'!$A$1:$O$86,15,0))</f>
        <v>0</v>
      </c>
      <c r="W877" s="6">
        <f>IF(ISERROR(VLOOKUP($T$877,'TAR FIN'!$A$1:$O$86,15,0)),0,VLOOKUP($T$877,'TAR FIN'!$A$1:$O$86,15,0))</f>
        <v>324.5</v>
      </c>
      <c r="X877" s="6">
        <f>IF(ISERROR(VLOOKUP($U$877,'TAR FIN'!$A$1:$O$86,15,0)),0,VLOOKUP($U$877,'TAR FIN'!$A$1:$O$86,15,0))</f>
        <v>258.20999999999998</v>
      </c>
      <c r="Y877" s="6"/>
      <c r="Z877" s="6">
        <f ca="1">('TUSD BE'!$AM$49+'TUSD BF_350'!$AM$49+'TUSD CVA'!$AM$49)*1</f>
        <v>330.1561966420345</v>
      </c>
      <c r="AA877" s="6">
        <f ca="1">('TE BE'!$AB$39+'TE BF_350'!$AB$39+'TE CVA'!$AB$39)*1</f>
        <v>230.58259134858577</v>
      </c>
      <c r="AB877" s="6">
        <f>$K$877*$V$877</f>
        <v>0</v>
      </c>
      <c r="AC877" s="6">
        <f>$M$877*$W$877</f>
        <v>24063.622000000003</v>
      </c>
      <c r="AD877" s="6">
        <f>$O$877*$X$877</f>
        <v>19147.820759999999</v>
      </c>
      <c r="AE877" s="6">
        <f>$K$877*$Y$877</f>
        <v>0</v>
      </c>
      <c r="AF877" s="6">
        <f ca="1">$M$877*$Z$877</f>
        <v>24483.062918186712</v>
      </c>
      <c r="AG877" s="6">
        <f ca="1">$O$877*$AA$877</f>
        <v>17099.082644045728</v>
      </c>
    </row>
    <row r="878" spans="1:33" ht="11.25" customHeight="1" x14ac:dyDescent="0.25">
      <c r="A878" s="4" t="s">
        <v>55</v>
      </c>
      <c r="B878" s="4" t="s">
        <v>36</v>
      </c>
      <c r="C878" s="4" t="s">
        <v>23</v>
      </c>
      <c r="D878" s="4" t="s">
        <v>37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44682</v>
      </c>
      <c r="J878" s="6">
        <v>0</v>
      </c>
      <c r="K878" s="6">
        <v>0</v>
      </c>
      <c r="L878" s="6">
        <v>9.9749999999999996</v>
      </c>
      <c r="M878" s="6">
        <v>9.9749999999999996</v>
      </c>
      <c r="N878" s="6">
        <v>9.9749999999999996</v>
      </c>
      <c r="O878" s="6">
        <v>9.9749999999999996</v>
      </c>
      <c r="P878" s="6">
        <v>24</v>
      </c>
      <c r="Q878" s="4" t="s">
        <v>26</v>
      </c>
      <c r="R878" s="4">
        <v>0</v>
      </c>
      <c r="S878" s="6">
        <v>0</v>
      </c>
      <c r="T878" s="6">
        <v>34</v>
      </c>
      <c r="U878" s="6">
        <v>80</v>
      </c>
      <c r="V878" s="6">
        <f>IF(ISERROR(VLOOKUP($S$878,'TAR FIN'!$A$1:$O$86,15,0)),0,VLOOKUP($S$878,'TAR FIN'!$A$1:$O$86,15,0))</f>
        <v>0</v>
      </c>
      <c r="W878" s="6">
        <f>IF(ISERROR(VLOOKUP($T$878,'TAR FIN'!$A$1:$O$86,15,0)),0,VLOOKUP($T$878,'TAR FIN'!$A$1:$O$86,15,0))</f>
        <v>324.5</v>
      </c>
      <c r="X878" s="6">
        <f>IF(ISERROR(VLOOKUP($U$878,'TAR FIN'!$A$1:$O$86,15,0)),0,VLOOKUP($U$878,'TAR FIN'!$A$1:$O$86,15,0))</f>
        <v>258.20999999999998</v>
      </c>
      <c r="Y878" s="6"/>
      <c r="Z878" s="6">
        <f ca="1">('TUSD BE'!$AM$49+'TUSD BF_350'!$AM$49+'TUSD CVA'!$AM$49)*1</f>
        <v>330.1561966420345</v>
      </c>
      <c r="AA878" s="6">
        <f ca="1">('TE BE'!$AB$39+'TE BF_350'!$AB$39+'TE CVA'!$AB$39)*1</f>
        <v>230.58259134858577</v>
      </c>
      <c r="AB878" s="6">
        <f>$K$878*$V$878</f>
        <v>0</v>
      </c>
      <c r="AC878" s="6">
        <f>$M$878*$W$878</f>
        <v>3236.8874999999998</v>
      </c>
      <c r="AD878" s="6">
        <f>$O$878*$X$878</f>
        <v>2575.6447499999999</v>
      </c>
      <c r="AE878" s="6">
        <f>$K$878*$Y$878</f>
        <v>0</v>
      </c>
      <c r="AF878" s="6">
        <f ca="1">$M$878*$Z$878</f>
        <v>3293.3080615042941</v>
      </c>
      <c r="AG878" s="6">
        <f ca="1">$O$878*$AA$878</f>
        <v>2300.0613487021428</v>
      </c>
    </row>
    <row r="879" spans="1:33" ht="11.25" customHeight="1" x14ac:dyDescent="0.25">
      <c r="A879" s="4" t="s">
        <v>56</v>
      </c>
      <c r="B879" s="4" t="s">
        <v>36</v>
      </c>
      <c r="C879" s="4" t="s">
        <v>23</v>
      </c>
      <c r="D879" s="4" t="s">
        <v>37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44713</v>
      </c>
      <c r="J879" s="6">
        <v>0</v>
      </c>
      <c r="K879" s="6">
        <v>0</v>
      </c>
      <c r="L879" s="6">
        <v>74.156000000000006</v>
      </c>
      <c r="M879" s="6">
        <v>74.156000000000006</v>
      </c>
      <c r="N879" s="6">
        <v>74.156000000000006</v>
      </c>
      <c r="O879" s="6">
        <v>74.156000000000006</v>
      </c>
      <c r="P879" s="6">
        <v>94</v>
      </c>
      <c r="Q879" s="4" t="s">
        <v>26</v>
      </c>
      <c r="R879" s="4">
        <v>0</v>
      </c>
      <c r="S879" s="6">
        <v>0</v>
      </c>
      <c r="T879" s="6">
        <v>34</v>
      </c>
      <c r="U879" s="6">
        <v>80</v>
      </c>
      <c r="V879" s="6">
        <f>IF(ISERROR(VLOOKUP($S$879,'TAR FIN'!$A$1:$O$86,15,0)),0,VLOOKUP($S$879,'TAR FIN'!$A$1:$O$86,15,0))</f>
        <v>0</v>
      </c>
      <c r="W879" s="6">
        <f>IF(ISERROR(VLOOKUP($T$879,'TAR FIN'!$A$1:$O$86,15,0)),0,VLOOKUP($T$879,'TAR FIN'!$A$1:$O$86,15,0))</f>
        <v>324.5</v>
      </c>
      <c r="X879" s="6">
        <f>IF(ISERROR(VLOOKUP($U$879,'TAR FIN'!$A$1:$O$86,15,0)),0,VLOOKUP($U$879,'TAR FIN'!$A$1:$O$86,15,0))</f>
        <v>258.20999999999998</v>
      </c>
      <c r="Y879" s="6"/>
      <c r="Z879" s="6">
        <f ca="1">('TUSD BE'!$AM$49+'TUSD BF_350'!$AM$49+'TUSD CVA'!$AM$49)*1</f>
        <v>330.1561966420345</v>
      </c>
      <c r="AA879" s="6">
        <f ca="1">('TE BE'!$AB$39+'TE BF_350'!$AB$39+'TE CVA'!$AB$39)*1</f>
        <v>230.58259134858577</v>
      </c>
      <c r="AB879" s="6">
        <f>$K$879*$V$879</f>
        <v>0</v>
      </c>
      <c r="AC879" s="6">
        <f>$M$879*$W$879</f>
        <v>24063.622000000003</v>
      </c>
      <c r="AD879" s="6">
        <f>$O$879*$X$879</f>
        <v>19147.820759999999</v>
      </c>
      <c r="AE879" s="6">
        <f>$K$879*$Y$879</f>
        <v>0</v>
      </c>
      <c r="AF879" s="6">
        <f ca="1">$M$879*$Z$879</f>
        <v>24483.062918186712</v>
      </c>
      <c r="AG879" s="6">
        <f ca="1">$O$879*$AA$879</f>
        <v>17099.082644045728</v>
      </c>
    </row>
    <row r="880" spans="1:33" ht="11.25" customHeight="1" x14ac:dyDescent="0.25">
      <c r="A880" s="4" t="s">
        <v>56</v>
      </c>
      <c r="B880" s="4" t="s">
        <v>36</v>
      </c>
      <c r="C880" s="4" t="s">
        <v>23</v>
      </c>
      <c r="D880" s="4" t="s">
        <v>37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44713</v>
      </c>
      <c r="J880" s="6">
        <v>0</v>
      </c>
      <c r="K880" s="6">
        <v>0</v>
      </c>
      <c r="L880" s="6">
        <v>9.9749999999999996</v>
      </c>
      <c r="M880" s="6">
        <v>9.9749999999999996</v>
      </c>
      <c r="N880" s="6">
        <v>9.9749999999999996</v>
      </c>
      <c r="O880" s="6">
        <v>9.9749999999999996</v>
      </c>
      <c r="P880" s="6">
        <v>24</v>
      </c>
      <c r="Q880" s="4" t="s">
        <v>26</v>
      </c>
      <c r="R880" s="4">
        <v>0</v>
      </c>
      <c r="S880" s="6">
        <v>0</v>
      </c>
      <c r="T880" s="6">
        <v>34</v>
      </c>
      <c r="U880" s="6">
        <v>80</v>
      </c>
      <c r="V880" s="6">
        <f>IF(ISERROR(VLOOKUP($S$880,'TAR FIN'!$A$1:$O$86,15,0)),0,VLOOKUP($S$880,'TAR FIN'!$A$1:$O$86,15,0))</f>
        <v>0</v>
      </c>
      <c r="W880" s="6">
        <f>IF(ISERROR(VLOOKUP($T$880,'TAR FIN'!$A$1:$O$86,15,0)),0,VLOOKUP($T$880,'TAR FIN'!$A$1:$O$86,15,0))</f>
        <v>324.5</v>
      </c>
      <c r="X880" s="6">
        <f>IF(ISERROR(VLOOKUP($U$880,'TAR FIN'!$A$1:$O$86,15,0)),0,VLOOKUP($U$880,'TAR FIN'!$A$1:$O$86,15,0))</f>
        <v>258.20999999999998</v>
      </c>
      <c r="Y880" s="6"/>
      <c r="Z880" s="6">
        <f ca="1">('TUSD BE'!$AM$49+'TUSD BF_350'!$AM$49+'TUSD CVA'!$AM$49)*1</f>
        <v>330.1561966420345</v>
      </c>
      <c r="AA880" s="6">
        <f ca="1">('TE BE'!$AB$39+'TE BF_350'!$AB$39+'TE CVA'!$AB$39)*1</f>
        <v>230.58259134858577</v>
      </c>
      <c r="AB880" s="6">
        <f>$K$880*$V$880</f>
        <v>0</v>
      </c>
      <c r="AC880" s="6">
        <f>$M$880*$W$880</f>
        <v>3236.8874999999998</v>
      </c>
      <c r="AD880" s="6">
        <f>$O$880*$X$880</f>
        <v>2575.6447499999999</v>
      </c>
      <c r="AE880" s="6">
        <f>$K$880*$Y$880</f>
        <v>0</v>
      </c>
      <c r="AF880" s="6">
        <f ca="1">$M$880*$Z$880</f>
        <v>3293.3080615042941</v>
      </c>
      <c r="AG880" s="6">
        <f ca="1">$O$880*$AA$880</f>
        <v>2300.0613487021428</v>
      </c>
    </row>
    <row r="881" spans="1:33" ht="11.25" customHeight="1" x14ac:dyDescent="0.25">
      <c r="A881" s="4" t="s">
        <v>21</v>
      </c>
      <c r="B881" s="4" t="s">
        <v>36</v>
      </c>
      <c r="C881" s="4" t="s">
        <v>23</v>
      </c>
      <c r="D881" s="4" t="s">
        <v>44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44378</v>
      </c>
      <c r="J881" s="6">
        <v>0</v>
      </c>
      <c r="K881" s="6">
        <v>0</v>
      </c>
      <c r="L881" s="6">
        <v>295.88299999999998</v>
      </c>
      <c r="M881" s="6">
        <v>295.88299999999998</v>
      </c>
      <c r="N881" s="6">
        <v>295.88299999999998</v>
      </c>
      <c r="O881" s="6">
        <v>295.88299999999998</v>
      </c>
      <c r="P881" s="6">
        <v>419</v>
      </c>
      <c r="Q881" s="4" t="s">
        <v>26</v>
      </c>
      <c r="R881" s="4">
        <v>0</v>
      </c>
      <c r="S881" s="6">
        <v>0</v>
      </c>
      <c r="T881" s="6">
        <v>34</v>
      </c>
      <c r="U881" s="6">
        <v>80</v>
      </c>
      <c r="V881" s="6">
        <f>IF(ISERROR(VLOOKUP($S$881,'TAR FIN'!$A$1:$O$86,15,0)),0,VLOOKUP($S$881,'TAR FIN'!$A$1:$O$86,15,0))</f>
        <v>0</v>
      </c>
      <c r="W881" s="6">
        <f>IF(ISERROR(VLOOKUP($T$881,'TAR FIN'!$A$1:$O$86,15,0)),0,VLOOKUP($T$881,'TAR FIN'!$A$1:$O$86,15,0))</f>
        <v>324.5</v>
      </c>
      <c r="X881" s="6">
        <f>IF(ISERROR(VLOOKUP($U$881,'TAR FIN'!$A$1:$O$86,15,0)),0,VLOOKUP($U$881,'TAR FIN'!$A$1:$O$86,15,0))</f>
        <v>258.20999999999998</v>
      </c>
      <c r="Y881" s="6"/>
      <c r="Z881" s="6">
        <f ca="1">('TUSD BE'!$AM$49+'TUSD BF_350'!$AM$49+'TUSD CVA'!$AM$49)*1</f>
        <v>330.1561966420345</v>
      </c>
      <c r="AA881" s="6">
        <f ca="1">('TE BE'!$AB$39+'TE BF_350'!$AB$39+'TE CVA'!$AB$39)*1</f>
        <v>230.58259134858577</v>
      </c>
      <c r="AB881" s="6">
        <f>$K$881*$V$881</f>
        <v>0</v>
      </c>
      <c r="AC881" s="6">
        <f>$M$881*$W$881</f>
        <v>96014.03349999999</v>
      </c>
      <c r="AD881" s="6">
        <f>$O$881*$X$881</f>
        <v>76399.949429999993</v>
      </c>
      <c r="AE881" s="6">
        <f>$K$881*$Y$881</f>
        <v>0</v>
      </c>
      <c r="AF881" s="6">
        <f ca="1">$M$881*$Z$881</f>
        <v>97687.605931035083</v>
      </c>
      <c r="AG881" s="6">
        <f ca="1">$O$881*$AA$881</f>
        <v>68225.468875993596</v>
      </c>
    </row>
    <row r="882" spans="1:33" ht="11.25" customHeight="1" x14ac:dyDescent="0.25">
      <c r="A882" s="4" t="s">
        <v>21</v>
      </c>
      <c r="B882" s="4" t="s">
        <v>36</v>
      </c>
      <c r="C882" s="4" t="s">
        <v>23</v>
      </c>
      <c r="D882" s="4" t="s">
        <v>44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44409</v>
      </c>
      <c r="J882" s="6">
        <v>0</v>
      </c>
      <c r="K882" s="6">
        <v>0</v>
      </c>
      <c r="L882" s="6">
        <v>287.26499999999999</v>
      </c>
      <c r="M882" s="6">
        <v>287.26499999999999</v>
      </c>
      <c r="N882" s="6">
        <v>287.26499999999999</v>
      </c>
      <c r="O882" s="6">
        <v>287.26499999999999</v>
      </c>
      <c r="P882" s="6">
        <v>420</v>
      </c>
      <c r="Q882" s="4" t="s">
        <v>26</v>
      </c>
      <c r="R882" s="4">
        <v>0</v>
      </c>
      <c r="S882" s="6">
        <v>0</v>
      </c>
      <c r="T882" s="6">
        <v>34</v>
      </c>
      <c r="U882" s="6">
        <v>80</v>
      </c>
      <c r="V882" s="6">
        <f>IF(ISERROR(VLOOKUP($S$882,'TAR FIN'!$A$1:$O$86,15,0)),0,VLOOKUP($S$882,'TAR FIN'!$A$1:$O$86,15,0))</f>
        <v>0</v>
      </c>
      <c r="W882" s="6">
        <f>IF(ISERROR(VLOOKUP($T$882,'TAR FIN'!$A$1:$O$86,15,0)),0,VLOOKUP($T$882,'TAR FIN'!$A$1:$O$86,15,0))</f>
        <v>324.5</v>
      </c>
      <c r="X882" s="6">
        <f>IF(ISERROR(VLOOKUP($U$882,'TAR FIN'!$A$1:$O$86,15,0)),0,VLOOKUP($U$882,'TAR FIN'!$A$1:$O$86,15,0))</f>
        <v>258.20999999999998</v>
      </c>
      <c r="Y882" s="6"/>
      <c r="Z882" s="6">
        <f ca="1">('TUSD BE'!$AM$49+'TUSD BF_350'!$AM$49+'TUSD CVA'!$AM$49)*1</f>
        <v>330.1561966420345</v>
      </c>
      <c r="AA882" s="6">
        <f ca="1">('TE BE'!$AB$39+'TE BF_350'!$AB$39+'TE CVA'!$AB$39)*1</f>
        <v>230.58259134858577</v>
      </c>
      <c r="AB882" s="6">
        <f>$K$882*$V$882</f>
        <v>0</v>
      </c>
      <c r="AC882" s="6">
        <f>$M$882*$W$882</f>
        <v>93217.492499999993</v>
      </c>
      <c r="AD882" s="6">
        <f>$O$882*$X$882</f>
        <v>74174.695649999994</v>
      </c>
      <c r="AE882" s="6">
        <f>$K$882*$Y$882</f>
        <v>0</v>
      </c>
      <c r="AF882" s="6">
        <f ca="1">$M$882*$Z$882</f>
        <v>94842.319828374035</v>
      </c>
      <c r="AG882" s="6">
        <f ca="1">$O$882*$AA$882</f>
        <v>66238.308103751493</v>
      </c>
    </row>
    <row r="883" spans="1:33" ht="11.25" customHeight="1" x14ac:dyDescent="0.25">
      <c r="A883" s="4" t="s">
        <v>21</v>
      </c>
      <c r="B883" s="4" t="s">
        <v>36</v>
      </c>
      <c r="C883" s="4" t="s">
        <v>23</v>
      </c>
      <c r="D883" s="4" t="s">
        <v>44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44440</v>
      </c>
      <c r="J883" s="6">
        <v>0</v>
      </c>
      <c r="K883" s="6">
        <v>0</v>
      </c>
      <c r="L883" s="6">
        <v>255.31399999999999</v>
      </c>
      <c r="M883" s="6">
        <v>255.31399999999999</v>
      </c>
      <c r="N883" s="6">
        <v>255.31399999999999</v>
      </c>
      <c r="O883" s="6">
        <v>255.31399999999999</v>
      </c>
      <c r="P883" s="6">
        <v>418</v>
      </c>
      <c r="Q883" s="4" t="s">
        <v>26</v>
      </c>
      <c r="R883" s="4">
        <v>0</v>
      </c>
      <c r="S883" s="6">
        <v>0</v>
      </c>
      <c r="T883" s="6">
        <v>34</v>
      </c>
      <c r="U883" s="6">
        <v>80</v>
      </c>
      <c r="V883" s="6">
        <f>IF(ISERROR(VLOOKUP($S$883,'TAR FIN'!$A$1:$O$86,15,0)),0,VLOOKUP($S$883,'TAR FIN'!$A$1:$O$86,15,0))</f>
        <v>0</v>
      </c>
      <c r="W883" s="6">
        <f>IF(ISERROR(VLOOKUP($T$883,'TAR FIN'!$A$1:$O$86,15,0)),0,VLOOKUP($T$883,'TAR FIN'!$A$1:$O$86,15,0))</f>
        <v>324.5</v>
      </c>
      <c r="X883" s="6">
        <f>IF(ISERROR(VLOOKUP($U$883,'TAR FIN'!$A$1:$O$86,15,0)),0,VLOOKUP($U$883,'TAR FIN'!$A$1:$O$86,15,0))</f>
        <v>258.20999999999998</v>
      </c>
      <c r="Y883" s="6"/>
      <c r="Z883" s="6">
        <f ca="1">('TUSD BE'!$AM$49+'TUSD BF_350'!$AM$49+'TUSD CVA'!$AM$49)*1</f>
        <v>330.1561966420345</v>
      </c>
      <c r="AA883" s="6">
        <f ca="1">('TE BE'!$AB$39+'TE BF_350'!$AB$39+'TE CVA'!$AB$39)*1</f>
        <v>230.58259134858577</v>
      </c>
      <c r="AB883" s="6">
        <f>$K$883*$V$883</f>
        <v>0</v>
      </c>
      <c r="AC883" s="6">
        <f>$M$883*$W$883</f>
        <v>82849.392999999996</v>
      </c>
      <c r="AD883" s="6">
        <f>$O$883*$X$883</f>
        <v>65924.627939999991</v>
      </c>
      <c r="AE883" s="6">
        <f>$K$883*$Y$883</f>
        <v>0</v>
      </c>
      <c r="AF883" s="6">
        <f ca="1">$M$883*$Z$883</f>
        <v>84293.49918946439</v>
      </c>
      <c r="AG883" s="6">
        <f ca="1">$O$883*$AA$883</f>
        <v>58870.963727572824</v>
      </c>
    </row>
    <row r="884" spans="1:33" ht="11.25" customHeight="1" x14ac:dyDescent="0.25">
      <c r="A884" s="4" t="s">
        <v>21</v>
      </c>
      <c r="B884" s="4" t="s">
        <v>36</v>
      </c>
      <c r="C884" s="4" t="s">
        <v>23</v>
      </c>
      <c r="D884" s="4" t="s">
        <v>44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44470</v>
      </c>
      <c r="J884" s="6">
        <v>0</v>
      </c>
      <c r="K884" s="6">
        <v>0</v>
      </c>
      <c r="L884" s="6">
        <v>241.05600000000001</v>
      </c>
      <c r="M884" s="6">
        <v>241.05600000000001</v>
      </c>
      <c r="N884" s="6">
        <v>241.05600000000001</v>
      </c>
      <c r="O884" s="6">
        <v>241.05600000000001</v>
      </c>
      <c r="P884" s="6">
        <v>421</v>
      </c>
      <c r="Q884" s="4" t="s">
        <v>26</v>
      </c>
      <c r="R884" s="4">
        <v>0</v>
      </c>
      <c r="S884" s="6">
        <v>0</v>
      </c>
      <c r="T884" s="6">
        <v>34</v>
      </c>
      <c r="U884" s="6">
        <v>80</v>
      </c>
      <c r="V884" s="6">
        <f>IF(ISERROR(VLOOKUP($S$884,'TAR FIN'!$A$1:$O$86,15,0)),0,VLOOKUP($S$884,'TAR FIN'!$A$1:$O$86,15,0))</f>
        <v>0</v>
      </c>
      <c r="W884" s="6">
        <f>IF(ISERROR(VLOOKUP($T$884,'TAR FIN'!$A$1:$O$86,15,0)),0,VLOOKUP($T$884,'TAR FIN'!$A$1:$O$86,15,0))</f>
        <v>324.5</v>
      </c>
      <c r="X884" s="6">
        <f>IF(ISERROR(VLOOKUP($U$884,'TAR FIN'!$A$1:$O$86,15,0)),0,VLOOKUP($U$884,'TAR FIN'!$A$1:$O$86,15,0))</f>
        <v>258.20999999999998</v>
      </c>
      <c r="Y884" s="6"/>
      <c r="Z884" s="6">
        <f ca="1">('TUSD BE'!$AM$49+'TUSD BF_350'!$AM$49+'TUSD CVA'!$AM$49)*1</f>
        <v>330.1561966420345</v>
      </c>
      <c r="AA884" s="6">
        <f ca="1">('TE BE'!$AB$39+'TE BF_350'!$AB$39+'TE CVA'!$AB$39)*1</f>
        <v>230.58259134858577</v>
      </c>
      <c r="AB884" s="6">
        <f>$K$884*$V$884</f>
        <v>0</v>
      </c>
      <c r="AC884" s="6">
        <f>$M$884*$W$884</f>
        <v>78222.672000000006</v>
      </c>
      <c r="AD884" s="6">
        <f>$O$884*$X$884</f>
        <v>62243.069759999998</v>
      </c>
      <c r="AE884" s="6">
        <f>$K$884*$Y$884</f>
        <v>0</v>
      </c>
      <c r="AF884" s="6">
        <f ca="1">$M$884*$Z$884</f>
        <v>79586.132137742272</v>
      </c>
      <c r="AG884" s="6">
        <f ca="1">$O$884*$AA$884</f>
        <v>55583.317140124695</v>
      </c>
    </row>
    <row r="885" spans="1:33" ht="11.25" customHeight="1" x14ac:dyDescent="0.25">
      <c r="A885" s="4" t="s">
        <v>27</v>
      </c>
      <c r="B885" s="4" t="s">
        <v>36</v>
      </c>
      <c r="C885" s="4" t="s">
        <v>23</v>
      </c>
      <c r="D885" s="4" t="s">
        <v>44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44470</v>
      </c>
      <c r="J885" s="6">
        <v>0</v>
      </c>
      <c r="K885" s="6">
        <v>0</v>
      </c>
      <c r="L885" s="6">
        <v>0.16500000000000001</v>
      </c>
      <c r="M885" s="6">
        <v>0.16500000000000001</v>
      </c>
      <c r="N885" s="6">
        <v>0.16500000000000001</v>
      </c>
      <c r="O885" s="6">
        <v>0.16500000000000001</v>
      </c>
      <c r="P885" s="6">
        <v>0</v>
      </c>
      <c r="Q885" s="4" t="s">
        <v>26</v>
      </c>
      <c r="R885" s="4">
        <v>0</v>
      </c>
      <c r="S885" s="6">
        <v>0</v>
      </c>
      <c r="T885" s="6">
        <v>34</v>
      </c>
      <c r="U885" s="6">
        <v>80</v>
      </c>
      <c r="V885" s="6">
        <f>IF(ISERROR(VLOOKUP($S$885,'TAR FIN'!$A$1:$O$86,15,0)),0,VLOOKUP($S$885,'TAR FIN'!$A$1:$O$86,15,0))</f>
        <v>0</v>
      </c>
      <c r="W885" s="6">
        <f>IF(ISERROR(VLOOKUP($T$885,'TAR FIN'!$A$1:$O$86,15,0)),0,VLOOKUP($T$885,'TAR FIN'!$A$1:$O$86,15,0))</f>
        <v>324.5</v>
      </c>
      <c r="X885" s="6">
        <f>IF(ISERROR(VLOOKUP($U$885,'TAR FIN'!$A$1:$O$86,15,0)),0,VLOOKUP($U$885,'TAR FIN'!$A$1:$O$86,15,0))</f>
        <v>258.20999999999998</v>
      </c>
      <c r="Y885" s="6"/>
      <c r="Z885" s="6">
        <f ca="1">('TUSD BE'!$AM$49+'TUSD BF_350'!$AM$49+'TUSD CVA'!$AM$49)*1</f>
        <v>330.1561966420345</v>
      </c>
      <c r="AA885" s="6">
        <f ca="1">('TE BE'!$AB$39+'TE BF_350'!$AB$39+'TE CVA'!$AB$39)*1</f>
        <v>230.58259134858577</v>
      </c>
      <c r="AB885" s="6">
        <f>$K$885*$V$885</f>
        <v>0</v>
      </c>
      <c r="AC885" s="6">
        <f>$M$885*$W$885</f>
        <v>53.542500000000004</v>
      </c>
      <c r="AD885" s="6">
        <f>$O$885*$X$885</f>
        <v>42.604649999999999</v>
      </c>
      <c r="AE885" s="6">
        <f>$K$885*$Y$885</f>
        <v>0</v>
      </c>
      <c r="AF885" s="6">
        <f ca="1">$M$885*$Z$885</f>
        <v>54.475772445935696</v>
      </c>
      <c r="AG885" s="6">
        <f ca="1">$O$885*$AA$885</f>
        <v>38.046127572516653</v>
      </c>
    </row>
    <row r="886" spans="1:33" ht="11.25" customHeight="1" x14ac:dyDescent="0.25">
      <c r="A886" s="4" t="s">
        <v>21</v>
      </c>
      <c r="B886" s="4" t="s">
        <v>36</v>
      </c>
      <c r="C886" s="4" t="s">
        <v>23</v>
      </c>
      <c r="D886" s="4" t="s">
        <v>44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44501</v>
      </c>
      <c r="J886" s="6">
        <v>0</v>
      </c>
      <c r="K886" s="6">
        <v>0</v>
      </c>
      <c r="L886" s="6">
        <v>248.298</v>
      </c>
      <c r="M886" s="6">
        <v>248.298</v>
      </c>
      <c r="N886" s="6">
        <v>248.298</v>
      </c>
      <c r="O886" s="6">
        <v>248.298</v>
      </c>
      <c r="P886" s="6">
        <v>419</v>
      </c>
      <c r="Q886" s="4" t="s">
        <v>26</v>
      </c>
      <c r="R886" s="4">
        <v>0</v>
      </c>
      <c r="S886" s="6">
        <v>0</v>
      </c>
      <c r="T886" s="6">
        <v>34</v>
      </c>
      <c r="U886" s="6">
        <v>80</v>
      </c>
      <c r="V886" s="6">
        <f>IF(ISERROR(VLOOKUP($S$886,'TAR FIN'!$A$1:$O$86,15,0)),0,VLOOKUP($S$886,'TAR FIN'!$A$1:$O$86,15,0))</f>
        <v>0</v>
      </c>
      <c r="W886" s="6">
        <f>IF(ISERROR(VLOOKUP($T$886,'TAR FIN'!$A$1:$O$86,15,0)),0,VLOOKUP($T$886,'TAR FIN'!$A$1:$O$86,15,0))</f>
        <v>324.5</v>
      </c>
      <c r="X886" s="6">
        <f>IF(ISERROR(VLOOKUP($U$886,'TAR FIN'!$A$1:$O$86,15,0)),0,VLOOKUP($U$886,'TAR FIN'!$A$1:$O$86,15,0))</f>
        <v>258.20999999999998</v>
      </c>
      <c r="Y886" s="6"/>
      <c r="Z886" s="6">
        <f ca="1">('TUSD BE'!$AM$49+'TUSD BF_350'!$AM$49+'TUSD CVA'!$AM$49)*1</f>
        <v>330.1561966420345</v>
      </c>
      <c r="AA886" s="6">
        <f ca="1">('TE BE'!$AB$39+'TE BF_350'!$AB$39+'TE CVA'!$AB$39)*1</f>
        <v>230.58259134858577</v>
      </c>
      <c r="AB886" s="6">
        <f>$K$886*$V$886</f>
        <v>0</v>
      </c>
      <c r="AC886" s="6">
        <f>$M$886*$W$886</f>
        <v>80572.701000000001</v>
      </c>
      <c r="AD886" s="6">
        <f>$O$886*$X$886</f>
        <v>64113.026579999998</v>
      </c>
      <c r="AE886" s="6">
        <f>$K$886*$Y$886</f>
        <v>0</v>
      </c>
      <c r="AF886" s="6">
        <f ca="1">$M$886*$Z$886</f>
        <v>81977.123313823889</v>
      </c>
      <c r="AG886" s="6">
        <f ca="1">$O$886*$AA$886</f>
        <v>57253.196266671148</v>
      </c>
    </row>
    <row r="887" spans="1:33" ht="11.25" customHeight="1" x14ac:dyDescent="0.25">
      <c r="A887" s="4" t="s">
        <v>21</v>
      </c>
      <c r="B887" s="4" t="s">
        <v>36</v>
      </c>
      <c r="C887" s="4" t="s">
        <v>23</v>
      </c>
      <c r="D887" s="4" t="s">
        <v>44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44531</v>
      </c>
      <c r="J887" s="6">
        <v>0</v>
      </c>
      <c r="K887" s="6">
        <v>0</v>
      </c>
      <c r="L887" s="6">
        <v>343.28899999999999</v>
      </c>
      <c r="M887" s="6">
        <v>343.28899999999999</v>
      </c>
      <c r="N887" s="6">
        <v>343.28899999999999</v>
      </c>
      <c r="O887" s="6">
        <v>343.28899999999999</v>
      </c>
      <c r="P887" s="6">
        <v>421</v>
      </c>
      <c r="Q887" s="4" t="s">
        <v>26</v>
      </c>
      <c r="R887" s="4">
        <v>0</v>
      </c>
      <c r="S887" s="6">
        <v>0</v>
      </c>
      <c r="T887" s="6">
        <v>34</v>
      </c>
      <c r="U887" s="6">
        <v>80</v>
      </c>
      <c r="V887" s="6">
        <f>IF(ISERROR(VLOOKUP($S$887,'TAR FIN'!$A$1:$O$86,15,0)),0,VLOOKUP($S$887,'TAR FIN'!$A$1:$O$86,15,0))</f>
        <v>0</v>
      </c>
      <c r="W887" s="6">
        <f>IF(ISERROR(VLOOKUP($T$887,'TAR FIN'!$A$1:$O$86,15,0)),0,VLOOKUP($T$887,'TAR FIN'!$A$1:$O$86,15,0))</f>
        <v>324.5</v>
      </c>
      <c r="X887" s="6">
        <f>IF(ISERROR(VLOOKUP($U$887,'TAR FIN'!$A$1:$O$86,15,0)),0,VLOOKUP($U$887,'TAR FIN'!$A$1:$O$86,15,0))</f>
        <v>258.20999999999998</v>
      </c>
      <c r="Y887" s="6"/>
      <c r="Z887" s="6">
        <f ca="1">('TUSD BE'!$AM$49+'TUSD BF_350'!$AM$49+'TUSD CVA'!$AM$49)*1</f>
        <v>330.1561966420345</v>
      </c>
      <c r="AA887" s="6">
        <f ca="1">('TE BE'!$AB$39+'TE BF_350'!$AB$39+'TE CVA'!$AB$39)*1</f>
        <v>230.58259134858577</v>
      </c>
      <c r="AB887" s="6">
        <f>$K$887*$V$887</f>
        <v>0</v>
      </c>
      <c r="AC887" s="6">
        <f>$M$887*$W$887</f>
        <v>111397.28049999999</v>
      </c>
      <c r="AD887" s="6">
        <f>$O$887*$X$887</f>
        <v>88640.652689999988</v>
      </c>
      <c r="AE887" s="6">
        <f>$K$887*$Y$887</f>
        <v>0</v>
      </c>
      <c r="AF887" s="6">
        <f ca="1">$M$887*$Z$887</f>
        <v>113338.99058904737</v>
      </c>
      <c r="AG887" s="6">
        <f ca="1">$O$887*$AA$887</f>
        <v>79156.467201464649</v>
      </c>
    </row>
    <row r="888" spans="1:33" ht="11.25" customHeight="1" x14ac:dyDescent="0.25">
      <c r="A888" s="4" t="s">
        <v>21</v>
      </c>
      <c r="B888" s="4" t="s">
        <v>36</v>
      </c>
      <c r="C888" s="4" t="s">
        <v>23</v>
      </c>
      <c r="D888" s="4" t="s">
        <v>44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44562</v>
      </c>
      <c r="J888" s="6">
        <v>0</v>
      </c>
      <c r="K888" s="6">
        <v>0</v>
      </c>
      <c r="L888" s="6">
        <v>303.61599999999999</v>
      </c>
      <c r="M888" s="6">
        <v>303.61599999999999</v>
      </c>
      <c r="N888" s="6">
        <v>303.61599999999999</v>
      </c>
      <c r="O888" s="6">
        <v>303.61599999999999</v>
      </c>
      <c r="P888" s="6">
        <v>428</v>
      </c>
      <c r="Q888" s="4" t="s">
        <v>26</v>
      </c>
      <c r="R888" s="4">
        <v>0</v>
      </c>
      <c r="S888" s="6">
        <v>0</v>
      </c>
      <c r="T888" s="6">
        <v>34</v>
      </c>
      <c r="U888" s="6">
        <v>80</v>
      </c>
      <c r="V888" s="6">
        <f>IF(ISERROR(VLOOKUP($S$888,'TAR FIN'!$A$1:$O$86,15,0)),0,VLOOKUP($S$888,'TAR FIN'!$A$1:$O$86,15,0))</f>
        <v>0</v>
      </c>
      <c r="W888" s="6">
        <f>IF(ISERROR(VLOOKUP($T$888,'TAR FIN'!$A$1:$O$86,15,0)),0,VLOOKUP($T$888,'TAR FIN'!$A$1:$O$86,15,0))</f>
        <v>324.5</v>
      </c>
      <c r="X888" s="6">
        <f>IF(ISERROR(VLOOKUP($U$888,'TAR FIN'!$A$1:$O$86,15,0)),0,VLOOKUP($U$888,'TAR FIN'!$A$1:$O$86,15,0))</f>
        <v>258.20999999999998</v>
      </c>
      <c r="Y888" s="6"/>
      <c r="Z888" s="6">
        <f ca="1">('TUSD BE'!$AM$49+'TUSD BF_350'!$AM$49+'TUSD CVA'!$AM$49)*1</f>
        <v>330.1561966420345</v>
      </c>
      <c r="AA888" s="6">
        <f ca="1">('TE BE'!$AB$39+'TE BF_350'!$AB$39+'TE CVA'!$AB$39)*1</f>
        <v>230.58259134858577</v>
      </c>
      <c r="AB888" s="6">
        <f>$K$888*$V$888</f>
        <v>0</v>
      </c>
      <c r="AC888" s="6">
        <f>$M$888*$W$888</f>
        <v>98523.391999999993</v>
      </c>
      <c r="AD888" s="6">
        <f>$O$888*$X$888</f>
        <v>78396.687359999996</v>
      </c>
      <c r="AE888" s="6">
        <f>$K$888*$Y$888</f>
        <v>0</v>
      </c>
      <c r="AF888" s="6">
        <f ca="1">$M$888*$Z$888</f>
        <v>100240.70379966794</v>
      </c>
      <c r="AG888" s="6">
        <f ca="1">$O$888*$AA$888</f>
        <v>70008.564054892209</v>
      </c>
    </row>
    <row r="889" spans="1:33" ht="11.25" customHeight="1" x14ac:dyDescent="0.25">
      <c r="A889" s="4" t="s">
        <v>21</v>
      </c>
      <c r="B889" s="4" t="s">
        <v>36</v>
      </c>
      <c r="C889" s="4" t="s">
        <v>23</v>
      </c>
      <c r="D889" s="4" t="s">
        <v>44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44593</v>
      </c>
      <c r="J889" s="6">
        <v>0</v>
      </c>
      <c r="K889" s="6">
        <v>0</v>
      </c>
      <c r="L889" s="6">
        <v>306.42200000000003</v>
      </c>
      <c r="M889" s="6">
        <v>306.42200000000003</v>
      </c>
      <c r="N889" s="6">
        <v>306.42200000000003</v>
      </c>
      <c r="O889" s="6">
        <v>306.42200000000003</v>
      </c>
      <c r="P889" s="6">
        <v>438</v>
      </c>
      <c r="Q889" s="4" t="s">
        <v>26</v>
      </c>
      <c r="R889" s="4">
        <v>0</v>
      </c>
      <c r="S889" s="6">
        <v>0</v>
      </c>
      <c r="T889" s="6">
        <v>34</v>
      </c>
      <c r="U889" s="6">
        <v>80</v>
      </c>
      <c r="V889" s="6">
        <f>IF(ISERROR(VLOOKUP($S$889,'TAR FIN'!$A$1:$O$86,15,0)),0,VLOOKUP($S$889,'TAR FIN'!$A$1:$O$86,15,0))</f>
        <v>0</v>
      </c>
      <c r="W889" s="6">
        <f>IF(ISERROR(VLOOKUP($T$889,'TAR FIN'!$A$1:$O$86,15,0)),0,VLOOKUP($T$889,'TAR FIN'!$A$1:$O$86,15,0))</f>
        <v>324.5</v>
      </c>
      <c r="X889" s="6">
        <f>IF(ISERROR(VLOOKUP($U$889,'TAR FIN'!$A$1:$O$86,15,0)),0,VLOOKUP($U$889,'TAR FIN'!$A$1:$O$86,15,0))</f>
        <v>258.20999999999998</v>
      </c>
      <c r="Y889" s="6"/>
      <c r="Z889" s="6">
        <f ca="1">('TUSD BE'!$AM$49+'TUSD BF_350'!$AM$49+'TUSD CVA'!$AM$49)*1</f>
        <v>330.1561966420345</v>
      </c>
      <c r="AA889" s="6">
        <f ca="1">('TE BE'!$AB$39+'TE BF_350'!$AB$39+'TE CVA'!$AB$39)*1</f>
        <v>230.58259134858577</v>
      </c>
      <c r="AB889" s="6">
        <f>$K$889*$V$889</f>
        <v>0</v>
      </c>
      <c r="AC889" s="6">
        <f>$M$889*$W$889</f>
        <v>99433.939000000013</v>
      </c>
      <c r="AD889" s="6">
        <f>$O$889*$X$889</f>
        <v>79121.224619999994</v>
      </c>
      <c r="AE889" s="6">
        <f>$K$889*$Y$889</f>
        <v>0</v>
      </c>
      <c r="AF889" s="6">
        <f ca="1">$M$889*$Z$889</f>
        <v>101167.1220874455</v>
      </c>
      <c r="AG889" s="6">
        <f ca="1">$O$889*$AA$889</f>
        <v>70655.578806216348</v>
      </c>
    </row>
    <row r="890" spans="1:33" ht="11.25" customHeight="1" x14ac:dyDescent="0.25">
      <c r="A890" s="4" t="s">
        <v>21</v>
      </c>
      <c r="B890" s="4" t="s">
        <v>36</v>
      </c>
      <c r="C890" s="4" t="s">
        <v>23</v>
      </c>
      <c r="D890" s="4" t="s">
        <v>44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44621</v>
      </c>
      <c r="J890" s="6">
        <v>0</v>
      </c>
      <c r="K890" s="6">
        <v>0</v>
      </c>
      <c r="L890" s="6">
        <v>406.154</v>
      </c>
      <c r="M890" s="6">
        <v>406.154</v>
      </c>
      <c r="N890" s="6">
        <v>406.154</v>
      </c>
      <c r="O890" s="6">
        <v>406.154</v>
      </c>
      <c r="P890" s="6">
        <v>445</v>
      </c>
      <c r="Q890" s="4" t="s">
        <v>26</v>
      </c>
      <c r="R890" s="4">
        <v>0</v>
      </c>
      <c r="S890" s="6">
        <v>0</v>
      </c>
      <c r="T890" s="6">
        <v>34</v>
      </c>
      <c r="U890" s="6">
        <v>80</v>
      </c>
      <c r="V890" s="6">
        <f>IF(ISERROR(VLOOKUP($S$890,'TAR FIN'!$A$1:$O$86,15,0)),0,VLOOKUP($S$890,'TAR FIN'!$A$1:$O$86,15,0))</f>
        <v>0</v>
      </c>
      <c r="W890" s="6">
        <f>IF(ISERROR(VLOOKUP($T$890,'TAR FIN'!$A$1:$O$86,15,0)),0,VLOOKUP($T$890,'TAR FIN'!$A$1:$O$86,15,0))</f>
        <v>324.5</v>
      </c>
      <c r="X890" s="6">
        <f>IF(ISERROR(VLOOKUP($U$890,'TAR FIN'!$A$1:$O$86,15,0)),0,VLOOKUP($U$890,'TAR FIN'!$A$1:$O$86,15,0))</f>
        <v>258.20999999999998</v>
      </c>
      <c r="Y890" s="6"/>
      <c r="Z890" s="6">
        <f ca="1">('TUSD BE'!$AM$49+'TUSD BF_350'!$AM$49+'TUSD CVA'!$AM$49)*1</f>
        <v>330.1561966420345</v>
      </c>
      <c r="AA890" s="6">
        <f ca="1">('TE BE'!$AB$39+'TE BF_350'!$AB$39+'TE CVA'!$AB$39)*1</f>
        <v>230.58259134858577</v>
      </c>
      <c r="AB890" s="6">
        <f>$K$890*$V$890</f>
        <v>0</v>
      </c>
      <c r="AC890" s="6">
        <f>$M$890*$W$890</f>
        <v>131796.973</v>
      </c>
      <c r="AD890" s="6">
        <f>$O$890*$X$890</f>
        <v>104873.02433999999</v>
      </c>
      <c r="AE890" s="6">
        <f>$K$890*$Y$890</f>
        <v>0</v>
      </c>
      <c r="AF890" s="6">
        <f ca="1">$M$890*$Z$890</f>
        <v>134094.25989094889</v>
      </c>
      <c r="AG890" s="6">
        <f ca="1">$O$890*$AA$890</f>
        <v>93652.041806593508</v>
      </c>
    </row>
    <row r="891" spans="1:33" ht="11.25" customHeight="1" x14ac:dyDescent="0.25">
      <c r="A891" s="4" t="s">
        <v>27</v>
      </c>
      <c r="B891" s="4" t="s">
        <v>36</v>
      </c>
      <c r="C891" s="4" t="s">
        <v>23</v>
      </c>
      <c r="D891" s="4" t="s">
        <v>44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44621</v>
      </c>
      <c r="J891" s="6">
        <v>0</v>
      </c>
      <c r="K891" s="6">
        <v>0</v>
      </c>
      <c r="L891" s="6">
        <v>-4.4390000000000001</v>
      </c>
      <c r="M891" s="6">
        <v>-4.4390000000000001</v>
      </c>
      <c r="N891" s="6">
        <v>-4.4390000000000001</v>
      </c>
      <c r="O891" s="6">
        <v>-4.4390000000000001</v>
      </c>
      <c r="P891" s="6">
        <v>0</v>
      </c>
      <c r="Q891" s="4" t="s">
        <v>26</v>
      </c>
      <c r="R891" s="4">
        <v>0</v>
      </c>
      <c r="S891" s="6">
        <v>0</v>
      </c>
      <c r="T891" s="6">
        <v>34</v>
      </c>
      <c r="U891" s="6">
        <v>80</v>
      </c>
      <c r="V891" s="6">
        <f>IF(ISERROR(VLOOKUP($S$891,'TAR FIN'!$A$1:$O$86,15,0)),0,VLOOKUP($S$891,'TAR FIN'!$A$1:$O$86,15,0))</f>
        <v>0</v>
      </c>
      <c r="W891" s="6">
        <f>IF(ISERROR(VLOOKUP($T$891,'TAR FIN'!$A$1:$O$86,15,0)),0,VLOOKUP($T$891,'TAR FIN'!$A$1:$O$86,15,0))</f>
        <v>324.5</v>
      </c>
      <c r="X891" s="6">
        <f>IF(ISERROR(VLOOKUP($U$891,'TAR FIN'!$A$1:$O$86,15,0)),0,VLOOKUP($U$891,'TAR FIN'!$A$1:$O$86,15,0))</f>
        <v>258.20999999999998</v>
      </c>
      <c r="Y891" s="6"/>
      <c r="Z891" s="6">
        <f ca="1">('TUSD BE'!$AM$49+'TUSD BF_350'!$AM$49+'TUSD CVA'!$AM$49)*1</f>
        <v>330.1561966420345</v>
      </c>
      <c r="AA891" s="6">
        <f ca="1">('TE BE'!$AB$39+'TE BF_350'!$AB$39+'TE CVA'!$AB$39)*1</f>
        <v>230.58259134858577</v>
      </c>
      <c r="AB891" s="6">
        <f>$K$891*$V$891</f>
        <v>0</v>
      </c>
      <c r="AC891" s="6">
        <f>$M$891*$W$891</f>
        <v>-1440.4555</v>
      </c>
      <c r="AD891" s="6">
        <f>$O$891*$X$891</f>
        <v>-1146.1941899999999</v>
      </c>
      <c r="AE891" s="6">
        <f>$K$891*$Y$891</f>
        <v>0</v>
      </c>
      <c r="AF891" s="6">
        <f ca="1">$M$891*$Z$891</f>
        <v>-1465.5633568939911</v>
      </c>
      <c r="AG891" s="6">
        <f ca="1">$O$891*$AA$891</f>
        <v>-1023.5561229963722</v>
      </c>
    </row>
    <row r="892" spans="1:33" ht="11.25" customHeight="1" x14ac:dyDescent="0.25">
      <c r="A892" s="4" t="s">
        <v>21</v>
      </c>
      <c r="B892" s="4" t="s">
        <v>36</v>
      </c>
      <c r="C892" s="4" t="s">
        <v>23</v>
      </c>
      <c r="D892" s="4" t="s">
        <v>44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44652</v>
      </c>
      <c r="J892" s="6">
        <v>0</v>
      </c>
      <c r="K892" s="6">
        <v>0</v>
      </c>
      <c r="L892" s="6">
        <v>292.38600000000002</v>
      </c>
      <c r="M892" s="6">
        <v>292.38600000000002</v>
      </c>
      <c r="N892" s="6">
        <v>292.38600000000002</v>
      </c>
      <c r="O892" s="6">
        <v>292.38600000000002</v>
      </c>
      <c r="P892" s="6">
        <v>446</v>
      </c>
      <c r="Q892" s="4" t="s">
        <v>26</v>
      </c>
      <c r="R892" s="4">
        <v>0</v>
      </c>
      <c r="S892" s="6">
        <v>0</v>
      </c>
      <c r="T892" s="6">
        <v>34</v>
      </c>
      <c r="U892" s="6">
        <v>80</v>
      </c>
      <c r="V892" s="6">
        <f>IF(ISERROR(VLOOKUP($S$892,'TAR FIN'!$A$1:$O$86,15,0)),0,VLOOKUP($S$892,'TAR FIN'!$A$1:$O$86,15,0))</f>
        <v>0</v>
      </c>
      <c r="W892" s="6">
        <f>IF(ISERROR(VLOOKUP($T$892,'TAR FIN'!$A$1:$O$86,15,0)),0,VLOOKUP($T$892,'TAR FIN'!$A$1:$O$86,15,0))</f>
        <v>324.5</v>
      </c>
      <c r="X892" s="6">
        <f>IF(ISERROR(VLOOKUP($U$892,'TAR FIN'!$A$1:$O$86,15,0)),0,VLOOKUP($U$892,'TAR FIN'!$A$1:$O$86,15,0))</f>
        <v>258.20999999999998</v>
      </c>
      <c r="Y892" s="6"/>
      <c r="Z892" s="6">
        <f ca="1">('TUSD BE'!$AM$49+'TUSD BF_350'!$AM$49+'TUSD CVA'!$AM$49)*1</f>
        <v>330.1561966420345</v>
      </c>
      <c r="AA892" s="6">
        <f ca="1">('TE BE'!$AB$39+'TE BF_350'!$AB$39+'TE CVA'!$AB$39)*1</f>
        <v>230.58259134858577</v>
      </c>
      <c r="AB892" s="6">
        <f>$K$892*$V$892</f>
        <v>0</v>
      </c>
      <c r="AC892" s="6">
        <f>$M$892*$W$892</f>
        <v>94879.257000000012</v>
      </c>
      <c r="AD892" s="6">
        <f>$O$892*$X$892</f>
        <v>75496.989060000007</v>
      </c>
      <c r="AE892" s="6">
        <f>$K$892*$Y$892</f>
        <v>0</v>
      </c>
      <c r="AF892" s="6">
        <f ca="1">$M$892*$Z$892</f>
        <v>96533.049711377913</v>
      </c>
      <c r="AG892" s="6">
        <f ca="1">$O$892*$AA$892</f>
        <v>67419.121554047597</v>
      </c>
    </row>
    <row r="893" spans="1:33" ht="11.25" customHeight="1" x14ac:dyDescent="0.25">
      <c r="A893" s="4" t="s">
        <v>27</v>
      </c>
      <c r="B893" s="4" t="s">
        <v>36</v>
      </c>
      <c r="C893" s="4" t="s">
        <v>23</v>
      </c>
      <c r="D893" s="4" t="s">
        <v>44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44652</v>
      </c>
      <c r="J893" s="6">
        <v>0</v>
      </c>
      <c r="K893" s="6">
        <v>0</v>
      </c>
      <c r="L893" s="6">
        <v>-1.4079999999999999</v>
      </c>
      <c r="M893" s="6">
        <v>-1.4079999999999999</v>
      </c>
      <c r="N893" s="6">
        <v>-1.4079999999999999</v>
      </c>
      <c r="O893" s="6">
        <v>-1.4079999999999999</v>
      </c>
      <c r="P893" s="6">
        <v>0</v>
      </c>
      <c r="Q893" s="4" t="s">
        <v>26</v>
      </c>
      <c r="R893" s="4">
        <v>0</v>
      </c>
      <c r="S893" s="6">
        <v>0</v>
      </c>
      <c r="T893" s="6">
        <v>34</v>
      </c>
      <c r="U893" s="6">
        <v>80</v>
      </c>
      <c r="V893" s="6">
        <f>IF(ISERROR(VLOOKUP($S$893,'TAR FIN'!$A$1:$O$86,15,0)),0,VLOOKUP($S$893,'TAR FIN'!$A$1:$O$86,15,0))</f>
        <v>0</v>
      </c>
      <c r="W893" s="6">
        <f>IF(ISERROR(VLOOKUP($T$893,'TAR FIN'!$A$1:$O$86,15,0)),0,VLOOKUP($T$893,'TAR FIN'!$A$1:$O$86,15,0))</f>
        <v>324.5</v>
      </c>
      <c r="X893" s="6">
        <f>IF(ISERROR(VLOOKUP($U$893,'TAR FIN'!$A$1:$O$86,15,0)),0,VLOOKUP($U$893,'TAR FIN'!$A$1:$O$86,15,0))</f>
        <v>258.20999999999998</v>
      </c>
      <c r="Y893" s="6"/>
      <c r="Z893" s="6">
        <f ca="1">('TUSD BE'!$AM$49+'TUSD BF_350'!$AM$49+'TUSD CVA'!$AM$49)*1</f>
        <v>330.1561966420345</v>
      </c>
      <c r="AA893" s="6">
        <f ca="1">('TE BE'!$AB$39+'TE BF_350'!$AB$39+'TE CVA'!$AB$39)*1</f>
        <v>230.58259134858577</v>
      </c>
      <c r="AB893" s="6">
        <f>$K$893*$V$893</f>
        <v>0</v>
      </c>
      <c r="AC893" s="6">
        <f>$M$893*$W$893</f>
        <v>-456.89599999999996</v>
      </c>
      <c r="AD893" s="6">
        <f>$O$893*$X$893</f>
        <v>-363.55967999999996</v>
      </c>
      <c r="AE893" s="6">
        <f>$K$893*$Y$893</f>
        <v>0</v>
      </c>
      <c r="AF893" s="6">
        <f ca="1">$M$893*$Z$893</f>
        <v>-464.85992487198456</v>
      </c>
      <c r="AG893" s="6">
        <f ca="1">$O$893*$AA$893</f>
        <v>-324.66028861880875</v>
      </c>
    </row>
    <row r="894" spans="1:33" ht="11.25" customHeight="1" x14ac:dyDescent="0.25">
      <c r="A894" s="4" t="s">
        <v>21</v>
      </c>
      <c r="B894" s="4" t="s">
        <v>36</v>
      </c>
      <c r="C894" s="4" t="s">
        <v>23</v>
      </c>
      <c r="D894" s="4" t="s">
        <v>44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44682</v>
      </c>
      <c r="J894" s="6">
        <v>0</v>
      </c>
      <c r="K894" s="6">
        <v>0</v>
      </c>
      <c r="L894" s="6">
        <v>247.535</v>
      </c>
      <c r="M894" s="6">
        <v>247.535</v>
      </c>
      <c r="N894" s="6">
        <v>247.535</v>
      </c>
      <c r="O894" s="6">
        <v>247.535</v>
      </c>
      <c r="P894" s="6">
        <v>447</v>
      </c>
      <c r="Q894" s="4" t="s">
        <v>26</v>
      </c>
      <c r="R894" s="4">
        <v>0</v>
      </c>
      <c r="S894" s="6">
        <v>0</v>
      </c>
      <c r="T894" s="6">
        <v>34</v>
      </c>
      <c r="U894" s="6">
        <v>80</v>
      </c>
      <c r="V894" s="6">
        <f>IF(ISERROR(VLOOKUP($S$894,'TAR FIN'!$A$1:$O$86,15,0)),0,VLOOKUP($S$894,'TAR FIN'!$A$1:$O$86,15,0))</f>
        <v>0</v>
      </c>
      <c r="W894" s="6">
        <f>IF(ISERROR(VLOOKUP($T$894,'TAR FIN'!$A$1:$O$86,15,0)),0,VLOOKUP($T$894,'TAR FIN'!$A$1:$O$86,15,0))</f>
        <v>324.5</v>
      </c>
      <c r="X894" s="6">
        <f>IF(ISERROR(VLOOKUP($U$894,'TAR FIN'!$A$1:$O$86,15,0)),0,VLOOKUP($U$894,'TAR FIN'!$A$1:$O$86,15,0))</f>
        <v>258.20999999999998</v>
      </c>
      <c r="Y894" s="6"/>
      <c r="Z894" s="6">
        <f ca="1">('TUSD BE'!$AM$49+'TUSD BF_350'!$AM$49+'TUSD CVA'!$AM$49)*1</f>
        <v>330.1561966420345</v>
      </c>
      <c r="AA894" s="6">
        <f ca="1">('TE BE'!$AB$39+'TE BF_350'!$AB$39+'TE CVA'!$AB$39)*1</f>
        <v>230.58259134858577</v>
      </c>
      <c r="AB894" s="6">
        <f>$K$894*$V$894</f>
        <v>0</v>
      </c>
      <c r="AC894" s="6">
        <f>$M$894*$W$894</f>
        <v>80325.107499999998</v>
      </c>
      <c r="AD894" s="6">
        <f>$O$894*$X$894</f>
        <v>63916.012349999997</v>
      </c>
      <c r="AE894" s="6">
        <f>$K$894*$Y$894</f>
        <v>0</v>
      </c>
      <c r="AF894" s="6">
        <f ca="1">$M$894*$Z$894</f>
        <v>81725.214135786009</v>
      </c>
      <c r="AG894" s="6">
        <f ca="1">$O$894*$AA$894</f>
        <v>57077.261749472178</v>
      </c>
    </row>
    <row r="895" spans="1:33" ht="11.25" customHeight="1" x14ac:dyDescent="0.25">
      <c r="A895" s="4" t="s">
        <v>27</v>
      </c>
      <c r="B895" s="4" t="s">
        <v>36</v>
      </c>
      <c r="C895" s="4" t="s">
        <v>23</v>
      </c>
      <c r="D895" s="4" t="s">
        <v>44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44682</v>
      </c>
      <c r="J895" s="6">
        <v>0</v>
      </c>
      <c r="K895" s="6">
        <v>0</v>
      </c>
      <c r="L895" s="6">
        <v>-4.4770000000000003</v>
      </c>
      <c r="M895" s="6">
        <v>-4.4770000000000003</v>
      </c>
      <c r="N895" s="6">
        <v>-4.4770000000000003</v>
      </c>
      <c r="O895" s="6">
        <v>-4.4770000000000003</v>
      </c>
      <c r="P895" s="6">
        <v>0</v>
      </c>
      <c r="Q895" s="4" t="s">
        <v>26</v>
      </c>
      <c r="R895" s="4">
        <v>0</v>
      </c>
      <c r="S895" s="6">
        <v>0</v>
      </c>
      <c r="T895" s="6">
        <v>34</v>
      </c>
      <c r="U895" s="6">
        <v>80</v>
      </c>
      <c r="V895" s="6">
        <f>IF(ISERROR(VLOOKUP($S$895,'TAR FIN'!$A$1:$O$86,15,0)),0,VLOOKUP($S$895,'TAR FIN'!$A$1:$O$86,15,0))</f>
        <v>0</v>
      </c>
      <c r="W895" s="6">
        <f>IF(ISERROR(VLOOKUP($T$895,'TAR FIN'!$A$1:$O$86,15,0)),0,VLOOKUP($T$895,'TAR FIN'!$A$1:$O$86,15,0))</f>
        <v>324.5</v>
      </c>
      <c r="X895" s="6">
        <f>IF(ISERROR(VLOOKUP($U$895,'TAR FIN'!$A$1:$O$86,15,0)),0,VLOOKUP($U$895,'TAR FIN'!$A$1:$O$86,15,0))</f>
        <v>258.20999999999998</v>
      </c>
      <c r="Y895" s="6"/>
      <c r="Z895" s="6">
        <f ca="1">('TUSD BE'!$AM$49+'TUSD BF_350'!$AM$49+'TUSD CVA'!$AM$49)*1</f>
        <v>330.1561966420345</v>
      </c>
      <c r="AA895" s="6">
        <f ca="1">('TE BE'!$AB$39+'TE BF_350'!$AB$39+'TE CVA'!$AB$39)*1</f>
        <v>230.58259134858577</v>
      </c>
      <c r="AB895" s="6">
        <f>$K$895*$V$895</f>
        <v>0</v>
      </c>
      <c r="AC895" s="6">
        <f>$M$895*$W$895</f>
        <v>-1452.7865000000002</v>
      </c>
      <c r="AD895" s="6">
        <f>$O$895*$X$895</f>
        <v>-1156.0061699999999</v>
      </c>
      <c r="AE895" s="6">
        <f>$K$895*$Y$895</f>
        <v>0</v>
      </c>
      <c r="AF895" s="6">
        <f ca="1">$M$895*$Z$895</f>
        <v>-1478.1092923663887</v>
      </c>
      <c r="AG895" s="6">
        <f ca="1">$O$895*$AA$895</f>
        <v>-1032.3182614676186</v>
      </c>
    </row>
    <row r="896" spans="1:33" ht="11.25" customHeight="1" x14ac:dyDescent="0.25">
      <c r="A896" s="4" t="s">
        <v>56</v>
      </c>
      <c r="B896" s="4" t="s">
        <v>36</v>
      </c>
      <c r="C896" s="4" t="s">
        <v>23</v>
      </c>
      <c r="D896" s="4" t="s">
        <v>44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44713</v>
      </c>
      <c r="J896" s="6">
        <v>0</v>
      </c>
      <c r="K896" s="6">
        <v>0</v>
      </c>
      <c r="L896" s="6">
        <v>247.535</v>
      </c>
      <c r="M896" s="6">
        <v>247.535</v>
      </c>
      <c r="N896" s="6">
        <v>247.535</v>
      </c>
      <c r="O896" s="6">
        <v>247.535</v>
      </c>
      <c r="P896" s="6">
        <v>447</v>
      </c>
      <c r="Q896" s="4" t="s">
        <v>26</v>
      </c>
      <c r="R896" s="4">
        <v>0</v>
      </c>
      <c r="S896" s="6">
        <v>0</v>
      </c>
      <c r="T896" s="6">
        <v>34</v>
      </c>
      <c r="U896" s="6">
        <v>80</v>
      </c>
      <c r="V896" s="6">
        <f>IF(ISERROR(VLOOKUP($S$896,'TAR FIN'!$A$1:$O$86,15,0)),0,VLOOKUP($S$896,'TAR FIN'!$A$1:$O$86,15,0))</f>
        <v>0</v>
      </c>
      <c r="W896" s="6">
        <f>IF(ISERROR(VLOOKUP($T$896,'TAR FIN'!$A$1:$O$86,15,0)),0,VLOOKUP($T$896,'TAR FIN'!$A$1:$O$86,15,0))</f>
        <v>324.5</v>
      </c>
      <c r="X896" s="6">
        <f>IF(ISERROR(VLOOKUP($U$896,'TAR FIN'!$A$1:$O$86,15,0)),0,VLOOKUP($U$896,'TAR FIN'!$A$1:$O$86,15,0))</f>
        <v>258.20999999999998</v>
      </c>
      <c r="Y896" s="6"/>
      <c r="Z896" s="6">
        <f ca="1">('TUSD BE'!$AM$49+'TUSD BF_350'!$AM$49+'TUSD CVA'!$AM$49)*1</f>
        <v>330.1561966420345</v>
      </c>
      <c r="AA896" s="6">
        <f ca="1">('TE BE'!$AB$39+'TE BF_350'!$AB$39+'TE CVA'!$AB$39)*1</f>
        <v>230.58259134858577</v>
      </c>
      <c r="AB896" s="6">
        <f>$K$896*$V$896</f>
        <v>0</v>
      </c>
      <c r="AC896" s="6">
        <f>$M$896*$W$896</f>
        <v>80325.107499999998</v>
      </c>
      <c r="AD896" s="6">
        <f>$O$896*$X$896</f>
        <v>63916.012349999997</v>
      </c>
      <c r="AE896" s="6">
        <f>$K$896*$Y$896</f>
        <v>0</v>
      </c>
      <c r="AF896" s="6">
        <f ca="1">$M$896*$Z$896</f>
        <v>81725.214135786009</v>
      </c>
      <c r="AG896" s="6">
        <f ca="1">$O$896*$AA$896</f>
        <v>57077.261749472178</v>
      </c>
    </row>
    <row r="897" spans="1:33" ht="11.25" customHeight="1" x14ac:dyDescent="0.25">
      <c r="A897" s="4" t="s">
        <v>56</v>
      </c>
      <c r="B897" s="4" t="s">
        <v>36</v>
      </c>
      <c r="C897" s="4" t="s">
        <v>23</v>
      </c>
      <c r="D897" s="4" t="s">
        <v>44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44713</v>
      </c>
      <c r="J897" s="6">
        <v>0</v>
      </c>
      <c r="K897" s="6">
        <v>0</v>
      </c>
      <c r="L897" s="6">
        <v>-4.4770000000000003</v>
      </c>
      <c r="M897" s="6">
        <v>-4.4770000000000003</v>
      </c>
      <c r="N897" s="6">
        <v>-4.4770000000000003</v>
      </c>
      <c r="O897" s="6">
        <v>-4.4770000000000003</v>
      </c>
      <c r="P897" s="6">
        <v>0</v>
      </c>
      <c r="Q897" s="4" t="s">
        <v>26</v>
      </c>
      <c r="R897" s="4">
        <v>0</v>
      </c>
      <c r="S897" s="6">
        <v>0</v>
      </c>
      <c r="T897" s="6">
        <v>34</v>
      </c>
      <c r="U897" s="6">
        <v>80</v>
      </c>
      <c r="V897" s="6">
        <f>IF(ISERROR(VLOOKUP($S$897,'TAR FIN'!$A$1:$O$86,15,0)),0,VLOOKUP($S$897,'TAR FIN'!$A$1:$O$86,15,0))</f>
        <v>0</v>
      </c>
      <c r="W897" s="6">
        <f>IF(ISERROR(VLOOKUP($T$897,'TAR FIN'!$A$1:$O$86,15,0)),0,VLOOKUP($T$897,'TAR FIN'!$A$1:$O$86,15,0))</f>
        <v>324.5</v>
      </c>
      <c r="X897" s="6">
        <f>IF(ISERROR(VLOOKUP($U$897,'TAR FIN'!$A$1:$O$86,15,0)),0,VLOOKUP($U$897,'TAR FIN'!$A$1:$O$86,15,0))</f>
        <v>258.20999999999998</v>
      </c>
      <c r="Y897" s="6"/>
      <c r="Z897" s="6">
        <f ca="1">('TUSD BE'!$AM$49+'TUSD BF_350'!$AM$49+'TUSD CVA'!$AM$49)*1</f>
        <v>330.1561966420345</v>
      </c>
      <c r="AA897" s="6">
        <f ca="1">('TE BE'!$AB$39+'TE BF_350'!$AB$39+'TE CVA'!$AB$39)*1</f>
        <v>230.58259134858577</v>
      </c>
      <c r="AB897" s="6">
        <f>$K$897*$V$897</f>
        <v>0</v>
      </c>
      <c r="AC897" s="6">
        <f>$M$897*$W$897</f>
        <v>-1452.7865000000002</v>
      </c>
      <c r="AD897" s="6">
        <f>$O$897*$X$897</f>
        <v>-1156.0061699999999</v>
      </c>
      <c r="AE897" s="6">
        <f>$K$897*$Y$897</f>
        <v>0</v>
      </c>
      <c r="AF897" s="6">
        <f ca="1">$M$897*$Z$897</f>
        <v>-1478.1092923663887</v>
      </c>
      <c r="AG897" s="6">
        <f ca="1">$O$897*$AA$897</f>
        <v>-1032.3182614676186</v>
      </c>
    </row>
    <row r="898" spans="1:33" ht="11.25" customHeight="1" x14ac:dyDescent="0.25">
      <c r="A898" s="4" t="s">
        <v>21</v>
      </c>
      <c r="B898" s="4" t="s">
        <v>36</v>
      </c>
      <c r="C898" s="4" t="s">
        <v>23</v>
      </c>
      <c r="D898" s="4" t="s">
        <v>48</v>
      </c>
      <c r="E898" s="4" t="s">
        <v>49</v>
      </c>
      <c r="F898" s="4" t="s">
        <v>25</v>
      </c>
      <c r="G898" s="4" t="s">
        <v>25</v>
      </c>
      <c r="H898" s="4" t="s">
        <v>25</v>
      </c>
      <c r="I898" s="5">
        <v>44378</v>
      </c>
      <c r="J898" s="6">
        <v>0</v>
      </c>
      <c r="K898" s="97">
        <v>0</v>
      </c>
      <c r="L898" s="6">
        <v>91.671000000000006</v>
      </c>
      <c r="M898" s="97">
        <v>91.671000000000006</v>
      </c>
      <c r="N898" s="6">
        <v>91.671000000000006</v>
      </c>
      <c r="O898" s="97">
        <v>91.671000000000006</v>
      </c>
      <c r="P898" s="6">
        <v>26</v>
      </c>
      <c r="Q898" s="4" t="s">
        <v>26</v>
      </c>
      <c r="R898" s="4">
        <v>0</v>
      </c>
      <c r="S898" s="6">
        <v>0</v>
      </c>
      <c r="T898" s="6">
        <v>34</v>
      </c>
      <c r="U898" s="6">
        <v>80</v>
      </c>
      <c r="V898" s="97">
        <f>IF(ISERROR(VLOOKUP($S$898,'TAR FIN'!$A$1:$O$86,15,0)),0,VLOOKUP($S$898,'TAR FIN'!$A$1:$O$86,15,0))</f>
        <v>0</v>
      </c>
      <c r="W898" s="97">
        <f>IF(ISERROR(VLOOKUP($T$898,'TAR FIN'!$A$1:$O$86,15,0)),0,VLOOKUP($T$898,'TAR FIN'!$A$1:$O$86,15,0))*(1-0.06)</f>
        <v>305.02999999999997</v>
      </c>
      <c r="X898" s="97">
        <f>IF(ISERROR(VLOOKUP($U$898,'TAR FIN'!$A$1:$O$86,15,0)),0,VLOOKUP($U$898,'TAR FIN'!$A$1:$O$86,15,0))*(1-0.06)</f>
        <v>242.71739999999997</v>
      </c>
      <c r="Y898" s="97"/>
      <c r="Z898" s="97">
        <f ca="1">('TUSD BE'!$AM$49+'TUSD BF_350'!$AM$49+'TUSD CVA'!$AM$49)*1*(1-0.03)</f>
        <v>320.25151074277346</v>
      </c>
      <c r="AA898" s="97">
        <f ca="1">('TE BE'!$AB$39+'TE BF_350'!$AB$39+'TE CVA'!$AB$39)*1*(1-0.03)</f>
        <v>223.66511360812819</v>
      </c>
      <c r="AB898" s="6">
        <f>$K$898*$V$898</f>
        <v>0</v>
      </c>
      <c r="AC898" s="6">
        <f>$M$898*$W$898</f>
        <v>27962.405129999999</v>
      </c>
      <c r="AD898" s="6">
        <f>$O$898*$X$898</f>
        <v>22250.1467754</v>
      </c>
      <c r="AE898" s="6">
        <f>$K$898*$Y$898</f>
        <v>0</v>
      </c>
      <c r="AF898" s="6">
        <f ca="1">$M$898*$Z$898</f>
        <v>29357.776241300788</v>
      </c>
      <c r="AG898" s="6">
        <f ca="1">$O$898*$AA$898</f>
        <v>20503.60462957072</v>
      </c>
    </row>
    <row r="899" spans="1:33" ht="11.25" customHeight="1" x14ac:dyDescent="0.25">
      <c r="A899" s="4" t="s">
        <v>21</v>
      </c>
      <c r="B899" s="4" t="s">
        <v>36</v>
      </c>
      <c r="C899" s="4" t="s">
        <v>23</v>
      </c>
      <c r="D899" s="4" t="s">
        <v>48</v>
      </c>
      <c r="E899" s="4" t="s">
        <v>49</v>
      </c>
      <c r="F899" s="4" t="s">
        <v>25</v>
      </c>
      <c r="G899" s="4" t="s">
        <v>25</v>
      </c>
      <c r="H899" s="4" t="s">
        <v>25</v>
      </c>
      <c r="I899" s="5">
        <v>44409</v>
      </c>
      <c r="J899" s="6">
        <v>0</v>
      </c>
      <c r="K899" s="97">
        <v>0</v>
      </c>
      <c r="L899" s="6">
        <v>94.36</v>
      </c>
      <c r="M899" s="97">
        <v>94.36</v>
      </c>
      <c r="N899" s="6">
        <v>94.36</v>
      </c>
      <c r="O899" s="97">
        <v>94.36</v>
      </c>
      <c r="P899" s="6">
        <v>26</v>
      </c>
      <c r="Q899" s="4" t="s">
        <v>26</v>
      </c>
      <c r="R899" s="4">
        <v>0</v>
      </c>
      <c r="S899" s="6">
        <v>0</v>
      </c>
      <c r="T899" s="6">
        <v>34</v>
      </c>
      <c r="U899" s="6">
        <v>80</v>
      </c>
      <c r="V899" s="97">
        <f>IF(ISERROR(VLOOKUP($S$899,'TAR FIN'!$A$1:$O$86,15,0)),0,VLOOKUP($S$899,'TAR FIN'!$A$1:$O$86,15,0))</f>
        <v>0</v>
      </c>
      <c r="W899" s="97">
        <f>IF(ISERROR(VLOOKUP($T$899,'TAR FIN'!$A$1:$O$86,15,0)),0,VLOOKUP($T$899,'TAR FIN'!$A$1:$O$86,15,0))*(1-0.06)</f>
        <v>305.02999999999997</v>
      </c>
      <c r="X899" s="97">
        <f>IF(ISERROR(VLOOKUP($U$899,'TAR FIN'!$A$1:$O$86,15,0)),0,VLOOKUP($U$899,'TAR FIN'!$A$1:$O$86,15,0))*(1-0.06)</f>
        <v>242.71739999999997</v>
      </c>
      <c r="Y899" s="97"/>
      <c r="Z899" s="97">
        <f ca="1">('TUSD BE'!$AM$49+'TUSD BF_350'!$AM$49+'TUSD CVA'!$AM$49)*1*(1-0.03)</f>
        <v>320.25151074277346</v>
      </c>
      <c r="AA899" s="97">
        <f ca="1">('TE BE'!$AB$39+'TE BF_350'!$AB$39+'TE CVA'!$AB$39)*1*(1-0.03)</f>
        <v>223.66511360812819</v>
      </c>
      <c r="AB899" s="6">
        <f>$K$899*$V$899</f>
        <v>0</v>
      </c>
      <c r="AC899" s="6">
        <f>$M$899*$W$899</f>
        <v>28782.630799999999</v>
      </c>
      <c r="AD899" s="6">
        <f>$O$899*$X$899</f>
        <v>22902.813863999996</v>
      </c>
      <c r="AE899" s="6">
        <f>$K$899*$Y$899</f>
        <v>0</v>
      </c>
      <c r="AF899" s="6">
        <f ca="1">$M$899*$Z$899</f>
        <v>30218.932553688104</v>
      </c>
      <c r="AG899" s="6">
        <f ca="1">$O$899*$AA$899</f>
        <v>21105.040120062975</v>
      </c>
    </row>
    <row r="900" spans="1:33" ht="11.25" customHeight="1" x14ac:dyDescent="0.25">
      <c r="A900" s="4" t="s">
        <v>21</v>
      </c>
      <c r="B900" s="4" t="s">
        <v>36</v>
      </c>
      <c r="C900" s="4" t="s">
        <v>23</v>
      </c>
      <c r="D900" s="4" t="s">
        <v>48</v>
      </c>
      <c r="E900" s="4" t="s">
        <v>49</v>
      </c>
      <c r="F900" s="4" t="s">
        <v>25</v>
      </c>
      <c r="G900" s="4" t="s">
        <v>25</v>
      </c>
      <c r="H900" s="4" t="s">
        <v>25</v>
      </c>
      <c r="I900" s="5">
        <v>44440</v>
      </c>
      <c r="J900" s="6">
        <v>0</v>
      </c>
      <c r="K900" s="97">
        <v>0</v>
      </c>
      <c r="L900" s="6">
        <v>98.474999999999994</v>
      </c>
      <c r="M900" s="97">
        <v>98.474999999999994</v>
      </c>
      <c r="N900" s="6">
        <v>98.474999999999994</v>
      </c>
      <c r="O900" s="97">
        <v>98.474999999999994</v>
      </c>
      <c r="P900" s="6">
        <v>26</v>
      </c>
      <c r="Q900" s="4" t="s">
        <v>26</v>
      </c>
      <c r="R900" s="4">
        <v>0</v>
      </c>
      <c r="S900" s="6">
        <v>0</v>
      </c>
      <c r="T900" s="6">
        <v>34</v>
      </c>
      <c r="U900" s="6">
        <v>80</v>
      </c>
      <c r="V900" s="97">
        <f>IF(ISERROR(VLOOKUP($S$900,'TAR FIN'!$A$1:$O$86,15,0)),0,VLOOKUP($S$900,'TAR FIN'!$A$1:$O$86,15,0))</f>
        <v>0</v>
      </c>
      <c r="W900" s="97">
        <f>IF(ISERROR(VLOOKUP($T$900,'TAR FIN'!$A$1:$O$86,15,0)),0,VLOOKUP($T$900,'TAR FIN'!$A$1:$O$86,15,0))*(1-0.06)</f>
        <v>305.02999999999997</v>
      </c>
      <c r="X900" s="97">
        <f>IF(ISERROR(VLOOKUP($U$900,'TAR FIN'!$A$1:$O$86,15,0)),0,VLOOKUP($U$900,'TAR FIN'!$A$1:$O$86,15,0))*(1-0.06)</f>
        <v>242.71739999999997</v>
      </c>
      <c r="Y900" s="97"/>
      <c r="Z900" s="97">
        <f ca="1">('TUSD BE'!$AM$49+'TUSD BF_350'!$AM$49+'TUSD CVA'!$AM$49)*1*(1-0.03)</f>
        <v>320.25151074277346</v>
      </c>
      <c r="AA900" s="97">
        <f ca="1">('TE BE'!$AB$39+'TE BF_350'!$AB$39+'TE CVA'!$AB$39)*1*(1-0.03)</f>
        <v>223.66511360812819</v>
      </c>
      <c r="AB900" s="6">
        <f>$K$900*$V$900</f>
        <v>0</v>
      </c>
      <c r="AC900" s="6">
        <f>$M$900*$W$900</f>
        <v>30037.829249999995</v>
      </c>
      <c r="AD900" s="6">
        <f>$O$900*$X$900</f>
        <v>23901.595964999997</v>
      </c>
      <c r="AE900" s="6">
        <f>$K$900*$Y$900</f>
        <v>0</v>
      </c>
      <c r="AF900" s="6">
        <f ca="1">$M$900*$Z$900</f>
        <v>31536.767520394616</v>
      </c>
      <c r="AG900" s="6">
        <f ca="1">$O$900*$AA$900</f>
        <v>22025.422062560421</v>
      </c>
    </row>
    <row r="901" spans="1:33" ht="11.25" customHeight="1" x14ac:dyDescent="0.25">
      <c r="A901" s="4" t="s">
        <v>21</v>
      </c>
      <c r="B901" s="4" t="s">
        <v>36</v>
      </c>
      <c r="C901" s="4" t="s">
        <v>23</v>
      </c>
      <c r="D901" s="4" t="s">
        <v>48</v>
      </c>
      <c r="E901" s="4" t="s">
        <v>49</v>
      </c>
      <c r="F901" s="4" t="s">
        <v>25</v>
      </c>
      <c r="G901" s="4" t="s">
        <v>25</v>
      </c>
      <c r="H901" s="4" t="s">
        <v>25</v>
      </c>
      <c r="I901" s="5">
        <v>44470</v>
      </c>
      <c r="J901" s="6">
        <v>0</v>
      </c>
      <c r="K901" s="97">
        <v>0</v>
      </c>
      <c r="L901" s="6">
        <v>105.744</v>
      </c>
      <c r="M901" s="97">
        <v>105.744</v>
      </c>
      <c r="N901" s="6">
        <v>105.744</v>
      </c>
      <c r="O901" s="97">
        <v>105.744</v>
      </c>
      <c r="P901" s="6">
        <v>26</v>
      </c>
      <c r="Q901" s="4" t="s">
        <v>26</v>
      </c>
      <c r="R901" s="4">
        <v>0</v>
      </c>
      <c r="S901" s="6">
        <v>0</v>
      </c>
      <c r="T901" s="6">
        <v>34</v>
      </c>
      <c r="U901" s="6">
        <v>80</v>
      </c>
      <c r="V901" s="97">
        <f>IF(ISERROR(VLOOKUP($S$901,'TAR FIN'!$A$1:$O$86,15,0)),0,VLOOKUP($S$901,'TAR FIN'!$A$1:$O$86,15,0))</f>
        <v>0</v>
      </c>
      <c r="W901" s="97">
        <f>IF(ISERROR(VLOOKUP($T$901,'TAR FIN'!$A$1:$O$86,15,0)),0,VLOOKUP($T$901,'TAR FIN'!$A$1:$O$86,15,0))*(1-0.06)</f>
        <v>305.02999999999997</v>
      </c>
      <c r="X901" s="97">
        <f>IF(ISERROR(VLOOKUP($U$901,'TAR FIN'!$A$1:$O$86,15,0)),0,VLOOKUP($U$901,'TAR FIN'!$A$1:$O$86,15,0))*(1-0.06)</f>
        <v>242.71739999999997</v>
      </c>
      <c r="Y901" s="97"/>
      <c r="Z901" s="97">
        <f ca="1">('TUSD BE'!$AM$49+'TUSD BF_350'!$AM$49+'TUSD CVA'!$AM$49)*1*(1-0.03)</f>
        <v>320.25151074277346</v>
      </c>
      <c r="AA901" s="97">
        <f ca="1">('TE BE'!$AB$39+'TE BF_350'!$AB$39+'TE CVA'!$AB$39)*1*(1-0.03)</f>
        <v>223.66511360812819</v>
      </c>
      <c r="AB901" s="6">
        <f>$K$901*$V$901</f>
        <v>0</v>
      </c>
      <c r="AC901" s="6">
        <f>$M$901*$W$901</f>
        <v>32255.092319999996</v>
      </c>
      <c r="AD901" s="6">
        <f>$O$901*$X$901</f>
        <v>25665.908745599998</v>
      </c>
      <c r="AE901" s="6">
        <f>$K$901*$Y$901</f>
        <v>0</v>
      </c>
      <c r="AF901" s="6">
        <f ca="1">$M$901*$Z$901</f>
        <v>33864.675751983836</v>
      </c>
      <c r="AG901" s="6">
        <f ca="1">$O$901*$AA$901</f>
        <v>23651.243773377908</v>
      </c>
    </row>
    <row r="902" spans="1:33" ht="11.25" customHeight="1" x14ac:dyDescent="0.25">
      <c r="A902" s="4" t="s">
        <v>21</v>
      </c>
      <c r="B902" s="4" t="s">
        <v>36</v>
      </c>
      <c r="C902" s="4" t="s">
        <v>23</v>
      </c>
      <c r="D902" s="4" t="s">
        <v>48</v>
      </c>
      <c r="E902" s="4" t="s">
        <v>49</v>
      </c>
      <c r="F902" s="4" t="s">
        <v>25</v>
      </c>
      <c r="G902" s="4" t="s">
        <v>25</v>
      </c>
      <c r="H902" s="4" t="s">
        <v>25</v>
      </c>
      <c r="I902" s="5">
        <v>44501</v>
      </c>
      <c r="J902" s="6">
        <v>0</v>
      </c>
      <c r="K902" s="97">
        <v>0</v>
      </c>
      <c r="L902" s="6">
        <v>77.584999999999994</v>
      </c>
      <c r="M902" s="97">
        <v>77.584999999999994</v>
      </c>
      <c r="N902" s="6">
        <v>77.584999999999994</v>
      </c>
      <c r="O902" s="97">
        <v>77.584999999999994</v>
      </c>
      <c r="P902" s="6">
        <v>26</v>
      </c>
      <c r="Q902" s="4" t="s">
        <v>26</v>
      </c>
      <c r="R902" s="4">
        <v>0</v>
      </c>
      <c r="S902" s="6">
        <v>0</v>
      </c>
      <c r="T902" s="6">
        <v>34</v>
      </c>
      <c r="U902" s="6">
        <v>80</v>
      </c>
      <c r="V902" s="97">
        <f>IF(ISERROR(VLOOKUP($S$902,'TAR FIN'!$A$1:$O$86,15,0)),0,VLOOKUP($S$902,'TAR FIN'!$A$1:$O$86,15,0))</f>
        <v>0</v>
      </c>
      <c r="W902" s="97">
        <f>IF(ISERROR(VLOOKUP($T$902,'TAR FIN'!$A$1:$O$86,15,0)),0,VLOOKUP($T$902,'TAR FIN'!$A$1:$O$86,15,0))*(1-0.06)</f>
        <v>305.02999999999997</v>
      </c>
      <c r="X902" s="97">
        <f>IF(ISERROR(VLOOKUP($U$902,'TAR FIN'!$A$1:$O$86,15,0)),0,VLOOKUP($U$902,'TAR FIN'!$A$1:$O$86,15,0))*(1-0.06)</f>
        <v>242.71739999999997</v>
      </c>
      <c r="Y902" s="97"/>
      <c r="Z902" s="97">
        <f ca="1">('TUSD BE'!$AM$49+'TUSD BF_350'!$AM$49+'TUSD CVA'!$AM$49)*1*(1-0.03)</f>
        <v>320.25151074277346</v>
      </c>
      <c r="AA902" s="97">
        <f ca="1">('TE BE'!$AB$39+'TE BF_350'!$AB$39+'TE CVA'!$AB$39)*1*(1-0.03)</f>
        <v>223.66511360812819</v>
      </c>
      <c r="AB902" s="6">
        <f>$K$902*$V$902</f>
        <v>0</v>
      </c>
      <c r="AC902" s="6">
        <f>$M$902*$W$902</f>
        <v>23665.752549999997</v>
      </c>
      <c r="AD902" s="6">
        <f>$O$902*$X$902</f>
        <v>18831.229478999998</v>
      </c>
      <c r="AE902" s="6">
        <f>$K$902*$Y$902</f>
        <v>0</v>
      </c>
      <c r="AF902" s="6">
        <f ca="1">$M$902*$Z$902</f>
        <v>24846.713460978077</v>
      </c>
      <c r="AG902" s="6">
        <f ca="1">$O$902*$AA$902</f>
        <v>17353.057839286626</v>
      </c>
    </row>
    <row r="903" spans="1:33" ht="11.25" customHeight="1" x14ac:dyDescent="0.25">
      <c r="A903" s="4" t="s">
        <v>21</v>
      </c>
      <c r="B903" s="4" t="s">
        <v>36</v>
      </c>
      <c r="C903" s="4" t="s">
        <v>23</v>
      </c>
      <c r="D903" s="4" t="s">
        <v>48</v>
      </c>
      <c r="E903" s="4" t="s">
        <v>49</v>
      </c>
      <c r="F903" s="4" t="s">
        <v>25</v>
      </c>
      <c r="G903" s="4" t="s">
        <v>25</v>
      </c>
      <c r="H903" s="4" t="s">
        <v>25</v>
      </c>
      <c r="I903" s="5">
        <v>44531</v>
      </c>
      <c r="J903" s="6">
        <v>0</v>
      </c>
      <c r="K903" s="97">
        <v>0</v>
      </c>
      <c r="L903" s="6">
        <v>94.201999999999998</v>
      </c>
      <c r="M903" s="97">
        <v>94.201999999999998</v>
      </c>
      <c r="N903" s="6">
        <v>94.201999999999998</v>
      </c>
      <c r="O903" s="97">
        <v>94.201999999999998</v>
      </c>
      <c r="P903" s="6">
        <v>26</v>
      </c>
      <c r="Q903" s="4" t="s">
        <v>26</v>
      </c>
      <c r="R903" s="4">
        <v>0</v>
      </c>
      <c r="S903" s="6">
        <v>0</v>
      </c>
      <c r="T903" s="6">
        <v>34</v>
      </c>
      <c r="U903" s="6">
        <v>80</v>
      </c>
      <c r="V903" s="97">
        <f>IF(ISERROR(VLOOKUP($S$903,'TAR FIN'!$A$1:$O$86,15,0)),0,VLOOKUP($S$903,'TAR FIN'!$A$1:$O$86,15,0))</f>
        <v>0</v>
      </c>
      <c r="W903" s="97">
        <f>IF(ISERROR(VLOOKUP($T$903,'TAR FIN'!$A$1:$O$86,15,0)),0,VLOOKUP($T$903,'TAR FIN'!$A$1:$O$86,15,0))*(1-0.06)</f>
        <v>305.02999999999997</v>
      </c>
      <c r="X903" s="97">
        <f>IF(ISERROR(VLOOKUP($U$903,'TAR FIN'!$A$1:$O$86,15,0)),0,VLOOKUP($U$903,'TAR FIN'!$A$1:$O$86,15,0))*(1-0.06)</f>
        <v>242.71739999999997</v>
      </c>
      <c r="Y903" s="97"/>
      <c r="Z903" s="97">
        <f ca="1">('TUSD BE'!$AM$49+'TUSD BF_350'!$AM$49+'TUSD CVA'!$AM$49)*1*(1-0.03)</f>
        <v>320.25151074277346</v>
      </c>
      <c r="AA903" s="97">
        <f ca="1">('TE BE'!$AB$39+'TE BF_350'!$AB$39+'TE CVA'!$AB$39)*1*(1-0.03)</f>
        <v>223.66511360812819</v>
      </c>
      <c r="AB903" s="6">
        <f>$K$903*$V$903</f>
        <v>0</v>
      </c>
      <c r="AC903" s="6">
        <f>$M$903*$W$903</f>
        <v>28734.436059999996</v>
      </c>
      <c r="AD903" s="6">
        <f>$O$903*$X$903</f>
        <v>22864.464514799998</v>
      </c>
      <c r="AE903" s="6">
        <f>$K$903*$Y$903</f>
        <v>0</v>
      </c>
      <c r="AF903" s="6">
        <f ca="1">$M$903*$Z$903</f>
        <v>30168.332814990747</v>
      </c>
      <c r="AG903" s="6">
        <f ca="1">$O$903*$AA$903</f>
        <v>21069.701032112891</v>
      </c>
    </row>
    <row r="904" spans="1:33" ht="11.25" customHeight="1" x14ac:dyDescent="0.25">
      <c r="A904" s="4" t="s">
        <v>21</v>
      </c>
      <c r="B904" s="4" t="s">
        <v>36</v>
      </c>
      <c r="C904" s="4" t="s">
        <v>23</v>
      </c>
      <c r="D904" s="4" t="s">
        <v>48</v>
      </c>
      <c r="E904" s="4" t="s">
        <v>49</v>
      </c>
      <c r="F904" s="4" t="s">
        <v>25</v>
      </c>
      <c r="G904" s="4" t="s">
        <v>25</v>
      </c>
      <c r="H904" s="4" t="s">
        <v>25</v>
      </c>
      <c r="I904" s="5">
        <v>44562</v>
      </c>
      <c r="J904" s="6">
        <v>0</v>
      </c>
      <c r="K904" s="97">
        <v>0</v>
      </c>
      <c r="L904" s="6">
        <v>94.076999999999998</v>
      </c>
      <c r="M904" s="97">
        <v>94.076999999999998</v>
      </c>
      <c r="N904" s="6">
        <v>94.076999999999998</v>
      </c>
      <c r="O904" s="97">
        <v>94.076999999999998</v>
      </c>
      <c r="P904" s="6">
        <v>26</v>
      </c>
      <c r="Q904" s="4" t="s">
        <v>26</v>
      </c>
      <c r="R904" s="4">
        <v>0</v>
      </c>
      <c r="S904" s="6">
        <v>0</v>
      </c>
      <c r="T904" s="6">
        <v>34</v>
      </c>
      <c r="U904" s="6">
        <v>80</v>
      </c>
      <c r="V904" s="97">
        <f>IF(ISERROR(VLOOKUP($S$904,'TAR FIN'!$A$1:$O$86,15,0)),0,VLOOKUP($S$904,'TAR FIN'!$A$1:$O$86,15,0))</f>
        <v>0</v>
      </c>
      <c r="W904" s="97">
        <f>IF(ISERROR(VLOOKUP($T$904,'TAR FIN'!$A$1:$O$86,15,0)),0,VLOOKUP($T$904,'TAR FIN'!$A$1:$O$86,15,0))*(1-0.06)</f>
        <v>305.02999999999997</v>
      </c>
      <c r="X904" s="97">
        <f>IF(ISERROR(VLOOKUP($U$904,'TAR FIN'!$A$1:$O$86,15,0)),0,VLOOKUP($U$904,'TAR FIN'!$A$1:$O$86,15,0))*(1-0.06)</f>
        <v>242.71739999999997</v>
      </c>
      <c r="Y904" s="97"/>
      <c r="Z904" s="97">
        <f ca="1">('TUSD BE'!$AM$49+'TUSD BF_350'!$AM$49+'TUSD CVA'!$AM$49)*1*(1-0.03)</f>
        <v>320.25151074277346</v>
      </c>
      <c r="AA904" s="97">
        <f ca="1">('TE BE'!$AB$39+'TE BF_350'!$AB$39+'TE CVA'!$AB$39)*1*(1-0.03)</f>
        <v>223.66511360812819</v>
      </c>
      <c r="AB904" s="6">
        <f>$K$904*$V$904</f>
        <v>0</v>
      </c>
      <c r="AC904" s="6">
        <f>$M$904*$W$904</f>
        <v>28696.307309999997</v>
      </c>
      <c r="AD904" s="6">
        <f>$O$904*$X$904</f>
        <v>22834.124839799995</v>
      </c>
      <c r="AE904" s="6">
        <f>$K$904*$Y$904</f>
        <v>0</v>
      </c>
      <c r="AF904" s="6">
        <f ca="1">$M$904*$Z$904</f>
        <v>30128.301376147898</v>
      </c>
      <c r="AG904" s="6">
        <f ca="1">$O$904*$AA$904</f>
        <v>21041.742892911876</v>
      </c>
    </row>
    <row r="905" spans="1:33" ht="11.25" customHeight="1" x14ac:dyDescent="0.25">
      <c r="A905" s="4" t="s">
        <v>21</v>
      </c>
      <c r="B905" s="4" t="s">
        <v>36</v>
      </c>
      <c r="C905" s="4" t="s">
        <v>23</v>
      </c>
      <c r="D905" s="4" t="s">
        <v>48</v>
      </c>
      <c r="E905" s="4" t="s">
        <v>49</v>
      </c>
      <c r="F905" s="4" t="s">
        <v>25</v>
      </c>
      <c r="G905" s="4" t="s">
        <v>25</v>
      </c>
      <c r="H905" s="4" t="s">
        <v>25</v>
      </c>
      <c r="I905" s="5">
        <v>44593</v>
      </c>
      <c r="J905" s="6">
        <v>0</v>
      </c>
      <c r="K905" s="97">
        <v>0</v>
      </c>
      <c r="L905" s="6">
        <v>94.504000000000005</v>
      </c>
      <c r="M905" s="97">
        <v>94.504000000000005</v>
      </c>
      <c r="N905" s="6">
        <v>94.504000000000005</v>
      </c>
      <c r="O905" s="97">
        <v>94.504000000000005</v>
      </c>
      <c r="P905" s="6">
        <v>26</v>
      </c>
      <c r="Q905" s="4" t="s">
        <v>26</v>
      </c>
      <c r="R905" s="4">
        <v>0</v>
      </c>
      <c r="S905" s="6">
        <v>0</v>
      </c>
      <c r="T905" s="6">
        <v>34</v>
      </c>
      <c r="U905" s="6">
        <v>80</v>
      </c>
      <c r="V905" s="97">
        <f>IF(ISERROR(VLOOKUP($S$905,'TAR FIN'!$A$1:$O$86,15,0)),0,VLOOKUP($S$905,'TAR FIN'!$A$1:$O$86,15,0))</f>
        <v>0</v>
      </c>
      <c r="W905" s="97">
        <f>IF(ISERROR(VLOOKUP($T$905,'TAR FIN'!$A$1:$O$86,15,0)),0,VLOOKUP($T$905,'TAR FIN'!$A$1:$O$86,15,0))*(1-0.06)</f>
        <v>305.02999999999997</v>
      </c>
      <c r="X905" s="97">
        <f>IF(ISERROR(VLOOKUP($U$905,'TAR FIN'!$A$1:$O$86,15,0)),0,VLOOKUP($U$905,'TAR FIN'!$A$1:$O$86,15,0))*(1-0.06)</f>
        <v>242.71739999999997</v>
      </c>
      <c r="Y905" s="97"/>
      <c r="Z905" s="97">
        <f ca="1">('TUSD BE'!$AM$49+'TUSD BF_350'!$AM$49+'TUSD CVA'!$AM$49)*1*(1-0.03)</f>
        <v>320.25151074277346</v>
      </c>
      <c r="AA905" s="97">
        <f ca="1">('TE BE'!$AB$39+'TE BF_350'!$AB$39+'TE CVA'!$AB$39)*1*(1-0.03)</f>
        <v>223.66511360812819</v>
      </c>
      <c r="AB905" s="6">
        <f>$K$905*$V$905</f>
        <v>0</v>
      </c>
      <c r="AC905" s="6">
        <f>$M$905*$W$905</f>
        <v>28826.555119999997</v>
      </c>
      <c r="AD905" s="6">
        <f>$O$905*$X$905</f>
        <v>22937.765169599999</v>
      </c>
      <c r="AE905" s="6">
        <f>$K$905*$Y$905</f>
        <v>0</v>
      </c>
      <c r="AF905" s="6">
        <f ca="1">$M$905*$Z$905</f>
        <v>30265.048771235066</v>
      </c>
      <c r="AG905" s="6">
        <f ca="1">$O$905*$AA$905</f>
        <v>21137.247896422548</v>
      </c>
    </row>
    <row r="906" spans="1:33" ht="11.25" customHeight="1" x14ac:dyDescent="0.25">
      <c r="A906" s="4" t="s">
        <v>21</v>
      </c>
      <c r="B906" s="4" t="s">
        <v>36</v>
      </c>
      <c r="C906" s="4" t="s">
        <v>23</v>
      </c>
      <c r="D906" s="4" t="s">
        <v>48</v>
      </c>
      <c r="E906" s="4" t="s">
        <v>49</v>
      </c>
      <c r="F906" s="4" t="s">
        <v>25</v>
      </c>
      <c r="G906" s="4" t="s">
        <v>25</v>
      </c>
      <c r="H906" s="4" t="s">
        <v>25</v>
      </c>
      <c r="I906" s="5">
        <v>44621</v>
      </c>
      <c r="J906" s="6">
        <v>0</v>
      </c>
      <c r="K906" s="97">
        <v>0</v>
      </c>
      <c r="L906" s="6">
        <v>94.319000000000003</v>
      </c>
      <c r="M906" s="97">
        <v>94.319000000000003</v>
      </c>
      <c r="N906" s="6">
        <v>94.319000000000003</v>
      </c>
      <c r="O906" s="97">
        <v>94.319000000000003</v>
      </c>
      <c r="P906" s="6">
        <v>26</v>
      </c>
      <c r="Q906" s="4" t="s">
        <v>26</v>
      </c>
      <c r="R906" s="4">
        <v>0</v>
      </c>
      <c r="S906" s="6">
        <v>0</v>
      </c>
      <c r="T906" s="6">
        <v>34</v>
      </c>
      <c r="U906" s="6">
        <v>80</v>
      </c>
      <c r="V906" s="97">
        <f>IF(ISERROR(VLOOKUP($S$906,'TAR FIN'!$A$1:$O$86,15,0)),0,VLOOKUP($S$906,'TAR FIN'!$A$1:$O$86,15,0))</f>
        <v>0</v>
      </c>
      <c r="W906" s="97">
        <f>IF(ISERROR(VLOOKUP($T$906,'TAR FIN'!$A$1:$O$86,15,0)),0,VLOOKUP($T$906,'TAR FIN'!$A$1:$O$86,15,0))*(1-0.06)</f>
        <v>305.02999999999997</v>
      </c>
      <c r="X906" s="97">
        <f>IF(ISERROR(VLOOKUP($U$906,'TAR FIN'!$A$1:$O$86,15,0)),0,VLOOKUP($U$906,'TAR FIN'!$A$1:$O$86,15,0))*(1-0.06)</f>
        <v>242.71739999999997</v>
      </c>
      <c r="Y906" s="97"/>
      <c r="Z906" s="97">
        <f ca="1">('TUSD BE'!$AM$49+'TUSD BF_350'!$AM$49+'TUSD CVA'!$AM$49)*1*(1-0.03)</f>
        <v>320.25151074277346</v>
      </c>
      <c r="AA906" s="97">
        <f ca="1">('TE BE'!$AB$39+'TE BF_350'!$AB$39+'TE CVA'!$AB$39)*1*(1-0.03)</f>
        <v>223.66511360812819</v>
      </c>
      <c r="AB906" s="6">
        <f>$K$906*$V$906</f>
        <v>0</v>
      </c>
      <c r="AC906" s="6">
        <f>$M$906*$W$906</f>
        <v>28770.12457</v>
      </c>
      <c r="AD906" s="6">
        <f>$O$906*$X$906</f>
        <v>22892.862450599998</v>
      </c>
      <c r="AE906" s="6">
        <f>$K$906*$Y$906</f>
        <v>0</v>
      </c>
      <c r="AF906" s="6">
        <f ca="1">$M$906*$Z$906</f>
        <v>30205.80224174765</v>
      </c>
      <c r="AG906" s="6">
        <f ca="1">$O$906*$AA$906</f>
        <v>21095.869850405044</v>
      </c>
    </row>
    <row r="907" spans="1:33" ht="11.25" customHeight="1" x14ac:dyDescent="0.25">
      <c r="A907" s="4" t="s">
        <v>21</v>
      </c>
      <c r="B907" s="4" t="s">
        <v>36</v>
      </c>
      <c r="C907" s="4" t="s">
        <v>23</v>
      </c>
      <c r="D907" s="4" t="s">
        <v>48</v>
      </c>
      <c r="E907" s="4" t="s">
        <v>49</v>
      </c>
      <c r="F907" s="4" t="s">
        <v>25</v>
      </c>
      <c r="G907" s="4" t="s">
        <v>25</v>
      </c>
      <c r="H907" s="4" t="s">
        <v>25</v>
      </c>
      <c r="I907" s="5">
        <v>44652</v>
      </c>
      <c r="J907" s="6">
        <v>0</v>
      </c>
      <c r="K907" s="97">
        <v>0</v>
      </c>
      <c r="L907" s="6">
        <v>108.834</v>
      </c>
      <c r="M907" s="97">
        <v>108.834</v>
      </c>
      <c r="N907" s="6">
        <v>108.834</v>
      </c>
      <c r="O907" s="97">
        <v>108.834</v>
      </c>
      <c r="P907" s="6">
        <v>26</v>
      </c>
      <c r="Q907" s="4" t="s">
        <v>26</v>
      </c>
      <c r="R907" s="4">
        <v>0</v>
      </c>
      <c r="S907" s="6">
        <v>0</v>
      </c>
      <c r="T907" s="6">
        <v>34</v>
      </c>
      <c r="U907" s="6">
        <v>80</v>
      </c>
      <c r="V907" s="97">
        <f>IF(ISERROR(VLOOKUP($S$907,'TAR FIN'!$A$1:$O$86,15,0)),0,VLOOKUP($S$907,'TAR FIN'!$A$1:$O$86,15,0))</f>
        <v>0</v>
      </c>
      <c r="W907" s="97">
        <f>IF(ISERROR(VLOOKUP($T$907,'TAR FIN'!$A$1:$O$86,15,0)),0,VLOOKUP($T$907,'TAR FIN'!$A$1:$O$86,15,0))*(1-0.06)</f>
        <v>305.02999999999997</v>
      </c>
      <c r="X907" s="97">
        <f>IF(ISERROR(VLOOKUP($U$907,'TAR FIN'!$A$1:$O$86,15,0)),0,VLOOKUP($U$907,'TAR FIN'!$A$1:$O$86,15,0))*(1-0.06)</f>
        <v>242.71739999999997</v>
      </c>
      <c r="Y907" s="97"/>
      <c r="Z907" s="97">
        <f ca="1">('TUSD BE'!$AM$49+'TUSD BF_350'!$AM$49+'TUSD CVA'!$AM$49)*1*(1-0.03)</f>
        <v>320.25151074277346</v>
      </c>
      <c r="AA907" s="97">
        <f ca="1">('TE BE'!$AB$39+'TE BF_350'!$AB$39+'TE CVA'!$AB$39)*1*(1-0.03)</f>
        <v>223.66511360812819</v>
      </c>
      <c r="AB907" s="6">
        <f>$K$907*$V$907</f>
        <v>0</v>
      </c>
      <c r="AC907" s="6">
        <f>$M$907*$W$907</f>
        <v>33197.635020000002</v>
      </c>
      <c r="AD907" s="6">
        <f>$O$907*$X$907</f>
        <v>26415.905511599998</v>
      </c>
      <c r="AE907" s="6">
        <f>$K$907*$Y$907</f>
        <v>0</v>
      </c>
      <c r="AF907" s="6">
        <f ca="1">$M$907*$Z$907</f>
        <v>34854.252920179009</v>
      </c>
      <c r="AG907" s="6">
        <f ca="1">$O$907*$AA$907</f>
        <v>24342.368974427023</v>
      </c>
    </row>
    <row r="908" spans="1:33" ht="11.25" customHeight="1" x14ac:dyDescent="0.25">
      <c r="A908" s="4" t="s">
        <v>21</v>
      </c>
      <c r="B908" s="4" t="s">
        <v>36</v>
      </c>
      <c r="C908" s="4" t="s">
        <v>23</v>
      </c>
      <c r="D908" s="4" t="s">
        <v>48</v>
      </c>
      <c r="E908" s="4" t="s">
        <v>49</v>
      </c>
      <c r="F908" s="4" t="s">
        <v>25</v>
      </c>
      <c r="G908" s="4" t="s">
        <v>25</v>
      </c>
      <c r="H908" s="4" t="s">
        <v>25</v>
      </c>
      <c r="I908" s="5">
        <v>44682</v>
      </c>
      <c r="J908" s="6">
        <v>0</v>
      </c>
      <c r="K908" s="97">
        <v>0</v>
      </c>
      <c r="L908" s="6">
        <v>92.935000000000002</v>
      </c>
      <c r="M908" s="97">
        <v>92.935000000000002</v>
      </c>
      <c r="N908" s="6">
        <v>92.935000000000002</v>
      </c>
      <c r="O908" s="97">
        <v>92.935000000000002</v>
      </c>
      <c r="P908" s="6">
        <v>26</v>
      </c>
      <c r="Q908" s="4" t="s">
        <v>26</v>
      </c>
      <c r="R908" s="4">
        <v>0</v>
      </c>
      <c r="S908" s="6">
        <v>0</v>
      </c>
      <c r="T908" s="6">
        <v>34</v>
      </c>
      <c r="U908" s="6">
        <v>80</v>
      </c>
      <c r="V908" s="97">
        <f>IF(ISERROR(VLOOKUP($S$908,'TAR FIN'!$A$1:$O$86,15,0)),0,VLOOKUP($S$908,'TAR FIN'!$A$1:$O$86,15,0))</f>
        <v>0</v>
      </c>
      <c r="W908" s="97">
        <f>IF(ISERROR(VLOOKUP($T$908,'TAR FIN'!$A$1:$O$86,15,0)),0,VLOOKUP($T$908,'TAR FIN'!$A$1:$O$86,15,0))*(1-0.06)</f>
        <v>305.02999999999997</v>
      </c>
      <c r="X908" s="97">
        <f>IF(ISERROR(VLOOKUP($U$908,'TAR FIN'!$A$1:$O$86,15,0)),0,VLOOKUP($U$908,'TAR FIN'!$A$1:$O$86,15,0))*(1-0.06)</f>
        <v>242.71739999999997</v>
      </c>
      <c r="Y908" s="97"/>
      <c r="Z908" s="97">
        <f ca="1">('TUSD BE'!$AM$49+'TUSD BF_350'!$AM$49+'TUSD CVA'!$AM$49)*1*(1-0.03)</f>
        <v>320.25151074277346</v>
      </c>
      <c r="AA908" s="97">
        <f ca="1">('TE BE'!$AB$39+'TE BF_350'!$AB$39+'TE CVA'!$AB$39)*1*(1-0.03)</f>
        <v>223.66511360812819</v>
      </c>
      <c r="AB908" s="6">
        <f>$K$908*$V$908</f>
        <v>0</v>
      </c>
      <c r="AC908" s="6">
        <f>$M$908*$W$908</f>
        <v>28347.963049999998</v>
      </c>
      <c r="AD908" s="6">
        <f>$O$908*$X$908</f>
        <v>22556.941568999999</v>
      </c>
      <c r="AE908" s="6">
        <f>$K$908*$Y$908</f>
        <v>0</v>
      </c>
      <c r="AF908" s="6">
        <f ca="1">$M$908*$Z$908</f>
        <v>29762.574150879653</v>
      </c>
      <c r="AG908" s="6">
        <f ca="1">$O$908*$AA$908</f>
        <v>20786.317333171395</v>
      </c>
    </row>
    <row r="909" spans="1:33" ht="11.25" customHeight="1" x14ac:dyDescent="0.25">
      <c r="A909" s="4" t="s">
        <v>56</v>
      </c>
      <c r="B909" s="4" t="s">
        <v>36</v>
      </c>
      <c r="C909" s="4" t="s">
        <v>23</v>
      </c>
      <c r="D909" s="4" t="s">
        <v>48</v>
      </c>
      <c r="E909" s="4" t="s">
        <v>49</v>
      </c>
      <c r="F909" s="4" t="s">
        <v>25</v>
      </c>
      <c r="G909" s="4" t="s">
        <v>25</v>
      </c>
      <c r="H909" s="4" t="s">
        <v>25</v>
      </c>
      <c r="I909" s="5">
        <v>44713</v>
      </c>
      <c r="J909" s="6">
        <v>0</v>
      </c>
      <c r="K909" s="97">
        <v>0</v>
      </c>
      <c r="L909" s="6">
        <v>92.935000000000002</v>
      </c>
      <c r="M909" s="97">
        <v>92.935000000000002</v>
      </c>
      <c r="N909" s="6">
        <v>92.935000000000002</v>
      </c>
      <c r="O909" s="97">
        <v>92.935000000000002</v>
      </c>
      <c r="P909" s="6">
        <v>26</v>
      </c>
      <c r="Q909" s="4" t="s">
        <v>26</v>
      </c>
      <c r="R909" s="4">
        <v>0</v>
      </c>
      <c r="S909" s="6">
        <v>0</v>
      </c>
      <c r="T909" s="6">
        <v>34</v>
      </c>
      <c r="U909" s="6">
        <v>80</v>
      </c>
      <c r="V909" s="97">
        <f>IF(ISERROR(VLOOKUP($S$909,'TAR FIN'!$A$1:$O$86,15,0)),0,VLOOKUP($S$909,'TAR FIN'!$A$1:$O$86,15,0))</f>
        <v>0</v>
      </c>
      <c r="W909" s="97">
        <f>IF(ISERROR(VLOOKUP($T$909,'TAR FIN'!$A$1:$O$86,15,0)),0,VLOOKUP($T$909,'TAR FIN'!$A$1:$O$86,15,0))*(1-0.06)</f>
        <v>305.02999999999997</v>
      </c>
      <c r="X909" s="97">
        <f>IF(ISERROR(VLOOKUP($U$909,'TAR FIN'!$A$1:$O$86,15,0)),0,VLOOKUP($U$909,'TAR FIN'!$A$1:$O$86,15,0))*(1-0.06)</f>
        <v>242.71739999999997</v>
      </c>
      <c r="Y909" s="97"/>
      <c r="Z909" s="97">
        <f ca="1">('TUSD BE'!$AM$49+'TUSD BF_350'!$AM$49+'TUSD CVA'!$AM$49)*1*(1-0.03)</f>
        <v>320.25151074277346</v>
      </c>
      <c r="AA909" s="97">
        <f ca="1">('TE BE'!$AB$39+'TE BF_350'!$AB$39+'TE CVA'!$AB$39)*1*(1-0.03)</f>
        <v>223.66511360812819</v>
      </c>
      <c r="AB909" s="6">
        <f>$K$909*$V$909</f>
        <v>0</v>
      </c>
      <c r="AC909" s="6">
        <f>$M$909*$W$909</f>
        <v>28347.963049999998</v>
      </c>
      <c r="AD909" s="6">
        <f>$O$909*$X$909</f>
        <v>22556.941568999999</v>
      </c>
      <c r="AE909" s="6">
        <f>$K$909*$Y$909</f>
        <v>0</v>
      </c>
      <c r="AF909" s="6">
        <f ca="1">$M$909*$Z$909</f>
        <v>29762.574150879653</v>
      </c>
      <c r="AG909" s="6">
        <f ca="1">$O$909*$AA$909</f>
        <v>20786.317333171395</v>
      </c>
    </row>
    <row r="910" spans="1:33" ht="11.25" customHeight="1" x14ac:dyDescent="0.25">
      <c r="A910" s="4" t="s">
        <v>21</v>
      </c>
      <c r="B910" s="4" t="s">
        <v>45</v>
      </c>
      <c r="C910" s="4" t="s">
        <v>23</v>
      </c>
      <c r="D910" s="4" t="s">
        <v>46</v>
      </c>
      <c r="E910" s="4" t="s">
        <v>47</v>
      </c>
      <c r="F910" s="4" t="s">
        <v>25</v>
      </c>
      <c r="G910" s="4" t="s">
        <v>25</v>
      </c>
      <c r="H910" s="4" t="s">
        <v>25</v>
      </c>
      <c r="I910" s="5">
        <v>44378</v>
      </c>
      <c r="J910" s="6">
        <v>0</v>
      </c>
      <c r="K910" s="6">
        <v>0</v>
      </c>
      <c r="L910" s="6">
        <v>471.03500000000003</v>
      </c>
      <c r="M910" s="6">
        <v>471.03500000000003</v>
      </c>
      <c r="N910" s="6">
        <v>471.03500000000003</v>
      </c>
      <c r="O910" s="6">
        <v>471.03500000000003</v>
      </c>
      <c r="P910" s="6">
        <v>9</v>
      </c>
      <c r="Q910" s="4" t="s">
        <v>26</v>
      </c>
      <c r="R910" s="4">
        <v>0</v>
      </c>
      <c r="S910" s="6">
        <v>0</v>
      </c>
      <c r="T910" s="6">
        <v>65</v>
      </c>
      <c r="U910" s="6">
        <v>82</v>
      </c>
      <c r="V910" s="6">
        <f>IF(ISERROR(VLOOKUP($S$910,'TAR FIN'!$A$1:$O$86,15,0)),0,VLOOKUP($S$910,'TAR FIN'!$A$1:$O$86,15,0))</f>
        <v>0</v>
      </c>
      <c r="W910" s="6">
        <f>IF(ISERROR(VLOOKUP($T$910,'TAR FIN'!$A$1:$O$86,15,0)),0,VLOOKUP($T$910,'TAR FIN'!$A$1:$O$86,15,0))</f>
        <v>178.47</v>
      </c>
      <c r="X910" s="6">
        <f>IF(ISERROR(VLOOKUP($U$910,'TAR FIN'!$A$1:$O$86,15,0)),0,VLOOKUP($U$910,'TAR FIN'!$A$1:$O$86,15,0))</f>
        <v>142.02000000000001</v>
      </c>
      <c r="Y910" s="6"/>
      <c r="Z910" s="6">
        <f ca="1">('TUSD BE'!$AM$51+'TUSD BF_350'!$AM$51+'TUSD CVA'!$AM$51)*1</f>
        <v>181.58590815311899</v>
      </c>
      <c r="AA910" s="6">
        <f ca="1">('TE BE'!$AB$41+'TE BF_350'!$AB$41+'TE CVA'!$AB$41)*1</f>
        <v>126.82042524172216</v>
      </c>
      <c r="AB910" s="6">
        <f>$K$910*$V$910</f>
        <v>0</v>
      </c>
      <c r="AC910" s="6">
        <f>$M$910*$W$910</f>
        <v>84065.616450000001</v>
      </c>
      <c r="AD910" s="6">
        <f>$O$910*$X$910</f>
        <v>66896.390700000004</v>
      </c>
      <c r="AE910" s="6">
        <f>$K$910*$Y$910</f>
        <v>0</v>
      </c>
      <c r="AF910" s="6">
        <f ca="1">$M$910*$Z$910</f>
        <v>85533.318246904411</v>
      </c>
      <c r="AG910" s="6">
        <f ca="1">$O$910*$AA$910</f>
        <v>59736.8590037346</v>
      </c>
    </row>
    <row r="911" spans="1:33" ht="11.25" customHeight="1" x14ac:dyDescent="0.25">
      <c r="A911" s="4" t="s">
        <v>21</v>
      </c>
      <c r="B911" s="4" t="s">
        <v>45</v>
      </c>
      <c r="C911" s="4" t="s">
        <v>23</v>
      </c>
      <c r="D911" s="4" t="s">
        <v>46</v>
      </c>
      <c r="E911" s="4" t="s">
        <v>47</v>
      </c>
      <c r="F911" s="4" t="s">
        <v>25</v>
      </c>
      <c r="G911" s="4" t="s">
        <v>25</v>
      </c>
      <c r="H911" s="4" t="s">
        <v>25</v>
      </c>
      <c r="I911" s="5">
        <v>44409</v>
      </c>
      <c r="J911" s="6">
        <v>0</v>
      </c>
      <c r="K911" s="6">
        <v>0</v>
      </c>
      <c r="L911" s="6">
        <v>462.63900000000001</v>
      </c>
      <c r="M911" s="6">
        <v>462.63900000000001</v>
      </c>
      <c r="N911" s="6">
        <v>462.63900000000001</v>
      </c>
      <c r="O911" s="6">
        <v>462.63900000000001</v>
      </c>
      <c r="P911" s="6">
        <v>9</v>
      </c>
      <c r="Q911" s="4" t="s">
        <v>26</v>
      </c>
      <c r="R911" s="4">
        <v>0</v>
      </c>
      <c r="S911" s="6">
        <v>0</v>
      </c>
      <c r="T911" s="6">
        <v>65</v>
      </c>
      <c r="U911" s="6">
        <v>82</v>
      </c>
      <c r="V911" s="6">
        <f>IF(ISERROR(VLOOKUP($S$911,'TAR FIN'!$A$1:$O$86,15,0)),0,VLOOKUP($S$911,'TAR FIN'!$A$1:$O$86,15,0))</f>
        <v>0</v>
      </c>
      <c r="W911" s="6">
        <f>IF(ISERROR(VLOOKUP($T$911,'TAR FIN'!$A$1:$O$86,15,0)),0,VLOOKUP($T$911,'TAR FIN'!$A$1:$O$86,15,0))</f>
        <v>178.47</v>
      </c>
      <c r="X911" s="6">
        <f>IF(ISERROR(VLOOKUP($U$911,'TAR FIN'!$A$1:$O$86,15,0)),0,VLOOKUP($U$911,'TAR FIN'!$A$1:$O$86,15,0))</f>
        <v>142.02000000000001</v>
      </c>
      <c r="Y911" s="6"/>
      <c r="Z911" s="6">
        <f ca="1">('TUSD BE'!$AM$51+'TUSD BF_350'!$AM$51+'TUSD CVA'!$AM$51)*1</f>
        <v>181.58590815311899</v>
      </c>
      <c r="AA911" s="6">
        <f ca="1">('TE BE'!$AB$41+'TE BF_350'!$AB$41+'TE CVA'!$AB$41)*1</f>
        <v>126.82042524172216</v>
      </c>
      <c r="AB911" s="6">
        <f>$K$911*$V$911</f>
        <v>0</v>
      </c>
      <c r="AC911" s="6">
        <f>$M$911*$W$911</f>
        <v>82567.182329999996</v>
      </c>
      <c r="AD911" s="6">
        <f>$O$911*$X$911</f>
        <v>65703.990780000007</v>
      </c>
      <c r="AE911" s="6">
        <f>$K$911*$Y$911</f>
        <v>0</v>
      </c>
      <c r="AF911" s="6">
        <f ca="1">$M$911*$Z$911</f>
        <v>84008.722962050815</v>
      </c>
      <c r="AG911" s="6">
        <f ca="1">$O$911*$AA$911</f>
        <v>58672.074713405098</v>
      </c>
    </row>
    <row r="912" spans="1:33" ht="11.25" customHeight="1" x14ac:dyDescent="0.25">
      <c r="A912" s="4" t="s">
        <v>21</v>
      </c>
      <c r="B912" s="4" t="s">
        <v>45</v>
      </c>
      <c r="C912" s="4" t="s">
        <v>23</v>
      </c>
      <c r="D912" s="4" t="s">
        <v>46</v>
      </c>
      <c r="E912" s="4" t="s">
        <v>47</v>
      </c>
      <c r="F912" s="4" t="s">
        <v>25</v>
      </c>
      <c r="G912" s="4" t="s">
        <v>25</v>
      </c>
      <c r="H912" s="4" t="s">
        <v>25</v>
      </c>
      <c r="I912" s="5">
        <v>44440</v>
      </c>
      <c r="J912" s="6">
        <v>0</v>
      </c>
      <c r="K912" s="6">
        <v>0</v>
      </c>
      <c r="L912" s="6">
        <v>447.71600000000001</v>
      </c>
      <c r="M912" s="6">
        <v>447.71600000000001</v>
      </c>
      <c r="N912" s="6">
        <v>447.71600000000001</v>
      </c>
      <c r="O912" s="6">
        <v>447.71600000000001</v>
      </c>
      <c r="P912" s="6">
        <v>9</v>
      </c>
      <c r="Q912" s="4" t="s">
        <v>26</v>
      </c>
      <c r="R912" s="4">
        <v>0</v>
      </c>
      <c r="S912" s="6">
        <v>0</v>
      </c>
      <c r="T912" s="6">
        <v>65</v>
      </c>
      <c r="U912" s="6">
        <v>82</v>
      </c>
      <c r="V912" s="6">
        <f>IF(ISERROR(VLOOKUP($S$912,'TAR FIN'!$A$1:$O$86,15,0)),0,VLOOKUP($S$912,'TAR FIN'!$A$1:$O$86,15,0))</f>
        <v>0</v>
      </c>
      <c r="W912" s="6">
        <f>IF(ISERROR(VLOOKUP($T$912,'TAR FIN'!$A$1:$O$86,15,0)),0,VLOOKUP($T$912,'TAR FIN'!$A$1:$O$86,15,0))</f>
        <v>178.47</v>
      </c>
      <c r="X912" s="6">
        <f>IF(ISERROR(VLOOKUP($U$912,'TAR FIN'!$A$1:$O$86,15,0)),0,VLOOKUP($U$912,'TAR FIN'!$A$1:$O$86,15,0))</f>
        <v>142.02000000000001</v>
      </c>
      <c r="Y912" s="6"/>
      <c r="Z912" s="6">
        <f ca="1">('TUSD BE'!$AM$51+'TUSD BF_350'!$AM$51+'TUSD CVA'!$AM$51)*1</f>
        <v>181.58590815311899</v>
      </c>
      <c r="AA912" s="6">
        <f ca="1">('TE BE'!$AB$41+'TE BF_350'!$AB$41+'TE CVA'!$AB$41)*1</f>
        <v>126.82042524172216</v>
      </c>
      <c r="AB912" s="6">
        <f>$K$912*$V$912</f>
        <v>0</v>
      </c>
      <c r="AC912" s="6">
        <f>$M$912*$W$912</f>
        <v>79903.874519999998</v>
      </c>
      <c r="AD912" s="6">
        <f>$O$912*$X$912</f>
        <v>63584.626320000003</v>
      </c>
      <c r="AE912" s="6">
        <f>$K$912*$Y$912</f>
        <v>0</v>
      </c>
      <c r="AF912" s="6">
        <f ca="1">$M$912*$Z$912</f>
        <v>81298.916454681821</v>
      </c>
      <c r="AG912" s="6">
        <f ca="1">$O$912*$AA$912</f>
        <v>56779.53350752288</v>
      </c>
    </row>
    <row r="913" spans="1:33" ht="11.25" customHeight="1" x14ac:dyDescent="0.25">
      <c r="A913" s="4" t="s">
        <v>21</v>
      </c>
      <c r="B913" s="4" t="s">
        <v>45</v>
      </c>
      <c r="C913" s="4" t="s">
        <v>23</v>
      </c>
      <c r="D913" s="4" t="s">
        <v>46</v>
      </c>
      <c r="E913" s="4" t="s">
        <v>47</v>
      </c>
      <c r="F913" s="4" t="s">
        <v>25</v>
      </c>
      <c r="G913" s="4" t="s">
        <v>25</v>
      </c>
      <c r="H913" s="4" t="s">
        <v>25</v>
      </c>
      <c r="I913" s="5">
        <v>44470</v>
      </c>
      <c r="J913" s="6">
        <v>0</v>
      </c>
      <c r="K913" s="6">
        <v>0</v>
      </c>
      <c r="L913" s="6">
        <v>462.63900000000001</v>
      </c>
      <c r="M913" s="6">
        <v>462.63900000000001</v>
      </c>
      <c r="N913" s="6">
        <v>462.63900000000001</v>
      </c>
      <c r="O913" s="6">
        <v>462.63900000000001</v>
      </c>
      <c r="P913" s="6">
        <v>9</v>
      </c>
      <c r="Q913" s="4" t="s">
        <v>26</v>
      </c>
      <c r="R913" s="4">
        <v>0</v>
      </c>
      <c r="S913" s="6">
        <v>0</v>
      </c>
      <c r="T913" s="6">
        <v>65</v>
      </c>
      <c r="U913" s="6">
        <v>82</v>
      </c>
      <c r="V913" s="6">
        <f>IF(ISERROR(VLOOKUP($S$913,'TAR FIN'!$A$1:$O$86,15,0)),0,VLOOKUP($S$913,'TAR FIN'!$A$1:$O$86,15,0))</f>
        <v>0</v>
      </c>
      <c r="W913" s="6">
        <f>IF(ISERROR(VLOOKUP($T$913,'TAR FIN'!$A$1:$O$86,15,0)),0,VLOOKUP($T$913,'TAR FIN'!$A$1:$O$86,15,0))</f>
        <v>178.47</v>
      </c>
      <c r="X913" s="6">
        <f>IF(ISERROR(VLOOKUP($U$913,'TAR FIN'!$A$1:$O$86,15,0)),0,VLOOKUP($U$913,'TAR FIN'!$A$1:$O$86,15,0))</f>
        <v>142.02000000000001</v>
      </c>
      <c r="Y913" s="6"/>
      <c r="Z913" s="6">
        <f ca="1">('TUSD BE'!$AM$51+'TUSD BF_350'!$AM$51+'TUSD CVA'!$AM$51)*1</f>
        <v>181.58590815311899</v>
      </c>
      <c r="AA913" s="6">
        <f ca="1">('TE BE'!$AB$41+'TE BF_350'!$AB$41+'TE CVA'!$AB$41)*1</f>
        <v>126.82042524172216</v>
      </c>
      <c r="AB913" s="6">
        <f>$K$913*$V$913</f>
        <v>0</v>
      </c>
      <c r="AC913" s="6">
        <f>$M$913*$W$913</f>
        <v>82567.182329999996</v>
      </c>
      <c r="AD913" s="6">
        <f>$O$913*$X$913</f>
        <v>65703.990780000007</v>
      </c>
      <c r="AE913" s="6">
        <f>$K$913*$Y$913</f>
        <v>0</v>
      </c>
      <c r="AF913" s="6">
        <f ca="1">$M$913*$Z$913</f>
        <v>84008.722962050815</v>
      </c>
      <c r="AG913" s="6">
        <f ca="1">$O$913*$AA$913</f>
        <v>58672.074713405098</v>
      </c>
    </row>
    <row r="914" spans="1:33" ht="11.25" customHeight="1" x14ac:dyDescent="0.25">
      <c r="A914" s="4" t="s">
        <v>21</v>
      </c>
      <c r="B914" s="4" t="s">
        <v>45</v>
      </c>
      <c r="C914" s="4" t="s">
        <v>23</v>
      </c>
      <c r="D914" s="4" t="s">
        <v>46</v>
      </c>
      <c r="E914" s="4" t="s">
        <v>47</v>
      </c>
      <c r="F914" s="4" t="s">
        <v>25</v>
      </c>
      <c r="G914" s="4" t="s">
        <v>25</v>
      </c>
      <c r="H914" s="4" t="s">
        <v>25</v>
      </c>
      <c r="I914" s="5">
        <v>44501</v>
      </c>
      <c r="J914" s="6">
        <v>0</v>
      </c>
      <c r="K914" s="6">
        <v>0</v>
      </c>
      <c r="L914" s="6">
        <v>448.31</v>
      </c>
      <c r="M914" s="6">
        <v>448.31</v>
      </c>
      <c r="N914" s="6">
        <v>448.31</v>
      </c>
      <c r="O914" s="6">
        <v>448.31</v>
      </c>
      <c r="P914" s="6">
        <v>10</v>
      </c>
      <c r="Q914" s="4" t="s">
        <v>26</v>
      </c>
      <c r="R914" s="4">
        <v>0</v>
      </c>
      <c r="S914" s="6">
        <v>0</v>
      </c>
      <c r="T914" s="6">
        <v>65</v>
      </c>
      <c r="U914" s="6">
        <v>82</v>
      </c>
      <c r="V914" s="6">
        <f>IF(ISERROR(VLOOKUP($S$914,'TAR FIN'!$A$1:$O$86,15,0)),0,VLOOKUP($S$914,'TAR FIN'!$A$1:$O$86,15,0))</f>
        <v>0</v>
      </c>
      <c r="W914" s="6">
        <f>IF(ISERROR(VLOOKUP($T$914,'TAR FIN'!$A$1:$O$86,15,0)),0,VLOOKUP($T$914,'TAR FIN'!$A$1:$O$86,15,0))</f>
        <v>178.47</v>
      </c>
      <c r="X914" s="6">
        <f>IF(ISERROR(VLOOKUP($U$914,'TAR FIN'!$A$1:$O$86,15,0)),0,VLOOKUP($U$914,'TAR FIN'!$A$1:$O$86,15,0))</f>
        <v>142.02000000000001</v>
      </c>
      <c r="Y914" s="6"/>
      <c r="Z914" s="6">
        <f ca="1">('TUSD BE'!$AM$51+'TUSD BF_350'!$AM$51+'TUSD CVA'!$AM$51)*1</f>
        <v>181.58590815311899</v>
      </c>
      <c r="AA914" s="6">
        <f ca="1">('TE BE'!$AB$41+'TE BF_350'!$AB$41+'TE CVA'!$AB$41)*1</f>
        <v>126.82042524172216</v>
      </c>
      <c r="AB914" s="6">
        <f>$K$914*$V$914</f>
        <v>0</v>
      </c>
      <c r="AC914" s="6">
        <f>$M$914*$W$914</f>
        <v>80009.885699999999</v>
      </c>
      <c r="AD914" s="6">
        <f>$O$914*$X$914</f>
        <v>63668.986200000007</v>
      </c>
      <c r="AE914" s="6">
        <f>$K$914*$Y$914</f>
        <v>0</v>
      </c>
      <c r="AF914" s="6">
        <f ca="1">$M$914*$Z$914</f>
        <v>81406.778484124778</v>
      </c>
      <c r="AG914" s="6">
        <f ca="1">$O$914*$AA$914</f>
        <v>56854.864840116461</v>
      </c>
    </row>
    <row r="915" spans="1:33" ht="11.25" customHeight="1" x14ac:dyDescent="0.25">
      <c r="A915" s="4" t="s">
        <v>21</v>
      </c>
      <c r="B915" s="4" t="s">
        <v>45</v>
      </c>
      <c r="C915" s="4" t="s">
        <v>23</v>
      </c>
      <c r="D915" s="4" t="s">
        <v>46</v>
      </c>
      <c r="E915" s="4" t="s">
        <v>47</v>
      </c>
      <c r="F915" s="4" t="s">
        <v>25</v>
      </c>
      <c r="G915" s="4" t="s">
        <v>25</v>
      </c>
      <c r="H915" s="4" t="s">
        <v>25</v>
      </c>
      <c r="I915" s="5">
        <v>44531</v>
      </c>
      <c r="J915" s="6">
        <v>0</v>
      </c>
      <c r="K915" s="6">
        <v>0</v>
      </c>
      <c r="L915" s="6">
        <v>463.16500000000002</v>
      </c>
      <c r="M915" s="6">
        <v>463.16500000000002</v>
      </c>
      <c r="N915" s="6">
        <v>463.16500000000002</v>
      </c>
      <c r="O915" s="6">
        <v>463.16500000000002</v>
      </c>
      <c r="P915" s="6">
        <v>10</v>
      </c>
      <c r="Q915" s="4" t="s">
        <v>26</v>
      </c>
      <c r="R915" s="4">
        <v>0</v>
      </c>
      <c r="S915" s="6">
        <v>0</v>
      </c>
      <c r="T915" s="6">
        <v>65</v>
      </c>
      <c r="U915" s="6">
        <v>82</v>
      </c>
      <c r="V915" s="6">
        <f>IF(ISERROR(VLOOKUP($S$915,'TAR FIN'!$A$1:$O$86,15,0)),0,VLOOKUP($S$915,'TAR FIN'!$A$1:$O$86,15,0))</f>
        <v>0</v>
      </c>
      <c r="W915" s="6">
        <f>IF(ISERROR(VLOOKUP($T$915,'TAR FIN'!$A$1:$O$86,15,0)),0,VLOOKUP($T$915,'TAR FIN'!$A$1:$O$86,15,0))</f>
        <v>178.47</v>
      </c>
      <c r="X915" s="6">
        <f>IF(ISERROR(VLOOKUP($U$915,'TAR FIN'!$A$1:$O$86,15,0)),0,VLOOKUP($U$915,'TAR FIN'!$A$1:$O$86,15,0))</f>
        <v>142.02000000000001</v>
      </c>
      <c r="Y915" s="6"/>
      <c r="Z915" s="6">
        <f ca="1">('TUSD BE'!$AM$51+'TUSD BF_350'!$AM$51+'TUSD CVA'!$AM$51)*1</f>
        <v>181.58590815311899</v>
      </c>
      <c r="AA915" s="6">
        <f ca="1">('TE BE'!$AB$41+'TE BF_350'!$AB$41+'TE CVA'!$AB$41)*1</f>
        <v>126.82042524172216</v>
      </c>
      <c r="AB915" s="6">
        <f>$K$915*$V$915</f>
        <v>0</v>
      </c>
      <c r="AC915" s="6">
        <f>$M$915*$W$915</f>
        <v>82661.057549999998</v>
      </c>
      <c r="AD915" s="6">
        <f>$O$915*$X$915</f>
        <v>65778.693300000014</v>
      </c>
      <c r="AE915" s="6">
        <f>$K$915*$Y$915</f>
        <v>0</v>
      </c>
      <c r="AF915" s="6">
        <f ca="1">$M$915*$Z$915</f>
        <v>84104.237149739361</v>
      </c>
      <c r="AG915" s="6">
        <f ca="1">$O$915*$AA$915</f>
        <v>58738.782257082246</v>
      </c>
    </row>
    <row r="916" spans="1:33" ht="11.25" customHeight="1" x14ac:dyDescent="0.25">
      <c r="A916" s="4" t="s">
        <v>21</v>
      </c>
      <c r="B916" s="4" t="s">
        <v>45</v>
      </c>
      <c r="C916" s="4" t="s">
        <v>23</v>
      </c>
      <c r="D916" s="4" t="s">
        <v>46</v>
      </c>
      <c r="E916" s="4" t="s">
        <v>47</v>
      </c>
      <c r="F916" s="4" t="s">
        <v>25</v>
      </c>
      <c r="G916" s="4" t="s">
        <v>25</v>
      </c>
      <c r="H916" s="4" t="s">
        <v>25</v>
      </c>
      <c r="I916" s="5">
        <v>44562</v>
      </c>
      <c r="J916" s="6">
        <v>0</v>
      </c>
      <c r="K916" s="6">
        <v>0</v>
      </c>
      <c r="L916" s="6">
        <v>463.16500000000002</v>
      </c>
      <c r="M916" s="6">
        <v>463.16500000000002</v>
      </c>
      <c r="N916" s="6">
        <v>463.16500000000002</v>
      </c>
      <c r="O916" s="6">
        <v>463.16500000000002</v>
      </c>
      <c r="P916" s="6">
        <v>10</v>
      </c>
      <c r="Q916" s="4" t="s">
        <v>26</v>
      </c>
      <c r="R916" s="4">
        <v>0</v>
      </c>
      <c r="S916" s="6">
        <v>0</v>
      </c>
      <c r="T916" s="6">
        <v>65</v>
      </c>
      <c r="U916" s="6">
        <v>82</v>
      </c>
      <c r="V916" s="6">
        <f>IF(ISERROR(VLOOKUP($S$916,'TAR FIN'!$A$1:$O$86,15,0)),0,VLOOKUP($S$916,'TAR FIN'!$A$1:$O$86,15,0))</f>
        <v>0</v>
      </c>
      <c r="W916" s="6">
        <f>IF(ISERROR(VLOOKUP($T$916,'TAR FIN'!$A$1:$O$86,15,0)),0,VLOOKUP($T$916,'TAR FIN'!$A$1:$O$86,15,0))</f>
        <v>178.47</v>
      </c>
      <c r="X916" s="6">
        <f>IF(ISERROR(VLOOKUP($U$916,'TAR FIN'!$A$1:$O$86,15,0)),0,VLOOKUP($U$916,'TAR FIN'!$A$1:$O$86,15,0))</f>
        <v>142.02000000000001</v>
      </c>
      <c r="Y916" s="6"/>
      <c r="Z916" s="6">
        <f ca="1">('TUSD BE'!$AM$51+'TUSD BF_350'!$AM$51+'TUSD CVA'!$AM$51)*1</f>
        <v>181.58590815311899</v>
      </c>
      <c r="AA916" s="6">
        <f ca="1">('TE BE'!$AB$41+'TE BF_350'!$AB$41+'TE CVA'!$AB$41)*1</f>
        <v>126.82042524172216</v>
      </c>
      <c r="AB916" s="6">
        <f>$K$916*$V$916</f>
        <v>0</v>
      </c>
      <c r="AC916" s="6">
        <f>$M$916*$W$916</f>
        <v>82661.057549999998</v>
      </c>
      <c r="AD916" s="6">
        <f>$O$916*$X$916</f>
        <v>65778.693300000014</v>
      </c>
      <c r="AE916" s="6">
        <f>$K$916*$Y$916</f>
        <v>0</v>
      </c>
      <c r="AF916" s="6">
        <f ca="1">$M$916*$Z$916</f>
        <v>84104.237149739361</v>
      </c>
      <c r="AG916" s="6">
        <f ca="1">$O$916*$AA$916</f>
        <v>58738.782257082246</v>
      </c>
    </row>
    <row r="917" spans="1:33" ht="11.25" customHeight="1" x14ac:dyDescent="0.25">
      <c r="A917" s="4" t="s">
        <v>21</v>
      </c>
      <c r="B917" s="4" t="s">
        <v>45</v>
      </c>
      <c r="C917" s="4" t="s">
        <v>23</v>
      </c>
      <c r="D917" s="4" t="s">
        <v>46</v>
      </c>
      <c r="E917" s="4" t="s">
        <v>47</v>
      </c>
      <c r="F917" s="4" t="s">
        <v>25</v>
      </c>
      <c r="G917" s="4" t="s">
        <v>25</v>
      </c>
      <c r="H917" s="4" t="s">
        <v>25</v>
      </c>
      <c r="I917" s="5">
        <v>44593</v>
      </c>
      <c r="J917" s="6">
        <v>0</v>
      </c>
      <c r="K917" s="6">
        <v>0</v>
      </c>
      <c r="L917" s="6">
        <v>418.34300000000002</v>
      </c>
      <c r="M917" s="6">
        <v>418.34300000000002</v>
      </c>
      <c r="N917" s="6">
        <v>418.34300000000002</v>
      </c>
      <c r="O917" s="6">
        <v>418.34300000000002</v>
      </c>
      <c r="P917" s="6">
        <v>10</v>
      </c>
      <c r="Q917" s="4" t="s">
        <v>26</v>
      </c>
      <c r="R917" s="4">
        <v>0</v>
      </c>
      <c r="S917" s="6">
        <v>0</v>
      </c>
      <c r="T917" s="6">
        <v>65</v>
      </c>
      <c r="U917" s="6">
        <v>82</v>
      </c>
      <c r="V917" s="6">
        <f>IF(ISERROR(VLOOKUP($S$917,'TAR FIN'!$A$1:$O$86,15,0)),0,VLOOKUP($S$917,'TAR FIN'!$A$1:$O$86,15,0))</f>
        <v>0</v>
      </c>
      <c r="W917" s="6">
        <f>IF(ISERROR(VLOOKUP($T$917,'TAR FIN'!$A$1:$O$86,15,0)),0,VLOOKUP($T$917,'TAR FIN'!$A$1:$O$86,15,0))</f>
        <v>178.47</v>
      </c>
      <c r="X917" s="6">
        <f>IF(ISERROR(VLOOKUP($U$917,'TAR FIN'!$A$1:$O$86,15,0)),0,VLOOKUP($U$917,'TAR FIN'!$A$1:$O$86,15,0))</f>
        <v>142.02000000000001</v>
      </c>
      <c r="Y917" s="6"/>
      <c r="Z917" s="6">
        <f ca="1">('TUSD BE'!$AM$51+'TUSD BF_350'!$AM$51+'TUSD CVA'!$AM$51)*1</f>
        <v>181.58590815311899</v>
      </c>
      <c r="AA917" s="6">
        <f ca="1">('TE BE'!$AB$41+'TE BF_350'!$AB$41+'TE CVA'!$AB$41)*1</f>
        <v>126.82042524172216</v>
      </c>
      <c r="AB917" s="6">
        <f>$K$917*$V$917</f>
        <v>0</v>
      </c>
      <c r="AC917" s="6">
        <f>$M$917*$W$917</f>
        <v>74661.675210000001</v>
      </c>
      <c r="AD917" s="6">
        <f>$O$917*$X$917</f>
        <v>59413.072860000007</v>
      </c>
      <c r="AE917" s="6">
        <f>$K$917*$Y$917</f>
        <v>0</v>
      </c>
      <c r="AF917" s="6">
        <f ca="1">$M$917*$Z$917</f>
        <v>75965.193574500256</v>
      </c>
      <c r="AG917" s="6">
        <f ca="1">$O$917*$AA$917</f>
        <v>53054.43715689778</v>
      </c>
    </row>
    <row r="918" spans="1:33" ht="11.25" customHeight="1" x14ac:dyDescent="0.25">
      <c r="A918" s="4" t="s">
        <v>21</v>
      </c>
      <c r="B918" s="4" t="s">
        <v>45</v>
      </c>
      <c r="C918" s="4" t="s">
        <v>23</v>
      </c>
      <c r="D918" s="4" t="s">
        <v>46</v>
      </c>
      <c r="E918" s="4" t="s">
        <v>47</v>
      </c>
      <c r="F918" s="4" t="s">
        <v>25</v>
      </c>
      <c r="G918" s="4" t="s">
        <v>25</v>
      </c>
      <c r="H918" s="4" t="s">
        <v>25</v>
      </c>
      <c r="I918" s="5">
        <v>44621</v>
      </c>
      <c r="J918" s="6">
        <v>0</v>
      </c>
      <c r="K918" s="6">
        <v>0</v>
      </c>
      <c r="L918" s="6">
        <v>463.16500000000002</v>
      </c>
      <c r="M918" s="6">
        <v>463.16500000000002</v>
      </c>
      <c r="N918" s="6">
        <v>463.16500000000002</v>
      </c>
      <c r="O918" s="6">
        <v>463.16500000000002</v>
      </c>
      <c r="P918" s="6">
        <v>10</v>
      </c>
      <c r="Q918" s="4" t="s">
        <v>26</v>
      </c>
      <c r="R918" s="4">
        <v>0</v>
      </c>
      <c r="S918" s="6">
        <v>0</v>
      </c>
      <c r="T918" s="6">
        <v>65</v>
      </c>
      <c r="U918" s="6">
        <v>82</v>
      </c>
      <c r="V918" s="6">
        <f>IF(ISERROR(VLOOKUP($S$918,'TAR FIN'!$A$1:$O$86,15,0)),0,VLOOKUP($S$918,'TAR FIN'!$A$1:$O$86,15,0))</f>
        <v>0</v>
      </c>
      <c r="W918" s="6">
        <f>IF(ISERROR(VLOOKUP($T$918,'TAR FIN'!$A$1:$O$86,15,0)),0,VLOOKUP($T$918,'TAR FIN'!$A$1:$O$86,15,0))</f>
        <v>178.47</v>
      </c>
      <c r="X918" s="6">
        <f>IF(ISERROR(VLOOKUP($U$918,'TAR FIN'!$A$1:$O$86,15,0)),0,VLOOKUP($U$918,'TAR FIN'!$A$1:$O$86,15,0))</f>
        <v>142.02000000000001</v>
      </c>
      <c r="Y918" s="6"/>
      <c r="Z918" s="6">
        <f ca="1">('TUSD BE'!$AM$51+'TUSD BF_350'!$AM$51+'TUSD CVA'!$AM$51)*1</f>
        <v>181.58590815311899</v>
      </c>
      <c r="AA918" s="6">
        <f ca="1">('TE BE'!$AB$41+'TE BF_350'!$AB$41+'TE CVA'!$AB$41)*1</f>
        <v>126.82042524172216</v>
      </c>
      <c r="AB918" s="6">
        <f>$K$918*$V$918</f>
        <v>0</v>
      </c>
      <c r="AC918" s="6">
        <f>$M$918*$W$918</f>
        <v>82661.057549999998</v>
      </c>
      <c r="AD918" s="6">
        <f>$O$918*$X$918</f>
        <v>65778.693300000014</v>
      </c>
      <c r="AE918" s="6">
        <f>$K$918*$Y$918</f>
        <v>0</v>
      </c>
      <c r="AF918" s="6">
        <f ca="1">$M$918*$Z$918</f>
        <v>84104.237149739361</v>
      </c>
      <c r="AG918" s="6">
        <f ca="1">$O$918*$AA$918</f>
        <v>58738.782257082246</v>
      </c>
    </row>
    <row r="919" spans="1:33" ht="11.25" customHeight="1" x14ac:dyDescent="0.25">
      <c r="A919" s="4" t="s">
        <v>21</v>
      </c>
      <c r="B919" s="4" t="s">
        <v>45</v>
      </c>
      <c r="C919" s="4" t="s">
        <v>23</v>
      </c>
      <c r="D919" s="4" t="s">
        <v>46</v>
      </c>
      <c r="E919" s="4" t="s">
        <v>47</v>
      </c>
      <c r="F919" s="4" t="s">
        <v>25</v>
      </c>
      <c r="G919" s="4" t="s">
        <v>25</v>
      </c>
      <c r="H919" s="4" t="s">
        <v>25</v>
      </c>
      <c r="I919" s="5">
        <v>44652</v>
      </c>
      <c r="J919" s="6">
        <v>0</v>
      </c>
      <c r="K919" s="6">
        <v>0</v>
      </c>
      <c r="L919" s="6">
        <v>448.22500000000002</v>
      </c>
      <c r="M919" s="6">
        <v>448.22500000000002</v>
      </c>
      <c r="N919" s="6">
        <v>448.22500000000002</v>
      </c>
      <c r="O919" s="6">
        <v>448.22500000000002</v>
      </c>
      <c r="P919" s="6">
        <v>10</v>
      </c>
      <c r="Q919" s="4" t="s">
        <v>26</v>
      </c>
      <c r="R919" s="4">
        <v>0</v>
      </c>
      <c r="S919" s="6">
        <v>0</v>
      </c>
      <c r="T919" s="6">
        <v>65</v>
      </c>
      <c r="U919" s="6">
        <v>82</v>
      </c>
      <c r="V919" s="6">
        <f>IF(ISERROR(VLOOKUP($S$919,'TAR FIN'!$A$1:$O$86,15,0)),0,VLOOKUP($S$919,'TAR FIN'!$A$1:$O$86,15,0))</f>
        <v>0</v>
      </c>
      <c r="W919" s="6">
        <f>IF(ISERROR(VLOOKUP($T$919,'TAR FIN'!$A$1:$O$86,15,0)),0,VLOOKUP($T$919,'TAR FIN'!$A$1:$O$86,15,0))</f>
        <v>178.47</v>
      </c>
      <c r="X919" s="6">
        <f>IF(ISERROR(VLOOKUP($U$919,'TAR FIN'!$A$1:$O$86,15,0)),0,VLOOKUP($U$919,'TAR FIN'!$A$1:$O$86,15,0))</f>
        <v>142.02000000000001</v>
      </c>
      <c r="Y919" s="6"/>
      <c r="Z919" s="6">
        <f ca="1">('TUSD BE'!$AM$51+'TUSD BF_350'!$AM$51+'TUSD CVA'!$AM$51)*1</f>
        <v>181.58590815311899</v>
      </c>
      <c r="AA919" s="6">
        <f ca="1">('TE BE'!$AB$41+'TE BF_350'!$AB$41+'TE CVA'!$AB$41)*1</f>
        <v>126.82042524172216</v>
      </c>
      <c r="AB919" s="6">
        <f>$K$919*$V$919</f>
        <v>0</v>
      </c>
      <c r="AC919" s="6">
        <f>$M$919*$W$919</f>
        <v>79994.715750000003</v>
      </c>
      <c r="AD919" s="6">
        <f>$O$919*$X$919</f>
        <v>63656.914500000006</v>
      </c>
      <c r="AE919" s="6">
        <f>$K$919*$Y$919</f>
        <v>0</v>
      </c>
      <c r="AF919" s="6">
        <f ca="1">$M$919*$Z$919</f>
        <v>81391.343681931758</v>
      </c>
      <c r="AG919" s="6">
        <f ca="1">$O$919*$AA$919</f>
        <v>56844.085103970916</v>
      </c>
    </row>
    <row r="920" spans="1:33" ht="11.25" customHeight="1" x14ac:dyDescent="0.25">
      <c r="A920" s="4" t="s">
        <v>21</v>
      </c>
      <c r="B920" s="4" t="s">
        <v>45</v>
      </c>
      <c r="C920" s="4" t="s">
        <v>23</v>
      </c>
      <c r="D920" s="4" t="s">
        <v>46</v>
      </c>
      <c r="E920" s="4" t="s">
        <v>47</v>
      </c>
      <c r="F920" s="4" t="s">
        <v>25</v>
      </c>
      <c r="G920" s="4" t="s">
        <v>25</v>
      </c>
      <c r="H920" s="4" t="s">
        <v>25</v>
      </c>
      <c r="I920" s="5">
        <v>44682</v>
      </c>
      <c r="J920" s="6">
        <v>0</v>
      </c>
      <c r="K920" s="6">
        <v>0</v>
      </c>
      <c r="L920" s="6">
        <v>463.16500000000002</v>
      </c>
      <c r="M920" s="6">
        <v>463.16500000000002</v>
      </c>
      <c r="N920" s="6">
        <v>463.16500000000002</v>
      </c>
      <c r="O920" s="6">
        <v>463.16500000000002</v>
      </c>
      <c r="P920" s="6">
        <v>10</v>
      </c>
      <c r="Q920" s="4" t="s">
        <v>26</v>
      </c>
      <c r="R920" s="4">
        <v>0</v>
      </c>
      <c r="S920" s="6">
        <v>0</v>
      </c>
      <c r="T920" s="6">
        <v>65</v>
      </c>
      <c r="U920" s="6">
        <v>82</v>
      </c>
      <c r="V920" s="6">
        <f>IF(ISERROR(VLOOKUP($S$920,'TAR FIN'!$A$1:$O$86,15,0)),0,VLOOKUP($S$920,'TAR FIN'!$A$1:$O$86,15,0))</f>
        <v>0</v>
      </c>
      <c r="W920" s="6">
        <f>IF(ISERROR(VLOOKUP($T$920,'TAR FIN'!$A$1:$O$86,15,0)),0,VLOOKUP($T$920,'TAR FIN'!$A$1:$O$86,15,0))</f>
        <v>178.47</v>
      </c>
      <c r="X920" s="6">
        <f>IF(ISERROR(VLOOKUP($U$920,'TAR FIN'!$A$1:$O$86,15,0)),0,VLOOKUP($U$920,'TAR FIN'!$A$1:$O$86,15,0))</f>
        <v>142.02000000000001</v>
      </c>
      <c r="Y920" s="6"/>
      <c r="Z920" s="6">
        <f ca="1">('TUSD BE'!$AM$51+'TUSD BF_350'!$AM$51+'TUSD CVA'!$AM$51)*1</f>
        <v>181.58590815311899</v>
      </c>
      <c r="AA920" s="6">
        <f ca="1">('TE BE'!$AB$41+'TE BF_350'!$AB$41+'TE CVA'!$AB$41)*1</f>
        <v>126.82042524172216</v>
      </c>
      <c r="AB920" s="6">
        <f>$K$920*$V$920</f>
        <v>0</v>
      </c>
      <c r="AC920" s="6">
        <f>$M$920*$W$920</f>
        <v>82661.057549999998</v>
      </c>
      <c r="AD920" s="6">
        <f>$O$920*$X$920</f>
        <v>65778.693300000014</v>
      </c>
      <c r="AE920" s="6">
        <f>$K$920*$Y$920</f>
        <v>0</v>
      </c>
      <c r="AF920" s="6">
        <f ca="1">$M$920*$Z$920</f>
        <v>84104.237149739361</v>
      </c>
      <c r="AG920" s="6">
        <f ca="1">$O$920*$AA$920</f>
        <v>58738.782257082246</v>
      </c>
    </row>
    <row r="921" spans="1:33" ht="11.25" customHeight="1" x14ac:dyDescent="0.25">
      <c r="A921" s="4" t="s">
        <v>56</v>
      </c>
      <c r="B921" s="4" t="s">
        <v>45</v>
      </c>
      <c r="C921" s="4" t="s">
        <v>23</v>
      </c>
      <c r="D921" s="4" t="s">
        <v>46</v>
      </c>
      <c r="E921" s="4" t="s">
        <v>47</v>
      </c>
      <c r="F921" s="4" t="s">
        <v>25</v>
      </c>
      <c r="G921" s="4" t="s">
        <v>25</v>
      </c>
      <c r="H921" s="4" t="s">
        <v>25</v>
      </c>
      <c r="I921" s="5">
        <v>44713</v>
      </c>
      <c r="J921" s="6">
        <v>0</v>
      </c>
      <c r="K921" s="6">
        <v>0</v>
      </c>
      <c r="L921" s="6">
        <v>463.16500000000002</v>
      </c>
      <c r="M921" s="6">
        <v>463.16500000000002</v>
      </c>
      <c r="N921" s="6">
        <v>463.16500000000002</v>
      </c>
      <c r="O921" s="6">
        <v>463.16500000000002</v>
      </c>
      <c r="P921" s="6">
        <v>10</v>
      </c>
      <c r="Q921" s="4" t="s">
        <v>26</v>
      </c>
      <c r="R921" s="4">
        <v>0</v>
      </c>
      <c r="S921" s="6">
        <v>0</v>
      </c>
      <c r="T921" s="6">
        <v>65</v>
      </c>
      <c r="U921" s="6">
        <v>82</v>
      </c>
      <c r="V921" s="6">
        <f>IF(ISERROR(VLOOKUP($S$921,'TAR FIN'!$A$1:$O$86,15,0)),0,VLOOKUP($S$921,'TAR FIN'!$A$1:$O$86,15,0))</f>
        <v>0</v>
      </c>
      <c r="W921" s="6">
        <f>IF(ISERROR(VLOOKUP($T$921,'TAR FIN'!$A$1:$O$86,15,0)),0,VLOOKUP($T$921,'TAR FIN'!$A$1:$O$86,15,0))</f>
        <v>178.47</v>
      </c>
      <c r="X921" s="6">
        <f>IF(ISERROR(VLOOKUP($U$921,'TAR FIN'!$A$1:$O$86,15,0)),0,VLOOKUP($U$921,'TAR FIN'!$A$1:$O$86,15,0))</f>
        <v>142.02000000000001</v>
      </c>
      <c r="Y921" s="6"/>
      <c r="Z921" s="6">
        <f ca="1">('TUSD BE'!$AM$51+'TUSD BF_350'!$AM$51+'TUSD CVA'!$AM$51)*1</f>
        <v>181.58590815311899</v>
      </c>
      <c r="AA921" s="6">
        <f ca="1">('TE BE'!$AB$41+'TE BF_350'!$AB$41+'TE CVA'!$AB$41)*1</f>
        <v>126.82042524172216</v>
      </c>
      <c r="AB921" s="6">
        <f>$K$921*$V$921</f>
        <v>0</v>
      </c>
      <c r="AC921" s="6">
        <f>$M$921*$W$921</f>
        <v>82661.057549999998</v>
      </c>
      <c r="AD921" s="6">
        <f>$O$921*$X$921</f>
        <v>65778.693300000014</v>
      </c>
      <c r="AE921" s="6">
        <f>$K$921*$Y$921</f>
        <v>0</v>
      </c>
      <c r="AF921" s="6">
        <f ca="1">$M$921*$Z$921</f>
        <v>84104.237149739361</v>
      </c>
      <c r="AG921" s="6">
        <f ca="1">$O$921*$AA$921</f>
        <v>58738.782257082246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87A0C-5530-4612-833B-B19BB9BCC799}">
  <sheetPr>
    <tabColor indexed="12" tint="-0.249977111117893"/>
  </sheetPr>
  <dimension ref="B1:AB20"/>
  <sheetViews>
    <sheetView workbookViewId="0">
      <selection activeCell="D20" sqref="D20:E20"/>
    </sheetView>
  </sheetViews>
  <sheetFormatPr defaultRowHeight="15" x14ac:dyDescent="0.25"/>
  <cols>
    <col min="2" max="2" width="15.85546875" bestFit="1" customWidth="1"/>
    <col min="3" max="3" width="11.7109375" bestFit="1" customWidth="1"/>
    <col min="4" max="4" width="13.28515625" bestFit="1" customWidth="1"/>
    <col min="5" max="5" width="11.140625" bestFit="1" customWidth="1"/>
    <col min="6" max="6" width="18.7109375" bestFit="1" customWidth="1"/>
    <col min="7" max="7" width="16.7109375" bestFit="1" customWidth="1"/>
    <col min="8" max="8" width="34" bestFit="1" customWidth="1"/>
    <col min="9" max="9" width="16.5703125" bestFit="1" customWidth="1"/>
    <col min="10" max="10" width="33.85546875" bestFit="1" customWidth="1"/>
    <col min="28" max="28" width="8" bestFit="1" customWidth="1"/>
  </cols>
  <sheetData>
    <row r="1" spans="2:28" x14ac:dyDescent="0.25">
      <c r="AA1" t="s">
        <v>1160</v>
      </c>
      <c r="AB1">
        <v>1000042</v>
      </c>
    </row>
    <row r="2" spans="2:28" x14ac:dyDescent="0.25">
      <c r="AA2" t="s">
        <v>1161</v>
      </c>
      <c r="AB2">
        <v>2022</v>
      </c>
    </row>
    <row r="3" spans="2:28" x14ac:dyDescent="0.25">
      <c r="AA3" t="s">
        <v>683</v>
      </c>
      <c r="AB3">
        <v>1</v>
      </c>
    </row>
    <row r="4" spans="2:28" ht="15.75" thickBot="1" x14ac:dyDescent="0.3">
      <c r="B4" s="29" t="s">
        <v>601</v>
      </c>
      <c r="C4" s="29" t="s">
        <v>71</v>
      </c>
      <c r="D4" s="29" t="s">
        <v>72</v>
      </c>
      <c r="E4" s="29" t="s">
        <v>77</v>
      </c>
      <c r="F4" s="29" t="s">
        <v>1162</v>
      </c>
      <c r="G4" s="29" t="s">
        <v>1163</v>
      </c>
      <c r="H4" s="29" t="s">
        <v>1164</v>
      </c>
      <c r="I4" s="29" t="s">
        <v>1165</v>
      </c>
      <c r="J4" s="29" t="s">
        <v>1166</v>
      </c>
    </row>
    <row r="5" spans="2:28" x14ac:dyDescent="0.25">
      <c r="B5" s="32" t="s">
        <v>562</v>
      </c>
      <c r="C5" s="33" t="s">
        <v>38</v>
      </c>
      <c r="D5" s="33" t="s">
        <v>39</v>
      </c>
      <c r="E5" s="33" t="s">
        <v>1167</v>
      </c>
      <c r="F5" s="36">
        <f>SUMIFS(Mercado_Receita!J:J,Mercado_Receita!B:B,"=A4",Mercado_Receita!C:C,"=AZUL",Mercado_Receita!H:H,"=Ponta")</f>
        <v>74530</v>
      </c>
      <c r="G5" s="36">
        <f ca="1">ROUND('TUSD BE'!$AM$6+'TUSD BF'!$AM$6+'TUSD CVA'!$AM$6,2)</f>
        <v>40.18</v>
      </c>
      <c r="H5" s="36">
        <v>47.94</v>
      </c>
      <c r="I5" s="36">
        <f t="shared" ref="I5:I14" ca="1" si="0">F5*G5</f>
        <v>2994615.4</v>
      </c>
      <c r="J5" s="37">
        <f t="shared" ref="J5:J14" si="1">F5*H5</f>
        <v>3572968.1999999997</v>
      </c>
    </row>
    <row r="6" spans="2:28" x14ac:dyDescent="0.25">
      <c r="B6" s="30" t="s">
        <v>562</v>
      </c>
      <c r="C6" s="89" t="s">
        <v>38</v>
      </c>
      <c r="D6" s="89" t="s">
        <v>39</v>
      </c>
      <c r="E6" s="89" t="s">
        <v>1168</v>
      </c>
      <c r="F6" s="102">
        <f>SUMIFS(Mercado_Receita!J:J,Mercado_Receita!B:B,"=A4",Mercado_Receita!C:C,"=AZUL",Mercado_Receita!H:H,"=Fora Ponta")</f>
        <v>78662</v>
      </c>
      <c r="G6" s="102">
        <f ca="1">ROUND('TUSD BE'!$AM$7+'TUSD BF'!$AM$7+'TUSD CVA'!$AM$7,2)</f>
        <v>15.19</v>
      </c>
      <c r="H6" s="102">
        <v>32.31</v>
      </c>
      <c r="I6" s="102">
        <f t="shared" ca="1" si="0"/>
        <v>1194875.78</v>
      </c>
      <c r="J6" s="38">
        <f t="shared" si="1"/>
        <v>2541569.2200000002</v>
      </c>
    </row>
    <row r="7" spans="2:28" x14ac:dyDescent="0.25">
      <c r="B7" s="30" t="s">
        <v>562</v>
      </c>
      <c r="C7" s="89" t="s">
        <v>38</v>
      </c>
      <c r="D7" s="89" t="s">
        <v>39</v>
      </c>
      <c r="E7" s="89" t="s">
        <v>11</v>
      </c>
      <c r="F7" s="102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35898.876000000004</v>
      </c>
      <c r="G7" s="102">
        <f ca="1">ROUND('TUSD BE'!$AM$8+'TUSD BF'!$AM$8+'TUSD CVA'!$AM$8,2)</f>
        <v>100.24</v>
      </c>
      <c r="H7" s="102">
        <v>116.79</v>
      </c>
      <c r="I7" s="102">
        <f t="shared" ca="1" si="0"/>
        <v>3598503.33024</v>
      </c>
      <c r="J7" s="38">
        <f t="shared" si="1"/>
        <v>4192629.7280400009</v>
      </c>
    </row>
    <row r="8" spans="2:28" x14ac:dyDescent="0.25">
      <c r="B8" s="30" t="s">
        <v>590</v>
      </c>
      <c r="C8" s="89" t="s">
        <v>38</v>
      </c>
      <c r="D8" s="89" t="s">
        <v>39</v>
      </c>
      <c r="E8" s="89" t="s">
        <v>1169</v>
      </c>
      <c r="F8" s="102">
        <f>SUMIFS(Mercado_Receita!N:N,Mercado_Receita!B:B,"=A4",Mercado_Receita!C:C,"=AZUL",Mercado_Receita!H:H,"=Ponta",Mercado_Receita!Q:Q,"=Cativo")</f>
        <v>491.84199999999998</v>
      </c>
      <c r="G8" s="102">
        <f>ROUND('TE BE'!$AB$5+'TE BF'!$AB$5+'TE CVA'!$AB$5,2)</f>
        <v>353.55</v>
      </c>
      <c r="H8" s="102">
        <v>393.63</v>
      </c>
      <c r="I8" s="102">
        <f t="shared" si="0"/>
        <v>173890.73910000001</v>
      </c>
      <c r="J8" s="38">
        <f t="shared" si="1"/>
        <v>193603.76645999998</v>
      </c>
    </row>
    <row r="9" spans="2:28" ht="15.75" thickBot="1" x14ac:dyDescent="0.3">
      <c r="B9" s="31" t="s">
        <v>590</v>
      </c>
      <c r="C9" s="88" t="s">
        <v>38</v>
      </c>
      <c r="D9" s="88" t="s">
        <v>39</v>
      </c>
      <c r="E9" s="88" t="s">
        <v>1170</v>
      </c>
      <c r="F9" s="103">
        <f>SUMIFS(Mercado_Receita!N:N,Mercado_Receita!B:B,"=A4",Mercado_Receita!C:C,"=AZUL",Mercado_Receita!H:H,"=Fora Ponta",Mercado_Receita!Q:Q,"=Cativo")</f>
        <v>4876.6289999999999</v>
      </c>
      <c r="G9" s="103">
        <f>ROUND('TE BE'!$AB$6+'TE BF'!$AB$6+'TE CVA'!$AB$6,2)</f>
        <v>219.4</v>
      </c>
      <c r="H9" s="103">
        <v>249.61</v>
      </c>
      <c r="I9" s="103">
        <f t="shared" si="0"/>
        <v>1069932.4025999999</v>
      </c>
      <c r="J9" s="42">
        <f t="shared" si="1"/>
        <v>1217255.36469</v>
      </c>
    </row>
    <row r="10" spans="2:28" x14ac:dyDescent="0.25">
      <c r="B10" s="32" t="s">
        <v>562</v>
      </c>
      <c r="C10" s="33" t="s">
        <v>38</v>
      </c>
      <c r="D10" s="33" t="s">
        <v>40</v>
      </c>
      <c r="E10" s="33" t="s">
        <v>9</v>
      </c>
      <c r="F10" s="36">
        <f>SUMIFS(Mercado_Receita!J:J,Mercado_Receita!B:B,"=A4",Mercado_Receita!C:C,"=VERDE",Mercado_Receita!H:H,"=Não se aplica")</f>
        <v>288308</v>
      </c>
      <c r="G10" s="36">
        <f ca="1">ROUND('TUSD BE'!$AM$11+'TUSD BF'!$AM$11+'TUSD CVA'!$AM$11,2)</f>
        <v>15.19</v>
      </c>
      <c r="H10" s="36">
        <v>32.31</v>
      </c>
      <c r="I10" s="36">
        <f t="shared" ca="1" si="0"/>
        <v>4379398.5199999996</v>
      </c>
      <c r="J10" s="37">
        <f t="shared" si="1"/>
        <v>9315231.4800000004</v>
      </c>
    </row>
    <row r="11" spans="2:28" x14ac:dyDescent="0.25">
      <c r="B11" s="30" t="s">
        <v>562</v>
      </c>
      <c r="C11" s="89" t="s">
        <v>38</v>
      </c>
      <c r="D11" s="89" t="s">
        <v>40</v>
      </c>
      <c r="E11" s="89" t="s">
        <v>1171</v>
      </c>
      <c r="F11" s="102">
        <f>SUMIFS(Mercado_Receita!L:L,Mercado_Receita!B:B,"=A4",Mercado_Receita!C:C,"=VERDE",Mercado_Receita!H:H,"=Ponta")</f>
        <v>4081.9879999999989</v>
      </c>
      <c r="G11" s="102">
        <f ca="1">ROUND('TUSD BE'!$AM$12+'TUSD BF'!$AM$12+'TUSD CVA'!$AM$12,2)</f>
        <v>1074.3599999999999</v>
      </c>
      <c r="H11" s="102">
        <v>1283.23</v>
      </c>
      <c r="I11" s="102">
        <f t="shared" ca="1" si="0"/>
        <v>4385524.6276799981</v>
      </c>
      <c r="J11" s="38">
        <f t="shared" si="1"/>
        <v>5238129.4612399982</v>
      </c>
    </row>
    <row r="12" spans="2:28" x14ac:dyDescent="0.25">
      <c r="B12" s="30" t="s">
        <v>562</v>
      </c>
      <c r="C12" s="89" t="s">
        <v>38</v>
      </c>
      <c r="D12" s="89" t="s">
        <v>40</v>
      </c>
      <c r="E12" s="89" t="s">
        <v>1172</v>
      </c>
      <c r="F12" s="102">
        <f>SUMIFS(Mercado_Receita!L:L,Mercado_Receita!B:B,"=A4",Mercado_Receita!C:C,"=VERDE",Mercado_Receita!H:H,"=Fora Ponta")</f>
        <v>46975.045000000006</v>
      </c>
      <c r="G12" s="102">
        <f ca="1">ROUND('TUSD BE'!$AM$13+'TUSD BF'!$AM$13+'TUSD CVA'!$AM$13,2)</f>
        <v>100.24</v>
      </c>
      <c r="H12" s="102">
        <v>116.79</v>
      </c>
      <c r="I12" s="102">
        <f t="shared" ca="1" si="0"/>
        <v>4708778.5108000003</v>
      </c>
      <c r="J12" s="38">
        <f t="shared" si="1"/>
        <v>5486215.5055500008</v>
      </c>
    </row>
    <row r="13" spans="2:28" x14ac:dyDescent="0.25">
      <c r="B13" s="30" t="s">
        <v>590</v>
      </c>
      <c r="C13" s="89" t="s">
        <v>38</v>
      </c>
      <c r="D13" s="89" t="s">
        <v>40</v>
      </c>
      <c r="E13" s="89" t="s">
        <v>1169</v>
      </c>
      <c r="F13" s="102">
        <f>SUMIFS(Mercado_Receita!N:N,Mercado_Receita!B:B,"=A4",Mercado_Receita!C:C,"=VERDE",Mercado_Receita!H:H,"=Ponta",Mercado_Receita!Q:Q,"=Cativo")</f>
        <v>1513.1659999999993</v>
      </c>
      <c r="G13" s="102">
        <f>ROUND('TE BE'!$AB$5+'TE BF'!$AB$5+'TE CVA'!$AB$5,2)</f>
        <v>353.55</v>
      </c>
      <c r="H13" s="102">
        <v>393.63</v>
      </c>
      <c r="I13" s="102">
        <f t="shared" si="0"/>
        <v>534979.83929999976</v>
      </c>
      <c r="J13" s="38">
        <f t="shared" si="1"/>
        <v>595627.53257999965</v>
      </c>
    </row>
    <row r="14" spans="2:28" ht="15.75" thickBot="1" x14ac:dyDescent="0.3">
      <c r="B14" s="34" t="s">
        <v>590</v>
      </c>
      <c r="C14" s="35" t="s">
        <v>38</v>
      </c>
      <c r="D14" s="35" t="s">
        <v>40</v>
      </c>
      <c r="E14" s="35" t="s">
        <v>1170</v>
      </c>
      <c r="F14" s="39">
        <f>SUMIFS(Mercado_Receita!N:N,Mercado_Receita!B:B,"=A4",Mercado_Receita!C:C,"=VERDE",Mercado_Receita!H:H,"=Fora Ponta",Mercado_Receita!Q:Q,"=Cativo")</f>
        <v>23624.338999999989</v>
      </c>
      <c r="G14" s="39">
        <f>ROUND('TE BE'!$AB$6+'TE BF'!$AB$6+'TE CVA'!$AB$6,2)</f>
        <v>219.4</v>
      </c>
      <c r="H14" s="39">
        <v>249.61</v>
      </c>
      <c r="I14" s="39">
        <f t="shared" si="0"/>
        <v>5183179.9765999978</v>
      </c>
      <c r="J14" s="40">
        <f t="shared" si="1"/>
        <v>5896871.2577899974</v>
      </c>
    </row>
    <row r="16" spans="2:28" ht="15.75" thickBot="1" x14ac:dyDescent="0.3">
      <c r="D16" t="s">
        <v>1173</v>
      </c>
      <c r="E16" t="s">
        <v>1174</v>
      </c>
      <c r="F16" t="s">
        <v>1175</v>
      </c>
      <c r="G16" t="s">
        <v>1176</v>
      </c>
    </row>
    <row r="17" spans="2:7" ht="15.75" thickBot="1" x14ac:dyDescent="0.3">
      <c r="B17" t="s">
        <v>1177</v>
      </c>
      <c r="C17" s="43" t="s">
        <v>38</v>
      </c>
      <c r="D17" s="48">
        <f ca="1">SUMIFS($I$5:$I$14,$C$5:$C$14,C17,$B$5:$B$14,"TUSD")/(SUMIFS($F$5:$F$14,$C$5:$C$14,C17,$B$5:$B$14,"TUSD",$E$5:$E$14,"TUSD_E")+SUMIFS($F$5:$F$14,$C$5:$C$14,C17,$B$5:$B$14,"TUSD",$E$5:$E$14,"TUSD_E P")+SUMIFS($F$5:$F$14,$C$5:$C$14,C17,$B$5:$B$14,"TUSD",$E$5:$E$14,"TUSD_E FP"))</f>
        <v>244.51122888865433</v>
      </c>
      <c r="E17" s="48">
        <f>SUMIFS($J$5:$J$14,$C$5:$C$14,C17,$B$5:$B$14,"TUSD")/(SUMIFS($F$5:$F$14,$C$5:$C$14,C17,$B$5:$B$14,"TUSD",$E$5:$E$14,"TUSD_E")+SUMIFS($F$5:$F$14,$C$5:$C$14,C17,$B$5:$B$14,"TUSD",$E$5:$E$14,"TUSD_E P")+SUMIFS($F$5:$F$14,$C$5:$C$14,C17,$B$5:$B$14,"TUSD",$E$5:$E$14,"TUSD_E FP"))</f>
        <v>348.99001049865393</v>
      </c>
      <c r="F17" s="41" t="str">
        <f ca="1">IF(AND(E17&lt;D17,NOT(ISERROR(_xlfn.XMATCH("AVALIAR " &amp;C17,$F$17:$F$20,2)))),"APLICAR","NÃO APLICAR")</f>
        <v>NÃO APLICAR</v>
      </c>
      <c r="G17" s="49">
        <f ca="1">IF(AND(E17&lt;D17,NOT(ISERROR(_xlfn.XMATCH("AVALIAR " &amp;C17,$F$17:$F$20,2)))),1,0)</f>
        <v>0</v>
      </c>
    </row>
    <row r="18" spans="2:7" ht="15.75" thickBot="1" x14ac:dyDescent="0.3">
      <c r="B18" t="s">
        <v>1178</v>
      </c>
      <c r="C18" s="43" t="s">
        <v>38</v>
      </c>
      <c r="D18" s="48">
        <f>IF((SUMIFS($F$5:$F$14,$C$5:$C$14,C18,$B$5:$B$14,"TE",$E$5:$E$14,"TE P")+SUMIFS($F$5:$F$14,$C$5:$C$14,C18,$B$5:$B$14,"TE",$E$5:$E$14,"TE FP") = 0),0,SUMIFS($I$5:$I$14,$C$5:$C$14,C18,$B$5:$B$14,"TE")/(SUMIFS($F$5:$F$14,$C$5:$C$14,C18,$B$5:$B$14,"TUSD",$E$5:$E$14,"TUSD_E")+SUMIFS($F$5:$F$14,$C$5:$C$14,C18,$B$5:$B$14,"TUSD",$E$5:$E$14,"TUSD_E P")+SUMIFS($F$5:$F$14,$C$5:$C$14,C18,$B$5:$B$14,"TUSD",$E$5:$E$14,"TUSD_E FP")))</f>
        <v>80.063368178923838</v>
      </c>
      <c r="E18" s="48">
        <f>IF((SUMIFS($F$5:$F$14,$C$5:$C$14,C18,$B$5:$B$14,"TE",$E$5:$E$14,"TE P")+SUMIFS($F$5:$F$14,$C$5:$C$14,C18,$B$5:$B$14,"TE",$E$5:$E$14,"TE FP") = 0),0,SUMIFS($J$5:$J$14,$C$5:$C$14,C18,$B$5:$B$14,"TE")/(SUMIFS($F$5:$F$14,$C$5:$C$14,C18,$B$5:$B$14,"TUSD",$E$5:$E$14,"TUSD_E")+SUMIFS($F$5:$F$14,$C$5:$C$14,C18,$B$5:$B$14,"TUSD",$E$5:$E$14,"TUSD_E P")+SUMIFS($F$5:$F$14,$C$5:$C$14,C18,$B$5:$B$14,"TUSD",$E$5:$E$14,"TUSD_E FP")))</f>
        <v>90.889256548626221</v>
      </c>
      <c r="F18" s="41" t="str">
        <f ca="1">IF(AND(E18&lt;D18,NOT(ISERROR(_xlfn.XMATCH("AVALIAR " &amp;C18,$F$17:$F$20,2)))),"APLICAR","NÃO APLICAR")</f>
        <v>NÃO APLICAR</v>
      </c>
      <c r="G18" s="49">
        <f ca="1">IF(AND(E18&lt;D18,NOT(ISERROR(_xlfn.XMATCH("AVALIAR " &amp;C18,$F$17:$F$20,2)))),1,0)</f>
        <v>0</v>
      </c>
    </row>
    <row r="19" spans="2:7" ht="15.75" thickBot="1" x14ac:dyDescent="0.3">
      <c r="B19" t="s">
        <v>1179</v>
      </c>
      <c r="C19" s="43" t="s">
        <v>38</v>
      </c>
      <c r="D19" s="48">
        <f ca="1">SUMIFS(D$17:D$18,C$17:C$18,C19)</f>
        <v>324.57459706757817</v>
      </c>
      <c r="E19" s="48">
        <f>SUMIFS(E$17:E$18,C$17:C$18,C19)</f>
        <v>439.87926704728017</v>
      </c>
      <c r="F19" s="41" t="str">
        <f ca="1">IF(E19&lt;D19,"AVALIAR "&amp;C19,"NÃO ALTERAR")</f>
        <v>NÃO ALTERAR</v>
      </c>
      <c r="G19" s="49">
        <f ca="1">IF(E19&lt;D19,1,0)</f>
        <v>0</v>
      </c>
    </row>
    <row r="20" spans="2:7" ht="15.75" thickBot="1" x14ac:dyDescent="0.3">
      <c r="B20" t="s">
        <v>1180</v>
      </c>
      <c r="C20" s="44" t="s">
        <v>1181</v>
      </c>
      <c r="D20" s="47">
        <f ca="1">ROUND('TE BE'!$AB$11+'TE BF'!$AB$11+'TE CVA'!$AB$11,2)+ROUND('TUSD BE'!$AM$21+'TUSD BF'!$AM$21+'TUSD CVA'!$AM$21,2)</f>
        <v>560.74</v>
      </c>
      <c r="E20" s="47">
        <v>699.16000000000008</v>
      </c>
      <c r="F20" s="45" t="str">
        <f ca="1">IF(D20&lt;=E20,"NÃO ALTERAR","AVALIAR TarB1")</f>
        <v>NÃO ALTERAR</v>
      </c>
      <c r="G20" s="46">
        <f ca="1">IF(E20&lt;D20,1,0)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8A744-F7EF-4EC2-AD0F-6BDB42F44807}">
  <dimension ref="B1:U15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95" t="s">
        <v>760</v>
      </c>
      <c r="C1" s="95" t="s">
        <v>761</v>
      </c>
      <c r="D1" s="95" t="s">
        <v>762</v>
      </c>
      <c r="E1" s="95" t="s">
        <v>2</v>
      </c>
      <c r="F1" s="95" t="s">
        <v>763</v>
      </c>
      <c r="G1" s="95" t="s">
        <v>682</v>
      </c>
      <c r="H1" s="95" t="s">
        <v>3</v>
      </c>
      <c r="I1" s="95" t="s">
        <v>764</v>
      </c>
      <c r="J1" s="95" t="s">
        <v>5</v>
      </c>
      <c r="K1" s="95" t="s">
        <v>1</v>
      </c>
      <c r="L1" s="95" t="s">
        <v>765</v>
      </c>
      <c r="M1" s="95" t="s">
        <v>766</v>
      </c>
      <c r="N1" s="95" t="s">
        <v>767</v>
      </c>
      <c r="O1" s="95" t="s">
        <v>768</v>
      </c>
      <c r="P1" s="95" t="s">
        <v>769</v>
      </c>
      <c r="Q1" s="95" t="s">
        <v>770</v>
      </c>
      <c r="R1" s="95" t="s">
        <v>771</v>
      </c>
      <c r="S1" s="95" t="s">
        <v>772</v>
      </c>
      <c r="T1" s="95" t="s">
        <v>773</v>
      </c>
      <c r="U1" s="95" t="s">
        <v>774</v>
      </c>
    </row>
    <row r="2" spans="2:21" x14ac:dyDescent="0.25">
      <c r="B2" s="94" t="s">
        <v>741</v>
      </c>
      <c r="C2" s="94">
        <v>6839</v>
      </c>
      <c r="D2" s="94">
        <v>398</v>
      </c>
      <c r="E2" s="94" t="s">
        <v>39</v>
      </c>
      <c r="F2" s="94">
        <v>1</v>
      </c>
      <c r="G2" s="94" t="s">
        <v>742</v>
      </c>
      <c r="H2" s="94" t="s">
        <v>43</v>
      </c>
      <c r="I2" s="94" t="s">
        <v>25</v>
      </c>
      <c r="J2" s="94" t="s">
        <v>743</v>
      </c>
      <c r="K2" s="94" t="s">
        <v>38</v>
      </c>
      <c r="L2" s="94">
        <v>0.1</v>
      </c>
      <c r="M2" s="94">
        <v>0.08</v>
      </c>
      <c r="N2" s="94">
        <v>0.06</v>
      </c>
      <c r="O2" s="94">
        <v>0.04</v>
      </c>
      <c r="P2" s="94">
        <v>0.02</v>
      </c>
      <c r="Q2" s="94">
        <v>0</v>
      </c>
      <c r="R2" s="94"/>
      <c r="S2" s="94"/>
      <c r="T2" s="94"/>
      <c r="U2" s="94">
        <v>3</v>
      </c>
    </row>
    <row r="3" spans="2:21" x14ac:dyDescent="0.25">
      <c r="B3" s="94" t="s">
        <v>744</v>
      </c>
      <c r="C3" s="94">
        <v>6840</v>
      </c>
      <c r="D3" s="94">
        <v>398</v>
      </c>
      <c r="E3" s="94" t="s">
        <v>40</v>
      </c>
      <c r="F3" s="94">
        <v>1</v>
      </c>
      <c r="G3" s="94" t="s">
        <v>742</v>
      </c>
      <c r="H3" s="94" t="s">
        <v>43</v>
      </c>
      <c r="I3" s="94" t="s">
        <v>25</v>
      </c>
      <c r="J3" s="94" t="s">
        <v>743</v>
      </c>
      <c r="K3" s="94" t="s">
        <v>38</v>
      </c>
      <c r="L3" s="94">
        <v>0.1</v>
      </c>
      <c r="M3" s="94">
        <v>0.08</v>
      </c>
      <c r="N3" s="94">
        <v>0.06</v>
      </c>
      <c r="O3" s="94">
        <v>0.04</v>
      </c>
      <c r="P3" s="94">
        <v>0.02</v>
      </c>
      <c r="Q3" s="94">
        <v>0</v>
      </c>
      <c r="R3" s="94"/>
      <c r="S3" s="94"/>
      <c r="T3" s="94"/>
      <c r="U3" s="94">
        <v>3</v>
      </c>
    </row>
    <row r="4" spans="2:21" x14ac:dyDescent="0.25">
      <c r="B4" s="94" t="s">
        <v>745</v>
      </c>
      <c r="C4" s="94">
        <v>6841</v>
      </c>
      <c r="D4" s="94">
        <v>398</v>
      </c>
      <c r="E4" s="94" t="s">
        <v>23</v>
      </c>
      <c r="F4" s="94">
        <v>1</v>
      </c>
      <c r="G4" s="94" t="s">
        <v>742</v>
      </c>
      <c r="H4" s="94" t="s">
        <v>43</v>
      </c>
      <c r="I4" s="94" t="s">
        <v>25</v>
      </c>
      <c r="J4" s="94" t="s">
        <v>743</v>
      </c>
      <c r="K4" s="94" t="s">
        <v>38</v>
      </c>
      <c r="L4" s="94">
        <v>0.1</v>
      </c>
      <c r="M4" s="94">
        <v>0.08</v>
      </c>
      <c r="N4" s="94">
        <v>0.06</v>
      </c>
      <c r="O4" s="94">
        <v>0.04</v>
      </c>
      <c r="P4" s="94">
        <v>0.02</v>
      </c>
      <c r="Q4" s="94">
        <v>0</v>
      </c>
      <c r="R4" s="94"/>
      <c r="S4" s="94"/>
      <c r="T4" s="94"/>
      <c r="U4" s="94">
        <v>3</v>
      </c>
    </row>
    <row r="5" spans="2:21" x14ac:dyDescent="0.25">
      <c r="B5" s="94" t="s">
        <v>746</v>
      </c>
      <c r="C5" s="94">
        <v>6842</v>
      </c>
      <c r="D5" s="94">
        <v>398</v>
      </c>
      <c r="E5" s="94" t="s">
        <v>39</v>
      </c>
      <c r="F5" s="94">
        <v>1</v>
      </c>
      <c r="G5" s="94" t="s">
        <v>742</v>
      </c>
      <c r="H5" s="94" t="s">
        <v>48</v>
      </c>
      <c r="I5" s="94" t="s">
        <v>49</v>
      </c>
      <c r="J5" s="94" t="s">
        <v>747</v>
      </c>
      <c r="K5" s="94" t="s">
        <v>38</v>
      </c>
      <c r="L5" s="94">
        <v>0.15</v>
      </c>
      <c r="M5" s="94">
        <v>0.12</v>
      </c>
      <c r="N5" s="94">
        <v>0.09</v>
      </c>
      <c r="O5" s="94">
        <v>0.06</v>
      </c>
      <c r="P5" s="94">
        <v>0.03</v>
      </c>
      <c r="Q5" s="94">
        <v>0</v>
      </c>
      <c r="R5" s="94"/>
      <c r="S5" s="94"/>
      <c r="T5" s="94"/>
      <c r="U5" s="94">
        <v>3</v>
      </c>
    </row>
    <row r="6" spans="2:21" x14ac:dyDescent="0.25">
      <c r="B6" s="94" t="s">
        <v>748</v>
      </c>
      <c r="C6" s="94">
        <v>6843</v>
      </c>
      <c r="D6" s="94">
        <v>398</v>
      </c>
      <c r="E6" s="94" t="s">
        <v>40</v>
      </c>
      <c r="F6" s="94">
        <v>1</v>
      </c>
      <c r="G6" s="94" t="s">
        <v>742</v>
      </c>
      <c r="H6" s="94" t="s">
        <v>48</v>
      </c>
      <c r="I6" s="94" t="s">
        <v>49</v>
      </c>
      <c r="J6" s="94" t="s">
        <v>747</v>
      </c>
      <c r="K6" s="94" t="s">
        <v>38</v>
      </c>
      <c r="L6" s="94">
        <v>0.15</v>
      </c>
      <c r="M6" s="94">
        <v>0.12</v>
      </c>
      <c r="N6" s="94">
        <v>0.09</v>
      </c>
      <c r="O6" s="94">
        <v>0.06</v>
      </c>
      <c r="P6" s="94">
        <v>0.03</v>
      </c>
      <c r="Q6" s="94">
        <v>0</v>
      </c>
      <c r="R6" s="94"/>
      <c r="S6" s="94"/>
      <c r="T6" s="94"/>
      <c r="U6" s="94">
        <v>3</v>
      </c>
    </row>
    <row r="7" spans="2:21" x14ac:dyDescent="0.25">
      <c r="B7" s="94" t="s">
        <v>749</v>
      </c>
      <c r="C7" s="94">
        <v>6844</v>
      </c>
      <c r="D7" s="94">
        <v>398</v>
      </c>
      <c r="E7" s="94" t="s">
        <v>750</v>
      </c>
      <c r="F7" s="94">
        <v>1</v>
      </c>
      <c r="G7" s="94" t="s">
        <v>742</v>
      </c>
      <c r="H7" s="94" t="s">
        <v>48</v>
      </c>
      <c r="I7" s="94" t="s">
        <v>49</v>
      </c>
      <c r="J7" s="94" t="s">
        <v>747</v>
      </c>
      <c r="K7" s="94" t="s">
        <v>38</v>
      </c>
      <c r="L7" s="94">
        <v>0.15</v>
      </c>
      <c r="M7" s="94">
        <v>0.12</v>
      </c>
      <c r="N7" s="94">
        <v>0.09</v>
      </c>
      <c r="O7" s="94">
        <v>0.06</v>
      </c>
      <c r="P7" s="94">
        <v>0.03</v>
      </c>
      <c r="Q7" s="94">
        <v>0</v>
      </c>
      <c r="R7" s="94"/>
      <c r="S7" s="94"/>
      <c r="T7" s="94"/>
      <c r="U7" s="94">
        <v>3</v>
      </c>
    </row>
    <row r="8" spans="2:21" x14ac:dyDescent="0.25">
      <c r="B8" s="94" t="s">
        <v>751</v>
      </c>
      <c r="C8" s="94">
        <v>6845</v>
      </c>
      <c r="D8" s="94">
        <v>398</v>
      </c>
      <c r="E8" s="94" t="s">
        <v>23</v>
      </c>
      <c r="F8" s="94">
        <v>1</v>
      </c>
      <c r="G8" s="94" t="s">
        <v>742</v>
      </c>
      <c r="H8" s="94" t="s">
        <v>43</v>
      </c>
      <c r="I8" s="94" t="s">
        <v>25</v>
      </c>
      <c r="J8" s="94" t="s">
        <v>43</v>
      </c>
      <c r="K8" s="94" t="s">
        <v>42</v>
      </c>
      <c r="L8" s="94">
        <v>0.3</v>
      </c>
      <c r="M8" s="94">
        <v>0.24</v>
      </c>
      <c r="N8" s="94">
        <v>0.18</v>
      </c>
      <c r="O8" s="94">
        <v>0.12</v>
      </c>
      <c r="P8" s="94">
        <v>0.06</v>
      </c>
      <c r="Q8" s="94">
        <v>0</v>
      </c>
      <c r="R8" s="94"/>
      <c r="S8" s="94"/>
      <c r="T8" s="94"/>
      <c r="U8" s="94">
        <v>3</v>
      </c>
    </row>
    <row r="9" spans="2:21" x14ac:dyDescent="0.25">
      <c r="B9" s="94" t="s">
        <v>752</v>
      </c>
      <c r="C9" s="94">
        <v>6846</v>
      </c>
      <c r="D9" s="94">
        <v>398</v>
      </c>
      <c r="E9" s="94" t="s">
        <v>32</v>
      </c>
      <c r="F9" s="94">
        <v>1</v>
      </c>
      <c r="G9" s="94" t="s">
        <v>742</v>
      </c>
      <c r="H9" s="94" t="s">
        <v>43</v>
      </c>
      <c r="I9" s="94" t="s">
        <v>25</v>
      </c>
      <c r="J9" s="94" t="s">
        <v>43</v>
      </c>
      <c r="K9" s="94" t="s">
        <v>42</v>
      </c>
      <c r="L9" s="94">
        <v>0.3</v>
      </c>
      <c r="M9" s="94">
        <v>0.24</v>
      </c>
      <c r="N9" s="94">
        <v>0.18</v>
      </c>
      <c r="O9" s="94">
        <v>0.12</v>
      </c>
      <c r="P9" s="94">
        <v>0.06</v>
      </c>
      <c r="Q9" s="94">
        <v>0</v>
      </c>
      <c r="R9" s="94"/>
      <c r="S9" s="94"/>
      <c r="T9" s="94"/>
      <c r="U9" s="94">
        <v>3</v>
      </c>
    </row>
    <row r="10" spans="2:21" x14ac:dyDescent="0.25">
      <c r="B10" s="94" t="s">
        <v>753</v>
      </c>
      <c r="C10" s="94">
        <v>6847</v>
      </c>
      <c r="D10" s="94">
        <v>398</v>
      </c>
      <c r="E10" s="94" t="s">
        <v>23</v>
      </c>
      <c r="F10" s="94">
        <v>1</v>
      </c>
      <c r="G10" s="94" t="s">
        <v>742</v>
      </c>
      <c r="H10" s="94" t="s">
        <v>43</v>
      </c>
      <c r="I10" s="94" t="s">
        <v>96</v>
      </c>
      <c r="J10" s="94" t="s">
        <v>747</v>
      </c>
      <c r="K10" s="94" t="s">
        <v>42</v>
      </c>
      <c r="L10" s="94">
        <v>0.3</v>
      </c>
      <c r="M10" s="94">
        <v>0.24</v>
      </c>
      <c r="N10" s="94">
        <v>0.18</v>
      </c>
      <c r="O10" s="94">
        <v>0.12</v>
      </c>
      <c r="P10" s="94">
        <v>0.06</v>
      </c>
      <c r="Q10" s="94">
        <v>0</v>
      </c>
      <c r="R10" s="94"/>
      <c r="S10" s="94"/>
      <c r="T10" s="94"/>
      <c r="U10" s="94">
        <v>3</v>
      </c>
    </row>
    <row r="11" spans="2:21" x14ac:dyDescent="0.25">
      <c r="B11" s="94" t="s">
        <v>754</v>
      </c>
      <c r="C11" s="94">
        <v>6848</v>
      </c>
      <c r="D11" s="94">
        <v>398</v>
      </c>
      <c r="E11" s="94" t="s">
        <v>755</v>
      </c>
      <c r="F11" s="94">
        <v>1</v>
      </c>
      <c r="G11" s="94" t="s">
        <v>742</v>
      </c>
      <c r="H11" s="94" t="s">
        <v>43</v>
      </c>
      <c r="I11" s="94" t="s">
        <v>96</v>
      </c>
      <c r="J11" s="94" t="s">
        <v>747</v>
      </c>
      <c r="K11" s="94" t="s">
        <v>42</v>
      </c>
      <c r="L11" s="94">
        <v>0.3</v>
      </c>
      <c r="M11" s="94">
        <v>0.24</v>
      </c>
      <c r="N11" s="94">
        <v>0.18</v>
      </c>
      <c r="O11" s="94">
        <v>0.12</v>
      </c>
      <c r="P11" s="94">
        <v>0.06</v>
      </c>
      <c r="Q11" s="94">
        <v>0</v>
      </c>
      <c r="R11" s="94"/>
      <c r="S11" s="94"/>
      <c r="T11" s="94"/>
      <c r="U11" s="94">
        <v>3</v>
      </c>
    </row>
    <row r="12" spans="2:21" x14ac:dyDescent="0.25">
      <c r="B12" s="94" t="s">
        <v>756</v>
      </c>
      <c r="C12" s="94">
        <v>6849</v>
      </c>
      <c r="D12" s="94">
        <v>398</v>
      </c>
      <c r="E12" s="94" t="s">
        <v>23</v>
      </c>
      <c r="F12" s="94">
        <v>1</v>
      </c>
      <c r="G12" s="94" t="s">
        <v>742</v>
      </c>
      <c r="H12" s="94" t="s">
        <v>43</v>
      </c>
      <c r="I12" s="94" t="s">
        <v>97</v>
      </c>
      <c r="J12" s="94" t="s">
        <v>747</v>
      </c>
      <c r="K12" s="94" t="s">
        <v>42</v>
      </c>
      <c r="L12" s="94">
        <v>0.4</v>
      </c>
      <c r="M12" s="94">
        <v>0.32</v>
      </c>
      <c r="N12" s="94">
        <v>0.24</v>
      </c>
      <c r="O12" s="94">
        <v>0.16</v>
      </c>
      <c r="P12" s="94">
        <v>0.08</v>
      </c>
      <c r="Q12" s="94">
        <v>0</v>
      </c>
      <c r="R12" s="94"/>
      <c r="S12" s="94"/>
      <c r="T12" s="94"/>
      <c r="U12" s="94">
        <v>3</v>
      </c>
    </row>
    <row r="13" spans="2:21" x14ac:dyDescent="0.25">
      <c r="B13" s="94" t="s">
        <v>757</v>
      </c>
      <c r="C13" s="94">
        <v>6850</v>
      </c>
      <c r="D13" s="94">
        <v>398</v>
      </c>
      <c r="E13" s="94" t="s">
        <v>755</v>
      </c>
      <c r="F13" s="94">
        <v>1</v>
      </c>
      <c r="G13" s="94" t="s">
        <v>742</v>
      </c>
      <c r="H13" s="94" t="s">
        <v>43</v>
      </c>
      <c r="I13" s="94" t="s">
        <v>97</v>
      </c>
      <c r="J13" s="94" t="s">
        <v>747</v>
      </c>
      <c r="K13" s="94" t="s">
        <v>42</v>
      </c>
      <c r="L13" s="94">
        <v>0.4</v>
      </c>
      <c r="M13" s="94">
        <v>0.32</v>
      </c>
      <c r="N13" s="94">
        <v>0.24</v>
      </c>
      <c r="O13" s="94">
        <v>0.16</v>
      </c>
      <c r="P13" s="94">
        <v>0.08</v>
      </c>
      <c r="Q13" s="94">
        <v>0</v>
      </c>
      <c r="R13" s="94"/>
      <c r="S13" s="94"/>
      <c r="T13" s="94"/>
      <c r="U13" s="94">
        <v>3</v>
      </c>
    </row>
    <row r="14" spans="2:21" x14ac:dyDescent="0.25">
      <c r="B14" s="94" t="s">
        <v>758</v>
      </c>
      <c r="C14" s="94">
        <v>6851</v>
      </c>
      <c r="D14" s="94">
        <v>398</v>
      </c>
      <c r="E14" s="94" t="s">
        <v>23</v>
      </c>
      <c r="F14" s="94">
        <v>1</v>
      </c>
      <c r="G14" s="94" t="s">
        <v>742</v>
      </c>
      <c r="H14" s="94" t="s">
        <v>48</v>
      </c>
      <c r="I14" s="94" t="s">
        <v>49</v>
      </c>
      <c r="J14" s="94" t="s">
        <v>747</v>
      </c>
      <c r="K14" s="94" t="s">
        <v>36</v>
      </c>
      <c r="L14" s="94">
        <v>0.15</v>
      </c>
      <c r="M14" s="94">
        <v>0.12</v>
      </c>
      <c r="N14" s="94">
        <v>0.09</v>
      </c>
      <c r="O14" s="94">
        <v>0.06</v>
      </c>
      <c r="P14" s="94">
        <v>0.03</v>
      </c>
      <c r="Q14" s="94">
        <v>0</v>
      </c>
      <c r="R14" s="94"/>
      <c r="S14" s="94"/>
      <c r="T14" s="94"/>
      <c r="U14" s="94">
        <v>3</v>
      </c>
    </row>
    <row r="15" spans="2:21" x14ac:dyDescent="0.25">
      <c r="B15" s="94" t="s">
        <v>759</v>
      </c>
      <c r="C15" s="94">
        <v>6852</v>
      </c>
      <c r="D15" s="94">
        <v>398</v>
      </c>
      <c r="E15" s="94" t="s">
        <v>32</v>
      </c>
      <c r="F15" s="94">
        <v>1</v>
      </c>
      <c r="G15" s="94" t="s">
        <v>742</v>
      </c>
      <c r="H15" s="94" t="s">
        <v>48</v>
      </c>
      <c r="I15" s="94" t="s">
        <v>49</v>
      </c>
      <c r="J15" s="94" t="s">
        <v>747</v>
      </c>
      <c r="K15" s="94" t="s">
        <v>36</v>
      </c>
      <c r="L15" s="94">
        <v>0.15</v>
      </c>
      <c r="M15" s="94">
        <v>0.12</v>
      </c>
      <c r="N15" s="94">
        <v>0.09</v>
      </c>
      <c r="O15" s="94">
        <v>0.06</v>
      </c>
      <c r="P15" s="94">
        <v>0.03</v>
      </c>
      <c r="Q15" s="94">
        <v>0</v>
      </c>
      <c r="R15" s="94"/>
      <c r="S15" s="94"/>
      <c r="T15" s="94"/>
      <c r="U15" s="94">
        <v>3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54592-030B-4C38-9D16-48447CBE0686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65" t="s">
        <v>1253</v>
      </c>
      <c r="B1" s="65" t="s">
        <v>22</v>
      </c>
      <c r="C1" s="65" t="s">
        <v>1252</v>
      </c>
      <c r="D1" s="65" t="s">
        <v>1251</v>
      </c>
      <c r="E1" s="65" t="s">
        <v>36</v>
      </c>
      <c r="F1" s="65" t="s">
        <v>1250</v>
      </c>
      <c r="G1" s="65" t="s">
        <v>1249</v>
      </c>
      <c r="H1" s="65" t="s">
        <v>677</v>
      </c>
      <c r="I1" s="65" t="s">
        <v>38</v>
      </c>
      <c r="J1" s="65" t="s">
        <v>676</v>
      </c>
      <c r="K1" s="65" t="s">
        <v>62</v>
      </c>
      <c r="L1" s="65" t="s">
        <v>675</v>
      </c>
    </row>
    <row r="2" spans="1:12" x14ac:dyDescent="0.2">
      <c r="A2" s="61" t="s">
        <v>1248</v>
      </c>
      <c r="B2" s="67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357.59799220674773</v>
      </c>
      <c r="C2" s="67">
        <f t="shared" si="0"/>
        <v>336.05042088146939</v>
      </c>
      <c r="D2" s="67">
        <f t="shared" si="0"/>
        <v>329.17353641595497</v>
      </c>
      <c r="E2" s="67">
        <f t="shared" si="0"/>
        <v>357.59799220674773</v>
      </c>
      <c r="F2" s="67">
        <f t="shared" si="0"/>
        <v>196.67889571371128</v>
      </c>
      <c r="G2" s="67">
        <f t="shared" si="0"/>
        <v>214.55879532404865</v>
      </c>
      <c r="H2" s="67">
        <f t="shared" si="0"/>
        <v>0</v>
      </c>
      <c r="I2" s="67">
        <f t="shared" si="0"/>
        <v>377.31372471329666</v>
      </c>
      <c r="J2" s="67">
        <f t="shared" si="0"/>
        <v>0</v>
      </c>
      <c r="K2" s="67">
        <f t="shared" si="0"/>
        <v>0</v>
      </c>
      <c r="L2" s="67">
        <f t="shared" si="0"/>
        <v>0</v>
      </c>
    </row>
    <row r="3" spans="1:12" ht="12" thickBot="1" x14ac:dyDescent="0.25">
      <c r="A3" s="59" t="s">
        <v>1247</v>
      </c>
      <c r="B3" s="66">
        <v>7.8</v>
      </c>
      <c r="C3" s="66">
        <v>7.33</v>
      </c>
      <c r="D3" s="66">
        <v>7.18</v>
      </c>
      <c r="E3" s="66">
        <v>7.8</v>
      </c>
      <c r="F3" s="66">
        <v>4.29</v>
      </c>
      <c r="G3" s="66">
        <v>4.68</v>
      </c>
      <c r="H3" s="66">
        <v>0</v>
      </c>
      <c r="I3" s="66">
        <f>'TUSD BE'!$AC$7</f>
        <v>8.2300435598144261</v>
      </c>
      <c r="J3" s="66">
        <v>0</v>
      </c>
      <c r="K3" s="66">
        <v>0</v>
      </c>
      <c r="L3" s="66">
        <v>0</v>
      </c>
    </row>
    <row r="5" spans="1:12" ht="12" thickBot="1" x14ac:dyDescent="0.25">
      <c r="A5" s="65" t="s">
        <v>1246</v>
      </c>
      <c r="B5" s="65" t="s">
        <v>1245</v>
      </c>
    </row>
    <row r="6" spans="1:12" x14ac:dyDescent="0.2">
      <c r="A6" s="61" t="s">
        <v>1244</v>
      </c>
      <c r="B6" s="64">
        <v>0.1082749759</v>
      </c>
    </row>
    <row r="7" spans="1:12" x14ac:dyDescent="0.2">
      <c r="A7" s="63" t="s">
        <v>1243</v>
      </c>
      <c r="B7" s="62">
        <v>0.34</v>
      </c>
    </row>
    <row r="8" spans="1:12" x14ac:dyDescent="0.2">
      <c r="A8" s="61" t="s">
        <v>1242</v>
      </c>
      <c r="B8" s="60">
        <v>32374024.202639852</v>
      </c>
    </row>
    <row r="9" spans="1:12" x14ac:dyDescent="0.2">
      <c r="A9" s="63" t="s">
        <v>1241</v>
      </c>
      <c r="B9" s="62">
        <v>3.5099999999999999E-2</v>
      </c>
    </row>
    <row r="10" spans="1:12" x14ac:dyDescent="0.2">
      <c r="A10" s="61" t="s">
        <v>1240</v>
      </c>
      <c r="B10" s="60">
        <v>18225769.410182651</v>
      </c>
    </row>
    <row r="11" spans="1:12" ht="12" thickBot="1" x14ac:dyDescent="0.25">
      <c r="A11" s="59" t="s">
        <v>1239</v>
      </c>
      <c r="B11" s="58">
        <f>(1+$B$6)^(1/IF($B$9&lt;&gt;0,$B$9,1))*$B$6/IF((1+$B$6)^(1/IF($B$9&lt;&gt;0,$B$9,1))-1&lt;&gt;0,(1+$B$6)^(1/IF($B$9&lt;&gt;0,$B$9,1))-1,1)</f>
        <v>0.11438971087197784</v>
      </c>
    </row>
    <row r="18" spans="2:2" x14ac:dyDescent="0.2">
      <c r="B18" s="5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B9C78-36E8-48A7-840E-BAE5F4828D0F}">
  <dimension ref="B1:AR51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4" t="s">
        <v>1325</v>
      </c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5"/>
      <c r="AH1" s="154" t="s">
        <v>1326</v>
      </c>
      <c r="AI1" s="154"/>
      <c r="AJ1" s="154"/>
      <c r="AK1" s="154"/>
      <c r="AL1" s="154"/>
      <c r="AM1" s="154"/>
      <c r="AN1" s="154"/>
      <c r="AO1" s="154"/>
      <c r="AP1" s="154"/>
      <c r="AQ1" s="154"/>
      <c r="AR1" s="154"/>
    </row>
    <row r="2" spans="2:44" ht="12" customHeight="1" x14ac:dyDescent="0.25">
      <c r="L2" s="156" t="s">
        <v>563</v>
      </c>
      <c r="M2" s="156"/>
      <c r="N2" s="156"/>
      <c r="O2" s="156"/>
      <c r="P2" s="156"/>
      <c r="Q2" s="156"/>
      <c r="R2" s="156"/>
      <c r="S2" s="157"/>
      <c r="T2" s="156" t="s">
        <v>572</v>
      </c>
      <c r="U2" s="156"/>
      <c r="V2" s="156"/>
      <c r="W2" s="156"/>
      <c r="X2" s="156"/>
      <c r="Y2" s="156"/>
      <c r="Z2" s="157"/>
      <c r="AA2" s="115" t="s">
        <v>580</v>
      </c>
      <c r="AB2" s="156" t="s">
        <v>25</v>
      </c>
      <c r="AC2" s="157"/>
      <c r="AD2" s="156" t="s">
        <v>1324</v>
      </c>
      <c r="AE2" s="156"/>
      <c r="AF2" s="156"/>
      <c r="AG2" s="157"/>
      <c r="AH2" s="156" t="s">
        <v>563</v>
      </c>
      <c r="AI2" s="156"/>
      <c r="AJ2" s="156"/>
      <c r="AK2" s="156"/>
      <c r="AL2" s="157"/>
      <c r="AM2" s="115" t="s">
        <v>594</v>
      </c>
      <c r="AN2" s="156" t="s">
        <v>572</v>
      </c>
      <c r="AO2" s="156"/>
      <c r="AP2" s="156"/>
      <c r="AQ2" s="157"/>
      <c r="AR2" s="114" t="s">
        <v>1324</v>
      </c>
    </row>
    <row r="3" spans="2:44" ht="12" customHeight="1" x14ac:dyDescent="0.25">
      <c r="B3" s="104" t="s">
        <v>71</v>
      </c>
      <c r="C3" s="105" t="s">
        <v>72</v>
      </c>
      <c r="D3" s="105" t="s">
        <v>73</v>
      </c>
      <c r="E3" s="105" t="s">
        <v>74</v>
      </c>
      <c r="F3" s="105" t="s">
        <v>75</v>
      </c>
      <c r="G3" s="105" t="s">
        <v>77</v>
      </c>
      <c r="H3" s="105" t="s">
        <v>78</v>
      </c>
      <c r="I3" s="105" t="s">
        <v>805</v>
      </c>
      <c r="J3" s="105" t="s">
        <v>1288</v>
      </c>
      <c r="K3" s="105" t="s">
        <v>1289</v>
      </c>
      <c r="L3" s="105" t="s">
        <v>1290</v>
      </c>
      <c r="M3" s="105" t="s">
        <v>1291</v>
      </c>
      <c r="N3" s="105" t="s">
        <v>1292</v>
      </c>
      <c r="O3" s="105" t="s">
        <v>1293</v>
      </c>
      <c r="P3" s="105" t="s">
        <v>1294</v>
      </c>
      <c r="Q3" s="105" t="s">
        <v>1295</v>
      </c>
      <c r="R3" s="105" t="s">
        <v>1296</v>
      </c>
      <c r="S3" s="105" t="s">
        <v>1297</v>
      </c>
      <c r="T3" s="105" t="s">
        <v>1298</v>
      </c>
      <c r="U3" s="105" t="s">
        <v>1299</v>
      </c>
      <c r="V3" s="105" t="s">
        <v>1300</v>
      </c>
      <c r="W3" s="105" t="s">
        <v>1301</v>
      </c>
      <c r="X3" s="105" t="s">
        <v>1302</v>
      </c>
      <c r="Y3" s="105" t="s">
        <v>1303</v>
      </c>
      <c r="Z3" s="105" t="s">
        <v>1304</v>
      </c>
      <c r="AA3" s="105" t="s">
        <v>1305</v>
      </c>
      <c r="AB3" s="105" t="s">
        <v>1306</v>
      </c>
      <c r="AC3" s="105" t="s">
        <v>1307</v>
      </c>
      <c r="AD3" s="105" t="s">
        <v>1308</v>
      </c>
      <c r="AE3" s="105" t="s">
        <v>1309</v>
      </c>
      <c r="AF3" s="105" t="s">
        <v>1310</v>
      </c>
      <c r="AG3" s="105" t="s">
        <v>1311</v>
      </c>
      <c r="AH3" s="105" t="s">
        <v>1312</v>
      </c>
      <c r="AI3" s="105" t="s">
        <v>1313</v>
      </c>
      <c r="AJ3" s="105" t="s">
        <v>1314</v>
      </c>
      <c r="AK3" s="105" t="s">
        <v>1315</v>
      </c>
      <c r="AL3" s="105" t="s">
        <v>1316</v>
      </c>
      <c r="AM3" s="105" t="s">
        <v>1317</v>
      </c>
      <c r="AN3" s="105" t="s">
        <v>1318</v>
      </c>
      <c r="AO3" s="105" t="s">
        <v>1319</v>
      </c>
      <c r="AP3" s="105" t="s">
        <v>1320</v>
      </c>
      <c r="AQ3" s="105" t="s">
        <v>1321</v>
      </c>
      <c r="AR3" s="106" t="s">
        <v>1322</v>
      </c>
    </row>
    <row r="4" spans="2:44" ht="12" customHeight="1" x14ac:dyDescent="0.25">
      <c r="B4" s="107" t="s">
        <v>62</v>
      </c>
      <c r="C4" s="108" t="s">
        <v>59</v>
      </c>
      <c r="D4" s="108" t="s">
        <v>25</v>
      </c>
      <c r="E4" s="108" t="s">
        <v>25</v>
      </c>
      <c r="F4" s="108" t="s">
        <v>25</v>
      </c>
      <c r="G4" s="108" t="s">
        <v>25</v>
      </c>
      <c r="H4" s="108" t="s">
        <v>80</v>
      </c>
      <c r="I4" s="108" t="s">
        <v>25</v>
      </c>
      <c r="J4" s="108">
        <v>11.74</v>
      </c>
      <c r="K4" s="108">
        <v>0</v>
      </c>
      <c r="L4" s="108">
        <v>0</v>
      </c>
      <c r="M4" s="108">
        <v>5.14693851027982E-2</v>
      </c>
      <c r="N4" s="108">
        <v>0.14567424152319</v>
      </c>
      <c r="O4" s="108">
        <v>0</v>
      </c>
      <c r="P4" s="108">
        <v>0</v>
      </c>
      <c r="Q4" s="108">
        <v>0</v>
      </c>
      <c r="R4" s="108">
        <v>0</v>
      </c>
      <c r="S4" s="108">
        <v>0</v>
      </c>
      <c r="T4" s="108">
        <v>0</v>
      </c>
      <c r="U4" s="108">
        <v>0</v>
      </c>
      <c r="V4" s="108">
        <v>0</v>
      </c>
      <c r="W4" s="108">
        <v>0</v>
      </c>
      <c r="X4" s="108">
        <v>0</v>
      </c>
      <c r="Y4" s="108">
        <v>0</v>
      </c>
      <c r="Z4" s="108">
        <v>0</v>
      </c>
      <c r="AA4" s="108">
        <v>14.267053365466699</v>
      </c>
      <c r="AB4" s="108">
        <v>-2.72354436550025</v>
      </c>
      <c r="AC4" s="108">
        <v>0</v>
      </c>
      <c r="AD4" s="108">
        <v>0</v>
      </c>
      <c r="AE4" s="108">
        <v>0</v>
      </c>
      <c r="AF4" s="108">
        <v>0</v>
      </c>
      <c r="AG4" s="108">
        <v>0</v>
      </c>
      <c r="AH4" s="108">
        <v>0</v>
      </c>
      <c r="AI4" s="108">
        <v>0</v>
      </c>
      <c r="AJ4" s="108">
        <v>0</v>
      </c>
      <c r="AK4" s="108">
        <v>0</v>
      </c>
      <c r="AL4" s="108">
        <v>0</v>
      </c>
      <c r="AM4" s="108">
        <v>0</v>
      </c>
      <c r="AN4" s="108">
        <v>0</v>
      </c>
      <c r="AO4" s="108">
        <v>0</v>
      </c>
      <c r="AP4" s="108">
        <v>0</v>
      </c>
      <c r="AQ4" s="108">
        <v>0</v>
      </c>
      <c r="AR4" s="109">
        <v>0</v>
      </c>
    </row>
    <row r="5" spans="2:44" ht="12" customHeight="1" x14ac:dyDescent="0.25">
      <c r="B5" s="107" t="s">
        <v>38</v>
      </c>
      <c r="C5" s="108" t="s">
        <v>39</v>
      </c>
      <c r="D5" s="108" t="s">
        <v>25</v>
      </c>
      <c r="E5" s="108" t="s">
        <v>25</v>
      </c>
      <c r="F5" s="108" t="s">
        <v>89</v>
      </c>
      <c r="G5" s="108" t="s">
        <v>33</v>
      </c>
      <c r="H5" s="108" t="s">
        <v>82</v>
      </c>
      <c r="I5" s="108" t="s">
        <v>25</v>
      </c>
      <c r="J5" s="108">
        <v>8.89</v>
      </c>
      <c r="K5" s="108">
        <v>0</v>
      </c>
      <c r="L5" s="108">
        <v>0</v>
      </c>
      <c r="M5" s="108">
        <v>0.42096037281946302</v>
      </c>
      <c r="N5" s="108">
        <v>0.211147572472595</v>
      </c>
      <c r="O5" s="108">
        <v>0</v>
      </c>
      <c r="P5" s="108">
        <v>0</v>
      </c>
      <c r="Q5" s="108">
        <v>0</v>
      </c>
      <c r="R5" s="108">
        <v>0</v>
      </c>
      <c r="S5" s="108">
        <v>0</v>
      </c>
      <c r="T5" s="108">
        <v>0</v>
      </c>
      <c r="U5" s="108">
        <v>0</v>
      </c>
      <c r="V5" s="108">
        <v>0</v>
      </c>
      <c r="W5" s="108">
        <v>0</v>
      </c>
      <c r="X5" s="108">
        <v>0</v>
      </c>
      <c r="Y5" s="108">
        <v>0</v>
      </c>
      <c r="Z5" s="108">
        <v>0</v>
      </c>
      <c r="AA5" s="108">
        <v>0</v>
      </c>
      <c r="AB5" s="108">
        <v>-1.86037091626075</v>
      </c>
      <c r="AC5" s="108">
        <v>0</v>
      </c>
      <c r="AD5" s="108">
        <v>7.6847171601105204</v>
      </c>
      <c r="AE5" s="108">
        <v>0.263556702921589</v>
      </c>
      <c r="AF5" s="108">
        <v>1.9342348061519901</v>
      </c>
      <c r="AG5" s="108">
        <v>0.23357335281204999</v>
      </c>
      <c r="AH5" s="108">
        <v>0</v>
      </c>
      <c r="AI5" s="108">
        <v>0</v>
      </c>
      <c r="AJ5" s="108">
        <v>0</v>
      </c>
      <c r="AK5" s="108">
        <v>0</v>
      </c>
      <c r="AL5" s="108">
        <v>0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9">
        <v>0</v>
      </c>
    </row>
    <row r="6" spans="2:44" ht="12" customHeight="1" x14ac:dyDescent="0.25">
      <c r="B6" s="107" t="s">
        <v>38</v>
      </c>
      <c r="C6" s="108" t="s">
        <v>39</v>
      </c>
      <c r="D6" s="108" t="s">
        <v>25</v>
      </c>
      <c r="E6" s="108" t="s">
        <v>25</v>
      </c>
      <c r="F6" s="108" t="s">
        <v>89</v>
      </c>
      <c r="G6" s="108" t="s">
        <v>33</v>
      </c>
      <c r="H6" s="108" t="s">
        <v>80</v>
      </c>
      <c r="I6" s="108" t="s">
        <v>25</v>
      </c>
      <c r="J6" s="108">
        <v>40.18</v>
      </c>
      <c r="K6" s="108">
        <v>0</v>
      </c>
      <c r="L6" s="108">
        <v>0</v>
      </c>
      <c r="M6" s="108">
        <v>0</v>
      </c>
      <c r="N6" s="108">
        <v>0</v>
      </c>
      <c r="O6" s="108">
        <v>0</v>
      </c>
      <c r="P6" s="108">
        <v>0</v>
      </c>
      <c r="Q6" s="108">
        <v>0</v>
      </c>
      <c r="R6" s="108">
        <v>0</v>
      </c>
      <c r="S6" s="108">
        <v>0</v>
      </c>
      <c r="T6" s="108">
        <v>8.72155176776986</v>
      </c>
      <c r="U6" s="108">
        <v>2.9221726292599599</v>
      </c>
      <c r="V6" s="108">
        <v>4.9552205887763803</v>
      </c>
      <c r="W6" s="108">
        <v>0</v>
      </c>
      <c r="X6" s="108">
        <v>0</v>
      </c>
      <c r="Y6" s="108">
        <v>0</v>
      </c>
      <c r="Z6" s="108">
        <v>0</v>
      </c>
      <c r="AA6" s="108">
        <v>32.789608930315097</v>
      </c>
      <c r="AB6" s="108">
        <v>-9.2057626729930497</v>
      </c>
      <c r="AC6" s="108">
        <v>0</v>
      </c>
      <c r="AD6" s="108">
        <v>0</v>
      </c>
      <c r="AE6" s="108">
        <v>0</v>
      </c>
      <c r="AF6" s="108">
        <v>0</v>
      </c>
      <c r="AG6" s="108">
        <v>0</v>
      </c>
      <c r="AH6" s="108">
        <v>0</v>
      </c>
      <c r="AI6" s="108">
        <v>0</v>
      </c>
      <c r="AJ6" s="108">
        <v>0</v>
      </c>
      <c r="AK6" s="108">
        <v>0</v>
      </c>
      <c r="AL6" s="108">
        <v>0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9">
        <v>0</v>
      </c>
    </row>
    <row r="7" spans="2:44" ht="12" customHeight="1" x14ac:dyDescent="0.25">
      <c r="B7" s="107" t="s">
        <v>38</v>
      </c>
      <c r="C7" s="108" t="s">
        <v>39</v>
      </c>
      <c r="D7" s="108" t="s">
        <v>25</v>
      </c>
      <c r="E7" s="108" t="s">
        <v>25</v>
      </c>
      <c r="F7" s="108" t="s">
        <v>89</v>
      </c>
      <c r="G7" s="108" t="s">
        <v>34</v>
      </c>
      <c r="H7" s="108" t="s">
        <v>82</v>
      </c>
      <c r="I7" s="108" t="s">
        <v>25</v>
      </c>
      <c r="J7" s="108">
        <v>8.89</v>
      </c>
      <c r="K7" s="108">
        <v>0</v>
      </c>
      <c r="L7" s="108">
        <v>0</v>
      </c>
      <c r="M7" s="108">
        <v>0.42096037281946302</v>
      </c>
      <c r="N7" s="108">
        <v>0.211147572472595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-1.86037091626075</v>
      </c>
      <c r="AC7" s="108">
        <v>0</v>
      </c>
      <c r="AD7" s="108">
        <v>7.6847171601105204</v>
      </c>
      <c r="AE7" s="108">
        <v>0.263556702921589</v>
      </c>
      <c r="AF7" s="108">
        <v>1.9342348061519901</v>
      </c>
      <c r="AG7" s="108">
        <v>0.23357335281204999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0</v>
      </c>
      <c r="AN7" s="108">
        <v>0</v>
      </c>
      <c r="AO7" s="108">
        <v>0</v>
      </c>
      <c r="AP7" s="108">
        <v>0</v>
      </c>
      <c r="AQ7" s="108">
        <v>0</v>
      </c>
      <c r="AR7" s="109">
        <v>0</v>
      </c>
    </row>
    <row r="8" spans="2:44" ht="12" customHeight="1" x14ac:dyDescent="0.25">
      <c r="B8" s="107" t="s">
        <v>38</v>
      </c>
      <c r="C8" s="108" t="s">
        <v>39</v>
      </c>
      <c r="D8" s="108" t="s">
        <v>25</v>
      </c>
      <c r="E8" s="108" t="s">
        <v>25</v>
      </c>
      <c r="F8" s="108" t="s">
        <v>89</v>
      </c>
      <c r="G8" s="108" t="s">
        <v>34</v>
      </c>
      <c r="H8" s="108" t="s">
        <v>80</v>
      </c>
      <c r="I8" s="108" t="s">
        <v>25</v>
      </c>
      <c r="J8" s="108">
        <v>15.19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5.7741763623791202</v>
      </c>
      <c r="U8" s="108">
        <v>1.81071776977096</v>
      </c>
      <c r="V8" s="108">
        <v>2.8931001702610102</v>
      </c>
      <c r="W8" s="108">
        <v>0</v>
      </c>
      <c r="X8" s="108">
        <v>0</v>
      </c>
      <c r="Y8" s="108">
        <v>0</v>
      </c>
      <c r="Z8" s="108">
        <v>0</v>
      </c>
      <c r="AA8" s="108">
        <v>8.1641343092211898</v>
      </c>
      <c r="AB8" s="108">
        <v>-3.4491706909117101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8">
        <v>0</v>
      </c>
      <c r="AP8" s="108">
        <v>0</v>
      </c>
      <c r="AQ8" s="108">
        <v>0</v>
      </c>
      <c r="AR8" s="109">
        <v>0</v>
      </c>
    </row>
    <row r="9" spans="2:44" ht="12" customHeight="1" x14ac:dyDescent="0.25">
      <c r="B9" s="107" t="s">
        <v>38</v>
      </c>
      <c r="C9" s="108" t="s">
        <v>39</v>
      </c>
      <c r="D9" s="108" t="s">
        <v>25</v>
      </c>
      <c r="E9" s="108" t="s">
        <v>25</v>
      </c>
      <c r="F9" s="108" t="s">
        <v>25</v>
      </c>
      <c r="G9" s="108" t="s">
        <v>33</v>
      </c>
      <c r="H9" s="108" t="s">
        <v>82</v>
      </c>
      <c r="I9" s="108" t="s">
        <v>25</v>
      </c>
      <c r="J9" s="108">
        <v>100.24</v>
      </c>
      <c r="K9" s="108">
        <v>353.55</v>
      </c>
      <c r="L9" s="108">
        <v>5.19107511700249</v>
      </c>
      <c r="M9" s="108">
        <v>0.42096037281946302</v>
      </c>
      <c r="N9" s="108">
        <v>0.220165859695198</v>
      </c>
      <c r="O9" s="108">
        <v>0</v>
      </c>
      <c r="P9" s="108">
        <v>0</v>
      </c>
      <c r="Q9" s="108">
        <v>87.775508395830201</v>
      </c>
      <c r="R9" s="108">
        <v>15.7613153532224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-19.247550180527899</v>
      </c>
      <c r="AC9" s="108">
        <v>0</v>
      </c>
      <c r="AD9" s="108">
        <v>7.6847171601105204</v>
      </c>
      <c r="AE9" s="108">
        <v>0.263556702921589</v>
      </c>
      <c r="AF9" s="108">
        <v>1.9342348061519901</v>
      </c>
      <c r="AG9" s="108">
        <v>0.23357335281204999</v>
      </c>
      <c r="AH9" s="108">
        <v>9.7477533604981499</v>
      </c>
      <c r="AI9" s="108">
        <v>-19.0413527586323</v>
      </c>
      <c r="AJ9" s="108">
        <v>2.6517917925504899</v>
      </c>
      <c r="AK9" s="108">
        <v>24.787563811916399</v>
      </c>
      <c r="AL9" s="108">
        <v>0</v>
      </c>
      <c r="AM9" s="108">
        <v>386.83981474962798</v>
      </c>
      <c r="AN9" s="108">
        <v>8.8851742182925797</v>
      </c>
      <c r="AO9" s="108">
        <v>5.6360062635049397</v>
      </c>
      <c r="AP9" s="108">
        <v>0</v>
      </c>
      <c r="AQ9" s="108">
        <v>-72.904527404294399</v>
      </c>
      <c r="AR9" s="109">
        <v>6.9487760688279501</v>
      </c>
    </row>
    <row r="10" spans="2:44" ht="12" customHeight="1" x14ac:dyDescent="0.25">
      <c r="B10" s="107" t="s">
        <v>38</v>
      </c>
      <c r="C10" s="108" t="s">
        <v>39</v>
      </c>
      <c r="D10" s="108" t="s">
        <v>25</v>
      </c>
      <c r="E10" s="108" t="s">
        <v>25</v>
      </c>
      <c r="F10" s="108" t="s">
        <v>25</v>
      </c>
      <c r="G10" s="108" t="s">
        <v>33</v>
      </c>
      <c r="H10" s="108" t="s">
        <v>80</v>
      </c>
      <c r="I10" s="108" t="s">
        <v>25</v>
      </c>
      <c r="J10" s="108">
        <v>40.18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8.72155176776986</v>
      </c>
      <c r="U10" s="108">
        <v>2.9221726292599599</v>
      </c>
      <c r="V10" s="108">
        <v>4.9552205887763803</v>
      </c>
      <c r="W10" s="108">
        <v>0</v>
      </c>
      <c r="X10" s="108">
        <v>0</v>
      </c>
      <c r="Y10" s="108">
        <v>0</v>
      </c>
      <c r="Z10" s="108">
        <v>0</v>
      </c>
      <c r="AA10" s="108">
        <v>32.789608930315097</v>
      </c>
      <c r="AB10" s="108">
        <v>-9.2057626729930497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0</v>
      </c>
      <c r="AO10" s="108">
        <v>0</v>
      </c>
      <c r="AP10" s="108">
        <v>0</v>
      </c>
      <c r="AQ10" s="108">
        <v>0</v>
      </c>
      <c r="AR10" s="109">
        <v>0</v>
      </c>
    </row>
    <row r="11" spans="2:44" ht="12" customHeight="1" x14ac:dyDescent="0.25">
      <c r="B11" s="107" t="s">
        <v>38</v>
      </c>
      <c r="C11" s="108" t="s">
        <v>39</v>
      </c>
      <c r="D11" s="108" t="s">
        <v>25</v>
      </c>
      <c r="E11" s="108" t="s">
        <v>25</v>
      </c>
      <c r="F11" s="108" t="s">
        <v>25</v>
      </c>
      <c r="G11" s="108" t="s">
        <v>34</v>
      </c>
      <c r="H11" s="108" t="s">
        <v>82</v>
      </c>
      <c r="I11" s="108" t="s">
        <v>25</v>
      </c>
      <c r="J11" s="108">
        <v>100.24</v>
      </c>
      <c r="K11" s="108">
        <v>219.4</v>
      </c>
      <c r="L11" s="108">
        <v>5.19107511700249</v>
      </c>
      <c r="M11" s="108">
        <v>0.42096037281946302</v>
      </c>
      <c r="N11" s="108">
        <v>0.220165859695198</v>
      </c>
      <c r="O11" s="108">
        <v>0</v>
      </c>
      <c r="P11" s="108">
        <v>0</v>
      </c>
      <c r="Q11" s="108">
        <v>87.775508395830201</v>
      </c>
      <c r="R11" s="108">
        <v>15.7613153532224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-19.247550180527899</v>
      </c>
      <c r="AC11" s="108">
        <v>0</v>
      </c>
      <c r="AD11" s="108">
        <v>7.6847171601105204</v>
      </c>
      <c r="AE11" s="108">
        <v>0.263556702921589</v>
      </c>
      <c r="AF11" s="108">
        <v>1.9342348061519901</v>
      </c>
      <c r="AG11" s="108">
        <v>0.23357335281204999</v>
      </c>
      <c r="AH11" s="108">
        <v>9.7477533604981499</v>
      </c>
      <c r="AI11" s="108">
        <v>-19.0413527586323</v>
      </c>
      <c r="AJ11" s="108">
        <v>2.6517917925504899</v>
      </c>
      <c r="AK11" s="108">
        <v>24.787563811916399</v>
      </c>
      <c r="AL11" s="108">
        <v>0</v>
      </c>
      <c r="AM11" s="108">
        <v>224.90686904048101</v>
      </c>
      <c r="AN11" s="108">
        <v>8.8851742182925797</v>
      </c>
      <c r="AO11" s="108">
        <v>5.6360062635049397</v>
      </c>
      <c r="AP11" s="108">
        <v>0</v>
      </c>
      <c r="AQ11" s="108">
        <v>-45.118936699190499</v>
      </c>
      <c r="AR11" s="109">
        <v>6.9487760688279501</v>
      </c>
    </row>
    <row r="12" spans="2:44" ht="12" customHeight="1" x14ac:dyDescent="0.25">
      <c r="B12" s="107" t="s">
        <v>38</v>
      </c>
      <c r="C12" s="108" t="s">
        <v>39</v>
      </c>
      <c r="D12" s="108" t="s">
        <v>25</v>
      </c>
      <c r="E12" s="108" t="s">
        <v>25</v>
      </c>
      <c r="F12" s="108" t="s">
        <v>25</v>
      </c>
      <c r="G12" s="108" t="s">
        <v>34</v>
      </c>
      <c r="H12" s="108" t="s">
        <v>80</v>
      </c>
      <c r="I12" s="108" t="s">
        <v>25</v>
      </c>
      <c r="J12" s="108">
        <v>15.19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5.7741763623791202</v>
      </c>
      <c r="U12" s="108">
        <v>1.81071776977096</v>
      </c>
      <c r="V12" s="108">
        <v>2.8931001702610102</v>
      </c>
      <c r="W12" s="108">
        <v>0</v>
      </c>
      <c r="X12" s="108">
        <v>0</v>
      </c>
      <c r="Y12" s="108">
        <v>0</v>
      </c>
      <c r="Z12" s="108">
        <v>0</v>
      </c>
      <c r="AA12" s="108">
        <v>8.1641343092211898</v>
      </c>
      <c r="AB12" s="108">
        <v>-3.4491706909117101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</v>
      </c>
      <c r="AO12" s="108">
        <v>0</v>
      </c>
      <c r="AP12" s="108">
        <v>0</v>
      </c>
      <c r="AQ12" s="108">
        <v>0</v>
      </c>
      <c r="AR12" s="109">
        <v>0</v>
      </c>
    </row>
    <row r="13" spans="2:44" ht="12" customHeight="1" x14ac:dyDescent="0.25">
      <c r="B13" s="107" t="s">
        <v>38</v>
      </c>
      <c r="C13" s="108" t="s">
        <v>23</v>
      </c>
      <c r="D13" s="108" t="s">
        <v>25</v>
      </c>
      <c r="E13" s="108" t="s">
        <v>25</v>
      </c>
      <c r="F13" s="108" t="s">
        <v>25</v>
      </c>
      <c r="G13" s="108" t="s">
        <v>25</v>
      </c>
      <c r="H13" s="108" t="s">
        <v>82</v>
      </c>
      <c r="I13" s="108" t="s">
        <v>25</v>
      </c>
      <c r="J13" s="108">
        <v>0</v>
      </c>
      <c r="K13" s="108">
        <v>230.58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9.7477533604981499</v>
      </c>
      <c r="AI13" s="108">
        <v>-19.0413527586323</v>
      </c>
      <c r="AJ13" s="108">
        <v>2.6517917925504899</v>
      </c>
      <c r="AK13" s="108">
        <v>24.787563811916399</v>
      </c>
      <c r="AL13" s="108">
        <v>0</v>
      </c>
      <c r="AM13" s="108">
        <v>238.40128118291</v>
      </c>
      <c r="AN13" s="108">
        <v>8.8851742182925797</v>
      </c>
      <c r="AO13" s="108">
        <v>5.6360062635049397</v>
      </c>
      <c r="AP13" s="108">
        <v>0</v>
      </c>
      <c r="AQ13" s="108">
        <v>-47.434402591282499</v>
      </c>
      <c r="AR13" s="109">
        <v>6.9487760688279501</v>
      </c>
    </row>
    <row r="14" spans="2:44" ht="12" customHeight="1" x14ac:dyDescent="0.25">
      <c r="B14" s="107" t="s">
        <v>38</v>
      </c>
      <c r="C14" s="108" t="s">
        <v>59</v>
      </c>
      <c r="D14" s="108" t="s">
        <v>25</v>
      </c>
      <c r="E14" s="108" t="s">
        <v>25</v>
      </c>
      <c r="F14" s="108" t="s">
        <v>25</v>
      </c>
      <c r="G14" s="108" t="s">
        <v>25</v>
      </c>
      <c r="H14" s="108" t="s">
        <v>80</v>
      </c>
      <c r="I14" s="108" t="s">
        <v>25</v>
      </c>
      <c r="J14" s="108">
        <v>5.45</v>
      </c>
      <c r="K14" s="108">
        <v>0</v>
      </c>
      <c r="L14" s="108">
        <v>0</v>
      </c>
      <c r="M14" s="108">
        <v>2.0002308060088798E-2</v>
      </c>
      <c r="N14" s="108">
        <v>4.8518385257600903E-2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6.6461705162024503</v>
      </c>
      <c r="AB14" s="108">
        <v>-1.2644436324262001</v>
      </c>
      <c r="AC14" s="108">
        <v>0</v>
      </c>
      <c r="AD14" s="108">
        <v>6.6616536940472201E-4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9">
        <v>0</v>
      </c>
    </row>
    <row r="15" spans="2:44" ht="12" customHeight="1" x14ac:dyDescent="0.25">
      <c r="B15" s="107" t="s">
        <v>38</v>
      </c>
      <c r="C15" s="108" t="s">
        <v>40</v>
      </c>
      <c r="D15" s="108" t="s">
        <v>25</v>
      </c>
      <c r="E15" s="108" t="s">
        <v>25</v>
      </c>
      <c r="F15" s="108" t="s">
        <v>89</v>
      </c>
      <c r="G15" s="108" t="s">
        <v>33</v>
      </c>
      <c r="H15" s="108" t="s">
        <v>82</v>
      </c>
      <c r="I15" s="108" t="s">
        <v>25</v>
      </c>
      <c r="J15" s="108">
        <v>983.01</v>
      </c>
      <c r="K15" s="108">
        <v>0</v>
      </c>
      <c r="L15" s="108">
        <v>0</v>
      </c>
      <c r="M15" s="108">
        <v>0.42096037281946302</v>
      </c>
      <c r="N15" s="108">
        <v>9.7111772692468499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209.75423965048799</v>
      </c>
      <c r="U15" s="108">
        <v>70.278361488954701</v>
      </c>
      <c r="V15" s="108">
        <v>119.173023001413</v>
      </c>
      <c r="W15" s="108">
        <v>0</v>
      </c>
      <c r="X15" s="108">
        <v>0</v>
      </c>
      <c r="Y15" s="108">
        <v>0</v>
      </c>
      <c r="Z15" s="108">
        <v>0</v>
      </c>
      <c r="AA15" s="108">
        <v>788.59130605325299</v>
      </c>
      <c r="AB15" s="108">
        <v>-225.03360408694499</v>
      </c>
      <c r="AC15" s="108">
        <v>0</v>
      </c>
      <c r="AD15" s="108">
        <v>7.6847171601105204</v>
      </c>
      <c r="AE15" s="108">
        <v>0.263556702921589</v>
      </c>
      <c r="AF15" s="108">
        <v>1.9342348061519901</v>
      </c>
      <c r="AG15" s="108">
        <v>0.23357335281204999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8">
        <v>0</v>
      </c>
      <c r="AP15" s="108">
        <v>0</v>
      </c>
      <c r="AQ15" s="108">
        <v>0</v>
      </c>
      <c r="AR15" s="109">
        <v>0</v>
      </c>
    </row>
    <row r="16" spans="2:44" ht="12" customHeight="1" x14ac:dyDescent="0.25">
      <c r="B16" s="107" t="s">
        <v>38</v>
      </c>
      <c r="C16" s="108" t="s">
        <v>40</v>
      </c>
      <c r="D16" s="108" t="s">
        <v>25</v>
      </c>
      <c r="E16" s="108" t="s">
        <v>25</v>
      </c>
      <c r="F16" s="108" t="s">
        <v>89</v>
      </c>
      <c r="G16" s="108" t="s">
        <v>25</v>
      </c>
      <c r="H16" s="108" t="s">
        <v>80</v>
      </c>
      <c r="I16" s="108" t="s">
        <v>25</v>
      </c>
      <c r="J16" s="108">
        <v>15.19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5.7741763623791202</v>
      </c>
      <c r="U16" s="108">
        <v>1.81071776977096</v>
      </c>
      <c r="V16" s="108">
        <v>2.8931001702610102</v>
      </c>
      <c r="W16" s="108">
        <v>0</v>
      </c>
      <c r="X16" s="108">
        <v>0</v>
      </c>
      <c r="Y16" s="108">
        <v>0</v>
      </c>
      <c r="Z16" s="108">
        <v>0</v>
      </c>
      <c r="AA16" s="108">
        <v>8.1641343092211898</v>
      </c>
      <c r="AB16" s="108">
        <v>-3.4491706909117101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8">
        <v>0</v>
      </c>
      <c r="AP16" s="108">
        <v>0</v>
      </c>
      <c r="AQ16" s="108">
        <v>0</v>
      </c>
      <c r="AR16" s="109">
        <v>0</v>
      </c>
    </row>
    <row r="17" spans="2:44" ht="12" customHeight="1" x14ac:dyDescent="0.25">
      <c r="B17" s="107" t="s">
        <v>38</v>
      </c>
      <c r="C17" s="108" t="s">
        <v>40</v>
      </c>
      <c r="D17" s="108" t="s">
        <v>25</v>
      </c>
      <c r="E17" s="108" t="s">
        <v>25</v>
      </c>
      <c r="F17" s="108" t="s">
        <v>89</v>
      </c>
      <c r="G17" s="108" t="s">
        <v>34</v>
      </c>
      <c r="H17" s="108" t="s">
        <v>82</v>
      </c>
      <c r="I17" s="108" t="s">
        <v>25</v>
      </c>
      <c r="J17" s="108">
        <v>8.89</v>
      </c>
      <c r="K17" s="108">
        <v>0</v>
      </c>
      <c r="L17" s="108">
        <v>0</v>
      </c>
      <c r="M17" s="108">
        <v>0.42096037281946302</v>
      </c>
      <c r="N17" s="108">
        <v>0.211147572472595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-1.86037091626075</v>
      </c>
      <c r="AC17" s="108">
        <v>0</v>
      </c>
      <c r="AD17" s="108">
        <v>7.6847171601105204</v>
      </c>
      <c r="AE17" s="108">
        <v>0.263556702921589</v>
      </c>
      <c r="AF17" s="108">
        <v>1.9342348061519901</v>
      </c>
      <c r="AG17" s="108">
        <v>0.23357335281204999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8">
        <v>0</v>
      </c>
      <c r="AP17" s="108">
        <v>0</v>
      </c>
      <c r="AQ17" s="108">
        <v>0</v>
      </c>
      <c r="AR17" s="109">
        <v>0</v>
      </c>
    </row>
    <row r="18" spans="2:44" ht="12" customHeight="1" x14ac:dyDescent="0.25">
      <c r="B18" s="107" t="s">
        <v>38</v>
      </c>
      <c r="C18" s="108" t="s">
        <v>40</v>
      </c>
      <c r="D18" s="108" t="s">
        <v>25</v>
      </c>
      <c r="E18" s="108" t="s">
        <v>25</v>
      </c>
      <c r="F18" s="108" t="s">
        <v>25</v>
      </c>
      <c r="G18" s="108" t="s">
        <v>33</v>
      </c>
      <c r="H18" s="108" t="s">
        <v>82</v>
      </c>
      <c r="I18" s="108" t="s">
        <v>25</v>
      </c>
      <c r="J18" s="108">
        <v>1074.3599999999999</v>
      </c>
      <c r="K18" s="108">
        <v>353.55</v>
      </c>
      <c r="L18" s="108">
        <v>5.19107511700249</v>
      </c>
      <c r="M18" s="108">
        <v>0.42096037281946302</v>
      </c>
      <c r="N18" s="108">
        <v>9.7201955564694504</v>
      </c>
      <c r="O18" s="108">
        <v>0</v>
      </c>
      <c r="P18" s="108">
        <v>0</v>
      </c>
      <c r="Q18" s="108">
        <v>87.775508395830201</v>
      </c>
      <c r="R18" s="108">
        <v>15.7613153532224</v>
      </c>
      <c r="S18" s="108">
        <v>0</v>
      </c>
      <c r="T18" s="108">
        <v>209.75423965048799</v>
      </c>
      <c r="U18" s="108">
        <v>70.278361488954701</v>
      </c>
      <c r="V18" s="108">
        <v>119.173023001413</v>
      </c>
      <c r="W18" s="108">
        <v>0</v>
      </c>
      <c r="X18" s="108">
        <v>0</v>
      </c>
      <c r="Y18" s="108">
        <v>0</v>
      </c>
      <c r="Z18" s="108">
        <v>0</v>
      </c>
      <c r="AA18" s="108">
        <v>788.59130605325299</v>
      </c>
      <c r="AB18" s="108">
        <v>-242.42078335121201</v>
      </c>
      <c r="AC18" s="108">
        <v>0</v>
      </c>
      <c r="AD18" s="108">
        <v>7.6847171601105204</v>
      </c>
      <c r="AE18" s="108">
        <v>0.263556702921589</v>
      </c>
      <c r="AF18" s="108">
        <v>1.9342348061519901</v>
      </c>
      <c r="AG18" s="108">
        <v>0.23357335281204999</v>
      </c>
      <c r="AH18" s="108">
        <v>9.7477533604981499</v>
      </c>
      <c r="AI18" s="108">
        <v>-19.0413527586323</v>
      </c>
      <c r="AJ18" s="108">
        <v>2.6517917925504899</v>
      </c>
      <c r="AK18" s="108">
        <v>24.787563811916399</v>
      </c>
      <c r="AL18" s="108">
        <v>0</v>
      </c>
      <c r="AM18" s="108">
        <v>386.83981474962798</v>
      </c>
      <c r="AN18" s="108">
        <v>8.8851742182925797</v>
      </c>
      <c r="AO18" s="108">
        <v>5.6360062635049397</v>
      </c>
      <c r="AP18" s="108">
        <v>0</v>
      </c>
      <c r="AQ18" s="108">
        <v>-72.904527404294399</v>
      </c>
      <c r="AR18" s="109">
        <v>6.9487760688279501</v>
      </c>
    </row>
    <row r="19" spans="2:44" ht="12" customHeight="1" x14ac:dyDescent="0.25">
      <c r="B19" s="107" t="s">
        <v>38</v>
      </c>
      <c r="C19" s="108" t="s">
        <v>40</v>
      </c>
      <c r="D19" s="108" t="s">
        <v>25</v>
      </c>
      <c r="E19" s="108" t="s">
        <v>25</v>
      </c>
      <c r="F19" s="108" t="s">
        <v>25</v>
      </c>
      <c r="G19" s="108" t="s">
        <v>25</v>
      </c>
      <c r="H19" s="108" t="s">
        <v>80</v>
      </c>
      <c r="I19" s="108" t="s">
        <v>25</v>
      </c>
      <c r="J19" s="108">
        <v>15.19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5.7741763623791202</v>
      </c>
      <c r="U19" s="108">
        <v>1.81071776977096</v>
      </c>
      <c r="V19" s="108">
        <v>2.8931001702610102</v>
      </c>
      <c r="W19" s="108">
        <v>0</v>
      </c>
      <c r="X19" s="108">
        <v>0</v>
      </c>
      <c r="Y19" s="108">
        <v>0</v>
      </c>
      <c r="Z19" s="108">
        <v>0</v>
      </c>
      <c r="AA19" s="108">
        <v>8.1641343092211898</v>
      </c>
      <c r="AB19" s="108">
        <v>-3.4491706909117101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  <c r="AO19" s="108">
        <v>0</v>
      </c>
      <c r="AP19" s="108">
        <v>0</v>
      </c>
      <c r="AQ19" s="108">
        <v>0</v>
      </c>
      <c r="AR19" s="109">
        <v>0</v>
      </c>
    </row>
    <row r="20" spans="2:44" ht="12" customHeight="1" x14ac:dyDescent="0.25">
      <c r="B20" s="107" t="s">
        <v>38</v>
      </c>
      <c r="C20" s="108" t="s">
        <v>40</v>
      </c>
      <c r="D20" s="108" t="s">
        <v>25</v>
      </c>
      <c r="E20" s="108" t="s">
        <v>25</v>
      </c>
      <c r="F20" s="108" t="s">
        <v>25</v>
      </c>
      <c r="G20" s="108" t="s">
        <v>34</v>
      </c>
      <c r="H20" s="108" t="s">
        <v>82</v>
      </c>
      <c r="I20" s="108" t="s">
        <v>25</v>
      </c>
      <c r="J20" s="108">
        <v>100.24</v>
      </c>
      <c r="K20" s="108">
        <v>219.4</v>
      </c>
      <c r="L20" s="108">
        <v>5.19107511700249</v>
      </c>
      <c r="M20" s="108">
        <v>0.42096037281946302</v>
      </c>
      <c r="N20" s="108">
        <v>0.220165859695198</v>
      </c>
      <c r="O20" s="108">
        <v>0</v>
      </c>
      <c r="P20" s="108">
        <v>0</v>
      </c>
      <c r="Q20" s="108">
        <v>87.775508395830201</v>
      </c>
      <c r="R20" s="108">
        <v>15.7613153532224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-19.247550180527899</v>
      </c>
      <c r="AC20" s="108">
        <v>0</v>
      </c>
      <c r="AD20" s="108">
        <v>7.6847171601105204</v>
      </c>
      <c r="AE20" s="108">
        <v>0.263556702921589</v>
      </c>
      <c r="AF20" s="108">
        <v>1.9342348061519901</v>
      </c>
      <c r="AG20" s="108">
        <v>0.23357335281204999</v>
      </c>
      <c r="AH20" s="108">
        <v>9.7477533604981499</v>
      </c>
      <c r="AI20" s="108">
        <v>-19.0413527586323</v>
      </c>
      <c r="AJ20" s="108">
        <v>2.6517917925504899</v>
      </c>
      <c r="AK20" s="108">
        <v>24.787563811916399</v>
      </c>
      <c r="AL20" s="108">
        <v>0</v>
      </c>
      <c r="AM20" s="108">
        <v>224.90686904048101</v>
      </c>
      <c r="AN20" s="108">
        <v>8.8851742182925797</v>
      </c>
      <c r="AO20" s="108">
        <v>5.6360062635049397</v>
      </c>
      <c r="AP20" s="108">
        <v>0</v>
      </c>
      <c r="AQ20" s="108">
        <v>-45.118936699190499</v>
      </c>
      <c r="AR20" s="109">
        <v>6.9487760688279501</v>
      </c>
    </row>
    <row r="21" spans="2:44" ht="12" customHeight="1" x14ac:dyDescent="0.25">
      <c r="B21" s="107" t="s">
        <v>90</v>
      </c>
      <c r="C21" s="108" t="s">
        <v>59</v>
      </c>
      <c r="D21" s="108" t="s">
        <v>25</v>
      </c>
      <c r="E21" s="108" t="s">
        <v>25</v>
      </c>
      <c r="F21" s="108" t="s">
        <v>91</v>
      </c>
      <c r="G21" s="108" t="s">
        <v>25</v>
      </c>
      <c r="H21" s="108" t="s">
        <v>80</v>
      </c>
      <c r="I21" s="108" t="s">
        <v>25</v>
      </c>
      <c r="J21" s="108">
        <v>2.94</v>
      </c>
      <c r="K21" s="108">
        <v>0</v>
      </c>
      <c r="L21" s="108">
        <v>0</v>
      </c>
      <c r="M21" s="108">
        <v>1.18705286150994E-2</v>
      </c>
      <c r="N21" s="108">
        <v>2.87683362401016E-2</v>
      </c>
      <c r="O21" s="108">
        <v>0</v>
      </c>
      <c r="P21" s="108">
        <v>0</v>
      </c>
      <c r="Q21" s="108">
        <v>0</v>
      </c>
      <c r="R21" s="108">
        <v>0</v>
      </c>
      <c r="S21" s="108">
        <v>0</v>
      </c>
      <c r="T21" s="108">
        <v>0</v>
      </c>
      <c r="U21" s="108">
        <v>0</v>
      </c>
      <c r="V21" s="108">
        <v>0</v>
      </c>
      <c r="W21" s="108">
        <v>0</v>
      </c>
      <c r="X21" s="108">
        <v>0</v>
      </c>
      <c r="Y21" s="108">
        <v>0</v>
      </c>
      <c r="Z21" s="108">
        <v>0</v>
      </c>
      <c r="AA21" s="108">
        <v>3.5824567493013499</v>
      </c>
      <c r="AB21" s="108">
        <v>-0.68221241028403601</v>
      </c>
      <c r="AC21" s="108">
        <v>0</v>
      </c>
      <c r="AD21" s="108">
        <v>0</v>
      </c>
      <c r="AE21" s="108">
        <v>0</v>
      </c>
      <c r="AF21" s="108">
        <v>0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9">
        <v>0</v>
      </c>
    </row>
    <row r="22" spans="2:44" ht="12" customHeight="1" x14ac:dyDescent="0.25">
      <c r="B22" s="107" t="s">
        <v>90</v>
      </c>
      <c r="C22" s="108" t="s">
        <v>59</v>
      </c>
      <c r="D22" s="108" t="s">
        <v>25</v>
      </c>
      <c r="E22" s="108" t="s">
        <v>25</v>
      </c>
      <c r="F22" s="108" t="s">
        <v>92</v>
      </c>
      <c r="G22" s="108" t="s">
        <v>25</v>
      </c>
      <c r="H22" s="108" t="s">
        <v>80</v>
      </c>
      <c r="I22" s="108" t="s">
        <v>25</v>
      </c>
      <c r="J22" s="108">
        <v>9</v>
      </c>
      <c r="K22" s="108">
        <v>0</v>
      </c>
      <c r="L22" s="108">
        <v>0</v>
      </c>
      <c r="M22" s="108">
        <v>1.18705286150994E-2</v>
      </c>
      <c r="N22" s="108">
        <v>2.87683362401016E-2</v>
      </c>
      <c r="O22" s="108">
        <v>0</v>
      </c>
      <c r="P22" s="108">
        <v>0</v>
      </c>
      <c r="Q22" s="108">
        <v>0</v>
      </c>
      <c r="R22" s="108">
        <v>0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11.0527252768594</v>
      </c>
      <c r="AB22" s="108">
        <v>-2.0886290626528701</v>
      </c>
      <c r="AC22" s="108">
        <v>0</v>
      </c>
      <c r="AD22" s="108">
        <v>0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8">
        <v>0</v>
      </c>
      <c r="AP22" s="108">
        <v>0</v>
      </c>
      <c r="AQ22" s="108">
        <v>0</v>
      </c>
      <c r="AR22" s="109">
        <v>0</v>
      </c>
    </row>
    <row r="23" spans="2:44" ht="12" customHeight="1" x14ac:dyDescent="0.25">
      <c r="B23" s="107" t="s">
        <v>22</v>
      </c>
      <c r="C23" s="108" t="s">
        <v>32</v>
      </c>
      <c r="D23" s="108" t="s">
        <v>24</v>
      </c>
      <c r="E23" s="108" t="s">
        <v>24</v>
      </c>
      <c r="F23" s="108" t="s">
        <v>25</v>
      </c>
      <c r="G23" s="108" t="s">
        <v>33</v>
      </c>
      <c r="H23" s="108" t="s">
        <v>82</v>
      </c>
      <c r="I23" s="108" t="s">
        <v>25</v>
      </c>
      <c r="J23" s="108">
        <v>864.6</v>
      </c>
      <c r="K23" s="108">
        <v>353.55</v>
      </c>
      <c r="L23" s="108">
        <v>6.1798513297648698</v>
      </c>
      <c r="M23" s="108">
        <v>0.78372978084586098</v>
      </c>
      <c r="N23" s="108">
        <v>7.6670805971430598</v>
      </c>
      <c r="O23" s="108">
        <v>0</v>
      </c>
      <c r="P23" s="108">
        <v>0</v>
      </c>
      <c r="Q23" s="108">
        <v>104.494652852179</v>
      </c>
      <c r="R23" s="108">
        <v>15.7613153532224</v>
      </c>
      <c r="S23" s="108">
        <v>0</v>
      </c>
      <c r="T23" s="108">
        <v>126.203316659466</v>
      </c>
      <c r="U23" s="108">
        <v>41.067226578245297</v>
      </c>
      <c r="V23" s="108">
        <v>67.896057108666398</v>
      </c>
      <c r="W23" s="108">
        <v>0</v>
      </c>
      <c r="X23" s="108">
        <v>0</v>
      </c>
      <c r="Y23" s="108">
        <v>0</v>
      </c>
      <c r="Z23" s="108">
        <v>0</v>
      </c>
      <c r="AA23" s="108">
        <v>667.58459545459505</v>
      </c>
      <c r="AB23" s="108">
        <v>-194.02056537604301</v>
      </c>
      <c r="AC23" s="108">
        <v>0</v>
      </c>
      <c r="AD23" s="108">
        <v>17.493669141910399</v>
      </c>
      <c r="AE23" s="108">
        <v>0.59996661750615699</v>
      </c>
      <c r="AF23" s="108">
        <v>2.57557893830975</v>
      </c>
      <c r="AG23" s="108">
        <v>0.311020464599083</v>
      </c>
      <c r="AH23" s="108">
        <v>9.7477533604981499</v>
      </c>
      <c r="AI23" s="108">
        <v>-19.0413527586323</v>
      </c>
      <c r="AJ23" s="108">
        <v>2.6517917925504899</v>
      </c>
      <c r="AK23" s="108">
        <v>24.787563811916399</v>
      </c>
      <c r="AL23" s="108">
        <v>0</v>
      </c>
      <c r="AM23" s="108">
        <v>386.83981474962798</v>
      </c>
      <c r="AN23" s="108">
        <v>8.8851742182925797</v>
      </c>
      <c r="AO23" s="108">
        <v>5.6360062635049397</v>
      </c>
      <c r="AP23" s="108">
        <v>0</v>
      </c>
      <c r="AQ23" s="108">
        <v>-72.904527404294399</v>
      </c>
      <c r="AR23" s="109">
        <v>6.9487760688279501</v>
      </c>
    </row>
    <row r="24" spans="2:44" ht="12" customHeight="1" x14ac:dyDescent="0.25">
      <c r="B24" s="107" t="s">
        <v>22</v>
      </c>
      <c r="C24" s="108" t="s">
        <v>32</v>
      </c>
      <c r="D24" s="108" t="s">
        <v>24</v>
      </c>
      <c r="E24" s="108" t="s">
        <v>24</v>
      </c>
      <c r="F24" s="108" t="s">
        <v>25</v>
      </c>
      <c r="G24" s="108" t="s">
        <v>35</v>
      </c>
      <c r="H24" s="108" t="s">
        <v>82</v>
      </c>
      <c r="I24" s="108" t="s">
        <v>25</v>
      </c>
      <c r="J24" s="108">
        <v>494.6</v>
      </c>
      <c r="K24" s="108">
        <v>219.4</v>
      </c>
      <c r="L24" s="108">
        <v>6.1798513297648698</v>
      </c>
      <c r="M24" s="108">
        <v>0.78372978084586098</v>
      </c>
      <c r="N24" s="108">
        <v>4.0568469394425097</v>
      </c>
      <c r="O24" s="108">
        <v>0</v>
      </c>
      <c r="P24" s="108">
        <v>0</v>
      </c>
      <c r="Q24" s="108">
        <v>104.494652852179</v>
      </c>
      <c r="R24" s="108">
        <v>15.7613153532224</v>
      </c>
      <c r="S24" s="108">
        <v>0</v>
      </c>
      <c r="T24" s="108">
        <v>63.101610077246498</v>
      </c>
      <c r="U24" s="108">
        <v>20.533665117992001</v>
      </c>
      <c r="V24" s="108">
        <v>33.948074112433602</v>
      </c>
      <c r="W24" s="108">
        <v>0</v>
      </c>
      <c r="X24" s="108">
        <v>0</v>
      </c>
      <c r="Y24" s="108">
        <v>0</v>
      </c>
      <c r="Z24" s="108">
        <v>0</v>
      </c>
      <c r="AA24" s="108">
        <v>333.79229772729701</v>
      </c>
      <c r="AB24" s="108">
        <v>-109.03257704638899</v>
      </c>
      <c r="AC24" s="108">
        <v>0</v>
      </c>
      <c r="AD24" s="108">
        <v>17.493669141910399</v>
      </c>
      <c r="AE24" s="108">
        <v>0.59996661750615699</v>
      </c>
      <c r="AF24" s="108">
        <v>2.57557893830975</v>
      </c>
      <c r="AG24" s="108">
        <v>0.311020464599083</v>
      </c>
      <c r="AH24" s="108">
        <v>9.7477533604981499</v>
      </c>
      <c r="AI24" s="108">
        <v>-19.0413527586323</v>
      </c>
      <c r="AJ24" s="108">
        <v>2.6517917925504899</v>
      </c>
      <c r="AK24" s="108">
        <v>24.787563811916399</v>
      </c>
      <c r="AL24" s="108">
        <v>0</v>
      </c>
      <c r="AM24" s="108">
        <v>224.90686904048101</v>
      </c>
      <c r="AN24" s="108">
        <v>8.8851742182925797</v>
      </c>
      <c r="AO24" s="108">
        <v>5.6360062635049397</v>
      </c>
      <c r="AP24" s="108">
        <v>0</v>
      </c>
      <c r="AQ24" s="108">
        <v>-45.118936699190499</v>
      </c>
      <c r="AR24" s="109">
        <v>6.9487760688279501</v>
      </c>
    </row>
    <row r="25" spans="2:44" ht="12" customHeight="1" x14ac:dyDescent="0.25">
      <c r="B25" s="107" t="s">
        <v>22</v>
      </c>
      <c r="C25" s="108" t="s">
        <v>32</v>
      </c>
      <c r="D25" s="108" t="s">
        <v>24</v>
      </c>
      <c r="E25" s="108" t="s">
        <v>24</v>
      </c>
      <c r="F25" s="108" t="s">
        <v>25</v>
      </c>
      <c r="G25" s="108" t="s">
        <v>34</v>
      </c>
      <c r="H25" s="108" t="s">
        <v>82</v>
      </c>
      <c r="I25" s="108" t="s">
        <v>25</v>
      </c>
      <c r="J25" s="108">
        <v>198.6</v>
      </c>
      <c r="K25" s="108">
        <v>219.4</v>
      </c>
      <c r="L25" s="108">
        <v>6.1798513297648698</v>
      </c>
      <c r="M25" s="108">
        <v>0.78372978084586098</v>
      </c>
      <c r="N25" s="108">
        <v>1.16865924672766</v>
      </c>
      <c r="O25" s="108">
        <v>0</v>
      </c>
      <c r="P25" s="108">
        <v>0</v>
      </c>
      <c r="Q25" s="108">
        <v>104.494652852179</v>
      </c>
      <c r="R25" s="108">
        <v>15.7613153532224</v>
      </c>
      <c r="S25" s="108">
        <v>0</v>
      </c>
      <c r="T25" s="108">
        <v>12.6203413164439</v>
      </c>
      <c r="U25" s="108">
        <v>4.10671229205066</v>
      </c>
      <c r="V25" s="108">
        <v>6.7896148224867297</v>
      </c>
      <c r="W25" s="108">
        <v>0</v>
      </c>
      <c r="X25" s="108">
        <v>0</v>
      </c>
      <c r="Y25" s="108">
        <v>0</v>
      </c>
      <c r="Z25" s="108">
        <v>0</v>
      </c>
      <c r="AA25" s="108">
        <v>66.758440390347005</v>
      </c>
      <c r="AB25" s="108">
        <v>-41.0421685923437</v>
      </c>
      <c r="AC25" s="108">
        <v>0</v>
      </c>
      <c r="AD25" s="108">
        <v>17.493669141910399</v>
      </c>
      <c r="AE25" s="108">
        <v>0.59996661750615699</v>
      </c>
      <c r="AF25" s="108">
        <v>2.57557893830975</v>
      </c>
      <c r="AG25" s="108">
        <v>0.311020464599083</v>
      </c>
      <c r="AH25" s="108">
        <v>9.7477533604981499</v>
      </c>
      <c r="AI25" s="108">
        <v>-19.0413527586323</v>
      </c>
      <c r="AJ25" s="108">
        <v>2.6517917925504899</v>
      </c>
      <c r="AK25" s="108">
        <v>24.787563811916399</v>
      </c>
      <c r="AL25" s="108">
        <v>0</v>
      </c>
      <c r="AM25" s="108">
        <v>224.90686904048101</v>
      </c>
      <c r="AN25" s="108">
        <v>8.8851742182925797</v>
      </c>
      <c r="AO25" s="108">
        <v>5.6360062635049397</v>
      </c>
      <c r="AP25" s="108">
        <v>0</v>
      </c>
      <c r="AQ25" s="108">
        <v>-45.118936699190499</v>
      </c>
      <c r="AR25" s="109">
        <v>6.9487760688279501</v>
      </c>
    </row>
    <row r="26" spans="2:44" ht="12" customHeight="1" x14ac:dyDescent="0.25">
      <c r="B26" s="107" t="s">
        <v>22</v>
      </c>
      <c r="C26" s="108" t="s">
        <v>23</v>
      </c>
      <c r="D26" s="108" t="s">
        <v>24</v>
      </c>
      <c r="E26" s="108" t="s">
        <v>1323</v>
      </c>
      <c r="F26" s="108" t="s">
        <v>25</v>
      </c>
      <c r="G26" s="108" t="s">
        <v>25</v>
      </c>
      <c r="H26" s="108" t="s">
        <v>82</v>
      </c>
      <c r="I26" s="108" t="s">
        <v>25</v>
      </c>
      <c r="J26" s="108">
        <v>223.92</v>
      </c>
      <c r="K26" s="108">
        <v>230.58</v>
      </c>
      <c r="L26" s="108">
        <v>0</v>
      </c>
      <c r="M26" s="108">
        <v>0.78372978084586098</v>
      </c>
      <c r="N26" s="108">
        <v>2.4432800192177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35.056492934013797</v>
      </c>
      <c r="U26" s="108">
        <v>11.407534144585201</v>
      </c>
      <c r="V26" s="108">
        <v>18.860051297596598</v>
      </c>
      <c r="W26" s="108">
        <v>0</v>
      </c>
      <c r="X26" s="108">
        <v>0</v>
      </c>
      <c r="Y26" s="108">
        <v>0</v>
      </c>
      <c r="Z26" s="108">
        <v>0</v>
      </c>
      <c r="AA26" s="108">
        <v>185.440165404054</v>
      </c>
      <c r="AB26" s="108">
        <v>-51.055269028897897</v>
      </c>
      <c r="AC26" s="108">
        <v>0</v>
      </c>
      <c r="AD26" s="108">
        <v>17.493669141910399</v>
      </c>
      <c r="AE26" s="108">
        <v>0.59996661750615699</v>
      </c>
      <c r="AF26" s="108">
        <v>2.57557893830975</v>
      </c>
      <c r="AG26" s="108">
        <v>0.311020464599083</v>
      </c>
      <c r="AH26" s="108">
        <v>9.7477533604981499</v>
      </c>
      <c r="AI26" s="108">
        <v>-19.0413527586323</v>
      </c>
      <c r="AJ26" s="108">
        <v>2.6517917925504899</v>
      </c>
      <c r="AK26" s="108">
        <v>24.787563811916399</v>
      </c>
      <c r="AL26" s="108">
        <v>0</v>
      </c>
      <c r="AM26" s="108">
        <v>238.40128118291</v>
      </c>
      <c r="AN26" s="108">
        <v>8.8851742182925797</v>
      </c>
      <c r="AO26" s="108">
        <v>5.6360062635049397</v>
      </c>
      <c r="AP26" s="108">
        <v>0</v>
      </c>
      <c r="AQ26" s="108">
        <v>-47.434402591282499</v>
      </c>
      <c r="AR26" s="109">
        <v>6.9487760688279501</v>
      </c>
    </row>
    <row r="27" spans="2:44" ht="12" customHeight="1" x14ac:dyDescent="0.25">
      <c r="B27" s="107" t="s">
        <v>22</v>
      </c>
      <c r="C27" s="108" t="s">
        <v>23</v>
      </c>
      <c r="D27" s="108" t="s">
        <v>24</v>
      </c>
      <c r="E27" s="108" t="s">
        <v>24</v>
      </c>
      <c r="F27" s="108" t="s">
        <v>25</v>
      </c>
      <c r="G27" s="108" t="s">
        <v>25</v>
      </c>
      <c r="H27" s="108" t="s">
        <v>82</v>
      </c>
      <c r="I27" s="108" t="s">
        <v>25</v>
      </c>
      <c r="J27" s="108">
        <v>330.16</v>
      </c>
      <c r="K27" s="108">
        <v>230.58</v>
      </c>
      <c r="L27" s="108">
        <v>6.1798513297648698</v>
      </c>
      <c r="M27" s="108">
        <v>0.78372978084586098</v>
      </c>
      <c r="N27" s="108">
        <v>2.4522983064403001</v>
      </c>
      <c r="O27" s="108">
        <v>0</v>
      </c>
      <c r="P27" s="108">
        <v>0</v>
      </c>
      <c r="Q27" s="108">
        <v>104.494652852179</v>
      </c>
      <c r="R27" s="108">
        <v>15.7613153532224</v>
      </c>
      <c r="S27" s="108">
        <v>0</v>
      </c>
      <c r="T27" s="108">
        <v>35.056492934013797</v>
      </c>
      <c r="U27" s="108">
        <v>11.407534144585201</v>
      </c>
      <c r="V27" s="108">
        <v>18.860051297596598</v>
      </c>
      <c r="W27" s="108">
        <v>0</v>
      </c>
      <c r="X27" s="108">
        <v>0</v>
      </c>
      <c r="Y27" s="108">
        <v>0</v>
      </c>
      <c r="Z27" s="108">
        <v>0</v>
      </c>
      <c r="AA27" s="108">
        <v>185.440165404054</v>
      </c>
      <c r="AB27" s="108">
        <v>-71.260129922992704</v>
      </c>
      <c r="AC27" s="108">
        <v>0</v>
      </c>
      <c r="AD27" s="108">
        <v>17.493669141910399</v>
      </c>
      <c r="AE27" s="108">
        <v>0.59996661750615699</v>
      </c>
      <c r="AF27" s="108">
        <v>2.57557893830975</v>
      </c>
      <c r="AG27" s="108">
        <v>0.311020464599083</v>
      </c>
      <c r="AH27" s="108">
        <v>9.7477533604981499</v>
      </c>
      <c r="AI27" s="108">
        <v>-19.0413527586323</v>
      </c>
      <c r="AJ27" s="108">
        <v>2.6517917925504899</v>
      </c>
      <c r="AK27" s="108">
        <v>24.787563811916399</v>
      </c>
      <c r="AL27" s="108">
        <v>0</v>
      </c>
      <c r="AM27" s="108">
        <v>238.40128118291</v>
      </c>
      <c r="AN27" s="108">
        <v>8.8851742182925797</v>
      </c>
      <c r="AO27" s="108">
        <v>5.6360062635049397</v>
      </c>
      <c r="AP27" s="108">
        <v>0</v>
      </c>
      <c r="AQ27" s="108">
        <v>-47.434402591282499</v>
      </c>
      <c r="AR27" s="109">
        <v>6.9487760688279501</v>
      </c>
    </row>
    <row r="28" spans="2:44" ht="12" customHeight="1" x14ac:dyDescent="0.25">
      <c r="B28" s="107" t="s">
        <v>22</v>
      </c>
      <c r="C28" s="108" t="s">
        <v>95</v>
      </c>
      <c r="D28" s="108" t="s">
        <v>24</v>
      </c>
      <c r="E28" s="108" t="s">
        <v>1323</v>
      </c>
      <c r="F28" s="108" t="s">
        <v>25</v>
      </c>
      <c r="G28" s="108" t="s">
        <v>25</v>
      </c>
      <c r="H28" s="108" t="s">
        <v>82</v>
      </c>
      <c r="I28" s="108" t="s">
        <v>25</v>
      </c>
      <c r="J28" s="108">
        <v>223.92</v>
      </c>
      <c r="K28" s="108">
        <v>230.58</v>
      </c>
      <c r="L28" s="108">
        <v>0</v>
      </c>
      <c r="M28" s="108">
        <v>0.78372978084586098</v>
      </c>
      <c r="N28" s="108">
        <v>2.4432800192177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35.056492934013797</v>
      </c>
      <c r="U28" s="108">
        <v>11.407534144585201</v>
      </c>
      <c r="V28" s="108">
        <v>18.860051297596598</v>
      </c>
      <c r="W28" s="108">
        <v>0</v>
      </c>
      <c r="X28" s="108">
        <v>0</v>
      </c>
      <c r="Y28" s="108">
        <v>0</v>
      </c>
      <c r="Z28" s="108">
        <v>0</v>
      </c>
      <c r="AA28" s="108">
        <v>185.440165404054</v>
      </c>
      <c r="AB28" s="108">
        <v>-51.055269028897897</v>
      </c>
      <c r="AC28" s="108">
        <v>0</v>
      </c>
      <c r="AD28" s="108">
        <v>17.493669141910399</v>
      </c>
      <c r="AE28" s="108">
        <v>0.59996661750615699</v>
      </c>
      <c r="AF28" s="108">
        <v>2.57557893830975</v>
      </c>
      <c r="AG28" s="108">
        <v>0.311020464599083</v>
      </c>
      <c r="AH28" s="108">
        <v>9.7477533604981499</v>
      </c>
      <c r="AI28" s="108">
        <v>-19.0413527586323</v>
      </c>
      <c r="AJ28" s="108">
        <v>2.6517917925504899</v>
      </c>
      <c r="AK28" s="108">
        <v>24.787563811916399</v>
      </c>
      <c r="AL28" s="108">
        <v>0</v>
      </c>
      <c r="AM28" s="108">
        <v>238.40128118291</v>
      </c>
      <c r="AN28" s="108">
        <v>8.8851742182925797</v>
      </c>
      <c r="AO28" s="108">
        <v>5.6360062635049397</v>
      </c>
      <c r="AP28" s="108">
        <v>0</v>
      </c>
      <c r="AQ28" s="108">
        <v>-47.434402591282499</v>
      </c>
      <c r="AR28" s="109">
        <v>6.9487760688279501</v>
      </c>
    </row>
    <row r="29" spans="2:44" ht="12" customHeight="1" x14ac:dyDescent="0.25">
      <c r="B29" s="107" t="s">
        <v>22</v>
      </c>
      <c r="C29" s="108" t="s">
        <v>95</v>
      </c>
      <c r="D29" s="108" t="s">
        <v>24</v>
      </c>
      <c r="E29" s="108" t="s">
        <v>24</v>
      </c>
      <c r="F29" s="108" t="s">
        <v>25</v>
      </c>
      <c r="G29" s="108" t="s">
        <v>25</v>
      </c>
      <c r="H29" s="108" t="s">
        <v>82</v>
      </c>
      <c r="I29" s="108" t="s">
        <v>25</v>
      </c>
      <c r="J29" s="108">
        <v>330.16</v>
      </c>
      <c r="K29" s="108">
        <v>230.58</v>
      </c>
      <c r="L29" s="108">
        <v>6.1798513297648698</v>
      </c>
      <c r="M29" s="108">
        <v>0.78372978084586098</v>
      </c>
      <c r="N29" s="108">
        <v>2.4522983064403001</v>
      </c>
      <c r="O29" s="108">
        <v>0</v>
      </c>
      <c r="P29" s="108">
        <v>0</v>
      </c>
      <c r="Q29" s="108">
        <v>104.494652852179</v>
      </c>
      <c r="R29" s="108">
        <v>15.7613153532224</v>
      </c>
      <c r="S29" s="108">
        <v>0</v>
      </c>
      <c r="T29" s="108">
        <v>35.056492934013797</v>
      </c>
      <c r="U29" s="108">
        <v>11.407534144585201</v>
      </c>
      <c r="V29" s="108">
        <v>18.860051297596598</v>
      </c>
      <c r="W29" s="108">
        <v>0</v>
      </c>
      <c r="X29" s="108">
        <v>0</v>
      </c>
      <c r="Y29" s="108">
        <v>0</v>
      </c>
      <c r="Z29" s="108">
        <v>0</v>
      </c>
      <c r="AA29" s="108">
        <v>185.440165404054</v>
      </c>
      <c r="AB29" s="108">
        <v>-71.260129922992704</v>
      </c>
      <c r="AC29" s="108">
        <v>0</v>
      </c>
      <c r="AD29" s="108">
        <v>17.493669141910399</v>
      </c>
      <c r="AE29" s="108">
        <v>0.59996661750615699</v>
      </c>
      <c r="AF29" s="108">
        <v>2.57557893830975</v>
      </c>
      <c r="AG29" s="108">
        <v>0.311020464599083</v>
      </c>
      <c r="AH29" s="108">
        <v>9.7477533604981499</v>
      </c>
      <c r="AI29" s="108">
        <v>-19.0413527586323</v>
      </c>
      <c r="AJ29" s="108">
        <v>2.6517917925504899</v>
      </c>
      <c r="AK29" s="108">
        <v>24.787563811916399</v>
      </c>
      <c r="AL29" s="108">
        <v>0</v>
      </c>
      <c r="AM29" s="108">
        <v>238.40128118291</v>
      </c>
      <c r="AN29" s="108">
        <v>8.8851742182925797</v>
      </c>
      <c r="AO29" s="108">
        <v>5.6360062635049397</v>
      </c>
      <c r="AP29" s="108">
        <v>0</v>
      </c>
      <c r="AQ29" s="108">
        <v>-47.434402591282499</v>
      </c>
      <c r="AR29" s="109">
        <v>6.9487760688279501</v>
      </c>
    </row>
    <row r="30" spans="2:44" ht="12" customHeight="1" x14ac:dyDescent="0.25">
      <c r="B30" s="107" t="s">
        <v>42</v>
      </c>
      <c r="C30" s="108" t="s">
        <v>32</v>
      </c>
      <c r="D30" s="108" t="s">
        <v>43</v>
      </c>
      <c r="E30" s="108" t="s">
        <v>96</v>
      </c>
      <c r="F30" s="108" t="s">
        <v>25</v>
      </c>
      <c r="G30" s="108" t="s">
        <v>33</v>
      </c>
      <c r="H30" s="108" t="s">
        <v>82</v>
      </c>
      <c r="I30" s="108" t="s">
        <v>25</v>
      </c>
      <c r="J30" s="108">
        <v>909.33</v>
      </c>
      <c r="K30" s="108">
        <v>332.34</v>
      </c>
      <c r="L30" s="108">
        <v>5.8090602499789803</v>
      </c>
      <c r="M30" s="108">
        <v>0.73670599399510905</v>
      </c>
      <c r="N30" s="108">
        <v>8.1497277229226999</v>
      </c>
      <c r="O30" s="108">
        <v>0</v>
      </c>
      <c r="P30" s="108">
        <v>0</v>
      </c>
      <c r="Q30" s="108">
        <v>98.224973681048098</v>
      </c>
      <c r="R30" s="108">
        <v>14.8156364320291</v>
      </c>
      <c r="S30" s="108">
        <v>0</v>
      </c>
      <c r="T30" s="108">
        <v>135.10762398154699</v>
      </c>
      <c r="U30" s="108">
        <v>43.9647340315056</v>
      </c>
      <c r="V30" s="108">
        <v>72.686560616631198</v>
      </c>
      <c r="W30" s="108">
        <v>0</v>
      </c>
      <c r="X30" s="108">
        <v>0</v>
      </c>
      <c r="Y30" s="108">
        <v>0</v>
      </c>
      <c r="Z30" s="108">
        <v>0</v>
      </c>
      <c r="AA30" s="108">
        <v>714.68635245271003</v>
      </c>
      <c r="AB30" s="108">
        <v>-204.57063560004499</v>
      </c>
      <c r="AC30" s="108">
        <v>0</v>
      </c>
      <c r="AD30" s="108">
        <v>16.4440489933957</v>
      </c>
      <c r="AE30" s="108">
        <v>0.563968620455787</v>
      </c>
      <c r="AF30" s="108">
        <v>2.4210442020111702</v>
      </c>
      <c r="AG30" s="108">
        <v>0.29235923672313802</v>
      </c>
      <c r="AH30" s="108">
        <v>9.1628881588682596</v>
      </c>
      <c r="AI30" s="108">
        <v>-17.8988715931144</v>
      </c>
      <c r="AJ30" s="108">
        <v>2.49268428499746</v>
      </c>
      <c r="AK30" s="108">
        <v>23.300309983201402</v>
      </c>
      <c r="AL30" s="108">
        <v>0</v>
      </c>
      <c r="AM30" s="108">
        <v>363.62942586464999</v>
      </c>
      <c r="AN30" s="108">
        <v>8.3520637651950302</v>
      </c>
      <c r="AO30" s="108">
        <v>5.2978458876946402</v>
      </c>
      <c r="AP30" s="108">
        <v>0</v>
      </c>
      <c r="AQ30" s="108">
        <v>-68.530255760036795</v>
      </c>
      <c r="AR30" s="109">
        <v>6.5318495046982799</v>
      </c>
    </row>
    <row r="31" spans="2:44" ht="12" customHeight="1" x14ac:dyDescent="0.25">
      <c r="B31" s="107" t="s">
        <v>42</v>
      </c>
      <c r="C31" s="108" t="s">
        <v>32</v>
      </c>
      <c r="D31" s="108" t="s">
        <v>43</v>
      </c>
      <c r="E31" s="108" t="s">
        <v>96</v>
      </c>
      <c r="F31" s="108" t="s">
        <v>25</v>
      </c>
      <c r="G31" s="108" t="s">
        <v>35</v>
      </c>
      <c r="H31" s="108" t="s">
        <v>82</v>
      </c>
      <c r="I31" s="108" t="s">
        <v>25</v>
      </c>
      <c r="J31" s="108">
        <v>513.23</v>
      </c>
      <c r="K31" s="108">
        <v>206.24</v>
      </c>
      <c r="L31" s="108">
        <v>5.8090602499789803</v>
      </c>
      <c r="M31" s="108">
        <v>0.73670599399510905</v>
      </c>
      <c r="N31" s="108">
        <v>4.2847724641606497</v>
      </c>
      <c r="O31" s="108">
        <v>0</v>
      </c>
      <c r="P31" s="108">
        <v>0</v>
      </c>
      <c r="Q31" s="108">
        <v>98.224973681048098</v>
      </c>
      <c r="R31" s="108">
        <v>14.8156364320291</v>
      </c>
      <c r="S31" s="108">
        <v>0</v>
      </c>
      <c r="T31" s="108">
        <v>67.553857348110796</v>
      </c>
      <c r="U31" s="108">
        <v>21.9823670157528</v>
      </c>
      <c r="V31" s="108">
        <v>36.343280308315599</v>
      </c>
      <c r="W31" s="108">
        <v>0</v>
      </c>
      <c r="X31" s="108">
        <v>0</v>
      </c>
      <c r="Y31" s="108">
        <v>0</v>
      </c>
      <c r="Z31" s="108">
        <v>0</v>
      </c>
      <c r="AA31" s="108">
        <v>357.34322124086901</v>
      </c>
      <c r="AB31" s="108">
        <v>-113.586283029385</v>
      </c>
      <c r="AC31" s="108">
        <v>0</v>
      </c>
      <c r="AD31" s="108">
        <v>16.4440489933957</v>
      </c>
      <c r="AE31" s="108">
        <v>0.563968620455787</v>
      </c>
      <c r="AF31" s="108">
        <v>2.4210442020111702</v>
      </c>
      <c r="AG31" s="108">
        <v>0.29235923672313802</v>
      </c>
      <c r="AH31" s="108">
        <v>9.1628881588682596</v>
      </c>
      <c r="AI31" s="108">
        <v>-17.8988715931144</v>
      </c>
      <c r="AJ31" s="108">
        <v>2.49268428499746</v>
      </c>
      <c r="AK31" s="108">
        <v>23.300309983201402</v>
      </c>
      <c r="AL31" s="108">
        <v>0</v>
      </c>
      <c r="AM31" s="108">
        <v>211.412456898052</v>
      </c>
      <c r="AN31" s="108">
        <v>8.3520637651950302</v>
      </c>
      <c r="AO31" s="108">
        <v>5.2978458876946402</v>
      </c>
      <c r="AP31" s="108">
        <v>0</v>
      </c>
      <c r="AQ31" s="108">
        <v>-42.411800497239099</v>
      </c>
      <c r="AR31" s="109">
        <v>6.5318495046982799</v>
      </c>
    </row>
    <row r="32" spans="2:44" ht="12" customHeight="1" x14ac:dyDescent="0.25">
      <c r="B32" s="107" t="s">
        <v>42</v>
      </c>
      <c r="C32" s="108" t="s">
        <v>32</v>
      </c>
      <c r="D32" s="108" t="s">
        <v>43</v>
      </c>
      <c r="E32" s="108" t="s">
        <v>96</v>
      </c>
      <c r="F32" s="108" t="s">
        <v>25</v>
      </c>
      <c r="G32" s="108" t="s">
        <v>34</v>
      </c>
      <c r="H32" s="108" t="s">
        <v>82</v>
      </c>
      <c r="I32" s="108" t="s">
        <v>25</v>
      </c>
      <c r="J32" s="108">
        <v>196.35</v>
      </c>
      <c r="K32" s="108">
        <v>206.24</v>
      </c>
      <c r="L32" s="108">
        <v>5.8090602499789803</v>
      </c>
      <c r="M32" s="108">
        <v>0.73670599399510905</v>
      </c>
      <c r="N32" s="108">
        <v>1.1928071042531601</v>
      </c>
      <c r="O32" s="108">
        <v>0</v>
      </c>
      <c r="P32" s="108">
        <v>0</v>
      </c>
      <c r="Q32" s="108">
        <v>98.224973681048098</v>
      </c>
      <c r="R32" s="108">
        <v>14.8156364320291</v>
      </c>
      <c r="S32" s="108">
        <v>0</v>
      </c>
      <c r="T32" s="108">
        <v>13.510771469622201</v>
      </c>
      <c r="U32" s="108">
        <v>4.3965123784603097</v>
      </c>
      <c r="V32" s="108">
        <v>7.2686218019715998</v>
      </c>
      <c r="W32" s="108">
        <v>0</v>
      </c>
      <c r="X32" s="108">
        <v>0</v>
      </c>
      <c r="Y32" s="108">
        <v>0</v>
      </c>
      <c r="Z32" s="108">
        <v>0</v>
      </c>
      <c r="AA32" s="108">
        <v>71.468644248173902</v>
      </c>
      <c r="AB32" s="108">
        <v>-40.798774013783401</v>
      </c>
      <c r="AC32" s="108">
        <v>0</v>
      </c>
      <c r="AD32" s="108">
        <v>16.4440489933957</v>
      </c>
      <c r="AE32" s="108">
        <v>0.563968620455787</v>
      </c>
      <c r="AF32" s="108">
        <v>2.4210442020111702</v>
      </c>
      <c r="AG32" s="108">
        <v>0.29235923672313802</v>
      </c>
      <c r="AH32" s="108">
        <v>9.1628881588682596</v>
      </c>
      <c r="AI32" s="108">
        <v>-17.8988715931144</v>
      </c>
      <c r="AJ32" s="108">
        <v>2.49268428499746</v>
      </c>
      <c r="AK32" s="108">
        <v>23.300309983201402</v>
      </c>
      <c r="AL32" s="108">
        <v>0</v>
      </c>
      <c r="AM32" s="108">
        <v>211.412456898052</v>
      </c>
      <c r="AN32" s="108">
        <v>8.3520637651950302</v>
      </c>
      <c r="AO32" s="108">
        <v>5.2978458876946402</v>
      </c>
      <c r="AP32" s="108">
        <v>0</v>
      </c>
      <c r="AQ32" s="108">
        <v>-42.411800497239099</v>
      </c>
      <c r="AR32" s="109">
        <v>6.5318495046982799</v>
      </c>
    </row>
    <row r="33" spans="2:44" ht="12" customHeight="1" x14ac:dyDescent="0.25">
      <c r="B33" s="107" t="s">
        <v>42</v>
      </c>
      <c r="C33" s="108" t="s">
        <v>32</v>
      </c>
      <c r="D33" s="108" t="s">
        <v>43</v>
      </c>
      <c r="E33" s="108" t="s">
        <v>25</v>
      </c>
      <c r="F33" s="108" t="s">
        <v>25</v>
      </c>
      <c r="G33" s="108" t="s">
        <v>33</v>
      </c>
      <c r="H33" s="108" t="s">
        <v>82</v>
      </c>
      <c r="I33" s="108" t="s">
        <v>25</v>
      </c>
      <c r="J33" s="108">
        <v>909.33</v>
      </c>
      <c r="K33" s="108">
        <v>332.34</v>
      </c>
      <c r="L33" s="108">
        <v>5.8090602499789803</v>
      </c>
      <c r="M33" s="108">
        <v>0.73670599399510905</v>
      </c>
      <c r="N33" s="108">
        <v>8.1497277229226999</v>
      </c>
      <c r="O33" s="108">
        <v>0</v>
      </c>
      <c r="P33" s="108">
        <v>0</v>
      </c>
      <c r="Q33" s="108">
        <v>98.224973681048098</v>
      </c>
      <c r="R33" s="108">
        <v>14.8156364320291</v>
      </c>
      <c r="S33" s="108">
        <v>0</v>
      </c>
      <c r="T33" s="108">
        <v>135.10762398154699</v>
      </c>
      <c r="U33" s="108">
        <v>43.9647340315056</v>
      </c>
      <c r="V33" s="108">
        <v>72.686560616631198</v>
      </c>
      <c r="W33" s="108">
        <v>0</v>
      </c>
      <c r="X33" s="108">
        <v>0</v>
      </c>
      <c r="Y33" s="108">
        <v>0</v>
      </c>
      <c r="Z33" s="108">
        <v>0</v>
      </c>
      <c r="AA33" s="108">
        <v>714.68635245271003</v>
      </c>
      <c r="AB33" s="108">
        <v>-204.57063560004499</v>
      </c>
      <c r="AC33" s="108">
        <v>0</v>
      </c>
      <c r="AD33" s="108">
        <v>16.4440489933957</v>
      </c>
      <c r="AE33" s="108">
        <v>0.563968620455787</v>
      </c>
      <c r="AF33" s="108">
        <v>2.4210442020111702</v>
      </c>
      <c r="AG33" s="108">
        <v>0.29235923672313802</v>
      </c>
      <c r="AH33" s="108">
        <v>9.1628881588682596</v>
      </c>
      <c r="AI33" s="108">
        <v>-17.8988715931144</v>
      </c>
      <c r="AJ33" s="108">
        <v>2.49268428499746</v>
      </c>
      <c r="AK33" s="108">
        <v>23.300309983201402</v>
      </c>
      <c r="AL33" s="108">
        <v>0</v>
      </c>
      <c r="AM33" s="108">
        <v>363.62942586464999</v>
      </c>
      <c r="AN33" s="108">
        <v>8.3520637651950302</v>
      </c>
      <c r="AO33" s="108">
        <v>5.2978458876946402</v>
      </c>
      <c r="AP33" s="108">
        <v>0</v>
      </c>
      <c r="AQ33" s="108">
        <v>-68.530255760036795</v>
      </c>
      <c r="AR33" s="109">
        <v>6.5318495046982799</v>
      </c>
    </row>
    <row r="34" spans="2:44" ht="12" customHeight="1" x14ac:dyDescent="0.25">
      <c r="B34" s="107" t="s">
        <v>42</v>
      </c>
      <c r="C34" s="108" t="s">
        <v>32</v>
      </c>
      <c r="D34" s="108" t="s">
        <v>43</v>
      </c>
      <c r="E34" s="108" t="s">
        <v>25</v>
      </c>
      <c r="F34" s="108" t="s">
        <v>25</v>
      </c>
      <c r="G34" s="108" t="s">
        <v>35</v>
      </c>
      <c r="H34" s="108" t="s">
        <v>82</v>
      </c>
      <c r="I34" s="108" t="s">
        <v>25</v>
      </c>
      <c r="J34" s="108">
        <v>513.23</v>
      </c>
      <c r="K34" s="108">
        <v>206.24</v>
      </c>
      <c r="L34" s="108">
        <v>5.8090602499789803</v>
      </c>
      <c r="M34" s="108">
        <v>0.73670599399510905</v>
      </c>
      <c r="N34" s="108">
        <v>4.2847724641606497</v>
      </c>
      <c r="O34" s="108">
        <v>0</v>
      </c>
      <c r="P34" s="108">
        <v>0</v>
      </c>
      <c r="Q34" s="108">
        <v>98.224973681048098</v>
      </c>
      <c r="R34" s="108">
        <v>14.8156364320291</v>
      </c>
      <c r="S34" s="108">
        <v>0</v>
      </c>
      <c r="T34" s="108">
        <v>67.553857348110796</v>
      </c>
      <c r="U34" s="108">
        <v>21.9823670157528</v>
      </c>
      <c r="V34" s="108">
        <v>36.343280308315599</v>
      </c>
      <c r="W34" s="108">
        <v>0</v>
      </c>
      <c r="X34" s="108">
        <v>0</v>
      </c>
      <c r="Y34" s="108">
        <v>0</v>
      </c>
      <c r="Z34" s="108">
        <v>0</v>
      </c>
      <c r="AA34" s="108">
        <v>357.34322124086901</v>
      </c>
      <c r="AB34" s="108">
        <v>-113.586283029385</v>
      </c>
      <c r="AC34" s="108">
        <v>0</v>
      </c>
      <c r="AD34" s="108">
        <v>16.4440489933957</v>
      </c>
      <c r="AE34" s="108">
        <v>0.563968620455787</v>
      </c>
      <c r="AF34" s="108">
        <v>2.4210442020111702</v>
      </c>
      <c r="AG34" s="108">
        <v>0.29235923672313802</v>
      </c>
      <c r="AH34" s="108">
        <v>9.1628881588682596</v>
      </c>
      <c r="AI34" s="108">
        <v>-17.8988715931144</v>
      </c>
      <c r="AJ34" s="108">
        <v>2.49268428499746</v>
      </c>
      <c r="AK34" s="108">
        <v>23.300309983201402</v>
      </c>
      <c r="AL34" s="108">
        <v>0</v>
      </c>
      <c r="AM34" s="108">
        <v>211.412456898052</v>
      </c>
      <c r="AN34" s="108">
        <v>8.3520637651950302</v>
      </c>
      <c r="AO34" s="108">
        <v>5.2978458876946402</v>
      </c>
      <c r="AP34" s="108">
        <v>0</v>
      </c>
      <c r="AQ34" s="108">
        <v>-42.411800497239099</v>
      </c>
      <c r="AR34" s="109">
        <v>6.5318495046982799</v>
      </c>
    </row>
    <row r="35" spans="2:44" ht="12" customHeight="1" x14ac:dyDescent="0.25">
      <c r="B35" s="107" t="s">
        <v>42</v>
      </c>
      <c r="C35" s="108" t="s">
        <v>32</v>
      </c>
      <c r="D35" s="108" t="s">
        <v>43</v>
      </c>
      <c r="E35" s="108" t="s">
        <v>25</v>
      </c>
      <c r="F35" s="108" t="s">
        <v>25</v>
      </c>
      <c r="G35" s="108" t="s">
        <v>34</v>
      </c>
      <c r="H35" s="108" t="s">
        <v>82</v>
      </c>
      <c r="I35" s="108" t="s">
        <v>25</v>
      </c>
      <c r="J35" s="108">
        <v>196.35</v>
      </c>
      <c r="K35" s="108">
        <v>206.24</v>
      </c>
      <c r="L35" s="108">
        <v>5.8090602499789803</v>
      </c>
      <c r="M35" s="108">
        <v>0.73670599399510905</v>
      </c>
      <c r="N35" s="108">
        <v>1.1928071042531601</v>
      </c>
      <c r="O35" s="108">
        <v>0</v>
      </c>
      <c r="P35" s="108">
        <v>0</v>
      </c>
      <c r="Q35" s="108">
        <v>98.224973681048098</v>
      </c>
      <c r="R35" s="108">
        <v>14.8156364320291</v>
      </c>
      <c r="S35" s="108">
        <v>0</v>
      </c>
      <c r="T35" s="108">
        <v>13.510771469622201</v>
      </c>
      <c r="U35" s="108">
        <v>4.3965123784603097</v>
      </c>
      <c r="V35" s="108">
        <v>7.2686218019715998</v>
      </c>
      <c r="W35" s="108">
        <v>0</v>
      </c>
      <c r="X35" s="108">
        <v>0</v>
      </c>
      <c r="Y35" s="108">
        <v>0</v>
      </c>
      <c r="Z35" s="108">
        <v>0</v>
      </c>
      <c r="AA35" s="108">
        <v>71.468644248173902</v>
      </c>
      <c r="AB35" s="108">
        <v>-40.798774013783401</v>
      </c>
      <c r="AC35" s="108">
        <v>0</v>
      </c>
      <c r="AD35" s="108">
        <v>16.4440489933957</v>
      </c>
      <c r="AE35" s="108">
        <v>0.563968620455787</v>
      </c>
      <c r="AF35" s="108">
        <v>2.4210442020111702</v>
      </c>
      <c r="AG35" s="108">
        <v>0.29235923672313802</v>
      </c>
      <c r="AH35" s="108">
        <v>9.1628881588682596</v>
      </c>
      <c r="AI35" s="108">
        <v>-17.8988715931144</v>
      </c>
      <c r="AJ35" s="108">
        <v>2.49268428499746</v>
      </c>
      <c r="AK35" s="108">
        <v>23.300309983201402</v>
      </c>
      <c r="AL35" s="108">
        <v>0</v>
      </c>
      <c r="AM35" s="108">
        <v>211.412456898052</v>
      </c>
      <c r="AN35" s="108">
        <v>8.3520637651950302</v>
      </c>
      <c r="AO35" s="108">
        <v>5.2978458876946402</v>
      </c>
      <c r="AP35" s="108">
        <v>0</v>
      </c>
      <c r="AQ35" s="108">
        <v>-42.411800497239099</v>
      </c>
      <c r="AR35" s="109">
        <v>6.5318495046982799</v>
      </c>
    </row>
    <row r="36" spans="2:44" ht="12" customHeight="1" x14ac:dyDescent="0.25">
      <c r="B36" s="107" t="s">
        <v>42</v>
      </c>
      <c r="C36" s="108" t="s">
        <v>32</v>
      </c>
      <c r="D36" s="108" t="s">
        <v>43</v>
      </c>
      <c r="E36" s="108" t="s">
        <v>97</v>
      </c>
      <c r="F36" s="108" t="s">
        <v>25</v>
      </c>
      <c r="G36" s="108" t="s">
        <v>33</v>
      </c>
      <c r="H36" s="108" t="s">
        <v>82</v>
      </c>
      <c r="I36" s="108" t="s">
        <v>25</v>
      </c>
      <c r="J36" s="108">
        <v>889.98</v>
      </c>
      <c r="K36" s="108">
        <v>325.27</v>
      </c>
      <c r="L36" s="108">
        <v>5.6854632233836799</v>
      </c>
      <c r="M36" s="108">
        <v>0.72103139837819197</v>
      </c>
      <c r="N36" s="108">
        <v>7.97632926073286</v>
      </c>
      <c r="O36" s="108">
        <v>0</v>
      </c>
      <c r="P36" s="108">
        <v>0</v>
      </c>
      <c r="Q36" s="108">
        <v>96.135080624004502</v>
      </c>
      <c r="R36" s="108">
        <v>14.500410124964599</v>
      </c>
      <c r="S36" s="108">
        <v>0</v>
      </c>
      <c r="T36" s="108">
        <v>132.232993684067</v>
      </c>
      <c r="U36" s="108">
        <v>43.029314158494799</v>
      </c>
      <c r="V36" s="108">
        <v>71.140038050319902</v>
      </c>
      <c r="W36" s="108">
        <v>0</v>
      </c>
      <c r="X36" s="108">
        <v>0</v>
      </c>
      <c r="Y36" s="108">
        <v>0</v>
      </c>
      <c r="Z36" s="108">
        <v>0</v>
      </c>
      <c r="AA36" s="108">
        <v>699.48025984733295</v>
      </c>
      <c r="AB36" s="108">
        <v>-200.21806888514999</v>
      </c>
      <c r="AC36" s="108">
        <v>0</v>
      </c>
      <c r="AD36" s="108">
        <v>16.0941756105575</v>
      </c>
      <c r="AE36" s="108">
        <v>0.55196928810566404</v>
      </c>
      <c r="AF36" s="108">
        <v>2.3695326232449698</v>
      </c>
      <c r="AG36" s="108">
        <v>0.28613882743115698</v>
      </c>
      <c r="AH36" s="108">
        <v>8.9679330916583009</v>
      </c>
      <c r="AI36" s="108">
        <v>-17.518044537941702</v>
      </c>
      <c r="AJ36" s="108">
        <v>2.4396484491464498</v>
      </c>
      <c r="AK36" s="108">
        <v>22.8045587069631</v>
      </c>
      <c r="AL36" s="108">
        <v>0</v>
      </c>
      <c r="AM36" s="108">
        <v>355.892629569657</v>
      </c>
      <c r="AN36" s="108">
        <v>8.1743602808291804</v>
      </c>
      <c r="AO36" s="108">
        <v>5.1851257624245397</v>
      </c>
      <c r="AP36" s="108">
        <v>0</v>
      </c>
      <c r="AQ36" s="108">
        <v>-67.072165211950903</v>
      </c>
      <c r="AR36" s="109">
        <v>6.3928739833217199</v>
      </c>
    </row>
    <row r="37" spans="2:44" ht="12" customHeight="1" x14ac:dyDescent="0.25">
      <c r="B37" s="107" t="s">
        <v>42</v>
      </c>
      <c r="C37" s="108" t="s">
        <v>32</v>
      </c>
      <c r="D37" s="108" t="s">
        <v>43</v>
      </c>
      <c r="E37" s="108" t="s">
        <v>97</v>
      </c>
      <c r="F37" s="108" t="s">
        <v>25</v>
      </c>
      <c r="G37" s="108" t="s">
        <v>35</v>
      </c>
      <c r="H37" s="108" t="s">
        <v>82</v>
      </c>
      <c r="I37" s="108" t="s">
        <v>25</v>
      </c>
      <c r="J37" s="108">
        <v>502.31</v>
      </c>
      <c r="K37" s="108">
        <v>201.85</v>
      </c>
      <c r="L37" s="108">
        <v>5.6854632233836799</v>
      </c>
      <c r="M37" s="108">
        <v>0.72103139837819197</v>
      </c>
      <c r="N37" s="108">
        <v>4.1936070925827602</v>
      </c>
      <c r="O37" s="108">
        <v>0</v>
      </c>
      <c r="P37" s="108">
        <v>0</v>
      </c>
      <c r="Q37" s="108">
        <v>96.135080624004502</v>
      </c>
      <c r="R37" s="108">
        <v>14.500410124964599</v>
      </c>
      <c r="S37" s="108">
        <v>0</v>
      </c>
      <c r="T37" s="108">
        <v>66.116541234321204</v>
      </c>
      <c r="U37" s="108">
        <v>21.514657079247399</v>
      </c>
      <c r="V37" s="108">
        <v>35.570019025160001</v>
      </c>
      <c r="W37" s="108">
        <v>0</v>
      </c>
      <c r="X37" s="108">
        <v>0</v>
      </c>
      <c r="Y37" s="108">
        <v>0</v>
      </c>
      <c r="Z37" s="108">
        <v>0</v>
      </c>
      <c r="AA37" s="108">
        <v>349.74017398042503</v>
      </c>
      <c r="AB37" s="108">
        <v>-111.169553603228</v>
      </c>
      <c r="AC37" s="108">
        <v>0</v>
      </c>
      <c r="AD37" s="108">
        <v>16.0941756105575</v>
      </c>
      <c r="AE37" s="108">
        <v>0.55196928810566404</v>
      </c>
      <c r="AF37" s="108">
        <v>2.3695326232449698</v>
      </c>
      <c r="AG37" s="108">
        <v>0.28613882743115698</v>
      </c>
      <c r="AH37" s="108">
        <v>8.9679330916583009</v>
      </c>
      <c r="AI37" s="108">
        <v>-17.518044537941702</v>
      </c>
      <c r="AJ37" s="108">
        <v>2.4396484491464498</v>
      </c>
      <c r="AK37" s="108">
        <v>22.8045587069631</v>
      </c>
      <c r="AL37" s="108">
        <v>0</v>
      </c>
      <c r="AM37" s="108">
        <v>206.914319517243</v>
      </c>
      <c r="AN37" s="108">
        <v>8.1743602808291804</v>
      </c>
      <c r="AO37" s="108">
        <v>5.1851257624245397</v>
      </c>
      <c r="AP37" s="108">
        <v>0</v>
      </c>
      <c r="AQ37" s="108">
        <v>-41.509421763255297</v>
      </c>
      <c r="AR37" s="109">
        <v>6.3928739833217199</v>
      </c>
    </row>
    <row r="38" spans="2:44" ht="12" customHeight="1" x14ac:dyDescent="0.25">
      <c r="B38" s="107" t="s">
        <v>42</v>
      </c>
      <c r="C38" s="108" t="s">
        <v>32</v>
      </c>
      <c r="D38" s="108" t="s">
        <v>43</v>
      </c>
      <c r="E38" s="108" t="s">
        <v>97</v>
      </c>
      <c r="F38" s="108" t="s">
        <v>25</v>
      </c>
      <c r="G38" s="108" t="s">
        <v>34</v>
      </c>
      <c r="H38" s="108" t="s">
        <v>82</v>
      </c>
      <c r="I38" s="108" t="s">
        <v>25</v>
      </c>
      <c r="J38" s="108">
        <v>192.17</v>
      </c>
      <c r="K38" s="108">
        <v>201.85</v>
      </c>
      <c r="L38" s="108">
        <v>5.6854632233836799</v>
      </c>
      <c r="M38" s="108">
        <v>0.72103139837819197</v>
      </c>
      <c r="N38" s="108">
        <v>1.1674282296945899</v>
      </c>
      <c r="O38" s="108">
        <v>0</v>
      </c>
      <c r="P38" s="108">
        <v>0</v>
      </c>
      <c r="Q38" s="108">
        <v>96.135080624004502</v>
      </c>
      <c r="R38" s="108">
        <v>14.500410124964599</v>
      </c>
      <c r="S38" s="108">
        <v>0</v>
      </c>
      <c r="T38" s="108">
        <v>13.2233082468642</v>
      </c>
      <c r="U38" s="108">
        <v>4.3029695618973296</v>
      </c>
      <c r="V38" s="108">
        <v>7.1139702742700797</v>
      </c>
      <c r="W38" s="108">
        <v>0</v>
      </c>
      <c r="X38" s="108">
        <v>0</v>
      </c>
      <c r="Y38" s="108">
        <v>0</v>
      </c>
      <c r="Z38" s="108">
        <v>0</v>
      </c>
      <c r="AA38" s="108">
        <v>69.948034796085096</v>
      </c>
      <c r="AB38" s="108">
        <v>-39.930714992213503</v>
      </c>
      <c r="AC38" s="108">
        <v>0</v>
      </c>
      <c r="AD38" s="108">
        <v>16.0941756105575</v>
      </c>
      <c r="AE38" s="108">
        <v>0.55196928810566404</v>
      </c>
      <c r="AF38" s="108">
        <v>2.3695326232449698</v>
      </c>
      <c r="AG38" s="108">
        <v>0.28613882743115698</v>
      </c>
      <c r="AH38" s="108">
        <v>8.9679330916583009</v>
      </c>
      <c r="AI38" s="108">
        <v>-17.518044537941702</v>
      </c>
      <c r="AJ38" s="108">
        <v>2.4396484491464498</v>
      </c>
      <c r="AK38" s="108">
        <v>22.8045587069631</v>
      </c>
      <c r="AL38" s="108">
        <v>0</v>
      </c>
      <c r="AM38" s="108">
        <v>206.914319517243</v>
      </c>
      <c r="AN38" s="108">
        <v>8.1743602808291804</v>
      </c>
      <c r="AO38" s="108">
        <v>5.1851257624245397</v>
      </c>
      <c r="AP38" s="108">
        <v>0</v>
      </c>
      <c r="AQ38" s="108">
        <v>-41.509421763255297</v>
      </c>
      <c r="AR38" s="109">
        <v>6.3928739833217199</v>
      </c>
    </row>
    <row r="39" spans="2:44" ht="12" customHeight="1" x14ac:dyDescent="0.25">
      <c r="B39" s="107" t="s">
        <v>42</v>
      </c>
      <c r="C39" s="108" t="s">
        <v>23</v>
      </c>
      <c r="D39" s="108" t="s">
        <v>43</v>
      </c>
      <c r="E39" s="108" t="s">
        <v>96</v>
      </c>
      <c r="F39" s="108" t="s">
        <v>25</v>
      </c>
      <c r="G39" s="108" t="s">
        <v>25</v>
      </c>
      <c r="H39" s="108" t="s">
        <v>82</v>
      </c>
      <c r="I39" s="108" t="s">
        <v>25</v>
      </c>
      <c r="J39" s="108">
        <v>310.35000000000002</v>
      </c>
      <c r="K39" s="108">
        <v>216.75</v>
      </c>
      <c r="L39" s="108">
        <v>5.8090602499789803</v>
      </c>
      <c r="M39" s="108">
        <v>0.73670599399510905</v>
      </c>
      <c r="N39" s="108">
        <v>2.3051604080538901</v>
      </c>
      <c r="O39" s="108">
        <v>0</v>
      </c>
      <c r="P39" s="108">
        <v>0</v>
      </c>
      <c r="Q39" s="108">
        <v>98.224973681048098</v>
      </c>
      <c r="R39" s="108">
        <v>14.8156364320291</v>
      </c>
      <c r="S39" s="108">
        <v>0</v>
      </c>
      <c r="T39" s="108">
        <v>32.9531033579729</v>
      </c>
      <c r="U39" s="108">
        <v>10.72308209591</v>
      </c>
      <c r="V39" s="108">
        <v>17.728448219740802</v>
      </c>
      <c r="W39" s="108">
        <v>0</v>
      </c>
      <c r="X39" s="108">
        <v>0</v>
      </c>
      <c r="Y39" s="108">
        <v>0</v>
      </c>
      <c r="Z39" s="108">
        <v>0</v>
      </c>
      <c r="AA39" s="108">
        <v>174.31375547981099</v>
      </c>
      <c r="AB39" s="108">
        <v>-66.984522127613204</v>
      </c>
      <c r="AC39" s="108">
        <v>0</v>
      </c>
      <c r="AD39" s="108">
        <v>16.4440489933957</v>
      </c>
      <c r="AE39" s="108">
        <v>0.563968620455787</v>
      </c>
      <c r="AF39" s="108">
        <v>2.4210442020111702</v>
      </c>
      <c r="AG39" s="108">
        <v>0.29235923672313802</v>
      </c>
      <c r="AH39" s="108">
        <v>9.1628881588682596</v>
      </c>
      <c r="AI39" s="108">
        <v>-17.8988715931144</v>
      </c>
      <c r="AJ39" s="108">
        <v>2.49268428499746</v>
      </c>
      <c r="AK39" s="108">
        <v>23.300309983201402</v>
      </c>
      <c r="AL39" s="108">
        <v>0</v>
      </c>
      <c r="AM39" s="108">
        <v>224.097204311935</v>
      </c>
      <c r="AN39" s="108">
        <v>8.3520637651950302</v>
      </c>
      <c r="AO39" s="108">
        <v>5.2978458876946402</v>
      </c>
      <c r="AP39" s="108">
        <v>0</v>
      </c>
      <c r="AQ39" s="108">
        <v>-44.588338435805603</v>
      </c>
      <c r="AR39" s="109">
        <v>6.5318495046982799</v>
      </c>
    </row>
    <row r="40" spans="2:44" ht="12" customHeight="1" x14ac:dyDescent="0.25">
      <c r="B40" s="107" t="s">
        <v>42</v>
      </c>
      <c r="C40" s="108" t="s">
        <v>23</v>
      </c>
      <c r="D40" s="108" t="s">
        <v>43</v>
      </c>
      <c r="E40" s="108" t="s">
        <v>25</v>
      </c>
      <c r="F40" s="108" t="s">
        <v>25</v>
      </c>
      <c r="G40" s="108" t="s">
        <v>25</v>
      </c>
      <c r="H40" s="108" t="s">
        <v>82</v>
      </c>
      <c r="I40" s="108" t="s">
        <v>25</v>
      </c>
      <c r="J40" s="108">
        <v>310.35000000000002</v>
      </c>
      <c r="K40" s="108">
        <v>216.75</v>
      </c>
      <c r="L40" s="108">
        <v>5.8090602499789803</v>
      </c>
      <c r="M40" s="108">
        <v>0.73670599399510905</v>
      </c>
      <c r="N40" s="108">
        <v>2.3051604080538901</v>
      </c>
      <c r="O40" s="108">
        <v>0</v>
      </c>
      <c r="P40" s="108">
        <v>0</v>
      </c>
      <c r="Q40" s="108">
        <v>98.224973681048098</v>
      </c>
      <c r="R40" s="108">
        <v>14.8156364320291</v>
      </c>
      <c r="S40" s="108">
        <v>0</v>
      </c>
      <c r="T40" s="108">
        <v>32.9531033579729</v>
      </c>
      <c r="U40" s="108">
        <v>10.72308209591</v>
      </c>
      <c r="V40" s="108">
        <v>17.728448219740802</v>
      </c>
      <c r="W40" s="108">
        <v>0</v>
      </c>
      <c r="X40" s="108">
        <v>0</v>
      </c>
      <c r="Y40" s="108">
        <v>0</v>
      </c>
      <c r="Z40" s="108">
        <v>0</v>
      </c>
      <c r="AA40" s="108">
        <v>174.31375547981099</v>
      </c>
      <c r="AB40" s="108">
        <v>-66.984522127613204</v>
      </c>
      <c r="AC40" s="108">
        <v>0</v>
      </c>
      <c r="AD40" s="108">
        <v>16.4440489933957</v>
      </c>
      <c r="AE40" s="108">
        <v>0.563968620455787</v>
      </c>
      <c r="AF40" s="108">
        <v>2.4210442020111702</v>
      </c>
      <c r="AG40" s="108">
        <v>0.29235923672313802</v>
      </c>
      <c r="AH40" s="108">
        <v>9.1628881588682596</v>
      </c>
      <c r="AI40" s="108">
        <v>-17.8988715931144</v>
      </c>
      <c r="AJ40" s="108">
        <v>2.49268428499746</v>
      </c>
      <c r="AK40" s="108">
        <v>23.300309983201402</v>
      </c>
      <c r="AL40" s="108">
        <v>0</v>
      </c>
      <c r="AM40" s="108">
        <v>224.097204311935</v>
      </c>
      <c r="AN40" s="108">
        <v>8.3520637651950302</v>
      </c>
      <c r="AO40" s="108">
        <v>5.2978458876946402</v>
      </c>
      <c r="AP40" s="108">
        <v>0</v>
      </c>
      <c r="AQ40" s="108">
        <v>-44.588338435805603</v>
      </c>
      <c r="AR40" s="109">
        <v>6.5318495046982799</v>
      </c>
    </row>
    <row r="41" spans="2:44" ht="12" customHeight="1" x14ac:dyDescent="0.25">
      <c r="B41" s="107" t="s">
        <v>42</v>
      </c>
      <c r="C41" s="108" t="s">
        <v>23</v>
      </c>
      <c r="D41" s="108" t="s">
        <v>43</v>
      </c>
      <c r="E41" s="108" t="s">
        <v>97</v>
      </c>
      <c r="F41" s="108" t="s">
        <v>25</v>
      </c>
      <c r="G41" s="108" t="s">
        <v>25</v>
      </c>
      <c r="H41" s="108" t="s">
        <v>82</v>
      </c>
      <c r="I41" s="108" t="s">
        <v>25</v>
      </c>
      <c r="J41" s="108">
        <v>303.74</v>
      </c>
      <c r="K41" s="108">
        <v>212.14</v>
      </c>
      <c r="L41" s="108">
        <v>5.6854632233836799</v>
      </c>
      <c r="M41" s="108">
        <v>0.72103139837819197</v>
      </c>
      <c r="N41" s="108">
        <v>2.2561144419250798</v>
      </c>
      <c r="O41" s="108">
        <v>0</v>
      </c>
      <c r="P41" s="108">
        <v>0</v>
      </c>
      <c r="Q41" s="108">
        <v>96.135080624004502</v>
      </c>
      <c r="R41" s="108">
        <v>14.500410124964599</v>
      </c>
      <c r="S41" s="108">
        <v>0</v>
      </c>
      <c r="T41" s="108">
        <v>32.251973499292703</v>
      </c>
      <c r="U41" s="108">
        <v>10.4949314130183</v>
      </c>
      <c r="V41" s="108">
        <v>17.351247193788801</v>
      </c>
      <c r="W41" s="108">
        <v>0</v>
      </c>
      <c r="X41" s="108">
        <v>0</v>
      </c>
      <c r="Y41" s="108">
        <v>0</v>
      </c>
      <c r="Z41" s="108">
        <v>0</v>
      </c>
      <c r="AA41" s="108">
        <v>170.60495217172999</v>
      </c>
      <c r="AB41" s="108">
        <v>-65.559319529153299</v>
      </c>
      <c r="AC41" s="108">
        <v>0</v>
      </c>
      <c r="AD41" s="108">
        <v>16.0941756105575</v>
      </c>
      <c r="AE41" s="108">
        <v>0.55196928810566404</v>
      </c>
      <c r="AF41" s="108">
        <v>2.3695326232449698</v>
      </c>
      <c r="AG41" s="108">
        <v>0.28613882743115698</v>
      </c>
      <c r="AH41" s="108">
        <v>8.9679330916583009</v>
      </c>
      <c r="AI41" s="108">
        <v>-17.518044537941702</v>
      </c>
      <c r="AJ41" s="108">
        <v>2.4396484491464498</v>
      </c>
      <c r="AK41" s="108">
        <v>22.8045587069631</v>
      </c>
      <c r="AL41" s="108">
        <v>0</v>
      </c>
      <c r="AM41" s="108">
        <v>219.32917868827701</v>
      </c>
      <c r="AN41" s="108">
        <v>8.1743602808291804</v>
      </c>
      <c r="AO41" s="108">
        <v>5.1851257624245397</v>
      </c>
      <c r="AP41" s="108">
        <v>0</v>
      </c>
      <c r="AQ41" s="108">
        <v>-43.639650383979898</v>
      </c>
      <c r="AR41" s="109">
        <v>6.3928739833217199</v>
      </c>
    </row>
    <row r="42" spans="2:44" ht="12" customHeight="1" x14ac:dyDescent="0.25">
      <c r="B42" s="107" t="s">
        <v>42</v>
      </c>
      <c r="C42" s="108" t="s">
        <v>95</v>
      </c>
      <c r="D42" s="108" t="s">
        <v>43</v>
      </c>
      <c r="E42" s="108" t="s">
        <v>96</v>
      </c>
      <c r="F42" s="108" t="s">
        <v>25</v>
      </c>
      <c r="G42" s="108" t="s">
        <v>25</v>
      </c>
      <c r="H42" s="108" t="s">
        <v>82</v>
      </c>
      <c r="I42" s="108" t="s">
        <v>25</v>
      </c>
      <c r="J42" s="108">
        <v>310.35000000000002</v>
      </c>
      <c r="K42" s="108">
        <v>216.75</v>
      </c>
      <c r="L42" s="108">
        <v>5.8090602499789803</v>
      </c>
      <c r="M42" s="108">
        <v>0.73670599399510905</v>
      </c>
      <c r="N42" s="108">
        <v>2.3051604080538901</v>
      </c>
      <c r="O42" s="108">
        <v>0</v>
      </c>
      <c r="P42" s="108">
        <v>0</v>
      </c>
      <c r="Q42" s="108">
        <v>98.224973681048098</v>
      </c>
      <c r="R42" s="108">
        <v>14.8156364320291</v>
      </c>
      <c r="S42" s="108">
        <v>0</v>
      </c>
      <c r="T42" s="108">
        <v>32.9531033579729</v>
      </c>
      <c r="U42" s="108">
        <v>10.72308209591</v>
      </c>
      <c r="V42" s="108">
        <v>17.728448219740802</v>
      </c>
      <c r="W42" s="108">
        <v>0</v>
      </c>
      <c r="X42" s="108">
        <v>0</v>
      </c>
      <c r="Y42" s="108">
        <v>0</v>
      </c>
      <c r="Z42" s="108">
        <v>0</v>
      </c>
      <c r="AA42" s="108">
        <v>174.31375547981099</v>
      </c>
      <c r="AB42" s="108">
        <v>-66.984522127613204</v>
      </c>
      <c r="AC42" s="108">
        <v>0</v>
      </c>
      <c r="AD42" s="108">
        <v>16.4440489933957</v>
      </c>
      <c r="AE42" s="108">
        <v>0.563968620455787</v>
      </c>
      <c r="AF42" s="108">
        <v>2.4210442020111702</v>
      </c>
      <c r="AG42" s="108">
        <v>0.29235923672313802</v>
      </c>
      <c r="AH42" s="108">
        <v>9.1628881588682596</v>
      </c>
      <c r="AI42" s="108">
        <v>-17.8988715931144</v>
      </c>
      <c r="AJ42" s="108">
        <v>2.49268428499746</v>
      </c>
      <c r="AK42" s="108">
        <v>23.300309983201402</v>
      </c>
      <c r="AL42" s="108">
        <v>0</v>
      </c>
      <c r="AM42" s="108">
        <v>224.097204311935</v>
      </c>
      <c r="AN42" s="108">
        <v>8.3520637651950302</v>
      </c>
      <c r="AO42" s="108">
        <v>5.2978458876946402</v>
      </c>
      <c r="AP42" s="108">
        <v>0</v>
      </c>
      <c r="AQ42" s="108">
        <v>-44.588338435805603</v>
      </c>
      <c r="AR42" s="109">
        <v>6.5318495046982799</v>
      </c>
    </row>
    <row r="43" spans="2:44" ht="12" customHeight="1" x14ac:dyDescent="0.25">
      <c r="B43" s="107" t="s">
        <v>42</v>
      </c>
      <c r="C43" s="108" t="s">
        <v>95</v>
      </c>
      <c r="D43" s="108" t="s">
        <v>43</v>
      </c>
      <c r="E43" s="108" t="s">
        <v>25</v>
      </c>
      <c r="F43" s="108" t="s">
        <v>25</v>
      </c>
      <c r="G43" s="108" t="s">
        <v>25</v>
      </c>
      <c r="H43" s="108" t="s">
        <v>82</v>
      </c>
      <c r="I43" s="108" t="s">
        <v>25</v>
      </c>
      <c r="J43" s="108">
        <v>310.35000000000002</v>
      </c>
      <c r="K43" s="108">
        <v>216.75</v>
      </c>
      <c r="L43" s="108">
        <v>5.8090602499789803</v>
      </c>
      <c r="M43" s="108">
        <v>0.73670599399510905</v>
      </c>
      <c r="N43" s="108">
        <v>2.3051604080538901</v>
      </c>
      <c r="O43" s="108">
        <v>0</v>
      </c>
      <c r="P43" s="108">
        <v>0</v>
      </c>
      <c r="Q43" s="108">
        <v>98.224973681048098</v>
      </c>
      <c r="R43" s="108">
        <v>14.8156364320291</v>
      </c>
      <c r="S43" s="108">
        <v>0</v>
      </c>
      <c r="T43" s="108">
        <v>32.9531033579729</v>
      </c>
      <c r="U43" s="108">
        <v>10.72308209591</v>
      </c>
      <c r="V43" s="108">
        <v>17.728448219740802</v>
      </c>
      <c r="W43" s="108">
        <v>0</v>
      </c>
      <c r="X43" s="108">
        <v>0</v>
      </c>
      <c r="Y43" s="108">
        <v>0</v>
      </c>
      <c r="Z43" s="108">
        <v>0</v>
      </c>
      <c r="AA43" s="108">
        <v>174.31375547981099</v>
      </c>
      <c r="AB43" s="108">
        <v>-66.984522127613204</v>
      </c>
      <c r="AC43" s="108">
        <v>0</v>
      </c>
      <c r="AD43" s="108">
        <v>16.4440489933957</v>
      </c>
      <c r="AE43" s="108">
        <v>0.563968620455787</v>
      </c>
      <c r="AF43" s="108">
        <v>2.4210442020111702</v>
      </c>
      <c r="AG43" s="108">
        <v>0.29235923672313802</v>
      </c>
      <c r="AH43" s="108">
        <v>9.1628881588682596</v>
      </c>
      <c r="AI43" s="108">
        <v>-17.8988715931144</v>
      </c>
      <c r="AJ43" s="108">
        <v>2.49268428499746</v>
      </c>
      <c r="AK43" s="108">
        <v>23.300309983201402</v>
      </c>
      <c r="AL43" s="108">
        <v>0</v>
      </c>
      <c r="AM43" s="108">
        <v>224.097204311935</v>
      </c>
      <c r="AN43" s="108">
        <v>8.3520637651950302</v>
      </c>
      <c r="AO43" s="108">
        <v>5.2978458876946402</v>
      </c>
      <c r="AP43" s="108">
        <v>0</v>
      </c>
      <c r="AQ43" s="108">
        <v>-44.588338435805603</v>
      </c>
      <c r="AR43" s="109">
        <v>6.5318495046982799</v>
      </c>
    </row>
    <row r="44" spans="2:44" ht="12" customHeight="1" x14ac:dyDescent="0.25">
      <c r="B44" s="107" t="s">
        <v>42</v>
      </c>
      <c r="C44" s="108" t="s">
        <v>95</v>
      </c>
      <c r="D44" s="108" t="s">
        <v>43</v>
      </c>
      <c r="E44" s="108" t="s">
        <v>97</v>
      </c>
      <c r="F44" s="108" t="s">
        <v>25</v>
      </c>
      <c r="G44" s="108" t="s">
        <v>25</v>
      </c>
      <c r="H44" s="108" t="s">
        <v>82</v>
      </c>
      <c r="I44" s="108" t="s">
        <v>25</v>
      </c>
      <c r="J44" s="108">
        <v>303.74</v>
      </c>
      <c r="K44" s="108">
        <v>212.14</v>
      </c>
      <c r="L44" s="108">
        <v>5.6854632233836799</v>
      </c>
      <c r="M44" s="108">
        <v>0.72103139837819197</v>
      </c>
      <c r="N44" s="108">
        <v>2.2561144419250798</v>
      </c>
      <c r="O44" s="108">
        <v>0</v>
      </c>
      <c r="P44" s="108">
        <v>0</v>
      </c>
      <c r="Q44" s="108">
        <v>96.135080624004502</v>
      </c>
      <c r="R44" s="108">
        <v>14.500410124964599</v>
      </c>
      <c r="S44" s="108">
        <v>0</v>
      </c>
      <c r="T44" s="108">
        <v>32.251973499292703</v>
      </c>
      <c r="U44" s="108">
        <v>10.4949314130183</v>
      </c>
      <c r="V44" s="108">
        <v>17.351247193788801</v>
      </c>
      <c r="W44" s="108">
        <v>0</v>
      </c>
      <c r="X44" s="108">
        <v>0</v>
      </c>
      <c r="Y44" s="108">
        <v>0</v>
      </c>
      <c r="Z44" s="108">
        <v>0</v>
      </c>
      <c r="AA44" s="108">
        <v>170.60495217172999</v>
      </c>
      <c r="AB44" s="108">
        <v>-65.559319529153299</v>
      </c>
      <c r="AC44" s="108">
        <v>0</v>
      </c>
      <c r="AD44" s="108">
        <v>16.0941756105575</v>
      </c>
      <c r="AE44" s="108">
        <v>0.55196928810566404</v>
      </c>
      <c r="AF44" s="108">
        <v>2.3695326232449698</v>
      </c>
      <c r="AG44" s="108">
        <v>0.28613882743115698</v>
      </c>
      <c r="AH44" s="108">
        <v>8.9679330916583009</v>
      </c>
      <c r="AI44" s="108">
        <v>-17.518044537941702</v>
      </c>
      <c r="AJ44" s="108">
        <v>2.4396484491464498</v>
      </c>
      <c r="AK44" s="108">
        <v>22.8045587069631</v>
      </c>
      <c r="AL44" s="108">
        <v>0</v>
      </c>
      <c r="AM44" s="108">
        <v>219.32917868827701</v>
      </c>
      <c r="AN44" s="108">
        <v>8.1743602808291804</v>
      </c>
      <c r="AO44" s="108">
        <v>5.1851257624245397</v>
      </c>
      <c r="AP44" s="108">
        <v>0</v>
      </c>
      <c r="AQ44" s="108">
        <v>-43.639650383979898</v>
      </c>
      <c r="AR44" s="109">
        <v>6.3928739833217199</v>
      </c>
    </row>
    <row r="45" spans="2:44" ht="12" customHeight="1" x14ac:dyDescent="0.25">
      <c r="B45" s="107" t="s">
        <v>36</v>
      </c>
      <c r="C45" s="108" t="s">
        <v>32</v>
      </c>
      <c r="D45" s="108" t="s">
        <v>25</v>
      </c>
      <c r="E45" s="108" t="s">
        <v>25</v>
      </c>
      <c r="F45" s="108" t="s">
        <v>25</v>
      </c>
      <c r="G45" s="108" t="s">
        <v>33</v>
      </c>
      <c r="H45" s="108" t="s">
        <v>82</v>
      </c>
      <c r="I45" s="108" t="s">
        <v>25</v>
      </c>
      <c r="J45" s="108">
        <v>1111.26</v>
      </c>
      <c r="K45" s="108">
        <v>353.55</v>
      </c>
      <c r="L45" s="108">
        <v>6.1798513297648698</v>
      </c>
      <c r="M45" s="108">
        <v>0.78372978084586098</v>
      </c>
      <c r="N45" s="108">
        <v>10.073903546646401</v>
      </c>
      <c r="O45" s="108">
        <v>0</v>
      </c>
      <c r="P45" s="108">
        <v>0</v>
      </c>
      <c r="Q45" s="108">
        <v>104.494652852179</v>
      </c>
      <c r="R45" s="108">
        <v>15.7613153532224</v>
      </c>
      <c r="S45" s="108">
        <v>0</v>
      </c>
      <c r="T45" s="108">
        <v>168.27108887928799</v>
      </c>
      <c r="U45" s="108">
        <v>54.756267551747499</v>
      </c>
      <c r="V45" s="108">
        <v>90.528136889022406</v>
      </c>
      <c r="W45" s="108">
        <v>0</v>
      </c>
      <c r="X45" s="108">
        <v>0</v>
      </c>
      <c r="Y45" s="108">
        <v>0</v>
      </c>
      <c r="Z45" s="108">
        <v>0</v>
      </c>
      <c r="AA45" s="108">
        <v>890.11279393945995</v>
      </c>
      <c r="AB45" s="108">
        <v>-250.67923605716999</v>
      </c>
      <c r="AC45" s="108">
        <v>0</v>
      </c>
      <c r="AD45" s="108">
        <v>17.493669141910399</v>
      </c>
      <c r="AE45" s="108">
        <v>0.59996661750615699</v>
      </c>
      <c r="AF45" s="108">
        <v>2.57557893830975</v>
      </c>
      <c r="AG45" s="108">
        <v>0.311020464599083</v>
      </c>
      <c r="AH45" s="108">
        <v>9.7477533604981499</v>
      </c>
      <c r="AI45" s="108">
        <v>-19.0413527586323</v>
      </c>
      <c r="AJ45" s="108">
        <v>2.6517917925504899</v>
      </c>
      <c r="AK45" s="108">
        <v>24.787563811916399</v>
      </c>
      <c r="AL45" s="108">
        <v>0</v>
      </c>
      <c r="AM45" s="108">
        <v>386.83981474962798</v>
      </c>
      <c r="AN45" s="108">
        <v>8.8851742182925797</v>
      </c>
      <c r="AO45" s="108">
        <v>5.6360062635049397</v>
      </c>
      <c r="AP45" s="108">
        <v>0</v>
      </c>
      <c r="AQ45" s="108">
        <v>-72.904527404294399</v>
      </c>
      <c r="AR45" s="109">
        <v>6.9487760688279501</v>
      </c>
    </row>
    <row r="46" spans="2:44" ht="12" customHeight="1" x14ac:dyDescent="0.25">
      <c r="B46" s="107" t="s">
        <v>36</v>
      </c>
      <c r="C46" s="108" t="s">
        <v>32</v>
      </c>
      <c r="D46" s="108" t="s">
        <v>25</v>
      </c>
      <c r="E46" s="108" t="s">
        <v>25</v>
      </c>
      <c r="F46" s="108" t="s">
        <v>25</v>
      </c>
      <c r="G46" s="108" t="s">
        <v>35</v>
      </c>
      <c r="H46" s="108" t="s">
        <v>82</v>
      </c>
      <c r="I46" s="108" t="s">
        <v>25</v>
      </c>
      <c r="J46" s="108">
        <v>420.6</v>
      </c>
      <c r="K46" s="108">
        <v>219.4</v>
      </c>
      <c r="L46" s="108">
        <v>6.1798513297648698</v>
      </c>
      <c r="M46" s="108">
        <v>0.78372978084586098</v>
      </c>
      <c r="N46" s="108">
        <v>3.3348002079024002</v>
      </c>
      <c r="O46" s="108">
        <v>0</v>
      </c>
      <c r="P46" s="108">
        <v>0</v>
      </c>
      <c r="Q46" s="108">
        <v>104.494652852179</v>
      </c>
      <c r="R46" s="108">
        <v>15.7613153532224</v>
      </c>
      <c r="S46" s="108">
        <v>0</v>
      </c>
      <c r="T46" s="108">
        <v>50.481365265775501</v>
      </c>
      <c r="U46" s="108">
        <v>16.426849168202601</v>
      </c>
      <c r="V46" s="108">
        <v>27.158459289946901</v>
      </c>
      <c r="W46" s="108">
        <v>0</v>
      </c>
      <c r="X46" s="108">
        <v>0</v>
      </c>
      <c r="Y46" s="108">
        <v>0</v>
      </c>
      <c r="Z46" s="108">
        <v>0</v>
      </c>
      <c r="AA46" s="108">
        <v>267.03385733695001</v>
      </c>
      <c r="AB46" s="108">
        <v>-92.034979471229704</v>
      </c>
      <c r="AC46" s="108">
        <v>0</v>
      </c>
      <c r="AD46" s="108">
        <v>17.493669141910399</v>
      </c>
      <c r="AE46" s="108">
        <v>0.59996661750615699</v>
      </c>
      <c r="AF46" s="108">
        <v>2.57557893830975</v>
      </c>
      <c r="AG46" s="108">
        <v>0.311020464599083</v>
      </c>
      <c r="AH46" s="108">
        <v>9.7477533604981499</v>
      </c>
      <c r="AI46" s="108">
        <v>-19.0413527586323</v>
      </c>
      <c r="AJ46" s="108">
        <v>2.6517917925504899</v>
      </c>
      <c r="AK46" s="108">
        <v>24.787563811916399</v>
      </c>
      <c r="AL46" s="108">
        <v>0</v>
      </c>
      <c r="AM46" s="108">
        <v>224.90686904048101</v>
      </c>
      <c r="AN46" s="108">
        <v>8.8851742182925797</v>
      </c>
      <c r="AO46" s="108">
        <v>5.6360062635049397</v>
      </c>
      <c r="AP46" s="108">
        <v>0</v>
      </c>
      <c r="AQ46" s="108">
        <v>-45.118936699190499</v>
      </c>
      <c r="AR46" s="109">
        <v>6.9487760688279501</v>
      </c>
    </row>
    <row r="47" spans="2:44" ht="12" customHeight="1" x14ac:dyDescent="0.25">
      <c r="B47" s="107" t="s">
        <v>36</v>
      </c>
      <c r="C47" s="108" t="s">
        <v>32</v>
      </c>
      <c r="D47" s="108" t="s">
        <v>25</v>
      </c>
      <c r="E47" s="108" t="s">
        <v>25</v>
      </c>
      <c r="F47" s="108" t="s">
        <v>25</v>
      </c>
      <c r="G47" s="108" t="s">
        <v>34</v>
      </c>
      <c r="H47" s="108" t="s">
        <v>82</v>
      </c>
      <c r="I47" s="108" t="s">
        <v>25</v>
      </c>
      <c r="J47" s="108">
        <v>223.27</v>
      </c>
      <c r="K47" s="108">
        <v>219.4</v>
      </c>
      <c r="L47" s="108">
        <v>6.1798513297648698</v>
      </c>
      <c r="M47" s="108">
        <v>0.78372978084586098</v>
      </c>
      <c r="N47" s="108">
        <v>1.4093420016106399</v>
      </c>
      <c r="O47" s="108">
        <v>0</v>
      </c>
      <c r="P47" s="108">
        <v>0</v>
      </c>
      <c r="Q47" s="108">
        <v>104.494652852179</v>
      </c>
      <c r="R47" s="108">
        <v>15.7613153532224</v>
      </c>
      <c r="S47" s="108">
        <v>0</v>
      </c>
      <c r="T47" s="108">
        <v>16.8270895869342</v>
      </c>
      <c r="U47" s="108">
        <v>5.47561638940088</v>
      </c>
      <c r="V47" s="108">
        <v>9.0528501353825792</v>
      </c>
      <c r="W47" s="108">
        <v>0</v>
      </c>
      <c r="X47" s="108">
        <v>0</v>
      </c>
      <c r="Y47" s="108">
        <v>0</v>
      </c>
      <c r="Z47" s="108">
        <v>0</v>
      </c>
      <c r="AA47" s="108">
        <v>89.011317704171006</v>
      </c>
      <c r="AB47" s="108">
        <v>-46.708046569273499</v>
      </c>
      <c r="AC47" s="108">
        <v>0</v>
      </c>
      <c r="AD47" s="108">
        <v>17.493669141910399</v>
      </c>
      <c r="AE47" s="108">
        <v>0.59996661750615699</v>
      </c>
      <c r="AF47" s="108">
        <v>2.57557893830975</v>
      </c>
      <c r="AG47" s="108">
        <v>0.311020464599083</v>
      </c>
      <c r="AH47" s="108">
        <v>9.7477533604981499</v>
      </c>
      <c r="AI47" s="108">
        <v>-19.0413527586323</v>
      </c>
      <c r="AJ47" s="108">
        <v>2.6517917925504899</v>
      </c>
      <c r="AK47" s="108">
        <v>24.787563811916399</v>
      </c>
      <c r="AL47" s="108">
        <v>0</v>
      </c>
      <c r="AM47" s="108">
        <v>224.90686904048101</v>
      </c>
      <c r="AN47" s="108">
        <v>8.8851742182925797</v>
      </c>
      <c r="AO47" s="108">
        <v>5.6360062635049397</v>
      </c>
      <c r="AP47" s="108">
        <v>0</v>
      </c>
      <c r="AQ47" s="108">
        <v>-45.118936699190499</v>
      </c>
      <c r="AR47" s="109">
        <v>6.9487760688279501</v>
      </c>
    </row>
    <row r="48" spans="2:44" ht="12" customHeight="1" x14ac:dyDescent="0.25">
      <c r="B48" s="107" t="s">
        <v>36</v>
      </c>
      <c r="C48" s="108" t="s">
        <v>23</v>
      </c>
      <c r="D48" s="108" t="s">
        <v>25</v>
      </c>
      <c r="E48" s="108" t="s">
        <v>25</v>
      </c>
      <c r="F48" s="108" t="s">
        <v>25</v>
      </c>
      <c r="G48" s="108" t="s">
        <v>25</v>
      </c>
      <c r="H48" s="108" t="s">
        <v>82</v>
      </c>
      <c r="I48" s="108" t="s">
        <v>25</v>
      </c>
      <c r="J48" s="108">
        <v>330.16</v>
      </c>
      <c r="K48" s="108">
        <v>230.58</v>
      </c>
      <c r="L48" s="108">
        <v>6.1798513297648698</v>
      </c>
      <c r="M48" s="108">
        <v>0.78372978084586098</v>
      </c>
      <c r="N48" s="108">
        <v>2.4522983064403001</v>
      </c>
      <c r="O48" s="108">
        <v>0</v>
      </c>
      <c r="P48" s="108">
        <v>0</v>
      </c>
      <c r="Q48" s="108">
        <v>104.494652852179</v>
      </c>
      <c r="R48" s="108">
        <v>15.7613153532224</v>
      </c>
      <c r="S48" s="108">
        <v>0</v>
      </c>
      <c r="T48" s="108">
        <v>35.056492934013797</v>
      </c>
      <c r="U48" s="108">
        <v>11.407534144585201</v>
      </c>
      <c r="V48" s="108">
        <v>18.860051297596598</v>
      </c>
      <c r="W48" s="108">
        <v>0</v>
      </c>
      <c r="X48" s="108">
        <v>0</v>
      </c>
      <c r="Y48" s="108">
        <v>0</v>
      </c>
      <c r="Z48" s="108">
        <v>0</v>
      </c>
      <c r="AA48" s="108">
        <v>185.440165404054</v>
      </c>
      <c r="AB48" s="108">
        <v>-71.260129922992704</v>
      </c>
      <c r="AC48" s="108">
        <v>0</v>
      </c>
      <c r="AD48" s="108">
        <v>17.493669141910399</v>
      </c>
      <c r="AE48" s="108">
        <v>0.59996661750615699</v>
      </c>
      <c r="AF48" s="108">
        <v>2.57557893830975</v>
      </c>
      <c r="AG48" s="108">
        <v>0.311020464599083</v>
      </c>
      <c r="AH48" s="108">
        <v>9.7477533604981499</v>
      </c>
      <c r="AI48" s="108">
        <v>-19.0413527586323</v>
      </c>
      <c r="AJ48" s="108">
        <v>2.6517917925504899</v>
      </c>
      <c r="AK48" s="108">
        <v>24.787563811916399</v>
      </c>
      <c r="AL48" s="108">
        <v>0</v>
      </c>
      <c r="AM48" s="108">
        <v>238.40128118291</v>
      </c>
      <c r="AN48" s="108">
        <v>8.8851742182925797</v>
      </c>
      <c r="AO48" s="108">
        <v>5.6360062635049397</v>
      </c>
      <c r="AP48" s="108">
        <v>0</v>
      </c>
      <c r="AQ48" s="108">
        <v>-47.434402591282499</v>
      </c>
      <c r="AR48" s="109">
        <v>6.9487760688279501</v>
      </c>
    </row>
    <row r="49" spans="2:44" ht="12" customHeight="1" x14ac:dyDescent="0.25">
      <c r="B49" s="107" t="s">
        <v>36</v>
      </c>
      <c r="C49" s="108" t="s">
        <v>95</v>
      </c>
      <c r="D49" s="108" t="s">
        <v>25</v>
      </c>
      <c r="E49" s="108" t="s">
        <v>25</v>
      </c>
      <c r="F49" s="108" t="s">
        <v>25</v>
      </c>
      <c r="G49" s="108" t="s">
        <v>25</v>
      </c>
      <c r="H49" s="108" t="s">
        <v>82</v>
      </c>
      <c r="I49" s="108" t="s">
        <v>25</v>
      </c>
      <c r="J49" s="108">
        <v>330.16</v>
      </c>
      <c r="K49" s="108">
        <v>230.58</v>
      </c>
      <c r="L49" s="108">
        <v>6.1798513297648698</v>
      </c>
      <c r="M49" s="108">
        <v>0.78372978084586098</v>
      </c>
      <c r="N49" s="108">
        <v>2.4522983064403001</v>
      </c>
      <c r="O49" s="108">
        <v>0</v>
      </c>
      <c r="P49" s="108">
        <v>0</v>
      </c>
      <c r="Q49" s="108">
        <v>104.494652852179</v>
      </c>
      <c r="R49" s="108">
        <v>15.7613153532224</v>
      </c>
      <c r="S49" s="108">
        <v>0</v>
      </c>
      <c r="T49" s="108">
        <v>35.056492934013797</v>
      </c>
      <c r="U49" s="108">
        <v>11.407534144585201</v>
      </c>
      <c r="V49" s="108">
        <v>18.860051297596598</v>
      </c>
      <c r="W49" s="108">
        <v>0</v>
      </c>
      <c r="X49" s="108">
        <v>0</v>
      </c>
      <c r="Y49" s="108">
        <v>0</v>
      </c>
      <c r="Z49" s="108">
        <v>0</v>
      </c>
      <c r="AA49" s="108">
        <v>185.440165404054</v>
      </c>
      <c r="AB49" s="108">
        <v>-71.260129922992704</v>
      </c>
      <c r="AC49" s="108">
        <v>0</v>
      </c>
      <c r="AD49" s="108">
        <v>17.493669141910399</v>
      </c>
      <c r="AE49" s="108">
        <v>0.59996661750615699</v>
      </c>
      <c r="AF49" s="108">
        <v>2.57557893830975</v>
      </c>
      <c r="AG49" s="108">
        <v>0.311020464599083</v>
      </c>
      <c r="AH49" s="108">
        <v>9.7477533604981499</v>
      </c>
      <c r="AI49" s="108">
        <v>-19.0413527586323</v>
      </c>
      <c r="AJ49" s="108">
        <v>2.6517917925504899</v>
      </c>
      <c r="AK49" s="108">
        <v>24.787563811916399</v>
      </c>
      <c r="AL49" s="108">
        <v>0</v>
      </c>
      <c r="AM49" s="108">
        <v>238.40128118291</v>
      </c>
      <c r="AN49" s="108">
        <v>8.8851742182925797</v>
      </c>
      <c r="AO49" s="108">
        <v>5.6360062635049397</v>
      </c>
      <c r="AP49" s="108">
        <v>0</v>
      </c>
      <c r="AQ49" s="108">
        <v>-47.434402591282499</v>
      </c>
      <c r="AR49" s="109">
        <v>6.9487760688279501</v>
      </c>
    </row>
    <row r="50" spans="2:44" ht="12" customHeight="1" x14ac:dyDescent="0.25">
      <c r="B50" s="107" t="s">
        <v>45</v>
      </c>
      <c r="C50" s="108" t="s">
        <v>23</v>
      </c>
      <c r="D50" s="108" t="s">
        <v>46</v>
      </c>
      <c r="E50" s="108" t="s">
        <v>47</v>
      </c>
      <c r="F50" s="108" t="s">
        <v>25</v>
      </c>
      <c r="G50" s="108" t="s">
        <v>25</v>
      </c>
      <c r="H50" s="108" t="s">
        <v>82</v>
      </c>
      <c r="I50" s="108" t="s">
        <v>25</v>
      </c>
      <c r="J50" s="108">
        <v>181.59</v>
      </c>
      <c r="K50" s="108">
        <v>126.82</v>
      </c>
      <c r="L50" s="108">
        <v>3.3989182313706801</v>
      </c>
      <c r="M50" s="108">
        <v>0.43105137946522298</v>
      </c>
      <c r="N50" s="108">
        <v>1.34876406854217</v>
      </c>
      <c r="O50" s="108">
        <v>0</v>
      </c>
      <c r="P50" s="108">
        <v>0</v>
      </c>
      <c r="Q50" s="108">
        <v>57.4720590686984</v>
      </c>
      <c r="R50" s="108">
        <v>8.6687234442723309</v>
      </c>
      <c r="S50" s="108">
        <v>0</v>
      </c>
      <c r="T50" s="108">
        <v>19.281071113707601</v>
      </c>
      <c r="U50" s="108">
        <v>6.2741437795218404</v>
      </c>
      <c r="V50" s="108">
        <v>10.373028213678101</v>
      </c>
      <c r="W50" s="108">
        <v>0</v>
      </c>
      <c r="X50" s="108">
        <v>0</v>
      </c>
      <c r="Y50" s="108">
        <v>0</v>
      </c>
      <c r="Z50" s="108">
        <v>0</v>
      </c>
      <c r="AA50" s="108">
        <v>101.99209097223</v>
      </c>
      <c r="AB50" s="108">
        <v>-39.193071457645999</v>
      </c>
      <c r="AC50" s="108">
        <v>0</v>
      </c>
      <c r="AD50" s="108">
        <v>9.6215180280506907</v>
      </c>
      <c r="AE50" s="108">
        <v>0.329981639628386</v>
      </c>
      <c r="AF50" s="108">
        <v>1.41656841607036</v>
      </c>
      <c r="AG50" s="108">
        <v>0.171061255529496</v>
      </c>
      <c r="AH50" s="108">
        <v>5.3612643482739797</v>
      </c>
      <c r="AI50" s="108">
        <v>-10.4727440172478</v>
      </c>
      <c r="AJ50" s="108">
        <v>1.4584854859027701</v>
      </c>
      <c r="AK50" s="108">
        <v>13.633160096554001</v>
      </c>
      <c r="AL50" s="108">
        <v>0</v>
      </c>
      <c r="AM50" s="108">
        <v>131.120704650601</v>
      </c>
      <c r="AN50" s="108">
        <v>4.8868458200609197</v>
      </c>
      <c r="AO50" s="108">
        <v>3.0998034449277201</v>
      </c>
      <c r="AP50" s="108">
        <v>0</v>
      </c>
      <c r="AQ50" s="108">
        <v>-26.088921425205399</v>
      </c>
      <c r="AR50" s="109">
        <v>3.8218268378553701</v>
      </c>
    </row>
    <row r="51" spans="2:44" ht="12" customHeight="1" x14ac:dyDescent="0.25">
      <c r="B51" s="110" t="s">
        <v>45</v>
      </c>
      <c r="C51" s="111" t="s">
        <v>23</v>
      </c>
      <c r="D51" s="111" t="s">
        <v>46</v>
      </c>
      <c r="E51" s="111" t="s">
        <v>98</v>
      </c>
      <c r="F51" s="111" t="s">
        <v>25</v>
      </c>
      <c r="G51" s="111" t="s">
        <v>25</v>
      </c>
      <c r="H51" s="111" t="s">
        <v>82</v>
      </c>
      <c r="I51" s="111" t="s">
        <v>25</v>
      </c>
      <c r="J51" s="111">
        <v>198.09</v>
      </c>
      <c r="K51" s="111">
        <v>138.35</v>
      </c>
      <c r="L51" s="111">
        <v>3.7079107978589199</v>
      </c>
      <c r="M51" s="111">
        <v>0.47023786850751598</v>
      </c>
      <c r="N51" s="111">
        <v>1.47137898386418</v>
      </c>
      <c r="O51" s="111">
        <v>0</v>
      </c>
      <c r="P51" s="111">
        <v>0</v>
      </c>
      <c r="Q51" s="111">
        <v>62.696791711307299</v>
      </c>
      <c r="R51" s="111">
        <v>9.4567892119334491</v>
      </c>
      <c r="S51" s="111">
        <v>0</v>
      </c>
      <c r="T51" s="111">
        <v>21.0338957604082</v>
      </c>
      <c r="U51" s="111">
        <v>6.8445204867511</v>
      </c>
      <c r="V51" s="111">
        <v>11.3160307785579</v>
      </c>
      <c r="W51" s="111">
        <v>0</v>
      </c>
      <c r="X51" s="111">
        <v>0</v>
      </c>
      <c r="Y51" s="111">
        <v>0</v>
      </c>
      <c r="Z51" s="111">
        <v>0</v>
      </c>
      <c r="AA51" s="111">
        <v>111.264099242432</v>
      </c>
      <c r="AB51" s="111">
        <v>-42.756077953795597</v>
      </c>
      <c r="AC51" s="111">
        <v>0</v>
      </c>
      <c r="AD51" s="111">
        <v>10.4962014851462</v>
      </c>
      <c r="AE51" s="111">
        <v>0.35997997050369401</v>
      </c>
      <c r="AF51" s="111">
        <v>1.5453473629858501</v>
      </c>
      <c r="AG51" s="111">
        <v>0.18661227875945</v>
      </c>
      <c r="AH51" s="111">
        <v>5.8486520162988898</v>
      </c>
      <c r="AI51" s="111">
        <v>-11.424811655179401</v>
      </c>
      <c r="AJ51" s="111">
        <v>1.5910750755303</v>
      </c>
      <c r="AK51" s="111">
        <v>14.8725382871498</v>
      </c>
      <c r="AL51" s="111">
        <v>0</v>
      </c>
      <c r="AM51" s="111">
        <v>143.040768709746</v>
      </c>
      <c r="AN51" s="111">
        <v>5.3311045309755496</v>
      </c>
      <c r="AO51" s="111">
        <v>3.3816037581029601</v>
      </c>
      <c r="AP51" s="111">
        <v>0</v>
      </c>
      <c r="AQ51" s="111">
        <v>-28.460641554769499</v>
      </c>
      <c r="AR51" s="112">
        <v>4.1692656412967697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2280-E332-4712-AE64-9FDCDA8D5FA6}">
  <dimension ref="B1:AR51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4" t="s">
        <v>1325</v>
      </c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5"/>
      <c r="AH1" s="154" t="s">
        <v>1326</v>
      </c>
      <c r="AI1" s="154"/>
      <c r="AJ1" s="154"/>
      <c r="AK1" s="154"/>
      <c r="AL1" s="154"/>
      <c r="AM1" s="154"/>
      <c r="AN1" s="154"/>
      <c r="AO1" s="154"/>
      <c r="AP1" s="154"/>
      <c r="AQ1" s="154"/>
      <c r="AR1" s="154"/>
    </row>
    <row r="2" spans="2:44" ht="12" customHeight="1" x14ac:dyDescent="0.25">
      <c r="L2" s="156" t="s">
        <v>563</v>
      </c>
      <c r="M2" s="156"/>
      <c r="N2" s="156"/>
      <c r="O2" s="156"/>
      <c r="P2" s="156"/>
      <c r="Q2" s="156"/>
      <c r="R2" s="156"/>
      <c r="S2" s="157"/>
      <c r="T2" s="156" t="s">
        <v>572</v>
      </c>
      <c r="U2" s="156"/>
      <c r="V2" s="156"/>
      <c r="W2" s="156"/>
      <c r="X2" s="156"/>
      <c r="Y2" s="156"/>
      <c r="Z2" s="157"/>
      <c r="AA2" s="115" t="s">
        <v>580</v>
      </c>
      <c r="AB2" s="156" t="s">
        <v>25</v>
      </c>
      <c r="AC2" s="157"/>
      <c r="AD2" s="156" t="s">
        <v>1324</v>
      </c>
      <c r="AE2" s="156"/>
      <c r="AF2" s="156"/>
      <c r="AG2" s="157"/>
      <c r="AH2" s="156" t="s">
        <v>563</v>
      </c>
      <c r="AI2" s="156"/>
      <c r="AJ2" s="156"/>
      <c r="AK2" s="156"/>
      <c r="AL2" s="157"/>
      <c r="AM2" s="115" t="s">
        <v>594</v>
      </c>
      <c r="AN2" s="156" t="s">
        <v>572</v>
      </c>
      <c r="AO2" s="156"/>
      <c r="AP2" s="156"/>
      <c r="AQ2" s="157"/>
      <c r="AR2" s="114" t="s">
        <v>1324</v>
      </c>
    </row>
    <row r="3" spans="2:44" ht="12" customHeight="1" x14ac:dyDescent="0.25">
      <c r="B3" s="104" t="s">
        <v>71</v>
      </c>
      <c r="C3" s="105" t="s">
        <v>72</v>
      </c>
      <c r="D3" s="105" t="s">
        <v>73</v>
      </c>
      <c r="E3" s="105" t="s">
        <v>74</v>
      </c>
      <c r="F3" s="105" t="s">
        <v>75</v>
      </c>
      <c r="G3" s="105" t="s">
        <v>77</v>
      </c>
      <c r="H3" s="105" t="s">
        <v>78</v>
      </c>
      <c r="I3" s="105" t="s">
        <v>805</v>
      </c>
      <c r="J3" s="105" t="s">
        <v>1288</v>
      </c>
      <c r="K3" s="105" t="s">
        <v>1289</v>
      </c>
      <c r="L3" s="105" t="s">
        <v>1290</v>
      </c>
      <c r="M3" s="105" t="s">
        <v>1291</v>
      </c>
      <c r="N3" s="105" t="s">
        <v>1292</v>
      </c>
      <c r="O3" s="105" t="s">
        <v>1293</v>
      </c>
      <c r="P3" s="105" t="s">
        <v>1294</v>
      </c>
      <c r="Q3" s="105" t="s">
        <v>1295</v>
      </c>
      <c r="R3" s="105" t="s">
        <v>1296</v>
      </c>
      <c r="S3" s="105" t="s">
        <v>1297</v>
      </c>
      <c r="T3" s="105" t="s">
        <v>1298</v>
      </c>
      <c r="U3" s="105" t="s">
        <v>1299</v>
      </c>
      <c r="V3" s="105" t="s">
        <v>1300</v>
      </c>
      <c r="W3" s="105" t="s">
        <v>1301</v>
      </c>
      <c r="X3" s="105" t="s">
        <v>1302</v>
      </c>
      <c r="Y3" s="105" t="s">
        <v>1303</v>
      </c>
      <c r="Z3" s="105" t="s">
        <v>1304</v>
      </c>
      <c r="AA3" s="105" t="s">
        <v>1305</v>
      </c>
      <c r="AB3" s="105" t="s">
        <v>1306</v>
      </c>
      <c r="AC3" s="105" t="s">
        <v>1307</v>
      </c>
      <c r="AD3" s="105" t="s">
        <v>1308</v>
      </c>
      <c r="AE3" s="105" t="s">
        <v>1309</v>
      </c>
      <c r="AF3" s="105" t="s">
        <v>1310</v>
      </c>
      <c r="AG3" s="105" t="s">
        <v>1311</v>
      </c>
      <c r="AH3" s="105" t="s">
        <v>1312</v>
      </c>
      <c r="AI3" s="105" t="s">
        <v>1313</v>
      </c>
      <c r="AJ3" s="105" t="s">
        <v>1314</v>
      </c>
      <c r="AK3" s="105" t="s">
        <v>1315</v>
      </c>
      <c r="AL3" s="105" t="s">
        <v>1316</v>
      </c>
      <c r="AM3" s="105" t="s">
        <v>1317</v>
      </c>
      <c r="AN3" s="105" t="s">
        <v>1318</v>
      </c>
      <c r="AO3" s="105" t="s">
        <v>1319</v>
      </c>
      <c r="AP3" s="105" t="s">
        <v>1320</v>
      </c>
      <c r="AQ3" s="105" t="s">
        <v>1321</v>
      </c>
      <c r="AR3" s="106" t="s">
        <v>1322</v>
      </c>
    </row>
    <row r="4" spans="2:44" ht="12" customHeight="1" x14ac:dyDescent="0.25">
      <c r="B4" s="107" t="s">
        <v>62</v>
      </c>
      <c r="C4" s="108" t="s">
        <v>59</v>
      </c>
      <c r="D4" s="108" t="s">
        <v>25</v>
      </c>
      <c r="E4" s="108" t="s">
        <v>25</v>
      </c>
      <c r="F4" s="108" t="s">
        <v>25</v>
      </c>
      <c r="G4" s="108" t="s">
        <v>25</v>
      </c>
      <c r="H4" s="108" t="s">
        <v>80</v>
      </c>
      <c r="I4" s="108" t="s">
        <v>25</v>
      </c>
      <c r="J4" s="108">
        <v>14.58</v>
      </c>
      <c r="K4" s="108">
        <v>0</v>
      </c>
      <c r="L4" s="108">
        <v>0</v>
      </c>
      <c r="M4" s="108">
        <v>5.5154064912952501E-2</v>
      </c>
      <c r="N4" s="108">
        <v>0.14567424152151301</v>
      </c>
      <c r="O4" s="108">
        <v>0</v>
      </c>
      <c r="P4" s="108">
        <v>0</v>
      </c>
      <c r="Q4" s="108">
        <v>0</v>
      </c>
      <c r="R4" s="108">
        <v>0</v>
      </c>
      <c r="S4" s="108">
        <v>0</v>
      </c>
      <c r="T4" s="108">
        <v>0</v>
      </c>
      <c r="U4" s="108">
        <v>0</v>
      </c>
      <c r="V4" s="108">
        <v>0</v>
      </c>
      <c r="W4" s="108">
        <v>0</v>
      </c>
      <c r="X4" s="108">
        <v>0</v>
      </c>
      <c r="Y4" s="108">
        <v>0</v>
      </c>
      <c r="Z4" s="108">
        <v>0</v>
      </c>
      <c r="AA4" s="108">
        <v>14.3822316268568</v>
      </c>
      <c r="AB4" s="108">
        <v>0</v>
      </c>
      <c r="AC4" s="108">
        <v>0</v>
      </c>
      <c r="AD4" s="108">
        <v>0</v>
      </c>
      <c r="AE4" s="108">
        <v>0</v>
      </c>
      <c r="AF4" s="108">
        <v>0</v>
      </c>
      <c r="AG4" s="108">
        <v>0</v>
      </c>
      <c r="AH4" s="108">
        <v>0</v>
      </c>
      <c r="AI4" s="108">
        <v>0</v>
      </c>
      <c r="AJ4" s="108">
        <v>0</v>
      </c>
      <c r="AK4" s="108">
        <v>0</v>
      </c>
      <c r="AL4" s="108">
        <v>0</v>
      </c>
      <c r="AM4" s="108">
        <v>0</v>
      </c>
      <c r="AN4" s="108">
        <v>0</v>
      </c>
      <c r="AO4" s="108">
        <v>0</v>
      </c>
      <c r="AP4" s="108">
        <v>0</v>
      </c>
      <c r="AQ4" s="108">
        <v>0</v>
      </c>
      <c r="AR4" s="109">
        <v>0</v>
      </c>
    </row>
    <row r="5" spans="2:44" ht="12" customHeight="1" x14ac:dyDescent="0.25">
      <c r="B5" s="107" t="s">
        <v>38</v>
      </c>
      <c r="C5" s="108" t="s">
        <v>39</v>
      </c>
      <c r="D5" s="108" t="s">
        <v>25</v>
      </c>
      <c r="E5" s="108" t="s">
        <v>25</v>
      </c>
      <c r="F5" s="108" t="s">
        <v>89</v>
      </c>
      <c r="G5" s="108" t="s">
        <v>33</v>
      </c>
      <c r="H5" s="108" t="s">
        <v>82</v>
      </c>
      <c r="I5" s="108" t="s">
        <v>25</v>
      </c>
      <c r="J5" s="108">
        <v>9.9600000000000009</v>
      </c>
      <c r="K5" s="108">
        <v>0</v>
      </c>
      <c r="L5" s="108">
        <v>0</v>
      </c>
      <c r="M5" s="108">
        <v>0.45109681574577698</v>
      </c>
      <c r="N5" s="108">
        <v>0.211147572470164</v>
      </c>
      <c r="O5" s="108">
        <v>0</v>
      </c>
      <c r="P5" s="108">
        <v>0</v>
      </c>
      <c r="Q5" s="108">
        <v>0</v>
      </c>
      <c r="R5" s="108">
        <v>0</v>
      </c>
      <c r="S5" s="108">
        <v>0</v>
      </c>
      <c r="T5" s="108">
        <v>0</v>
      </c>
      <c r="U5" s="108">
        <v>0</v>
      </c>
      <c r="V5" s="108">
        <v>0</v>
      </c>
      <c r="W5" s="108">
        <v>0</v>
      </c>
      <c r="X5" s="108">
        <v>0</v>
      </c>
      <c r="Y5" s="108">
        <v>0</v>
      </c>
      <c r="Z5" s="108">
        <v>0</v>
      </c>
      <c r="AA5" s="108">
        <v>0</v>
      </c>
      <c r="AB5" s="108">
        <v>0</v>
      </c>
      <c r="AC5" s="108">
        <v>0</v>
      </c>
      <c r="AD5" s="108">
        <v>7.0603545747090104</v>
      </c>
      <c r="AE5" s="108">
        <v>0.24214343018720799</v>
      </c>
      <c r="AF5" s="108">
        <v>1.7770834342561801</v>
      </c>
      <c r="AG5" s="108">
        <v>0.21942206476922901</v>
      </c>
      <c r="AH5" s="108">
        <v>0</v>
      </c>
      <c r="AI5" s="108">
        <v>0</v>
      </c>
      <c r="AJ5" s="108">
        <v>0</v>
      </c>
      <c r="AK5" s="108">
        <v>0</v>
      </c>
      <c r="AL5" s="108">
        <v>0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9">
        <v>0</v>
      </c>
    </row>
    <row r="6" spans="2:44" ht="12" customHeight="1" x14ac:dyDescent="0.25">
      <c r="B6" s="107" t="s">
        <v>38</v>
      </c>
      <c r="C6" s="108" t="s">
        <v>39</v>
      </c>
      <c r="D6" s="108" t="s">
        <v>25</v>
      </c>
      <c r="E6" s="108" t="s">
        <v>25</v>
      </c>
      <c r="F6" s="108" t="s">
        <v>89</v>
      </c>
      <c r="G6" s="108" t="s">
        <v>33</v>
      </c>
      <c r="H6" s="108" t="s">
        <v>80</v>
      </c>
      <c r="I6" s="108" t="s">
        <v>25</v>
      </c>
      <c r="J6" s="108">
        <v>49.29</v>
      </c>
      <c r="K6" s="108">
        <v>0</v>
      </c>
      <c r="L6" s="108">
        <v>0</v>
      </c>
      <c r="M6" s="108">
        <v>0</v>
      </c>
      <c r="N6" s="108">
        <v>0</v>
      </c>
      <c r="O6" s="108">
        <v>0</v>
      </c>
      <c r="P6" s="108">
        <v>0</v>
      </c>
      <c r="Q6" s="108">
        <v>0</v>
      </c>
      <c r="R6" s="108">
        <v>0</v>
      </c>
      <c r="S6" s="108">
        <v>0</v>
      </c>
      <c r="T6" s="108">
        <v>8.4822650688357495</v>
      </c>
      <c r="U6" s="108">
        <v>2.6469615379917699</v>
      </c>
      <c r="V6" s="108">
        <v>5.1081740948367997</v>
      </c>
      <c r="W6" s="108">
        <v>0</v>
      </c>
      <c r="X6" s="108">
        <v>0</v>
      </c>
      <c r="Y6" s="108">
        <v>0</v>
      </c>
      <c r="Z6" s="108">
        <v>0</v>
      </c>
      <c r="AA6" s="108">
        <v>33.054320223636402</v>
      </c>
      <c r="AB6" s="108">
        <v>0</v>
      </c>
      <c r="AC6" s="108">
        <v>0</v>
      </c>
      <c r="AD6" s="108">
        <v>0</v>
      </c>
      <c r="AE6" s="108">
        <v>0</v>
      </c>
      <c r="AF6" s="108">
        <v>0</v>
      </c>
      <c r="AG6" s="108">
        <v>0</v>
      </c>
      <c r="AH6" s="108">
        <v>0</v>
      </c>
      <c r="AI6" s="108">
        <v>0</v>
      </c>
      <c r="AJ6" s="108">
        <v>0</v>
      </c>
      <c r="AK6" s="108">
        <v>0</v>
      </c>
      <c r="AL6" s="108">
        <v>0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9">
        <v>0</v>
      </c>
    </row>
    <row r="7" spans="2:44" ht="12" customHeight="1" x14ac:dyDescent="0.25">
      <c r="B7" s="107" t="s">
        <v>38</v>
      </c>
      <c r="C7" s="108" t="s">
        <v>39</v>
      </c>
      <c r="D7" s="108" t="s">
        <v>25</v>
      </c>
      <c r="E7" s="108" t="s">
        <v>25</v>
      </c>
      <c r="F7" s="108" t="s">
        <v>89</v>
      </c>
      <c r="G7" s="108" t="s">
        <v>34</v>
      </c>
      <c r="H7" s="108" t="s">
        <v>82</v>
      </c>
      <c r="I7" s="108" t="s">
        <v>25</v>
      </c>
      <c r="J7" s="108">
        <v>9.9600000000000009</v>
      </c>
      <c r="K7" s="108">
        <v>0</v>
      </c>
      <c r="L7" s="108">
        <v>0</v>
      </c>
      <c r="M7" s="108">
        <v>0.45109681574577698</v>
      </c>
      <c r="N7" s="108">
        <v>0.211147572470164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7.0603545747090104</v>
      </c>
      <c r="AE7" s="108">
        <v>0.24214343018720799</v>
      </c>
      <c r="AF7" s="108">
        <v>1.7770834342561801</v>
      </c>
      <c r="AG7" s="108">
        <v>0.21942206476922901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0</v>
      </c>
      <c r="AN7" s="108">
        <v>0</v>
      </c>
      <c r="AO7" s="108">
        <v>0</v>
      </c>
      <c r="AP7" s="108">
        <v>0</v>
      </c>
      <c r="AQ7" s="108">
        <v>0</v>
      </c>
      <c r="AR7" s="109">
        <v>0</v>
      </c>
    </row>
    <row r="8" spans="2:44" ht="12" customHeight="1" x14ac:dyDescent="0.25">
      <c r="B8" s="107" t="s">
        <v>38</v>
      </c>
      <c r="C8" s="108" t="s">
        <v>39</v>
      </c>
      <c r="D8" s="108" t="s">
        <v>25</v>
      </c>
      <c r="E8" s="108" t="s">
        <v>25</v>
      </c>
      <c r="F8" s="108" t="s">
        <v>89</v>
      </c>
      <c r="G8" s="108" t="s">
        <v>34</v>
      </c>
      <c r="H8" s="108" t="s">
        <v>80</v>
      </c>
      <c r="I8" s="108" t="s">
        <v>25</v>
      </c>
      <c r="J8" s="108">
        <v>18.47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5.61575460010478</v>
      </c>
      <c r="U8" s="108">
        <v>1.64018382923386</v>
      </c>
      <c r="V8" s="108">
        <v>2.98240190900251</v>
      </c>
      <c r="W8" s="108">
        <v>0</v>
      </c>
      <c r="X8" s="108">
        <v>0</v>
      </c>
      <c r="Y8" s="108">
        <v>0</v>
      </c>
      <c r="Z8" s="108">
        <v>0</v>
      </c>
      <c r="AA8" s="108">
        <v>8.2300435598144297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8">
        <v>0</v>
      </c>
      <c r="AP8" s="108">
        <v>0</v>
      </c>
      <c r="AQ8" s="108">
        <v>0</v>
      </c>
      <c r="AR8" s="109">
        <v>0</v>
      </c>
    </row>
    <row r="9" spans="2:44" ht="12" customHeight="1" x14ac:dyDescent="0.25">
      <c r="B9" s="107" t="s">
        <v>38</v>
      </c>
      <c r="C9" s="108" t="s">
        <v>39</v>
      </c>
      <c r="D9" s="108" t="s">
        <v>25</v>
      </c>
      <c r="E9" s="108" t="s">
        <v>25</v>
      </c>
      <c r="F9" s="108" t="s">
        <v>25</v>
      </c>
      <c r="G9" s="108" t="s">
        <v>33</v>
      </c>
      <c r="H9" s="108" t="s">
        <v>82</v>
      </c>
      <c r="I9" s="108" t="s">
        <v>25</v>
      </c>
      <c r="J9" s="108">
        <v>103.06</v>
      </c>
      <c r="K9" s="108">
        <v>390.36</v>
      </c>
      <c r="L9" s="108">
        <v>5.2051620225604003</v>
      </c>
      <c r="M9" s="108">
        <v>0.45109681574577698</v>
      </c>
      <c r="N9" s="108">
        <v>0.220165859692662</v>
      </c>
      <c r="O9" s="108">
        <v>0</v>
      </c>
      <c r="P9" s="108">
        <v>0</v>
      </c>
      <c r="Q9" s="108">
        <v>74.002178293378407</v>
      </c>
      <c r="R9" s="108">
        <v>13.8822817177261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7.0603545747090104</v>
      </c>
      <c r="AE9" s="108">
        <v>0.24214343018720799</v>
      </c>
      <c r="AF9" s="108">
        <v>1.7770834342561801</v>
      </c>
      <c r="AG9" s="108">
        <v>0.21942206476922901</v>
      </c>
      <c r="AH9" s="108">
        <v>8.9718368848644001</v>
      </c>
      <c r="AI9" s="108">
        <v>-19.0413527586323</v>
      </c>
      <c r="AJ9" s="108">
        <v>2.6517917925199601</v>
      </c>
      <c r="AK9" s="108">
        <v>24.6920641334642</v>
      </c>
      <c r="AL9" s="108">
        <v>0</v>
      </c>
      <c r="AM9" s="108">
        <v>355.41012100279301</v>
      </c>
      <c r="AN9" s="108">
        <v>6.6437072712967096</v>
      </c>
      <c r="AO9" s="108">
        <v>4.6506776076920797</v>
      </c>
      <c r="AP9" s="108">
        <v>0</v>
      </c>
      <c r="AQ9" s="108">
        <v>0</v>
      </c>
      <c r="AR9" s="109">
        <v>6.3842067162654503</v>
      </c>
    </row>
    <row r="10" spans="2:44" ht="12" customHeight="1" x14ac:dyDescent="0.25">
      <c r="B10" s="107" t="s">
        <v>38</v>
      </c>
      <c r="C10" s="108" t="s">
        <v>39</v>
      </c>
      <c r="D10" s="108" t="s">
        <v>25</v>
      </c>
      <c r="E10" s="108" t="s">
        <v>25</v>
      </c>
      <c r="F10" s="108" t="s">
        <v>25</v>
      </c>
      <c r="G10" s="108" t="s">
        <v>33</v>
      </c>
      <c r="H10" s="108" t="s">
        <v>80</v>
      </c>
      <c r="I10" s="108" t="s">
        <v>25</v>
      </c>
      <c r="J10" s="108">
        <v>49.29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8.4822650688357495</v>
      </c>
      <c r="U10" s="108">
        <v>2.6469615379917699</v>
      </c>
      <c r="V10" s="108">
        <v>5.1081740948367997</v>
      </c>
      <c r="W10" s="108">
        <v>0</v>
      </c>
      <c r="X10" s="108">
        <v>0</v>
      </c>
      <c r="Y10" s="108">
        <v>0</v>
      </c>
      <c r="Z10" s="108">
        <v>0</v>
      </c>
      <c r="AA10" s="108">
        <v>33.054320223636402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0</v>
      </c>
      <c r="AO10" s="108">
        <v>0</v>
      </c>
      <c r="AP10" s="108">
        <v>0</v>
      </c>
      <c r="AQ10" s="108">
        <v>0</v>
      </c>
      <c r="AR10" s="109">
        <v>0</v>
      </c>
    </row>
    <row r="11" spans="2:44" ht="12" customHeight="1" x14ac:dyDescent="0.25">
      <c r="B11" s="107" t="s">
        <v>38</v>
      </c>
      <c r="C11" s="108" t="s">
        <v>39</v>
      </c>
      <c r="D11" s="108" t="s">
        <v>25</v>
      </c>
      <c r="E11" s="108" t="s">
        <v>25</v>
      </c>
      <c r="F11" s="108" t="s">
        <v>25</v>
      </c>
      <c r="G11" s="108" t="s">
        <v>34</v>
      </c>
      <c r="H11" s="108" t="s">
        <v>82</v>
      </c>
      <c r="I11" s="108" t="s">
        <v>25</v>
      </c>
      <c r="J11" s="108">
        <v>103.06</v>
      </c>
      <c r="K11" s="108">
        <v>241.59</v>
      </c>
      <c r="L11" s="108">
        <v>5.2051620225604003</v>
      </c>
      <c r="M11" s="108">
        <v>0.45109681574577698</v>
      </c>
      <c r="N11" s="108">
        <v>0.220165859692662</v>
      </c>
      <c r="O11" s="108">
        <v>0</v>
      </c>
      <c r="P11" s="108">
        <v>0</v>
      </c>
      <c r="Q11" s="108">
        <v>74.002178293378407</v>
      </c>
      <c r="R11" s="108">
        <v>13.8822817177261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7.0603545747090104</v>
      </c>
      <c r="AE11" s="108">
        <v>0.24214343018720799</v>
      </c>
      <c r="AF11" s="108">
        <v>1.7770834342561801</v>
      </c>
      <c r="AG11" s="108">
        <v>0.21942206476922901</v>
      </c>
      <c r="AH11" s="108">
        <v>8.9718368848644001</v>
      </c>
      <c r="AI11" s="108">
        <v>-19.0413527586323</v>
      </c>
      <c r="AJ11" s="108">
        <v>2.6517917925199601</v>
      </c>
      <c r="AK11" s="108">
        <v>24.6920641334642</v>
      </c>
      <c r="AL11" s="108">
        <v>0</v>
      </c>
      <c r="AM11" s="108">
        <v>206.633791280694</v>
      </c>
      <c r="AN11" s="108">
        <v>6.6437072712967096</v>
      </c>
      <c r="AO11" s="108">
        <v>4.6506776076920797</v>
      </c>
      <c r="AP11" s="108">
        <v>0</v>
      </c>
      <c r="AQ11" s="108">
        <v>0</v>
      </c>
      <c r="AR11" s="109">
        <v>6.3842067162654503</v>
      </c>
    </row>
    <row r="12" spans="2:44" ht="12" customHeight="1" x14ac:dyDescent="0.25">
      <c r="B12" s="107" t="s">
        <v>38</v>
      </c>
      <c r="C12" s="108" t="s">
        <v>39</v>
      </c>
      <c r="D12" s="108" t="s">
        <v>25</v>
      </c>
      <c r="E12" s="108" t="s">
        <v>25</v>
      </c>
      <c r="F12" s="108" t="s">
        <v>25</v>
      </c>
      <c r="G12" s="108" t="s">
        <v>34</v>
      </c>
      <c r="H12" s="108" t="s">
        <v>80</v>
      </c>
      <c r="I12" s="108" t="s">
        <v>25</v>
      </c>
      <c r="J12" s="108">
        <v>18.47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5.61575460010478</v>
      </c>
      <c r="U12" s="108">
        <v>1.64018382923386</v>
      </c>
      <c r="V12" s="108">
        <v>2.98240190900251</v>
      </c>
      <c r="W12" s="108">
        <v>0</v>
      </c>
      <c r="X12" s="108">
        <v>0</v>
      </c>
      <c r="Y12" s="108">
        <v>0</v>
      </c>
      <c r="Z12" s="108">
        <v>0</v>
      </c>
      <c r="AA12" s="108">
        <v>8.2300435598144297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</v>
      </c>
      <c r="AO12" s="108">
        <v>0</v>
      </c>
      <c r="AP12" s="108">
        <v>0</v>
      </c>
      <c r="AQ12" s="108">
        <v>0</v>
      </c>
      <c r="AR12" s="109">
        <v>0</v>
      </c>
    </row>
    <row r="13" spans="2:44" ht="12" customHeight="1" x14ac:dyDescent="0.25">
      <c r="B13" s="107" t="s">
        <v>38</v>
      </c>
      <c r="C13" s="108" t="s">
        <v>23</v>
      </c>
      <c r="D13" s="108" t="s">
        <v>25</v>
      </c>
      <c r="E13" s="108" t="s">
        <v>25</v>
      </c>
      <c r="F13" s="108" t="s">
        <v>25</v>
      </c>
      <c r="G13" s="108" t="s">
        <v>25</v>
      </c>
      <c r="H13" s="108" t="s">
        <v>82</v>
      </c>
      <c r="I13" s="108" t="s">
        <v>25</v>
      </c>
      <c r="J13" s="108">
        <v>0</v>
      </c>
      <c r="K13" s="108">
        <v>253.98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8.9718368848644001</v>
      </c>
      <c r="AI13" s="108">
        <v>-19.0413527586323</v>
      </c>
      <c r="AJ13" s="108">
        <v>2.6517917925199601</v>
      </c>
      <c r="AK13" s="108">
        <v>24.6920641334642</v>
      </c>
      <c r="AL13" s="108">
        <v>0</v>
      </c>
      <c r="AM13" s="108">
        <v>219.03181875753501</v>
      </c>
      <c r="AN13" s="108">
        <v>6.6437072712967096</v>
      </c>
      <c r="AO13" s="108">
        <v>4.6506776076920797</v>
      </c>
      <c r="AP13" s="108">
        <v>0</v>
      </c>
      <c r="AQ13" s="108">
        <v>0</v>
      </c>
      <c r="AR13" s="109">
        <v>6.3842067162654503</v>
      </c>
    </row>
    <row r="14" spans="2:44" ht="12" customHeight="1" x14ac:dyDescent="0.25">
      <c r="B14" s="107" t="s">
        <v>38</v>
      </c>
      <c r="C14" s="108" t="s">
        <v>59</v>
      </c>
      <c r="D14" s="108" t="s">
        <v>25</v>
      </c>
      <c r="E14" s="108" t="s">
        <v>25</v>
      </c>
      <c r="F14" s="108" t="s">
        <v>25</v>
      </c>
      <c r="G14" s="108" t="s">
        <v>25</v>
      </c>
      <c r="H14" s="108" t="s">
        <v>80</v>
      </c>
      <c r="I14" s="108" t="s">
        <v>25</v>
      </c>
      <c r="J14" s="108">
        <v>6.77</v>
      </c>
      <c r="K14" s="108">
        <v>0</v>
      </c>
      <c r="L14" s="108">
        <v>0</v>
      </c>
      <c r="M14" s="108">
        <v>2.14342680595777E-2</v>
      </c>
      <c r="N14" s="108">
        <v>4.8518385257042197E-2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6.6998252089655201</v>
      </c>
      <c r="AB14" s="108">
        <v>0</v>
      </c>
      <c r="AC14" s="108">
        <v>0</v>
      </c>
      <c r="AD14" s="108">
        <v>6.1204122616292901E-4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9">
        <v>0</v>
      </c>
    </row>
    <row r="15" spans="2:44" ht="12" customHeight="1" x14ac:dyDescent="0.25">
      <c r="B15" s="107" t="s">
        <v>38</v>
      </c>
      <c r="C15" s="108" t="s">
        <v>40</v>
      </c>
      <c r="D15" s="108" t="s">
        <v>25</v>
      </c>
      <c r="E15" s="108" t="s">
        <v>25</v>
      </c>
      <c r="F15" s="108" t="s">
        <v>89</v>
      </c>
      <c r="G15" s="108" t="s">
        <v>33</v>
      </c>
      <c r="H15" s="108" t="s">
        <v>82</v>
      </c>
      <c r="I15" s="108" t="s">
        <v>25</v>
      </c>
      <c r="J15" s="108">
        <v>1204.93</v>
      </c>
      <c r="K15" s="108">
        <v>0</v>
      </c>
      <c r="L15" s="108">
        <v>0</v>
      </c>
      <c r="M15" s="108">
        <v>0.45109681574577698</v>
      </c>
      <c r="N15" s="108">
        <v>9.7111772691350193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203.99936930976801</v>
      </c>
      <c r="U15" s="108">
        <v>63.659524407172199</v>
      </c>
      <c r="V15" s="108">
        <v>122.85155382952</v>
      </c>
      <c r="W15" s="108">
        <v>0</v>
      </c>
      <c r="X15" s="108">
        <v>0</v>
      </c>
      <c r="Y15" s="108">
        <v>0</v>
      </c>
      <c r="Z15" s="108">
        <v>0</v>
      </c>
      <c r="AA15" s="108">
        <v>794.95762243631395</v>
      </c>
      <c r="AB15" s="108">
        <v>0</v>
      </c>
      <c r="AC15" s="108">
        <v>0</v>
      </c>
      <c r="AD15" s="108">
        <v>7.0603545747090104</v>
      </c>
      <c r="AE15" s="108">
        <v>0.24214343018720799</v>
      </c>
      <c r="AF15" s="108">
        <v>1.7770834342561801</v>
      </c>
      <c r="AG15" s="108">
        <v>0.21942206476922901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8">
        <v>0</v>
      </c>
      <c r="AP15" s="108">
        <v>0</v>
      </c>
      <c r="AQ15" s="108">
        <v>0</v>
      </c>
      <c r="AR15" s="109">
        <v>0</v>
      </c>
    </row>
    <row r="16" spans="2:44" ht="12" customHeight="1" x14ac:dyDescent="0.25">
      <c r="B16" s="107" t="s">
        <v>38</v>
      </c>
      <c r="C16" s="108" t="s">
        <v>40</v>
      </c>
      <c r="D16" s="108" t="s">
        <v>25</v>
      </c>
      <c r="E16" s="108" t="s">
        <v>25</v>
      </c>
      <c r="F16" s="108" t="s">
        <v>89</v>
      </c>
      <c r="G16" s="108" t="s">
        <v>25</v>
      </c>
      <c r="H16" s="108" t="s">
        <v>80</v>
      </c>
      <c r="I16" s="108" t="s">
        <v>25</v>
      </c>
      <c r="J16" s="108">
        <v>18.47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5.61575460010478</v>
      </c>
      <c r="U16" s="108">
        <v>1.64018382923386</v>
      </c>
      <c r="V16" s="108">
        <v>2.98240190900251</v>
      </c>
      <c r="W16" s="108">
        <v>0</v>
      </c>
      <c r="X16" s="108">
        <v>0</v>
      </c>
      <c r="Y16" s="108">
        <v>0</v>
      </c>
      <c r="Z16" s="108">
        <v>0</v>
      </c>
      <c r="AA16" s="108">
        <v>8.2300435598144297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8">
        <v>0</v>
      </c>
      <c r="AP16" s="108">
        <v>0</v>
      </c>
      <c r="AQ16" s="108">
        <v>0</v>
      </c>
      <c r="AR16" s="109">
        <v>0</v>
      </c>
    </row>
    <row r="17" spans="2:44" ht="12" customHeight="1" x14ac:dyDescent="0.25">
      <c r="B17" s="107" t="s">
        <v>38</v>
      </c>
      <c r="C17" s="108" t="s">
        <v>40</v>
      </c>
      <c r="D17" s="108" t="s">
        <v>25</v>
      </c>
      <c r="E17" s="108" t="s">
        <v>25</v>
      </c>
      <c r="F17" s="108" t="s">
        <v>89</v>
      </c>
      <c r="G17" s="108" t="s">
        <v>34</v>
      </c>
      <c r="H17" s="108" t="s">
        <v>82</v>
      </c>
      <c r="I17" s="108" t="s">
        <v>25</v>
      </c>
      <c r="J17" s="108">
        <v>9.9600000000000009</v>
      </c>
      <c r="K17" s="108">
        <v>0</v>
      </c>
      <c r="L17" s="108">
        <v>0</v>
      </c>
      <c r="M17" s="108">
        <v>0.45109681574577698</v>
      </c>
      <c r="N17" s="108">
        <v>0.211147572470164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7.0603545747090104</v>
      </c>
      <c r="AE17" s="108">
        <v>0.24214343018720799</v>
      </c>
      <c r="AF17" s="108">
        <v>1.7770834342561801</v>
      </c>
      <c r="AG17" s="108">
        <v>0.21942206476922901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8">
        <v>0</v>
      </c>
      <c r="AP17" s="108">
        <v>0</v>
      </c>
      <c r="AQ17" s="108">
        <v>0</v>
      </c>
      <c r="AR17" s="109">
        <v>0</v>
      </c>
    </row>
    <row r="18" spans="2:44" ht="12" customHeight="1" x14ac:dyDescent="0.25">
      <c r="B18" s="107" t="s">
        <v>38</v>
      </c>
      <c r="C18" s="108" t="s">
        <v>40</v>
      </c>
      <c r="D18" s="108" t="s">
        <v>25</v>
      </c>
      <c r="E18" s="108" t="s">
        <v>25</v>
      </c>
      <c r="F18" s="108" t="s">
        <v>25</v>
      </c>
      <c r="G18" s="108" t="s">
        <v>33</v>
      </c>
      <c r="H18" s="108" t="s">
        <v>82</v>
      </c>
      <c r="I18" s="108" t="s">
        <v>25</v>
      </c>
      <c r="J18" s="108">
        <v>1298.03</v>
      </c>
      <c r="K18" s="108">
        <v>390.36</v>
      </c>
      <c r="L18" s="108">
        <v>5.2051620225604003</v>
      </c>
      <c r="M18" s="108">
        <v>0.45109681574577698</v>
      </c>
      <c r="N18" s="108">
        <v>9.7201955563575204</v>
      </c>
      <c r="O18" s="108">
        <v>0</v>
      </c>
      <c r="P18" s="108">
        <v>0</v>
      </c>
      <c r="Q18" s="108">
        <v>74.002178293378407</v>
      </c>
      <c r="R18" s="108">
        <v>13.8822817177261</v>
      </c>
      <c r="S18" s="108">
        <v>0</v>
      </c>
      <c r="T18" s="108">
        <v>203.99936930976801</v>
      </c>
      <c r="U18" s="108">
        <v>63.659524407172199</v>
      </c>
      <c r="V18" s="108">
        <v>122.85155382952</v>
      </c>
      <c r="W18" s="108">
        <v>0</v>
      </c>
      <c r="X18" s="108">
        <v>0</v>
      </c>
      <c r="Y18" s="108">
        <v>0</v>
      </c>
      <c r="Z18" s="108">
        <v>0</v>
      </c>
      <c r="AA18" s="108">
        <v>794.95762243631395</v>
      </c>
      <c r="AB18" s="108">
        <v>0</v>
      </c>
      <c r="AC18" s="108">
        <v>0</v>
      </c>
      <c r="AD18" s="108">
        <v>7.0603545747090104</v>
      </c>
      <c r="AE18" s="108">
        <v>0.24214343018720799</v>
      </c>
      <c r="AF18" s="108">
        <v>1.7770834342561801</v>
      </c>
      <c r="AG18" s="108">
        <v>0.21942206476922901</v>
      </c>
      <c r="AH18" s="108">
        <v>8.9718368848644001</v>
      </c>
      <c r="AI18" s="108">
        <v>-19.0413527586323</v>
      </c>
      <c r="AJ18" s="108">
        <v>2.6517917925199601</v>
      </c>
      <c r="AK18" s="108">
        <v>24.6920641334642</v>
      </c>
      <c r="AL18" s="108">
        <v>0</v>
      </c>
      <c r="AM18" s="108">
        <v>355.41012100279301</v>
      </c>
      <c r="AN18" s="108">
        <v>6.6437072712967096</v>
      </c>
      <c r="AO18" s="108">
        <v>4.6506776076920797</v>
      </c>
      <c r="AP18" s="108">
        <v>0</v>
      </c>
      <c r="AQ18" s="108">
        <v>0</v>
      </c>
      <c r="AR18" s="109">
        <v>6.3842067162654503</v>
      </c>
    </row>
    <row r="19" spans="2:44" ht="12" customHeight="1" x14ac:dyDescent="0.25">
      <c r="B19" s="107" t="s">
        <v>38</v>
      </c>
      <c r="C19" s="108" t="s">
        <v>40</v>
      </c>
      <c r="D19" s="108" t="s">
        <v>25</v>
      </c>
      <c r="E19" s="108" t="s">
        <v>25</v>
      </c>
      <c r="F19" s="108" t="s">
        <v>25</v>
      </c>
      <c r="G19" s="108" t="s">
        <v>25</v>
      </c>
      <c r="H19" s="108" t="s">
        <v>80</v>
      </c>
      <c r="I19" s="108" t="s">
        <v>25</v>
      </c>
      <c r="J19" s="108">
        <v>18.47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5.61575460010478</v>
      </c>
      <c r="U19" s="108">
        <v>1.64018382923386</v>
      </c>
      <c r="V19" s="108">
        <v>2.98240190900251</v>
      </c>
      <c r="W19" s="108">
        <v>0</v>
      </c>
      <c r="X19" s="108">
        <v>0</v>
      </c>
      <c r="Y19" s="108">
        <v>0</v>
      </c>
      <c r="Z19" s="108">
        <v>0</v>
      </c>
      <c r="AA19" s="108">
        <v>8.2300435598144297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  <c r="AO19" s="108">
        <v>0</v>
      </c>
      <c r="AP19" s="108">
        <v>0</v>
      </c>
      <c r="AQ19" s="108">
        <v>0</v>
      </c>
      <c r="AR19" s="109">
        <v>0</v>
      </c>
    </row>
    <row r="20" spans="2:44" ht="12" customHeight="1" x14ac:dyDescent="0.25">
      <c r="B20" s="107" t="s">
        <v>38</v>
      </c>
      <c r="C20" s="108" t="s">
        <v>40</v>
      </c>
      <c r="D20" s="108" t="s">
        <v>25</v>
      </c>
      <c r="E20" s="108" t="s">
        <v>25</v>
      </c>
      <c r="F20" s="108" t="s">
        <v>25</v>
      </c>
      <c r="G20" s="108" t="s">
        <v>34</v>
      </c>
      <c r="H20" s="108" t="s">
        <v>82</v>
      </c>
      <c r="I20" s="108" t="s">
        <v>25</v>
      </c>
      <c r="J20" s="108">
        <v>103.06</v>
      </c>
      <c r="K20" s="108">
        <v>241.59</v>
      </c>
      <c r="L20" s="108">
        <v>5.2051620225604003</v>
      </c>
      <c r="M20" s="108">
        <v>0.45109681574577698</v>
      </c>
      <c r="N20" s="108">
        <v>0.220165859692662</v>
      </c>
      <c r="O20" s="108">
        <v>0</v>
      </c>
      <c r="P20" s="108">
        <v>0</v>
      </c>
      <c r="Q20" s="108">
        <v>74.002178293378407</v>
      </c>
      <c r="R20" s="108">
        <v>13.8822817177261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7.0603545747090104</v>
      </c>
      <c r="AE20" s="108">
        <v>0.24214343018720799</v>
      </c>
      <c r="AF20" s="108">
        <v>1.7770834342561801</v>
      </c>
      <c r="AG20" s="108">
        <v>0.21942206476922901</v>
      </c>
      <c r="AH20" s="108">
        <v>8.9718368848644001</v>
      </c>
      <c r="AI20" s="108">
        <v>-19.0413527586323</v>
      </c>
      <c r="AJ20" s="108">
        <v>2.6517917925199601</v>
      </c>
      <c r="AK20" s="108">
        <v>24.6920641334642</v>
      </c>
      <c r="AL20" s="108">
        <v>0</v>
      </c>
      <c r="AM20" s="108">
        <v>206.633791280694</v>
      </c>
      <c r="AN20" s="108">
        <v>6.6437072712967096</v>
      </c>
      <c r="AO20" s="108">
        <v>4.6506776076920797</v>
      </c>
      <c r="AP20" s="108">
        <v>0</v>
      </c>
      <c r="AQ20" s="108">
        <v>0</v>
      </c>
      <c r="AR20" s="109">
        <v>6.3842067162654503</v>
      </c>
    </row>
    <row r="21" spans="2:44" ht="12" customHeight="1" x14ac:dyDescent="0.25">
      <c r="B21" s="107" t="s">
        <v>90</v>
      </c>
      <c r="C21" s="108" t="s">
        <v>59</v>
      </c>
      <c r="D21" s="108" t="s">
        <v>25</v>
      </c>
      <c r="E21" s="108" t="s">
        <v>25</v>
      </c>
      <c r="F21" s="108" t="s">
        <v>91</v>
      </c>
      <c r="G21" s="108" t="s">
        <v>25</v>
      </c>
      <c r="H21" s="108" t="s">
        <v>80</v>
      </c>
      <c r="I21" s="108" t="s">
        <v>25</v>
      </c>
      <c r="J21" s="108">
        <v>3.65</v>
      </c>
      <c r="K21" s="108">
        <v>0</v>
      </c>
      <c r="L21" s="108">
        <v>0</v>
      </c>
      <c r="M21" s="108">
        <v>1.2720336652179301E-2</v>
      </c>
      <c r="N21" s="108">
        <v>2.87683362397704E-2</v>
      </c>
      <c r="O21" s="108">
        <v>0</v>
      </c>
      <c r="P21" s="108">
        <v>0</v>
      </c>
      <c r="Q21" s="108">
        <v>0</v>
      </c>
      <c r="R21" s="108">
        <v>0</v>
      </c>
      <c r="S21" s="108">
        <v>0</v>
      </c>
      <c r="T21" s="108">
        <v>0</v>
      </c>
      <c r="U21" s="108">
        <v>0</v>
      </c>
      <c r="V21" s="108">
        <v>0</v>
      </c>
      <c r="W21" s="108">
        <v>0</v>
      </c>
      <c r="X21" s="108">
        <v>0</v>
      </c>
      <c r="Y21" s="108">
        <v>0</v>
      </c>
      <c r="Z21" s="108">
        <v>0</v>
      </c>
      <c r="AA21" s="108">
        <v>3.6113780079046598</v>
      </c>
      <c r="AB21" s="108">
        <v>0</v>
      </c>
      <c r="AC21" s="108">
        <v>0</v>
      </c>
      <c r="AD21" s="108">
        <v>0</v>
      </c>
      <c r="AE21" s="108">
        <v>0</v>
      </c>
      <c r="AF21" s="108">
        <v>0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9">
        <v>0</v>
      </c>
    </row>
    <row r="22" spans="2:44" ht="12" customHeight="1" x14ac:dyDescent="0.25">
      <c r="B22" s="107" t="s">
        <v>90</v>
      </c>
      <c r="C22" s="108" t="s">
        <v>59</v>
      </c>
      <c r="D22" s="108" t="s">
        <v>25</v>
      </c>
      <c r="E22" s="108" t="s">
        <v>25</v>
      </c>
      <c r="F22" s="108" t="s">
        <v>92</v>
      </c>
      <c r="G22" s="108" t="s">
        <v>25</v>
      </c>
      <c r="H22" s="108" t="s">
        <v>80</v>
      </c>
      <c r="I22" s="108" t="s">
        <v>25</v>
      </c>
      <c r="J22" s="108">
        <v>11.18</v>
      </c>
      <c r="K22" s="108">
        <v>0</v>
      </c>
      <c r="L22" s="108">
        <v>0</v>
      </c>
      <c r="M22" s="108">
        <v>1.2720336652179301E-2</v>
      </c>
      <c r="N22" s="108">
        <v>2.87683362397704E-2</v>
      </c>
      <c r="O22" s="108">
        <v>0</v>
      </c>
      <c r="P22" s="108">
        <v>0</v>
      </c>
      <c r="Q22" s="108">
        <v>0</v>
      </c>
      <c r="R22" s="108">
        <v>0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11.141954191085899</v>
      </c>
      <c r="AB22" s="108">
        <v>0</v>
      </c>
      <c r="AC22" s="108">
        <v>0</v>
      </c>
      <c r="AD22" s="108">
        <v>0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8">
        <v>0</v>
      </c>
      <c r="AP22" s="108">
        <v>0</v>
      </c>
      <c r="AQ22" s="108">
        <v>0</v>
      </c>
      <c r="AR22" s="109">
        <v>0</v>
      </c>
    </row>
    <row r="23" spans="2:44" ht="12" customHeight="1" x14ac:dyDescent="0.25">
      <c r="B23" s="107" t="s">
        <v>22</v>
      </c>
      <c r="C23" s="108" t="s">
        <v>32</v>
      </c>
      <c r="D23" s="108" t="s">
        <v>24</v>
      </c>
      <c r="E23" s="108" t="s">
        <v>24</v>
      </c>
      <c r="F23" s="108" t="s">
        <v>25</v>
      </c>
      <c r="G23" s="108" t="s">
        <v>33</v>
      </c>
      <c r="H23" s="108" t="s">
        <v>82</v>
      </c>
      <c r="I23" s="108" t="s">
        <v>25</v>
      </c>
      <c r="J23" s="108">
        <v>1038.8699999999999</v>
      </c>
      <c r="K23" s="108">
        <v>390.36</v>
      </c>
      <c r="L23" s="108">
        <v>6.1966214554290504</v>
      </c>
      <c r="M23" s="108">
        <v>0.83983679075731998</v>
      </c>
      <c r="N23" s="108">
        <v>7.6670805970547802</v>
      </c>
      <c r="O23" s="108">
        <v>0</v>
      </c>
      <c r="P23" s="108">
        <v>0</v>
      </c>
      <c r="Q23" s="108">
        <v>88.097831301640994</v>
      </c>
      <c r="R23" s="108">
        <v>13.8822817177261</v>
      </c>
      <c r="S23" s="108">
        <v>0</v>
      </c>
      <c r="T23" s="108">
        <v>122.740770561926</v>
      </c>
      <c r="U23" s="108">
        <v>37.1995029096339</v>
      </c>
      <c r="V23" s="108">
        <v>69.991814461219207</v>
      </c>
      <c r="W23" s="108">
        <v>0</v>
      </c>
      <c r="X23" s="108">
        <v>0</v>
      </c>
      <c r="Y23" s="108">
        <v>0</v>
      </c>
      <c r="Z23" s="108">
        <v>0</v>
      </c>
      <c r="AA23" s="108">
        <v>672.97402178290804</v>
      </c>
      <c r="AB23" s="108">
        <v>0</v>
      </c>
      <c r="AC23" s="108">
        <v>0</v>
      </c>
      <c r="AD23" s="108">
        <v>16.072355609345099</v>
      </c>
      <c r="AE23" s="108">
        <v>0.55122094467838101</v>
      </c>
      <c r="AF23" s="108">
        <v>2.36632008189068</v>
      </c>
      <c r="AG23" s="108">
        <v>0.29217696156774497</v>
      </c>
      <c r="AH23" s="108">
        <v>8.9718368848644001</v>
      </c>
      <c r="AI23" s="108">
        <v>-19.0413527586323</v>
      </c>
      <c r="AJ23" s="108">
        <v>2.6517917925199601</v>
      </c>
      <c r="AK23" s="108">
        <v>24.6920641334642</v>
      </c>
      <c r="AL23" s="108">
        <v>0</v>
      </c>
      <c r="AM23" s="108">
        <v>355.41012100279301</v>
      </c>
      <c r="AN23" s="108">
        <v>6.6437072712967096</v>
      </c>
      <c r="AO23" s="108">
        <v>4.6506776076920797</v>
      </c>
      <c r="AP23" s="108">
        <v>0</v>
      </c>
      <c r="AQ23" s="108">
        <v>0</v>
      </c>
      <c r="AR23" s="109">
        <v>6.3842067162654503</v>
      </c>
    </row>
    <row r="24" spans="2:44" ht="12" customHeight="1" x14ac:dyDescent="0.25">
      <c r="B24" s="107" t="s">
        <v>22</v>
      </c>
      <c r="C24" s="108" t="s">
        <v>32</v>
      </c>
      <c r="D24" s="108" t="s">
        <v>24</v>
      </c>
      <c r="E24" s="108" t="s">
        <v>24</v>
      </c>
      <c r="F24" s="108" t="s">
        <v>25</v>
      </c>
      <c r="G24" s="108" t="s">
        <v>35</v>
      </c>
      <c r="H24" s="108" t="s">
        <v>82</v>
      </c>
      <c r="I24" s="108" t="s">
        <v>25</v>
      </c>
      <c r="J24" s="108">
        <v>583.80999999999995</v>
      </c>
      <c r="K24" s="108">
        <v>241.59</v>
      </c>
      <c r="L24" s="108">
        <v>6.1966214554290504</v>
      </c>
      <c r="M24" s="108">
        <v>0.83983679075731998</v>
      </c>
      <c r="N24" s="108">
        <v>4.0568469393958004</v>
      </c>
      <c r="O24" s="108">
        <v>0</v>
      </c>
      <c r="P24" s="108">
        <v>0</v>
      </c>
      <c r="Q24" s="108">
        <v>88.097831301640994</v>
      </c>
      <c r="R24" s="108">
        <v>13.8822817177261</v>
      </c>
      <c r="S24" s="108">
        <v>0</v>
      </c>
      <c r="T24" s="108">
        <v>61.370338352344199</v>
      </c>
      <c r="U24" s="108">
        <v>18.599798402427901</v>
      </c>
      <c r="V24" s="108">
        <v>34.995954194958401</v>
      </c>
      <c r="W24" s="108">
        <v>0</v>
      </c>
      <c r="X24" s="108">
        <v>0</v>
      </c>
      <c r="Y24" s="108">
        <v>0</v>
      </c>
      <c r="Z24" s="108">
        <v>0</v>
      </c>
      <c r="AA24" s="108">
        <v>336.48701089145402</v>
      </c>
      <c r="AB24" s="108">
        <v>0</v>
      </c>
      <c r="AC24" s="108">
        <v>0</v>
      </c>
      <c r="AD24" s="108">
        <v>16.072355609345099</v>
      </c>
      <c r="AE24" s="108">
        <v>0.55122094467838101</v>
      </c>
      <c r="AF24" s="108">
        <v>2.36632008189068</v>
      </c>
      <c r="AG24" s="108">
        <v>0.29217696156774497</v>
      </c>
      <c r="AH24" s="108">
        <v>8.9718368848644001</v>
      </c>
      <c r="AI24" s="108">
        <v>-19.0413527586323</v>
      </c>
      <c r="AJ24" s="108">
        <v>2.6517917925199601</v>
      </c>
      <c r="AK24" s="108">
        <v>24.6920641334642</v>
      </c>
      <c r="AL24" s="108">
        <v>0</v>
      </c>
      <c r="AM24" s="108">
        <v>206.633791280694</v>
      </c>
      <c r="AN24" s="108">
        <v>6.6437072712967096</v>
      </c>
      <c r="AO24" s="108">
        <v>4.6506776076920797</v>
      </c>
      <c r="AP24" s="108">
        <v>0</v>
      </c>
      <c r="AQ24" s="108">
        <v>0</v>
      </c>
      <c r="AR24" s="109">
        <v>6.3842067162654503</v>
      </c>
    </row>
    <row r="25" spans="2:44" ht="12" customHeight="1" x14ac:dyDescent="0.25">
      <c r="B25" s="107" t="s">
        <v>22</v>
      </c>
      <c r="C25" s="108" t="s">
        <v>32</v>
      </c>
      <c r="D25" s="108" t="s">
        <v>24</v>
      </c>
      <c r="E25" s="108" t="s">
        <v>24</v>
      </c>
      <c r="F25" s="108" t="s">
        <v>25</v>
      </c>
      <c r="G25" s="108" t="s">
        <v>34</v>
      </c>
      <c r="H25" s="108" t="s">
        <v>82</v>
      </c>
      <c r="I25" s="108" t="s">
        <v>25</v>
      </c>
      <c r="J25" s="108">
        <v>219.76</v>
      </c>
      <c r="K25" s="108">
        <v>241.59</v>
      </c>
      <c r="L25" s="108">
        <v>6.1966214554290504</v>
      </c>
      <c r="M25" s="108">
        <v>0.83983679075731998</v>
      </c>
      <c r="N25" s="108">
        <v>1.1686592467142001</v>
      </c>
      <c r="O25" s="108">
        <v>0</v>
      </c>
      <c r="P25" s="108">
        <v>0</v>
      </c>
      <c r="Q25" s="108">
        <v>88.097831301640994</v>
      </c>
      <c r="R25" s="108">
        <v>13.8822817177261</v>
      </c>
      <c r="S25" s="108">
        <v>0</v>
      </c>
      <c r="T25" s="108">
        <v>12.274086441916401</v>
      </c>
      <c r="U25" s="108">
        <v>3.7199409014412002</v>
      </c>
      <c r="V25" s="108">
        <v>6.9991908389916899</v>
      </c>
      <c r="W25" s="108">
        <v>0</v>
      </c>
      <c r="X25" s="108">
        <v>0</v>
      </c>
      <c r="Y25" s="108">
        <v>0</v>
      </c>
      <c r="Z25" s="108">
        <v>0</v>
      </c>
      <c r="AA25" s="108">
        <v>67.297382868538605</v>
      </c>
      <c r="AB25" s="108">
        <v>0</v>
      </c>
      <c r="AC25" s="108">
        <v>0</v>
      </c>
      <c r="AD25" s="108">
        <v>16.072355609345099</v>
      </c>
      <c r="AE25" s="108">
        <v>0.55122094467838101</v>
      </c>
      <c r="AF25" s="108">
        <v>2.36632008189068</v>
      </c>
      <c r="AG25" s="108">
        <v>0.29217696156774497</v>
      </c>
      <c r="AH25" s="108">
        <v>8.9718368848644001</v>
      </c>
      <c r="AI25" s="108">
        <v>-19.0413527586323</v>
      </c>
      <c r="AJ25" s="108">
        <v>2.6517917925199601</v>
      </c>
      <c r="AK25" s="108">
        <v>24.6920641334642</v>
      </c>
      <c r="AL25" s="108">
        <v>0</v>
      </c>
      <c r="AM25" s="108">
        <v>206.633791280694</v>
      </c>
      <c r="AN25" s="108">
        <v>6.6437072712967096</v>
      </c>
      <c r="AO25" s="108">
        <v>4.6506776076920797</v>
      </c>
      <c r="AP25" s="108">
        <v>0</v>
      </c>
      <c r="AQ25" s="108">
        <v>0</v>
      </c>
      <c r="AR25" s="109">
        <v>6.3842067162654503</v>
      </c>
    </row>
    <row r="26" spans="2:44" ht="12" customHeight="1" x14ac:dyDescent="0.25">
      <c r="B26" s="107" t="s">
        <v>22</v>
      </c>
      <c r="C26" s="108" t="s">
        <v>23</v>
      </c>
      <c r="D26" s="108" t="s">
        <v>24</v>
      </c>
      <c r="E26" s="108" t="s">
        <v>1323</v>
      </c>
      <c r="F26" s="108" t="s">
        <v>25</v>
      </c>
      <c r="G26" s="108" t="s">
        <v>25</v>
      </c>
      <c r="H26" s="108" t="s">
        <v>82</v>
      </c>
      <c r="I26" s="108" t="s">
        <v>25</v>
      </c>
      <c r="J26" s="108">
        <v>273.37</v>
      </c>
      <c r="K26" s="108">
        <v>253.98</v>
      </c>
      <c r="L26" s="108">
        <v>0</v>
      </c>
      <c r="M26" s="108">
        <v>0.83983679075731998</v>
      </c>
      <c r="N26" s="108">
        <v>2.4432800191895701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34.094674132297001</v>
      </c>
      <c r="U26" s="108">
        <v>10.333169170670001</v>
      </c>
      <c r="V26" s="108">
        <v>19.4422072114989</v>
      </c>
      <c r="W26" s="108">
        <v>0</v>
      </c>
      <c r="X26" s="108">
        <v>0</v>
      </c>
      <c r="Y26" s="108">
        <v>0</v>
      </c>
      <c r="Z26" s="108">
        <v>0</v>
      </c>
      <c r="AA26" s="108">
        <v>186.93722827303</v>
      </c>
      <c r="AB26" s="108">
        <v>0</v>
      </c>
      <c r="AC26" s="108">
        <v>0</v>
      </c>
      <c r="AD26" s="108">
        <v>16.072355609345099</v>
      </c>
      <c r="AE26" s="108">
        <v>0.55122094467838101</v>
      </c>
      <c r="AF26" s="108">
        <v>2.36632008189068</v>
      </c>
      <c r="AG26" s="108">
        <v>0.29217696156774497</v>
      </c>
      <c r="AH26" s="108">
        <v>8.9718368848644001</v>
      </c>
      <c r="AI26" s="108">
        <v>-19.0413527586323</v>
      </c>
      <c r="AJ26" s="108">
        <v>2.6517917925199601</v>
      </c>
      <c r="AK26" s="108">
        <v>24.6920641334642</v>
      </c>
      <c r="AL26" s="108">
        <v>0</v>
      </c>
      <c r="AM26" s="108">
        <v>219.03181875753501</v>
      </c>
      <c r="AN26" s="108">
        <v>6.6437072712967096</v>
      </c>
      <c r="AO26" s="108">
        <v>4.6506776076920797</v>
      </c>
      <c r="AP26" s="108">
        <v>0</v>
      </c>
      <c r="AQ26" s="108">
        <v>0</v>
      </c>
      <c r="AR26" s="109">
        <v>6.3842067162654503</v>
      </c>
    </row>
    <row r="27" spans="2:44" ht="12" customHeight="1" x14ac:dyDescent="0.25">
      <c r="B27" s="107" t="s">
        <v>22</v>
      </c>
      <c r="C27" s="108" t="s">
        <v>23</v>
      </c>
      <c r="D27" s="108" t="s">
        <v>24</v>
      </c>
      <c r="E27" s="108" t="s">
        <v>24</v>
      </c>
      <c r="F27" s="108" t="s">
        <v>25</v>
      </c>
      <c r="G27" s="108" t="s">
        <v>25</v>
      </c>
      <c r="H27" s="108" t="s">
        <v>82</v>
      </c>
      <c r="I27" s="108" t="s">
        <v>25</v>
      </c>
      <c r="J27" s="108">
        <v>381.56</v>
      </c>
      <c r="K27" s="108">
        <v>253.98</v>
      </c>
      <c r="L27" s="108">
        <v>6.1966214554290504</v>
      </c>
      <c r="M27" s="108">
        <v>0.83983679075731998</v>
      </c>
      <c r="N27" s="108">
        <v>2.45229830641206</v>
      </c>
      <c r="O27" s="108">
        <v>0</v>
      </c>
      <c r="P27" s="108">
        <v>0</v>
      </c>
      <c r="Q27" s="108">
        <v>88.097831301640994</v>
      </c>
      <c r="R27" s="108">
        <v>13.8822817177261</v>
      </c>
      <c r="S27" s="108">
        <v>0</v>
      </c>
      <c r="T27" s="108">
        <v>34.094674132297001</v>
      </c>
      <c r="U27" s="108">
        <v>10.333169170670001</v>
      </c>
      <c r="V27" s="108">
        <v>19.4422072114989</v>
      </c>
      <c r="W27" s="108">
        <v>0</v>
      </c>
      <c r="X27" s="108">
        <v>0</v>
      </c>
      <c r="Y27" s="108">
        <v>0</v>
      </c>
      <c r="Z27" s="108">
        <v>0</v>
      </c>
      <c r="AA27" s="108">
        <v>186.93722827303</v>
      </c>
      <c r="AB27" s="108">
        <v>0</v>
      </c>
      <c r="AC27" s="108">
        <v>0</v>
      </c>
      <c r="AD27" s="108">
        <v>16.072355609345099</v>
      </c>
      <c r="AE27" s="108">
        <v>0.55122094467838101</v>
      </c>
      <c r="AF27" s="108">
        <v>2.36632008189068</v>
      </c>
      <c r="AG27" s="108">
        <v>0.29217696156774497</v>
      </c>
      <c r="AH27" s="108">
        <v>8.9718368848644001</v>
      </c>
      <c r="AI27" s="108">
        <v>-19.0413527586323</v>
      </c>
      <c r="AJ27" s="108">
        <v>2.6517917925199601</v>
      </c>
      <c r="AK27" s="108">
        <v>24.6920641334642</v>
      </c>
      <c r="AL27" s="108">
        <v>0</v>
      </c>
      <c r="AM27" s="108">
        <v>219.03181875753501</v>
      </c>
      <c r="AN27" s="108">
        <v>6.6437072712967096</v>
      </c>
      <c r="AO27" s="108">
        <v>4.6506776076920797</v>
      </c>
      <c r="AP27" s="108">
        <v>0</v>
      </c>
      <c r="AQ27" s="108">
        <v>0</v>
      </c>
      <c r="AR27" s="109">
        <v>6.3842067162654503</v>
      </c>
    </row>
    <row r="28" spans="2:44" ht="12" customHeight="1" x14ac:dyDescent="0.25">
      <c r="B28" s="107" t="s">
        <v>22</v>
      </c>
      <c r="C28" s="108" t="s">
        <v>95</v>
      </c>
      <c r="D28" s="108" t="s">
        <v>24</v>
      </c>
      <c r="E28" s="108" t="s">
        <v>1323</v>
      </c>
      <c r="F28" s="108" t="s">
        <v>25</v>
      </c>
      <c r="G28" s="108" t="s">
        <v>25</v>
      </c>
      <c r="H28" s="108" t="s">
        <v>82</v>
      </c>
      <c r="I28" s="108" t="s">
        <v>25</v>
      </c>
      <c r="J28" s="108">
        <v>273.37</v>
      </c>
      <c r="K28" s="108">
        <v>253.98</v>
      </c>
      <c r="L28" s="108">
        <v>0</v>
      </c>
      <c r="M28" s="108">
        <v>0.83983679075731998</v>
      </c>
      <c r="N28" s="108">
        <v>2.4432800191895701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34.094674132297001</v>
      </c>
      <c r="U28" s="108">
        <v>10.333169170670001</v>
      </c>
      <c r="V28" s="108">
        <v>19.4422072114989</v>
      </c>
      <c r="W28" s="108">
        <v>0</v>
      </c>
      <c r="X28" s="108">
        <v>0</v>
      </c>
      <c r="Y28" s="108">
        <v>0</v>
      </c>
      <c r="Z28" s="108">
        <v>0</v>
      </c>
      <c r="AA28" s="108">
        <v>186.93722827303</v>
      </c>
      <c r="AB28" s="108">
        <v>0</v>
      </c>
      <c r="AC28" s="108">
        <v>0</v>
      </c>
      <c r="AD28" s="108">
        <v>16.072355609345099</v>
      </c>
      <c r="AE28" s="108">
        <v>0.55122094467838101</v>
      </c>
      <c r="AF28" s="108">
        <v>2.36632008189068</v>
      </c>
      <c r="AG28" s="108">
        <v>0.29217696156774497</v>
      </c>
      <c r="AH28" s="108">
        <v>8.9718368848644001</v>
      </c>
      <c r="AI28" s="108">
        <v>-19.0413527586323</v>
      </c>
      <c r="AJ28" s="108">
        <v>2.6517917925199601</v>
      </c>
      <c r="AK28" s="108">
        <v>24.6920641334642</v>
      </c>
      <c r="AL28" s="108">
        <v>0</v>
      </c>
      <c r="AM28" s="108">
        <v>219.03181875753501</v>
      </c>
      <c r="AN28" s="108">
        <v>6.6437072712967096</v>
      </c>
      <c r="AO28" s="108">
        <v>4.6506776076920797</v>
      </c>
      <c r="AP28" s="108">
        <v>0</v>
      </c>
      <c r="AQ28" s="108">
        <v>0</v>
      </c>
      <c r="AR28" s="109">
        <v>6.3842067162654503</v>
      </c>
    </row>
    <row r="29" spans="2:44" ht="12" customHeight="1" x14ac:dyDescent="0.25">
      <c r="B29" s="107" t="s">
        <v>22</v>
      </c>
      <c r="C29" s="108" t="s">
        <v>95</v>
      </c>
      <c r="D29" s="108" t="s">
        <v>24</v>
      </c>
      <c r="E29" s="108" t="s">
        <v>24</v>
      </c>
      <c r="F29" s="108" t="s">
        <v>25</v>
      </c>
      <c r="G29" s="108" t="s">
        <v>25</v>
      </c>
      <c r="H29" s="108" t="s">
        <v>82</v>
      </c>
      <c r="I29" s="108" t="s">
        <v>25</v>
      </c>
      <c r="J29" s="108">
        <v>381.56</v>
      </c>
      <c r="K29" s="108">
        <v>253.98</v>
      </c>
      <c r="L29" s="108">
        <v>6.1966214554290504</v>
      </c>
      <c r="M29" s="108">
        <v>0.83983679075731998</v>
      </c>
      <c r="N29" s="108">
        <v>2.45229830641206</v>
      </c>
      <c r="O29" s="108">
        <v>0</v>
      </c>
      <c r="P29" s="108">
        <v>0</v>
      </c>
      <c r="Q29" s="108">
        <v>88.097831301640994</v>
      </c>
      <c r="R29" s="108">
        <v>13.8822817177261</v>
      </c>
      <c r="S29" s="108">
        <v>0</v>
      </c>
      <c r="T29" s="108">
        <v>34.094674132297001</v>
      </c>
      <c r="U29" s="108">
        <v>10.333169170670001</v>
      </c>
      <c r="V29" s="108">
        <v>19.4422072114989</v>
      </c>
      <c r="W29" s="108">
        <v>0</v>
      </c>
      <c r="X29" s="108">
        <v>0</v>
      </c>
      <c r="Y29" s="108">
        <v>0</v>
      </c>
      <c r="Z29" s="108">
        <v>0</v>
      </c>
      <c r="AA29" s="108">
        <v>186.93722827303</v>
      </c>
      <c r="AB29" s="108">
        <v>0</v>
      </c>
      <c r="AC29" s="108">
        <v>0</v>
      </c>
      <c r="AD29" s="108">
        <v>16.072355609345099</v>
      </c>
      <c r="AE29" s="108">
        <v>0.55122094467838101</v>
      </c>
      <c r="AF29" s="108">
        <v>2.36632008189068</v>
      </c>
      <c r="AG29" s="108">
        <v>0.29217696156774497</v>
      </c>
      <c r="AH29" s="108">
        <v>8.9718368848644001</v>
      </c>
      <c r="AI29" s="108">
        <v>-19.0413527586323</v>
      </c>
      <c r="AJ29" s="108">
        <v>2.6517917925199601</v>
      </c>
      <c r="AK29" s="108">
        <v>24.6920641334642</v>
      </c>
      <c r="AL29" s="108">
        <v>0</v>
      </c>
      <c r="AM29" s="108">
        <v>219.03181875753501</v>
      </c>
      <c r="AN29" s="108">
        <v>6.6437072712967096</v>
      </c>
      <c r="AO29" s="108">
        <v>4.6506776076920797</v>
      </c>
      <c r="AP29" s="108">
        <v>0</v>
      </c>
      <c r="AQ29" s="108">
        <v>0</v>
      </c>
      <c r="AR29" s="109">
        <v>6.3842067162654503</v>
      </c>
    </row>
    <row r="30" spans="2:44" ht="12" customHeight="1" x14ac:dyDescent="0.25">
      <c r="B30" s="107" t="s">
        <v>42</v>
      </c>
      <c r="C30" s="108" t="s">
        <v>32</v>
      </c>
      <c r="D30" s="108" t="s">
        <v>43</v>
      </c>
      <c r="E30" s="108" t="s">
        <v>96</v>
      </c>
      <c r="F30" s="108" t="s">
        <v>25</v>
      </c>
      <c r="G30" s="108" t="s">
        <v>33</v>
      </c>
      <c r="H30" s="108" t="s">
        <v>82</v>
      </c>
      <c r="I30" s="108" t="s">
        <v>25</v>
      </c>
      <c r="J30" s="108">
        <v>1095.3599999999999</v>
      </c>
      <c r="K30" s="108">
        <v>366.94</v>
      </c>
      <c r="L30" s="108">
        <v>5.8248241681033104</v>
      </c>
      <c r="M30" s="108">
        <v>0.789446583311881</v>
      </c>
      <c r="N30" s="108">
        <v>8.1497277228288496</v>
      </c>
      <c r="O30" s="108">
        <v>0</v>
      </c>
      <c r="P30" s="108">
        <v>0</v>
      </c>
      <c r="Q30" s="108">
        <v>82.811961423542499</v>
      </c>
      <c r="R30" s="108">
        <v>13.0493448146626</v>
      </c>
      <c r="S30" s="108">
        <v>0</v>
      </c>
      <c r="T30" s="108">
        <v>131.40077705748899</v>
      </c>
      <c r="U30" s="108">
        <v>39.8241222452708</v>
      </c>
      <c r="V30" s="108">
        <v>74.930187129438394</v>
      </c>
      <c r="W30" s="108">
        <v>0</v>
      </c>
      <c r="X30" s="108">
        <v>0</v>
      </c>
      <c r="Y30" s="108">
        <v>0</v>
      </c>
      <c r="Z30" s="108">
        <v>0</v>
      </c>
      <c r="AA30" s="108">
        <v>720.45603238633998</v>
      </c>
      <c r="AB30" s="108">
        <v>0</v>
      </c>
      <c r="AC30" s="108">
        <v>0</v>
      </c>
      <c r="AD30" s="108">
        <v>15.1080142727844</v>
      </c>
      <c r="AE30" s="108">
        <v>0.51814768799767796</v>
      </c>
      <c r="AF30" s="108">
        <v>2.2243408769772399</v>
      </c>
      <c r="AG30" s="108">
        <v>0.27464634387367998</v>
      </c>
      <c r="AH30" s="108">
        <v>8.4335266717725403</v>
      </c>
      <c r="AI30" s="108">
        <v>-17.8988715931144</v>
      </c>
      <c r="AJ30" s="108">
        <v>2.4926842849687598</v>
      </c>
      <c r="AK30" s="108">
        <v>23.2105402854564</v>
      </c>
      <c r="AL30" s="108">
        <v>0</v>
      </c>
      <c r="AM30" s="108">
        <v>334.08551374262498</v>
      </c>
      <c r="AN30" s="108">
        <v>6.2450848350189103</v>
      </c>
      <c r="AO30" s="108">
        <v>4.3716369512305597</v>
      </c>
      <c r="AP30" s="108">
        <v>0</v>
      </c>
      <c r="AQ30" s="108">
        <v>0</v>
      </c>
      <c r="AR30" s="109">
        <v>6.0011543132895202</v>
      </c>
    </row>
    <row r="31" spans="2:44" ht="12" customHeight="1" x14ac:dyDescent="0.25">
      <c r="B31" s="107" t="s">
        <v>42</v>
      </c>
      <c r="C31" s="108" t="s">
        <v>32</v>
      </c>
      <c r="D31" s="108" t="s">
        <v>43</v>
      </c>
      <c r="E31" s="108" t="s">
        <v>96</v>
      </c>
      <c r="F31" s="108" t="s">
        <v>25</v>
      </c>
      <c r="G31" s="108" t="s">
        <v>35</v>
      </c>
      <c r="H31" s="108" t="s">
        <v>82</v>
      </c>
      <c r="I31" s="108" t="s">
        <v>25</v>
      </c>
      <c r="J31" s="108">
        <v>608.19000000000005</v>
      </c>
      <c r="K31" s="108">
        <v>227.09</v>
      </c>
      <c r="L31" s="108">
        <v>5.8248241681033104</v>
      </c>
      <c r="M31" s="108">
        <v>0.789446583311881</v>
      </c>
      <c r="N31" s="108">
        <v>4.2847724641113096</v>
      </c>
      <c r="O31" s="108">
        <v>0</v>
      </c>
      <c r="P31" s="108">
        <v>0</v>
      </c>
      <c r="Q31" s="108">
        <v>82.811961423542499</v>
      </c>
      <c r="R31" s="108">
        <v>13.0493448146626</v>
      </c>
      <c r="S31" s="108">
        <v>0</v>
      </c>
      <c r="T31" s="108">
        <v>65.700432641646202</v>
      </c>
      <c r="U31" s="108">
        <v>19.9120611226354</v>
      </c>
      <c r="V31" s="108">
        <v>37.465093564719197</v>
      </c>
      <c r="W31" s="108">
        <v>0</v>
      </c>
      <c r="X31" s="108">
        <v>0</v>
      </c>
      <c r="Y31" s="108">
        <v>0</v>
      </c>
      <c r="Z31" s="108">
        <v>0</v>
      </c>
      <c r="AA31" s="108">
        <v>360.22806157108801</v>
      </c>
      <c r="AB31" s="108">
        <v>0</v>
      </c>
      <c r="AC31" s="108">
        <v>0</v>
      </c>
      <c r="AD31" s="108">
        <v>15.1080142727844</v>
      </c>
      <c r="AE31" s="108">
        <v>0.51814768799767796</v>
      </c>
      <c r="AF31" s="108">
        <v>2.2243408769772399</v>
      </c>
      <c r="AG31" s="108">
        <v>0.27464634387367998</v>
      </c>
      <c r="AH31" s="108">
        <v>8.4335266717725403</v>
      </c>
      <c r="AI31" s="108">
        <v>-17.8988715931144</v>
      </c>
      <c r="AJ31" s="108">
        <v>2.4926842849687598</v>
      </c>
      <c r="AK31" s="108">
        <v>23.2105402854564</v>
      </c>
      <c r="AL31" s="108">
        <v>0</v>
      </c>
      <c r="AM31" s="108">
        <v>194.235763803852</v>
      </c>
      <c r="AN31" s="108">
        <v>6.2450848350189103</v>
      </c>
      <c r="AO31" s="108">
        <v>4.3716369512305597</v>
      </c>
      <c r="AP31" s="108">
        <v>0</v>
      </c>
      <c r="AQ31" s="108">
        <v>0</v>
      </c>
      <c r="AR31" s="109">
        <v>6.0011543132895202</v>
      </c>
    </row>
    <row r="32" spans="2:44" ht="12" customHeight="1" x14ac:dyDescent="0.25">
      <c r="B32" s="107" t="s">
        <v>42</v>
      </c>
      <c r="C32" s="108" t="s">
        <v>32</v>
      </c>
      <c r="D32" s="108" t="s">
        <v>43</v>
      </c>
      <c r="E32" s="108" t="s">
        <v>96</v>
      </c>
      <c r="F32" s="108" t="s">
        <v>25</v>
      </c>
      <c r="G32" s="108" t="s">
        <v>34</v>
      </c>
      <c r="H32" s="108" t="s">
        <v>82</v>
      </c>
      <c r="I32" s="108" t="s">
        <v>25</v>
      </c>
      <c r="J32" s="108">
        <v>218.45</v>
      </c>
      <c r="K32" s="108">
        <v>227.09</v>
      </c>
      <c r="L32" s="108">
        <v>5.8248241681033104</v>
      </c>
      <c r="M32" s="108">
        <v>0.789446583311881</v>
      </c>
      <c r="N32" s="108">
        <v>1.1928071042394299</v>
      </c>
      <c r="O32" s="108">
        <v>0</v>
      </c>
      <c r="P32" s="108">
        <v>0</v>
      </c>
      <c r="Q32" s="108">
        <v>82.811961423542499</v>
      </c>
      <c r="R32" s="108">
        <v>13.0493448146626</v>
      </c>
      <c r="S32" s="108">
        <v>0</v>
      </c>
      <c r="T32" s="108">
        <v>13.140086528329199</v>
      </c>
      <c r="U32" s="108">
        <v>3.9824475291305199</v>
      </c>
      <c r="V32" s="108">
        <v>7.4929833957534999</v>
      </c>
      <c r="W32" s="108">
        <v>0</v>
      </c>
      <c r="X32" s="108">
        <v>0</v>
      </c>
      <c r="Y32" s="108">
        <v>0</v>
      </c>
      <c r="Z32" s="108">
        <v>0</v>
      </c>
      <c r="AA32" s="108">
        <v>72.045612314217493</v>
      </c>
      <c r="AB32" s="108">
        <v>0</v>
      </c>
      <c r="AC32" s="108">
        <v>0</v>
      </c>
      <c r="AD32" s="108">
        <v>15.1080142727844</v>
      </c>
      <c r="AE32" s="108">
        <v>0.51814768799767796</v>
      </c>
      <c r="AF32" s="108">
        <v>2.2243408769772399</v>
      </c>
      <c r="AG32" s="108">
        <v>0.27464634387367998</v>
      </c>
      <c r="AH32" s="108">
        <v>8.4335266717725403</v>
      </c>
      <c r="AI32" s="108">
        <v>-17.8988715931144</v>
      </c>
      <c r="AJ32" s="108">
        <v>2.4926842849687598</v>
      </c>
      <c r="AK32" s="108">
        <v>23.2105402854564</v>
      </c>
      <c r="AL32" s="108">
        <v>0</v>
      </c>
      <c r="AM32" s="108">
        <v>194.235763803852</v>
      </c>
      <c r="AN32" s="108">
        <v>6.2450848350189103</v>
      </c>
      <c r="AO32" s="108">
        <v>4.3716369512305597</v>
      </c>
      <c r="AP32" s="108">
        <v>0</v>
      </c>
      <c r="AQ32" s="108">
        <v>0</v>
      </c>
      <c r="AR32" s="109">
        <v>6.0011543132895202</v>
      </c>
    </row>
    <row r="33" spans="2:44" ht="12" customHeight="1" x14ac:dyDescent="0.25">
      <c r="B33" s="107" t="s">
        <v>42</v>
      </c>
      <c r="C33" s="108" t="s">
        <v>32</v>
      </c>
      <c r="D33" s="108" t="s">
        <v>43</v>
      </c>
      <c r="E33" s="108" t="s">
        <v>25</v>
      </c>
      <c r="F33" s="108" t="s">
        <v>25</v>
      </c>
      <c r="G33" s="108" t="s">
        <v>33</v>
      </c>
      <c r="H33" s="108" t="s">
        <v>82</v>
      </c>
      <c r="I33" s="108" t="s">
        <v>25</v>
      </c>
      <c r="J33" s="108">
        <v>1095.3599999999999</v>
      </c>
      <c r="K33" s="108">
        <v>366.94</v>
      </c>
      <c r="L33" s="108">
        <v>5.8248241681033104</v>
      </c>
      <c r="M33" s="108">
        <v>0.789446583311881</v>
      </c>
      <c r="N33" s="108">
        <v>8.1497277228288496</v>
      </c>
      <c r="O33" s="108">
        <v>0</v>
      </c>
      <c r="P33" s="108">
        <v>0</v>
      </c>
      <c r="Q33" s="108">
        <v>82.811961423542499</v>
      </c>
      <c r="R33" s="108">
        <v>13.0493448146626</v>
      </c>
      <c r="S33" s="108">
        <v>0</v>
      </c>
      <c r="T33" s="108">
        <v>131.40077705748899</v>
      </c>
      <c r="U33" s="108">
        <v>39.8241222452708</v>
      </c>
      <c r="V33" s="108">
        <v>74.930187129438394</v>
      </c>
      <c r="W33" s="108">
        <v>0</v>
      </c>
      <c r="X33" s="108">
        <v>0</v>
      </c>
      <c r="Y33" s="108">
        <v>0</v>
      </c>
      <c r="Z33" s="108">
        <v>0</v>
      </c>
      <c r="AA33" s="108">
        <v>720.45603238633998</v>
      </c>
      <c r="AB33" s="108">
        <v>0</v>
      </c>
      <c r="AC33" s="108">
        <v>0</v>
      </c>
      <c r="AD33" s="108">
        <v>15.1080142727844</v>
      </c>
      <c r="AE33" s="108">
        <v>0.51814768799767796</v>
      </c>
      <c r="AF33" s="108">
        <v>2.2243408769772399</v>
      </c>
      <c r="AG33" s="108">
        <v>0.27464634387367998</v>
      </c>
      <c r="AH33" s="108">
        <v>8.4335266717725403</v>
      </c>
      <c r="AI33" s="108">
        <v>-17.8988715931144</v>
      </c>
      <c r="AJ33" s="108">
        <v>2.4926842849687598</v>
      </c>
      <c r="AK33" s="108">
        <v>23.2105402854564</v>
      </c>
      <c r="AL33" s="108">
        <v>0</v>
      </c>
      <c r="AM33" s="108">
        <v>334.08551374262498</v>
      </c>
      <c r="AN33" s="108">
        <v>6.2450848350189103</v>
      </c>
      <c r="AO33" s="108">
        <v>4.3716369512305597</v>
      </c>
      <c r="AP33" s="108">
        <v>0</v>
      </c>
      <c r="AQ33" s="108">
        <v>0</v>
      </c>
      <c r="AR33" s="109">
        <v>6.0011543132895202</v>
      </c>
    </row>
    <row r="34" spans="2:44" ht="12" customHeight="1" x14ac:dyDescent="0.25">
      <c r="B34" s="107" t="s">
        <v>42</v>
      </c>
      <c r="C34" s="108" t="s">
        <v>32</v>
      </c>
      <c r="D34" s="108" t="s">
        <v>43</v>
      </c>
      <c r="E34" s="108" t="s">
        <v>25</v>
      </c>
      <c r="F34" s="108" t="s">
        <v>25</v>
      </c>
      <c r="G34" s="108" t="s">
        <v>35</v>
      </c>
      <c r="H34" s="108" t="s">
        <v>82</v>
      </c>
      <c r="I34" s="108" t="s">
        <v>25</v>
      </c>
      <c r="J34" s="108">
        <v>608.19000000000005</v>
      </c>
      <c r="K34" s="108">
        <v>227.09</v>
      </c>
      <c r="L34" s="108">
        <v>5.8248241681033104</v>
      </c>
      <c r="M34" s="108">
        <v>0.789446583311881</v>
      </c>
      <c r="N34" s="108">
        <v>4.2847724641113096</v>
      </c>
      <c r="O34" s="108">
        <v>0</v>
      </c>
      <c r="P34" s="108">
        <v>0</v>
      </c>
      <c r="Q34" s="108">
        <v>82.811961423542499</v>
      </c>
      <c r="R34" s="108">
        <v>13.0493448146626</v>
      </c>
      <c r="S34" s="108">
        <v>0</v>
      </c>
      <c r="T34" s="108">
        <v>65.700432641646202</v>
      </c>
      <c r="U34" s="108">
        <v>19.9120611226354</v>
      </c>
      <c r="V34" s="108">
        <v>37.465093564719197</v>
      </c>
      <c r="W34" s="108">
        <v>0</v>
      </c>
      <c r="X34" s="108">
        <v>0</v>
      </c>
      <c r="Y34" s="108">
        <v>0</v>
      </c>
      <c r="Z34" s="108">
        <v>0</v>
      </c>
      <c r="AA34" s="108">
        <v>360.22806157108801</v>
      </c>
      <c r="AB34" s="108">
        <v>0</v>
      </c>
      <c r="AC34" s="108">
        <v>0</v>
      </c>
      <c r="AD34" s="108">
        <v>15.1080142727844</v>
      </c>
      <c r="AE34" s="108">
        <v>0.51814768799767796</v>
      </c>
      <c r="AF34" s="108">
        <v>2.2243408769772399</v>
      </c>
      <c r="AG34" s="108">
        <v>0.27464634387367998</v>
      </c>
      <c r="AH34" s="108">
        <v>8.4335266717725403</v>
      </c>
      <c r="AI34" s="108">
        <v>-17.8988715931144</v>
      </c>
      <c r="AJ34" s="108">
        <v>2.4926842849687598</v>
      </c>
      <c r="AK34" s="108">
        <v>23.2105402854564</v>
      </c>
      <c r="AL34" s="108">
        <v>0</v>
      </c>
      <c r="AM34" s="108">
        <v>194.235763803852</v>
      </c>
      <c r="AN34" s="108">
        <v>6.2450848350189103</v>
      </c>
      <c r="AO34" s="108">
        <v>4.3716369512305597</v>
      </c>
      <c r="AP34" s="108">
        <v>0</v>
      </c>
      <c r="AQ34" s="108">
        <v>0</v>
      </c>
      <c r="AR34" s="109">
        <v>6.0011543132895202</v>
      </c>
    </row>
    <row r="35" spans="2:44" ht="12" customHeight="1" x14ac:dyDescent="0.25">
      <c r="B35" s="107" t="s">
        <v>42</v>
      </c>
      <c r="C35" s="108" t="s">
        <v>32</v>
      </c>
      <c r="D35" s="108" t="s">
        <v>43</v>
      </c>
      <c r="E35" s="108" t="s">
        <v>25</v>
      </c>
      <c r="F35" s="108" t="s">
        <v>25</v>
      </c>
      <c r="G35" s="108" t="s">
        <v>34</v>
      </c>
      <c r="H35" s="108" t="s">
        <v>82</v>
      </c>
      <c r="I35" s="108" t="s">
        <v>25</v>
      </c>
      <c r="J35" s="108">
        <v>218.45</v>
      </c>
      <c r="K35" s="108">
        <v>227.09</v>
      </c>
      <c r="L35" s="108">
        <v>5.8248241681033104</v>
      </c>
      <c r="M35" s="108">
        <v>0.789446583311881</v>
      </c>
      <c r="N35" s="108">
        <v>1.1928071042394299</v>
      </c>
      <c r="O35" s="108">
        <v>0</v>
      </c>
      <c r="P35" s="108">
        <v>0</v>
      </c>
      <c r="Q35" s="108">
        <v>82.811961423542499</v>
      </c>
      <c r="R35" s="108">
        <v>13.0493448146626</v>
      </c>
      <c r="S35" s="108">
        <v>0</v>
      </c>
      <c r="T35" s="108">
        <v>13.140086528329199</v>
      </c>
      <c r="U35" s="108">
        <v>3.9824475291305199</v>
      </c>
      <c r="V35" s="108">
        <v>7.4929833957534999</v>
      </c>
      <c r="W35" s="108">
        <v>0</v>
      </c>
      <c r="X35" s="108">
        <v>0</v>
      </c>
      <c r="Y35" s="108">
        <v>0</v>
      </c>
      <c r="Z35" s="108">
        <v>0</v>
      </c>
      <c r="AA35" s="108">
        <v>72.045612314217493</v>
      </c>
      <c r="AB35" s="108">
        <v>0</v>
      </c>
      <c r="AC35" s="108">
        <v>0</v>
      </c>
      <c r="AD35" s="108">
        <v>15.1080142727844</v>
      </c>
      <c r="AE35" s="108">
        <v>0.51814768799767796</v>
      </c>
      <c r="AF35" s="108">
        <v>2.2243408769772399</v>
      </c>
      <c r="AG35" s="108">
        <v>0.27464634387367998</v>
      </c>
      <c r="AH35" s="108">
        <v>8.4335266717725403</v>
      </c>
      <c r="AI35" s="108">
        <v>-17.8988715931144</v>
      </c>
      <c r="AJ35" s="108">
        <v>2.4926842849687598</v>
      </c>
      <c r="AK35" s="108">
        <v>23.2105402854564</v>
      </c>
      <c r="AL35" s="108">
        <v>0</v>
      </c>
      <c r="AM35" s="108">
        <v>194.235763803852</v>
      </c>
      <c r="AN35" s="108">
        <v>6.2450848350189103</v>
      </c>
      <c r="AO35" s="108">
        <v>4.3716369512305597</v>
      </c>
      <c r="AP35" s="108">
        <v>0</v>
      </c>
      <c r="AQ35" s="108">
        <v>0</v>
      </c>
      <c r="AR35" s="109">
        <v>6.0011543132895202</v>
      </c>
    </row>
    <row r="36" spans="2:44" ht="12" customHeight="1" x14ac:dyDescent="0.25">
      <c r="B36" s="107" t="s">
        <v>42</v>
      </c>
      <c r="C36" s="108" t="s">
        <v>32</v>
      </c>
      <c r="D36" s="108" t="s">
        <v>43</v>
      </c>
      <c r="E36" s="108" t="s">
        <v>97</v>
      </c>
      <c r="F36" s="108" t="s">
        <v>25</v>
      </c>
      <c r="G36" s="108" t="s">
        <v>33</v>
      </c>
      <c r="H36" s="108" t="s">
        <v>82</v>
      </c>
      <c r="I36" s="108" t="s">
        <v>25</v>
      </c>
      <c r="J36" s="108">
        <v>1072.06</v>
      </c>
      <c r="K36" s="108">
        <v>359.13</v>
      </c>
      <c r="L36" s="108">
        <v>5.7008917389947298</v>
      </c>
      <c r="M36" s="108">
        <v>0.77264984749673504</v>
      </c>
      <c r="N36" s="108">
        <v>7.9763292606410099</v>
      </c>
      <c r="O36" s="108">
        <v>0</v>
      </c>
      <c r="P36" s="108">
        <v>0</v>
      </c>
      <c r="Q36" s="108">
        <v>81.0500047975097</v>
      </c>
      <c r="R36" s="108">
        <v>12.771699180308</v>
      </c>
      <c r="S36" s="108">
        <v>0</v>
      </c>
      <c r="T36" s="108">
        <v>128.60501584350001</v>
      </c>
      <c r="U36" s="108">
        <v>38.9768004953714</v>
      </c>
      <c r="V36" s="108">
        <v>73.335927828812103</v>
      </c>
      <c r="W36" s="108">
        <v>0</v>
      </c>
      <c r="X36" s="108">
        <v>0</v>
      </c>
      <c r="Y36" s="108">
        <v>0</v>
      </c>
      <c r="Z36" s="108">
        <v>0</v>
      </c>
      <c r="AA36" s="108">
        <v>705.12718063343902</v>
      </c>
      <c r="AB36" s="108">
        <v>0</v>
      </c>
      <c r="AC36" s="108">
        <v>0</v>
      </c>
      <c r="AD36" s="108">
        <v>14.7865671605975</v>
      </c>
      <c r="AE36" s="108">
        <v>0.50712326910410999</v>
      </c>
      <c r="AF36" s="108">
        <v>2.1770144753394201</v>
      </c>
      <c r="AG36" s="108">
        <v>0.26880280464232498</v>
      </c>
      <c r="AH36" s="108">
        <v>8.2540899340752496</v>
      </c>
      <c r="AI36" s="108">
        <v>-17.518044537941702</v>
      </c>
      <c r="AJ36" s="108">
        <v>2.4396484491183599</v>
      </c>
      <c r="AK36" s="108">
        <v>22.716699002787099</v>
      </c>
      <c r="AL36" s="108">
        <v>0</v>
      </c>
      <c r="AM36" s="108">
        <v>326.97731132257002</v>
      </c>
      <c r="AN36" s="108">
        <v>6.1122106895929704</v>
      </c>
      <c r="AO36" s="108">
        <v>4.2786233990767197</v>
      </c>
      <c r="AP36" s="108">
        <v>0</v>
      </c>
      <c r="AQ36" s="108">
        <v>0</v>
      </c>
      <c r="AR36" s="109">
        <v>5.8734701789642099</v>
      </c>
    </row>
    <row r="37" spans="2:44" ht="12" customHeight="1" x14ac:dyDescent="0.25">
      <c r="B37" s="107" t="s">
        <v>42</v>
      </c>
      <c r="C37" s="108" t="s">
        <v>32</v>
      </c>
      <c r="D37" s="108" t="s">
        <v>43</v>
      </c>
      <c r="E37" s="108" t="s">
        <v>97</v>
      </c>
      <c r="F37" s="108" t="s">
        <v>25</v>
      </c>
      <c r="G37" s="108" t="s">
        <v>35</v>
      </c>
      <c r="H37" s="108" t="s">
        <v>82</v>
      </c>
      <c r="I37" s="108" t="s">
        <v>25</v>
      </c>
      <c r="J37" s="108">
        <v>595.25</v>
      </c>
      <c r="K37" s="108">
        <v>222.26</v>
      </c>
      <c r="L37" s="108">
        <v>5.7008917389947298</v>
      </c>
      <c r="M37" s="108">
        <v>0.77264984749673504</v>
      </c>
      <c r="N37" s="108">
        <v>4.1936070925344699</v>
      </c>
      <c r="O37" s="108">
        <v>0</v>
      </c>
      <c r="P37" s="108">
        <v>0</v>
      </c>
      <c r="Q37" s="108">
        <v>81.0500047975097</v>
      </c>
      <c r="R37" s="108">
        <v>12.771699180308</v>
      </c>
      <c r="S37" s="108">
        <v>0</v>
      </c>
      <c r="T37" s="108">
        <v>64.302551096079199</v>
      </c>
      <c r="U37" s="108">
        <v>19.4884002476857</v>
      </c>
      <c r="V37" s="108">
        <v>36.667963914406002</v>
      </c>
      <c r="W37" s="108">
        <v>0</v>
      </c>
      <c r="X37" s="108">
        <v>0</v>
      </c>
      <c r="Y37" s="108">
        <v>0</v>
      </c>
      <c r="Z37" s="108">
        <v>0</v>
      </c>
      <c r="AA37" s="108">
        <v>352.56363472915001</v>
      </c>
      <c r="AB37" s="108">
        <v>0</v>
      </c>
      <c r="AC37" s="108">
        <v>0</v>
      </c>
      <c r="AD37" s="108">
        <v>14.7865671605975</v>
      </c>
      <c r="AE37" s="108">
        <v>0.50712326910410999</v>
      </c>
      <c r="AF37" s="108">
        <v>2.1770144753394201</v>
      </c>
      <c r="AG37" s="108">
        <v>0.26880280464232498</v>
      </c>
      <c r="AH37" s="108">
        <v>8.2540899340752496</v>
      </c>
      <c r="AI37" s="108">
        <v>-17.518044537941702</v>
      </c>
      <c r="AJ37" s="108">
        <v>2.4396484491183599</v>
      </c>
      <c r="AK37" s="108">
        <v>22.716699002787099</v>
      </c>
      <c r="AL37" s="108">
        <v>0</v>
      </c>
      <c r="AM37" s="108">
        <v>190.10308797823799</v>
      </c>
      <c r="AN37" s="108">
        <v>6.1122106895929704</v>
      </c>
      <c r="AO37" s="108">
        <v>4.2786233990767197</v>
      </c>
      <c r="AP37" s="108">
        <v>0</v>
      </c>
      <c r="AQ37" s="108">
        <v>0</v>
      </c>
      <c r="AR37" s="109">
        <v>5.8734701789642099</v>
      </c>
    </row>
    <row r="38" spans="2:44" ht="12" customHeight="1" x14ac:dyDescent="0.25">
      <c r="B38" s="107" t="s">
        <v>42</v>
      </c>
      <c r="C38" s="108" t="s">
        <v>32</v>
      </c>
      <c r="D38" s="108" t="s">
        <v>43</v>
      </c>
      <c r="E38" s="108" t="s">
        <v>97</v>
      </c>
      <c r="F38" s="108" t="s">
        <v>25</v>
      </c>
      <c r="G38" s="108" t="s">
        <v>34</v>
      </c>
      <c r="H38" s="108" t="s">
        <v>82</v>
      </c>
      <c r="I38" s="108" t="s">
        <v>25</v>
      </c>
      <c r="J38" s="108">
        <v>213.81</v>
      </c>
      <c r="K38" s="108">
        <v>222.26</v>
      </c>
      <c r="L38" s="108">
        <v>5.7008917389947298</v>
      </c>
      <c r="M38" s="108">
        <v>0.77264984749673504</v>
      </c>
      <c r="N38" s="108">
        <v>1.16742822968114</v>
      </c>
      <c r="O38" s="108">
        <v>0</v>
      </c>
      <c r="P38" s="108">
        <v>0</v>
      </c>
      <c r="Q38" s="108">
        <v>81.0500047975097</v>
      </c>
      <c r="R38" s="108">
        <v>12.771699180308</v>
      </c>
      <c r="S38" s="108">
        <v>0</v>
      </c>
      <c r="T38" s="108">
        <v>12.860510219215801</v>
      </c>
      <c r="U38" s="108">
        <v>3.8977146029788101</v>
      </c>
      <c r="V38" s="108">
        <v>7.3335582171204496</v>
      </c>
      <c r="W38" s="108">
        <v>0</v>
      </c>
      <c r="X38" s="108">
        <v>0</v>
      </c>
      <c r="Y38" s="108">
        <v>0</v>
      </c>
      <c r="Z38" s="108">
        <v>0</v>
      </c>
      <c r="AA38" s="108">
        <v>70.512726945829897</v>
      </c>
      <c r="AB38" s="108">
        <v>0</v>
      </c>
      <c r="AC38" s="108">
        <v>0</v>
      </c>
      <c r="AD38" s="108">
        <v>14.7865671605975</v>
      </c>
      <c r="AE38" s="108">
        <v>0.50712326910410999</v>
      </c>
      <c r="AF38" s="108">
        <v>2.1770144753394201</v>
      </c>
      <c r="AG38" s="108">
        <v>0.26880280464232498</v>
      </c>
      <c r="AH38" s="108">
        <v>8.2540899340752496</v>
      </c>
      <c r="AI38" s="108">
        <v>-17.518044537941702</v>
      </c>
      <c r="AJ38" s="108">
        <v>2.4396484491183599</v>
      </c>
      <c r="AK38" s="108">
        <v>22.716699002787099</v>
      </c>
      <c r="AL38" s="108">
        <v>0</v>
      </c>
      <c r="AM38" s="108">
        <v>190.10308797823799</v>
      </c>
      <c r="AN38" s="108">
        <v>6.1122106895929704</v>
      </c>
      <c r="AO38" s="108">
        <v>4.2786233990767197</v>
      </c>
      <c r="AP38" s="108">
        <v>0</v>
      </c>
      <c r="AQ38" s="108">
        <v>0</v>
      </c>
      <c r="AR38" s="109">
        <v>5.8734701789642099</v>
      </c>
    </row>
    <row r="39" spans="2:44" ht="12" customHeight="1" x14ac:dyDescent="0.25">
      <c r="B39" s="107" t="s">
        <v>42</v>
      </c>
      <c r="C39" s="108" t="s">
        <v>23</v>
      </c>
      <c r="D39" s="108" t="s">
        <v>43</v>
      </c>
      <c r="E39" s="108" t="s">
        <v>96</v>
      </c>
      <c r="F39" s="108" t="s">
        <v>25</v>
      </c>
      <c r="G39" s="108" t="s">
        <v>25</v>
      </c>
      <c r="H39" s="108" t="s">
        <v>82</v>
      </c>
      <c r="I39" s="108" t="s">
        <v>25</v>
      </c>
      <c r="J39" s="108">
        <v>358.66</v>
      </c>
      <c r="K39" s="108">
        <v>238.75</v>
      </c>
      <c r="L39" s="108">
        <v>5.8248241681033104</v>
      </c>
      <c r="M39" s="108">
        <v>0.789446583311881</v>
      </c>
      <c r="N39" s="108">
        <v>2.3051604080273398</v>
      </c>
      <c r="O39" s="108">
        <v>0</v>
      </c>
      <c r="P39" s="108">
        <v>0</v>
      </c>
      <c r="Q39" s="108">
        <v>82.811961423542499</v>
      </c>
      <c r="R39" s="108">
        <v>13.0493448146626</v>
      </c>
      <c r="S39" s="108">
        <v>0</v>
      </c>
      <c r="T39" s="108">
        <v>32.048993684359203</v>
      </c>
      <c r="U39" s="108">
        <v>9.7131790204298092</v>
      </c>
      <c r="V39" s="108">
        <v>18.275674778808899</v>
      </c>
      <c r="W39" s="108">
        <v>0</v>
      </c>
      <c r="X39" s="108">
        <v>0</v>
      </c>
      <c r="Y39" s="108">
        <v>0</v>
      </c>
      <c r="Z39" s="108">
        <v>0</v>
      </c>
      <c r="AA39" s="108">
        <v>175.720994576648</v>
      </c>
      <c r="AB39" s="108">
        <v>0</v>
      </c>
      <c r="AC39" s="108">
        <v>0</v>
      </c>
      <c r="AD39" s="108">
        <v>15.1080142727844</v>
      </c>
      <c r="AE39" s="108">
        <v>0.51814768799767796</v>
      </c>
      <c r="AF39" s="108">
        <v>2.2243408769772399</v>
      </c>
      <c r="AG39" s="108">
        <v>0.27464634387367998</v>
      </c>
      <c r="AH39" s="108">
        <v>8.4335266717725403</v>
      </c>
      <c r="AI39" s="108">
        <v>-17.8988715931144</v>
      </c>
      <c r="AJ39" s="108">
        <v>2.4926842849687598</v>
      </c>
      <c r="AK39" s="108">
        <v>23.2105402854564</v>
      </c>
      <c r="AL39" s="108">
        <v>0</v>
      </c>
      <c r="AM39" s="108">
        <v>205.889909632083</v>
      </c>
      <c r="AN39" s="108">
        <v>6.2450848350189103</v>
      </c>
      <c r="AO39" s="108">
        <v>4.3716369512305597</v>
      </c>
      <c r="AP39" s="108">
        <v>0</v>
      </c>
      <c r="AQ39" s="108">
        <v>0</v>
      </c>
      <c r="AR39" s="109">
        <v>6.0011543132895202</v>
      </c>
    </row>
    <row r="40" spans="2:44" ht="12" customHeight="1" x14ac:dyDescent="0.25">
      <c r="B40" s="107" t="s">
        <v>42</v>
      </c>
      <c r="C40" s="108" t="s">
        <v>23</v>
      </c>
      <c r="D40" s="108" t="s">
        <v>43</v>
      </c>
      <c r="E40" s="108" t="s">
        <v>25</v>
      </c>
      <c r="F40" s="108" t="s">
        <v>25</v>
      </c>
      <c r="G40" s="108" t="s">
        <v>25</v>
      </c>
      <c r="H40" s="108" t="s">
        <v>82</v>
      </c>
      <c r="I40" s="108" t="s">
        <v>25</v>
      </c>
      <c r="J40" s="108">
        <v>358.66</v>
      </c>
      <c r="K40" s="108">
        <v>238.75</v>
      </c>
      <c r="L40" s="108">
        <v>5.8248241681033104</v>
      </c>
      <c r="M40" s="108">
        <v>0.789446583311881</v>
      </c>
      <c r="N40" s="108">
        <v>2.3051604080273398</v>
      </c>
      <c r="O40" s="108">
        <v>0</v>
      </c>
      <c r="P40" s="108">
        <v>0</v>
      </c>
      <c r="Q40" s="108">
        <v>82.811961423542499</v>
      </c>
      <c r="R40" s="108">
        <v>13.0493448146626</v>
      </c>
      <c r="S40" s="108">
        <v>0</v>
      </c>
      <c r="T40" s="108">
        <v>32.048993684359203</v>
      </c>
      <c r="U40" s="108">
        <v>9.7131790204298092</v>
      </c>
      <c r="V40" s="108">
        <v>18.275674778808899</v>
      </c>
      <c r="W40" s="108">
        <v>0</v>
      </c>
      <c r="X40" s="108">
        <v>0</v>
      </c>
      <c r="Y40" s="108">
        <v>0</v>
      </c>
      <c r="Z40" s="108">
        <v>0</v>
      </c>
      <c r="AA40" s="108">
        <v>175.720994576648</v>
      </c>
      <c r="AB40" s="108">
        <v>0</v>
      </c>
      <c r="AC40" s="108">
        <v>0</v>
      </c>
      <c r="AD40" s="108">
        <v>15.1080142727844</v>
      </c>
      <c r="AE40" s="108">
        <v>0.51814768799767796</v>
      </c>
      <c r="AF40" s="108">
        <v>2.2243408769772399</v>
      </c>
      <c r="AG40" s="108">
        <v>0.27464634387367998</v>
      </c>
      <c r="AH40" s="108">
        <v>8.4335266717725403</v>
      </c>
      <c r="AI40" s="108">
        <v>-17.8988715931144</v>
      </c>
      <c r="AJ40" s="108">
        <v>2.4926842849687598</v>
      </c>
      <c r="AK40" s="108">
        <v>23.2105402854564</v>
      </c>
      <c r="AL40" s="108">
        <v>0</v>
      </c>
      <c r="AM40" s="108">
        <v>205.889909632083</v>
      </c>
      <c r="AN40" s="108">
        <v>6.2450848350189103</v>
      </c>
      <c r="AO40" s="108">
        <v>4.3716369512305597</v>
      </c>
      <c r="AP40" s="108">
        <v>0</v>
      </c>
      <c r="AQ40" s="108">
        <v>0</v>
      </c>
      <c r="AR40" s="109">
        <v>6.0011543132895202</v>
      </c>
    </row>
    <row r="41" spans="2:44" ht="12" customHeight="1" x14ac:dyDescent="0.25">
      <c r="B41" s="107" t="s">
        <v>42</v>
      </c>
      <c r="C41" s="108" t="s">
        <v>23</v>
      </c>
      <c r="D41" s="108" t="s">
        <v>43</v>
      </c>
      <c r="E41" s="108" t="s">
        <v>97</v>
      </c>
      <c r="F41" s="108" t="s">
        <v>25</v>
      </c>
      <c r="G41" s="108" t="s">
        <v>25</v>
      </c>
      <c r="H41" s="108" t="s">
        <v>82</v>
      </c>
      <c r="I41" s="108" t="s">
        <v>25</v>
      </c>
      <c r="J41" s="108">
        <v>351.03</v>
      </c>
      <c r="K41" s="108">
        <v>233.67</v>
      </c>
      <c r="L41" s="108">
        <v>5.7008917389947298</v>
      </c>
      <c r="M41" s="108">
        <v>0.77264984749673504</v>
      </c>
      <c r="N41" s="108">
        <v>2.2561144418991002</v>
      </c>
      <c r="O41" s="108">
        <v>0</v>
      </c>
      <c r="P41" s="108">
        <v>0</v>
      </c>
      <c r="Q41" s="108">
        <v>81.0500047975097</v>
      </c>
      <c r="R41" s="108">
        <v>12.771699180308</v>
      </c>
      <c r="S41" s="108">
        <v>0</v>
      </c>
      <c r="T41" s="108">
        <v>31.367100201713299</v>
      </c>
      <c r="U41" s="108">
        <v>9.5065156370164097</v>
      </c>
      <c r="V41" s="108">
        <v>17.886830634578999</v>
      </c>
      <c r="W41" s="108">
        <v>0</v>
      </c>
      <c r="X41" s="108">
        <v>0</v>
      </c>
      <c r="Y41" s="108">
        <v>0</v>
      </c>
      <c r="Z41" s="108">
        <v>0</v>
      </c>
      <c r="AA41" s="108">
        <v>171.982250011188</v>
      </c>
      <c r="AB41" s="108">
        <v>0</v>
      </c>
      <c r="AC41" s="108">
        <v>0</v>
      </c>
      <c r="AD41" s="108">
        <v>14.7865671605975</v>
      </c>
      <c r="AE41" s="108">
        <v>0.50712326910410999</v>
      </c>
      <c r="AF41" s="108">
        <v>2.1770144753394201</v>
      </c>
      <c r="AG41" s="108">
        <v>0.26880280464232498</v>
      </c>
      <c r="AH41" s="108">
        <v>8.2540899340752496</v>
      </c>
      <c r="AI41" s="108">
        <v>-17.518044537941702</v>
      </c>
      <c r="AJ41" s="108">
        <v>2.4396484491183599</v>
      </c>
      <c r="AK41" s="108">
        <v>22.716699002787099</v>
      </c>
      <c r="AL41" s="108">
        <v>0</v>
      </c>
      <c r="AM41" s="108">
        <v>201.509273256932</v>
      </c>
      <c r="AN41" s="108">
        <v>6.1122106895929704</v>
      </c>
      <c r="AO41" s="108">
        <v>4.2786233990767197</v>
      </c>
      <c r="AP41" s="108">
        <v>0</v>
      </c>
      <c r="AQ41" s="108">
        <v>0</v>
      </c>
      <c r="AR41" s="109">
        <v>5.8734701789642099</v>
      </c>
    </row>
    <row r="42" spans="2:44" ht="12" customHeight="1" x14ac:dyDescent="0.25">
      <c r="B42" s="107" t="s">
        <v>42</v>
      </c>
      <c r="C42" s="108" t="s">
        <v>95</v>
      </c>
      <c r="D42" s="108" t="s">
        <v>43</v>
      </c>
      <c r="E42" s="108" t="s">
        <v>96</v>
      </c>
      <c r="F42" s="108" t="s">
        <v>25</v>
      </c>
      <c r="G42" s="108" t="s">
        <v>25</v>
      </c>
      <c r="H42" s="108" t="s">
        <v>82</v>
      </c>
      <c r="I42" s="108" t="s">
        <v>25</v>
      </c>
      <c r="J42" s="108">
        <v>358.66</v>
      </c>
      <c r="K42" s="108">
        <v>238.75</v>
      </c>
      <c r="L42" s="108">
        <v>5.8248241681033104</v>
      </c>
      <c r="M42" s="108">
        <v>0.789446583311881</v>
      </c>
      <c r="N42" s="108">
        <v>2.3051604080273398</v>
      </c>
      <c r="O42" s="108">
        <v>0</v>
      </c>
      <c r="P42" s="108">
        <v>0</v>
      </c>
      <c r="Q42" s="108">
        <v>82.811961423542499</v>
      </c>
      <c r="R42" s="108">
        <v>13.0493448146626</v>
      </c>
      <c r="S42" s="108">
        <v>0</v>
      </c>
      <c r="T42" s="108">
        <v>32.048993684359203</v>
      </c>
      <c r="U42" s="108">
        <v>9.7131790204298092</v>
      </c>
      <c r="V42" s="108">
        <v>18.275674778808899</v>
      </c>
      <c r="W42" s="108">
        <v>0</v>
      </c>
      <c r="X42" s="108">
        <v>0</v>
      </c>
      <c r="Y42" s="108">
        <v>0</v>
      </c>
      <c r="Z42" s="108">
        <v>0</v>
      </c>
      <c r="AA42" s="108">
        <v>175.720994576648</v>
      </c>
      <c r="AB42" s="108">
        <v>0</v>
      </c>
      <c r="AC42" s="108">
        <v>0</v>
      </c>
      <c r="AD42" s="108">
        <v>15.1080142727844</v>
      </c>
      <c r="AE42" s="108">
        <v>0.51814768799767796</v>
      </c>
      <c r="AF42" s="108">
        <v>2.2243408769772399</v>
      </c>
      <c r="AG42" s="108">
        <v>0.27464634387367998</v>
      </c>
      <c r="AH42" s="108">
        <v>8.4335266717725403</v>
      </c>
      <c r="AI42" s="108">
        <v>-17.8988715931144</v>
      </c>
      <c r="AJ42" s="108">
        <v>2.4926842849687598</v>
      </c>
      <c r="AK42" s="108">
        <v>23.2105402854564</v>
      </c>
      <c r="AL42" s="108">
        <v>0</v>
      </c>
      <c r="AM42" s="108">
        <v>205.889909632083</v>
      </c>
      <c r="AN42" s="108">
        <v>6.2450848350189103</v>
      </c>
      <c r="AO42" s="108">
        <v>4.3716369512305597</v>
      </c>
      <c r="AP42" s="108">
        <v>0</v>
      </c>
      <c r="AQ42" s="108">
        <v>0</v>
      </c>
      <c r="AR42" s="109">
        <v>6.0011543132895202</v>
      </c>
    </row>
    <row r="43" spans="2:44" ht="12" customHeight="1" x14ac:dyDescent="0.25">
      <c r="B43" s="107" t="s">
        <v>42</v>
      </c>
      <c r="C43" s="108" t="s">
        <v>95</v>
      </c>
      <c r="D43" s="108" t="s">
        <v>43</v>
      </c>
      <c r="E43" s="108" t="s">
        <v>25</v>
      </c>
      <c r="F43" s="108" t="s">
        <v>25</v>
      </c>
      <c r="G43" s="108" t="s">
        <v>25</v>
      </c>
      <c r="H43" s="108" t="s">
        <v>82</v>
      </c>
      <c r="I43" s="108" t="s">
        <v>25</v>
      </c>
      <c r="J43" s="108">
        <v>358.66</v>
      </c>
      <c r="K43" s="108">
        <v>238.75</v>
      </c>
      <c r="L43" s="108">
        <v>5.8248241681033104</v>
      </c>
      <c r="M43" s="108">
        <v>0.789446583311881</v>
      </c>
      <c r="N43" s="108">
        <v>2.3051604080273398</v>
      </c>
      <c r="O43" s="108">
        <v>0</v>
      </c>
      <c r="P43" s="108">
        <v>0</v>
      </c>
      <c r="Q43" s="108">
        <v>82.811961423542499</v>
      </c>
      <c r="R43" s="108">
        <v>13.0493448146626</v>
      </c>
      <c r="S43" s="108">
        <v>0</v>
      </c>
      <c r="T43" s="108">
        <v>32.048993684359203</v>
      </c>
      <c r="U43" s="108">
        <v>9.7131790204298092</v>
      </c>
      <c r="V43" s="108">
        <v>18.275674778808899</v>
      </c>
      <c r="W43" s="108">
        <v>0</v>
      </c>
      <c r="X43" s="108">
        <v>0</v>
      </c>
      <c r="Y43" s="108">
        <v>0</v>
      </c>
      <c r="Z43" s="108">
        <v>0</v>
      </c>
      <c r="AA43" s="108">
        <v>175.720994576648</v>
      </c>
      <c r="AB43" s="108">
        <v>0</v>
      </c>
      <c r="AC43" s="108">
        <v>0</v>
      </c>
      <c r="AD43" s="108">
        <v>15.1080142727844</v>
      </c>
      <c r="AE43" s="108">
        <v>0.51814768799767796</v>
      </c>
      <c r="AF43" s="108">
        <v>2.2243408769772399</v>
      </c>
      <c r="AG43" s="108">
        <v>0.27464634387367998</v>
      </c>
      <c r="AH43" s="108">
        <v>8.4335266717725403</v>
      </c>
      <c r="AI43" s="108">
        <v>-17.8988715931144</v>
      </c>
      <c r="AJ43" s="108">
        <v>2.4926842849687598</v>
      </c>
      <c r="AK43" s="108">
        <v>23.2105402854564</v>
      </c>
      <c r="AL43" s="108">
        <v>0</v>
      </c>
      <c r="AM43" s="108">
        <v>205.889909632083</v>
      </c>
      <c r="AN43" s="108">
        <v>6.2450848350189103</v>
      </c>
      <c r="AO43" s="108">
        <v>4.3716369512305597</v>
      </c>
      <c r="AP43" s="108">
        <v>0</v>
      </c>
      <c r="AQ43" s="108">
        <v>0</v>
      </c>
      <c r="AR43" s="109">
        <v>6.0011543132895202</v>
      </c>
    </row>
    <row r="44" spans="2:44" ht="12" customHeight="1" x14ac:dyDescent="0.25">
      <c r="B44" s="107" t="s">
        <v>42</v>
      </c>
      <c r="C44" s="108" t="s">
        <v>95</v>
      </c>
      <c r="D44" s="108" t="s">
        <v>43</v>
      </c>
      <c r="E44" s="108" t="s">
        <v>97</v>
      </c>
      <c r="F44" s="108" t="s">
        <v>25</v>
      </c>
      <c r="G44" s="108" t="s">
        <v>25</v>
      </c>
      <c r="H44" s="108" t="s">
        <v>82</v>
      </c>
      <c r="I44" s="108" t="s">
        <v>25</v>
      </c>
      <c r="J44" s="108">
        <v>351.03</v>
      </c>
      <c r="K44" s="108">
        <v>233.67</v>
      </c>
      <c r="L44" s="108">
        <v>5.7008917389947298</v>
      </c>
      <c r="M44" s="108">
        <v>0.77264984749673504</v>
      </c>
      <c r="N44" s="108">
        <v>2.2561144418991002</v>
      </c>
      <c r="O44" s="108">
        <v>0</v>
      </c>
      <c r="P44" s="108">
        <v>0</v>
      </c>
      <c r="Q44" s="108">
        <v>81.0500047975097</v>
      </c>
      <c r="R44" s="108">
        <v>12.771699180308</v>
      </c>
      <c r="S44" s="108">
        <v>0</v>
      </c>
      <c r="T44" s="108">
        <v>31.367100201713299</v>
      </c>
      <c r="U44" s="108">
        <v>9.5065156370164097</v>
      </c>
      <c r="V44" s="108">
        <v>17.886830634578999</v>
      </c>
      <c r="W44" s="108">
        <v>0</v>
      </c>
      <c r="X44" s="108">
        <v>0</v>
      </c>
      <c r="Y44" s="108">
        <v>0</v>
      </c>
      <c r="Z44" s="108">
        <v>0</v>
      </c>
      <c r="AA44" s="108">
        <v>171.982250011188</v>
      </c>
      <c r="AB44" s="108">
        <v>0</v>
      </c>
      <c r="AC44" s="108">
        <v>0</v>
      </c>
      <c r="AD44" s="108">
        <v>14.7865671605975</v>
      </c>
      <c r="AE44" s="108">
        <v>0.50712326910410999</v>
      </c>
      <c r="AF44" s="108">
        <v>2.1770144753394201</v>
      </c>
      <c r="AG44" s="108">
        <v>0.26880280464232498</v>
      </c>
      <c r="AH44" s="108">
        <v>8.2540899340752496</v>
      </c>
      <c r="AI44" s="108">
        <v>-17.518044537941702</v>
      </c>
      <c r="AJ44" s="108">
        <v>2.4396484491183599</v>
      </c>
      <c r="AK44" s="108">
        <v>22.716699002787099</v>
      </c>
      <c r="AL44" s="108">
        <v>0</v>
      </c>
      <c r="AM44" s="108">
        <v>201.509273256932</v>
      </c>
      <c r="AN44" s="108">
        <v>6.1122106895929704</v>
      </c>
      <c r="AO44" s="108">
        <v>4.2786233990767197</v>
      </c>
      <c r="AP44" s="108">
        <v>0</v>
      </c>
      <c r="AQ44" s="108">
        <v>0</v>
      </c>
      <c r="AR44" s="109">
        <v>5.8734701789642099</v>
      </c>
    </row>
    <row r="45" spans="2:44" ht="12" customHeight="1" x14ac:dyDescent="0.25">
      <c r="B45" s="107" t="s">
        <v>36</v>
      </c>
      <c r="C45" s="108" t="s">
        <v>32</v>
      </c>
      <c r="D45" s="108" t="s">
        <v>25</v>
      </c>
      <c r="E45" s="108" t="s">
        <v>25</v>
      </c>
      <c r="F45" s="108" t="s">
        <v>25</v>
      </c>
      <c r="G45" s="108" t="s">
        <v>33</v>
      </c>
      <c r="H45" s="108" t="s">
        <v>82</v>
      </c>
      <c r="I45" s="108" t="s">
        <v>25</v>
      </c>
      <c r="J45" s="108">
        <v>1342.25</v>
      </c>
      <c r="K45" s="108">
        <v>390.36</v>
      </c>
      <c r="L45" s="108">
        <v>6.1966214554290504</v>
      </c>
      <c r="M45" s="108">
        <v>0.83983679075731998</v>
      </c>
      <c r="N45" s="108">
        <v>10.073903546530399</v>
      </c>
      <c r="O45" s="108">
        <v>0</v>
      </c>
      <c r="P45" s="108">
        <v>0</v>
      </c>
      <c r="Q45" s="108">
        <v>88.097831301640994</v>
      </c>
      <c r="R45" s="108">
        <v>13.8822817177261</v>
      </c>
      <c r="S45" s="108">
        <v>0</v>
      </c>
      <c r="T45" s="108">
        <v>163.654360749235</v>
      </c>
      <c r="U45" s="108">
        <v>49.599305914437998</v>
      </c>
      <c r="V45" s="108">
        <v>93.322481900757396</v>
      </c>
      <c r="W45" s="108">
        <v>0</v>
      </c>
      <c r="X45" s="108">
        <v>0</v>
      </c>
      <c r="Y45" s="108">
        <v>0</v>
      </c>
      <c r="Z45" s="108">
        <v>0</v>
      </c>
      <c r="AA45" s="108">
        <v>897.29869571054405</v>
      </c>
      <c r="AB45" s="108">
        <v>0</v>
      </c>
      <c r="AC45" s="108">
        <v>0</v>
      </c>
      <c r="AD45" s="108">
        <v>16.072355609345099</v>
      </c>
      <c r="AE45" s="108">
        <v>0.55122094467838101</v>
      </c>
      <c r="AF45" s="108">
        <v>2.36632008189068</v>
      </c>
      <c r="AG45" s="108">
        <v>0.29217696156774497</v>
      </c>
      <c r="AH45" s="108">
        <v>8.9718368848644001</v>
      </c>
      <c r="AI45" s="108">
        <v>-19.0413527586323</v>
      </c>
      <c r="AJ45" s="108">
        <v>2.6517917925199601</v>
      </c>
      <c r="AK45" s="108">
        <v>24.6920641334642</v>
      </c>
      <c r="AL45" s="108">
        <v>0</v>
      </c>
      <c r="AM45" s="108">
        <v>355.41012100279301</v>
      </c>
      <c r="AN45" s="108">
        <v>6.6437072712967096</v>
      </c>
      <c r="AO45" s="108">
        <v>4.6506776076920797</v>
      </c>
      <c r="AP45" s="108">
        <v>0</v>
      </c>
      <c r="AQ45" s="108">
        <v>0</v>
      </c>
      <c r="AR45" s="109">
        <v>6.3842067162654503</v>
      </c>
    </row>
    <row r="46" spans="2:44" ht="12" customHeight="1" x14ac:dyDescent="0.25">
      <c r="B46" s="107" t="s">
        <v>36</v>
      </c>
      <c r="C46" s="108" t="s">
        <v>32</v>
      </c>
      <c r="D46" s="108" t="s">
        <v>25</v>
      </c>
      <c r="E46" s="108" t="s">
        <v>25</v>
      </c>
      <c r="F46" s="108" t="s">
        <v>25</v>
      </c>
      <c r="G46" s="108" t="s">
        <v>35</v>
      </c>
      <c r="H46" s="108" t="s">
        <v>82</v>
      </c>
      <c r="I46" s="108" t="s">
        <v>25</v>
      </c>
      <c r="J46" s="108">
        <v>492.8</v>
      </c>
      <c r="K46" s="108">
        <v>241.59</v>
      </c>
      <c r="L46" s="108">
        <v>6.1966214554290504</v>
      </c>
      <c r="M46" s="108">
        <v>0.83983679075731998</v>
      </c>
      <c r="N46" s="108">
        <v>3.3348002078640002</v>
      </c>
      <c r="O46" s="108">
        <v>0</v>
      </c>
      <c r="P46" s="108">
        <v>0</v>
      </c>
      <c r="Q46" s="108">
        <v>88.097831301640994</v>
      </c>
      <c r="R46" s="108">
        <v>13.8822817177261</v>
      </c>
      <c r="S46" s="108">
        <v>0</v>
      </c>
      <c r="T46" s="108">
        <v>49.096345767665802</v>
      </c>
      <c r="U46" s="108">
        <v>14.879763605764801</v>
      </c>
      <c r="V46" s="108">
        <v>27.996763355966799</v>
      </c>
      <c r="W46" s="108">
        <v>0</v>
      </c>
      <c r="X46" s="108">
        <v>0</v>
      </c>
      <c r="Y46" s="108">
        <v>0</v>
      </c>
      <c r="Z46" s="108">
        <v>0</v>
      </c>
      <c r="AA46" s="108">
        <v>269.18962802291497</v>
      </c>
      <c r="AB46" s="108">
        <v>0</v>
      </c>
      <c r="AC46" s="108">
        <v>0</v>
      </c>
      <c r="AD46" s="108">
        <v>16.072355609345099</v>
      </c>
      <c r="AE46" s="108">
        <v>0.55122094467838101</v>
      </c>
      <c r="AF46" s="108">
        <v>2.36632008189068</v>
      </c>
      <c r="AG46" s="108">
        <v>0.29217696156774497</v>
      </c>
      <c r="AH46" s="108">
        <v>8.9718368848644001</v>
      </c>
      <c r="AI46" s="108">
        <v>-19.0413527586323</v>
      </c>
      <c r="AJ46" s="108">
        <v>2.6517917925199601</v>
      </c>
      <c r="AK46" s="108">
        <v>24.6920641334642</v>
      </c>
      <c r="AL46" s="108">
        <v>0</v>
      </c>
      <c r="AM46" s="108">
        <v>206.633791280694</v>
      </c>
      <c r="AN46" s="108">
        <v>6.6437072712967096</v>
      </c>
      <c r="AO46" s="108">
        <v>4.6506776076920797</v>
      </c>
      <c r="AP46" s="108">
        <v>0</v>
      </c>
      <c r="AQ46" s="108">
        <v>0</v>
      </c>
      <c r="AR46" s="109">
        <v>6.3842067162654503</v>
      </c>
    </row>
    <row r="47" spans="2:44" ht="12" customHeight="1" x14ac:dyDescent="0.25">
      <c r="B47" s="107" t="s">
        <v>36</v>
      </c>
      <c r="C47" s="108" t="s">
        <v>32</v>
      </c>
      <c r="D47" s="108" t="s">
        <v>25</v>
      </c>
      <c r="E47" s="108" t="s">
        <v>25</v>
      </c>
      <c r="F47" s="108" t="s">
        <v>25</v>
      </c>
      <c r="G47" s="108" t="s">
        <v>34</v>
      </c>
      <c r="H47" s="108" t="s">
        <v>82</v>
      </c>
      <c r="I47" s="108" t="s">
        <v>25</v>
      </c>
      <c r="J47" s="108">
        <v>250.1</v>
      </c>
      <c r="K47" s="108">
        <v>241.59</v>
      </c>
      <c r="L47" s="108">
        <v>6.1966214554290504</v>
      </c>
      <c r="M47" s="108">
        <v>0.83983679075731998</v>
      </c>
      <c r="N47" s="108">
        <v>1.40934200159441</v>
      </c>
      <c r="O47" s="108">
        <v>0</v>
      </c>
      <c r="P47" s="108">
        <v>0</v>
      </c>
      <c r="Q47" s="108">
        <v>88.097831301640994</v>
      </c>
      <c r="R47" s="108">
        <v>13.8822817177261</v>
      </c>
      <c r="S47" s="108">
        <v>0</v>
      </c>
      <c r="T47" s="108">
        <v>16.365417303475901</v>
      </c>
      <c r="U47" s="108">
        <v>4.9599212019216097</v>
      </c>
      <c r="V47" s="108">
        <v>9.3322857615548198</v>
      </c>
      <c r="W47" s="108">
        <v>0</v>
      </c>
      <c r="X47" s="108">
        <v>0</v>
      </c>
      <c r="Y47" s="108">
        <v>0</v>
      </c>
      <c r="Z47" s="108">
        <v>0</v>
      </c>
      <c r="AA47" s="108">
        <v>89.729908190558803</v>
      </c>
      <c r="AB47" s="108">
        <v>0</v>
      </c>
      <c r="AC47" s="108">
        <v>0</v>
      </c>
      <c r="AD47" s="108">
        <v>16.072355609345099</v>
      </c>
      <c r="AE47" s="108">
        <v>0.55122094467838101</v>
      </c>
      <c r="AF47" s="108">
        <v>2.36632008189068</v>
      </c>
      <c r="AG47" s="108">
        <v>0.29217696156774497</v>
      </c>
      <c r="AH47" s="108">
        <v>8.9718368848644001</v>
      </c>
      <c r="AI47" s="108">
        <v>-19.0413527586323</v>
      </c>
      <c r="AJ47" s="108">
        <v>2.6517917925199601</v>
      </c>
      <c r="AK47" s="108">
        <v>24.6920641334642</v>
      </c>
      <c r="AL47" s="108">
        <v>0</v>
      </c>
      <c r="AM47" s="108">
        <v>206.633791280694</v>
      </c>
      <c r="AN47" s="108">
        <v>6.6437072712967096</v>
      </c>
      <c r="AO47" s="108">
        <v>4.6506776076920797</v>
      </c>
      <c r="AP47" s="108">
        <v>0</v>
      </c>
      <c r="AQ47" s="108">
        <v>0</v>
      </c>
      <c r="AR47" s="109">
        <v>6.3842067162654503</v>
      </c>
    </row>
    <row r="48" spans="2:44" ht="12" customHeight="1" x14ac:dyDescent="0.25">
      <c r="B48" s="107" t="s">
        <v>36</v>
      </c>
      <c r="C48" s="108" t="s">
        <v>23</v>
      </c>
      <c r="D48" s="108" t="s">
        <v>25</v>
      </c>
      <c r="E48" s="108" t="s">
        <v>25</v>
      </c>
      <c r="F48" s="108" t="s">
        <v>25</v>
      </c>
      <c r="G48" s="108" t="s">
        <v>25</v>
      </c>
      <c r="H48" s="108" t="s">
        <v>82</v>
      </c>
      <c r="I48" s="108" t="s">
        <v>25</v>
      </c>
      <c r="J48" s="108">
        <v>381.56</v>
      </c>
      <c r="K48" s="108">
        <v>253.98</v>
      </c>
      <c r="L48" s="108">
        <v>6.1966214554290504</v>
      </c>
      <c r="M48" s="108">
        <v>0.83983679075731998</v>
      </c>
      <c r="N48" s="108">
        <v>2.45229830641206</v>
      </c>
      <c r="O48" s="108">
        <v>0</v>
      </c>
      <c r="P48" s="108">
        <v>0</v>
      </c>
      <c r="Q48" s="108">
        <v>88.097831301640994</v>
      </c>
      <c r="R48" s="108">
        <v>13.8822817177261</v>
      </c>
      <c r="S48" s="108">
        <v>0</v>
      </c>
      <c r="T48" s="108">
        <v>34.094674132297001</v>
      </c>
      <c r="U48" s="108">
        <v>10.333169170670001</v>
      </c>
      <c r="V48" s="108">
        <v>19.4422072114989</v>
      </c>
      <c r="W48" s="108">
        <v>0</v>
      </c>
      <c r="X48" s="108">
        <v>0</v>
      </c>
      <c r="Y48" s="108">
        <v>0</v>
      </c>
      <c r="Z48" s="108">
        <v>0</v>
      </c>
      <c r="AA48" s="108">
        <v>186.93722827303</v>
      </c>
      <c r="AB48" s="108">
        <v>0</v>
      </c>
      <c r="AC48" s="108">
        <v>0</v>
      </c>
      <c r="AD48" s="108">
        <v>16.072355609345099</v>
      </c>
      <c r="AE48" s="108">
        <v>0.55122094467838101</v>
      </c>
      <c r="AF48" s="108">
        <v>2.36632008189068</v>
      </c>
      <c r="AG48" s="108">
        <v>0.29217696156774497</v>
      </c>
      <c r="AH48" s="108">
        <v>8.9718368848644001</v>
      </c>
      <c r="AI48" s="108">
        <v>-19.0413527586323</v>
      </c>
      <c r="AJ48" s="108">
        <v>2.6517917925199601</v>
      </c>
      <c r="AK48" s="108">
        <v>24.6920641334642</v>
      </c>
      <c r="AL48" s="108">
        <v>0</v>
      </c>
      <c r="AM48" s="108">
        <v>219.03181875753501</v>
      </c>
      <c r="AN48" s="108">
        <v>6.6437072712967096</v>
      </c>
      <c r="AO48" s="108">
        <v>4.6506776076920797</v>
      </c>
      <c r="AP48" s="108">
        <v>0</v>
      </c>
      <c r="AQ48" s="108">
        <v>0</v>
      </c>
      <c r="AR48" s="109">
        <v>6.3842067162654503</v>
      </c>
    </row>
    <row r="49" spans="2:44" ht="12" customHeight="1" x14ac:dyDescent="0.25">
      <c r="B49" s="107" t="s">
        <v>36</v>
      </c>
      <c r="C49" s="108" t="s">
        <v>95</v>
      </c>
      <c r="D49" s="108" t="s">
        <v>25</v>
      </c>
      <c r="E49" s="108" t="s">
        <v>25</v>
      </c>
      <c r="F49" s="108" t="s">
        <v>25</v>
      </c>
      <c r="G49" s="108" t="s">
        <v>25</v>
      </c>
      <c r="H49" s="108" t="s">
        <v>82</v>
      </c>
      <c r="I49" s="108" t="s">
        <v>25</v>
      </c>
      <c r="J49" s="108">
        <v>381.56</v>
      </c>
      <c r="K49" s="108">
        <v>253.98</v>
      </c>
      <c r="L49" s="108">
        <v>6.1966214554290504</v>
      </c>
      <c r="M49" s="108">
        <v>0.83983679075731998</v>
      </c>
      <c r="N49" s="108">
        <v>2.45229830641206</v>
      </c>
      <c r="O49" s="108">
        <v>0</v>
      </c>
      <c r="P49" s="108">
        <v>0</v>
      </c>
      <c r="Q49" s="108">
        <v>88.097831301640994</v>
      </c>
      <c r="R49" s="108">
        <v>13.8822817177261</v>
      </c>
      <c r="S49" s="108">
        <v>0</v>
      </c>
      <c r="T49" s="108">
        <v>34.094674132297001</v>
      </c>
      <c r="U49" s="108">
        <v>10.333169170670001</v>
      </c>
      <c r="V49" s="108">
        <v>19.4422072114989</v>
      </c>
      <c r="W49" s="108">
        <v>0</v>
      </c>
      <c r="X49" s="108">
        <v>0</v>
      </c>
      <c r="Y49" s="108">
        <v>0</v>
      </c>
      <c r="Z49" s="108">
        <v>0</v>
      </c>
      <c r="AA49" s="108">
        <v>186.93722827303</v>
      </c>
      <c r="AB49" s="108">
        <v>0</v>
      </c>
      <c r="AC49" s="108">
        <v>0</v>
      </c>
      <c r="AD49" s="108">
        <v>16.072355609345099</v>
      </c>
      <c r="AE49" s="108">
        <v>0.55122094467838101</v>
      </c>
      <c r="AF49" s="108">
        <v>2.36632008189068</v>
      </c>
      <c r="AG49" s="108">
        <v>0.29217696156774497</v>
      </c>
      <c r="AH49" s="108">
        <v>8.9718368848644001</v>
      </c>
      <c r="AI49" s="108">
        <v>-19.0413527586323</v>
      </c>
      <c r="AJ49" s="108">
        <v>2.6517917925199601</v>
      </c>
      <c r="AK49" s="108">
        <v>24.6920641334642</v>
      </c>
      <c r="AL49" s="108">
        <v>0</v>
      </c>
      <c r="AM49" s="108">
        <v>219.03181875753501</v>
      </c>
      <c r="AN49" s="108">
        <v>6.6437072712967096</v>
      </c>
      <c r="AO49" s="108">
        <v>4.6506776076920797</v>
      </c>
      <c r="AP49" s="108">
        <v>0</v>
      </c>
      <c r="AQ49" s="108">
        <v>0</v>
      </c>
      <c r="AR49" s="109">
        <v>6.3842067162654503</v>
      </c>
    </row>
    <row r="50" spans="2:44" ht="12" customHeight="1" x14ac:dyDescent="0.25">
      <c r="B50" s="107" t="s">
        <v>45</v>
      </c>
      <c r="C50" s="108" t="s">
        <v>23</v>
      </c>
      <c r="D50" s="108" t="s">
        <v>46</v>
      </c>
      <c r="E50" s="108" t="s">
        <v>47</v>
      </c>
      <c r="F50" s="108" t="s">
        <v>25</v>
      </c>
      <c r="G50" s="108" t="s">
        <v>25</v>
      </c>
      <c r="H50" s="108" t="s">
        <v>82</v>
      </c>
      <c r="I50" s="108" t="s">
        <v>25</v>
      </c>
      <c r="J50" s="108">
        <v>209.86</v>
      </c>
      <c r="K50" s="108">
        <v>139.69</v>
      </c>
      <c r="L50" s="108">
        <v>3.4081418004859798</v>
      </c>
      <c r="M50" s="108">
        <v>0.461910234916526</v>
      </c>
      <c r="N50" s="108">
        <v>1.34876406852664</v>
      </c>
      <c r="O50" s="108">
        <v>0</v>
      </c>
      <c r="P50" s="108">
        <v>0</v>
      </c>
      <c r="Q50" s="108">
        <v>48.4538072159026</v>
      </c>
      <c r="R50" s="108">
        <v>7.6352549447493701</v>
      </c>
      <c r="S50" s="108">
        <v>0</v>
      </c>
      <c r="T50" s="108">
        <v>18.7520707727634</v>
      </c>
      <c r="U50" s="108">
        <v>5.6832430438685098</v>
      </c>
      <c r="V50" s="108">
        <v>10.6932139663244</v>
      </c>
      <c r="W50" s="108">
        <v>0</v>
      </c>
      <c r="X50" s="108">
        <v>0</v>
      </c>
      <c r="Y50" s="108">
        <v>0</v>
      </c>
      <c r="Z50" s="108">
        <v>0</v>
      </c>
      <c r="AA50" s="108">
        <v>102.815475550166</v>
      </c>
      <c r="AB50" s="108">
        <v>0</v>
      </c>
      <c r="AC50" s="108">
        <v>0</v>
      </c>
      <c r="AD50" s="108">
        <v>8.8397955851397896</v>
      </c>
      <c r="AE50" s="108">
        <v>0.30317151957310901</v>
      </c>
      <c r="AF50" s="108">
        <v>1.3014760450398699</v>
      </c>
      <c r="AG50" s="108">
        <v>0.16069732886226001</v>
      </c>
      <c r="AH50" s="108">
        <v>4.9345102866754198</v>
      </c>
      <c r="AI50" s="108">
        <v>-10.4727440172478</v>
      </c>
      <c r="AJ50" s="108">
        <v>1.4584854858859799</v>
      </c>
      <c r="AK50" s="108">
        <v>13.580635273405299</v>
      </c>
      <c r="AL50" s="108">
        <v>0</v>
      </c>
      <c r="AM50" s="108">
        <v>120.46750031664401</v>
      </c>
      <c r="AN50" s="108">
        <v>3.6540389992131899</v>
      </c>
      <c r="AO50" s="108">
        <v>2.5578726842306501</v>
      </c>
      <c r="AP50" s="108">
        <v>0</v>
      </c>
      <c r="AQ50" s="108">
        <v>0</v>
      </c>
      <c r="AR50" s="109">
        <v>3.5113136939460001</v>
      </c>
    </row>
    <row r="51" spans="2:44" ht="12" customHeight="1" x14ac:dyDescent="0.25">
      <c r="B51" s="110" t="s">
        <v>45</v>
      </c>
      <c r="C51" s="111" t="s">
        <v>23</v>
      </c>
      <c r="D51" s="111" t="s">
        <v>46</v>
      </c>
      <c r="E51" s="111" t="s">
        <v>98</v>
      </c>
      <c r="F51" s="111" t="s">
        <v>25</v>
      </c>
      <c r="G51" s="111" t="s">
        <v>25</v>
      </c>
      <c r="H51" s="111" t="s">
        <v>82</v>
      </c>
      <c r="I51" s="111" t="s">
        <v>25</v>
      </c>
      <c r="J51" s="111">
        <v>228.93</v>
      </c>
      <c r="K51" s="111">
        <v>152.38999999999999</v>
      </c>
      <c r="L51" s="111">
        <v>3.71797287325743</v>
      </c>
      <c r="M51" s="111">
        <v>0.50390207445439195</v>
      </c>
      <c r="N51" s="111">
        <v>1.47137898384724</v>
      </c>
      <c r="O51" s="111">
        <v>0</v>
      </c>
      <c r="P51" s="111">
        <v>0</v>
      </c>
      <c r="Q51" s="111">
        <v>52.858698780984597</v>
      </c>
      <c r="R51" s="111">
        <v>8.3293690306356698</v>
      </c>
      <c r="S51" s="111">
        <v>0</v>
      </c>
      <c r="T51" s="111">
        <v>20.456804479378199</v>
      </c>
      <c r="U51" s="111">
        <v>6.1999015024020103</v>
      </c>
      <c r="V51" s="111">
        <v>11.665324326899301</v>
      </c>
      <c r="W51" s="111">
        <v>0</v>
      </c>
      <c r="X51" s="111">
        <v>0</v>
      </c>
      <c r="Y51" s="111">
        <v>0</v>
      </c>
      <c r="Z51" s="111">
        <v>0</v>
      </c>
      <c r="AA51" s="111">
        <v>112.16233696381801</v>
      </c>
      <c r="AB51" s="111">
        <v>0</v>
      </c>
      <c r="AC51" s="111">
        <v>0</v>
      </c>
      <c r="AD51" s="111">
        <v>9.6434133656070404</v>
      </c>
      <c r="AE51" s="111">
        <v>0.33073256680702801</v>
      </c>
      <c r="AF51" s="111">
        <v>1.41979204913441</v>
      </c>
      <c r="AG51" s="111">
        <v>0.17530617694064701</v>
      </c>
      <c r="AH51" s="111">
        <v>5.3831021309186404</v>
      </c>
      <c r="AI51" s="111">
        <v>-11.424811655179401</v>
      </c>
      <c r="AJ51" s="111">
        <v>1.59107507551197</v>
      </c>
      <c r="AK51" s="111">
        <v>14.8152384800785</v>
      </c>
      <c r="AL51" s="111">
        <v>0</v>
      </c>
      <c r="AM51" s="111">
        <v>131.41909125452099</v>
      </c>
      <c r="AN51" s="111">
        <v>3.9862243627780201</v>
      </c>
      <c r="AO51" s="111">
        <v>2.7904065646152501</v>
      </c>
      <c r="AP51" s="111">
        <v>0</v>
      </c>
      <c r="AQ51" s="111">
        <v>0</v>
      </c>
      <c r="AR51" s="112">
        <v>3.8305240297592702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A37E-8DF3-4BD8-8D0A-E7BDF1683482}">
  <dimension ref="B1:AR51"/>
  <sheetViews>
    <sheetView showGridLines="0" workbookViewId="0">
      <selection activeCell="H18" sqref="H18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4" t="s">
        <v>1325</v>
      </c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5"/>
      <c r="AH1" s="154" t="s">
        <v>1326</v>
      </c>
      <c r="AI1" s="154"/>
      <c r="AJ1" s="154"/>
      <c r="AK1" s="154"/>
      <c r="AL1" s="154"/>
      <c r="AM1" s="154"/>
      <c r="AN1" s="154"/>
      <c r="AO1" s="154"/>
      <c r="AP1" s="154"/>
      <c r="AQ1" s="154"/>
      <c r="AR1" s="154"/>
    </row>
    <row r="2" spans="2:44" ht="12" customHeight="1" x14ac:dyDescent="0.25">
      <c r="L2" s="156" t="s">
        <v>563</v>
      </c>
      <c r="M2" s="156"/>
      <c r="N2" s="156"/>
      <c r="O2" s="156"/>
      <c r="P2" s="156"/>
      <c r="Q2" s="156"/>
      <c r="R2" s="156"/>
      <c r="S2" s="157"/>
      <c r="T2" s="156" t="s">
        <v>572</v>
      </c>
      <c r="U2" s="156"/>
      <c r="V2" s="156"/>
      <c r="W2" s="156"/>
      <c r="X2" s="156"/>
      <c r="Y2" s="156"/>
      <c r="Z2" s="157"/>
      <c r="AA2" s="115" t="s">
        <v>580</v>
      </c>
      <c r="AB2" s="156" t="s">
        <v>25</v>
      </c>
      <c r="AC2" s="157"/>
      <c r="AD2" s="156" t="s">
        <v>1324</v>
      </c>
      <c r="AE2" s="156"/>
      <c r="AF2" s="156"/>
      <c r="AG2" s="157"/>
      <c r="AH2" s="156" t="s">
        <v>563</v>
      </c>
      <c r="AI2" s="156"/>
      <c r="AJ2" s="156"/>
      <c r="AK2" s="156"/>
      <c r="AL2" s="157"/>
      <c r="AM2" s="115" t="s">
        <v>594</v>
      </c>
      <c r="AN2" s="156" t="s">
        <v>572</v>
      </c>
      <c r="AO2" s="156"/>
      <c r="AP2" s="156"/>
      <c r="AQ2" s="157"/>
      <c r="AR2" s="114" t="s">
        <v>1324</v>
      </c>
    </row>
    <row r="3" spans="2:44" ht="12" customHeight="1" x14ac:dyDescent="0.25">
      <c r="B3" s="104" t="s">
        <v>71</v>
      </c>
      <c r="C3" s="105" t="s">
        <v>72</v>
      </c>
      <c r="D3" s="105" t="s">
        <v>73</v>
      </c>
      <c r="E3" s="105" t="s">
        <v>74</v>
      </c>
      <c r="F3" s="105" t="s">
        <v>75</v>
      </c>
      <c r="G3" s="105" t="s">
        <v>77</v>
      </c>
      <c r="H3" s="105" t="s">
        <v>78</v>
      </c>
      <c r="I3" s="105" t="s">
        <v>805</v>
      </c>
      <c r="J3" s="105" t="s">
        <v>1288</v>
      </c>
      <c r="K3" s="105" t="s">
        <v>1289</v>
      </c>
      <c r="L3" s="105" t="s">
        <v>1290</v>
      </c>
      <c r="M3" s="105" t="s">
        <v>1291</v>
      </c>
      <c r="N3" s="105" t="s">
        <v>1292</v>
      </c>
      <c r="O3" s="105" t="s">
        <v>1293</v>
      </c>
      <c r="P3" s="105" t="s">
        <v>1294</v>
      </c>
      <c r="Q3" s="105" t="s">
        <v>1295</v>
      </c>
      <c r="R3" s="105" t="s">
        <v>1296</v>
      </c>
      <c r="S3" s="105" t="s">
        <v>1297</v>
      </c>
      <c r="T3" s="105" t="s">
        <v>1298</v>
      </c>
      <c r="U3" s="105" t="s">
        <v>1299</v>
      </c>
      <c r="V3" s="105" t="s">
        <v>1300</v>
      </c>
      <c r="W3" s="105" t="s">
        <v>1301</v>
      </c>
      <c r="X3" s="105" t="s">
        <v>1302</v>
      </c>
      <c r="Y3" s="105" t="s">
        <v>1303</v>
      </c>
      <c r="Z3" s="105" t="s">
        <v>1304</v>
      </c>
      <c r="AA3" s="105" t="s">
        <v>1305</v>
      </c>
      <c r="AB3" s="105" t="s">
        <v>1306</v>
      </c>
      <c r="AC3" s="105" t="s">
        <v>1307</v>
      </c>
      <c r="AD3" s="105" t="s">
        <v>1308</v>
      </c>
      <c r="AE3" s="105" t="s">
        <v>1309</v>
      </c>
      <c r="AF3" s="105" t="s">
        <v>1310</v>
      </c>
      <c r="AG3" s="105" t="s">
        <v>1311</v>
      </c>
      <c r="AH3" s="105" t="s">
        <v>1312</v>
      </c>
      <c r="AI3" s="105" t="s">
        <v>1313</v>
      </c>
      <c r="AJ3" s="105" t="s">
        <v>1314</v>
      </c>
      <c r="AK3" s="105" t="s">
        <v>1315</v>
      </c>
      <c r="AL3" s="105" t="s">
        <v>1316</v>
      </c>
      <c r="AM3" s="105" t="s">
        <v>1317</v>
      </c>
      <c r="AN3" s="105" t="s">
        <v>1318</v>
      </c>
      <c r="AO3" s="105" t="s">
        <v>1319</v>
      </c>
      <c r="AP3" s="105" t="s">
        <v>1320</v>
      </c>
      <c r="AQ3" s="105" t="s">
        <v>1321</v>
      </c>
      <c r="AR3" s="106" t="s">
        <v>1322</v>
      </c>
    </row>
    <row r="4" spans="2:44" ht="12" customHeight="1" x14ac:dyDescent="0.25">
      <c r="B4" s="107" t="s">
        <v>62</v>
      </c>
      <c r="C4" s="108" t="s">
        <v>59</v>
      </c>
      <c r="D4" s="108" t="s">
        <v>25</v>
      </c>
      <c r="E4" s="108" t="s">
        <v>25</v>
      </c>
      <c r="F4" s="108" t="s">
        <v>25</v>
      </c>
      <c r="G4" s="108" t="s">
        <v>25</v>
      </c>
      <c r="H4" s="108" t="s">
        <v>80</v>
      </c>
      <c r="I4" s="108" t="s">
        <v>25</v>
      </c>
      <c r="J4" s="108">
        <v>0</v>
      </c>
      <c r="K4" s="108">
        <v>0</v>
      </c>
      <c r="L4" s="108">
        <v>0</v>
      </c>
      <c r="M4" s="108">
        <v>0</v>
      </c>
      <c r="N4" s="108">
        <v>0</v>
      </c>
      <c r="O4" s="108">
        <v>0</v>
      </c>
      <c r="P4" s="108">
        <v>0</v>
      </c>
      <c r="Q4" s="108">
        <v>0</v>
      </c>
      <c r="R4" s="108">
        <v>0</v>
      </c>
      <c r="S4" s="108">
        <v>0</v>
      </c>
      <c r="T4" s="108">
        <v>0</v>
      </c>
      <c r="U4" s="108">
        <v>0</v>
      </c>
      <c r="V4" s="108">
        <v>0</v>
      </c>
      <c r="W4" s="108">
        <v>0</v>
      </c>
      <c r="X4" s="108">
        <v>0</v>
      </c>
      <c r="Y4" s="108">
        <v>0</v>
      </c>
      <c r="Z4" s="108">
        <v>0</v>
      </c>
      <c r="AA4" s="108">
        <v>0</v>
      </c>
      <c r="AB4" s="108">
        <v>0</v>
      </c>
      <c r="AC4" s="108">
        <v>0</v>
      </c>
      <c r="AD4" s="108">
        <v>0</v>
      </c>
      <c r="AE4" s="108">
        <v>0</v>
      </c>
      <c r="AF4" s="108">
        <v>0</v>
      </c>
      <c r="AG4" s="108">
        <v>0</v>
      </c>
      <c r="AH4" s="108">
        <v>0</v>
      </c>
      <c r="AI4" s="108">
        <v>0</v>
      </c>
      <c r="AJ4" s="108">
        <v>0</v>
      </c>
      <c r="AK4" s="108">
        <v>0</v>
      </c>
      <c r="AL4" s="108">
        <v>0</v>
      </c>
      <c r="AM4" s="108">
        <v>0</v>
      </c>
      <c r="AN4" s="108">
        <v>0</v>
      </c>
      <c r="AO4" s="108">
        <v>0</v>
      </c>
      <c r="AP4" s="108">
        <v>0</v>
      </c>
      <c r="AQ4" s="108">
        <v>0</v>
      </c>
      <c r="AR4" s="109">
        <v>0</v>
      </c>
    </row>
    <row r="5" spans="2:44" ht="12" customHeight="1" x14ac:dyDescent="0.25">
      <c r="B5" s="107" t="s">
        <v>38</v>
      </c>
      <c r="C5" s="108" t="s">
        <v>39</v>
      </c>
      <c r="D5" s="108" t="s">
        <v>25</v>
      </c>
      <c r="E5" s="108" t="s">
        <v>25</v>
      </c>
      <c r="F5" s="108" t="s">
        <v>89</v>
      </c>
      <c r="G5" s="108" t="s">
        <v>33</v>
      </c>
      <c r="H5" s="108" t="s">
        <v>82</v>
      </c>
      <c r="I5" s="108" t="s">
        <v>25</v>
      </c>
      <c r="J5" s="108">
        <v>1.06</v>
      </c>
      <c r="K5" s="108">
        <v>0</v>
      </c>
      <c r="L5" s="108">
        <v>0</v>
      </c>
      <c r="M5" s="108">
        <v>0</v>
      </c>
      <c r="N5" s="108">
        <v>0</v>
      </c>
      <c r="O5" s="108">
        <v>0</v>
      </c>
      <c r="P5" s="108">
        <v>0</v>
      </c>
      <c r="Q5" s="108">
        <v>0</v>
      </c>
      <c r="R5" s="108">
        <v>0</v>
      </c>
      <c r="S5" s="108">
        <v>0</v>
      </c>
      <c r="T5" s="108">
        <v>0</v>
      </c>
      <c r="U5" s="108">
        <v>0</v>
      </c>
      <c r="V5" s="108">
        <v>0</v>
      </c>
      <c r="W5" s="108">
        <v>0</v>
      </c>
      <c r="X5" s="108">
        <v>0</v>
      </c>
      <c r="Y5" s="108">
        <v>0</v>
      </c>
      <c r="Z5" s="108">
        <v>0</v>
      </c>
      <c r="AA5" s="108">
        <v>0</v>
      </c>
      <c r="AB5" s="108">
        <v>0</v>
      </c>
      <c r="AC5" s="108">
        <v>0</v>
      </c>
      <c r="AD5" s="108">
        <v>0.82075772752145004</v>
      </c>
      <c r="AE5" s="108">
        <v>2.8148882523069699E-2</v>
      </c>
      <c r="AF5" s="108">
        <v>0.20658381185851801</v>
      </c>
      <c r="AG5" s="108">
        <v>0</v>
      </c>
      <c r="AH5" s="108">
        <v>0</v>
      </c>
      <c r="AI5" s="108">
        <v>0</v>
      </c>
      <c r="AJ5" s="108">
        <v>0</v>
      </c>
      <c r="AK5" s="108">
        <v>0</v>
      </c>
      <c r="AL5" s="108">
        <v>0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9">
        <v>0</v>
      </c>
    </row>
    <row r="6" spans="2:44" ht="12" customHeight="1" x14ac:dyDescent="0.25">
      <c r="B6" s="107" t="s">
        <v>38</v>
      </c>
      <c r="C6" s="108" t="s">
        <v>39</v>
      </c>
      <c r="D6" s="108" t="s">
        <v>25</v>
      </c>
      <c r="E6" s="108" t="s">
        <v>25</v>
      </c>
      <c r="F6" s="108" t="s">
        <v>89</v>
      </c>
      <c r="G6" s="108" t="s">
        <v>33</v>
      </c>
      <c r="H6" s="108" t="s">
        <v>80</v>
      </c>
      <c r="I6" s="108" t="s">
        <v>25</v>
      </c>
      <c r="J6" s="108">
        <v>0.85</v>
      </c>
      <c r="K6" s="108">
        <v>0</v>
      </c>
      <c r="L6" s="108">
        <v>0</v>
      </c>
      <c r="M6" s="108">
        <v>0</v>
      </c>
      <c r="N6" s="108">
        <v>0</v>
      </c>
      <c r="O6" s="108">
        <v>0</v>
      </c>
      <c r="P6" s="108">
        <v>0</v>
      </c>
      <c r="Q6" s="108">
        <v>0</v>
      </c>
      <c r="R6" s="108">
        <v>0</v>
      </c>
      <c r="S6" s="108">
        <v>0</v>
      </c>
      <c r="T6" s="108">
        <v>0.64654113027676396</v>
      </c>
      <c r="U6" s="108">
        <v>0.201758550420685</v>
      </c>
      <c r="V6" s="108">
        <v>0</v>
      </c>
      <c r="W6" s="108">
        <v>0</v>
      </c>
      <c r="X6" s="108">
        <v>0</v>
      </c>
      <c r="Y6" s="108">
        <v>0</v>
      </c>
      <c r="Z6" s="108">
        <v>0</v>
      </c>
      <c r="AA6" s="108">
        <v>0</v>
      </c>
      <c r="AB6" s="108">
        <v>0</v>
      </c>
      <c r="AC6" s="108">
        <v>0</v>
      </c>
      <c r="AD6" s="108">
        <v>0</v>
      </c>
      <c r="AE6" s="108">
        <v>0</v>
      </c>
      <c r="AF6" s="108">
        <v>0</v>
      </c>
      <c r="AG6" s="108">
        <v>0</v>
      </c>
      <c r="AH6" s="108">
        <v>0</v>
      </c>
      <c r="AI6" s="108">
        <v>0</v>
      </c>
      <c r="AJ6" s="108">
        <v>0</v>
      </c>
      <c r="AK6" s="108">
        <v>0</v>
      </c>
      <c r="AL6" s="108">
        <v>0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9">
        <v>0</v>
      </c>
    </row>
    <row r="7" spans="2:44" ht="12" customHeight="1" x14ac:dyDescent="0.25">
      <c r="B7" s="107" t="s">
        <v>38</v>
      </c>
      <c r="C7" s="108" t="s">
        <v>39</v>
      </c>
      <c r="D7" s="108" t="s">
        <v>25</v>
      </c>
      <c r="E7" s="108" t="s">
        <v>25</v>
      </c>
      <c r="F7" s="108" t="s">
        <v>89</v>
      </c>
      <c r="G7" s="108" t="s">
        <v>34</v>
      </c>
      <c r="H7" s="108" t="s">
        <v>82</v>
      </c>
      <c r="I7" s="108" t="s">
        <v>25</v>
      </c>
      <c r="J7" s="108">
        <v>1.06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0.82075772752145004</v>
      </c>
      <c r="AE7" s="108">
        <v>2.8148882523069699E-2</v>
      </c>
      <c r="AF7" s="108">
        <v>0.20658381185851801</v>
      </c>
      <c r="AG7" s="108">
        <v>0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0</v>
      </c>
      <c r="AN7" s="108">
        <v>0</v>
      </c>
      <c r="AO7" s="108">
        <v>0</v>
      </c>
      <c r="AP7" s="108">
        <v>0</v>
      </c>
      <c r="AQ7" s="108">
        <v>0</v>
      </c>
      <c r="AR7" s="109">
        <v>0</v>
      </c>
    </row>
    <row r="8" spans="2:44" ht="12" customHeight="1" x14ac:dyDescent="0.25">
      <c r="B8" s="107" t="s">
        <v>38</v>
      </c>
      <c r="C8" s="108" t="s">
        <v>39</v>
      </c>
      <c r="D8" s="108" t="s">
        <v>25</v>
      </c>
      <c r="E8" s="108" t="s">
        <v>25</v>
      </c>
      <c r="F8" s="108" t="s">
        <v>89</v>
      </c>
      <c r="G8" s="108" t="s">
        <v>34</v>
      </c>
      <c r="H8" s="108" t="s">
        <v>80</v>
      </c>
      <c r="I8" s="108" t="s">
        <v>25</v>
      </c>
      <c r="J8" s="108">
        <v>0.55000000000000004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0.428047967971252</v>
      </c>
      <c r="U8" s="108">
        <v>0.125019236985491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8">
        <v>0</v>
      </c>
      <c r="AP8" s="108">
        <v>0</v>
      </c>
      <c r="AQ8" s="108">
        <v>0</v>
      </c>
      <c r="AR8" s="109">
        <v>0</v>
      </c>
    </row>
    <row r="9" spans="2:44" ht="12" customHeight="1" x14ac:dyDescent="0.25">
      <c r="B9" s="107" t="s">
        <v>38</v>
      </c>
      <c r="C9" s="108" t="s">
        <v>39</v>
      </c>
      <c r="D9" s="108" t="s">
        <v>25</v>
      </c>
      <c r="E9" s="108" t="s">
        <v>25</v>
      </c>
      <c r="F9" s="108" t="s">
        <v>25</v>
      </c>
      <c r="G9" s="108" t="s">
        <v>33</v>
      </c>
      <c r="H9" s="108" t="s">
        <v>82</v>
      </c>
      <c r="I9" s="108" t="s">
        <v>25</v>
      </c>
      <c r="J9" s="108">
        <v>17.3</v>
      </c>
      <c r="K9" s="108">
        <v>58.95</v>
      </c>
      <c r="L9" s="108">
        <v>0.341457856895026</v>
      </c>
      <c r="M9" s="108">
        <v>0</v>
      </c>
      <c r="N9" s="108">
        <v>0</v>
      </c>
      <c r="O9" s="108">
        <v>0</v>
      </c>
      <c r="P9" s="108">
        <v>0</v>
      </c>
      <c r="Q9" s="108">
        <v>12.657562599499</v>
      </c>
      <c r="R9" s="108">
        <v>3.2447097728911398</v>
      </c>
      <c r="S9" s="108">
        <v>0</v>
      </c>
      <c r="T9" s="108">
        <v>0</v>
      </c>
      <c r="U9" s="108">
        <v>0</v>
      </c>
      <c r="V9" s="108">
        <v>0</v>
      </c>
      <c r="W9" s="108">
        <v>0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0.82075772752145004</v>
      </c>
      <c r="AE9" s="108">
        <v>2.8148882523069699E-2</v>
      </c>
      <c r="AF9" s="108">
        <v>0.20658381185851801</v>
      </c>
      <c r="AG9" s="108">
        <v>0</v>
      </c>
      <c r="AH9" s="108">
        <v>0.58855116936602403</v>
      </c>
      <c r="AI9" s="108">
        <v>0</v>
      </c>
      <c r="AJ9" s="108">
        <v>0</v>
      </c>
      <c r="AK9" s="108">
        <v>14.295575824123199</v>
      </c>
      <c r="AL9" s="108">
        <v>0</v>
      </c>
      <c r="AM9" s="108">
        <v>41.3159990997192</v>
      </c>
      <c r="AN9" s="108">
        <v>1.6515716592995799</v>
      </c>
      <c r="AO9" s="108">
        <v>0.35448719565218501</v>
      </c>
      <c r="AP9" s="108">
        <v>0</v>
      </c>
      <c r="AQ9" s="108">
        <v>0</v>
      </c>
      <c r="AR9" s="109">
        <v>0.742156352209148</v>
      </c>
    </row>
    <row r="10" spans="2:44" ht="12" customHeight="1" x14ac:dyDescent="0.25">
      <c r="B10" s="107" t="s">
        <v>38</v>
      </c>
      <c r="C10" s="108" t="s">
        <v>39</v>
      </c>
      <c r="D10" s="108" t="s">
        <v>25</v>
      </c>
      <c r="E10" s="108" t="s">
        <v>25</v>
      </c>
      <c r="F10" s="108" t="s">
        <v>25</v>
      </c>
      <c r="G10" s="108" t="s">
        <v>33</v>
      </c>
      <c r="H10" s="108" t="s">
        <v>80</v>
      </c>
      <c r="I10" s="108" t="s">
        <v>25</v>
      </c>
      <c r="J10" s="108">
        <v>0.85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0.64654113027676396</v>
      </c>
      <c r="U10" s="108">
        <v>0.201758550420685</v>
      </c>
      <c r="V10" s="108">
        <v>0</v>
      </c>
      <c r="W10" s="108">
        <v>0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0</v>
      </c>
      <c r="AO10" s="108">
        <v>0</v>
      </c>
      <c r="AP10" s="108">
        <v>0</v>
      </c>
      <c r="AQ10" s="108">
        <v>0</v>
      </c>
      <c r="AR10" s="109">
        <v>0</v>
      </c>
    </row>
    <row r="11" spans="2:44" ht="12" customHeight="1" x14ac:dyDescent="0.25">
      <c r="B11" s="107" t="s">
        <v>38</v>
      </c>
      <c r="C11" s="108" t="s">
        <v>39</v>
      </c>
      <c r="D11" s="108" t="s">
        <v>25</v>
      </c>
      <c r="E11" s="108" t="s">
        <v>25</v>
      </c>
      <c r="F11" s="108" t="s">
        <v>25</v>
      </c>
      <c r="G11" s="108" t="s">
        <v>34</v>
      </c>
      <c r="H11" s="108" t="s">
        <v>82</v>
      </c>
      <c r="I11" s="108" t="s">
        <v>25</v>
      </c>
      <c r="J11" s="108">
        <v>17.3</v>
      </c>
      <c r="K11" s="108">
        <v>41.65</v>
      </c>
      <c r="L11" s="108">
        <v>0.341457856895026</v>
      </c>
      <c r="M11" s="108">
        <v>0</v>
      </c>
      <c r="N11" s="108">
        <v>0</v>
      </c>
      <c r="O11" s="108">
        <v>0</v>
      </c>
      <c r="P11" s="108">
        <v>0</v>
      </c>
      <c r="Q11" s="108">
        <v>12.657562599499</v>
      </c>
      <c r="R11" s="108">
        <v>3.2447097728911398</v>
      </c>
      <c r="S11" s="108">
        <v>0</v>
      </c>
      <c r="T11" s="108">
        <v>0</v>
      </c>
      <c r="U11" s="108">
        <v>0</v>
      </c>
      <c r="V11" s="108">
        <v>0</v>
      </c>
      <c r="W11" s="108">
        <v>0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0.82075772752145004</v>
      </c>
      <c r="AE11" s="108">
        <v>2.8148882523069699E-2</v>
      </c>
      <c r="AF11" s="108">
        <v>0.20658381185851801</v>
      </c>
      <c r="AG11" s="108">
        <v>0</v>
      </c>
      <c r="AH11" s="108">
        <v>0.58855116936602403</v>
      </c>
      <c r="AI11" s="108">
        <v>0</v>
      </c>
      <c r="AJ11" s="108">
        <v>0</v>
      </c>
      <c r="AK11" s="108">
        <v>14.295575824123199</v>
      </c>
      <c r="AL11" s="108">
        <v>0</v>
      </c>
      <c r="AM11" s="108">
        <v>24.0209297091391</v>
      </c>
      <c r="AN11" s="108">
        <v>1.6515716592995799</v>
      </c>
      <c r="AO11" s="108">
        <v>0.35448719565218501</v>
      </c>
      <c r="AP11" s="108">
        <v>0</v>
      </c>
      <c r="AQ11" s="108">
        <v>0</v>
      </c>
      <c r="AR11" s="109">
        <v>0.742156352209148</v>
      </c>
    </row>
    <row r="12" spans="2:44" ht="12" customHeight="1" x14ac:dyDescent="0.25">
      <c r="B12" s="107" t="s">
        <v>38</v>
      </c>
      <c r="C12" s="108" t="s">
        <v>39</v>
      </c>
      <c r="D12" s="108" t="s">
        <v>25</v>
      </c>
      <c r="E12" s="108" t="s">
        <v>25</v>
      </c>
      <c r="F12" s="108" t="s">
        <v>25</v>
      </c>
      <c r="G12" s="108" t="s">
        <v>34</v>
      </c>
      <c r="H12" s="108" t="s">
        <v>80</v>
      </c>
      <c r="I12" s="108" t="s">
        <v>25</v>
      </c>
      <c r="J12" s="108">
        <v>0.55000000000000004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0.428047967971252</v>
      </c>
      <c r="U12" s="108">
        <v>0.125019236985491</v>
      </c>
      <c r="V12" s="108">
        <v>0</v>
      </c>
      <c r="W12" s="108">
        <v>0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</v>
      </c>
      <c r="AO12" s="108">
        <v>0</v>
      </c>
      <c r="AP12" s="108">
        <v>0</v>
      </c>
      <c r="AQ12" s="108">
        <v>0</v>
      </c>
      <c r="AR12" s="109">
        <v>0</v>
      </c>
    </row>
    <row r="13" spans="2:44" ht="12" customHeight="1" x14ac:dyDescent="0.25">
      <c r="B13" s="107" t="s">
        <v>38</v>
      </c>
      <c r="C13" s="108" t="s">
        <v>23</v>
      </c>
      <c r="D13" s="108" t="s">
        <v>25</v>
      </c>
      <c r="E13" s="108" t="s">
        <v>25</v>
      </c>
      <c r="F13" s="108" t="s">
        <v>25</v>
      </c>
      <c r="G13" s="108" t="s">
        <v>25</v>
      </c>
      <c r="H13" s="108" t="s">
        <v>82</v>
      </c>
      <c r="I13" s="108" t="s">
        <v>25</v>
      </c>
      <c r="J13" s="108">
        <v>0</v>
      </c>
      <c r="K13" s="108">
        <v>43.09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8">
        <v>0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0.58855116936602403</v>
      </c>
      <c r="AI13" s="108">
        <v>0</v>
      </c>
      <c r="AJ13" s="108">
        <v>0</v>
      </c>
      <c r="AK13" s="108">
        <v>14.295575824123199</v>
      </c>
      <c r="AL13" s="108">
        <v>0</v>
      </c>
      <c r="AM13" s="108">
        <v>25.4621854916874</v>
      </c>
      <c r="AN13" s="108">
        <v>1.6515716592995799</v>
      </c>
      <c r="AO13" s="108">
        <v>0.35448719565218501</v>
      </c>
      <c r="AP13" s="108">
        <v>0</v>
      </c>
      <c r="AQ13" s="108">
        <v>0</v>
      </c>
      <c r="AR13" s="109">
        <v>0.742156352209148</v>
      </c>
    </row>
    <row r="14" spans="2:44" ht="12" customHeight="1" x14ac:dyDescent="0.25">
      <c r="B14" s="107" t="s">
        <v>38</v>
      </c>
      <c r="C14" s="108" t="s">
        <v>59</v>
      </c>
      <c r="D14" s="108" t="s">
        <v>25</v>
      </c>
      <c r="E14" s="108" t="s">
        <v>25</v>
      </c>
      <c r="F14" s="108" t="s">
        <v>25</v>
      </c>
      <c r="G14" s="108" t="s">
        <v>25</v>
      </c>
      <c r="H14" s="108" t="s">
        <v>80</v>
      </c>
      <c r="I14" s="108" t="s">
        <v>25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7.1149056413449507E-5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9">
        <v>0</v>
      </c>
    </row>
    <row r="15" spans="2:44" ht="12" customHeight="1" x14ac:dyDescent="0.25">
      <c r="B15" s="107" t="s">
        <v>38</v>
      </c>
      <c r="C15" s="108" t="s">
        <v>40</v>
      </c>
      <c r="D15" s="108" t="s">
        <v>25</v>
      </c>
      <c r="E15" s="108" t="s">
        <v>25</v>
      </c>
      <c r="F15" s="108" t="s">
        <v>89</v>
      </c>
      <c r="G15" s="108" t="s">
        <v>33</v>
      </c>
      <c r="H15" s="108" t="s">
        <v>82</v>
      </c>
      <c r="I15" s="108" t="s">
        <v>25</v>
      </c>
      <c r="J15" s="108">
        <v>21.46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15.549382357062701</v>
      </c>
      <c r="U15" s="108">
        <v>4.8523007155615403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0.82075772752145004</v>
      </c>
      <c r="AE15" s="108">
        <v>2.8148882523069699E-2</v>
      </c>
      <c r="AF15" s="108">
        <v>0.20658381185851801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8">
        <v>0</v>
      </c>
      <c r="AP15" s="108">
        <v>0</v>
      </c>
      <c r="AQ15" s="108">
        <v>0</v>
      </c>
      <c r="AR15" s="109">
        <v>0</v>
      </c>
    </row>
    <row r="16" spans="2:44" ht="12" customHeight="1" x14ac:dyDescent="0.25">
      <c r="B16" s="107" t="s">
        <v>38</v>
      </c>
      <c r="C16" s="108" t="s">
        <v>40</v>
      </c>
      <c r="D16" s="108" t="s">
        <v>25</v>
      </c>
      <c r="E16" s="108" t="s">
        <v>25</v>
      </c>
      <c r="F16" s="108" t="s">
        <v>89</v>
      </c>
      <c r="G16" s="108" t="s">
        <v>25</v>
      </c>
      <c r="H16" s="108" t="s">
        <v>80</v>
      </c>
      <c r="I16" s="108" t="s">
        <v>25</v>
      </c>
      <c r="J16" s="108">
        <v>0.55000000000000004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0.428047967971252</v>
      </c>
      <c r="U16" s="108">
        <v>0.125019236985491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8">
        <v>0</v>
      </c>
      <c r="AP16" s="108">
        <v>0</v>
      </c>
      <c r="AQ16" s="108">
        <v>0</v>
      </c>
      <c r="AR16" s="109">
        <v>0</v>
      </c>
    </row>
    <row r="17" spans="2:44" ht="12" customHeight="1" x14ac:dyDescent="0.25">
      <c r="B17" s="107" t="s">
        <v>38</v>
      </c>
      <c r="C17" s="108" t="s">
        <v>40</v>
      </c>
      <c r="D17" s="108" t="s">
        <v>25</v>
      </c>
      <c r="E17" s="108" t="s">
        <v>25</v>
      </c>
      <c r="F17" s="108" t="s">
        <v>89</v>
      </c>
      <c r="G17" s="108" t="s">
        <v>34</v>
      </c>
      <c r="H17" s="108" t="s">
        <v>82</v>
      </c>
      <c r="I17" s="108" t="s">
        <v>25</v>
      </c>
      <c r="J17" s="108">
        <v>1.06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0.82075772752145004</v>
      </c>
      <c r="AE17" s="108">
        <v>2.8148882523069699E-2</v>
      </c>
      <c r="AF17" s="108">
        <v>0.20658381185851801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8">
        <v>0</v>
      </c>
      <c r="AP17" s="108">
        <v>0</v>
      </c>
      <c r="AQ17" s="108">
        <v>0</v>
      </c>
      <c r="AR17" s="109">
        <v>0</v>
      </c>
    </row>
    <row r="18" spans="2:44" ht="12" customHeight="1" x14ac:dyDescent="0.25">
      <c r="B18" s="107" t="s">
        <v>38</v>
      </c>
      <c r="C18" s="108" t="s">
        <v>40</v>
      </c>
      <c r="D18" s="108" t="s">
        <v>25</v>
      </c>
      <c r="E18" s="108" t="s">
        <v>25</v>
      </c>
      <c r="F18" s="108" t="s">
        <v>25</v>
      </c>
      <c r="G18" s="108" t="s">
        <v>33</v>
      </c>
      <c r="H18" s="108" t="s">
        <v>82</v>
      </c>
      <c r="I18" s="108" t="s">
        <v>25</v>
      </c>
      <c r="J18" s="108">
        <v>37.700000000000003</v>
      </c>
      <c r="K18" s="108">
        <v>58.95</v>
      </c>
      <c r="L18" s="108">
        <v>0.341457856895026</v>
      </c>
      <c r="M18" s="108">
        <v>0</v>
      </c>
      <c r="N18" s="108">
        <v>0</v>
      </c>
      <c r="O18" s="108">
        <v>0</v>
      </c>
      <c r="P18" s="108">
        <v>0</v>
      </c>
      <c r="Q18" s="108">
        <v>12.657562599499</v>
      </c>
      <c r="R18" s="108">
        <v>3.2447097728911398</v>
      </c>
      <c r="S18" s="108">
        <v>0</v>
      </c>
      <c r="T18" s="108">
        <v>15.549382357062701</v>
      </c>
      <c r="U18" s="108">
        <v>4.8523007155615403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0.82075772752145004</v>
      </c>
      <c r="AE18" s="108">
        <v>2.8148882523069699E-2</v>
      </c>
      <c r="AF18" s="108">
        <v>0.20658381185851801</v>
      </c>
      <c r="AG18" s="108">
        <v>0</v>
      </c>
      <c r="AH18" s="108">
        <v>0.58855116936602403</v>
      </c>
      <c r="AI18" s="108">
        <v>0</v>
      </c>
      <c r="AJ18" s="108">
        <v>0</v>
      </c>
      <c r="AK18" s="108">
        <v>14.295575824123199</v>
      </c>
      <c r="AL18" s="108">
        <v>0</v>
      </c>
      <c r="AM18" s="108">
        <v>41.3159990997192</v>
      </c>
      <c r="AN18" s="108">
        <v>1.6515716592995799</v>
      </c>
      <c r="AO18" s="108">
        <v>0.35448719565218501</v>
      </c>
      <c r="AP18" s="108">
        <v>0</v>
      </c>
      <c r="AQ18" s="108">
        <v>0</v>
      </c>
      <c r="AR18" s="109">
        <v>0.742156352209148</v>
      </c>
    </row>
    <row r="19" spans="2:44" ht="12" customHeight="1" x14ac:dyDescent="0.25">
      <c r="B19" s="107" t="s">
        <v>38</v>
      </c>
      <c r="C19" s="108" t="s">
        <v>40</v>
      </c>
      <c r="D19" s="108" t="s">
        <v>25</v>
      </c>
      <c r="E19" s="108" t="s">
        <v>25</v>
      </c>
      <c r="F19" s="108" t="s">
        <v>25</v>
      </c>
      <c r="G19" s="108" t="s">
        <v>25</v>
      </c>
      <c r="H19" s="108" t="s">
        <v>80</v>
      </c>
      <c r="I19" s="108" t="s">
        <v>25</v>
      </c>
      <c r="J19" s="108">
        <v>0.55000000000000004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0.428047967971252</v>
      </c>
      <c r="U19" s="108">
        <v>0.125019236985491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  <c r="AO19" s="108">
        <v>0</v>
      </c>
      <c r="AP19" s="108">
        <v>0</v>
      </c>
      <c r="AQ19" s="108">
        <v>0</v>
      </c>
      <c r="AR19" s="109">
        <v>0</v>
      </c>
    </row>
    <row r="20" spans="2:44" ht="12" customHeight="1" x14ac:dyDescent="0.25">
      <c r="B20" s="107" t="s">
        <v>38</v>
      </c>
      <c r="C20" s="108" t="s">
        <v>40</v>
      </c>
      <c r="D20" s="108" t="s">
        <v>25</v>
      </c>
      <c r="E20" s="108" t="s">
        <v>25</v>
      </c>
      <c r="F20" s="108" t="s">
        <v>25</v>
      </c>
      <c r="G20" s="108" t="s">
        <v>34</v>
      </c>
      <c r="H20" s="108" t="s">
        <v>82</v>
      </c>
      <c r="I20" s="108" t="s">
        <v>25</v>
      </c>
      <c r="J20" s="108">
        <v>17.3</v>
      </c>
      <c r="K20" s="108">
        <v>41.65</v>
      </c>
      <c r="L20" s="108">
        <v>0.341457856895026</v>
      </c>
      <c r="M20" s="108">
        <v>0</v>
      </c>
      <c r="N20" s="108">
        <v>0</v>
      </c>
      <c r="O20" s="108">
        <v>0</v>
      </c>
      <c r="P20" s="108">
        <v>0</v>
      </c>
      <c r="Q20" s="108">
        <v>12.657562599499</v>
      </c>
      <c r="R20" s="108">
        <v>3.2447097728911398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0.82075772752145004</v>
      </c>
      <c r="AE20" s="108">
        <v>2.8148882523069699E-2</v>
      </c>
      <c r="AF20" s="108">
        <v>0.20658381185851801</v>
      </c>
      <c r="AG20" s="108">
        <v>0</v>
      </c>
      <c r="AH20" s="108">
        <v>0.58855116936602403</v>
      </c>
      <c r="AI20" s="108">
        <v>0</v>
      </c>
      <c r="AJ20" s="108">
        <v>0</v>
      </c>
      <c r="AK20" s="108">
        <v>14.295575824123199</v>
      </c>
      <c r="AL20" s="108">
        <v>0</v>
      </c>
      <c r="AM20" s="108">
        <v>24.0209297091391</v>
      </c>
      <c r="AN20" s="108">
        <v>1.6515716592995799</v>
      </c>
      <c r="AO20" s="108">
        <v>0.35448719565218501</v>
      </c>
      <c r="AP20" s="108">
        <v>0</v>
      </c>
      <c r="AQ20" s="108">
        <v>0</v>
      </c>
      <c r="AR20" s="109">
        <v>0.742156352209148</v>
      </c>
    </row>
    <row r="21" spans="2:44" ht="12" customHeight="1" x14ac:dyDescent="0.25">
      <c r="B21" s="107" t="s">
        <v>90</v>
      </c>
      <c r="C21" s="108" t="s">
        <v>59</v>
      </c>
      <c r="D21" s="108" t="s">
        <v>25</v>
      </c>
      <c r="E21" s="108" t="s">
        <v>25</v>
      </c>
      <c r="F21" s="108" t="s">
        <v>91</v>
      </c>
      <c r="G21" s="108" t="s">
        <v>25</v>
      </c>
      <c r="H21" s="108" t="s">
        <v>80</v>
      </c>
      <c r="I21" s="108" t="s">
        <v>25</v>
      </c>
      <c r="J21" s="108">
        <v>0</v>
      </c>
      <c r="K21" s="108">
        <v>0</v>
      </c>
      <c r="L21" s="108">
        <v>0</v>
      </c>
      <c r="M21" s="108">
        <v>0</v>
      </c>
      <c r="N21" s="108">
        <v>0</v>
      </c>
      <c r="O21" s="108">
        <v>0</v>
      </c>
      <c r="P21" s="108">
        <v>0</v>
      </c>
      <c r="Q21" s="108">
        <v>0</v>
      </c>
      <c r="R21" s="108">
        <v>0</v>
      </c>
      <c r="S21" s="108">
        <v>0</v>
      </c>
      <c r="T21" s="108">
        <v>0</v>
      </c>
      <c r="U21" s="108">
        <v>0</v>
      </c>
      <c r="V21" s="108">
        <v>0</v>
      </c>
      <c r="W21" s="108">
        <v>0</v>
      </c>
      <c r="X21" s="108">
        <v>0</v>
      </c>
      <c r="Y21" s="108">
        <v>0</v>
      </c>
      <c r="Z21" s="108">
        <v>0</v>
      </c>
      <c r="AA21" s="108">
        <v>0</v>
      </c>
      <c r="AB21" s="108">
        <v>0</v>
      </c>
      <c r="AC21" s="108">
        <v>0</v>
      </c>
      <c r="AD21" s="108">
        <v>0</v>
      </c>
      <c r="AE21" s="108">
        <v>0</v>
      </c>
      <c r="AF21" s="108">
        <v>0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0</v>
      </c>
      <c r="AR21" s="109">
        <v>0</v>
      </c>
    </row>
    <row r="22" spans="2:44" ht="12" customHeight="1" x14ac:dyDescent="0.25">
      <c r="B22" s="107" t="s">
        <v>90</v>
      </c>
      <c r="C22" s="108" t="s">
        <v>59</v>
      </c>
      <c r="D22" s="108" t="s">
        <v>25</v>
      </c>
      <c r="E22" s="108" t="s">
        <v>25</v>
      </c>
      <c r="F22" s="108" t="s">
        <v>92</v>
      </c>
      <c r="G22" s="108" t="s">
        <v>25</v>
      </c>
      <c r="H22" s="108" t="s">
        <v>80</v>
      </c>
      <c r="I22" s="108" t="s">
        <v>25</v>
      </c>
      <c r="J22" s="108">
        <v>0</v>
      </c>
      <c r="K22" s="108">
        <v>0</v>
      </c>
      <c r="L22" s="108">
        <v>0</v>
      </c>
      <c r="M22" s="108">
        <v>0</v>
      </c>
      <c r="N22" s="108">
        <v>0</v>
      </c>
      <c r="O22" s="108">
        <v>0</v>
      </c>
      <c r="P22" s="108">
        <v>0</v>
      </c>
      <c r="Q22" s="108">
        <v>0</v>
      </c>
      <c r="R22" s="108">
        <v>0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108">
        <v>0</v>
      </c>
      <c r="AD22" s="108">
        <v>0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8">
        <v>0</v>
      </c>
      <c r="AP22" s="108">
        <v>0</v>
      </c>
      <c r="AQ22" s="108">
        <v>0</v>
      </c>
      <c r="AR22" s="109">
        <v>0</v>
      </c>
    </row>
    <row r="23" spans="2:44" ht="12" customHeight="1" x14ac:dyDescent="0.25">
      <c r="B23" s="107" t="s">
        <v>22</v>
      </c>
      <c r="C23" s="108" t="s">
        <v>32</v>
      </c>
      <c r="D23" s="108" t="s">
        <v>24</v>
      </c>
      <c r="E23" s="108" t="s">
        <v>24</v>
      </c>
      <c r="F23" s="108" t="s">
        <v>25</v>
      </c>
      <c r="G23" s="108" t="s">
        <v>33</v>
      </c>
      <c r="H23" s="108" t="s">
        <v>82</v>
      </c>
      <c r="I23" s="108" t="s">
        <v>25</v>
      </c>
      <c r="J23" s="108">
        <v>33.119999999999997</v>
      </c>
      <c r="K23" s="108">
        <v>58.95</v>
      </c>
      <c r="L23" s="108">
        <v>0.40649744868455501</v>
      </c>
      <c r="M23" s="108">
        <v>0</v>
      </c>
      <c r="N23" s="108">
        <v>0</v>
      </c>
      <c r="O23" s="108">
        <v>0</v>
      </c>
      <c r="P23" s="108">
        <v>0</v>
      </c>
      <c r="Q23" s="108">
        <v>15.0685269041655</v>
      </c>
      <c r="R23" s="108">
        <v>3.2447097728911398</v>
      </c>
      <c r="S23" s="108">
        <v>0</v>
      </c>
      <c r="T23" s="108">
        <v>9.3556327096768204</v>
      </c>
      <c r="U23" s="108">
        <v>2.83544648295572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8">
        <v>0</v>
      </c>
      <c r="AD23" s="108">
        <v>1.86839200868129</v>
      </c>
      <c r="AE23" s="108">
        <v>6.4078771842007803E-2</v>
      </c>
      <c r="AF23" s="108">
        <v>0.27508186344607299</v>
      </c>
      <c r="AG23" s="108">
        <v>0</v>
      </c>
      <c r="AH23" s="108">
        <v>0.58855116936602403</v>
      </c>
      <c r="AI23" s="108">
        <v>0</v>
      </c>
      <c r="AJ23" s="108">
        <v>0</v>
      </c>
      <c r="AK23" s="108">
        <v>14.295575824123199</v>
      </c>
      <c r="AL23" s="108">
        <v>0</v>
      </c>
      <c r="AM23" s="108">
        <v>41.3159990997192</v>
      </c>
      <c r="AN23" s="108">
        <v>1.6515716592995799</v>
      </c>
      <c r="AO23" s="108">
        <v>0.35448719565218501</v>
      </c>
      <c r="AP23" s="108">
        <v>0</v>
      </c>
      <c r="AQ23" s="108">
        <v>0</v>
      </c>
      <c r="AR23" s="109">
        <v>0.742156352209148</v>
      </c>
    </row>
    <row r="24" spans="2:44" ht="12" customHeight="1" x14ac:dyDescent="0.25">
      <c r="B24" s="107" t="s">
        <v>22</v>
      </c>
      <c r="C24" s="108" t="s">
        <v>32</v>
      </c>
      <c r="D24" s="108" t="s">
        <v>24</v>
      </c>
      <c r="E24" s="108" t="s">
        <v>24</v>
      </c>
      <c r="F24" s="108" t="s">
        <v>25</v>
      </c>
      <c r="G24" s="108" t="s">
        <v>35</v>
      </c>
      <c r="H24" s="108" t="s">
        <v>82</v>
      </c>
      <c r="I24" s="108" t="s">
        <v>25</v>
      </c>
      <c r="J24" s="108">
        <v>27.02</v>
      </c>
      <c r="K24" s="108">
        <v>41.65</v>
      </c>
      <c r="L24" s="108">
        <v>0.40649744868455501</v>
      </c>
      <c r="M24" s="108">
        <v>0</v>
      </c>
      <c r="N24" s="108">
        <v>0</v>
      </c>
      <c r="O24" s="108">
        <v>0</v>
      </c>
      <c r="P24" s="108">
        <v>0</v>
      </c>
      <c r="Q24" s="108">
        <v>15.0685269041655</v>
      </c>
      <c r="R24" s="108">
        <v>3.2447097728911398</v>
      </c>
      <c r="S24" s="108">
        <v>0</v>
      </c>
      <c r="T24" s="108">
        <v>4.6778127778124503</v>
      </c>
      <c r="U24" s="108">
        <v>1.4177268199514399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108">
        <v>0</v>
      </c>
      <c r="AC24" s="108">
        <v>0</v>
      </c>
      <c r="AD24" s="108">
        <v>1.86839200868129</v>
      </c>
      <c r="AE24" s="108">
        <v>6.4078771842007803E-2</v>
      </c>
      <c r="AF24" s="108">
        <v>0.27508186344607299</v>
      </c>
      <c r="AG24" s="108">
        <v>0</v>
      </c>
      <c r="AH24" s="108">
        <v>0.58855116936602403</v>
      </c>
      <c r="AI24" s="108">
        <v>0</v>
      </c>
      <c r="AJ24" s="108">
        <v>0</v>
      </c>
      <c r="AK24" s="108">
        <v>14.295575824123199</v>
      </c>
      <c r="AL24" s="108">
        <v>0</v>
      </c>
      <c r="AM24" s="108">
        <v>24.0209297091391</v>
      </c>
      <c r="AN24" s="108">
        <v>1.6515716592995799</v>
      </c>
      <c r="AO24" s="108">
        <v>0.35448719565218501</v>
      </c>
      <c r="AP24" s="108">
        <v>0</v>
      </c>
      <c r="AQ24" s="108">
        <v>0</v>
      </c>
      <c r="AR24" s="109">
        <v>0.742156352209148</v>
      </c>
    </row>
    <row r="25" spans="2:44" ht="12" customHeight="1" x14ac:dyDescent="0.25">
      <c r="B25" s="107" t="s">
        <v>22</v>
      </c>
      <c r="C25" s="108" t="s">
        <v>32</v>
      </c>
      <c r="D25" s="108" t="s">
        <v>24</v>
      </c>
      <c r="E25" s="108" t="s">
        <v>24</v>
      </c>
      <c r="F25" s="108" t="s">
        <v>25</v>
      </c>
      <c r="G25" s="108" t="s">
        <v>34</v>
      </c>
      <c r="H25" s="108" t="s">
        <v>82</v>
      </c>
      <c r="I25" s="108" t="s">
        <v>25</v>
      </c>
      <c r="J25" s="108">
        <v>22.15</v>
      </c>
      <c r="K25" s="108">
        <v>41.65</v>
      </c>
      <c r="L25" s="108">
        <v>0.40649744868455501</v>
      </c>
      <c r="M25" s="108">
        <v>0</v>
      </c>
      <c r="N25" s="108">
        <v>0</v>
      </c>
      <c r="O25" s="108">
        <v>0</v>
      </c>
      <c r="P25" s="108">
        <v>0</v>
      </c>
      <c r="Q25" s="108">
        <v>15.0685269041655</v>
      </c>
      <c r="R25" s="108">
        <v>3.2447097728911398</v>
      </c>
      <c r="S25" s="108">
        <v>0</v>
      </c>
      <c r="T25" s="108">
        <v>0.93556398637287397</v>
      </c>
      <c r="U25" s="108">
        <v>0.28354393260085597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1.86839200868129</v>
      </c>
      <c r="AE25" s="108">
        <v>6.4078771842007803E-2</v>
      </c>
      <c r="AF25" s="108">
        <v>0.27508186344607299</v>
      </c>
      <c r="AG25" s="108">
        <v>0</v>
      </c>
      <c r="AH25" s="108">
        <v>0.58855116936602403</v>
      </c>
      <c r="AI25" s="108">
        <v>0</v>
      </c>
      <c r="AJ25" s="108">
        <v>0</v>
      </c>
      <c r="AK25" s="108">
        <v>14.295575824123199</v>
      </c>
      <c r="AL25" s="108">
        <v>0</v>
      </c>
      <c r="AM25" s="108">
        <v>24.0209297091391</v>
      </c>
      <c r="AN25" s="108">
        <v>1.6515716592995799</v>
      </c>
      <c r="AO25" s="108">
        <v>0.35448719565218501</v>
      </c>
      <c r="AP25" s="108">
        <v>0</v>
      </c>
      <c r="AQ25" s="108">
        <v>0</v>
      </c>
      <c r="AR25" s="109">
        <v>0.742156352209148</v>
      </c>
    </row>
    <row r="26" spans="2:44" ht="12" customHeight="1" x14ac:dyDescent="0.25">
      <c r="B26" s="107" t="s">
        <v>22</v>
      </c>
      <c r="C26" s="108" t="s">
        <v>23</v>
      </c>
      <c r="D26" s="108" t="s">
        <v>24</v>
      </c>
      <c r="E26" s="108" t="s">
        <v>1323</v>
      </c>
      <c r="F26" s="108" t="s">
        <v>25</v>
      </c>
      <c r="G26" s="108" t="s">
        <v>25</v>
      </c>
      <c r="H26" s="108" t="s">
        <v>82</v>
      </c>
      <c r="I26" s="108" t="s">
        <v>25</v>
      </c>
      <c r="J26" s="108">
        <v>5.59</v>
      </c>
      <c r="K26" s="108">
        <v>43.09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2.5987880561411001</v>
      </c>
      <c r="U26" s="108">
        <v>0.78762203500237804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108">
        <v>0</v>
      </c>
      <c r="AC26" s="108">
        <v>0</v>
      </c>
      <c r="AD26" s="108">
        <v>1.86839200868129</v>
      </c>
      <c r="AE26" s="108">
        <v>6.4078771842007803E-2</v>
      </c>
      <c r="AF26" s="108">
        <v>0.27508186344607299</v>
      </c>
      <c r="AG26" s="108">
        <v>0</v>
      </c>
      <c r="AH26" s="108">
        <v>0.58855116936602403</v>
      </c>
      <c r="AI26" s="108">
        <v>0</v>
      </c>
      <c r="AJ26" s="108">
        <v>0</v>
      </c>
      <c r="AK26" s="108">
        <v>14.295575824123199</v>
      </c>
      <c r="AL26" s="108">
        <v>0</v>
      </c>
      <c r="AM26" s="108">
        <v>25.4621854916874</v>
      </c>
      <c r="AN26" s="108">
        <v>1.6515716592995799</v>
      </c>
      <c r="AO26" s="108">
        <v>0.35448719565218501</v>
      </c>
      <c r="AP26" s="108">
        <v>0</v>
      </c>
      <c r="AQ26" s="108">
        <v>0</v>
      </c>
      <c r="AR26" s="109">
        <v>0.742156352209148</v>
      </c>
    </row>
    <row r="27" spans="2:44" ht="12" customHeight="1" x14ac:dyDescent="0.25">
      <c r="B27" s="107" t="s">
        <v>22</v>
      </c>
      <c r="C27" s="108" t="s">
        <v>23</v>
      </c>
      <c r="D27" s="108" t="s">
        <v>24</v>
      </c>
      <c r="E27" s="108" t="s">
        <v>24</v>
      </c>
      <c r="F27" s="108" t="s">
        <v>25</v>
      </c>
      <c r="G27" s="108" t="s">
        <v>25</v>
      </c>
      <c r="H27" s="108" t="s">
        <v>82</v>
      </c>
      <c r="I27" s="108" t="s">
        <v>25</v>
      </c>
      <c r="J27" s="108">
        <v>24.31</v>
      </c>
      <c r="K27" s="108">
        <v>43.09</v>
      </c>
      <c r="L27" s="108">
        <v>0.40649744868455501</v>
      </c>
      <c r="M27" s="108">
        <v>0</v>
      </c>
      <c r="N27" s="108">
        <v>0</v>
      </c>
      <c r="O27" s="108">
        <v>0</v>
      </c>
      <c r="P27" s="108">
        <v>0</v>
      </c>
      <c r="Q27" s="108">
        <v>15.0685269041655</v>
      </c>
      <c r="R27" s="108">
        <v>3.2447097728911398</v>
      </c>
      <c r="S27" s="108">
        <v>0</v>
      </c>
      <c r="T27" s="108">
        <v>2.5987880561411001</v>
      </c>
      <c r="U27" s="108">
        <v>0.78762203500237804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08">
        <v>0</v>
      </c>
      <c r="AB27" s="108">
        <v>0</v>
      </c>
      <c r="AC27" s="108">
        <v>0</v>
      </c>
      <c r="AD27" s="108">
        <v>1.86839200868129</v>
      </c>
      <c r="AE27" s="108">
        <v>6.4078771842007803E-2</v>
      </c>
      <c r="AF27" s="108">
        <v>0.27508186344607299</v>
      </c>
      <c r="AG27" s="108">
        <v>0</v>
      </c>
      <c r="AH27" s="108">
        <v>0.58855116936602403</v>
      </c>
      <c r="AI27" s="108">
        <v>0</v>
      </c>
      <c r="AJ27" s="108">
        <v>0</v>
      </c>
      <c r="AK27" s="108">
        <v>14.295575824123199</v>
      </c>
      <c r="AL27" s="108">
        <v>0</v>
      </c>
      <c r="AM27" s="108">
        <v>25.4621854916874</v>
      </c>
      <c r="AN27" s="108">
        <v>1.6515716592995799</v>
      </c>
      <c r="AO27" s="108">
        <v>0.35448719565218501</v>
      </c>
      <c r="AP27" s="108">
        <v>0</v>
      </c>
      <c r="AQ27" s="108">
        <v>0</v>
      </c>
      <c r="AR27" s="109">
        <v>0.742156352209148</v>
      </c>
    </row>
    <row r="28" spans="2:44" ht="12" customHeight="1" x14ac:dyDescent="0.25">
      <c r="B28" s="107" t="s">
        <v>22</v>
      </c>
      <c r="C28" s="108" t="s">
        <v>95</v>
      </c>
      <c r="D28" s="108" t="s">
        <v>24</v>
      </c>
      <c r="E28" s="108" t="s">
        <v>1323</v>
      </c>
      <c r="F28" s="108" t="s">
        <v>25</v>
      </c>
      <c r="G28" s="108" t="s">
        <v>25</v>
      </c>
      <c r="H28" s="108" t="s">
        <v>82</v>
      </c>
      <c r="I28" s="108" t="s">
        <v>25</v>
      </c>
      <c r="J28" s="108">
        <v>5.59</v>
      </c>
      <c r="K28" s="108">
        <v>43.09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2.5987880561411001</v>
      </c>
      <c r="U28" s="108">
        <v>0.78762203500237804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8">
        <v>0</v>
      </c>
      <c r="AC28" s="108">
        <v>0</v>
      </c>
      <c r="AD28" s="108">
        <v>1.86839200868129</v>
      </c>
      <c r="AE28" s="108">
        <v>6.4078771842007803E-2</v>
      </c>
      <c r="AF28" s="108">
        <v>0.27508186344607299</v>
      </c>
      <c r="AG28" s="108">
        <v>0</v>
      </c>
      <c r="AH28" s="108">
        <v>0.58855116936602403</v>
      </c>
      <c r="AI28" s="108">
        <v>0</v>
      </c>
      <c r="AJ28" s="108">
        <v>0</v>
      </c>
      <c r="AK28" s="108">
        <v>14.295575824123199</v>
      </c>
      <c r="AL28" s="108">
        <v>0</v>
      </c>
      <c r="AM28" s="108">
        <v>25.4621854916874</v>
      </c>
      <c r="AN28" s="108">
        <v>1.6515716592995799</v>
      </c>
      <c r="AO28" s="108">
        <v>0.35448719565218501</v>
      </c>
      <c r="AP28" s="108">
        <v>0</v>
      </c>
      <c r="AQ28" s="108">
        <v>0</v>
      </c>
      <c r="AR28" s="109">
        <v>0.742156352209148</v>
      </c>
    </row>
    <row r="29" spans="2:44" ht="12" customHeight="1" x14ac:dyDescent="0.25">
      <c r="B29" s="107" t="s">
        <v>22</v>
      </c>
      <c r="C29" s="108" t="s">
        <v>95</v>
      </c>
      <c r="D29" s="108" t="s">
        <v>24</v>
      </c>
      <c r="E29" s="108" t="s">
        <v>24</v>
      </c>
      <c r="F29" s="108" t="s">
        <v>25</v>
      </c>
      <c r="G29" s="108" t="s">
        <v>25</v>
      </c>
      <c r="H29" s="108" t="s">
        <v>82</v>
      </c>
      <c r="I29" s="108" t="s">
        <v>25</v>
      </c>
      <c r="J29" s="108">
        <v>24.31</v>
      </c>
      <c r="K29" s="108">
        <v>43.09</v>
      </c>
      <c r="L29" s="108">
        <v>0.40649744868455501</v>
      </c>
      <c r="M29" s="108">
        <v>0</v>
      </c>
      <c r="N29" s="108">
        <v>0</v>
      </c>
      <c r="O29" s="108">
        <v>0</v>
      </c>
      <c r="P29" s="108">
        <v>0</v>
      </c>
      <c r="Q29" s="108">
        <v>15.0685269041655</v>
      </c>
      <c r="R29" s="108">
        <v>3.2447097728911398</v>
      </c>
      <c r="S29" s="108">
        <v>0</v>
      </c>
      <c r="T29" s="108">
        <v>2.5987880561411001</v>
      </c>
      <c r="U29" s="108">
        <v>0.78762203500237804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108">
        <v>0</v>
      </c>
      <c r="AD29" s="108">
        <v>1.86839200868129</v>
      </c>
      <c r="AE29" s="108">
        <v>6.4078771842007803E-2</v>
      </c>
      <c r="AF29" s="108">
        <v>0.27508186344607299</v>
      </c>
      <c r="AG29" s="108">
        <v>0</v>
      </c>
      <c r="AH29" s="108">
        <v>0.58855116936602403</v>
      </c>
      <c r="AI29" s="108">
        <v>0</v>
      </c>
      <c r="AJ29" s="108">
        <v>0</v>
      </c>
      <c r="AK29" s="108">
        <v>14.295575824123199</v>
      </c>
      <c r="AL29" s="108">
        <v>0</v>
      </c>
      <c r="AM29" s="108">
        <v>25.4621854916874</v>
      </c>
      <c r="AN29" s="108">
        <v>1.6515716592995799</v>
      </c>
      <c r="AO29" s="108">
        <v>0.35448719565218501</v>
      </c>
      <c r="AP29" s="108">
        <v>0</v>
      </c>
      <c r="AQ29" s="108">
        <v>0</v>
      </c>
      <c r="AR29" s="109">
        <v>0.742156352209148</v>
      </c>
    </row>
    <row r="30" spans="2:44" ht="12" customHeight="1" x14ac:dyDescent="0.25">
      <c r="B30" s="107" t="s">
        <v>42</v>
      </c>
      <c r="C30" s="108" t="s">
        <v>32</v>
      </c>
      <c r="D30" s="108" t="s">
        <v>43</v>
      </c>
      <c r="E30" s="108" t="s">
        <v>96</v>
      </c>
      <c r="F30" s="108" t="s">
        <v>25</v>
      </c>
      <c r="G30" s="108" t="s">
        <v>33</v>
      </c>
      <c r="H30" s="108" t="s">
        <v>82</v>
      </c>
      <c r="I30" s="108" t="s">
        <v>25</v>
      </c>
      <c r="J30" s="108">
        <v>32.72</v>
      </c>
      <c r="K30" s="108">
        <v>55.41</v>
      </c>
      <c r="L30" s="108">
        <v>0.38210760176348102</v>
      </c>
      <c r="M30" s="108">
        <v>0</v>
      </c>
      <c r="N30" s="108">
        <v>0</v>
      </c>
      <c r="O30" s="108">
        <v>0</v>
      </c>
      <c r="P30" s="108">
        <v>0</v>
      </c>
      <c r="Q30" s="108">
        <v>14.1644152899155</v>
      </c>
      <c r="R30" s="108">
        <v>3.0500271865176698</v>
      </c>
      <c r="S30" s="108">
        <v>0</v>
      </c>
      <c r="T30" s="108">
        <v>10.0157217710781</v>
      </c>
      <c r="U30" s="108">
        <v>3.0355020504294901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08">
        <v>0</v>
      </c>
      <c r="AB30" s="108">
        <v>0</v>
      </c>
      <c r="AC30" s="108">
        <v>0</v>
      </c>
      <c r="AD30" s="108">
        <v>1.7562884881604099</v>
      </c>
      <c r="AE30" s="108">
        <v>6.0234045531487299E-2</v>
      </c>
      <c r="AF30" s="108">
        <v>0.25857695163930899</v>
      </c>
      <c r="AG30" s="108">
        <v>0</v>
      </c>
      <c r="AH30" s="108">
        <v>0.55323809920406197</v>
      </c>
      <c r="AI30" s="108">
        <v>0</v>
      </c>
      <c r="AJ30" s="108">
        <v>0</v>
      </c>
      <c r="AK30" s="108">
        <v>13.437841274675799</v>
      </c>
      <c r="AL30" s="108">
        <v>0</v>
      </c>
      <c r="AM30" s="108">
        <v>38.8370391537361</v>
      </c>
      <c r="AN30" s="108">
        <v>1.5524773597415999</v>
      </c>
      <c r="AO30" s="108">
        <v>0.33321796391305403</v>
      </c>
      <c r="AP30" s="108">
        <v>0</v>
      </c>
      <c r="AQ30" s="108">
        <v>0</v>
      </c>
      <c r="AR30" s="109">
        <v>0.69762697107659899</v>
      </c>
    </row>
    <row r="31" spans="2:44" ht="12" customHeight="1" x14ac:dyDescent="0.25">
      <c r="B31" s="107" t="s">
        <v>42</v>
      </c>
      <c r="C31" s="108" t="s">
        <v>32</v>
      </c>
      <c r="D31" s="108" t="s">
        <v>43</v>
      </c>
      <c r="E31" s="108" t="s">
        <v>96</v>
      </c>
      <c r="F31" s="108" t="s">
        <v>25</v>
      </c>
      <c r="G31" s="108" t="s">
        <v>35</v>
      </c>
      <c r="H31" s="108" t="s">
        <v>82</v>
      </c>
      <c r="I31" s="108" t="s">
        <v>25</v>
      </c>
      <c r="J31" s="108">
        <v>26.2</v>
      </c>
      <c r="K31" s="108">
        <v>39.15</v>
      </c>
      <c r="L31" s="108">
        <v>0.38210760176348102</v>
      </c>
      <c r="M31" s="108">
        <v>0</v>
      </c>
      <c r="N31" s="108">
        <v>0</v>
      </c>
      <c r="O31" s="108">
        <v>0</v>
      </c>
      <c r="P31" s="108">
        <v>0</v>
      </c>
      <c r="Q31" s="108">
        <v>14.1644152899155</v>
      </c>
      <c r="R31" s="108">
        <v>3.0500271865176698</v>
      </c>
      <c r="S31" s="108">
        <v>0</v>
      </c>
      <c r="T31" s="108">
        <v>5.0078642479434698</v>
      </c>
      <c r="U31" s="108">
        <v>1.5177510252147499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108">
        <v>0</v>
      </c>
      <c r="AD31" s="108">
        <v>1.7562884881604099</v>
      </c>
      <c r="AE31" s="108">
        <v>6.0234045531487299E-2</v>
      </c>
      <c r="AF31" s="108">
        <v>0.25857695163930899</v>
      </c>
      <c r="AG31" s="108">
        <v>0</v>
      </c>
      <c r="AH31" s="108">
        <v>0.55323809920406197</v>
      </c>
      <c r="AI31" s="108">
        <v>0</v>
      </c>
      <c r="AJ31" s="108">
        <v>0</v>
      </c>
      <c r="AK31" s="108">
        <v>13.437841274675799</v>
      </c>
      <c r="AL31" s="108">
        <v>0</v>
      </c>
      <c r="AM31" s="108">
        <v>22.579673926590701</v>
      </c>
      <c r="AN31" s="108">
        <v>1.5524773597415999</v>
      </c>
      <c r="AO31" s="108">
        <v>0.33321796391305403</v>
      </c>
      <c r="AP31" s="108">
        <v>0</v>
      </c>
      <c r="AQ31" s="108">
        <v>0</v>
      </c>
      <c r="AR31" s="109">
        <v>0.69762697107659899</v>
      </c>
    </row>
    <row r="32" spans="2:44" ht="12" customHeight="1" x14ac:dyDescent="0.25">
      <c r="B32" s="107" t="s">
        <v>42</v>
      </c>
      <c r="C32" s="108" t="s">
        <v>32</v>
      </c>
      <c r="D32" s="108" t="s">
        <v>43</v>
      </c>
      <c r="E32" s="108" t="s">
        <v>96</v>
      </c>
      <c r="F32" s="108" t="s">
        <v>25</v>
      </c>
      <c r="G32" s="108" t="s">
        <v>34</v>
      </c>
      <c r="H32" s="108" t="s">
        <v>82</v>
      </c>
      <c r="I32" s="108" t="s">
        <v>25</v>
      </c>
      <c r="J32" s="108">
        <v>20.98</v>
      </c>
      <c r="K32" s="108">
        <v>39.15</v>
      </c>
      <c r="L32" s="108">
        <v>0.38210760176348102</v>
      </c>
      <c r="M32" s="108">
        <v>0</v>
      </c>
      <c r="N32" s="108">
        <v>0</v>
      </c>
      <c r="O32" s="108">
        <v>0</v>
      </c>
      <c r="P32" s="108">
        <v>0</v>
      </c>
      <c r="Q32" s="108">
        <v>14.1644152899155</v>
      </c>
      <c r="R32" s="108">
        <v>3.0500271865176698</v>
      </c>
      <c r="S32" s="108">
        <v>0</v>
      </c>
      <c r="T32" s="108">
        <v>1.00157284958869</v>
      </c>
      <c r="U32" s="108">
        <v>0.30355289605508201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108">
        <v>0</v>
      </c>
      <c r="AC32" s="108">
        <v>0</v>
      </c>
      <c r="AD32" s="108">
        <v>1.7562884881604099</v>
      </c>
      <c r="AE32" s="108">
        <v>6.0234045531487299E-2</v>
      </c>
      <c r="AF32" s="108">
        <v>0.25857695163930899</v>
      </c>
      <c r="AG32" s="108">
        <v>0</v>
      </c>
      <c r="AH32" s="108">
        <v>0.55323809920406197</v>
      </c>
      <c r="AI32" s="108">
        <v>0</v>
      </c>
      <c r="AJ32" s="108">
        <v>0</v>
      </c>
      <c r="AK32" s="108">
        <v>13.437841274675799</v>
      </c>
      <c r="AL32" s="108">
        <v>0</v>
      </c>
      <c r="AM32" s="108">
        <v>22.579673926590701</v>
      </c>
      <c r="AN32" s="108">
        <v>1.5524773597415999</v>
      </c>
      <c r="AO32" s="108">
        <v>0.33321796391305403</v>
      </c>
      <c r="AP32" s="108">
        <v>0</v>
      </c>
      <c r="AQ32" s="108">
        <v>0</v>
      </c>
      <c r="AR32" s="109">
        <v>0.69762697107659899</v>
      </c>
    </row>
    <row r="33" spans="2:44" ht="12" customHeight="1" x14ac:dyDescent="0.25">
      <c r="B33" s="107" t="s">
        <v>42</v>
      </c>
      <c r="C33" s="108" t="s">
        <v>32</v>
      </c>
      <c r="D33" s="108" t="s">
        <v>43</v>
      </c>
      <c r="E33" s="108" t="s">
        <v>25</v>
      </c>
      <c r="F33" s="108" t="s">
        <v>25</v>
      </c>
      <c r="G33" s="108" t="s">
        <v>33</v>
      </c>
      <c r="H33" s="108" t="s">
        <v>82</v>
      </c>
      <c r="I33" s="108" t="s">
        <v>25</v>
      </c>
      <c r="J33" s="108">
        <v>32.72</v>
      </c>
      <c r="K33" s="108">
        <v>55.41</v>
      </c>
      <c r="L33" s="108">
        <v>0.38210760176348102</v>
      </c>
      <c r="M33" s="108">
        <v>0</v>
      </c>
      <c r="N33" s="108">
        <v>0</v>
      </c>
      <c r="O33" s="108">
        <v>0</v>
      </c>
      <c r="P33" s="108">
        <v>0</v>
      </c>
      <c r="Q33" s="108">
        <v>14.1644152899155</v>
      </c>
      <c r="R33" s="108">
        <v>3.0500271865176698</v>
      </c>
      <c r="S33" s="108">
        <v>0</v>
      </c>
      <c r="T33" s="108">
        <v>10.0157217710781</v>
      </c>
      <c r="U33" s="108">
        <v>3.0355020504294901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108">
        <v>0</v>
      </c>
      <c r="AC33" s="108">
        <v>0</v>
      </c>
      <c r="AD33" s="108">
        <v>1.7562884881604099</v>
      </c>
      <c r="AE33" s="108">
        <v>6.0234045531487299E-2</v>
      </c>
      <c r="AF33" s="108">
        <v>0.25857695163930899</v>
      </c>
      <c r="AG33" s="108">
        <v>0</v>
      </c>
      <c r="AH33" s="108">
        <v>0.55323809920406197</v>
      </c>
      <c r="AI33" s="108">
        <v>0</v>
      </c>
      <c r="AJ33" s="108">
        <v>0</v>
      </c>
      <c r="AK33" s="108">
        <v>13.437841274675799</v>
      </c>
      <c r="AL33" s="108">
        <v>0</v>
      </c>
      <c r="AM33" s="108">
        <v>38.8370391537361</v>
      </c>
      <c r="AN33" s="108">
        <v>1.5524773597415999</v>
      </c>
      <c r="AO33" s="108">
        <v>0.33321796391305403</v>
      </c>
      <c r="AP33" s="108">
        <v>0</v>
      </c>
      <c r="AQ33" s="108">
        <v>0</v>
      </c>
      <c r="AR33" s="109">
        <v>0.69762697107659899</v>
      </c>
    </row>
    <row r="34" spans="2:44" ht="12" customHeight="1" x14ac:dyDescent="0.25">
      <c r="B34" s="107" t="s">
        <v>42</v>
      </c>
      <c r="C34" s="108" t="s">
        <v>32</v>
      </c>
      <c r="D34" s="108" t="s">
        <v>43</v>
      </c>
      <c r="E34" s="108" t="s">
        <v>25</v>
      </c>
      <c r="F34" s="108" t="s">
        <v>25</v>
      </c>
      <c r="G34" s="108" t="s">
        <v>35</v>
      </c>
      <c r="H34" s="108" t="s">
        <v>82</v>
      </c>
      <c r="I34" s="108" t="s">
        <v>25</v>
      </c>
      <c r="J34" s="108">
        <v>26.2</v>
      </c>
      <c r="K34" s="108">
        <v>39.15</v>
      </c>
      <c r="L34" s="108">
        <v>0.38210760176348102</v>
      </c>
      <c r="M34" s="108">
        <v>0</v>
      </c>
      <c r="N34" s="108">
        <v>0</v>
      </c>
      <c r="O34" s="108">
        <v>0</v>
      </c>
      <c r="P34" s="108">
        <v>0</v>
      </c>
      <c r="Q34" s="108">
        <v>14.1644152899155</v>
      </c>
      <c r="R34" s="108">
        <v>3.0500271865176698</v>
      </c>
      <c r="S34" s="108">
        <v>0</v>
      </c>
      <c r="T34" s="108">
        <v>5.0078642479434698</v>
      </c>
      <c r="U34" s="108">
        <v>1.5177510252147499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8">
        <v>1.7562884881604099</v>
      </c>
      <c r="AE34" s="108">
        <v>6.0234045531487299E-2</v>
      </c>
      <c r="AF34" s="108">
        <v>0.25857695163930899</v>
      </c>
      <c r="AG34" s="108">
        <v>0</v>
      </c>
      <c r="AH34" s="108">
        <v>0.55323809920406197</v>
      </c>
      <c r="AI34" s="108">
        <v>0</v>
      </c>
      <c r="AJ34" s="108">
        <v>0</v>
      </c>
      <c r="AK34" s="108">
        <v>13.437841274675799</v>
      </c>
      <c r="AL34" s="108">
        <v>0</v>
      </c>
      <c r="AM34" s="108">
        <v>22.579673926590701</v>
      </c>
      <c r="AN34" s="108">
        <v>1.5524773597415999</v>
      </c>
      <c r="AO34" s="108">
        <v>0.33321796391305403</v>
      </c>
      <c r="AP34" s="108">
        <v>0</v>
      </c>
      <c r="AQ34" s="108">
        <v>0</v>
      </c>
      <c r="AR34" s="109">
        <v>0.69762697107659899</v>
      </c>
    </row>
    <row r="35" spans="2:44" ht="12" customHeight="1" x14ac:dyDescent="0.25">
      <c r="B35" s="107" t="s">
        <v>42</v>
      </c>
      <c r="C35" s="108" t="s">
        <v>32</v>
      </c>
      <c r="D35" s="108" t="s">
        <v>43</v>
      </c>
      <c r="E35" s="108" t="s">
        <v>25</v>
      </c>
      <c r="F35" s="108" t="s">
        <v>25</v>
      </c>
      <c r="G35" s="108" t="s">
        <v>34</v>
      </c>
      <c r="H35" s="108" t="s">
        <v>82</v>
      </c>
      <c r="I35" s="108" t="s">
        <v>25</v>
      </c>
      <c r="J35" s="108">
        <v>20.98</v>
      </c>
      <c r="K35" s="108">
        <v>39.15</v>
      </c>
      <c r="L35" s="108">
        <v>0.38210760176348102</v>
      </c>
      <c r="M35" s="108">
        <v>0</v>
      </c>
      <c r="N35" s="108">
        <v>0</v>
      </c>
      <c r="O35" s="108">
        <v>0</v>
      </c>
      <c r="P35" s="108">
        <v>0</v>
      </c>
      <c r="Q35" s="108">
        <v>14.1644152899155</v>
      </c>
      <c r="R35" s="108">
        <v>3.0500271865176698</v>
      </c>
      <c r="S35" s="108">
        <v>0</v>
      </c>
      <c r="T35" s="108">
        <v>1.00157284958869</v>
      </c>
      <c r="U35" s="108">
        <v>0.30355289605508201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108">
        <v>0</v>
      </c>
      <c r="AC35" s="108">
        <v>0</v>
      </c>
      <c r="AD35" s="108">
        <v>1.7562884881604099</v>
      </c>
      <c r="AE35" s="108">
        <v>6.0234045531487299E-2</v>
      </c>
      <c r="AF35" s="108">
        <v>0.25857695163930899</v>
      </c>
      <c r="AG35" s="108">
        <v>0</v>
      </c>
      <c r="AH35" s="108">
        <v>0.55323809920406197</v>
      </c>
      <c r="AI35" s="108">
        <v>0</v>
      </c>
      <c r="AJ35" s="108">
        <v>0</v>
      </c>
      <c r="AK35" s="108">
        <v>13.437841274675799</v>
      </c>
      <c r="AL35" s="108">
        <v>0</v>
      </c>
      <c r="AM35" s="108">
        <v>22.579673926590701</v>
      </c>
      <c r="AN35" s="108">
        <v>1.5524773597415999</v>
      </c>
      <c r="AO35" s="108">
        <v>0.33321796391305403</v>
      </c>
      <c r="AP35" s="108">
        <v>0</v>
      </c>
      <c r="AQ35" s="108">
        <v>0</v>
      </c>
      <c r="AR35" s="109">
        <v>0.69762697107659899</v>
      </c>
    </row>
    <row r="36" spans="2:44" ht="12" customHeight="1" x14ac:dyDescent="0.25">
      <c r="B36" s="107" t="s">
        <v>42</v>
      </c>
      <c r="C36" s="108" t="s">
        <v>32</v>
      </c>
      <c r="D36" s="108" t="s">
        <v>43</v>
      </c>
      <c r="E36" s="108" t="s">
        <v>97</v>
      </c>
      <c r="F36" s="108" t="s">
        <v>25</v>
      </c>
      <c r="G36" s="108" t="s">
        <v>33</v>
      </c>
      <c r="H36" s="108" t="s">
        <v>82</v>
      </c>
      <c r="I36" s="108" t="s">
        <v>25</v>
      </c>
      <c r="J36" s="108">
        <v>32.03</v>
      </c>
      <c r="K36" s="108">
        <v>54.23</v>
      </c>
      <c r="L36" s="108">
        <v>0.37397765278979</v>
      </c>
      <c r="M36" s="108">
        <v>0</v>
      </c>
      <c r="N36" s="108">
        <v>0</v>
      </c>
      <c r="O36" s="108">
        <v>0</v>
      </c>
      <c r="P36" s="108">
        <v>0</v>
      </c>
      <c r="Q36" s="108">
        <v>13.8630447518322</v>
      </c>
      <c r="R36" s="108">
        <v>2.9851329910598499</v>
      </c>
      <c r="S36" s="108">
        <v>0</v>
      </c>
      <c r="T36" s="108">
        <v>9.8026213078636992</v>
      </c>
      <c r="U36" s="108">
        <v>2.9709169004203599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108">
        <v>0</v>
      </c>
      <c r="AC36" s="108">
        <v>0</v>
      </c>
      <c r="AD36" s="108">
        <v>1.71892064798678</v>
      </c>
      <c r="AE36" s="108">
        <v>5.89524700946472E-2</v>
      </c>
      <c r="AF36" s="108">
        <v>0.25307531437038799</v>
      </c>
      <c r="AG36" s="108">
        <v>0</v>
      </c>
      <c r="AH36" s="108">
        <v>0.54146707581674203</v>
      </c>
      <c r="AI36" s="108">
        <v>0</v>
      </c>
      <c r="AJ36" s="108">
        <v>0</v>
      </c>
      <c r="AK36" s="108">
        <v>13.151929758193299</v>
      </c>
      <c r="AL36" s="108">
        <v>0</v>
      </c>
      <c r="AM36" s="108">
        <v>38.010719171741698</v>
      </c>
      <c r="AN36" s="108">
        <v>1.5194459265556099</v>
      </c>
      <c r="AO36" s="108">
        <v>0.32612822000001002</v>
      </c>
      <c r="AP36" s="108">
        <v>0</v>
      </c>
      <c r="AQ36" s="108">
        <v>0</v>
      </c>
      <c r="AR36" s="109">
        <v>0.68278384403241599</v>
      </c>
    </row>
    <row r="37" spans="2:44" ht="12" customHeight="1" x14ac:dyDescent="0.25">
      <c r="B37" s="107" t="s">
        <v>42</v>
      </c>
      <c r="C37" s="108" t="s">
        <v>32</v>
      </c>
      <c r="D37" s="108" t="s">
        <v>43</v>
      </c>
      <c r="E37" s="108" t="s">
        <v>97</v>
      </c>
      <c r="F37" s="108" t="s">
        <v>25</v>
      </c>
      <c r="G37" s="108" t="s">
        <v>35</v>
      </c>
      <c r="H37" s="108" t="s">
        <v>82</v>
      </c>
      <c r="I37" s="108" t="s">
        <v>25</v>
      </c>
      <c r="J37" s="108">
        <v>25.64</v>
      </c>
      <c r="K37" s="108">
        <v>38.32</v>
      </c>
      <c r="L37" s="108">
        <v>0.37397765278979</v>
      </c>
      <c r="M37" s="108">
        <v>0</v>
      </c>
      <c r="N37" s="108">
        <v>0</v>
      </c>
      <c r="O37" s="108">
        <v>0</v>
      </c>
      <c r="P37" s="108">
        <v>0</v>
      </c>
      <c r="Q37" s="108">
        <v>13.8630447518322</v>
      </c>
      <c r="R37" s="108">
        <v>2.9851329910598499</v>
      </c>
      <c r="S37" s="108">
        <v>0</v>
      </c>
      <c r="T37" s="108">
        <v>4.9013139447957403</v>
      </c>
      <c r="U37" s="108">
        <v>1.48545845021018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8">
        <v>0</v>
      </c>
      <c r="AC37" s="108">
        <v>0</v>
      </c>
      <c r="AD37" s="108">
        <v>1.71892064798678</v>
      </c>
      <c r="AE37" s="108">
        <v>5.89524700946472E-2</v>
      </c>
      <c r="AF37" s="108">
        <v>0.25307531437038799</v>
      </c>
      <c r="AG37" s="108">
        <v>0</v>
      </c>
      <c r="AH37" s="108">
        <v>0.54146707581674203</v>
      </c>
      <c r="AI37" s="108">
        <v>0</v>
      </c>
      <c r="AJ37" s="108">
        <v>0</v>
      </c>
      <c r="AK37" s="108">
        <v>13.151929758193299</v>
      </c>
      <c r="AL37" s="108">
        <v>0</v>
      </c>
      <c r="AM37" s="108">
        <v>22.0992553324079</v>
      </c>
      <c r="AN37" s="108">
        <v>1.5194459265556099</v>
      </c>
      <c r="AO37" s="108">
        <v>0.32612822000001002</v>
      </c>
      <c r="AP37" s="108">
        <v>0</v>
      </c>
      <c r="AQ37" s="108">
        <v>0</v>
      </c>
      <c r="AR37" s="109">
        <v>0.68278384403241599</v>
      </c>
    </row>
    <row r="38" spans="2:44" ht="12" customHeight="1" x14ac:dyDescent="0.25">
      <c r="B38" s="107" t="s">
        <v>42</v>
      </c>
      <c r="C38" s="108" t="s">
        <v>32</v>
      </c>
      <c r="D38" s="108" t="s">
        <v>43</v>
      </c>
      <c r="E38" s="108" t="s">
        <v>97</v>
      </c>
      <c r="F38" s="108" t="s">
        <v>25</v>
      </c>
      <c r="G38" s="108" t="s">
        <v>34</v>
      </c>
      <c r="H38" s="108" t="s">
        <v>82</v>
      </c>
      <c r="I38" s="108" t="s">
        <v>25</v>
      </c>
      <c r="J38" s="108">
        <v>20.53</v>
      </c>
      <c r="K38" s="108">
        <v>38.32</v>
      </c>
      <c r="L38" s="108">
        <v>0.37397765278979</v>
      </c>
      <c r="M38" s="108">
        <v>0</v>
      </c>
      <c r="N38" s="108">
        <v>0</v>
      </c>
      <c r="O38" s="108">
        <v>0</v>
      </c>
      <c r="P38" s="108">
        <v>0</v>
      </c>
      <c r="Q38" s="108">
        <v>13.8630447518322</v>
      </c>
      <c r="R38" s="108">
        <v>2.9851329910598499</v>
      </c>
      <c r="S38" s="108">
        <v>0</v>
      </c>
      <c r="T38" s="108">
        <v>0.98026278895914698</v>
      </c>
      <c r="U38" s="108">
        <v>0.29709432379859102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8">
        <v>1.71892064798678</v>
      </c>
      <c r="AE38" s="108">
        <v>5.89524700946472E-2</v>
      </c>
      <c r="AF38" s="108">
        <v>0.25307531437038799</v>
      </c>
      <c r="AG38" s="108">
        <v>0</v>
      </c>
      <c r="AH38" s="108">
        <v>0.54146707581674203</v>
      </c>
      <c r="AI38" s="108">
        <v>0</v>
      </c>
      <c r="AJ38" s="108">
        <v>0</v>
      </c>
      <c r="AK38" s="108">
        <v>13.151929758193299</v>
      </c>
      <c r="AL38" s="108">
        <v>0</v>
      </c>
      <c r="AM38" s="108">
        <v>22.0992553324079</v>
      </c>
      <c r="AN38" s="108">
        <v>1.5194459265556099</v>
      </c>
      <c r="AO38" s="108">
        <v>0.32612822000001002</v>
      </c>
      <c r="AP38" s="108">
        <v>0</v>
      </c>
      <c r="AQ38" s="108">
        <v>0</v>
      </c>
      <c r="AR38" s="109">
        <v>0.68278384403241599</v>
      </c>
    </row>
    <row r="39" spans="2:44" ht="12" customHeight="1" x14ac:dyDescent="0.25">
      <c r="B39" s="107" t="s">
        <v>42</v>
      </c>
      <c r="C39" s="108" t="s">
        <v>23</v>
      </c>
      <c r="D39" s="108" t="s">
        <v>43</v>
      </c>
      <c r="E39" s="108" t="s">
        <v>96</v>
      </c>
      <c r="F39" s="108" t="s">
        <v>25</v>
      </c>
      <c r="G39" s="108" t="s">
        <v>25</v>
      </c>
      <c r="H39" s="108" t="s">
        <v>82</v>
      </c>
      <c r="I39" s="108" t="s">
        <v>25</v>
      </c>
      <c r="J39" s="108">
        <v>22.85</v>
      </c>
      <c r="K39" s="108">
        <v>40.51</v>
      </c>
      <c r="L39" s="108">
        <v>0.38210760176348102</v>
      </c>
      <c r="M39" s="108">
        <v>0</v>
      </c>
      <c r="N39" s="108">
        <v>0</v>
      </c>
      <c r="O39" s="108">
        <v>0</v>
      </c>
      <c r="P39" s="108">
        <v>0</v>
      </c>
      <c r="Q39" s="108">
        <v>14.1644152899155</v>
      </c>
      <c r="R39" s="108">
        <v>3.0500271865176698</v>
      </c>
      <c r="S39" s="108">
        <v>0</v>
      </c>
      <c r="T39" s="108">
        <v>2.4428607727726401</v>
      </c>
      <c r="U39" s="108">
        <v>0.74036471290223504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108">
        <v>0</v>
      </c>
      <c r="AD39" s="108">
        <v>1.7562884881604099</v>
      </c>
      <c r="AE39" s="108">
        <v>6.0234045531487299E-2</v>
      </c>
      <c r="AF39" s="108">
        <v>0.25857695163930899</v>
      </c>
      <c r="AG39" s="108">
        <v>0</v>
      </c>
      <c r="AH39" s="108">
        <v>0.55323809920406197</v>
      </c>
      <c r="AI39" s="108">
        <v>0</v>
      </c>
      <c r="AJ39" s="108">
        <v>0</v>
      </c>
      <c r="AK39" s="108">
        <v>13.437841274675799</v>
      </c>
      <c r="AL39" s="108">
        <v>0</v>
      </c>
      <c r="AM39" s="108">
        <v>23.934454362186202</v>
      </c>
      <c r="AN39" s="108">
        <v>1.5524773597415999</v>
      </c>
      <c r="AO39" s="108">
        <v>0.33321796391305403</v>
      </c>
      <c r="AP39" s="108">
        <v>0</v>
      </c>
      <c r="AQ39" s="108">
        <v>0</v>
      </c>
      <c r="AR39" s="109">
        <v>0.69762697107659899</v>
      </c>
    </row>
    <row r="40" spans="2:44" ht="12" customHeight="1" x14ac:dyDescent="0.25">
      <c r="B40" s="107" t="s">
        <v>42</v>
      </c>
      <c r="C40" s="108" t="s">
        <v>23</v>
      </c>
      <c r="D40" s="108" t="s">
        <v>43</v>
      </c>
      <c r="E40" s="108" t="s">
        <v>25</v>
      </c>
      <c r="F40" s="108" t="s">
        <v>25</v>
      </c>
      <c r="G40" s="108" t="s">
        <v>25</v>
      </c>
      <c r="H40" s="108" t="s">
        <v>82</v>
      </c>
      <c r="I40" s="108" t="s">
        <v>25</v>
      </c>
      <c r="J40" s="108">
        <v>22.85</v>
      </c>
      <c r="K40" s="108">
        <v>40.51</v>
      </c>
      <c r="L40" s="108">
        <v>0.38210760176348102</v>
      </c>
      <c r="M40" s="108">
        <v>0</v>
      </c>
      <c r="N40" s="108">
        <v>0</v>
      </c>
      <c r="O40" s="108">
        <v>0</v>
      </c>
      <c r="P40" s="108">
        <v>0</v>
      </c>
      <c r="Q40" s="108">
        <v>14.1644152899155</v>
      </c>
      <c r="R40" s="108">
        <v>3.0500271865176698</v>
      </c>
      <c r="S40" s="108">
        <v>0</v>
      </c>
      <c r="T40" s="108">
        <v>2.4428607727726401</v>
      </c>
      <c r="U40" s="108">
        <v>0.74036471290223504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8">
        <v>0</v>
      </c>
      <c r="AD40" s="108">
        <v>1.7562884881604099</v>
      </c>
      <c r="AE40" s="108">
        <v>6.0234045531487299E-2</v>
      </c>
      <c r="AF40" s="108">
        <v>0.25857695163930899</v>
      </c>
      <c r="AG40" s="108">
        <v>0</v>
      </c>
      <c r="AH40" s="108">
        <v>0.55323809920406197</v>
      </c>
      <c r="AI40" s="108">
        <v>0</v>
      </c>
      <c r="AJ40" s="108">
        <v>0</v>
      </c>
      <c r="AK40" s="108">
        <v>13.437841274675799</v>
      </c>
      <c r="AL40" s="108">
        <v>0</v>
      </c>
      <c r="AM40" s="108">
        <v>23.934454362186202</v>
      </c>
      <c r="AN40" s="108">
        <v>1.5524773597415999</v>
      </c>
      <c r="AO40" s="108">
        <v>0.33321796391305403</v>
      </c>
      <c r="AP40" s="108">
        <v>0</v>
      </c>
      <c r="AQ40" s="108">
        <v>0</v>
      </c>
      <c r="AR40" s="109">
        <v>0.69762697107659899</v>
      </c>
    </row>
    <row r="41" spans="2:44" ht="12" customHeight="1" x14ac:dyDescent="0.25">
      <c r="B41" s="107" t="s">
        <v>42</v>
      </c>
      <c r="C41" s="108" t="s">
        <v>23</v>
      </c>
      <c r="D41" s="108" t="s">
        <v>43</v>
      </c>
      <c r="E41" s="108" t="s">
        <v>97</v>
      </c>
      <c r="F41" s="108" t="s">
        <v>25</v>
      </c>
      <c r="G41" s="108" t="s">
        <v>25</v>
      </c>
      <c r="H41" s="108" t="s">
        <v>82</v>
      </c>
      <c r="I41" s="108" t="s">
        <v>25</v>
      </c>
      <c r="J41" s="108">
        <v>22.37</v>
      </c>
      <c r="K41" s="108">
        <v>39.65</v>
      </c>
      <c r="L41" s="108">
        <v>0.37397765278979</v>
      </c>
      <c r="M41" s="108">
        <v>0</v>
      </c>
      <c r="N41" s="108">
        <v>0</v>
      </c>
      <c r="O41" s="108">
        <v>0</v>
      </c>
      <c r="P41" s="108">
        <v>0</v>
      </c>
      <c r="Q41" s="108">
        <v>13.8630447518322</v>
      </c>
      <c r="R41" s="108">
        <v>2.9851329910598499</v>
      </c>
      <c r="S41" s="108">
        <v>0</v>
      </c>
      <c r="T41" s="108">
        <v>2.3908850116498201</v>
      </c>
      <c r="U41" s="108">
        <v>0.72461227220218705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108">
        <v>0</v>
      </c>
      <c r="AD41" s="108">
        <v>1.71892064798678</v>
      </c>
      <c r="AE41" s="108">
        <v>5.89524700946472E-2</v>
      </c>
      <c r="AF41" s="108">
        <v>0.25307531437038799</v>
      </c>
      <c r="AG41" s="108">
        <v>0</v>
      </c>
      <c r="AH41" s="108">
        <v>0.54146707581674203</v>
      </c>
      <c r="AI41" s="108">
        <v>0</v>
      </c>
      <c r="AJ41" s="108">
        <v>0</v>
      </c>
      <c r="AK41" s="108">
        <v>13.151929758193299</v>
      </c>
      <c r="AL41" s="108">
        <v>0</v>
      </c>
      <c r="AM41" s="108">
        <v>23.425210652352401</v>
      </c>
      <c r="AN41" s="108">
        <v>1.5194459265556099</v>
      </c>
      <c r="AO41" s="108">
        <v>0.32612822000001002</v>
      </c>
      <c r="AP41" s="108">
        <v>0</v>
      </c>
      <c r="AQ41" s="108">
        <v>0</v>
      </c>
      <c r="AR41" s="109">
        <v>0.68278384403241599</v>
      </c>
    </row>
    <row r="42" spans="2:44" ht="12" customHeight="1" x14ac:dyDescent="0.25">
      <c r="B42" s="107" t="s">
        <v>42</v>
      </c>
      <c r="C42" s="108" t="s">
        <v>95</v>
      </c>
      <c r="D42" s="108" t="s">
        <v>43</v>
      </c>
      <c r="E42" s="108" t="s">
        <v>96</v>
      </c>
      <c r="F42" s="108" t="s">
        <v>25</v>
      </c>
      <c r="G42" s="108" t="s">
        <v>25</v>
      </c>
      <c r="H42" s="108" t="s">
        <v>82</v>
      </c>
      <c r="I42" s="108" t="s">
        <v>25</v>
      </c>
      <c r="J42" s="108">
        <v>22.85</v>
      </c>
      <c r="K42" s="108">
        <v>40.51</v>
      </c>
      <c r="L42" s="108">
        <v>0.38210760176348102</v>
      </c>
      <c r="M42" s="108">
        <v>0</v>
      </c>
      <c r="N42" s="108">
        <v>0</v>
      </c>
      <c r="O42" s="108">
        <v>0</v>
      </c>
      <c r="P42" s="108">
        <v>0</v>
      </c>
      <c r="Q42" s="108">
        <v>14.1644152899155</v>
      </c>
      <c r="R42" s="108">
        <v>3.0500271865176698</v>
      </c>
      <c r="S42" s="108">
        <v>0</v>
      </c>
      <c r="T42" s="108">
        <v>2.4428607727726401</v>
      </c>
      <c r="U42" s="108">
        <v>0.74036471290223504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108">
        <v>0</v>
      </c>
      <c r="AD42" s="108">
        <v>1.7562884881604099</v>
      </c>
      <c r="AE42" s="108">
        <v>6.0234045531487299E-2</v>
      </c>
      <c r="AF42" s="108">
        <v>0.25857695163930899</v>
      </c>
      <c r="AG42" s="108">
        <v>0</v>
      </c>
      <c r="AH42" s="108">
        <v>0.55323809920406197</v>
      </c>
      <c r="AI42" s="108">
        <v>0</v>
      </c>
      <c r="AJ42" s="108">
        <v>0</v>
      </c>
      <c r="AK42" s="108">
        <v>13.437841274675799</v>
      </c>
      <c r="AL42" s="108">
        <v>0</v>
      </c>
      <c r="AM42" s="108">
        <v>23.934454362186202</v>
      </c>
      <c r="AN42" s="108">
        <v>1.5524773597415999</v>
      </c>
      <c r="AO42" s="108">
        <v>0.33321796391305403</v>
      </c>
      <c r="AP42" s="108">
        <v>0</v>
      </c>
      <c r="AQ42" s="108">
        <v>0</v>
      </c>
      <c r="AR42" s="109">
        <v>0.69762697107659899</v>
      </c>
    </row>
    <row r="43" spans="2:44" ht="12" customHeight="1" x14ac:dyDescent="0.25">
      <c r="B43" s="107" t="s">
        <v>42</v>
      </c>
      <c r="C43" s="108" t="s">
        <v>95</v>
      </c>
      <c r="D43" s="108" t="s">
        <v>43</v>
      </c>
      <c r="E43" s="108" t="s">
        <v>25</v>
      </c>
      <c r="F43" s="108" t="s">
        <v>25</v>
      </c>
      <c r="G43" s="108" t="s">
        <v>25</v>
      </c>
      <c r="H43" s="108" t="s">
        <v>82</v>
      </c>
      <c r="I43" s="108" t="s">
        <v>25</v>
      </c>
      <c r="J43" s="108">
        <v>22.85</v>
      </c>
      <c r="K43" s="108">
        <v>40.51</v>
      </c>
      <c r="L43" s="108">
        <v>0.38210760176348102</v>
      </c>
      <c r="M43" s="108">
        <v>0</v>
      </c>
      <c r="N43" s="108">
        <v>0</v>
      </c>
      <c r="O43" s="108">
        <v>0</v>
      </c>
      <c r="P43" s="108">
        <v>0</v>
      </c>
      <c r="Q43" s="108">
        <v>14.1644152899155</v>
      </c>
      <c r="R43" s="108">
        <v>3.0500271865176698</v>
      </c>
      <c r="S43" s="108">
        <v>0</v>
      </c>
      <c r="T43" s="108">
        <v>2.4428607727726401</v>
      </c>
      <c r="U43" s="108">
        <v>0.74036471290223504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108">
        <v>0</v>
      </c>
      <c r="AD43" s="108">
        <v>1.7562884881604099</v>
      </c>
      <c r="AE43" s="108">
        <v>6.0234045531487299E-2</v>
      </c>
      <c r="AF43" s="108">
        <v>0.25857695163930899</v>
      </c>
      <c r="AG43" s="108">
        <v>0</v>
      </c>
      <c r="AH43" s="108">
        <v>0.55323809920406197</v>
      </c>
      <c r="AI43" s="108">
        <v>0</v>
      </c>
      <c r="AJ43" s="108">
        <v>0</v>
      </c>
      <c r="AK43" s="108">
        <v>13.437841274675799</v>
      </c>
      <c r="AL43" s="108">
        <v>0</v>
      </c>
      <c r="AM43" s="108">
        <v>23.934454362186202</v>
      </c>
      <c r="AN43" s="108">
        <v>1.5524773597415999</v>
      </c>
      <c r="AO43" s="108">
        <v>0.33321796391305403</v>
      </c>
      <c r="AP43" s="108">
        <v>0</v>
      </c>
      <c r="AQ43" s="108">
        <v>0</v>
      </c>
      <c r="AR43" s="109">
        <v>0.69762697107659899</v>
      </c>
    </row>
    <row r="44" spans="2:44" ht="12" customHeight="1" x14ac:dyDescent="0.25">
      <c r="B44" s="107" t="s">
        <v>42</v>
      </c>
      <c r="C44" s="108" t="s">
        <v>95</v>
      </c>
      <c r="D44" s="108" t="s">
        <v>43</v>
      </c>
      <c r="E44" s="108" t="s">
        <v>97</v>
      </c>
      <c r="F44" s="108" t="s">
        <v>25</v>
      </c>
      <c r="G44" s="108" t="s">
        <v>25</v>
      </c>
      <c r="H44" s="108" t="s">
        <v>82</v>
      </c>
      <c r="I44" s="108" t="s">
        <v>25</v>
      </c>
      <c r="J44" s="108">
        <v>22.37</v>
      </c>
      <c r="K44" s="108">
        <v>39.65</v>
      </c>
      <c r="L44" s="108">
        <v>0.37397765278979</v>
      </c>
      <c r="M44" s="108">
        <v>0</v>
      </c>
      <c r="N44" s="108">
        <v>0</v>
      </c>
      <c r="O44" s="108">
        <v>0</v>
      </c>
      <c r="P44" s="108">
        <v>0</v>
      </c>
      <c r="Q44" s="108">
        <v>13.8630447518322</v>
      </c>
      <c r="R44" s="108">
        <v>2.9851329910598499</v>
      </c>
      <c r="S44" s="108">
        <v>0</v>
      </c>
      <c r="T44" s="108">
        <v>2.3908850116498201</v>
      </c>
      <c r="U44" s="108">
        <v>0.72461227220218705</v>
      </c>
      <c r="V44" s="108">
        <v>0</v>
      </c>
      <c r="W44" s="108">
        <v>0</v>
      </c>
      <c r="X44" s="108">
        <v>0</v>
      </c>
      <c r="Y44" s="108">
        <v>0</v>
      </c>
      <c r="Z44" s="108">
        <v>0</v>
      </c>
      <c r="AA44" s="108">
        <v>0</v>
      </c>
      <c r="AB44" s="108">
        <v>0</v>
      </c>
      <c r="AC44" s="108">
        <v>0</v>
      </c>
      <c r="AD44" s="108">
        <v>1.71892064798678</v>
      </c>
      <c r="AE44" s="108">
        <v>5.89524700946472E-2</v>
      </c>
      <c r="AF44" s="108">
        <v>0.25307531437038799</v>
      </c>
      <c r="AG44" s="108">
        <v>0</v>
      </c>
      <c r="AH44" s="108">
        <v>0.54146707581674203</v>
      </c>
      <c r="AI44" s="108">
        <v>0</v>
      </c>
      <c r="AJ44" s="108">
        <v>0</v>
      </c>
      <c r="AK44" s="108">
        <v>13.151929758193299</v>
      </c>
      <c r="AL44" s="108">
        <v>0</v>
      </c>
      <c r="AM44" s="108">
        <v>23.425210652352401</v>
      </c>
      <c r="AN44" s="108">
        <v>1.5194459265556099</v>
      </c>
      <c r="AO44" s="108">
        <v>0.32612822000001002</v>
      </c>
      <c r="AP44" s="108">
        <v>0</v>
      </c>
      <c r="AQ44" s="108">
        <v>0</v>
      </c>
      <c r="AR44" s="109">
        <v>0.68278384403241599</v>
      </c>
    </row>
    <row r="45" spans="2:44" ht="12" customHeight="1" x14ac:dyDescent="0.25">
      <c r="B45" s="107" t="s">
        <v>36</v>
      </c>
      <c r="C45" s="108" t="s">
        <v>32</v>
      </c>
      <c r="D45" s="108" t="s">
        <v>25</v>
      </c>
      <c r="E45" s="108" t="s">
        <v>25</v>
      </c>
      <c r="F45" s="108" t="s">
        <v>25</v>
      </c>
      <c r="G45" s="108" t="s">
        <v>33</v>
      </c>
      <c r="H45" s="108" t="s">
        <v>82</v>
      </c>
      <c r="I45" s="108" t="s">
        <v>25</v>
      </c>
      <c r="J45" s="108">
        <v>37.18</v>
      </c>
      <c r="K45" s="108">
        <v>58.95</v>
      </c>
      <c r="L45" s="108">
        <v>0.40649744868455501</v>
      </c>
      <c r="M45" s="108">
        <v>0</v>
      </c>
      <c r="N45" s="108">
        <v>0</v>
      </c>
      <c r="O45" s="108">
        <v>0</v>
      </c>
      <c r="P45" s="108">
        <v>0</v>
      </c>
      <c r="Q45" s="108">
        <v>15.0685269041655</v>
      </c>
      <c r="R45" s="108">
        <v>3.2447097728911398</v>
      </c>
      <c r="S45" s="108">
        <v>0</v>
      </c>
      <c r="T45" s="108">
        <v>12.474176946235801</v>
      </c>
      <c r="U45" s="108">
        <v>3.7805929249585701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108">
        <v>0</v>
      </c>
      <c r="AD45" s="108">
        <v>1.86839200868129</v>
      </c>
      <c r="AE45" s="108">
        <v>6.4078771842007803E-2</v>
      </c>
      <c r="AF45" s="108">
        <v>0.27508186344607299</v>
      </c>
      <c r="AG45" s="108">
        <v>0</v>
      </c>
      <c r="AH45" s="108">
        <v>0.58855116936602403</v>
      </c>
      <c r="AI45" s="108">
        <v>0</v>
      </c>
      <c r="AJ45" s="108">
        <v>0</v>
      </c>
      <c r="AK45" s="108">
        <v>14.295575824123199</v>
      </c>
      <c r="AL45" s="108">
        <v>0</v>
      </c>
      <c r="AM45" s="108">
        <v>41.3159990997192</v>
      </c>
      <c r="AN45" s="108">
        <v>1.6515716592995799</v>
      </c>
      <c r="AO45" s="108">
        <v>0.35448719565218501</v>
      </c>
      <c r="AP45" s="108">
        <v>0</v>
      </c>
      <c r="AQ45" s="108">
        <v>0</v>
      </c>
      <c r="AR45" s="109">
        <v>0.742156352209148</v>
      </c>
    </row>
    <row r="46" spans="2:44" ht="12" customHeight="1" x14ac:dyDescent="0.25">
      <c r="B46" s="107" t="s">
        <v>36</v>
      </c>
      <c r="C46" s="108" t="s">
        <v>32</v>
      </c>
      <c r="D46" s="108" t="s">
        <v>25</v>
      </c>
      <c r="E46" s="108" t="s">
        <v>25</v>
      </c>
      <c r="F46" s="108" t="s">
        <v>25</v>
      </c>
      <c r="G46" s="108" t="s">
        <v>35</v>
      </c>
      <c r="H46" s="108" t="s">
        <v>82</v>
      </c>
      <c r="I46" s="108" t="s">
        <v>25</v>
      </c>
      <c r="J46" s="108">
        <v>25.8</v>
      </c>
      <c r="K46" s="108">
        <v>41.65</v>
      </c>
      <c r="L46" s="108">
        <v>0.40649744868455501</v>
      </c>
      <c r="M46" s="108">
        <v>0</v>
      </c>
      <c r="N46" s="108">
        <v>0</v>
      </c>
      <c r="O46" s="108">
        <v>0</v>
      </c>
      <c r="P46" s="108">
        <v>0</v>
      </c>
      <c r="Q46" s="108">
        <v>15.0685269041655</v>
      </c>
      <c r="R46" s="108">
        <v>3.2447097728911398</v>
      </c>
      <c r="S46" s="108">
        <v>0</v>
      </c>
      <c r="T46" s="108">
        <v>3.7422559454914999</v>
      </c>
      <c r="U46" s="108">
        <v>1.1341757304034199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108">
        <v>0</v>
      </c>
      <c r="AD46" s="108">
        <v>1.86839200868129</v>
      </c>
      <c r="AE46" s="108">
        <v>6.4078771842007803E-2</v>
      </c>
      <c r="AF46" s="108">
        <v>0.27508186344607299</v>
      </c>
      <c r="AG46" s="108">
        <v>0</v>
      </c>
      <c r="AH46" s="108">
        <v>0.58855116936602403</v>
      </c>
      <c r="AI46" s="108">
        <v>0</v>
      </c>
      <c r="AJ46" s="108">
        <v>0</v>
      </c>
      <c r="AK46" s="108">
        <v>14.295575824123199</v>
      </c>
      <c r="AL46" s="108">
        <v>0</v>
      </c>
      <c r="AM46" s="108">
        <v>24.0209297091391</v>
      </c>
      <c r="AN46" s="108">
        <v>1.6515716592995799</v>
      </c>
      <c r="AO46" s="108">
        <v>0.35448719565218501</v>
      </c>
      <c r="AP46" s="108">
        <v>0</v>
      </c>
      <c r="AQ46" s="108">
        <v>0</v>
      </c>
      <c r="AR46" s="109">
        <v>0.742156352209148</v>
      </c>
    </row>
    <row r="47" spans="2:44" ht="12" customHeight="1" x14ac:dyDescent="0.25">
      <c r="B47" s="107" t="s">
        <v>36</v>
      </c>
      <c r="C47" s="108" t="s">
        <v>32</v>
      </c>
      <c r="D47" s="108" t="s">
        <v>25</v>
      </c>
      <c r="E47" s="108" t="s">
        <v>25</v>
      </c>
      <c r="F47" s="108" t="s">
        <v>25</v>
      </c>
      <c r="G47" s="108" t="s">
        <v>34</v>
      </c>
      <c r="H47" s="108" t="s">
        <v>82</v>
      </c>
      <c r="I47" s="108" t="s">
        <v>25</v>
      </c>
      <c r="J47" s="108">
        <v>22.55</v>
      </c>
      <c r="K47" s="108">
        <v>41.65</v>
      </c>
      <c r="L47" s="108">
        <v>0.40649744868455501</v>
      </c>
      <c r="M47" s="108">
        <v>0</v>
      </c>
      <c r="N47" s="108">
        <v>0</v>
      </c>
      <c r="O47" s="108">
        <v>0</v>
      </c>
      <c r="P47" s="108">
        <v>0</v>
      </c>
      <c r="Q47" s="108">
        <v>15.0685269041655</v>
      </c>
      <c r="R47" s="108">
        <v>3.2447097728911398</v>
      </c>
      <c r="S47" s="108">
        <v>0</v>
      </c>
      <c r="T47" s="108">
        <v>1.24741626381319</v>
      </c>
      <c r="U47" s="108">
        <v>0.37805857680114102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108">
        <v>0</v>
      </c>
      <c r="AD47" s="108">
        <v>1.86839200868129</v>
      </c>
      <c r="AE47" s="108">
        <v>6.4078771842007803E-2</v>
      </c>
      <c r="AF47" s="108">
        <v>0.27508186344607299</v>
      </c>
      <c r="AG47" s="108">
        <v>0</v>
      </c>
      <c r="AH47" s="108">
        <v>0.58855116936602403</v>
      </c>
      <c r="AI47" s="108">
        <v>0</v>
      </c>
      <c r="AJ47" s="108">
        <v>0</v>
      </c>
      <c r="AK47" s="108">
        <v>14.295575824123199</v>
      </c>
      <c r="AL47" s="108">
        <v>0</v>
      </c>
      <c r="AM47" s="108">
        <v>24.0209297091391</v>
      </c>
      <c r="AN47" s="108">
        <v>1.6515716592995799</v>
      </c>
      <c r="AO47" s="108">
        <v>0.35448719565218501</v>
      </c>
      <c r="AP47" s="108">
        <v>0</v>
      </c>
      <c r="AQ47" s="108">
        <v>0</v>
      </c>
      <c r="AR47" s="109">
        <v>0.742156352209148</v>
      </c>
    </row>
    <row r="48" spans="2:44" ht="12" customHeight="1" x14ac:dyDescent="0.25">
      <c r="B48" s="107" t="s">
        <v>36</v>
      </c>
      <c r="C48" s="108" t="s">
        <v>23</v>
      </c>
      <c r="D48" s="108" t="s">
        <v>25</v>
      </c>
      <c r="E48" s="108" t="s">
        <v>25</v>
      </c>
      <c r="F48" s="108" t="s">
        <v>25</v>
      </c>
      <c r="G48" s="108" t="s">
        <v>25</v>
      </c>
      <c r="H48" s="108" t="s">
        <v>82</v>
      </c>
      <c r="I48" s="108" t="s">
        <v>25</v>
      </c>
      <c r="J48" s="108">
        <v>24.31</v>
      </c>
      <c r="K48" s="108">
        <v>43.09</v>
      </c>
      <c r="L48" s="108">
        <v>0.40649744868455501</v>
      </c>
      <c r="M48" s="108">
        <v>0</v>
      </c>
      <c r="N48" s="108">
        <v>0</v>
      </c>
      <c r="O48" s="108">
        <v>0</v>
      </c>
      <c r="P48" s="108">
        <v>0</v>
      </c>
      <c r="Q48" s="108">
        <v>15.0685269041655</v>
      </c>
      <c r="R48" s="108">
        <v>3.2447097728911398</v>
      </c>
      <c r="S48" s="108">
        <v>0</v>
      </c>
      <c r="T48" s="108">
        <v>2.5987880561411001</v>
      </c>
      <c r="U48" s="108">
        <v>0.78762203500237804</v>
      </c>
      <c r="V48" s="108">
        <v>0</v>
      </c>
      <c r="W48" s="108">
        <v>0</v>
      </c>
      <c r="X48" s="108">
        <v>0</v>
      </c>
      <c r="Y48" s="108">
        <v>0</v>
      </c>
      <c r="Z48" s="108">
        <v>0</v>
      </c>
      <c r="AA48" s="108">
        <v>0</v>
      </c>
      <c r="AB48" s="108">
        <v>0</v>
      </c>
      <c r="AC48" s="108">
        <v>0</v>
      </c>
      <c r="AD48" s="108">
        <v>1.86839200868129</v>
      </c>
      <c r="AE48" s="108">
        <v>6.4078771842007803E-2</v>
      </c>
      <c r="AF48" s="108">
        <v>0.27508186344607299</v>
      </c>
      <c r="AG48" s="108">
        <v>0</v>
      </c>
      <c r="AH48" s="108">
        <v>0.58855116936602403</v>
      </c>
      <c r="AI48" s="108">
        <v>0</v>
      </c>
      <c r="AJ48" s="108">
        <v>0</v>
      </c>
      <c r="AK48" s="108">
        <v>14.295575824123199</v>
      </c>
      <c r="AL48" s="108">
        <v>0</v>
      </c>
      <c r="AM48" s="108">
        <v>25.4621854916874</v>
      </c>
      <c r="AN48" s="108">
        <v>1.6515716592995799</v>
      </c>
      <c r="AO48" s="108">
        <v>0.35448719565218501</v>
      </c>
      <c r="AP48" s="108">
        <v>0</v>
      </c>
      <c r="AQ48" s="108">
        <v>0</v>
      </c>
      <c r="AR48" s="109">
        <v>0.742156352209148</v>
      </c>
    </row>
    <row r="49" spans="2:44" ht="12" customHeight="1" x14ac:dyDescent="0.25">
      <c r="B49" s="107" t="s">
        <v>36</v>
      </c>
      <c r="C49" s="108" t="s">
        <v>95</v>
      </c>
      <c r="D49" s="108" t="s">
        <v>25</v>
      </c>
      <c r="E49" s="108" t="s">
        <v>25</v>
      </c>
      <c r="F49" s="108" t="s">
        <v>25</v>
      </c>
      <c r="G49" s="108" t="s">
        <v>25</v>
      </c>
      <c r="H49" s="108" t="s">
        <v>82</v>
      </c>
      <c r="I49" s="108" t="s">
        <v>25</v>
      </c>
      <c r="J49" s="108">
        <v>24.31</v>
      </c>
      <c r="K49" s="108">
        <v>43.09</v>
      </c>
      <c r="L49" s="108">
        <v>0.40649744868455501</v>
      </c>
      <c r="M49" s="108">
        <v>0</v>
      </c>
      <c r="N49" s="108">
        <v>0</v>
      </c>
      <c r="O49" s="108">
        <v>0</v>
      </c>
      <c r="P49" s="108">
        <v>0</v>
      </c>
      <c r="Q49" s="108">
        <v>15.0685269041655</v>
      </c>
      <c r="R49" s="108">
        <v>3.2447097728911398</v>
      </c>
      <c r="S49" s="108">
        <v>0</v>
      </c>
      <c r="T49" s="108">
        <v>2.5987880561411001</v>
      </c>
      <c r="U49" s="108">
        <v>0.78762203500237804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8">
        <v>1.86839200868129</v>
      </c>
      <c r="AE49" s="108">
        <v>6.4078771842007803E-2</v>
      </c>
      <c r="AF49" s="108">
        <v>0.27508186344607299</v>
      </c>
      <c r="AG49" s="108">
        <v>0</v>
      </c>
      <c r="AH49" s="108">
        <v>0.58855116936602403</v>
      </c>
      <c r="AI49" s="108">
        <v>0</v>
      </c>
      <c r="AJ49" s="108">
        <v>0</v>
      </c>
      <c r="AK49" s="108">
        <v>14.295575824123199</v>
      </c>
      <c r="AL49" s="108">
        <v>0</v>
      </c>
      <c r="AM49" s="108">
        <v>25.4621854916874</v>
      </c>
      <c r="AN49" s="108">
        <v>1.6515716592995799</v>
      </c>
      <c r="AO49" s="108">
        <v>0.35448719565218501</v>
      </c>
      <c r="AP49" s="108">
        <v>0</v>
      </c>
      <c r="AQ49" s="108">
        <v>0</v>
      </c>
      <c r="AR49" s="109">
        <v>0.742156352209148</v>
      </c>
    </row>
    <row r="50" spans="2:44" ht="12" customHeight="1" x14ac:dyDescent="0.25">
      <c r="B50" s="107" t="s">
        <v>45</v>
      </c>
      <c r="C50" s="108" t="s">
        <v>23</v>
      </c>
      <c r="D50" s="108" t="s">
        <v>46</v>
      </c>
      <c r="E50" s="108" t="s">
        <v>47</v>
      </c>
      <c r="F50" s="108" t="s">
        <v>25</v>
      </c>
      <c r="G50" s="108" t="s">
        <v>25</v>
      </c>
      <c r="H50" s="108" t="s">
        <v>82</v>
      </c>
      <c r="I50" s="108" t="s">
        <v>25</v>
      </c>
      <c r="J50" s="108">
        <v>13.37</v>
      </c>
      <c r="K50" s="108">
        <v>23.7</v>
      </c>
      <c r="L50" s="108">
        <v>0.22357359677650501</v>
      </c>
      <c r="M50" s="108">
        <v>0</v>
      </c>
      <c r="N50" s="108">
        <v>0</v>
      </c>
      <c r="O50" s="108">
        <v>0</v>
      </c>
      <c r="P50" s="108">
        <v>0</v>
      </c>
      <c r="Q50" s="108">
        <v>8.2876897972910104</v>
      </c>
      <c r="R50" s="108">
        <v>1.78459037509013</v>
      </c>
      <c r="S50" s="108">
        <v>0</v>
      </c>
      <c r="T50" s="108">
        <v>1.42933343087761</v>
      </c>
      <c r="U50" s="108">
        <v>0.43319211925130802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108">
        <v>0</v>
      </c>
      <c r="AD50" s="108">
        <v>1.02761560477471</v>
      </c>
      <c r="AE50" s="108">
        <v>3.5243324513104302E-2</v>
      </c>
      <c r="AF50" s="108">
        <v>0.15129502489534</v>
      </c>
      <c r="AG50" s="108">
        <v>0</v>
      </c>
      <c r="AH50" s="108">
        <v>0.32370314315131299</v>
      </c>
      <c r="AI50" s="108">
        <v>0</v>
      </c>
      <c r="AJ50" s="108">
        <v>0</v>
      </c>
      <c r="AK50" s="108">
        <v>7.8625667032677402</v>
      </c>
      <c r="AL50" s="108">
        <v>0</v>
      </c>
      <c r="AM50" s="108">
        <v>14.004202020428099</v>
      </c>
      <c r="AN50" s="108">
        <v>0.90836441261476697</v>
      </c>
      <c r="AO50" s="108">
        <v>0.194967957608702</v>
      </c>
      <c r="AP50" s="108">
        <v>0</v>
      </c>
      <c r="AQ50" s="108">
        <v>0</v>
      </c>
      <c r="AR50" s="109">
        <v>0.408185993715031</v>
      </c>
    </row>
    <row r="51" spans="2:44" ht="12" customHeight="1" x14ac:dyDescent="0.25">
      <c r="B51" s="110" t="s">
        <v>45</v>
      </c>
      <c r="C51" s="111" t="s">
        <v>23</v>
      </c>
      <c r="D51" s="111" t="s">
        <v>46</v>
      </c>
      <c r="E51" s="111" t="s">
        <v>98</v>
      </c>
      <c r="F51" s="111" t="s">
        <v>25</v>
      </c>
      <c r="G51" s="111" t="s">
        <v>25</v>
      </c>
      <c r="H51" s="111" t="s">
        <v>82</v>
      </c>
      <c r="I51" s="111" t="s">
        <v>25</v>
      </c>
      <c r="J51" s="111">
        <v>14.59</v>
      </c>
      <c r="K51" s="111">
        <v>25.86</v>
      </c>
      <c r="L51" s="111">
        <v>0.24389846921073299</v>
      </c>
      <c r="M51" s="111">
        <v>0</v>
      </c>
      <c r="N51" s="111">
        <v>0</v>
      </c>
      <c r="O51" s="111">
        <v>0</v>
      </c>
      <c r="P51" s="111">
        <v>0</v>
      </c>
      <c r="Q51" s="111">
        <v>9.0411161424992805</v>
      </c>
      <c r="R51" s="111">
        <v>1.94682586373468</v>
      </c>
      <c r="S51" s="111">
        <v>0</v>
      </c>
      <c r="T51" s="111">
        <v>1.55927283368466</v>
      </c>
      <c r="U51" s="111">
        <v>0.47257322100142701</v>
      </c>
      <c r="V51" s="111">
        <v>0</v>
      </c>
      <c r="W51" s="111">
        <v>0</v>
      </c>
      <c r="X51" s="111">
        <v>0</v>
      </c>
      <c r="Y51" s="111">
        <v>0</v>
      </c>
      <c r="Z51" s="111">
        <v>0</v>
      </c>
      <c r="AA51" s="111">
        <v>0</v>
      </c>
      <c r="AB51" s="111">
        <v>0</v>
      </c>
      <c r="AC51" s="111">
        <v>0</v>
      </c>
      <c r="AD51" s="111">
        <v>1.12103520520877</v>
      </c>
      <c r="AE51" s="111">
        <v>3.8447263105204701E-2</v>
      </c>
      <c r="AF51" s="111">
        <v>0.165049118067644</v>
      </c>
      <c r="AG51" s="111">
        <v>0</v>
      </c>
      <c r="AH51" s="111">
        <v>0.35313070161961402</v>
      </c>
      <c r="AI51" s="111">
        <v>0</v>
      </c>
      <c r="AJ51" s="111">
        <v>0</v>
      </c>
      <c r="AK51" s="111">
        <v>8.5773454944738994</v>
      </c>
      <c r="AL51" s="111">
        <v>0</v>
      </c>
      <c r="AM51" s="111">
        <v>15.277311295012501</v>
      </c>
      <c r="AN51" s="111">
        <v>0.99094299557974597</v>
      </c>
      <c r="AO51" s="111">
        <v>0.212692317391311</v>
      </c>
      <c r="AP51" s="111">
        <v>0</v>
      </c>
      <c r="AQ51" s="111">
        <v>0</v>
      </c>
      <c r="AR51" s="112">
        <v>0.44529381132548901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34</vt:i4>
      </vt:variant>
    </vt:vector>
  </HeadingPairs>
  <TitlesOfParts>
    <vt:vector size="34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EFEITO_350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ANEEL</dc:creator>
  <cp:lastModifiedBy>ANEEL</cp:lastModifiedBy>
  <dcterms:created xsi:type="dcterms:W3CDTF">2022-07-11T13:00:56Z</dcterms:created>
  <dcterms:modified xsi:type="dcterms:W3CDTF">2022-07-18T20:14:05Z</dcterms:modified>
</cp:coreProperties>
</file>